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<sst xmlns="http://schemas.openxmlformats.org/spreadsheetml/2006/main" count="176449" uniqueCount="21729">
  <si>
    <t>mandature_id</t>
  </si>
  <si>
    <t>mandature_institution</t>
  </si>
  <si>
    <t>mandature_name</t>
  </si>
  <si>
    <t>mandature_start_date</t>
  </si>
  <si>
    <t>mandature_end_date</t>
  </si>
  <si>
    <t>mandature_wikidata_qid</t>
  </si>
  <si>
    <t>person_id</t>
  </si>
  <si>
    <t>person_last_name</t>
  </si>
  <si>
    <t>person_first_name</t>
  </si>
  <si>
    <t>person_birth_date</t>
  </si>
  <si>
    <t>person_death_date</t>
  </si>
  <si>
    <t>person_sycomore_id</t>
  </si>
  <si>
    <t>person_senat_id</t>
  </si>
  <si>
    <t>person_wikidata_qid</t>
  </si>
  <si>
    <t>mandate_position</t>
  </si>
  <si>
    <t>mandate_group</t>
  </si>
  <si>
    <t>mandate_start_date</t>
  </si>
  <si>
    <t>mandate_end_date</t>
  </si>
  <si>
    <t>mandate_duration</t>
  </si>
  <si>
    <t>chambre_10</t>
  </si>
  <si>
    <t>chambre_11</t>
  </si>
  <si>
    <t>chambre_12</t>
  </si>
  <si>
    <t>chambre_13</t>
  </si>
  <si>
    <t>chambre_14</t>
  </si>
  <si>
    <t>chambre_15</t>
  </si>
  <si>
    <t>chambre_3</t>
  </si>
  <si>
    <t>chambre_4</t>
  </si>
  <si>
    <t>chambre_5</t>
  </si>
  <si>
    <t>chambre_6</t>
  </si>
  <si>
    <t>chambre_7</t>
  </si>
  <si>
    <t>chambre_8</t>
  </si>
  <si>
    <t>chambre_9</t>
  </si>
  <si>
    <t>gouv_barthou</t>
  </si>
  <si>
    <t>gouv_blum_1</t>
  </si>
  <si>
    <t>gouv_blum_2</t>
  </si>
  <si>
    <t>gouv_bouisson</t>
  </si>
  <si>
    <t>gouv_bourgeois</t>
  </si>
  <si>
    <t>gouv_briand_1</t>
  </si>
  <si>
    <t>gouv_briand_10</t>
  </si>
  <si>
    <t>gouv_briand_11</t>
  </si>
  <si>
    <t>gouv_briand_2</t>
  </si>
  <si>
    <t>gouv_briand_3</t>
  </si>
  <si>
    <t>gouv_briand_4</t>
  </si>
  <si>
    <t>gouv_briand_5</t>
  </si>
  <si>
    <t>gouv_briand_6</t>
  </si>
  <si>
    <t>gouv_briand_7</t>
  </si>
  <si>
    <t>gouv_briand_8</t>
  </si>
  <si>
    <t>gouv_briand_9</t>
  </si>
  <si>
    <t>gouv_brisson_1</t>
  </si>
  <si>
    <t>gouv_brisson_2</t>
  </si>
  <si>
    <t>gouv_caillaux</t>
  </si>
  <si>
    <t>gouv_casimir_perier</t>
  </si>
  <si>
    <t>gouv_chautemps_1</t>
  </si>
  <si>
    <t>gouv_chautemps_2</t>
  </si>
  <si>
    <t>gouv_chautemps_3</t>
  </si>
  <si>
    <t>gouv_chautemps_4</t>
  </si>
  <si>
    <t>gouv_clemenceau_1</t>
  </si>
  <si>
    <t>gouv_clemenceau_2</t>
  </si>
  <si>
    <t>gouv_combes</t>
  </si>
  <si>
    <t>gouv_daladier_1</t>
  </si>
  <si>
    <t>gouv_daladier_2</t>
  </si>
  <si>
    <t>gouv_daladier_3</t>
  </si>
  <si>
    <t>gouv_daladier_4</t>
  </si>
  <si>
    <t>gouv_daladier_5</t>
  </si>
  <si>
    <t>gouv_de_freycinet_2</t>
  </si>
  <si>
    <t>gouv_de_freycinet_3</t>
  </si>
  <si>
    <t>gouv_de_freycinet_4</t>
  </si>
  <si>
    <t>gouv_doumergue_1</t>
  </si>
  <si>
    <t>gouv_doumergue_2</t>
  </si>
  <si>
    <t>gouv_duclerc</t>
  </si>
  <si>
    <t>gouv_dupuy_1</t>
  </si>
  <si>
    <t>gouv_dupuy_2</t>
  </si>
  <si>
    <t>gouv_dupuy_3</t>
  </si>
  <si>
    <t>gouv_dupuy_4</t>
  </si>
  <si>
    <t>gouv_dupuy_5</t>
  </si>
  <si>
    <t>gouv_fallieres</t>
  </si>
  <si>
    <t>gouv_ferry_2</t>
  </si>
  <si>
    <t>gouv_flandin_1</t>
  </si>
  <si>
    <t>gouv_floquet</t>
  </si>
  <si>
    <t>gouv_francois_marsal</t>
  </si>
  <si>
    <t>gouv_gambetta</t>
  </si>
  <si>
    <t>gouv_goblet</t>
  </si>
  <si>
    <t>gouv_herriot_1</t>
  </si>
  <si>
    <t>gouv_herriot_2</t>
  </si>
  <si>
    <t>gouv_herriot_3</t>
  </si>
  <si>
    <t>gouv_laval_1</t>
  </si>
  <si>
    <t>gouv_laval_2</t>
  </si>
  <si>
    <t>gouv_laval_3</t>
  </si>
  <si>
    <t>gouv_laval_4</t>
  </si>
  <si>
    <t>gouv_leygues</t>
  </si>
  <si>
    <t>gouv_loubet</t>
  </si>
  <si>
    <t>gouv_méline</t>
  </si>
  <si>
    <t>gouv_millerand_1</t>
  </si>
  <si>
    <t>gouv_millerand_2</t>
  </si>
  <si>
    <t>gouv_monis</t>
  </si>
  <si>
    <t>gouv_painleve_1</t>
  </si>
  <si>
    <t>gouv_painleve_2</t>
  </si>
  <si>
    <t>gouv_painleve_3</t>
  </si>
  <si>
    <t>gouv_paul_boncour</t>
  </si>
  <si>
    <t>gouv_petain</t>
  </si>
  <si>
    <t>gouv_poincare_1</t>
  </si>
  <si>
    <t>gouv_poincare_2</t>
  </si>
  <si>
    <t>gouv_poincare_3</t>
  </si>
  <si>
    <t>gouv_poincare_4</t>
  </si>
  <si>
    <t>gouv_poincare_5</t>
  </si>
  <si>
    <t>gouv_reynaud</t>
  </si>
  <si>
    <t>gouv_ribot_1</t>
  </si>
  <si>
    <t>gouv_ribot_2</t>
  </si>
  <si>
    <t>gouv_ribot_3</t>
  </si>
  <si>
    <t>gouv_ribot_4</t>
  </si>
  <si>
    <t>gouv_ribot_5</t>
  </si>
  <si>
    <t>gouv_rouvier_1</t>
  </si>
  <si>
    <t>gouv_rouvier_2</t>
  </si>
  <si>
    <t>gouv_rouvier_3</t>
  </si>
  <si>
    <t>gouv_sarraut_1</t>
  </si>
  <si>
    <t>gouv_sarraut_2</t>
  </si>
  <si>
    <t>gouv_sarrien</t>
  </si>
  <si>
    <t>gouv_steeg</t>
  </si>
  <si>
    <t>gouv_tardieu_1</t>
  </si>
  <si>
    <t>gouv_tardieu_2</t>
  </si>
  <si>
    <t>gouv_tardieu_3</t>
  </si>
  <si>
    <t>gouv_tirard_1</t>
  </si>
  <si>
    <t>gouv_tirard_2</t>
  </si>
  <si>
    <t>gouv_viviani_1</t>
  </si>
  <si>
    <t>gouv_viviani_2</t>
  </si>
  <si>
    <t>gouv_waldeck_rousseau</t>
  </si>
  <si>
    <t>senat_1875</t>
  </si>
  <si>
    <t>senat_1876</t>
  </si>
  <si>
    <t>senat_1879</t>
  </si>
  <si>
    <t>senat_1882</t>
  </si>
  <si>
    <t>senat_1885</t>
  </si>
  <si>
    <t>senat_1888</t>
  </si>
  <si>
    <t>senat_1891</t>
  </si>
  <si>
    <t>senat_1894</t>
  </si>
  <si>
    <t>senat_1897</t>
  </si>
  <si>
    <t>senat_1900</t>
  </si>
  <si>
    <t>senat_1903</t>
  </si>
  <si>
    <t>senat_1906</t>
  </si>
  <si>
    <t>senat_1909</t>
  </si>
  <si>
    <t>senat_1912</t>
  </si>
  <si>
    <t>senat_1920</t>
  </si>
  <si>
    <t>senat_1921</t>
  </si>
  <si>
    <t>senat_1924</t>
  </si>
  <si>
    <t>senat_1927</t>
  </si>
  <si>
    <t>senat_1929</t>
  </si>
  <si>
    <t>senat_1932</t>
  </si>
  <si>
    <t>senat_1935</t>
  </si>
  <si>
    <t>senat_1938</t>
  </si>
  <si>
    <t>chambre</t>
  </si>
  <si>
    <t>gouvernement</t>
  </si>
  <si>
    <t>senat</t>
  </si>
  <si>
    <t>Xe législature de la Troisième République</t>
  </si>
  <si>
    <t>XIe législature de la Troisième République</t>
  </si>
  <si>
    <t>XIIe législature de la Troisième République</t>
  </si>
  <si>
    <t>XIIIe législature de la Troisième République</t>
  </si>
  <si>
    <t>XIVe législature de la Troisième République</t>
  </si>
  <si>
    <t>XVe législature de la Troisième République</t>
  </si>
  <si>
    <t>IIIe législature de la Troisième République</t>
  </si>
  <si>
    <t>IVe législature de la Troisième République</t>
  </si>
  <si>
    <t>Ve législature de la Troisième République</t>
  </si>
  <si>
    <t>VIe législature de la Troisième République</t>
  </si>
  <si>
    <t>VIIe législature de la Troisième République</t>
  </si>
  <si>
    <t>VIIIe législature de la Troisième République</t>
  </si>
  <si>
    <t>IXe législature de la Troisième République</t>
  </si>
  <si>
    <t>Gouvernement Barthou</t>
  </si>
  <si>
    <t>Gouvernement Blum I</t>
  </si>
  <si>
    <t>Gouvernement Blum II</t>
  </si>
  <si>
    <t>Gouvernement Bouisson</t>
  </si>
  <si>
    <t>Gouvernement Bourgeois</t>
  </si>
  <si>
    <t>Gouvernement Briand I</t>
  </si>
  <si>
    <t>Gouvernement Briand X</t>
  </si>
  <si>
    <t>Gouvernement Briand XI</t>
  </si>
  <si>
    <t>Gouvernement Briand II</t>
  </si>
  <si>
    <t>Gouvernement Briand III</t>
  </si>
  <si>
    <t>Gouvernement Briand IV</t>
  </si>
  <si>
    <t>Gouvernement Briand V</t>
  </si>
  <si>
    <t>Gouvernement Briand VI</t>
  </si>
  <si>
    <t>Gouvernement Briand VII</t>
  </si>
  <si>
    <t>Gouvernement Briand VIII</t>
  </si>
  <si>
    <t>Gouvernement Briand IX</t>
  </si>
  <si>
    <t>Gouvernement Brisson I</t>
  </si>
  <si>
    <t>Gouvernement Brisson II</t>
  </si>
  <si>
    <t>Gouvernement Caillaux</t>
  </si>
  <si>
    <t>Gouvernement Casimir-Perier</t>
  </si>
  <si>
    <t>Gouvernement Chautemps I</t>
  </si>
  <si>
    <t>Gouvernement Chautemps II</t>
  </si>
  <si>
    <t>Gouvernement Chautemps III</t>
  </si>
  <si>
    <t>Gouvernement Chautemps IV</t>
  </si>
  <si>
    <t>Gouvernement Clemenceau I</t>
  </si>
  <si>
    <t>Gouvernement Clemenceau II</t>
  </si>
  <si>
    <t>Gouvernement Combes</t>
  </si>
  <si>
    <t>Gouvernement Daladier I</t>
  </si>
  <si>
    <t>Gouvernement Daladier II</t>
  </si>
  <si>
    <t>Gouvernement Daladier III</t>
  </si>
  <si>
    <t>Gouvernement Daladier IV</t>
  </si>
  <si>
    <t>Gouvernement Daladier V</t>
  </si>
  <si>
    <t>Gouvernement de Freycinet II</t>
  </si>
  <si>
    <t>Gouvernement de Freycinet III</t>
  </si>
  <si>
    <t>Gouvernement de Freycinet IV</t>
  </si>
  <si>
    <t>Gouvernement Doumergue I</t>
  </si>
  <si>
    <t>Gouvernement Doumergue II</t>
  </si>
  <si>
    <t>Gouvernement Duclerc</t>
  </si>
  <si>
    <t>Gouvernement Dupuy I</t>
  </si>
  <si>
    <t>Gouvernement Dupuy II</t>
  </si>
  <si>
    <t>Gouvernement Dupuy III</t>
  </si>
  <si>
    <t>Gouvernement Dupuy IV</t>
  </si>
  <si>
    <t>Gouvernement Dupuy V</t>
  </si>
  <si>
    <t>Gouvernement Fallières</t>
  </si>
  <si>
    <t>Gouvernement Ferry II</t>
  </si>
  <si>
    <t>Gouvernement Flandin I</t>
  </si>
  <si>
    <t>Gouvernement Floquet</t>
  </si>
  <si>
    <t>Gouvernement François-Marsal</t>
  </si>
  <si>
    <t>Gouvernement Gambetta</t>
  </si>
  <si>
    <t>Gouvernement Goblet</t>
  </si>
  <si>
    <t>Gouvernement Herriot I</t>
  </si>
  <si>
    <t>Gouvernement Herriot II</t>
  </si>
  <si>
    <t>Gouvernement Herriot III</t>
  </si>
  <si>
    <t>Gouvernement Laval I</t>
  </si>
  <si>
    <t>Gouvernement Laval II</t>
  </si>
  <si>
    <t>Gouvernement Laval III</t>
  </si>
  <si>
    <t>Gouvernement Laval IV</t>
  </si>
  <si>
    <t>Gouvernement Leygues</t>
  </si>
  <si>
    <t>Gouvernement Loubet</t>
  </si>
  <si>
    <t>Gouvernement Méline</t>
  </si>
  <si>
    <t>Gouvernement Millerand I</t>
  </si>
  <si>
    <t>Gouvernement Millerand II</t>
  </si>
  <si>
    <t>Gouvernement Monis</t>
  </si>
  <si>
    <t>Gouvernement Painlevé I</t>
  </si>
  <si>
    <t>Gouvernement Painlevé II</t>
  </si>
  <si>
    <t>Gouvernement Painlevé III</t>
  </si>
  <si>
    <t>Gouvernement Paul-Boncour</t>
  </si>
  <si>
    <t>Gouvernement Pétain</t>
  </si>
  <si>
    <t>Gouvernement Poincaré I</t>
  </si>
  <si>
    <t>Gouvernement Poincaré II</t>
  </si>
  <si>
    <t>Gouvernement Poincaré III</t>
  </si>
  <si>
    <t>Gouvernement Poincaré IV</t>
  </si>
  <si>
    <t>Gouvernement Poincaré V</t>
  </si>
  <si>
    <t>Gouvernement Reynaud</t>
  </si>
  <si>
    <t>Gouvernement Ribot I</t>
  </si>
  <si>
    <t>Gouvernement Ribot II</t>
  </si>
  <si>
    <t>Gouvernement Ribot III</t>
  </si>
  <si>
    <t>Gouvernement Ribot IV</t>
  </si>
  <si>
    <t>Gouvernement Ribot V</t>
  </si>
  <si>
    <t>Gouvernement Rouvier I</t>
  </si>
  <si>
    <t>Gouvernement Rouvier II</t>
  </si>
  <si>
    <t>Gouvernement Rouvier III</t>
  </si>
  <si>
    <t>Gouvernement Sarraut I</t>
  </si>
  <si>
    <t>Gouvernement Sarraut II</t>
  </si>
  <si>
    <t>Gouvernement Sarrien</t>
  </si>
  <si>
    <t>Gouvernement Steeg</t>
  </si>
  <si>
    <t>Gouvernement Tardieu I</t>
  </si>
  <si>
    <t>Gouvernement Tardieu II</t>
  </si>
  <si>
    <t>Gouvernement Tardieu III</t>
  </si>
  <si>
    <t>Gouvernement Tirard I</t>
  </si>
  <si>
    <t>Gouvernement Tirard II</t>
  </si>
  <si>
    <t>Gouvernement Viviani I</t>
  </si>
  <si>
    <t>Gouvernement Viviani II</t>
  </si>
  <si>
    <t>Gouvernement Waldeck-Rousseau</t>
  </si>
  <si>
    <t>Sénateur inamovible</t>
  </si>
  <si>
    <t>Élections sénatoriales de 1876</t>
  </si>
  <si>
    <t>Élections sénatoriales de 1879</t>
  </si>
  <si>
    <t>Élections sénatoriales de 1882</t>
  </si>
  <si>
    <t>Élections sénatoriales de 1885</t>
  </si>
  <si>
    <t>Élections sénatoriales de 1888</t>
  </si>
  <si>
    <t>Élections sénatoriales de 1891</t>
  </si>
  <si>
    <t>Élections sénatoriales de 1894</t>
  </si>
  <si>
    <t>Élections sénatoriales de 1897</t>
  </si>
  <si>
    <t>Élections sénatoriales de 1900</t>
  </si>
  <si>
    <t>Élections sénatoriales de 1903</t>
  </si>
  <si>
    <t>Élections sénatoriales de 1906</t>
  </si>
  <si>
    <t>Élections sénatoriales de 1909</t>
  </si>
  <si>
    <t>Élections sénatoriales de 1912</t>
  </si>
  <si>
    <t>Élections sénatoriales de 1920</t>
  </si>
  <si>
    <t>Élections sénatoriales de 1921</t>
  </si>
  <si>
    <t>Élections sénatoriales de 1924</t>
  </si>
  <si>
    <t>Élections sénatoriales de 1927</t>
  </si>
  <si>
    <t>Élections sénatoriales de 1929</t>
  </si>
  <si>
    <t>Élections sénatoriales de 1932</t>
  </si>
  <si>
    <t>Élections sénatoriales de 1935</t>
  </si>
  <si>
    <t>Élections sénatoriales de 1938</t>
  </si>
  <si>
    <t>1910-06-01</t>
  </si>
  <si>
    <t>1914-06-01</t>
  </si>
  <si>
    <t>1919-12-08</t>
  </si>
  <si>
    <t>1924-06-01</t>
  </si>
  <si>
    <t>1928-06-01</t>
  </si>
  <si>
    <t>1932-06-01</t>
  </si>
  <si>
    <t>1881-10-28</t>
  </si>
  <si>
    <t>1885-11-10</t>
  </si>
  <si>
    <t>1889-11-12</t>
  </si>
  <si>
    <t>1893-10-15</t>
  </si>
  <si>
    <t>1898-06-01</t>
  </si>
  <si>
    <t>1902-06-01</t>
  </si>
  <si>
    <t>1906-06-01</t>
  </si>
  <si>
    <t>1913-03-22</t>
  </si>
  <si>
    <t>1936-06-04</t>
  </si>
  <si>
    <t>1938-03-13</t>
  </si>
  <si>
    <t>1935-06-01</t>
  </si>
  <si>
    <t>1895-11-01</t>
  </si>
  <si>
    <t>1909-07-24</t>
  </si>
  <si>
    <t>1926-06-23</t>
  </si>
  <si>
    <t>1929-07-29</t>
  </si>
  <si>
    <t>1910-11-04</t>
  </si>
  <si>
    <t>1913-01-21</t>
  </si>
  <si>
    <t>1913-02-18</t>
  </si>
  <si>
    <t>1915-10-29</t>
  </si>
  <si>
    <t>1916-12-12</t>
  </si>
  <si>
    <t>1921-01-16</t>
  </si>
  <si>
    <t>1925-11-28</t>
  </si>
  <si>
    <t>1926-03-09</t>
  </si>
  <si>
    <t>1885-04-06</t>
  </si>
  <si>
    <t>1898-06-28</t>
  </si>
  <si>
    <t>1911-06-27</t>
  </si>
  <si>
    <t>1893-12-03</t>
  </si>
  <si>
    <t>1930-02-21</t>
  </si>
  <si>
    <t>1933-11-26</t>
  </si>
  <si>
    <t>1937-06-23</t>
  </si>
  <si>
    <t>1938-01-18</t>
  </si>
  <si>
    <t>1906-10-25</t>
  </si>
  <si>
    <t>1917-11-16</t>
  </si>
  <si>
    <t>1902-06-07</t>
  </si>
  <si>
    <t>1933-01-30</t>
  </si>
  <si>
    <t>1934-01-30</t>
  </si>
  <si>
    <t>1938-04-10</t>
  </si>
  <si>
    <t>1939-05-11</t>
  </si>
  <si>
    <t>1939-09-13</t>
  </si>
  <si>
    <t>1882-01-30</t>
  </si>
  <si>
    <t>1886-01-09</t>
  </si>
  <si>
    <t>1890-03-18</t>
  </si>
  <si>
    <t>1913-12-22</t>
  </si>
  <si>
    <t>1934-02-09</t>
  </si>
  <si>
    <t>1882-08-07</t>
  </si>
  <si>
    <t>1893-04-04</t>
  </si>
  <si>
    <t>1894-05-30</t>
  </si>
  <si>
    <t>1894-07-02</t>
  </si>
  <si>
    <t>1898-11-01</t>
  </si>
  <si>
    <t>1899-02-18</t>
  </si>
  <si>
    <t>1883-01-29</t>
  </si>
  <si>
    <t>1883-02-21</t>
  </si>
  <si>
    <t>1934-11-08</t>
  </si>
  <si>
    <t>1888-04-03</t>
  </si>
  <si>
    <t>1924-06-08</t>
  </si>
  <si>
    <t>1881-11-14</t>
  </si>
  <si>
    <t>1886-12-11</t>
  </si>
  <si>
    <t>1924-06-14</t>
  </si>
  <si>
    <t>1926-07-19</t>
  </si>
  <si>
    <t>1932-06-03</t>
  </si>
  <si>
    <t>1931-01-27</t>
  </si>
  <si>
    <t>1931-06-13</t>
  </si>
  <si>
    <t>1932-01-14</t>
  </si>
  <si>
    <t>1935-06-07</t>
  </si>
  <si>
    <t>1920-09-24</t>
  </si>
  <si>
    <t>1892-02-27</t>
  </si>
  <si>
    <t>1896-04-29</t>
  </si>
  <si>
    <t>1920-01-20</t>
  </si>
  <si>
    <t>1920-02-18</t>
  </si>
  <si>
    <t>1911-03-02</t>
  </si>
  <si>
    <t>1917-09-12</t>
  </si>
  <si>
    <t>1925-04-17</t>
  </si>
  <si>
    <t>1925-10-29</t>
  </si>
  <si>
    <t>1932-12-18</t>
  </si>
  <si>
    <t>1940-06-16</t>
  </si>
  <si>
    <t>1912-01-14</t>
  </si>
  <si>
    <t>1922-01-15</t>
  </si>
  <si>
    <t>1924-03-29</t>
  </si>
  <si>
    <t>1926-07-23</t>
  </si>
  <si>
    <t>1928-11-11</t>
  </si>
  <si>
    <t>1940-03-21</t>
  </si>
  <si>
    <t>1892-12-06</t>
  </si>
  <si>
    <t>1893-01-11</t>
  </si>
  <si>
    <t>1895-01-26</t>
  </si>
  <si>
    <t>1914-06-09</t>
  </si>
  <si>
    <t>1917-03-20</t>
  </si>
  <si>
    <t>1887-05-31</t>
  </si>
  <si>
    <t>1905-01-24</t>
  </si>
  <si>
    <t>1906-02-18</t>
  </si>
  <si>
    <t>1933-10-26</t>
  </si>
  <si>
    <t>1936-01-24</t>
  </si>
  <si>
    <t>1906-03-14</t>
  </si>
  <si>
    <t>1930-12-13</t>
  </si>
  <si>
    <t>1929-11-03</t>
  </si>
  <si>
    <t>1930-03-02</t>
  </si>
  <si>
    <t>1932-02-20</t>
  </si>
  <si>
    <t>1887-12-11</t>
  </si>
  <si>
    <t>1889-02-23</t>
  </si>
  <si>
    <t>1914-06-13</t>
  </si>
  <si>
    <t>1914-08-26</t>
  </si>
  <si>
    <t>1899-06-22</t>
  </si>
  <si>
    <t>1875-12-09</t>
  </si>
  <si>
    <t>1876-01-27</t>
  </si>
  <si>
    <t>1879-01-05</t>
  </si>
  <si>
    <t>1882-01-08</t>
  </si>
  <si>
    <t>1885-01-25</t>
  </si>
  <si>
    <t>1888-01-05</t>
  </si>
  <si>
    <t>1891-01-04</t>
  </si>
  <si>
    <t>1894-01-07</t>
  </si>
  <si>
    <t>1897-01-03</t>
  </si>
  <si>
    <t>1900-01-31</t>
  </si>
  <si>
    <t>1903-01-04</t>
  </si>
  <si>
    <t>1906-01-07</t>
  </si>
  <si>
    <t>1909-01-03</t>
  </si>
  <si>
    <t>1912-01-07</t>
  </si>
  <si>
    <t>1920-01-11</t>
  </si>
  <si>
    <t>1921-01-09</t>
  </si>
  <si>
    <t>1924-01-06</t>
  </si>
  <si>
    <t>1927-01-09</t>
  </si>
  <si>
    <t>1929-10-20</t>
  </si>
  <si>
    <t>1932-10-16</t>
  </si>
  <si>
    <t>1935-10-20</t>
  </si>
  <si>
    <t>1938-10-23</t>
  </si>
  <si>
    <t>1914-05-31</t>
  </si>
  <si>
    <t>1919-12-07</t>
  </si>
  <si>
    <t>1924-05-31</t>
  </si>
  <si>
    <t>1928-05-31</t>
  </si>
  <si>
    <t>1932-05-31</t>
  </si>
  <si>
    <t>1936-05-31</t>
  </si>
  <si>
    <t>1885-11-09</t>
  </si>
  <si>
    <t>1889-11-11</t>
  </si>
  <si>
    <t>1893-10-14</t>
  </si>
  <si>
    <t>1898-05-31</t>
  </si>
  <si>
    <t>1902-05-31</t>
  </si>
  <si>
    <t>1906-05-31</t>
  </si>
  <si>
    <t>1910-05-31</t>
  </si>
  <si>
    <t>1913-12-02</t>
  </si>
  <si>
    <t>1937-06-21</t>
  </si>
  <si>
    <t>1938-04-08</t>
  </si>
  <si>
    <t>1896-04-23</t>
  </si>
  <si>
    <t>1910-11-03</t>
  </si>
  <si>
    <t>1926-07-17</t>
  </si>
  <si>
    <t>1929-10-22</t>
  </si>
  <si>
    <t>1911-02-27</t>
  </si>
  <si>
    <t>1922-01-12</t>
  </si>
  <si>
    <t>1926-03-06</t>
  </si>
  <si>
    <t>1926-06-15</t>
  </si>
  <si>
    <t>1885-12-29</t>
  </si>
  <si>
    <t>1898-10-26</t>
  </si>
  <si>
    <t>1894-05-22</t>
  </si>
  <si>
    <t>1930-02-25</t>
  </si>
  <si>
    <t>1934-01-27</t>
  </si>
  <si>
    <t>1938-01-14</t>
  </si>
  <si>
    <t>1938-03-10</t>
  </si>
  <si>
    <t>1909-07-20</t>
  </si>
  <si>
    <t>1920-01-18</t>
  </si>
  <si>
    <t>1905-01-18</t>
  </si>
  <si>
    <t>1933-10-24</t>
  </si>
  <si>
    <t>1934-02-07</t>
  </si>
  <si>
    <t>1940-03-20</t>
  </si>
  <si>
    <t>1882-07-29</t>
  </si>
  <si>
    <t>1886-12-05</t>
  </si>
  <si>
    <t>1892-02-20</t>
  </si>
  <si>
    <t>1914-06-02</t>
  </si>
  <si>
    <t>1883-01-28</t>
  </si>
  <si>
    <t>1893-11-26</t>
  </si>
  <si>
    <t>1894-06-30</t>
  </si>
  <si>
    <t>1895-01-18</t>
  </si>
  <si>
    <t>1899-06-12</t>
  </si>
  <si>
    <t>1883-02-17</t>
  </si>
  <si>
    <t>1885-03-30</t>
  </si>
  <si>
    <t>1935-05-31</t>
  </si>
  <si>
    <t>1889-02-14</t>
  </si>
  <si>
    <t>1924-06-10</t>
  </si>
  <si>
    <t>1882-01-26</t>
  </si>
  <si>
    <t>1887-05-19</t>
  </si>
  <si>
    <t>1925-04-10</t>
  </si>
  <si>
    <t>1926-07-21</t>
  </si>
  <si>
    <t>1932-12-14</t>
  </si>
  <si>
    <t>1932-01-12</t>
  </si>
  <si>
    <t>1932-02-06</t>
  </si>
  <si>
    <t>1936-01-22</t>
  </si>
  <si>
    <t>1921-01-07</t>
  </si>
  <si>
    <t>1892-11-28</t>
  </si>
  <si>
    <t>1920-09-23</t>
  </si>
  <si>
    <t>1911-06-23</t>
  </si>
  <si>
    <t>1917-11-13</t>
  </si>
  <si>
    <t>1925-10-27</t>
  </si>
  <si>
    <t>1925-11-22</t>
  </si>
  <si>
    <t>1933-01-28</t>
  </si>
  <si>
    <t>1940-07-10</t>
  </si>
  <si>
    <t>1928-11-06</t>
  </si>
  <si>
    <t>1929-07-26</t>
  </si>
  <si>
    <t>1893-03-31</t>
  </si>
  <si>
    <t>1895-10-28</t>
  </si>
  <si>
    <t>1914-06-12</t>
  </si>
  <si>
    <t>1917-09-07</t>
  </si>
  <si>
    <t>1887-12-04</t>
  </si>
  <si>
    <t>1906-03-07</t>
  </si>
  <si>
    <t>1933-11-23</t>
  </si>
  <si>
    <t>1906-10-20</t>
  </si>
  <si>
    <t>1931-01-22</t>
  </si>
  <si>
    <t>1930-02-17</t>
  </si>
  <si>
    <t>1930-12-04</t>
  </si>
  <si>
    <t>1888-03-30</t>
  </si>
  <si>
    <t>1890-03-14</t>
  </si>
  <si>
    <t>1915-10-28</t>
  </si>
  <si>
    <t>1902-06-03</t>
  </si>
  <si>
    <t>adriani_1862-10-02</t>
  </si>
  <si>
    <t>ajam_1861-06-11</t>
  </si>
  <si>
    <t>adigard_1859-07-20</t>
  </si>
  <si>
    <t>alasseur_1843-09-18</t>
  </si>
  <si>
    <t>albert-poulain_1866-06-18</t>
  </si>
  <si>
    <t>aldy_1853-07-17</t>
  </si>
  <si>
    <t>brard mathurin dit_1876-07-23</t>
  </si>
  <si>
    <t>andrieu_1862-12-20</t>
  </si>
  <si>
    <t>archambeaud_1868-03-17</t>
  </si>
  <si>
    <t>armez_1838-08-19</t>
  </si>
  <si>
    <t>augagneur_1855-05-16</t>
  </si>
  <si>
    <t>aynard_1837-01-01</t>
  </si>
  <si>
    <t>baduel_1859-06-08</t>
  </si>
  <si>
    <t>balitrand_1864-08-09</t>
  </si>
  <si>
    <t>bois_1848-04-29</t>
  </si>
  <si>
    <t>bar_1853-04-28</t>
  </si>
  <si>
    <t>barrès_1862-09-22</t>
  </si>
  <si>
    <t>barthe_1882-05-26</t>
  </si>
  <si>
    <t>barthou_1862-08-25</t>
  </si>
  <si>
    <t>basly_1854-03-29</t>
  </si>
  <si>
    <t>baudet_1852-01-16</t>
  </si>
  <si>
    <t>baudet_1857-01-09</t>
  </si>
  <si>
    <t>d'asson_1836-06-15</t>
  </si>
  <si>
    <t>beauquier_1833-12-18</t>
  </si>
  <si>
    <t>beauregard_1853-10-13</t>
  </si>
  <si>
    <t>becays_1870-09-14</t>
  </si>
  <si>
    <t>bénazet_1876-02-24</t>
  </si>
  <si>
    <t>bender_1871-09-06</t>
  </si>
  <si>
    <t>bérard_1876-01-06</t>
  </si>
  <si>
    <t>berlié_1850-05-03</t>
  </si>
  <si>
    <t>berry_1855-03-08</t>
  </si>
  <si>
    <t>berteaux_1852-06-03</t>
  </si>
  <si>
    <t>betoulle_1871-10-25</t>
  </si>
  <si>
    <t>bienaimé_1843-02-26</t>
  </si>
  <si>
    <t>bignon_1858-04-14</t>
  </si>
  <si>
    <t>binder_1857-03-21</t>
  </si>
  <si>
    <t>binet_1880-05-04</t>
  </si>
  <si>
    <t>d'aulps_1853-05-27</t>
  </si>
  <si>
    <t>blanc_1848-07-23</t>
  </si>
  <si>
    <t>blanchard_1852-01-10</t>
  </si>
  <si>
    <t>bluysen_1861-04-10</t>
  </si>
  <si>
    <t>boissel_1840-01-14</t>
  </si>
  <si>
    <t>boissel-dombreval_1864-04-10</t>
  </si>
  <si>
    <t>bollet_1851-10-02</t>
  </si>
  <si>
    <t>bonnevay_1870-07-18</t>
  </si>
  <si>
    <t>borderie_1861-08-21</t>
  </si>
  <si>
    <t>borrel_1878-11-22</t>
  </si>
  <si>
    <t>bouctot_1855-06-29</t>
  </si>
  <si>
    <t>bouffandeau_1855-04-21</t>
  </si>
  <si>
    <t>bouge_1853-06-23</t>
  </si>
  <si>
    <t>bougère_1868-07-26</t>
  </si>
  <si>
    <t>bougère_1864-12-14</t>
  </si>
  <si>
    <t>bourely_1867-12-08</t>
  </si>
  <si>
    <t>boury_1857-10-14</t>
  </si>
  <si>
    <t>boutaud_1866-03-19</t>
  </si>
  <si>
    <t>bouveri_1865-07-18</t>
  </si>
  <si>
    <t>bouyssou_1872-12-02</t>
  </si>
  <si>
    <t>bozonet_1852-01-10</t>
  </si>
  <si>
    <t>breton_1872-04-01</t>
  </si>
  <si>
    <t>briand_1862-03-28</t>
  </si>
  <si>
    <t>brice_1839-06-23</t>
  </si>
  <si>
    <t>brizon_1878-05-16</t>
  </si>
  <si>
    <t>broussais_1855-06-20</t>
  </si>
  <si>
    <t>brousse_1866-08-23</t>
  </si>
  <si>
    <t>bussat_1863-08-30</t>
  </si>
  <si>
    <t>cadenat_1853-01-02</t>
  </si>
  <si>
    <t>caillaux_1863-03-30</t>
  </si>
  <si>
    <t>camuzet_1867-06-10</t>
  </si>
  <si>
    <t>carnot_1872-02-22</t>
  </si>
  <si>
    <t>cazauvieilh_1859-07-26</t>
  </si>
  <si>
    <t>cazes_1861-07-03</t>
  </si>
  <si>
    <t>de chambrun_1865-06-11</t>
  </si>
  <si>
    <t>chamerlat_1841-11-28</t>
  </si>
  <si>
    <t>chanoz_1863-03-31</t>
  </si>
  <si>
    <t>chapuis_1851-01-12</t>
  </si>
  <si>
    <t>chassaing_1876-07-07</t>
  </si>
  <si>
    <t>chastenet de castaing_1858-07-05</t>
  </si>
  <si>
    <t>chaulet_1858-06-28</t>
  </si>
  <si>
    <t>chaulin-servinière_1884-12-08</t>
  </si>
  <si>
    <t>chaumet_1866-02-21</t>
  </si>
  <si>
    <t>chautemps_1860-10-18</t>
  </si>
  <si>
    <t>chautemps_1877-08-14</t>
  </si>
  <si>
    <t>chéron_1867-05-11</t>
  </si>
  <si>
    <t>cibiel_1841-05-11</t>
  </si>
  <si>
    <t>clament_1851-02-17</t>
  </si>
  <si>
    <t>clémentel_1864-03-29</t>
  </si>
  <si>
    <t>cloarec_1858-01-06</t>
  </si>
  <si>
    <t>coache_1857-05-08</t>
  </si>
  <si>
    <t>cochery_1855-03-20</t>
  </si>
  <si>
    <t>cochin_1851-09-01</t>
  </si>
  <si>
    <t>cochin_1854-01-31</t>
  </si>
  <si>
    <t>colin_1859-01-19</t>
  </si>
  <si>
    <t>combrouze_1865-06-07</t>
  </si>
  <si>
    <t>compère-morel_1872-10-05</t>
  </si>
  <si>
    <t>constant_1861-07-20</t>
  </si>
  <si>
    <t>cornudet des chaumettes_1861-03-21</t>
  </si>
  <si>
    <t>cosnier_1869-07-14</t>
  </si>
  <si>
    <t>couesnon_1850-11-07</t>
  </si>
  <si>
    <t>coutant-d'ivry_1854-05-21</t>
  </si>
  <si>
    <t>crépel_1856-04-16</t>
  </si>
  <si>
    <t>cruppi_1855-05-22</t>
  </si>
  <si>
    <t>cuny_1872-11-19</t>
  </si>
  <si>
    <t>cuttoli_1864-05-28</t>
  </si>
  <si>
    <t>dalimier_1875-02-20</t>
  </si>
  <si>
    <t>dansette_1857-09-17</t>
  </si>
  <si>
    <t>dariac_1868-06-14</t>
  </si>
  <si>
    <t>david_1869-10-18</t>
  </si>
  <si>
    <t>david_1873-11-05</t>
  </si>
  <si>
    <t>defontaine_1858-08-12</t>
  </si>
  <si>
    <t>dejeante_1850-12-28</t>
  </si>
  <si>
    <t>delachenal_1881-08-12</t>
  </si>
  <si>
    <t>delafosse_1841-03-02</t>
  </si>
  <si>
    <t>delahaye_1851-05-05</t>
  </si>
  <si>
    <t>thiérry-delanoue_1843-03-17</t>
  </si>
  <si>
    <t>delcassé_1852-03-01</t>
  </si>
  <si>
    <t>deléglise_1856-06-11</t>
  </si>
  <si>
    <t>delelis-fanien_1843-03-30</t>
  </si>
  <si>
    <t>delmas_1853-07-27</t>
  </si>
  <si>
    <t>demellier_1862-04-07</t>
  </si>
  <si>
    <t>deschanel_1855-02-13</t>
  </si>
  <si>
    <t>charles dessoye_1854-08-23</t>
  </si>
  <si>
    <t>devins_1850-12-28</t>
  </si>
  <si>
    <t>de dion_1856-03-09</t>
  </si>
  <si>
    <t>dior_1867-07-04</t>
  </si>
  <si>
    <t>disleau_1853-03-30</t>
  </si>
  <si>
    <t>doizy_1869-01-03</t>
  </si>
  <si>
    <t>donadeï_1875-06-13</t>
  </si>
  <si>
    <t>drelon_1861-03-15</t>
  </si>
  <si>
    <t>driant_1855-09-11</t>
  </si>
  <si>
    <t>dujardin-beaumetz_1852-09-20</t>
  </si>
  <si>
    <t>dulau_1857-07-26</t>
  </si>
  <si>
    <t>dumesnil_1882-03-15</t>
  </si>
  <si>
    <t>dumont_1845-08-17</t>
  </si>
  <si>
    <t>dupuy_1876-06-21</t>
  </si>
  <si>
    <t>durand_1865-01-08</t>
  </si>
  <si>
    <t>durand_1849-05-08</t>
  </si>
  <si>
    <t>dusevel_1881-04-11</t>
  </si>
  <si>
    <t>dutreil_1875-07-13</t>
  </si>
  <si>
    <t>jaurgain_1871-05-08</t>
  </si>
  <si>
    <t>engerand_1867-04-15</t>
  </si>
  <si>
    <t>escudier_1858-03-15</t>
  </si>
  <si>
    <t>étienne_1844-12-15</t>
  </si>
  <si>
    <t>fabre_1851-11-29</t>
  </si>
  <si>
    <t>failliot_1851-10-26</t>
  </si>
  <si>
    <t>faure_1873-02-16</t>
  </si>
  <si>
    <t>favre_1869-02-27</t>
  </si>
  <si>
    <t>fayssat_1855-12-08</t>
  </si>
  <si>
    <t>ferry_1881-05-26</t>
  </si>
  <si>
    <t>fitte_1845-04-30</t>
  </si>
  <si>
    <t>flandin_1868-06-19</t>
  </si>
  <si>
    <t>flayelle_1857-04-25</t>
  </si>
  <si>
    <t>fleury-ravarin_1861-04-24</t>
  </si>
  <si>
    <t>bimorel_1842-01-05</t>
  </si>
  <si>
    <t>forest_1852-09-13</t>
  </si>
  <si>
    <t>foucher_1862-02-05</t>
  </si>
  <si>
    <t>fougère_1882-06-04</t>
  </si>
  <si>
    <t>fouquet_1841-01-13</t>
  </si>
  <si>
    <t>fournier-sarlovèze_1869-01-14</t>
  </si>
  <si>
    <t>gaffier_1861-10-17</t>
  </si>
  <si>
    <t>galpin_1841-01-09</t>
  </si>
  <si>
    <t>ganault_1868-03-12</t>
  </si>
  <si>
    <t>garat_1872-12-31</t>
  </si>
  <si>
    <t>gasparin_1868-02-18</t>
  </si>
  <si>
    <t>gayraud_1856-08-13</t>
  </si>
  <si>
    <t>gérard_1853-10-04</t>
  </si>
  <si>
    <t>gérault-richard_1860-10-11</t>
  </si>
  <si>
    <t>gheusi_1870-01-06</t>
  </si>
  <si>
    <t>ginoux-defermon_1868-02-24</t>
  </si>
  <si>
    <t>gioux_1863-08-18</t>
  </si>
  <si>
    <t>girod_1872-08-13</t>
  </si>
  <si>
    <t>goniaux_1872-06-10</t>
  </si>
  <si>
    <t>goujon_1875-08-31</t>
  </si>
  <si>
    <t>gourd_1850-09-07</t>
  </si>
  <si>
    <t>grandjean_1874-10-24</t>
  </si>
  <si>
    <t>de grandmaison_1865-05-14</t>
  </si>
  <si>
    <t>grodet_1853-05-04</t>
  </si>
  <si>
    <t>grosdidier_1846-01-14</t>
  </si>
  <si>
    <t>groussau_1851-06-17</t>
  </si>
  <si>
    <t>guernier_1870-04-26</t>
  </si>
  <si>
    <t>guesde_1845-11-11</t>
  </si>
  <si>
    <t>guichenné_1845-09-07</t>
  </si>
  <si>
    <t>guist'hau_1863-09-22</t>
  </si>
  <si>
    <t>haguenin_1849-04-13</t>
  </si>
  <si>
    <t>poulpiquet_1847-12-11</t>
  </si>
  <si>
    <t>haudos_1870-09-25</t>
  </si>
  <si>
    <t>hauet_1867-08-05</t>
  </si>
  <si>
    <t>hémon_1844-02-25</t>
  </si>
  <si>
    <t>hennessy_1867-07-26</t>
  </si>
  <si>
    <t>hennessy_1874-04-26</t>
  </si>
  <si>
    <t>hercé_1861-05-01</t>
  </si>
  <si>
    <t>heuzé_1873-06-01</t>
  </si>
  <si>
    <t>heuzey_1875-03-05</t>
  </si>
  <si>
    <t>honnorat_1868-12-10</t>
  </si>
  <si>
    <t>hubert_1868-08-27</t>
  </si>
  <si>
    <t>d'etchepare_1859-07-24</t>
  </si>
  <si>
    <t>jacquier_1879-03-26</t>
  </si>
  <si>
    <t>jaurès_1859-09-03</t>
  </si>
  <si>
    <t>javal_1871-10-11</t>
  </si>
  <si>
    <t>jonnart_1857-12-27</t>
  </si>
  <si>
    <t>jouancoux_1856-05-21</t>
  </si>
  <si>
    <t>judet_1871-04-30</t>
  </si>
  <si>
    <t>de kerguezec_1868-05-18</t>
  </si>
  <si>
    <t>klotz_1868-01-11</t>
  </si>
  <si>
    <t>l'estourbeillon_1858-02-10</t>
  </si>
  <si>
    <t>lhopiteau_1860-04-26</t>
  </si>
  <si>
    <t>de la batut_1854-05-09</t>
  </si>
  <si>
    <t>ferronnays_1876-04-08</t>
  </si>
  <si>
    <t>porte_1880-06-17</t>
  </si>
  <si>
    <t>trémoïlle_1863-03-28</t>
  </si>
  <si>
    <t>lachaud_1857-06-07</t>
  </si>
  <si>
    <t>lacombe_1870-06-19</t>
  </si>
  <si>
    <t>lagrosillière_1872-11-02</t>
  </si>
  <si>
    <t>lairolle_1851-04-25</t>
  </si>
  <si>
    <t>lamendin_1852-03-02</t>
  </si>
  <si>
    <t>lamy_1867-11-08</t>
  </si>
  <si>
    <t>laniel_1857-01-09</t>
  </si>
  <si>
    <t>lanjuinais_1834-07-24</t>
  </si>
  <si>
    <t>montebello_1851-08-09</t>
  </si>
  <si>
    <t>laroche_1848-01-26</t>
  </si>
  <si>
    <t>lorimy_1850-01-15</t>
  </si>
  <si>
    <t>ludre_1870-08-11</t>
  </si>
  <si>
    <t>feuchin_1868-08-28</t>
  </si>
  <si>
    <t>mackau_1832-11-29</t>
  </si>
  <si>
    <t>maginot_1877-02-17</t>
  </si>
  <si>
    <t>mahieu_1860-01-17</t>
  </si>
  <si>
    <t>maison_1847-10-31</t>
  </si>
  <si>
    <t>malavialle_1860-07-29</t>
  </si>
  <si>
    <t>malvy_1875-12-01</t>
  </si>
  <si>
    <t>mando_1855-08-23</t>
  </si>
  <si>
    <t>margaine_1870-01-18</t>
  </si>
  <si>
    <t>marin_1871-02-07</t>
  </si>
  <si>
    <t>marrou_1862-05-07</t>
  </si>
  <si>
    <t>massabuau_1862-07-27</t>
  </si>
  <si>
    <t>mathis_1866-04-22</t>
  </si>
  <si>
    <t>maunoury_1863-10-16</t>
  </si>
  <si>
    <t>méquillet_1861-06-03</t>
  </si>
  <si>
    <t>métin_1871-01-28</t>
  </si>
  <si>
    <t>meunier_1871-02-18</t>
  </si>
  <si>
    <t>millevoye_1850-08-01</t>
  </si>
  <si>
    <t>milliaux_1861-07-10</t>
  </si>
  <si>
    <t>monestier_1855-11-23</t>
  </si>
  <si>
    <t>mons_1858-03-27</t>
  </si>
  <si>
    <t>montaigu_1877-11-27</t>
  </si>
  <si>
    <t>montjou_1856-12-17</t>
  </si>
  <si>
    <t>de monzie_1876-11-22</t>
  </si>
  <si>
    <t>morel jean-baptiste dit_1854-10-10</t>
  </si>
  <si>
    <t>morel_1869-09-20</t>
  </si>
  <si>
    <t>de moustier_1850-02-16</t>
  </si>
  <si>
    <t>mun_1841-02-28</t>
  </si>
  <si>
    <t>muteau_1850-03-01</t>
  </si>
  <si>
    <t>néron_1867-02-15</t>
  </si>
  <si>
    <t>nicolle_1836-08-02</t>
  </si>
  <si>
    <t>noël_1863-04-08</t>
  </si>
  <si>
    <t>noguès_1858-03-03</t>
  </si>
  <si>
    <t>noulens_1864-03-29</t>
  </si>
  <si>
    <t>pain_1866-09-22</t>
  </si>
  <si>
    <t>pâris_1860-01-19</t>
  </si>
  <si>
    <t>passy_1830-12-04</t>
  </si>
  <si>
    <t>paul-boncour_1873-08-04</t>
  </si>
  <si>
    <t>pélisse_1874-02-04</t>
  </si>
  <si>
    <t>pelletan_1846-06-23</t>
  </si>
  <si>
    <t>péret_1870-11-29</t>
  </si>
  <si>
    <t>périer_1851-01-15</t>
  </si>
  <si>
    <t>perier_1847-08-24</t>
  </si>
  <si>
    <t>perrissoud_1879-12-23</t>
  </si>
  <si>
    <t>pichery_1863-06-14</t>
  </si>
  <si>
    <t>pierangeli_1875-01-23</t>
  </si>
  <si>
    <t>piou_1838-08-06</t>
  </si>
  <si>
    <t>plichon_1863-06-14</t>
  </si>
  <si>
    <t>plissonnier_1847-04-12</t>
  </si>
  <si>
    <t>plouzané_1859-12-27</t>
  </si>
  <si>
    <t>roblin_1877-07-22</t>
  </si>
  <si>
    <t>roch_1844-03-10</t>
  </si>
  <si>
    <t>roche_1841-05-22</t>
  </si>
  <si>
    <t>roden_1852-07-11</t>
  </si>
  <si>
    <t>rognon_1869-09-17</t>
  </si>
  <si>
    <t>léon_1844-12-01</t>
  </si>
  <si>
    <t>roret_1833-02-04</t>
  </si>
  <si>
    <t>rouger_1875-10-06</t>
  </si>
  <si>
    <t>rougier_1855-06-27</t>
  </si>
  <si>
    <t>roulleaux-dugage_1879-02-25</t>
  </si>
  <si>
    <t>rozier_1870-05-17</t>
  </si>
  <si>
    <t>ruau_1865-06-05</t>
  </si>
  <si>
    <t>samalens_1865-11-07</t>
  </si>
  <si>
    <t>sarraut_1872-07-28</t>
  </si>
  <si>
    <t>saumande_1851-01-21</t>
  </si>
  <si>
    <t>sauzède_1844-07-19</t>
  </si>
  <si>
    <t>sauzet_1852-02-18</t>
  </si>
  <si>
    <t>beauregard_1862-10-11</t>
  </si>
  <si>
    <t>schneider_1851-05-19</t>
  </si>
  <si>
    <t>second_1865-06-15</t>
  </si>
  <si>
    <t>selle_1854-05-10</t>
  </si>
  <si>
    <t>sembat_1862-10-19</t>
  </si>
  <si>
    <t>de pomereu_1860-02-06</t>
  </si>
  <si>
    <t>ponsot_1876-10-26</t>
  </si>
  <si>
    <t>morandière_1870-04-09</t>
  </si>
  <si>
    <t>poullan_1857-04-27</t>
  </si>
  <si>
    <t>pradet-balade_1863-02-06</t>
  </si>
  <si>
    <t>puech_1852-05-01</t>
  </si>
  <si>
    <t>pugliesi-conti_1861-07-06</t>
  </si>
  <si>
    <t>quesnel_1868-03-25</t>
  </si>
  <si>
    <t>quilbeuf_1854-04-15</t>
  </si>
  <si>
    <t>rabier_1855-07-23</t>
  </si>
  <si>
    <t>ragally_1859-05-12</t>
  </si>
  <si>
    <t>raiberti_1862-04-13</t>
  </si>
  <si>
    <t>rauline_1861-07-18</t>
  </si>
  <si>
    <t>raynaud_1860-11-05</t>
  </si>
  <si>
    <t>razimbaud_1873-06-14</t>
  </si>
  <si>
    <t>reille-soult-dalmatie_1873-03-25</t>
  </si>
  <si>
    <t>reinach_1860-07-03</t>
  </si>
  <si>
    <t>renoult_1867-08-29</t>
  </si>
  <si>
    <t>réville_1863-06-19</t>
  </si>
  <si>
    <t>ribière_1860-09-19</t>
  </si>
  <si>
    <t>sévère_1867-11-01</t>
  </si>
  <si>
    <t>seydoux_1866-10-25</t>
  </si>
  <si>
    <t>sibille_1847-05-21</t>
  </si>
  <si>
    <t>simonet_1858-05-17</t>
  </si>
  <si>
    <t>simyan_1850-04-15</t>
  </si>
  <si>
    <t>sireyjol_1861-01-27</t>
  </si>
  <si>
    <t>spronck_1861-02-18</t>
  </si>
  <si>
    <t>steeg_1868-12-19</t>
  </si>
  <si>
    <t>surcouf_1868-10-30</t>
  </si>
  <si>
    <t>tarrade_1855-04-18</t>
  </si>
  <si>
    <t>thierry_1857-03-20</t>
  </si>
  <si>
    <t>thomson_1848-01-29</t>
  </si>
  <si>
    <t>treignier_1853-11-08</t>
  </si>
  <si>
    <t>trouin_1866-11-15</t>
  </si>
  <si>
    <t>trouvé_1867-06-19</t>
  </si>
  <si>
    <t>turmel_1866-02-19</t>
  </si>
  <si>
    <t>viollette_1870-09-03</t>
  </si>
  <si>
    <t>verlot_1876-02-21</t>
  </si>
  <si>
    <t>villault-duchesnois_1870-08-28</t>
  </si>
  <si>
    <t>voilin_1870-09-01</t>
  </si>
  <si>
    <t>viviani_1863-11-08</t>
  </si>
  <si>
    <t>vaillant_1840-01-29</t>
  </si>
  <si>
    <t>vigne_1867-04-14</t>
  </si>
  <si>
    <t>villiers_1851-07-31</t>
  </si>
  <si>
    <t>villebois-mareuil_1852-08-10</t>
  </si>
  <si>
    <t>willm_1868-11-24</t>
  </si>
  <si>
    <t>veillat_1862-06-01</t>
  </si>
  <si>
    <t>lauraine_1864-10-03</t>
  </si>
  <si>
    <t>laurent_1857-02-04</t>
  </si>
  <si>
    <t>de lavrignais_1850-07-15</t>
  </si>
  <si>
    <t>bail_1857-06-15</t>
  </si>
  <si>
    <t>boucq_1868-06-08</t>
  </si>
  <si>
    <t>le cherpy_1874-10-10</t>
  </si>
  <si>
    <t>traissan_1839-02-24</t>
  </si>
  <si>
    <t>hérissé_1857-12-14</t>
  </si>
  <si>
    <t>louédec_1856-06-01</t>
  </si>
  <si>
    <t>rouzic_1863-08-16</t>
  </si>
  <si>
    <t>troadec_1860-04-28</t>
  </si>
  <si>
    <t>leblond_1856-02-29</t>
  </si>
  <si>
    <t>lebrun_1871-08-29</t>
  </si>
  <si>
    <t>lecointe_1867-04-14</t>
  </si>
  <si>
    <t>lefas_1871-09-20</t>
  </si>
  <si>
    <t>lefébure_1860-09-20</t>
  </si>
  <si>
    <t>lefèvre_1870-11-27</t>
  </si>
  <si>
    <t>lefèvre_1869-06-17</t>
  </si>
  <si>
    <t>legendre_1861-01-15</t>
  </si>
  <si>
    <t>legitimus_1868-04-08</t>
  </si>
  <si>
    <t>legrand_1833-10-28</t>
  </si>
  <si>
    <t>lerolle_1846-04-03</t>
  </si>
  <si>
    <t>leroy_1855-03-22</t>
  </si>
  <si>
    <t>leygues_1857-10-26</t>
  </si>
  <si>
    <t>limon_1841-04-07</t>
  </si>
  <si>
    <t>amiard_1872-04-04</t>
  </si>
  <si>
    <t>hesse_1874-04-22</t>
  </si>
  <si>
    <t>andrieux_1840-07-24</t>
  </si>
  <si>
    <t>arbel_1855-08-16</t>
  </si>
  <si>
    <t>d'argenson_1877-03-09</t>
  </si>
  <si>
    <t>astier_1856-02-23</t>
  </si>
  <si>
    <t>aubriot_1873-07-30</t>
  </si>
  <si>
    <t>auriol_1880-05-08</t>
  </si>
  <si>
    <t>babaud-lacroze_1846-11-29</t>
  </si>
  <si>
    <t>bachimont_1844-10-10</t>
  </si>
  <si>
    <t>balesi_1850-09-21</t>
  </si>
  <si>
    <t>ballande_1857-09-22</t>
  </si>
  <si>
    <t>bedouce_1869-01-08</t>
  </si>
  <si>
    <t>charles-benoist_1861-01-31</t>
  </si>
  <si>
    <t>berniolle_1855-05-14</t>
  </si>
  <si>
    <t>bertrand_1847-10-09</t>
  </si>
  <si>
    <t>besnard_1879-04-12</t>
  </si>
  <si>
    <t>bonnefous_1867-11-30</t>
  </si>
  <si>
    <t>bonniard_1855-04-03</t>
  </si>
  <si>
    <t>boret_1872-08-18</t>
  </si>
  <si>
    <t>bories_1852-02-15</t>
  </si>
  <si>
    <t>bory_1844-07-08</t>
  </si>
  <si>
    <t>boudoint_1860-01-16</t>
  </si>
  <si>
    <t>bougues_1876-08-20</t>
  </si>
  <si>
    <t>bouhey-allex_1855-02-03</t>
  </si>
  <si>
    <t>bouisson_1874-06-16</t>
  </si>
  <si>
    <t>bourguet_1876-05-22</t>
  </si>
  <si>
    <t>bouttié_1844-11-03</t>
  </si>
  <si>
    <t>bouvier_1854-09-01</t>
  </si>
  <si>
    <t>braibant_1863-09-16</t>
  </si>
  <si>
    <t>brenier_1876-04-23</t>
  </si>
  <si>
    <t>brindeau_1856-12-21</t>
  </si>
  <si>
    <t>briquet_1875-11-04</t>
  </si>
  <si>
    <t>brisson_1835-07-31</t>
  </si>
  <si>
    <t>brun_1867-10-02</t>
  </si>
  <si>
    <t>brunet_1872-04-29</t>
  </si>
  <si>
    <t>buisson_1841-12-20</t>
  </si>
  <si>
    <t>bureau_1876-01-31</t>
  </si>
  <si>
    <t>cabrol_1871-06-08</t>
  </si>
  <si>
    <t>camelle_1863-08-31</t>
  </si>
  <si>
    <t>carpot_1862-05-11</t>
  </si>
  <si>
    <t>cassadou_1854-06-04</t>
  </si>
  <si>
    <t>castelin_1858-07-05</t>
  </si>
  <si>
    <t>ceccaldi_1876-12-25</t>
  </si>
  <si>
    <t>cels-couybes_1865-11-18</t>
  </si>
  <si>
    <t>chanal jean dit eugène_1868-07-28</t>
  </si>
  <si>
    <t>chanot_1855-09-13</t>
  </si>
  <si>
    <t>de chappedelaine_1876-06-21</t>
  </si>
  <si>
    <t>chaussier_1835-06-07</t>
  </si>
  <si>
    <t>chauvière_1850-08-13</t>
  </si>
  <si>
    <t>chavet_1844-03-23</t>
  </si>
  <si>
    <t>chenal_1852-09-02</t>
  </si>
  <si>
    <t>chialvo_1853-05-28</t>
  </si>
  <si>
    <t>chopinet_1847-04-26</t>
  </si>
  <si>
    <t>colliard_1852-04-30</t>
  </si>
  <si>
    <t>colly_1858-02-10</t>
  </si>
  <si>
    <t>coreil_1863-11-12</t>
  </si>
  <si>
    <t>coureau_1849-03-26</t>
  </si>
  <si>
    <t>crolard_1861-04-30</t>
  </si>
  <si>
    <t>dalbiez_1876-06-23</t>
  </si>
  <si>
    <t>damour_1873-03-25</t>
  </si>
  <si>
    <t>daniélou_1878-07-13</t>
  </si>
  <si>
    <t>davaine_1862-05-26</t>
  </si>
  <si>
    <t>debaune_1840-10-29</t>
  </si>
  <si>
    <t>delaroche-vernet_1878-11-10</t>
  </si>
  <si>
    <t>delcluze_1857-01-18</t>
  </si>
  <si>
    <t>deloncle_1866-01-27</t>
  </si>
  <si>
    <t>delory_1857-09-10</t>
  </si>
  <si>
    <t>delpierre_1859-05-24</t>
  </si>
  <si>
    <t>depasse_1842-12-14</t>
  </si>
  <si>
    <t>derveloy_1855-01-16</t>
  </si>
  <si>
    <t>desjardins_1845-09-23</t>
  </si>
  <si>
    <t>desplas_1856-01-30</t>
  </si>
  <si>
    <t>devèze_1863-05-21</t>
  </si>
  <si>
    <t>doussaud_1871-06-16</t>
  </si>
  <si>
    <t>dreyt_1857-12-14</t>
  </si>
  <si>
    <t>drivet_1863-08-31</t>
  </si>
  <si>
    <t>dron_1856-10-21</t>
  </si>
  <si>
    <t>dubarle_1881-10-16</t>
  </si>
  <si>
    <t>dubled_1864-01-21</t>
  </si>
  <si>
    <t>dubois_1859-06-10</t>
  </si>
  <si>
    <t>dubuisson_1842-02-12</t>
  </si>
  <si>
    <t>ducarouge_1859-10-13</t>
  </si>
  <si>
    <t>duclaux-monteil_1848-07-30</t>
  </si>
  <si>
    <t>duffau_1853-02-24</t>
  </si>
  <si>
    <t>dufour_1850-01-02</t>
  </si>
  <si>
    <t>dufrèche_1864-01-13</t>
  </si>
  <si>
    <t>dumas_1883-07-21</t>
  </si>
  <si>
    <t>dumas_1873-11-18</t>
  </si>
  <si>
    <t>dumont_1867-08-31</t>
  </si>
  <si>
    <t>dunaime_1855-10-11</t>
  </si>
  <si>
    <t>dupuy_1878-06-28</t>
  </si>
  <si>
    <t>dupuy_1846-07-08</t>
  </si>
  <si>
    <t>durafour_1876-08-12</t>
  </si>
  <si>
    <t>even_1884-05-06</t>
  </si>
  <si>
    <t>fesq_1851-05-13</t>
  </si>
  <si>
    <t>forgemol de bostquenard_1851-11-20</t>
  </si>
  <si>
    <t>fourment_1869-05-04</t>
  </si>
  <si>
    <t>fournier_1866-08-14</t>
  </si>
  <si>
    <t>fournol_1871-06-16</t>
  </si>
  <si>
    <t>france_1876-12-08</t>
  </si>
  <si>
    <t>franklin-bouillon_1870-09-03</t>
  </si>
  <si>
    <t>frayssinet_1871-04-08</t>
  </si>
  <si>
    <t>gallois_1864-01-16</t>
  </si>
  <si>
    <t>gallot_1845-01-03</t>
  </si>
  <si>
    <t>ghesquière_1863-08-27</t>
  </si>
  <si>
    <t>gillette-arimondy_1846-10-16</t>
  </si>
  <si>
    <t>godart_1871-11-26</t>
  </si>
  <si>
    <t>de gontaut-biron_1851-06-29</t>
  </si>
  <si>
    <t>goude_1870-03-20</t>
  </si>
  <si>
    <t>groussier_1863-08-16</t>
  </si>
  <si>
    <t>guesnier_1856-11-30</t>
  </si>
  <si>
    <t>guichard_1866-06-13</t>
  </si>
  <si>
    <t>guiraud_1857-06-04</t>
  </si>
  <si>
    <t>guislain_1855-11-18</t>
  </si>
  <si>
    <t>héritier_1872-11-25</t>
  </si>
  <si>
    <t>hucher_1847-12-26</t>
  </si>
  <si>
    <t>janin_1864-05-23</t>
  </si>
  <si>
    <t>joly_1868-03-08</t>
  </si>
  <si>
    <t>jousselin_1869-05-15</t>
  </si>
  <si>
    <t>lacour_1864-07-14</t>
  </si>
  <si>
    <t>lafferre_1861-05-10</t>
  </si>
  <si>
    <t>laguerre_1858-06-24</t>
  </si>
  <si>
    <t>lamoureux_1854-09-17</t>
  </si>
  <si>
    <t>landry_1874-09-29</t>
  </si>
  <si>
    <t>de lanessan_1843-07-13</t>
  </si>
  <si>
    <t>larquier_1863-08-06</t>
  </si>
  <si>
    <t>lauche_1872-09-27</t>
  </si>
  <si>
    <t>loth_1858-12-02</t>
  </si>
  <si>
    <t>loup_1846-06-24</t>
  </si>
  <si>
    <t>loustalot_1861-01-04</t>
  </si>
  <si>
    <t>magniaudé_1851-02-21</t>
  </si>
  <si>
    <t>magniez_1876-04-14</t>
  </si>
  <si>
    <t>mairat_1865-06-13</t>
  </si>
  <si>
    <t>maître_1883-11-23</t>
  </si>
  <si>
    <t>manaut_1868-05-08</t>
  </si>
  <si>
    <t>manus_1867-08-11</t>
  </si>
  <si>
    <t>marietton_1860-08-27</t>
  </si>
  <si>
    <t>marquet_1851-11-15</t>
  </si>
  <si>
    <t>massé_1870-06-02</t>
  </si>
  <si>
    <t>mathis_1852-02-21</t>
  </si>
  <si>
    <t>mauger_1857-09-17</t>
  </si>
  <si>
    <t>ménard_1859-09-12</t>
  </si>
  <si>
    <t>meslier_1868-05-13</t>
  </si>
  <si>
    <t>messimy_1869-01-31</t>
  </si>
  <si>
    <t>mille_1854-07-30</t>
  </si>
  <si>
    <t>millerand_1859-02-10</t>
  </si>
  <si>
    <t>mistral_1872-09-19</t>
  </si>
  <si>
    <t>molle_1876-04-24</t>
  </si>
  <si>
    <t>monsservin_1864-05-08</t>
  </si>
  <si>
    <t>morel_1869-10-30</t>
  </si>
  <si>
    <t>morin_1851-10-21</t>
  </si>
  <si>
    <t>mouchel_1855-02-04</t>
  </si>
  <si>
    <t>myrens_1861-02-04</t>
  </si>
  <si>
    <t>nail_1864-09-27</t>
  </si>
  <si>
    <t>nectoux_1860-08-29</t>
  </si>
  <si>
    <t>nicolas_1844-10-25</t>
  </si>
  <si>
    <t>nouhaud_1855-02-20</t>
  </si>
  <si>
    <t>painlevé_1863-12-05</t>
  </si>
  <si>
    <t>pasqual_1869-02-04</t>
  </si>
  <si>
    <t>paté_1878-12-24</t>
  </si>
  <si>
    <t>patureau-mirand_1873-04-12</t>
  </si>
  <si>
    <t>paturet_1856-07-09</t>
  </si>
  <si>
    <t>péchadre_1862-08-23</t>
  </si>
  <si>
    <t>pédoya_1838-11-29</t>
  </si>
  <si>
    <t>perchot_1867-09-09</t>
  </si>
  <si>
    <t>perreau-pradier_1847-05-13</t>
  </si>
  <si>
    <t>perrier_1873-02-01</t>
  </si>
  <si>
    <t>picard_1872-08-21</t>
  </si>
  <si>
    <t>alphonse-rivière_1855-07-31</t>
  </si>
  <si>
    <t>roche_1850-10-29</t>
  </si>
  <si>
    <t>rouanet_1855-08-14</t>
  </si>
  <si>
    <t>roux-costadau_1875-04-23</t>
  </si>
  <si>
    <t>roy_1873-02-17</t>
  </si>
  <si>
    <t>rozet_1852-12-05</t>
  </si>
  <si>
    <t>sabin_1870-12-25</t>
  </si>
  <si>
    <t>sarrazin_1854-04-05</t>
  </si>
  <si>
    <t>schmidt_1874-07-06</t>
  </si>
  <si>
    <t>poitou-duplessy_1883-04-08</t>
  </si>
  <si>
    <t>potié_1863-09-03</t>
  </si>
  <si>
    <t>boisserin_1852-06-08</t>
  </si>
  <si>
    <t>ellen-prévot_1877-08-11</t>
  </si>
  <si>
    <t>pugliesi-conti_1863-06-21</t>
  </si>
  <si>
    <t>pujade_1854-03-17</t>
  </si>
  <si>
    <t>python_1883-12-15</t>
  </si>
  <si>
    <t>raffin-dugens_1861-12-03</t>
  </si>
  <si>
    <t>ramel_1847-03-27</t>
  </si>
  <si>
    <t>ravisa_1850-03-19</t>
  </si>
  <si>
    <t>reboul_1869-06-25</t>
  </si>
  <si>
    <t>reinach_1856-09-30</t>
  </si>
  <si>
    <t>renard_1861-06-14</t>
  </si>
  <si>
    <t>réveillaud_1851-01-30</t>
  </si>
  <si>
    <t>ringuier_1870-01-30</t>
  </si>
  <si>
    <t>siegfried_1837-02-12</t>
  </si>
  <si>
    <t>simon_1874-05-20</t>
  </si>
  <si>
    <t>simonet_1867-09-25</t>
  </si>
  <si>
    <t>sixte-quenin_1870-07-03</t>
  </si>
  <si>
    <t>soussial_1852-10-16</t>
  </si>
  <si>
    <t>tarbouriech_1865-04-18</t>
  </si>
  <si>
    <t>tavé_1856-08-01</t>
  </si>
  <si>
    <t>thalamas_1867-09-23</t>
  </si>
  <si>
    <t>theveny_1845-04-24</t>
  </si>
  <si>
    <t>thivrier_1871-04-17</t>
  </si>
  <si>
    <t>albert-thomas_1878-06-16</t>
  </si>
  <si>
    <t>tournade_1850-11-05</t>
  </si>
  <si>
    <t>tournan_1874-08-31</t>
  </si>
  <si>
    <t>toy-riont_1876-06-07</t>
  </si>
  <si>
    <t>vincent_1871-06-27</t>
  </si>
  <si>
    <t>vincent_1874-03-31</t>
  </si>
  <si>
    <t>voyer_1852-12-09</t>
  </si>
  <si>
    <t>vandame_1856-08-01</t>
  </si>
  <si>
    <t>walter_1852-06-20</t>
  </si>
  <si>
    <t>veber_1861-03-08</t>
  </si>
  <si>
    <t>vazeille_1859-01-28</t>
  </si>
  <si>
    <t>vian_1874-02-23</t>
  </si>
  <si>
    <t>lavaud_1857-05-28</t>
  </si>
  <si>
    <t>roy_1875-07-29</t>
  </si>
  <si>
    <t>lefebvre du prey_1866-10-16</t>
  </si>
  <si>
    <t>lefol_1852-07-09</t>
  </si>
  <si>
    <t>lemire_1853-04-23</t>
  </si>
  <si>
    <t>lenoir_1859-05-04</t>
  </si>
  <si>
    <t>leroy-beaulieu_1871-09-25</t>
  </si>
  <si>
    <t>lhoste_1876-03-05</t>
  </si>
  <si>
    <t>long_1866-03-15</t>
  </si>
  <si>
    <t>brunet_1870-02-23</t>
  </si>
  <si>
    <t>de juigne_1874-02-16</t>
  </si>
  <si>
    <t>d'aramon_1876-02-14</t>
  </si>
  <si>
    <t>monprofit_1857-10-07</t>
  </si>
  <si>
    <t>ternois_1862-08-21</t>
  </si>
  <si>
    <t>heuzey_1876-07-31</t>
  </si>
  <si>
    <t>viard_1849-03-05</t>
  </si>
  <si>
    <t>bagneux_1845-07-26</t>
  </si>
  <si>
    <t>berthod_1878-08-09</t>
  </si>
  <si>
    <t>denis_1866-01-12</t>
  </si>
  <si>
    <t>claussat_1874-10-12</t>
  </si>
  <si>
    <t>lalanne_1872-12-16</t>
  </si>
  <si>
    <t>loriot_1850-03-27</t>
  </si>
  <si>
    <t>laurent_1880-05-10</t>
  </si>
  <si>
    <t>géo-gérald_1868-09-01</t>
  </si>
  <si>
    <t>denais_1877-08-10</t>
  </si>
  <si>
    <t>nortier_1859-08-04</t>
  </si>
  <si>
    <t>candace_1873-12-18</t>
  </si>
  <si>
    <t>giordan_1864-10-07</t>
  </si>
  <si>
    <t>peyroux_1872-08-29</t>
  </si>
  <si>
    <t>augé_1852-08-10</t>
  </si>
  <si>
    <t>bosquette_1872-08-31</t>
  </si>
  <si>
    <t>coyrard_1865-11-11</t>
  </si>
  <si>
    <t>eymond_1859-06-08</t>
  </si>
  <si>
    <t>peytral_1874-10-18</t>
  </si>
  <si>
    <t>soubigou_1863-04-14</t>
  </si>
  <si>
    <t>ancel_1870-07-01</t>
  </si>
  <si>
    <t>bonnail_1852-11-13</t>
  </si>
  <si>
    <t>déchelette_1864-08-12</t>
  </si>
  <si>
    <t>gailhard-bancel_1849-11-01</t>
  </si>
  <si>
    <t>marlaud_1866-05-16</t>
  </si>
  <si>
    <t>lavoinne_1867-07-01</t>
  </si>
  <si>
    <t>girard_1864-10-15</t>
  </si>
  <si>
    <t>perreau-pradier_1885-07-05</t>
  </si>
  <si>
    <t>houbé_1878-10-12</t>
  </si>
  <si>
    <t>hugot-derville_1851-06-27</t>
  </si>
  <si>
    <t>bracke-desrousseaux_1861-09-29</t>
  </si>
  <si>
    <t>kernier_1862-08-16</t>
  </si>
  <si>
    <t>deloncle_1856-08-14</t>
  </si>
  <si>
    <t>gouyou-beauchamps_1855-01-04</t>
  </si>
  <si>
    <t>maunoury_1850-10-05</t>
  </si>
  <si>
    <t>mignot-bozérian_1878-07-04</t>
  </si>
  <si>
    <t>chevillon_1879-01-12</t>
  </si>
  <si>
    <t>dupont_1872-01-13</t>
  </si>
  <si>
    <t>tissier_1866-07-22</t>
  </si>
  <si>
    <t>forzy_1856-01-15</t>
  </si>
  <si>
    <t>lerolle_1873-05-12</t>
  </si>
  <si>
    <t>constans_1873-03-26</t>
  </si>
  <si>
    <t>celos_1860-11-19</t>
  </si>
  <si>
    <t>simon_1886-06-14</t>
  </si>
  <si>
    <t>meunier-surcouf_1869-09-12</t>
  </si>
  <si>
    <t>taudière_1860-08-09</t>
  </si>
  <si>
    <t>thiery_1868-07-11</t>
  </si>
  <si>
    <t>dumont_1865-04-16</t>
  </si>
  <si>
    <t>veysseyre_1875-10-18</t>
  </si>
  <si>
    <t>lépine_1846-08-06</t>
  </si>
  <si>
    <t>merle_1873-09-03</t>
  </si>
  <si>
    <t>pays_1863-07-11</t>
  </si>
  <si>
    <t>deschamps_1878-12-23</t>
  </si>
  <si>
    <t>josse_1874-10-15</t>
  </si>
  <si>
    <t>hébert_1873-04-24</t>
  </si>
  <si>
    <t>coutant_1886-03-22</t>
  </si>
  <si>
    <t>abrami_1879-07-01</t>
  </si>
  <si>
    <t>amodru_1849-10-09</t>
  </si>
  <si>
    <t>anglès_1887-10-21</t>
  </si>
  <si>
    <t>arago_1862-01-10</t>
  </si>
  <si>
    <t>baudon_1869-01-26</t>
  </si>
  <si>
    <t>de baudry d'asson_1862-10-26</t>
  </si>
  <si>
    <t>bélinguier_1870-06-24</t>
  </si>
  <si>
    <t>bergeon_1870-02-11</t>
  </si>
  <si>
    <t>rené-boisneuf_1873-11-09</t>
  </si>
  <si>
    <t>boussenot_1876-07-25</t>
  </si>
  <si>
    <t>brunet_1868-10-21</t>
  </si>
  <si>
    <t>cadot_1864-04-22</t>
  </si>
  <si>
    <t>caffort_1880-09-12</t>
  </si>
  <si>
    <t>chaumié_1877-08-10</t>
  </si>
  <si>
    <t>chavoix_1844-01-28</t>
  </si>
  <si>
    <t>cochin_1883-11-17</t>
  </si>
  <si>
    <t>constans_1857-09-08</t>
  </si>
  <si>
    <t>defos_1866-12-25</t>
  </si>
  <si>
    <t>delom-sorbé_1860-01-12</t>
  </si>
  <si>
    <t>dessein_1875-02-23</t>
  </si>
  <si>
    <t>dubief_1850-10-14</t>
  </si>
  <si>
    <t>duboys-fresney_1873-05-17</t>
  </si>
  <si>
    <t>dumesnil_1879-01-24</t>
  </si>
  <si>
    <t>durandy_1868-10-18</t>
  </si>
  <si>
    <t>villesboisnet_1872-05-07</t>
  </si>
  <si>
    <t>eynac_1886-10-04</t>
  </si>
  <si>
    <t>faisant_1876-12-31</t>
  </si>
  <si>
    <t>fleuret_1861-04-27</t>
  </si>
  <si>
    <t>de fontaines_1859-05-30</t>
  </si>
  <si>
    <t>galli_1853-11-16</t>
  </si>
  <si>
    <t>gardey_1882-11-21</t>
  </si>
  <si>
    <t>girard-madoux_1882-01-03</t>
  </si>
  <si>
    <t>goust_1859-01-10</t>
  </si>
  <si>
    <t>coipel_1872-02-10</t>
  </si>
  <si>
    <t>gruet_1882-01-05</t>
  </si>
  <si>
    <t>corentin-guyho_1844-06-07</t>
  </si>
  <si>
    <t>hugon_1851-08-28</t>
  </si>
  <si>
    <t>jugy_1876-09-02</t>
  </si>
  <si>
    <t>lacave-laplagne_1881-10-25</t>
  </si>
  <si>
    <t>laguerre_1863-04-07</t>
  </si>
  <si>
    <t>lasies_1862-02-21</t>
  </si>
  <si>
    <t>masse_1879-12-13</t>
  </si>
  <si>
    <t>mesnard_1873-08-28</t>
  </si>
  <si>
    <t>de monti de reze_1874-10-19</t>
  </si>
  <si>
    <t>pacaud_1862-10-31</t>
  </si>
  <si>
    <t>paisant_1868-08-11</t>
  </si>
  <si>
    <t>péronnet_1866-06-05</t>
  </si>
  <si>
    <t>pierre-robert_1875-05-17</t>
  </si>
  <si>
    <t>robic_1875-04-12</t>
  </si>
  <si>
    <t>rochereau_1881-09-14</t>
  </si>
  <si>
    <t>rohan-chabot_1879-04-04</t>
  </si>
  <si>
    <t>prat_1870-08-02</t>
  </si>
  <si>
    <t>pressemane_1879-01-31</t>
  </si>
  <si>
    <t>rabouin_1861-10-18</t>
  </si>
  <si>
    <t>ragheboom_1859-08-02</t>
  </si>
  <si>
    <t>reille-soult-dalmatie_1888-02-10</t>
  </si>
  <si>
    <t>ribet_1879-10-24</t>
  </si>
  <si>
    <t>ribeyre_1885-10-04</t>
  </si>
  <si>
    <t>rigal_1861-05-14</t>
  </si>
  <si>
    <t>simonet_1860-07-22</t>
  </si>
  <si>
    <t>talon_1860-07-14</t>
  </si>
  <si>
    <t>tardieu_1876-09-22</t>
  </si>
  <si>
    <t>thome_1879-10-24</t>
  </si>
  <si>
    <t>ybarnegaray_1883-10-16</t>
  </si>
  <si>
    <t>de wendel_1874-05-05</t>
  </si>
  <si>
    <t>viellard_1879-07-07</t>
  </si>
  <si>
    <t>lefebvre_1871-03-05</t>
  </si>
  <si>
    <t>lémery_1874-12-09</t>
  </si>
  <si>
    <t>lemoine_1849-08-04</t>
  </si>
  <si>
    <t>accambray_1868-05-02</t>
  </si>
  <si>
    <t>albert-favre_1868-07-12</t>
  </si>
  <si>
    <t>albert leret d'aubigny_1875-07-06</t>
  </si>
  <si>
    <t>auriol_1884-08-27</t>
  </si>
  <si>
    <t>barabant_1874-11-09</t>
  </si>
  <si>
    <t>berger_1873-10-27</t>
  </si>
  <si>
    <t>charles-bernard_1856-06-14</t>
  </si>
  <si>
    <t>bernard_1886-01-26</t>
  </si>
  <si>
    <t>bernard_1877-05-05</t>
  </si>
  <si>
    <t>berthon_1860-10-06</t>
  </si>
  <si>
    <t>bertrand_1881-11-09</t>
  </si>
  <si>
    <t>blaisot_1881-01-19</t>
  </si>
  <si>
    <t>alexandre-blanc_1874-09-14</t>
  </si>
  <si>
    <t>bokanowski_1879-08-31</t>
  </si>
  <si>
    <t>bon_1872-10-18</t>
  </si>
  <si>
    <t>bouilloux-lafont_1875-04-10</t>
  </si>
  <si>
    <t>boulanger_1854-01-14</t>
  </si>
  <si>
    <t>bras_1859-03-07</t>
  </si>
  <si>
    <t>buisset_1870-06-10</t>
  </si>
  <si>
    <t>butin_1860-12-14</t>
  </si>
  <si>
    <t>cachin_1869-09-20</t>
  </si>
  <si>
    <t>carré-bonvalet_1875-08-11</t>
  </si>
  <si>
    <t>castelnau_1879-01-04</t>
  </si>
  <si>
    <t>cazassus_1862-03-08</t>
  </si>
  <si>
    <t>champetier_1871-11-12</t>
  </si>
  <si>
    <t>charpentier_1859-08-22</t>
  </si>
  <si>
    <t>connevot_1873-12-12</t>
  </si>
  <si>
    <t>decroze_1869-05-01</t>
  </si>
  <si>
    <t>defossé_1855-01-20</t>
  </si>
  <si>
    <t>deguise_1871-01-21</t>
  </si>
  <si>
    <t>delahaye_1877-05-14</t>
  </si>
  <si>
    <t>delaroue_1864-04-04</t>
  </si>
  <si>
    <t>demoulin_1863-08-30</t>
  </si>
  <si>
    <t>derangère_1863-01-27</t>
  </si>
  <si>
    <t>derognat_1865-02-15</t>
  </si>
  <si>
    <t>deshayes_1867-11-15</t>
  </si>
  <si>
    <t>deyris_1875-10-30</t>
  </si>
  <si>
    <t>diagne_1872-10-13</t>
  </si>
  <si>
    <t>durre_1867-09-15</t>
  </si>
  <si>
    <t>fayolle_1867-03-08</t>
  </si>
  <si>
    <t>forgeot_1888-03-10</t>
  </si>
  <si>
    <t>fringant_1872-03-31</t>
  </si>
  <si>
    <t>gaborit_1867-06-07</t>
  </si>
  <si>
    <t>giacobbi_1846-09-14</t>
  </si>
  <si>
    <t>giray_1866-10-13</t>
  </si>
  <si>
    <t>godet_1850-09-06</t>
  </si>
  <si>
    <t>gouyon_1875-12-19</t>
  </si>
  <si>
    <t>ignace_1862-01-04</t>
  </si>
  <si>
    <t>inghels_1872-05-09</t>
  </si>
  <si>
    <t>jobert_1869-03-23</t>
  </si>
  <si>
    <t>joubert-peyrot_1869-04-17</t>
  </si>
  <si>
    <t>jovelet_1869-04-11</t>
  </si>
  <si>
    <t>labroue_1880-08-29</t>
  </si>
  <si>
    <t>laffont_1885-04-25</t>
  </si>
  <si>
    <t>lafont_1879-07-26</t>
  </si>
  <si>
    <t>lajarrige_1875-06-09</t>
  </si>
  <si>
    <t>lancien_1874-08-18</t>
  </si>
  <si>
    <t>louppe_1856-06-16</t>
  </si>
  <si>
    <t>de ludre-frolois_1864-05-10</t>
  </si>
  <si>
    <t>lugol_1864-02-06</t>
  </si>
  <si>
    <t>mayéras_1879-08-03</t>
  </si>
  <si>
    <t>mélin_1863-11-07</t>
  </si>
  <si>
    <t>merlin_1868-02-12</t>
  </si>
  <si>
    <t>monplanet_1874-11-23</t>
  </si>
  <si>
    <t>morin_1876-02-10</t>
  </si>
  <si>
    <t>mourier_1873-10-08</t>
  </si>
  <si>
    <t>mun_1870-01-26</t>
  </si>
  <si>
    <t>nadi_1872-05-19</t>
  </si>
  <si>
    <t>navarre_1853-04-27</t>
  </si>
  <si>
    <t>nérel_1855-12-28</t>
  </si>
  <si>
    <t>neyret_1861-08-05</t>
  </si>
  <si>
    <t>nibelle_1860-02-13</t>
  </si>
  <si>
    <t>ossola_1881-04-24</t>
  </si>
  <si>
    <t>outrey_1863-08-11</t>
  </si>
  <si>
    <t>parvy_1876-11-26</t>
  </si>
  <si>
    <t>patureau-baronnet_1875-12-23</t>
  </si>
  <si>
    <t>petitjean_1875-11-24</t>
  </si>
  <si>
    <t>peyret_1868-10-07</t>
  </si>
  <si>
    <t>pezet_1848-07-19</t>
  </si>
  <si>
    <t>philbois_1864-06-17</t>
  </si>
  <si>
    <t>planche_1866-06-04</t>
  </si>
  <si>
    <t>narçay_1859-03-27</t>
  </si>
  <si>
    <t>rontin_1880-10-16</t>
  </si>
  <si>
    <t>salembier_1857-07-18</t>
  </si>
  <si>
    <t>serre_1873-08-17</t>
  </si>
  <si>
    <t>poncet_1863-11-01</t>
  </si>
  <si>
    <t>poncet_1878-01-13</t>
  </si>
  <si>
    <t>pottevin_1865-05-07</t>
  </si>
  <si>
    <t>pouzet_1875-07-05</t>
  </si>
  <si>
    <t>proust_1882-04-10</t>
  </si>
  <si>
    <t>queuille_1884-03-31</t>
  </si>
  <si>
    <t>rajon_1866-06-02</t>
  </si>
  <si>
    <t>rameil_1878-04-18</t>
  </si>
  <si>
    <t>renaudel_1871-12-19</t>
  </si>
  <si>
    <t>revault_1866-09-16</t>
  </si>
  <si>
    <t>reynouard_1869-01-06</t>
  </si>
  <si>
    <t>sibuet_1856-09-14</t>
  </si>
  <si>
    <t>sorriaux_1859-07-12</t>
  </si>
  <si>
    <t>stern_1882-04-14</t>
  </si>
  <si>
    <t>tailliandier_1875-04-28</t>
  </si>
  <si>
    <t>théo-bretin_1879-01-11</t>
  </si>
  <si>
    <t>treignier_1878-02-13</t>
  </si>
  <si>
    <t>varenne_1870-10-03</t>
  </si>
  <si>
    <t>valière_1880-02-21</t>
  </si>
  <si>
    <t>vidalin_1876-08-06</t>
  </si>
  <si>
    <t>weiller_1858-07-20</t>
  </si>
  <si>
    <t>valette_1874-06-08</t>
  </si>
  <si>
    <t>voillot_1874-04-05</t>
  </si>
  <si>
    <t>laurent_1863-03-30</t>
  </si>
  <si>
    <t>laval_1883-06-28</t>
  </si>
  <si>
    <t>bail-maignan_1886-10-06</t>
  </si>
  <si>
    <t>brecq_1876-03-13</t>
  </si>
  <si>
    <t>lebey_1877-08-10</t>
  </si>
  <si>
    <t>legros_1861-05-28</t>
  </si>
  <si>
    <t>leredu_1860-06-02</t>
  </si>
  <si>
    <t>levasseur_1875-02-04</t>
  </si>
  <si>
    <t>lissac_1869-04-17</t>
  </si>
  <si>
    <t>locquin_1879-06-06</t>
  </si>
  <si>
    <t>longuet_1876-05-10</t>
  </si>
  <si>
    <t>flandin_1889-04-12</t>
  </si>
  <si>
    <t>lacotte_1870-11-16</t>
  </si>
  <si>
    <t>puineuf_1856-04-20</t>
  </si>
  <si>
    <t>moutet_1876-04-19</t>
  </si>
  <si>
    <t>payer_1877-11-30</t>
  </si>
  <si>
    <t>about_1890-03-17</t>
  </si>
  <si>
    <t>aiguier_1876-03-31</t>
  </si>
  <si>
    <t>aimond_1878-10-29</t>
  </si>
  <si>
    <t>altorffer_1881-01-30</t>
  </si>
  <si>
    <t>andré-fribourg_1887-11-20</t>
  </si>
  <si>
    <t>anquetil_1873-10-31</t>
  </si>
  <si>
    <t>antériou_1887-06-14</t>
  </si>
  <si>
    <t>archimbaud_1880-09-23</t>
  </si>
  <si>
    <t>artaud_1859-09-26</t>
  </si>
  <si>
    <t>aubry_1892-12-08</t>
  </si>
  <si>
    <t>d'audiffret-pasquier_1882-03-15</t>
  </si>
  <si>
    <t>aussoleil_1861-10-15</t>
  </si>
  <si>
    <t>avril_1888-12-04</t>
  </si>
  <si>
    <t>balanant_1888-07-03</t>
  </si>
  <si>
    <t>baradé_1882-12-03</t>
  </si>
  <si>
    <t>barbé_1863-10-31</t>
  </si>
  <si>
    <t>barès_1872-11-21</t>
  </si>
  <si>
    <t>baréty_1883-10-18</t>
  </si>
  <si>
    <t>barillet_1881-04-10</t>
  </si>
  <si>
    <t>baron_1876-05-16</t>
  </si>
  <si>
    <t>barthélemy_1882-11-01</t>
  </si>
  <si>
    <t>barthélemy_1874-07-09</t>
  </si>
  <si>
    <t>bartholoni_1881-06-22</t>
  </si>
  <si>
    <t>bataille_1887-11-12</t>
  </si>
  <si>
    <t>battle_1859-12-10</t>
  </si>
  <si>
    <t>lesseux_1868-08-15</t>
  </si>
  <si>
    <t>bazire_1877-09-30</t>
  </si>
  <si>
    <t>belcastel_1860-10-01</t>
  </si>
  <si>
    <t>bellet_1880-08-03</t>
  </si>
  <si>
    <t>d'auriac_1855-09-29</t>
  </si>
  <si>
    <t>bernard_1875-12-12</t>
  </si>
  <si>
    <t>bernier_1864-04-12</t>
  </si>
  <si>
    <t>bernier_1868-07-10</t>
  </si>
  <si>
    <t>berquet_1860-08-26</t>
  </si>
  <si>
    <t>berthelemot_1877-06-21</t>
  </si>
  <si>
    <t>berthon_1882-07-21</t>
  </si>
  <si>
    <t>bertrand_1884-05-26</t>
  </si>
  <si>
    <t>bertrand_1864-01-19</t>
  </si>
  <si>
    <t>bessonneau_1880-05-19</t>
  </si>
  <si>
    <t>bilger_1879-10-17</t>
  </si>
  <si>
    <t>blanc_1858-05-12</t>
  </si>
  <si>
    <t>blanchet_1862-04-25</t>
  </si>
  <si>
    <t>blum_1872-04-09</t>
  </si>
  <si>
    <t>boissard_1870-12-11</t>
  </si>
  <si>
    <t>bonnet de paillerets_1867-09-11</t>
  </si>
  <si>
    <t>boué_1870-12-30</t>
  </si>
  <si>
    <t>bouligand_1866-11-22</t>
  </si>
  <si>
    <t>bourgier_1872-08-20</t>
  </si>
  <si>
    <t>bouteille_1880-11-08</t>
  </si>
  <si>
    <t>boutton_1883-12-10</t>
  </si>
  <si>
    <t>bouvet_1855-10-31</t>
  </si>
  <si>
    <t>bovier-lapierre_1883-04-28</t>
  </si>
  <si>
    <t>bringer_1872-08-03</t>
  </si>
  <si>
    <t>brogly_1878-04-29</t>
  </si>
  <si>
    <t>burnet_1863-11-06</t>
  </si>
  <si>
    <t>caillat_1874-10-02</t>
  </si>
  <si>
    <t>caïtucoli_1865-01-12</t>
  </si>
  <si>
    <t>lamazière_1879-05-10</t>
  </si>
  <si>
    <t>calmès_1853-07-31</t>
  </si>
  <si>
    <t>canavelli_1877-12-01</t>
  </si>
  <si>
    <t>capus_1867-08-18</t>
  </si>
  <si>
    <t>caron_1861-07-08</t>
  </si>
  <si>
    <t>cassagnac_1880-04-12</t>
  </si>
  <si>
    <t>castel_1871-02-07</t>
  </si>
  <si>
    <t>de castellane_1875-10-15</t>
  </si>
  <si>
    <t>castelnau_1851-12-24</t>
  </si>
  <si>
    <t>causeret_1868-03-02</t>
  </si>
  <si>
    <t>cautru_1879-02-04</t>
  </si>
  <si>
    <t>cazals_1853-11-05</t>
  </si>
  <si>
    <t>chassaigne-goyon_1855-08-02</t>
  </si>
  <si>
    <t>chauly_1868-02-23</t>
  </si>
  <si>
    <t>chaussy_1880-01-18</t>
  </si>
  <si>
    <t>chautemps_1885-02-01</t>
  </si>
  <si>
    <t>chéron_1873-03-27</t>
  </si>
  <si>
    <t>choribit_1875-02-23</t>
  </si>
  <si>
    <t>colrat_1871-09-29</t>
  </si>
  <si>
    <t>constans_1876-12-13</t>
  </si>
  <si>
    <t>constant_1869-03-24</t>
  </si>
  <si>
    <t>cordelle_1871-07-01</t>
  </si>
  <si>
    <t>coucoureux_1879-10-18</t>
  </si>
  <si>
    <t>courtial_1866-03-18</t>
  </si>
  <si>
    <t>courtier_1874-03-24</t>
  </si>
  <si>
    <t>coutant_1868-04-14</t>
  </si>
  <si>
    <t>couteaux_1881-11-20</t>
  </si>
  <si>
    <t>crespel_1867-05-17</t>
  </si>
  <si>
    <t>daladier_1884-06-18</t>
  </si>
  <si>
    <t>darblay_1851-09-17</t>
  </si>
  <si>
    <t>daudet_1867-11-16</t>
  </si>
  <si>
    <t>décloux_1875-01-23</t>
  </si>
  <si>
    <t>decoëne-racouchot_1878-07-12</t>
  </si>
  <si>
    <t>rau_1884-04-09</t>
  </si>
  <si>
    <t>delafoy_1860-03-19</t>
  </si>
  <si>
    <t>delesalle_1886-04-15</t>
  </si>
  <si>
    <t>delmas_1885-07-26</t>
  </si>
  <si>
    <t>delport_1866-09-24</t>
  </si>
  <si>
    <t>denise_1863-05-19</t>
  </si>
  <si>
    <t>deschamps_1861-01-05</t>
  </si>
  <si>
    <t>desjardins_1878-12-24</t>
  </si>
  <si>
    <t>despax_1878-11-22</t>
  </si>
  <si>
    <t>dézarnaulds_1879-12-07</t>
  </si>
  <si>
    <t>dignac_1876-01-13</t>
  </si>
  <si>
    <t>dodat_1862-02-14</t>
  </si>
  <si>
    <t>dormoy_1876-07-09</t>
  </si>
  <si>
    <t>dubois_1867-02-22</t>
  </si>
  <si>
    <t>sablonnière_1856-10-09</t>
  </si>
  <si>
    <t>ducaud_1877-09-04</t>
  </si>
  <si>
    <t>ducos_1881-10-04</t>
  </si>
  <si>
    <t>dugueyt_1877-09-17</t>
  </si>
  <si>
    <t>dupin_1864-02-04</t>
  </si>
  <si>
    <t>durand-béchet_1886-04-12</t>
  </si>
  <si>
    <t>duval_1875-05-30</t>
  </si>
  <si>
    <t>duval-arnould_1863-08-06</t>
  </si>
  <si>
    <t>erlich_1884-04-07</t>
  </si>
  <si>
    <t>escoffier_1886-05-20</t>
  </si>
  <si>
    <t>escoffier_1877-07-31</t>
  </si>
  <si>
    <t>evain_1864-01-16</t>
  </si>
  <si>
    <t>evrard_1879-06-03</t>
  </si>
  <si>
    <t>fabry_1876-06-06</t>
  </si>
  <si>
    <t>fallières_1875-09-30</t>
  </si>
  <si>
    <t>farges_1858-10-12</t>
  </si>
  <si>
    <t>félix_1885-12-03</t>
  </si>
  <si>
    <t>ferrand_1864-08-15</t>
  </si>
  <si>
    <t>ferraris_1886-12-28</t>
  </si>
  <si>
    <t>ferrette_1869-07-13</t>
  </si>
  <si>
    <t>ferry_1886-10-26</t>
  </si>
  <si>
    <t>fonck_1894-03-26</t>
  </si>
  <si>
    <t>forissier_1889-03-06</t>
  </si>
  <si>
    <t>fouché_1858-09-18</t>
  </si>
  <si>
    <t>fould_1890-09-19</t>
  </si>
  <si>
    <t>françois_1874-12-14</t>
  </si>
  <si>
    <t>frey_1888-02-26</t>
  </si>
  <si>
    <t>frouin_1883-08-05</t>
  </si>
  <si>
    <t>gadaud_1875-03-22</t>
  </si>
  <si>
    <t>gast_1857-10-01</t>
  </si>
  <si>
    <t>gavini_1856-07-24</t>
  </si>
  <si>
    <t>gavoty_1866-03-12</t>
  </si>
  <si>
    <t>gay_1874-10-13</t>
  </si>
  <si>
    <t>geoffroy-saint-hilaire_1868-08-12</t>
  </si>
  <si>
    <t>georges_1893-07-09</t>
  </si>
  <si>
    <t>gérard_1880-12-31</t>
  </si>
  <si>
    <t>giraud_1865-09-07</t>
  </si>
  <si>
    <t>glotin_1870-05-18</t>
  </si>
  <si>
    <t>gonnet_1878-06-08</t>
  </si>
  <si>
    <t>gounouilhou_1882-07-11</t>
  </si>
  <si>
    <t>gourin_1870-05-12</t>
  </si>
  <si>
    <t>grinda_1866-12-20</t>
  </si>
  <si>
    <t>guépratte_1856-08-30</t>
  </si>
  <si>
    <t>guérin_1873-10-20</t>
  </si>
  <si>
    <t>guibal_1859-12-11</t>
  </si>
  <si>
    <t>guilhaumon_1876-06-25</t>
  </si>
  <si>
    <t>habert_1862-09-20</t>
  </si>
  <si>
    <t>hackspill_1871-06-30</t>
  </si>
  <si>
    <t>d'harcourt_1870-04-18</t>
  </si>
  <si>
    <t>hermabessière_1876-07-31</t>
  </si>
  <si>
    <t>herriot_1872-07-05</t>
  </si>
  <si>
    <t>heurtaux_1893-05-20</t>
  </si>
  <si>
    <t>hugues_1858-04-19</t>
  </si>
  <si>
    <t>huguet_1867-12-11</t>
  </si>
  <si>
    <t>inizan_1869-04-18</t>
  </si>
  <si>
    <t>isaac_1849-09-06</t>
  </si>
  <si>
    <t>israël_1868-11-25</t>
  </si>
  <si>
    <t>jadé_1890-03-29</t>
  </si>
  <si>
    <t>jaeger_1864-02-25</t>
  </si>
  <si>
    <t>jannin_1850-12-25</t>
  </si>
  <si>
    <t>jean_1872-05-10</t>
  </si>
  <si>
    <t>jean_1874-11-16</t>
  </si>
  <si>
    <t>jeantet_1873-06-10</t>
  </si>
  <si>
    <t>join-lambert_1875-01-13</t>
  </si>
  <si>
    <t>jurie-joly_1887-04-20</t>
  </si>
  <si>
    <t>jourdain_1878-10-28</t>
  </si>
  <si>
    <t>kempf_1888-01-26</t>
  </si>
  <si>
    <t>baston de la riboisiere_1856-01-01</t>
  </si>
  <si>
    <t>lafagette_1883-08-08</t>
  </si>
  <si>
    <t>lafarge_1879-06-06</t>
  </si>
  <si>
    <t>lamoureux_1888-09-16</t>
  </si>
  <si>
    <t>de lasteyrie_1877-08-27</t>
  </si>
  <si>
    <t>lastours_1874-08-12</t>
  </si>
  <si>
    <t>laudier_1878-02-20</t>
  </si>
  <si>
    <t>lorin_1866-07-02</t>
  </si>
  <si>
    <t>loucheur_1872-08-12</t>
  </si>
  <si>
    <t>macarez_1872-02-29</t>
  </si>
  <si>
    <t>maës_1875-07-15</t>
  </si>
  <si>
    <t>d'agens_1866-04-02</t>
  </si>
  <si>
    <t>magne_1873-11-13</t>
  </si>
  <si>
    <t>maillard_1879-04-15</t>
  </si>
  <si>
    <t>maire_1863-09-27</t>
  </si>
  <si>
    <t>manaut_1891-09-23</t>
  </si>
  <si>
    <t>manceau_1875-06-11</t>
  </si>
  <si>
    <t>mandel_1885-06-05</t>
  </si>
  <si>
    <t>marçais_1882-03-07</t>
  </si>
  <si>
    <t>marcellot_1861-04-25</t>
  </si>
  <si>
    <t>marchais_1878-05-03</t>
  </si>
  <si>
    <t>marot_1857-09-19</t>
  </si>
  <si>
    <t>masson_1875-10-25</t>
  </si>
  <si>
    <t>mathis_1860-12-08</t>
  </si>
  <si>
    <t>maud'huy_1857-02-17</t>
  </si>
  <si>
    <t>maulion_1875-07-01</t>
  </si>
  <si>
    <t>maurel_1867-05-02</t>
  </si>
  <si>
    <t>mauriès_1882-09-18</t>
  </si>
  <si>
    <t>maurisson_1883-03-22</t>
  </si>
  <si>
    <t>mayaud_1850-09-22</t>
  </si>
  <si>
    <t>mazerand_1876-04-14</t>
  </si>
  <si>
    <t>menthon_1865-10-22</t>
  </si>
  <si>
    <t>mercier_1864-07-15</t>
  </si>
  <si>
    <t>méritan_1862-09-26</t>
  </si>
  <si>
    <t>mermod_1878-10-12</t>
  </si>
  <si>
    <t>messier_1878-08-24</t>
  </si>
  <si>
    <t>meunier_1861-09-08</t>
  </si>
  <si>
    <t>meyer_1868-07-01</t>
  </si>
  <si>
    <t>milhet_1881-04-09</t>
  </si>
  <si>
    <t>molinié_1872-06-03</t>
  </si>
  <si>
    <t>molinié_1868-06-10</t>
  </si>
  <si>
    <t>monicault_1869-06-27</t>
  </si>
  <si>
    <t>montenot_1859-12-29</t>
  </si>
  <si>
    <t>montjou_1888-08-05</t>
  </si>
  <si>
    <t>morinaud_1865-02-17</t>
  </si>
  <si>
    <t>de moro giafferi_1878-06-06</t>
  </si>
  <si>
    <t>morucci_1868-06-23</t>
  </si>
  <si>
    <t>mouret_1863-08-18</t>
  </si>
  <si>
    <t>muller_1861-08-31</t>
  </si>
  <si>
    <t>murat_1885-08-06</t>
  </si>
  <si>
    <t>nicod_1881-07-18</t>
  </si>
  <si>
    <t>niveaux_1863-08-19</t>
  </si>
  <si>
    <t>noblemaire_1867-12-27</t>
  </si>
  <si>
    <t>oberkirch_1876-01-01</t>
  </si>
  <si>
    <t>oudin_1857-09-06</t>
  </si>
  <si>
    <t>ouvré_1883-05-27</t>
  </si>
  <si>
    <t>patureau-mirand_1875-09-11</t>
  </si>
  <si>
    <t>périnard_1884-03-15</t>
  </si>
  <si>
    <t>périvier_1893-04-29</t>
  </si>
  <si>
    <t>perrollaz_1857-09-14</t>
  </si>
  <si>
    <t>petit_1871-01-09</t>
  </si>
  <si>
    <t>petitfils_1878-05-19</t>
  </si>
  <si>
    <t>pfleger_1873-09-30</t>
  </si>
  <si>
    <t>philippoteaux_1866-01-19</t>
  </si>
  <si>
    <t>picot_1862-03-17</t>
  </si>
  <si>
    <t>pilate_1850-01-12</t>
  </si>
  <si>
    <t>pinard_1844-02-04</t>
  </si>
  <si>
    <t>piton_1883-07-25</t>
  </si>
  <si>
    <t>plaisant_1887-03-08</t>
  </si>
  <si>
    <t>plet_1864-04-08</t>
  </si>
  <si>
    <t>rocher_1877-10-08</t>
  </si>
  <si>
    <t>rodez-bénavent_1877-02-17</t>
  </si>
  <si>
    <t>rollin_1879-03-27</t>
  </si>
  <si>
    <t>roques_1862-03-08</t>
  </si>
  <si>
    <t>roquette_1859-09-25</t>
  </si>
  <si>
    <t>de rothschild_1881-05-19</t>
  </si>
  <si>
    <t>des rotours_1888-07-01</t>
  </si>
  <si>
    <t>rougé_1871-11-09</t>
  </si>
  <si>
    <t>roux_1860-07-22</t>
  </si>
  <si>
    <t>ruellan_1876-02-22</t>
  </si>
  <si>
    <t>saillard_1864-10-03</t>
  </si>
  <si>
    <t>saint-venant_1868-04-23</t>
  </si>
  <si>
    <t>salers_1885-07-26</t>
  </si>
  <si>
    <t>sangnier_1873-04-03</t>
  </si>
  <si>
    <t>scheer_1871-08-24</t>
  </si>
  <si>
    <t>schuman_1886-06-29</t>
  </si>
  <si>
    <t>seltz_1872-12-21</t>
  </si>
  <si>
    <t>sempé_1863-11-18</t>
  </si>
  <si>
    <t>sénac_1872-06-09</t>
  </si>
  <si>
    <t>sérot_1885-02-18</t>
  </si>
  <si>
    <t>poitou-duplessy_1885-01-05</t>
  </si>
  <si>
    <t>poittevin_1880-07-15</t>
  </si>
  <si>
    <t>poussineau_1857-11-03</t>
  </si>
  <si>
    <t>pouzin_1880-12-09</t>
  </si>
  <si>
    <t>prevet_1854-09-06</t>
  </si>
  <si>
    <t>proust_1878-06-04</t>
  </si>
  <si>
    <t>puis_1873-04-05</t>
  </si>
  <si>
    <t>groudière_1878-11-10</t>
  </si>
  <si>
    <t>ramel_1883-01-26</t>
  </si>
  <si>
    <t>raynaldy_1869-12-23</t>
  </si>
  <si>
    <t>regaud_1871-09-05</t>
  </si>
  <si>
    <t>regnier_1855-01-22</t>
  </si>
  <si>
    <t>regnier_1873-06-13</t>
  </si>
  <si>
    <t>reibel_1882-12-29</t>
  </si>
  <si>
    <t>reille-soult-dalmatie_1891-09-11</t>
  </si>
  <si>
    <t>rendu_1874-12-29</t>
  </si>
  <si>
    <t>reymonenq_1858-10-06</t>
  </si>
  <si>
    <t>reynaud_1878-10-15</t>
  </si>
  <si>
    <t>rhul_1881-01-27</t>
  </si>
  <si>
    <t>richard_1874-02-15</t>
  </si>
  <si>
    <t>ricolfi_1886-09-01</t>
  </si>
  <si>
    <t>verneuil_1870-12-17</t>
  </si>
  <si>
    <t>rio_1873-10-28</t>
  </si>
  <si>
    <t>servain_1857-01-24</t>
  </si>
  <si>
    <t>sevène_1853-07-06</t>
  </si>
  <si>
    <t>seynes_1859-08-01</t>
  </si>
  <si>
    <t>simonin_1865-10-05</t>
  </si>
  <si>
    <t>soulier_1870-01-01</t>
  </si>
  <si>
    <t>taittinger_1887-10-04</t>
  </si>
  <si>
    <t>talhouet-roy_1861-08-15</t>
  </si>
  <si>
    <t>tapponnier_1884-08-14</t>
  </si>
  <si>
    <t>taurines_1884-01-21</t>
  </si>
  <si>
    <t>thibout_1878-09-14</t>
  </si>
  <si>
    <t>thoumyre_1883-02-16</t>
  </si>
  <si>
    <t>tilhet_1875-02-28</t>
  </si>
  <si>
    <t>pouët_1875-03-23</t>
  </si>
  <si>
    <t>tisseyre_1880-07-21</t>
  </si>
  <si>
    <t>tixier_1870-01-22</t>
  </si>
  <si>
    <t>tranchand_1880-08-24</t>
  </si>
  <si>
    <t>trincard-moyat_1874-12-10</t>
  </si>
  <si>
    <t>uhry_1877-11-12</t>
  </si>
  <si>
    <t>vallette-viallard_1883-11-06</t>
  </si>
  <si>
    <t>vallat_1891-12-23</t>
  </si>
  <si>
    <t>walter_1884-02-05</t>
  </si>
  <si>
    <t>vaillant-couturier_1892-01-08</t>
  </si>
  <si>
    <t>warren_1871-04-04</t>
  </si>
  <si>
    <t>valude_1891-09-21</t>
  </si>
  <si>
    <t>de wendel_1878-04-22</t>
  </si>
  <si>
    <t>vidal_1888-10-18</t>
  </si>
  <si>
    <t>villeneau_1873-03-24</t>
  </si>
  <si>
    <t>viala_1859-09-24</t>
  </si>
  <si>
    <t>vavasseur_1867-07-23</t>
  </si>
  <si>
    <t>verniers_1890-05-29</t>
  </si>
  <si>
    <t>wetterlé_1861-04-02</t>
  </si>
  <si>
    <t>lavau_1876-08-30</t>
  </si>
  <si>
    <t>le cour-grandmaison_1883-03-15</t>
  </si>
  <si>
    <t>febvre_1869-02-17</t>
  </si>
  <si>
    <t>mire_1873-01-22</t>
  </si>
  <si>
    <t>moigne_1849-07-19</t>
  </si>
  <si>
    <t>launay_1874-12-13</t>
  </si>
  <si>
    <t>le trocquer_1877-10-04</t>
  </si>
  <si>
    <t>lebas_1878-10-24</t>
  </si>
  <si>
    <t>lecourtier_1866-12-23</t>
  </si>
  <si>
    <t>lefebvre_1868-11-09</t>
  </si>
  <si>
    <t>lefebvre_1877-10-24</t>
  </si>
  <si>
    <t>leger_1888-02-20</t>
  </si>
  <si>
    <t>nail_1875-04-28</t>
  </si>
  <si>
    <t>lesaché_1860-12-18</t>
  </si>
  <si>
    <t>de leusse_1877-02-06</t>
  </si>
  <si>
    <t>lévy_1874-02-08</t>
  </si>
  <si>
    <t>liouville_1859-11-09</t>
  </si>
  <si>
    <t>lobet_1871-07-31</t>
  </si>
  <si>
    <t>fiori_1881-02-20</t>
  </si>
  <si>
    <t>galmot_1879-06-01</t>
  </si>
  <si>
    <t>miellet_1880-11-01</t>
  </si>
  <si>
    <t>roux-freissineng_1863-05-27</t>
  </si>
  <si>
    <t>saget_1887-09-06</t>
  </si>
  <si>
    <t>clerc_1857-01-15</t>
  </si>
  <si>
    <t>payen_1869-08-20</t>
  </si>
  <si>
    <t>persil_1870-08-04</t>
  </si>
  <si>
    <t>jean_1887-08-16</t>
  </si>
  <si>
    <t>duboin_1878-09-17</t>
  </si>
  <si>
    <t>bonnet_1856-06-01</t>
  </si>
  <si>
    <t>corbeiller_1859-09-14</t>
  </si>
  <si>
    <t>cuven_1875-05-24</t>
  </si>
  <si>
    <t>desgroux_1854-09-26</t>
  </si>
  <si>
    <t>gallou_1853-07-10</t>
  </si>
  <si>
    <t>kéranflec'h-kernezné_1861-10-22</t>
  </si>
  <si>
    <t>schmidt_1872-11-16</t>
  </si>
  <si>
    <t>guen_1881-05-04</t>
  </si>
  <si>
    <t>thomas_1854-01-06</t>
  </si>
  <si>
    <t>doléris_1852-12-22</t>
  </si>
  <si>
    <t>abbo_1883-06-26</t>
  </si>
  <si>
    <t>coty_1882-03-20</t>
  </si>
  <si>
    <t>meyer_1868-09-11</t>
  </si>
  <si>
    <t>adam_1883-02-20</t>
  </si>
  <si>
    <t>adenis_1879-05-31</t>
  </si>
  <si>
    <t>aillaud_1857-03-31</t>
  </si>
  <si>
    <t>ameline_1862-08-16</t>
  </si>
  <si>
    <t>amet_1870-09-28</t>
  </si>
  <si>
    <t>d'andigné_1858-02-11</t>
  </si>
  <si>
    <t>angoulvant_1872-02-08</t>
  </si>
  <si>
    <t>antonelli_1879-08-24</t>
  </si>
  <si>
    <t>astier_1885-01-07</t>
  </si>
  <si>
    <t>auffray_1887-12-20</t>
  </si>
  <si>
    <t>augé_1873-08-11</t>
  </si>
  <si>
    <t>auray_1879-09-15</t>
  </si>
  <si>
    <t>baranton_1895-11-10</t>
  </si>
  <si>
    <t>barbecot_1876-08-03</t>
  </si>
  <si>
    <t>barbin_1876-07-19</t>
  </si>
  <si>
    <t>baroux_1881-12-31</t>
  </si>
  <si>
    <t>barra_1870-06-22</t>
  </si>
  <si>
    <t>bastid_1892-05-17</t>
  </si>
  <si>
    <t>bazile_1883-02-16</t>
  </si>
  <si>
    <t>beauvillain_1878-12-27</t>
  </si>
  <si>
    <t>bellamy_1866-10-27</t>
  </si>
  <si>
    <t>bénassy_1887-02-25</t>
  </si>
  <si>
    <t>bergey_1881-04-19</t>
  </si>
  <si>
    <t>bernachon_1876-12-13</t>
  </si>
  <si>
    <t>bibié_1891-01-11</t>
  </si>
  <si>
    <t>biré_1863-10-22</t>
  </si>
  <si>
    <t>bizet_1875-11-07</t>
  </si>
  <si>
    <t>blachez_1861-09-13</t>
  </si>
  <si>
    <t>boccard_1869-04-21</t>
  </si>
  <si>
    <t>bonin_1879-08-26</t>
  </si>
  <si>
    <t>bonnet_1889-07-23</t>
  </si>
  <si>
    <t>borel_1871-01-07</t>
  </si>
  <si>
    <t>bosc_1875-09-18</t>
  </si>
  <si>
    <t>bouat_1873-03-31</t>
  </si>
  <si>
    <t>boudet_1874-09-10</t>
  </si>
  <si>
    <t>boully_1877-02-20</t>
  </si>
  <si>
    <t>bourlois_1893-06-09</t>
  </si>
  <si>
    <t>boyer_1882-11-22</t>
  </si>
  <si>
    <t>boyer_1888-12-15</t>
  </si>
  <si>
    <t>brémond_1880-02-27</t>
  </si>
  <si>
    <t>bret_1885-09-21</t>
  </si>
  <si>
    <t>breteau_1862-05-28</t>
  </si>
  <si>
    <t>breton_1865-03-24</t>
  </si>
  <si>
    <t>briffaut_1857-07-30</t>
  </si>
  <si>
    <t>brigault_1886-09-15</t>
  </si>
  <si>
    <t>brocard_1885-11-14</t>
  </si>
  <si>
    <t>brom_1881-10-10</t>
  </si>
  <si>
    <t>brunet_1878-01-04</t>
  </si>
  <si>
    <t>burger_1878-02-06</t>
  </si>
  <si>
    <t>cadic_1886-09-05</t>
  </si>
  <si>
    <t>calmon_1897-07-14</t>
  </si>
  <si>
    <t>cante_1882-04-23</t>
  </si>
  <si>
    <t>capgras_1873-03-23</t>
  </si>
  <si>
    <t>carmagnolle_1879-04-25</t>
  </si>
  <si>
    <t>carnot_1881-07-13</t>
  </si>
  <si>
    <t>carron_1879-07-01</t>
  </si>
  <si>
    <t>castagnet_1886-03-24</t>
  </si>
  <si>
    <t>cauderon_1870-12-26</t>
  </si>
  <si>
    <t>cayrel_1885-04-23</t>
  </si>
  <si>
    <t>de chammard_1888-06-01</t>
  </si>
  <si>
    <t>champetier de ribes_1882-07-30</t>
  </si>
  <si>
    <t>charoulet_1870-02-15</t>
  </si>
  <si>
    <t>chastanet_1882-11-19</t>
  </si>
  <si>
    <t>chaumié_1890-08-15</t>
  </si>
  <si>
    <t>chauvin_1869-02-12</t>
  </si>
  <si>
    <t>chauvin_1885-11-16</t>
  </si>
  <si>
    <t>chavagnes_1883-10-10</t>
  </si>
  <si>
    <t>chazal_1875-03-27</t>
  </si>
  <si>
    <t>chazette_1872-09-19</t>
  </si>
  <si>
    <t>chevrier_1876-09-21</t>
  </si>
  <si>
    <t>chollet_1876-06-30</t>
  </si>
  <si>
    <t>clamamus_1879-07-27</t>
  </si>
  <si>
    <t>clarou_1860-12-06</t>
  </si>
  <si>
    <t>cluzel_1879-12-15</t>
  </si>
  <si>
    <t>colins_1860-02-03</t>
  </si>
  <si>
    <t>condé_1875-07-17</t>
  </si>
  <si>
    <t>coppeaux_1870-02-15</t>
  </si>
  <si>
    <t>cornand_1876-07-14</t>
  </si>
  <si>
    <t>cornavin_1894-06-27</t>
  </si>
  <si>
    <t>couhé_1889-06-24</t>
  </si>
  <si>
    <t>courtehoux_1879-03-18</t>
  </si>
  <si>
    <t>dalmagne_1860-09-10</t>
  </si>
  <si>
    <t>darme_1868-05-08</t>
  </si>
  <si>
    <t>dauthy_1875-08-01</t>
  </si>
  <si>
    <t>delbos_1885-05-07</t>
  </si>
  <si>
    <t>dellac_1876-05-03</t>
  </si>
  <si>
    <t>delmont_1874-10-02</t>
  </si>
  <si>
    <t>delourme_1877-01-14</t>
  </si>
  <si>
    <t>delthil_1869-05-11</t>
  </si>
  <si>
    <t>desoblin_1873-07-26</t>
  </si>
  <si>
    <t>didry_1862-04-15</t>
  </si>
  <si>
    <t>doriot_1898-09-26</t>
  </si>
  <si>
    <t>dorly_1867-05-05</t>
  </si>
  <si>
    <t>dubreuil_1873-12-30</t>
  </si>
  <si>
    <t>durand_1874-05-25</t>
  </si>
  <si>
    <t>eldin_1879-12-16</t>
  </si>
  <si>
    <t>epivent_1877-08-23</t>
  </si>
  <si>
    <t>escoulent_1881-12-28</t>
  </si>
  <si>
    <t>falcoz_1884-11-07</t>
  </si>
  <si>
    <t>faugère_1869-12-27</t>
  </si>
  <si>
    <t>faure_1880-04-26</t>
  </si>
  <si>
    <t>faure_1878-02-03</t>
  </si>
  <si>
    <t>ferté_1873-12-08</t>
  </si>
  <si>
    <t>février_1885-11-30</t>
  </si>
  <si>
    <t>fié_1869-10-31</t>
  </si>
  <si>
    <t>fillon_1874-05-23</t>
  </si>
  <si>
    <t>fontanier_1880-02-16</t>
  </si>
  <si>
    <t>françois-poncet_1887-06-13</t>
  </si>
  <si>
    <t>frot_1893-10-02</t>
  </si>
  <si>
    <t>gamard_1879-10-21</t>
  </si>
  <si>
    <t>garchery_1872-01-01</t>
  </si>
  <si>
    <t>gautier_1881-12-30</t>
  </si>
  <si>
    <t>gerboud_1881-03-19</t>
  </si>
  <si>
    <t>goirand_1879-04-03</t>
  </si>
  <si>
    <t>gouin_1884-10-04</t>
  </si>
  <si>
    <t>goy_1892-10-16</t>
  </si>
  <si>
    <t>gros_1873-10-28</t>
  </si>
  <si>
    <t>héliès_1872-11-01</t>
  </si>
  <si>
    <t>henriet_1866-03-23</t>
  </si>
  <si>
    <t>henry_1861-11-03</t>
  </si>
  <si>
    <t>héraud_1883-05-08</t>
  </si>
  <si>
    <t>heuzé_1881-10-03</t>
  </si>
  <si>
    <t>hueber_1883-08-21</t>
  </si>
  <si>
    <t>hulin_1882-07-24</t>
  </si>
  <si>
    <t>jacquy_1875-06-27</t>
  </si>
  <si>
    <t>jaurès_1860-08-18</t>
  </si>
  <si>
    <t>jean-françois_1874-03-07</t>
  </si>
  <si>
    <t>jouffrault_1887-09-01</t>
  </si>
  <si>
    <t>jouhannet_1871-05-25</t>
  </si>
  <si>
    <t>jourdain_1865-02-03</t>
  </si>
  <si>
    <t>kervenoaël_1862-10-04</t>
  </si>
  <si>
    <t>labatut_1879-06-28</t>
  </si>
  <si>
    <t>labes_1881-11-03</t>
  </si>
  <si>
    <t>laine_1862-09-11</t>
  </si>
  <si>
    <t>lamazou-betbeder_1895-01-29</t>
  </si>
  <si>
    <t>lambert_1883-12-16</t>
  </si>
  <si>
    <t>laporte_1874-12-03</t>
  </si>
  <si>
    <t>laroche-joubert_1879-01-09</t>
  </si>
  <si>
    <t>lassalle_1882-06-02</t>
  </si>
  <si>
    <t>launay_1854-05-27</t>
  </si>
  <si>
    <t>louis_1862-12-26</t>
  </si>
  <si>
    <t>madelin_1871-05-08</t>
  </si>
  <si>
    <t>mandrillon_1881-07-10</t>
  </si>
  <si>
    <t>marcillé_1873-07-25</t>
  </si>
  <si>
    <t>marin-quilliard_1881-05-19</t>
  </si>
  <si>
    <t>marquet_1884-10-06</t>
  </si>
  <si>
    <t>marquigny_1876-07-24</t>
  </si>
  <si>
    <t>martin_1863-08-16</t>
  </si>
  <si>
    <t>marty_1886-11-06</t>
  </si>
  <si>
    <t>massé_1860-07-11</t>
  </si>
  <si>
    <t>mauger-violleau_1867-11-03</t>
  </si>
  <si>
    <t>maupoil_1891-07-11</t>
  </si>
  <si>
    <t>merlant_1863-05-17</t>
  </si>
  <si>
    <t>michel henri dit_1857-01-27</t>
  </si>
  <si>
    <t>milhaud_1871-06-10</t>
  </si>
  <si>
    <t>missoffe_1887-06-09</t>
  </si>
  <si>
    <t>moncelle_1879-09-12</t>
  </si>
  <si>
    <t>montigny_1892-04-19</t>
  </si>
  <si>
    <t>morel_1871-03-22</t>
  </si>
  <si>
    <t>muller_1876-05-11</t>
  </si>
  <si>
    <t>naples_1872-11-23</t>
  </si>
  <si>
    <t>nicolle_1871-06-16</t>
  </si>
  <si>
    <t>nicollet_1875-12-18</t>
  </si>
  <si>
    <t>nogaro_1880-04-05</t>
  </si>
  <si>
    <t>nouelle_1887-08-30</t>
  </si>
  <si>
    <t>ollier_1876-05-13</t>
  </si>
  <si>
    <t>paganon_1880-03-19</t>
  </si>
  <si>
    <t>palmade_1886-10-04</t>
  </si>
  <si>
    <t>paqué_1866-07-22</t>
  </si>
  <si>
    <t>paulin_1881-11-21</t>
  </si>
  <si>
    <t>payra_1882-02-16</t>
  </si>
  <si>
    <t>peigné_1862-09-21</t>
  </si>
  <si>
    <t>peirotes_1869-09-11</t>
  </si>
  <si>
    <t>pélissier_1890-03-15</t>
  </si>
  <si>
    <t>péraudin_1865-07-08</t>
  </si>
  <si>
    <t>pernot_1879-11-06</t>
  </si>
  <si>
    <t>perronne_1887-09-27</t>
  </si>
  <si>
    <t>petitier_1873-11-01</t>
  </si>
  <si>
    <t>petitjean_1881-11-07</t>
  </si>
  <si>
    <t>pietri_1882-08-08</t>
  </si>
  <si>
    <t>piquemal_1891-09-12</t>
  </si>
  <si>
    <t>planchenault_1862-05-26</t>
  </si>
  <si>
    <t>robaglia_1867-07-08</t>
  </si>
  <si>
    <t>rodhain_1868-08-14</t>
  </si>
  <si>
    <t>roux_1870-10-11</t>
  </si>
  <si>
    <t>roux_1865-06-29</t>
  </si>
  <si>
    <t>saint-just_1862-01-05</t>
  </si>
  <si>
    <t>salmon_1876-05-20</t>
  </si>
  <si>
    <t>schleiter_1872-07-18</t>
  </si>
  <si>
    <t>sclafer_1898-03-03</t>
  </si>
  <si>
    <t>sérandour_1879-07-29</t>
  </si>
  <si>
    <t>sérol_1877-07-21</t>
  </si>
  <si>
    <t>ponard_1861-08-08</t>
  </si>
  <si>
    <t>puechmaille_1874-05-02</t>
  </si>
  <si>
    <t>railhac_1875-04-20</t>
  </si>
  <si>
    <t>régis_1878-05-13</t>
  </si>
  <si>
    <t>reynaud_1891-05-23</t>
  </si>
  <si>
    <t>reynaud_1875-03-18</t>
  </si>
  <si>
    <t>richard_1894-03-03</t>
  </si>
  <si>
    <t>rieux_1878-04-04</t>
  </si>
  <si>
    <t>rimbert_1869-09-30</t>
  </si>
  <si>
    <t>silbermann_1875-07-14</t>
  </si>
  <si>
    <t>sizaire_1878-09-11</t>
  </si>
  <si>
    <t>spinasse_1893-10-22</t>
  </si>
  <si>
    <t>tasso_1882-10-10</t>
  </si>
  <si>
    <t>taton-vassal_1881-01-10</t>
  </si>
  <si>
    <t>ternaux_1862-03-23</t>
  </si>
  <si>
    <t>teyssier_1862-02-19</t>
  </si>
  <si>
    <t>thivrier_1874-10-05</t>
  </si>
  <si>
    <t>thuau_1861-05-06</t>
  </si>
  <si>
    <t>tilloy_1878-10-09</t>
  </si>
  <si>
    <t>trémintin_1876-06-05</t>
  </si>
  <si>
    <t>trémoulière_1856-12-17</t>
  </si>
  <si>
    <t>triballet_1884-09-25</t>
  </si>
  <si>
    <t>vidal_1866-03-11</t>
  </si>
  <si>
    <t>weill_1882-09-17</t>
  </si>
  <si>
    <t>villemant_1863-08-07</t>
  </si>
  <si>
    <t>waron_1868-08-01</t>
  </si>
  <si>
    <t>violle_1869-10-21</t>
  </si>
  <si>
    <t>vasseux_1860-09-12</t>
  </si>
  <si>
    <t>vermare_1866-06-02</t>
  </si>
  <si>
    <t>lautier_1867-08-20</t>
  </si>
  <si>
    <t>douarec_1884-03-24</t>
  </si>
  <si>
    <t>friec_1857-05-13</t>
  </si>
  <si>
    <t>moyne_1881-10-15</t>
  </si>
  <si>
    <t>lévy-alphandéry_1862-01-14</t>
  </si>
  <si>
    <t>longuet_1866-01-01</t>
  </si>
  <si>
    <t>mallarmé_1877-08-06</t>
  </si>
  <si>
    <t>gardiol_1879-09-25</t>
  </si>
  <si>
    <t>petsche_1895-12-01</t>
  </si>
  <si>
    <t>déat_1894-03-07</t>
  </si>
  <si>
    <t>marchandeau_1882-08-10</t>
  </si>
  <si>
    <t>duclos_1896-10-02</t>
  </si>
  <si>
    <t>fournier_1882-03-08</t>
  </si>
  <si>
    <t>arnould_1891-06-08</t>
  </si>
  <si>
    <t>barbier_1885-03-03</t>
  </si>
  <si>
    <t>carlier-caffieri_1878-12-09</t>
  </si>
  <si>
    <t>coquelle_1864-07-05</t>
  </si>
  <si>
    <t>coutel_1871-12-10</t>
  </si>
  <si>
    <t>coudert_1887-07-28</t>
  </si>
  <si>
    <t>moulière_1866-11-22</t>
  </si>
  <si>
    <t>saudubray_1888-10-20</t>
  </si>
  <si>
    <t>legué_1865-07-27</t>
  </si>
  <si>
    <t>bouhenry_1873-11-23</t>
  </si>
  <si>
    <t>adam_1883-03-06</t>
  </si>
  <si>
    <t>albert_1877-04-04</t>
  </si>
  <si>
    <t>andré_1884-05-29</t>
  </si>
  <si>
    <t>baudouin-bugnet_1889-08-06</t>
  </si>
  <si>
    <t>bloud_1876-12-10</t>
  </si>
  <si>
    <t>bonnefous_1859-09-07</t>
  </si>
  <si>
    <t>bouissoud_1880-07-30</t>
  </si>
  <si>
    <t>coponat_1893-11-22</t>
  </si>
  <si>
    <t>cot_1895-11-20</t>
  </si>
  <si>
    <t>cuttoli_1871-09-23</t>
  </si>
  <si>
    <t>desbons_1891-02-01</t>
  </si>
  <si>
    <t>desgranges_1874-01-12</t>
  </si>
  <si>
    <t>fays_1870-03-13</t>
  </si>
  <si>
    <t>férin_1871-07-16</t>
  </si>
  <si>
    <t>fiancette_1881-10-25</t>
  </si>
  <si>
    <t>filhoud-lavergne_1889-07-08</t>
  </si>
  <si>
    <t>fougère_1871-01-04</t>
  </si>
  <si>
    <t>frossard_1889-03-05</t>
  </si>
  <si>
    <t>gellié_1885-08-12</t>
  </si>
  <si>
    <t>gérard_1878-04-30</t>
  </si>
  <si>
    <t>gianotti_1871-09-28</t>
  </si>
  <si>
    <t>graëve_1878-12-08</t>
  </si>
  <si>
    <t>la chambre_1898-06-05</t>
  </si>
  <si>
    <t>macouin_1888-07-25</t>
  </si>
  <si>
    <t>menier_1873-12-12</t>
  </si>
  <si>
    <t>minvielle_1880-01-25</t>
  </si>
  <si>
    <t>molle_1868-02-16</t>
  </si>
  <si>
    <t>moustier_1882-04-05</t>
  </si>
  <si>
    <t>pascaud_1876-10-22</t>
  </si>
  <si>
    <t>patenôtre_1900-07-31</t>
  </si>
  <si>
    <t>peissel_1879-05-22</t>
  </si>
  <si>
    <t>rocca-serra_1880-08-16</t>
  </si>
  <si>
    <t>rolland_1877-08-24</t>
  </si>
  <si>
    <t>polignac_1887-10-04</t>
  </si>
  <si>
    <t>puybaudet_1885-01-16</t>
  </si>
  <si>
    <t>tailliandier_1873-06-06</t>
  </si>
  <si>
    <t>taudière_1890-07-14</t>
  </si>
  <si>
    <t>wolff_1878-07-22</t>
  </si>
  <si>
    <t>vezouët_1877-10-15</t>
  </si>
  <si>
    <t>lecacheux_1880-03-15</t>
  </si>
  <si>
    <t>lissar_1871-02-06</t>
  </si>
  <si>
    <t>albertin_1879-11-30</t>
  </si>
  <si>
    <t>alès_1870-01-22</t>
  </si>
  <si>
    <t>amat_1877-07-14</t>
  </si>
  <si>
    <t>clos_1881-09-16</t>
  </si>
  <si>
    <t>amiot_1871-08-02</t>
  </si>
  <si>
    <t>andraud_1895-04-09</t>
  </si>
  <si>
    <t>aubaud_1881-11-03</t>
  </si>
  <si>
    <t>aurin_1899-06-19</t>
  </si>
  <si>
    <t>autrand_1878-11-30</t>
  </si>
  <si>
    <t>bahier_1887-09-11</t>
  </si>
  <si>
    <t>ballu_1885-05-27</t>
  </si>
  <si>
    <t>barbot_1893-04-27</t>
  </si>
  <si>
    <t>barillet_1871-01-25</t>
  </si>
  <si>
    <t>baron_1878-03-03</t>
  </si>
  <si>
    <t>bascou_1865-02-09</t>
  </si>
  <si>
    <t>basset_1889-07-21</t>
  </si>
  <si>
    <t>beaugrand_1893-10-24</t>
  </si>
  <si>
    <t>bellanger_1884-01-03</t>
  </si>
  <si>
    <t>bellocq_1880-03-10</t>
  </si>
  <si>
    <t>beluel_1885-02-21</t>
  </si>
  <si>
    <t>berger_1885-06-07</t>
  </si>
  <si>
    <t>bergerot_1861-03-30</t>
  </si>
  <si>
    <t>bergery_1892-11-22</t>
  </si>
  <si>
    <t>béron_1896-01-01</t>
  </si>
  <si>
    <t>berthézenne_1871-01-30</t>
  </si>
  <si>
    <t>besnard-ferron_1873-05-13</t>
  </si>
  <si>
    <t>besset_1892-01-04</t>
  </si>
  <si>
    <t>blanc_1873-06-21</t>
  </si>
  <si>
    <t>blancho_1893-06-28</t>
  </si>
  <si>
    <t>blondel_1877-04-29</t>
  </si>
  <si>
    <t>boisseau_1884-08-27</t>
  </si>
  <si>
    <t>boucheron_1880-12-25</t>
  </si>
  <si>
    <t>boüessé_1891-07-16</t>
  </si>
  <si>
    <t>bourgot_1879-08-04</t>
  </si>
  <si>
    <t>boutet_1865-06-17</t>
  </si>
  <si>
    <t>braise_1893-04-09</t>
  </si>
  <si>
    <t>brandon_1878-03-24</t>
  </si>
  <si>
    <t>bravet_1873-11-15</t>
  </si>
  <si>
    <t>bréant_1880-12-25</t>
  </si>
  <si>
    <t>breton andré dit_1897-04-01</t>
  </si>
  <si>
    <t>brière_1873-12-13</t>
  </si>
  <si>
    <t>briquet_1880-03-10</t>
  </si>
  <si>
    <t>brunet_1882-11-13</t>
  </si>
  <si>
    <t>bruyas_1892-01-04</t>
  </si>
  <si>
    <t>burtin_1892-03-28</t>
  </si>
  <si>
    <t>buyat_1875-01-26</t>
  </si>
  <si>
    <t>calliès_1870-03-26</t>
  </si>
  <si>
    <t>calvet_1889-02-25</t>
  </si>
  <si>
    <t>camboulives_1883-08-26</t>
  </si>
  <si>
    <t>canu_1864-09-11</t>
  </si>
  <si>
    <t>capron_1854-08-23</t>
  </si>
  <si>
    <t>castanet_1884-03-22</t>
  </si>
  <si>
    <t>catalan_1889-02-10</t>
  </si>
  <si>
    <t>cathala_1888-09-22</t>
  </si>
  <si>
    <t>caujole_1878-10-11</t>
  </si>
  <si>
    <t>cazaud_1858-03-08</t>
  </si>
  <si>
    <t>chommeton_1869-03-06</t>
  </si>
  <si>
    <t>chouffet_1895-03-04</t>
  </si>
  <si>
    <t>colomb_1883-07-22</t>
  </si>
  <si>
    <t>cotin_1876-08-28</t>
  </si>
  <si>
    <t>courrent_1872-06-06</t>
  </si>
  <si>
    <t>cravoisier_1884-12-21</t>
  </si>
  <si>
    <t>dahlet_1883-07-21</t>
  </si>
  <si>
    <t>debève_1876-05-21</t>
  </si>
  <si>
    <t>debrégéas_1882-02-23</t>
  </si>
  <si>
    <t>deguise_1894-10-26</t>
  </si>
  <si>
    <t>delabarre_1887-11-06</t>
  </si>
  <si>
    <t>delcourt_1889-10-10</t>
  </si>
  <si>
    <t>deligne_1861-10-07</t>
  </si>
  <si>
    <t>delmotte_1876-02-05</t>
  </si>
  <si>
    <t>delorme_1865-03-09</t>
  </si>
  <si>
    <t>delsol_1870-03-09</t>
  </si>
  <si>
    <t>descubes_1887-03-02</t>
  </si>
  <si>
    <t>dessaint_1869-02-15</t>
  </si>
  <si>
    <t>détailleur_1890-11-22</t>
  </si>
  <si>
    <t>dien_1875-05-24</t>
  </si>
  <si>
    <t>doeblé_1890-02-24</t>
  </si>
  <si>
    <t>dollat_1882-07-18</t>
  </si>
  <si>
    <t>dormann_1881-04-20</t>
  </si>
  <si>
    <t>doussain_1872-05-01</t>
  </si>
  <si>
    <t>dumaine_1877-06-22</t>
  </si>
  <si>
    <t>dumat_1901-12-24</t>
  </si>
  <si>
    <t>durand_1874-03-23</t>
  </si>
  <si>
    <t>escartefigue_1872-11-02</t>
  </si>
  <si>
    <t>faget_1861-07-25</t>
  </si>
  <si>
    <t>faure_1890-07-21</t>
  </si>
  <si>
    <t>faure_1882-05-22</t>
  </si>
  <si>
    <t>fels_1890-01-27</t>
  </si>
  <si>
    <t>ferrand_1892-01-10</t>
  </si>
  <si>
    <t>forcinal_1887-05-11</t>
  </si>
  <si>
    <t>foulon_1886-09-16</t>
  </si>
  <si>
    <t>fraisseix_1872-07-12</t>
  </si>
  <si>
    <t>gallet_1875-11-26</t>
  </si>
  <si>
    <t>gaumet_1880-11-09</t>
  </si>
  <si>
    <t>geistdoerfer_1883-04-14</t>
  </si>
  <si>
    <t>germain-martin_1872-11-07</t>
  </si>
  <si>
    <t>gignoux_1890-11-29</t>
  </si>
  <si>
    <t>goujon_1869-07-23</t>
  </si>
  <si>
    <t>gounin_1898-06-18</t>
  </si>
  <si>
    <t>gourdeau_1883-02-19</t>
  </si>
  <si>
    <t>gout_1876-11-09</t>
  </si>
  <si>
    <t>gramond-lesparre_1889-05-29</t>
  </si>
  <si>
    <t>gratien_1878-10-22</t>
  </si>
  <si>
    <t>gros_1881-01-11</t>
  </si>
  <si>
    <t>grumbach_1884-01-06</t>
  </si>
  <si>
    <t>guérault_1874-03-27</t>
  </si>
  <si>
    <t>guernut_1876-11-02</t>
  </si>
  <si>
    <t>guersy_1880-08-03</t>
  </si>
  <si>
    <t>guillon_1885-09-13</t>
  </si>
  <si>
    <t>guy_1868-01-23</t>
  </si>
  <si>
    <t>sigy_1876-07-14</t>
  </si>
  <si>
    <t>henry-haye_1890-02-06</t>
  </si>
  <si>
    <t>hérard_1888-07-06</t>
  </si>
  <si>
    <t>honnorat_1870-12-02</t>
  </si>
  <si>
    <t>hymans_1900-03-02</t>
  </si>
  <si>
    <t>jacoulot_1869-11-30</t>
  </si>
  <si>
    <t>jaubert_1879-12-01</t>
  </si>
  <si>
    <t>labach_1872-10-24</t>
  </si>
  <si>
    <t>lafaye_1888-10-14</t>
  </si>
  <si>
    <t>laquière_1881-08-10</t>
  </si>
  <si>
    <t>largier_1873-06-01</t>
  </si>
  <si>
    <t>laroche_1887-10-04</t>
  </si>
  <si>
    <t>laumond_1865-08-22</t>
  </si>
  <si>
    <t>lorgeré_1891-01-26</t>
  </si>
  <si>
    <t>louart_1874-12-14</t>
  </si>
  <si>
    <t>lupel_1880-01-14</t>
  </si>
  <si>
    <t>luquet_1874-02-08</t>
  </si>
  <si>
    <t>malingre_1882-06-01</t>
  </si>
  <si>
    <t>marcombes_1877-12-05</t>
  </si>
  <si>
    <t>marie_1897-12-03</t>
  </si>
  <si>
    <t>marsais_1883-08-19</t>
  </si>
  <si>
    <t>marteau_1875-01-31</t>
  </si>
  <si>
    <t>masclanis_1858-03-25</t>
  </si>
  <si>
    <t>massé_1877-05-24</t>
  </si>
  <si>
    <t>masse_1868-06-03</t>
  </si>
  <si>
    <t>massimi_1885-09-01</t>
  </si>
  <si>
    <t>mathieu_1878-04-04</t>
  </si>
  <si>
    <t>meck_1897-07-31</t>
  </si>
  <si>
    <t>ménil_1873-02-28</t>
  </si>
  <si>
    <t>merle_1887-12-25</t>
  </si>
  <si>
    <t>millot_1881-10-07</t>
  </si>
  <si>
    <t>mistler_1897-09-01</t>
  </si>
  <si>
    <t>moch_1893-03-15</t>
  </si>
  <si>
    <t>monnet_1898-08-12</t>
  </si>
  <si>
    <t>mottu_1886-03-01</t>
  </si>
  <si>
    <t>mourer_1897-08-19</t>
  </si>
  <si>
    <t>neyret_1890-05-13</t>
  </si>
  <si>
    <t>nomblot_1868-01-25</t>
  </si>
  <si>
    <t>nominé_1892-04-08</t>
  </si>
  <si>
    <t>odin_1889-01-20</t>
  </si>
  <si>
    <t>parenteau_1859-07-25</t>
  </si>
  <si>
    <t>parsy_1878-01-29</t>
  </si>
  <si>
    <t>patenôtre-desnoyers_1883-02-03</t>
  </si>
  <si>
    <t>payen_1881-05-13</t>
  </si>
  <si>
    <t>péchin_1871-06-22</t>
  </si>
  <si>
    <t>perfetti_1875-10-21</t>
  </si>
  <si>
    <t>perrin_1888-10-08</t>
  </si>
  <si>
    <t>peter_1887-09-21</t>
  </si>
  <si>
    <t>pezet_1887-12-06</t>
  </si>
  <si>
    <t>pic_1879-06-09</t>
  </si>
  <si>
    <t>pieyre_1867-03-09</t>
  </si>
  <si>
    <t>pinault_1870-09-24</t>
  </si>
  <si>
    <t>planche_1892-05-05</t>
  </si>
  <si>
    <t>poillot_1864-09-09</t>
  </si>
  <si>
    <t>robert_1884-07-11</t>
  </si>
  <si>
    <t>roche_1865-12-09</t>
  </si>
  <si>
    <t>rossé_1892-08-26</t>
  </si>
  <si>
    <t>roumagoux_1877-12-13</t>
  </si>
  <si>
    <t>rouquier_1863-10-12</t>
  </si>
  <si>
    <t>roy_1882-03-12</t>
  </si>
  <si>
    <t>rucart_1893-07-24</t>
  </si>
  <si>
    <t>rucklin_1889-12-31</t>
  </si>
  <si>
    <t>sabatier_1885-05-03</t>
  </si>
  <si>
    <t>sabiani_1889-05-14</t>
  </si>
  <si>
    <t>salengro_1890-05-30</t>
  </si>
  <si>
    <t>sallès_1860-05-19</t>
  </si>
  <si>
    <t>scapini_1893-10-04</t>
  </si>
  <si>
    <t>pomaret_1897-08-16</t>
  </si>
  <si>
    <t>porterat_1870-10-02</t>
  </si>
  <si>
    <t>pradon-vallancy_1891-09-07</t>
  </si>
  <si>
    <t>queinnec_1885-10-07</t>
  </si>
  <si>
    <t>ramadier_1888-03-17</t>
  </si>
  <si>
    <t>raude_1878-06-01</t>
  </si>
  <si>
    <t>rauzy_1903-01-14</t>
  </si>
  <si>
    <t>ravanat_1882-12-01</t>
  </si>
  <si>
    <t>renaitour_1896-03-31</t>
  </si>
  <si>
    <t>ricci_1869-02-11</t>
  </si>
  <si>
    <t>riché_1883-07-15</t>
  </si>
  <si>
    <t>richerand_1862-10-13</t>
  </si>
  <si>
    <t>ricklin_1862-05-12</t>
  </si>
  <si>
    <t>riffaterre_1879-04-20</t>
  </si>
  <si>
    <t>sevestre_1885-08-20</t>
  </si>
  <si>
    <t>sire_1862-01-26</t>
  </si>
  <si>
    <t>surmont_1893-02-19</t>
  </si>
  <si>
    <t>tastes_1881-10-23</t>
  </si>
  <si>
    <t>tellier_1876-09-29</t>
  </si>
  <si>
    <t>de tessan_1883-02-16</t>
  </si>
  <si>
    <t>thibault_1870-07-17</t>
  </si>
  <si>
    <t>thomas_1895-01-22</t>
  </si>
  <si>
    <t>tricard-graveron_1901-07-18</t>
  </si>
  <si>
    <t>tricoteaux_1876-09-27</t>
  </si>
  <si>
    <t>vassal_1876-11-01</t>
  </si>
  <si>
    <t>vernay_1877-06-27</t>
  </si>
  <si>
    <t>vincent_1874-07-20</t>
  </si>
  <si>
    <t>valensi_1886-06-21</t>
  </si>
  <si>
    <t>weydmann_1871-07-10</t>
  </si>
  <si>
    <t>laurent_1858-07-12</t>
  </si>
  <si>
    <t>lauvray_1877-09-24</t>
  </si>
  <si>
    <t>laville_1880-03-09</t>
  </si>
  <si>
    <t>pévedic_1879-12-03</t>
  </si>
  <si>
    <t>lebret_1886-10-16</t>
  </si>
  <si>
    <t>léglise_1872-10-23</t>
  </si>
  <si>
    <t>lemelle_1872-03-30</t>
  </si>
  <si>
    <t>lesesne_1878-07-29</t>
  </si>
  <si>
    <t>lierman_1889-07-13</t>
  </si>
  <si>
    <t>lillaz_1881-01-06</t>
  </si>
  <si>
    <t>rivière_1891-04-24</t>
  </si>
  <si>
    <t>drouot_1876-02-10</t>
  </si>
  <si>
    <t>vincent_1886-03-26</t>
  </si>
  <si>
    <t>blacque-belair_1898-08-21</t>
  </si>
  <si>
    <t>leboeuf_1872-12-05</t>
  </si>
  <si>
    <t>stürmel_1900-06-17</t>
  </si>
  <si>
    <t>hauss_1896-01-25</t>
  </si>
  <si>
    <t>bardon_1901-01-10</t>
  </si>
  <si>
    <t>d'harcourt_1902-07-12</t>
  </si>
  <si>
    <t>thureau-dangin_1876-01-06</t>
  </si>
  <si>
    <t>mitton_1870-11-25</t>
  </si>
  <si>
    <t>rieder_1868-10-15</t>
  </si>
  <si>
    <t>grimaud_1888-12-01</t>
  </si>
  <si>
    <t>tonnellier_1887-10-29</t>
  </si>
  <si>
    <t>roulleaux-dugage_1881-08-07</t>
  </si>
  <si>
    <t>cadoret_1887-02-13</t>
  </si>
  <si>
    <t>simounet_1878-09-19</t>
  </si>
  <si>
    <t>ledoux_1881-02-05</t>
  </si>
  <si>
    <t>bérenger_1886-04-03</t>
  </si>
  <si>
    <t>salette_1879-08-10</t>
  </si>
  <si>
    <t>leguet_1880-02-23</t>
  </si>
  <si>
    <t>kéroüartz_1898-09-11</t>
  </si>
  <si>
    <t>mazaud_1888-07-19</t>
  </si>
  <si>
    <t>cozannet_1898-01-28</t>
  </si>
  <si>
    <t>boissin_1869-01-15</t>
  </si>
  <si>
    <t>l'hévéder_1899-01-24</t>
  </si>
  <si>
    <t>niel_1894-12-26</t>
  </si>
  <si>
    <t>jardel_1880-09-06</t>
  </si>
  <si>
    <t>thébault_1893-09-12</t>
  </si>
  <si>
    <t>ambrosini_1880-01-05</t>
  </si>
  <si>
    <t>louis-dreyfus_1867-09-06</t>
  </si>
  <si>
    <t>parayre_1893-11-09</t>
  </si>
  <si>
    <t>génébrier_1870-09-08</t>
  </si>
  <si>
    <t>parès_1887-08-02</t>
  </si>
  <si>
    <t>odoux_1871-03-12</t>
  </si>
  <si>
    <t>beltrémieux_1876-03-15</t>
  </si>
  <si>
    <t>salles_1891-02-22</t>
  </si>
  <si>
    <t>jules-julien_1882-09-20</t>
  </si>
  <si>
    <t>boulay_1889-07-14</t>
  </si>
  <si>
    <t>nast_1884-09-24</t>
  </si>
  <si>
    <t>dormoy_1888-08-01</t>
  </si>
  <si>
    <t>cluzan_1887-06-19</t>
  </si>
  <si>
    <t>oudin_1873-01-20</t>
  </si>
  <si>
    <t>d'andigné_1868-12-11</t>
  </si>
  <si>
    <t>bousgarbiès_1889-02-19</t>
  </si>
  <si>
    <t>bousquet_1879-07-08</t>
  </si>
  <si>
    <t>campinchi_1882-05-04</t>
  </si>
  <si>
    <t>carbuccia_1891-03-01</t>
  </si>
  <si>
    <t>compayré_1877-11-23</t>
  </si>
  <si>
    <t>corsin_1881-08-03</t>
  </si>
  <si>
    <t>deudon_1896-04-03</t>
  </si>
  <si>
    <t>duez_1872-08-18</t>
  </si>
  <si>
    <t>faure_1891-10-11</t>
  </si>
  <si>
    <t>fieu_1879-11-07</t>
  </si>
  <si>
    <t>guillois_1872-02-23</t>
  </si>
  <si>
    <t>jacquinot_1898-09-16</t>
  </si>
  <si>
    <t>l'aigle_1875-11-07</t>
  </si>
  <si>
    <t>lotz_1877-08-24</t>
  </si>
  <si>
    <t>médecin_1890-12-02</t>
  </si>
  <si>
    <t>menant_1891-03-27</t>
  </si>
  <si>
    <t>moutet_1887-10-31</t>
  </si>
  <si>
    <t>pierre_1864-11-26</t>
  </si>
  <si>
    <t>rollin_1880-02-25</t>
  </si>
  <si>
    <t>ravel_1893-10-18</t>
  </si>
  <si>
    <t>torrès_1891-10-17</t>
  </si>
  <si>
    <t>vardelle_1883-04-16</t>
  </si>
  <si>
    <t>vidal_1894-08-26</t>
  </si>
  <si>
    <t>roux_1871-10-26</t>
  </si>
  <si>
    <t>léculier_1874-07-23</t>
  </si>
  <si>
    <t>aubert_1878-08-25</t>
  </si>
  <si>
    <t>augé_1881-12-19</t>
  </si>
  <si>
    <t>aulois_1893-06-18</t>
  </si>
  <si>
    <t>bacquet_1881-12-29</t>
  </si>
  <si>
    <t>barbero_1870-08-24</t>
  </si>
  <si>
    <t>barthélemy_1897-06-15</t>
  </si>
  <si>
    <t>basquin_1895-01-27</t>
  </si>
  <si>
    <t>baylet_1867-10-14</t>
  </si>
  <si>
    <t>beauguitte_1901-07-06</t>
  </si>
  <si>
    <t>bedu_1876-01-07</t>
  </si>
  <si>
    <t>besse_1891-02-20</t>
  </si>
  <si>
    <t>besson_1898-06-06</t>
  </si>
  <si>
    <t>blériot_1891-07-29</t>
  </si>
  <si>
    <t>bonnaure_1886-01-21</t>
  </si>
  <si>
    <t>boyer_1887-11-07</t>
  </si>
  <si>
    <t>brachard_1887-04-29</t>
  </si>
  <si>
    <t>burrus_1882-03-08</t>
  </si>
  <si>
    <t>cabannes_1882-08-12</t>
  </si>
  <si>
    <t>camier_1884-06-15</t>
  </si>
  <si>
    <t>canda_1884-06-16</t>
  </si>
  <si>
    <t>capron_1896-03-24</t>
  </si>
  <si>
    <t>castagnez_1902-04-29</t>
  </si>
  <si>
    <t>cazalet_1886-01-11</t>
  </si>
  <si>
    <t>chatenet_1879-06-14</t>
  </si>
  <si>
    <t>chauvel_1902-05-20</t>
  </si>
  <si>
    <t>chichery_1888-10-12</t>
  </si>
  <si>
    <t>clerc_1881-12-22</t>
  </si>
  <si>
    <t>coache_1890-06-24</t>
  </si>
  <si>
    <t>cochet_1867-07-20</t>
  </si>
  <si>
    <t>cointreau_1888-05-28</t>
  </si>
  <si>
    <t>cornu_1892-06-27</t>
  </si>
  <si>
    <t>couillerot_1863-01-04</t>
  </si>
  <si>
    <t>courson_1883-10-21</t>
  </si>
  <si>
    <t>creyssel_1895-06-15</t>
  </si>
  <si>
    <t>crutel_1879-12-04</t>
  </si>
  <si>
    <t>daroux_1866-07-25</t>
  </si>
  <si>
    <t>dasque_1872-08-14</t>
  </si>
  <si>
    <t>delabie_1887-08-20</t>
  </si>
  <si>
    <t>delom-sorbé_1898-09-17</t>
  </si>
  <si>
    <t>delsart_1883-12-08</t>
  </si>
  <si>
    <t>denis_1868-10-28</t>
  </si>
  <si>
    <t>deschanel_1904-09-01</t>
  </si>
  <si>
    <t>deschizeaux_1897-12-15</t>
  </si>
  <si>
    <t>desgeorges_1888-08-24</t>
  </si>
  <si>
    <t>desprez-potié_1887-09-26</t>
  </si>
  <si>
    <t>deudon_1889-06-10</t>
  </si>
  <si>
    <t>dewez_1904-09-30</t>
  </si>
  <si>
    <t>diesbach_1893-08-31</t>
  </si>
  <si>
    <t>dommange_1888-12-18</t>
  </si>
  <si>
    <t>dubon_1894-09-11</t>
  </si>
  <si>
    <t>duchesne-fournet_1880-08-01</t>
  </si>
  <si>
    <t>dumoret_1892-06-24</t>
  </si>
  <si>
    <t>mahérie_1887-10-30</t>
  </si>
  <si>
    <t>dupré_1871-01-20</t>
  </si>
  <si>
    <t>dupuis_1891-08-16</t>
  </si>
  <si>
    <t>elsaesser_1891-01-04</t>
  </si>
  <si>
    <t>fauchon_1894-03-04</t>
  </si>
  <si>
    <t>fayssat_1897-11-14</t>
  </si>
  <si>
    <t>fouilland_1900-10-04</t>
  </si>
  <si>
    <t>fourès_1879-02-09</t>
  </si>
  <si>
    <t>froment_1884-03-13</t>
  </si>
  <si>
    <t>gélis_1886-08-16</t>
  </si>
  <si>
    <t>gentin_1876-09-27</t>
  </si>
  <si>
    <t>girard_1898-11-16</t>
  </si>
  <si>
    <t>graziani_1884-05-28</t>
  </si>
  <si>
    <t>grisoni_1886-05-20</t>
  </si>
  <si>
    <t>guastavino_1886-04-02</t>
  </si>
  <si>
    <t>guillon_1887-08-25</t>
  </si>
  <si>
    <t>henriot_1889-01-07</t>
  </si>
  <si>
    <t>hussel_1889-12-27</t>
  </si>
  <si>
    <t>jacot_1884-12-03</t>
  </si>
  <si>
    <t>jardillier_1890-03-31</t>
  </si>
  <si>
    <t>lachal_1898-05-04</t>
  </si>
  <si>
    <t>lacourt_1876-10-24</t>
  </si>
  <si>
    <t>lagrange_1900-11-28</t>
  </si>
  <si>
    <t>lallemant_1878-08-08</t>
  </si>
  <si>
    <t>laniel_1889-10-12</t>
  </si>
  <si>
    <t>lasserre_1878-11-10</t>
  </si>
  <si>
    <t>luart_1881-09-01</t>
  </si>
  <si>
    <t>luquot_1881-01-02</t>
  </si>
  <si>
    <t>lyrot_1885-05-26</t>
  </si>
  <si>
    <t>mahagne_1879-10-20</t>
  </si>
  <si>
    <t>malet_1888-07-15</t>
  </si>
  <si>
    <t>malric_1883-12-23</t>
  </si>
  <si>
    <t>martel_1899-01-20</t>
  </si>
  <si>
    <t>martin_1886-09-26</t>
  </si>
  <si>
    <t>martinaud-déplat_1899-08-09</t>
  </si>
  <si>
    <t>mauger_1891-04-27</t>
  </si>
  <si>
    <t>mazé_1893-01-09</t>
  </si>
  <si>
    <t>mège_1883-08-01</t>
  </si>
  <si>
    <t>mendès france_1907-01-11</t>
  </si>
  <si>
    <t>métayer_1869-12-29</t>
  </si>
  <si>
    <t>michel_1882-04-26</t>
  </si>
  <si>
    <t>michel_1873-05-13</t>
  </si>
  <si>
    <t>midol_1883-09-24</t>
  </si>
  <si>
    <t>molènes_1896-09-05</t>
  </si>
  <si>
    <t>monjauvis_1904-12-02</t>
  </si>
  <si>
    <t>monnerville_1897-01-02</t>
  </si>
  <si>
    <t>montagnon_1889-08-19</t>
  </si>
  <si>
    <t>mortier_1882-01-09</t>
  </si>
  <si>
    <t>parmentier_1896-03-11</t>
  </si>
  <si>
    <t>pellé_1881-02-20</t>
  </si>
  <si>
    <t>péri_1902-02-09</t>
  </si>
  <si>
    <t>périn_1892-01-24</t>
  </si>
  <si>
    <t>perrein_1892-02-05</t>
  </si>
  <si>
    <t>perrin_1891-11-09</t>
  </si>
  <si>
    <t>perrot_1889-06-07</t>
  </si>
  <si>
    <t>piot_1889-06-27</t>
  </si>
  <si>
    <t>plard_1888-12-23</t>
  </si>
  <si>
    <t>roche_1895-06-29</t>
  </si>
  <si>
    <t>roldes_1867-09-13</t>
  </si>
  <si>
    <t>rolland_1902-10-27</t>
  </si>
  <si>
    <t>romastin_1883-03-25</t>
  </si>
  <si>
    <t>rous_1881-05-28</t>
  </si>
  <si>
    <t>roy_1887-06-16</t>
  </si>
  <si>
    <t>seitz_1896-07-11</t>
  </si>
  <si>
    <t>sellier_1885-11-06</t>
  </si>
  <si>
    <t>potut_1900-06-25</t>
  </si>
  <si>
    <t>pouchus_1885-02-14</t>
  </si>
  <si>
    <t>nadaillac_1880-08-05</t>
  </si>
  <si>
    <t>pradel_1873-06-02</t>
  </si>
  <si>
    <t>prentout_1889-04-06</t>
  </si>
  <si>
    <t>pringolliet_1879-01-23</t>
  </si>
  <si>
    <t>ramette_1897-10-12</t>
  </si>
  <si>
    <t>richard_1889-12-28</t>
  </si>
  <si>
    <t>rimbert_1870-09-15</t>
  </si>
  <si>
    <t>rives_1895-08-19</t>
  </si>
  <si>
    <t>silvestre_1896-07-21</t>
  </si>
  <si>
    <t>susset_1895-06-05</t>
  </si>
  <si>
    <t>thorez_1900-04-28</t>
  </si>
  <si>
    <t>tillie_1881-10-24</t>
  </si>
  <si>
    <t>revillon michel dit_1891-04-24</t>
  </si>
  <si>
    <t>ulrich_1880-07-02</t>
  </si>
  <si>
    <t>voirin_1891-01-28</t>
  </si>
  <si>
    <t>viénot_1897-08-05</t>
  </si>
  <si>
    <t>vidal_1896-12-27</t>
  </si>
  <si>
    <t>zay_1904-08-06</t>
  </si>
  <si>
    <t>wiltzer_1903-07-04</t>
  </si>
  <si>
    <t>wallach_1882-03-05</t>
  </si>
  <si>
    <t>bail_1898-08-04</t>
  </si>
  <si>
    <t>gac_1889-01-21</t>
  </si>
  <si>
    <t>lebel_1888-08-15</t>
  </si>
  <si>
    <t>lengrand_1892-02-03</t>
  </si>
  <si>
    <t>liautey_1896-03-09</t>
  </si>
  <si>
    <t>serda_1889-05-07</t>
  </si>
  <si>
    <t>framondée_1886-06-05</t>
  </si>
  <si>
    <t>genois_1880-11-02</t>
  </si>
  <si>
    <t>serre_1901-03-04</t>
  </si>
  <si>
    <t>fernand-laurent_1889-05-15</t>
  </si>
  <si>
    <t>poullen_1877-12-04</t>
  </si>
  <si>
    <t>thiolas_1901-04-17</t>
  </si>
  <si>
    <t>montillot_1882-07-03</t>
  </si>
  <si>
    <t>berlia_1878-05-23</t>
  </si>
  <si>
    <t>grandmaison_1896-05-05</t>
  </si>
  <si>
    <t>elbel_1875-03-06</t>
  </si>
  <si>
    <t>fleury_1879-08-06</t>
  </si>
  <si>
    <t>polimann_1890-11-19</t>
  </si>
  <si>
    <t>daille_1879-01-19</t>
  </si>
  <si>
    <t>saint-just_1896-03-19</t>
  </si>
  <si>
    <t>feuillette_1883-01-12</t>
  </si>
  <si>
    <t>myre-mory_1898-03-04</t>
  </si>
  <si>
    <t>brodel_1892-03-31</t>
  </si>
  <si>
    <t>thellier_1899-10-29</t>
  </si>
  <si>
    <t>ferru_1905-05-13</t>
  </si>
  <si>
    <t>thiébaut_1898-04-11</t>
  </si>
  <si>
    <t>saurin_1903-10-06</t>
  </si>
  <si>
    <t>cousin_1886-08-21</t>
  </si>
  <si>
    <t>sarret_1893-08-01</t>
  </si>
  <si>
    <t>tristan_1886-03-25</t>
  </si>
  <si>
    <t>gaillemin_1880-08-03</t>
  </si>
  <si>
    <t>diouf_1875-09-14</t>
  </si>
  <si>
    <t>lenain_1869-06-25</t>
  </si>
  <si>
    <t>barrachin_1900-01-12</t>
  </si>
  <si>
    <t>roche_1876-08-14</t>
  </si>
  <si>
    <t>manent_1884-04-24</t>
  </si>
  <si>
    <t>coral_1900-06-23</t>
  </si>
  <si>
    <t>quenette_1903-05-02</t>
  </si>
  <si>
    <t>lestapis_1898-08-27</t>
  </si>
  <si>
    <t>decréquy_1899-12-21</t>
  </si>
  <si>
    <t>laurens_1884-01-29</t>
  </si>
  <si>
    <t>archer_1883-02-15</t>
  </si>
  <si>
    <t>baudry_1891-11-01</t>
  </si>
  <si>
    <t>bartolini_1899-05-10</t>
  </si>
  <si>
    <t>villedieu_1887-12-09</t>
  </si>
  <si>
    <t>cabanis_1892-11-09</t>
  </si>
  <si>
    <t>blanchoin_1902-08-17</t>
  </si>
  <si>
    <t>mellenne_1893-04-29</t>
  </si>
  <si>
    <t>bézos_1882-05-05</t>
  </si>
  <si>
    <t>d'aillières_1895-06-09</t>
  </si>
  <si>
    <t>albertini_1890-11-15</t>
  </si>
  <si>
    <t>bardoul_1892-12-27</t>
  </si>
  <si>
    <t>bastide_1876-08-29</t>
  </si>
  <si>
    <t>bernex_1893-10-26</t>
  </si>
  <si>
    <t>bloncourt_1896-05-05</t>
  </si>
  <si>
    <t>claudet_1896-06-10</t>
  </si>
  <si>
    <t>cristofol_1901-03-24</t>
  </si>
  <si>
    <t>devaud_1896-05-15</t>
  </si>
  <si>
    <t>dubosc_1874-03-07</t>
  </si>
  <si>
    <t>elmiger_1886-03-29</t>
  </si>
  <si>
    <t>genty_1887-04-30</t>
  </si>
  <si>
    <t>gérente_1897-07-25</t>
  </si>
  <si>
    <t>harter_1897-01-23</t>
  </si>
  <si>
    <t>hartmann_1891-11-26</t>
  </si>
  <si>
    <t>izard_1903-06-17</t>
  </si>
  <si>
    <t>kérillis_1889-10-27</t>
  </si>
  <si>
    <t>lardier_1885-05-08</t>
  </si>
  <si>
    <t>lucas_1892-05-25</t>
  </si>
  <si>
    <t>masteau_1903-07-18</t>
  </si>
  <si>
    <t>michard-pellissier_1909-10-03</t>
  </si>
  <si>
    <t>monmousseau_1883-01-17</t>
  </si>
  <si>
    <t>morane_1901-06-17</t>
  </si>
  <si>
    <t>nader_1899-09-17</t>
  </si>
  <si>
    <t>pécherot_1887-10-25</t>
  </si>
  <si>
    <t>pierre-bloch_1905-04-14</t>
  </si>
  <si>
    <t>fardinière_1897-05-12</t>
  </si>
  <si>
    <t>suzannet_1884-10-11</t>
  </si>
  <si>
    <t>talandier_1872-05-10</t>
  </si>
  <si>
    <t>temple_1895-09-21</t>
  </si>
  <si>
    <t>charmes_1848-04-21</t>
  </si>
  <si>
    <t>girodet_1849-03-23</t>
  </si>
  <si>
    <t>graux_1843-02-15</t>
  </si>
  <si>
    <t>alicot_1842-07-17</t>
  </si>
  <si>
    <t>amagat_1847-07-12</t>
  </si>
  <si>
    <t>arrazat_1826-10-03</t>
  </si>
  <si>
    <t>audiffred_1840-12-12</t>
  </si>
  <si>
    <t>baïhaut_1843-04-02</t>
  </si>
  <si>
    <t>baltet_1832-11-25</t>
  </si>
  <si>
    <t>barodet_1823-07-27</t>
  </si>
  <si>
    <t>bastid_1853-10-01</t>
  </si>
  <si>
    <t>bélizal_1834-03-06</t>
  </si>
  <si>
    <t>belle_1824-12-08</t>
  </si>
  <si>
    <t>benazet paul,_1843-11-22</t>
  </si>
  <si>
    <t>bergerot_1820-09-07</t>
  </si>
  <si>
    <t>berlet_1837-10-18</t>
  </si>
  <si>
    <t>bernard_1836-11-11</t>
  </si>
  <si>
    <t>bert_1833-10-17</t>
  </si>
  <si>
    <t>bethmont_1833-10-12</t>
  </si>
  <si>
    <t>biliais_1836-03-22</t>
  </si>
  <si>
    <t>bischoffsheim_1823-07-22</t>
  </si>
  <si>
    <t>bizarelli_1836-07-25</t>
  </si>
  <si>
    <t>blanc_1811-10-29</t>
  </si>
  <si>
    <t>blanc_1806-06-20</t>
  </si>
  <si>
    <t>blancsubé_1834-12-11</t>
  </si>
  <si>
    <t>bourdon_1837-05-20</t>
  </si>
  <si>
    <t>d'anglas_1846-02-19</t>
  </si>
  <si>
    <t>bontoux_1846-12-13</t>
  </si>
  <si>
    <t>borriglione_1841-02-17</t>
  </si>
  <si>
    <t>boscher-delangle_1840-05-13</t>
  </si>
  <si>
    <t>boucau_1826-12-26</t>
  </si>
  <si>
    <t>bouchet_1840-12-28</t>
  </si>
  <si>
    <t>boudeville_1824-09-23</t>
  </si>
  <si>
    <t>bourgeois_1827-03-06</t>
  </si>
  <si>
    <t>bousquet_1839-04-20</t>
  </si>
  <si>
    <t>bouteille_1825-11-13</t>
  </si>
  <si>
    <t>rochefort_1814-04-08</t>
  </si>
  <si>
    <t>bovier-lapierre_1837-03-27</t>
  </si>
  <si>
    <t>boyer_1823-10-12</t>
  </si>
  <si>
    <t>boysset_1817-04-29</t>
  </si>
  <si>
    <t>brelay_1817-12-07</t>
  </si>
  <si>
    <t>brousse_1850-09-25</t>
  </si>
  <si>
    <t>brugère_1841-09-17</t>
  </si>
  <si>
    <t>brugnot_1827-05-11</t>
  </si>
  <si>
    <t>buyat_1831-07-08</t>
  </si>
  <si>
    <t>caduc_1818-09-13</t>
  </si>
  <si>
    <t>carnot_1837-08-11</t>
  </si>
  <si>
    <t>casimir-perier_1847-11-08</t>
  </si>
  <si>
    <t>cassagnac_1842-12-02</t>
  </si>
  <si>
    <t>cassou_1827-05-31</t>
  </si>
  <si>
    <t>cavalié_1831-03-04</t>
  </si>
  <si>
    <t>caze_1839-09-16</t>
  </si>
  <si>
    <t>chantemille_1827-04-23</t>
  </si>
  <si>
    <t>chevandier_1822-05-27</t>
  </si>
  <si>
    <t>chiris_1839-12-13</t>
  </si>
  <si>
    <t>choiseul-praslin_1837-02-23</t>
  </si>
  <si>
    <t>christophle_1830-07-13</t>
  </si>
  <si>
    <t>clemenceau_1841-09-28</t>
  </si>
  <si>
    <t>codet_1852-07-24</t>
  </si>
  <si>
    <t>colbert-laplace_1843-08-06</t>
  </si>
  <si>
    <t>constans_1833-05-03</t>
  </si>
  <si>
    <t>corneau_1826-08-19</t>
  </si>
  <si>
    <t>cornil_1837-06-17</t>
  </si>
  <si>
    <t>danelle-bernardin_1826-09-16</t>
  </si>
  <si>
    <t>datas_1804-03-31</t>
  </si>
  <si>
    <t>daumas_1826-05-25</t>
  </si>
  <si>
    <t>dautresme_1826-05-21</t>
  </si>
  <si>
    <t>deluns-montaud_1845-06-05</t>
  </si>
  <si>
    <t>demarçay_1835-10-26</t>
  </si>
  <si>
    <t>deniau_1834-02-01</t>
  </si>
  <si>
    <t>descamps_1832-10-13</t>
  </si>
  <si>
    <t>dethou_1819-04-18</t>
  </si>
  <si>
    <t>develle_1845-04-12</t>
  </si>
  <si>
    <t>douville-maillefeu_1835-08-06</t>
  </si>
  <si>
    <t>drumel_1844-01-25</t>
  </si>
  <si>
    <t>bodan_1827-05-23</t>
  </si>
  <si>
    <t>dubois_1814-03-28</t>
  </si>
  <si>
    <t>dubost_1844-04-06</t>
  </si>
  <si>
    <t>duchasseint_1814-01-20</t>
  </si>
  <si>
    <t>duclaud_1824-04-08</t>
  </si>
  <si>
    <t>ducroz_1820-05-21</t>
  </si>
  <si>
    <t>durand_1838-04-13</t>
  </si>
  <si>
    <t>offroy-durieu_1812-02-19</t>
  </si>
  <si>
    <t>duvivier_1817-08-10</t>
  </si>
  <si>
    <t>escande_1847-08-13</t>
  </si>
  <si>
    <t>escanyé_1833-05-15</t>
  </si>
  <si>
    <t>eschassériaux_1823-07-25</t>
  </si>
  <si>
    <t>d'espeuilles_1840-11-12</t>
  </si>
  <si>
    <t>fallières_1841-11-06</t>
  </si>
  <si>
    <t>fanien_1827-01-19</t>
  </si>
  <si>
    <t>farcy_1830-03-19</t>
  </si>
  <si>
    <t>faure_1841-01-30</t>
  </si>
  <si>
    <t>fauré_1840-01-03</t>
  </si>
  <si>
    <t>ferrary_1827-04-27</t>
  </si>
  <si>
    <t>ferry_1833-02-27</t>
  </si>
  <si>
    <t>ferry_1834-05-23</t>
  </si>
  <si>
    <t>floquet_1828-10-02</t>
  </si>
  <si>
    <t>folliet_1838-03-18</t>
  </si>
  <si>
    <t>fouquet_1825-11-10</t>
  </si>
  <si>
    <t>franconie_1845-01-15</t>
  </si>
  <si>
    <t>frébault_1825-03-07</t>
  </si>
  <si>
    <t>freppel_1827-06-01</t>
  </si>
  <si>
    <t>frogier de ponlevoy_1827-07-03</t>
  </si>
  <si>
    <t>gagneur_1807-08-09</t>
  </si>
  <si>
    <t>gambetta_1838-04-02</t>
  </si>
  <si>
    <t>ganault_1831-05-17</t>
  </si>
  <si>
    <t>gassier_1834-09-21</t>
  </si>
  <si>
    <t>gautier_1851-04-25</t>
  </si>
  <si>
    <t>germain_1824-02-19</t>
  </si>
  <si>
    <t>germain_1839-06-16</t>
  </si>
  <si>
    <t>gévelot_1826-06-06</t>
  </si>
  <si>
    <t>goblet_1828-11-26</t>
  </si>
  <si>
    <t>greppo_1810-01-08</t>
  </si>
  <si>
    <t>grollier_1807-03-25</t>
  </si>
  <si>
    <t>guéguen_1832-11-04</t>
  </si>
  <si>
    <t>guillot_1844-11-07</t>
  </si>
  <si>
    <t>guilloutet_1819-04-06</t>
  </si>
  <si>
    <t>horteur_1842-09-17</t>
  </si>
  <si>
    <t>hovius_1816-08-01</t>
  </si>
  <si>
    <t>joigneaux_1815-12-23</t>
  </si>
  <si>
    <t>jolibois_1819-06-04</t>
  </si>
  <si>
    <t>juigné_1825-06-15</t>
  </si>
  <si>
    <t>jullien_1845-07-10</t>
  </si>
  <si>
    <t>kermenguy_1810-12-01</t>
  </si>
  <si>
    <t>de la porte_1848-06-20</t>
  </si>
  <si>
    <t>bisaccia_1825-09-14</t>
  </si>
  <si>
    <t>rochejaquelein_1833-03-27</t>
  </si>
  <si>
    <t>labat_1819-01-28</t>
  </si>
  <si>
    <t>labussière_1845-02-01</t>
  </si>
  <si>
    <t>lacretelle_1815-08-21</t>
  </si>
  <si>
    <t>ladoucette_1844-04-23</t>
  </si>
  <si>
    <t>lajoannenque_1824-02-26</t>
  </si>
  <si>
    <t>laisant_1841-11-01</t>
  </si>
  <si>
    <t>lasbaysses_1831-02-12</t>
  </si>
  <si>
    <t>lasserre_1836-05-23</t>
  </si>
  <si>
    <t>loustalot_1826-01-04</t>
  </si>
  <si>
    <t>montjau_1814-08-01</t>
  </si>
  <si>
    <t>maigne_1816-08-25</t>
  </si>
  <si>
    <t>de maillé de la jumelliere_1816-07-01</t>
  </si>
  <si>
    <t>malartre_1834-11-29</t>
  </si>
  <si>
    <t>malézieux_1821-01-03</t>
  </si>
  <si>
    <t>marcou_1813-05-18</t>
  </si>
  <si>
    <t>maret_1837-03-04</t>
  </si>
  <si>
    <t>marmottan_1832-08-30</t>
  </si>
  <si>
    <t>martin-feuillée_1830-11-25</t>
  </si>
  <si>
    <t>mas_1830-11-25</t>
  </si>
  <si>
    <t>maunoury_1824-06-30</t>
  </si>
  <si>
    <t>méline_1838-05-20</t>
  </si>
  <si>
    <t>ménard-dorian_1846-04-26</t>
  </si>
  <si>
    <t>mercier_1825-01-10</t>
  </si>
  <si>
    <t>mézières_1826-11-19</t>
  </si>
  <si>
    <t>michou_1823-12-29</t>
  </si>
  <si>
    <t>mir_1843-04-14</t>
  </si>
  <si>
    <t>nadaud_1815-11-17</t>
  </si>
  <si>
    <t>naquet_1834-10-06</t>
  </si>
  <si>
    <t>neveux_1824-03-13</t>
  </si>
  <si>
    <t>noël-parfait_1813-12-30</t>
  </si>
  <si>
    <t>ollivier_1828-11-17</t>
  </si>
  <si>
    <t>ordinaire_1826-06-10</t>
  </si>
  <si>
    <t>d'ornano_1845-11-15</t>
  </si>
  <si>
    <t>papon_1821-09-05</t>
  </si>
  <si>
    <t>philippoteaux_1821-04-17</t>
  </si>
  <si>
    <t>picard_1825-07-08</t>
  </si>
  <si>
    <t>pierre-alype_1846-02-24</t>
  </si>
  <si>
    <t>pinault_1834-05-10</t>
  </si>
  <si>
    <t>rodat_1842-07-31</t>
  </si>
  <si>
    <t>rotours_1833-10-23</t>
  </si>
  <si>
    <t>rougé_1845-12-15</t>
  </si>
  <si>
    <t>rouvier_1842-04-17</t>
  </si>
  <si>
    <t>loulay_1848-08-08</t>
  </si>
  <si>
    <t>royer_1825-10-01</t>
  </si>
  <si>
    <t>michel_1839-08-14</t>
  </si>
  <si>
    <t>rubillard_1826-09-25</t>
  </si>
  <si>
    <t>saint-martin_1840-05-05</t>
  </si>
  <si>
    <t>saint-martin-valogne_1831-09-14</t>
  </si>
  <si>
    <t>saint-romme_1844-11-03</t>
  </si>
  <si>
    <t>salis_1848-03-21</t>
  </si>
  <si>
    <t>sarrien_1840-10-15</t>
  </si>
  <si>
    <t>sentenac_1835-01-24</t>
  </si>
  <si>
    <t>serph_1820-07-12</t>
  </si>
  <si>
    <t>pradon_1847-05-31</t>
  </si>
  <si>
    <t>prax-paris_1829-10-02</t>
  </si>
  <si>
    <t>proust_1832-03-10</t>
  </si>
  <si>
    <t>rauline_1822-06-01</t>
  </si>
  <si>
    <t>raynal_1840-07-26</t>
  </si>
  <si>
    <t>récipon_1839-10-18</t>
  </si>
  <si>
    <t>reille-soult-dalmatie_1835-02-04</t>
  </si>
  <si>
    <t>renault-morlière_1839-10-11</t>
  </si>
  <si>
    <t>révillon_1831-12-30</t>
  </si>
  <si>
    <t>ribot_1842-02-07</t>
  </si>
  <si>
    <t>richard_1829-05-29</t>
  </si>
  <si>
    <t>ringuier_1825-03-18</t>
  </si>
  <si>
    <t>riotteau_1837-12-18</t>
  </si>
  <si>
    <t>simon_1837-08-06</t>
  </si>
  <si>
    <t>simonnet_1824-04-20</t>
  </si>
  <si>
    <t>soland_1821-12-01</t>
  </si>
  <si>
    <t>soubeyran_1828-11-03</t>
  </si>
  <si>
    <t>sourigues_1820-02-11</t>
  </si>
  <si>
    <t>soye_1824-03-03</t>
  </si>
  <si>
    <t>spuller_1835-12-08</t>
  </si>
  <si>
    <t>steeg_1836-02-21</t>
  </si>
  <si>
    <t>tassin_1837-01-21</t>
  </si>
  <si>
    <t>terves_1840-08-01</t>
  </si>
  <si>
    <t>tézenas_1815-02-16</t>
  </si>
  <si>
    <t>theulier_1840-11-01</t>
  </si>
  <si>
    <t>thirion-montauban_1843-09-22</t>
  </si>
  <si>
    <t>thomas_1826-10-29</t>
  </si>
  <si>
    <t>tondu_1827-05-26</t>
  </si>
  <si>
    <t>treille_1844-12-08</t>
  </si>
  <si>
    <t>turigny_1822-01-17</t>
  </si>
  <si>
    <t>turquet_1836-05-31</t>
  </si>
  <si>
    <t>vacher_1832-03-28</t>
  </si>
  <si>
    <t>wilson_1840-03-06</t>
  </si>
  <si>
    <t>viette_1843-05-06</t>
  </si>
  <si>
    <t>vernhes_1820-10-20</t>
  </si>
  <si>
    <t>viox_1833-06-30</t>
  </si>
  <si>
    <t>vignancour_1841-08-22</t>
  </si>
  <si>
    <t>waddington_1838-05-22</t>
  </si>
  <si>
    <t>villain_1819-12-27</t>
  </si>
  <si>
    <t>vielfaure_1823-06-05</t>
  </si>
  <si>
    <t>waldeck-rousseau_1846-12-02</t>
  </si>
  <si>
    <t>laurençon_1841-10-16</t>
  </si>
  <si>
    <t>laville_1831-06-06</t>
  </si>
  <si>
    <t>lechevallier_1840-01-20</t>
  </si>
  <si>
    <t>launay_1850-06-08</t>
  </si>
  <si>
    <t>roux_1850-09-26</t>
  </si>
  <si>
    <t>lebaudy_1827-02-26</t>
  </si>
  <si>
    <t>leconte_1824-12-21</t>
  </si>
  <si>
    <t>léglise_1843-11-19</t>
  </si>
  <si>
    <t>legrand_1834-05-13</t>
  </si>
  <si>
    <t>leroy_1828-07-08</t>
  </si>
  <si>
    <t>lesguillier_1825-07-15</t>
  </si>
  <si>
    <t>letellier_1841-03-16</t>
  </si>
  <si>
    <t>lévêque_1829-08-08</t>
  </si>
  <si>
    <t>levet_1834-04-13</t>
  </si>
  <si>
    <t>lockroy_1838-07-18</t>
  </si>
  <si>
    <t>allain-targé_1832-05-17</t>
  </si>
  <si>
    <t>ballue_1835-12-16</t>
  </si>
  <si>
    <t>bernier_1809-01-28</t>
  </si>
  <si>
    <t>blandin_1830-07-28</t>
  </si>
  <si>
    <t>bresson_1826-06-27</t>
  </si>
  <si>
    <t>brame_1839-08-16</t>
  </si>
  <si>
    <t>cantagrel_1810-06-27</t>
  </si>
  <si>
    <t>casimir-perier_1812-12-18</t>
  </si>
  <si>
    <t>casse_1837-09-22</t>
  </si>
  <si>
    <t>chavanne_1824-10-11</t>
  </si>
  <si>
    <t>cochery_1819-08-26</t>
  </si>
  <si>
    <t>compayré_1843-01-02</t>
  </si>
  <si>
    <t>devade_1818-01-11</t>
  </si>
  <si>
    <t>duvaux_1827-05-21</t>
  </si>
  <si>
    <t>faure_1816-08-26</t>
  </si>
  <si>
    <t>ferry_1832-04-05</t>
  </si>
  <si>
    <t>forge_1821-04-01</t>
  </si>
  <si>
    <t>fousset_1830-07-24</t>
  </si>
  <si>
    <t>ginoux-defermon_1828-04-20</t>
  </si>
  <si>
    <t>gomot_1838-10-12</t>
  </si>
  <si>
    <t>de heredia_1836-11-08</t>
  </si>
  <si>
    <t>hérisson_1835-08-02</t>
  </si>
  <si>
    <t>jametel_1821-05-28</t>
  </si>
  <si>
    <t>levert_1825-06-11</t>
  </si>
  <si>
    <t>liouville_1837-08-17</t>
  </si>
  <si>
    <t>lorois_1819-06-09</t>
  </si>
  <si>
    <t>margaine_1829-09-04</t>
  </si>
  <si>
    <t>marquiset_1826-11-05</t>
  </si>
  <si>
    <t>maurel_1841-07-16</t>
  </si>
  <si>
    <t>claye_1845-06-29</t>
  </si>
  <si>
    <t>paillard-ducléré_1844-10-20</t>
  </si>
  <si>
    <t>pain_1830-07-16</t>
  </si>
  <si>
    <t>passy_1822-05-20</t>
  </si>
  <si>
    <t>périn_1838-07-01</t>
  </si>
  <si>
    <t>philippe_1827-10-30</t>
  </si>
  <si>
    <t>plichon_1814-06-28</t>
  </si>
  <si>
    <t>raspail_1823-08-16</t>
  </si>
  <si>
    <t>remoiville_1824-01-10</t>
  </si>
  <si>
    <t>reymond_1829-05-15</t>
  </si>
  <si>
    <t>rochette_1847-05-20</t>
  </si>
  <si>
    <t>filhol_1824-04-11</t>
  </si>
  <si>
    <t>achard_1814-12-12</t>
  </si>
  <si>
    <t>sonnier_1828-04-19</t>
  </si>
  <si>
    <t>thiessé_1833-12-06</t>
  </si>
  <si>
    <t>turmelière_1823-10-26</t>
  </si>
  <si>
    <t>trouard-riolle_1824-05-10</t>
  </si>
  <si>
    <t>valon_1835-10-15</t>
  </si>
  <si>
    <t>versigny_1818-08-18</t>
  </si>
  <si>
    <t>villeneuve_1840-02-25</t>
  </si>
  <si>
    <t>chevreau_1827-10-22</t>
  </si>
  <si>
    <t>noirot_1833-02-02</t>
  </si>
  <si>
    <t>cazeaux_1835-12-12</t>
  </si>
  <si>
    <t>roselli-mollet_1842-01-30</t>
  </si>
  <si>
    <t>vinatier_1832-01-23</t>
  </si>
  <si>
    <t>soustre_1828-09-01</t>
  </si>
  <si>
    <t>pradal_1844-03-23</t>
  </si>
  <si>
    <t>massip_1842-07-02</t>
  </si>
  <si>
    <t>devic_1836-10-03</t>
  </si>
  <si>
    <t>fabre_1842-12-10</t>
  </si>
  <si>
    <t>mallevialle_1836-04-04</t>
  </si>
  <si>
    <t>cayrade_1840-04-05</t>
  </si>
  <si>
    <t>henry_1839-08-30</t>
  </si>
  <si>
    <t>mauger_1842-02-02</t>
  </si>
  <si>
    <t>esnault_1812-06-16</t>
  </si>
  <si>
    <t>duchesne-fournet_1845-05-20</t>
  </si>
  <si>
    <t>marrot_1821-09-27</t>
  </si>
  <si>
    <t>laroche-joubert_1820-01-12</t>
  </si>
  <si>
    <t>andré_1852-08-23</t>
  </si>
  <si>
    <t>mestreau_1825-02-15</t>
  </si>
  <si>
    <t>barbedette_1827-03-17</t>
  </si>
  <si>
    <t>bisseuil_1833-04-23</t>
  </si>
  <si>
    <t>girault_1825-10-11</t>
  </si>
  <si>
    <t>mingasson_1830-10-14</t>
  </si>
  <si>
    <t>latrade_1811-11-25</t>
  </si>
  <si>
    <t>pénières_1840-05-29</t>
  </si>
  <si>
    <t>cherbonnier_1822-09-09</t>
  </si>
  <si>
    <t>graziani_1820-06-02</t>
  </si>
  <si>
    <t>hugot_1836-04-03</t>
  </si>
  <si>
    <t>dagorne_1826-10-20</t>
  </si>
  <si>
    <t>feltre_1844-09-14</t>
  </si>
  <si>
    <t>even_1834-09-29</t>
  </si>
  <si>
    <t>largentaye_1820-10-26</t>
  </si>
  <si>
    <t>fourot_1834-03-10</t>
  </si>
  <si>
    <t>faure_1838-10-20</t>
  </si>
  <si>
    <t>parry_1822-05-02</t>
  </si>
  <si>
    <t>garrigat_1839-01-25</t>
  </si>
  <si>
    <t>dusolier_1836-09-21</t>
  </si>
  <si>
    <t>chavoix_1881-08-21</t>
  </si>
  <si>
    <t>roger_1831-02-03</t>
  </si>
  <si>
    <t>gaudy_1832-05-03</t>
  </si>
  <si>
    <t>loubet_1838-12-31</t>
  </si>
  <si>
    <t>lepouzé_1821-01-20</t>
  </si>
  <si>
    <t>motte_1823-03-27</t>
  </si>
  <si>
    <t>d'osmoy_1827-08-19</t>
  </si>
  <si>
    <t>dreux-linget_1829-04-22</t>
  </si>
  <si>
    <t>gatineau_1828-07-13</t>
  </si>
  <si>
    <t>truelle_1816-02-20</t>
  </si>
  <si>
    <t>villiers_1822-08-04</t>
  </si>
  <si>
    <t>caurant_1839-10-22</t>
  </si>
  <si>
    <t>rousseau_1835-08-24</t>
  </si>
  <si>
    <t>arnoult_1832-06-09</t>
  </si>
  <si>
    <t>bosc_1827-02-11</t>
  </si>
  <si>
    <t>pellet_1849-05-04</t>
  </si>
  <si>
    <t>bougues_1848-03-07</t>
  </si>
  <si>
    <t>latour_1822-03-07</t>
  </si>
  <si>
    <t>montané_1829-06-02</t>
  </si>
  <si>
    <t>david_1834-07-06</t>
  </si>
  <si>
    <t>roudier_1823-04-25</t>
  </si>
  <si>
    <t>lalanne_1827-10-02</t>
  </si>
  <si>
    <t>tarbouriech_1811-12-24</t>
  </si>
  <si>
    <t>frain de la villegontier_1841-01-10</t>
  </si>
  <si>
    <t>david_1805-05-07</t>
  </si>
  <si>
    <t>joubert_1814-05-09</t>
  </si>
  <si>
    <t>bravet_1820-06-30</t>
  </si>
  <si>
    <t>faverges_1829-12-17</t>
  </si>
  <si>
    <t>couturier_1813-07-16</t>
  </si>
  <si>
    <t>lelièvre_1836-07-25</t>
  </si>
  <si>
    <t>brossard_1839-03-09</t>
  </si>
  <si>
    <t>bertholon_1818-01-18</t>
  </si>
  <si>
    <t>jouve_1821-07-21</t>
  </si>
  <si>
    <t>gaudin_1825-02-07</t>
  </si>
  <si>
    <t>brierre_1818-01-14</t>
  </si>
  <si>
    <t>teilhard_1826-06-16</t>
  </si>
  <si>
    <t>sarrette_1822-10-18</t>
  </si>
  <si>
    <t>pelisse_1853-02-12</t>
  </si>
  <si>
    <t>bourrillon_1840-11-08</t>
  </si>
  <si>
    <t>maillé_1815-08-13</t>
  </si>
  <si>
    <t>benoist_1842-06-11</t>
  </si>
  <si>
    <t>civrac_1812-07-26</t>
  </si>
  <si>
    <t>bury_1844-08-07</t>
  </si>
  <si>
    <t>morel_1846-10-09</t>
  </si>
  <si>
    <t>vieille_1830-01-20</t>
  </si>
  <si>
    <t>savary_1845-09-21</t>
  </si>
  <si>
    <t>mangon_1821-07-31</t>
  </si>
  <si>
    <t>souchu-servinière_1830-11-17</t>
  </si>
  <si>
    <t>lecomte_1805-07-31</t>
  </si>
  <si>
    <t>ancel_1844-10-04</t>
  </si>
  <si>
    <t>bruneau_1835-01-03</t>
  </si>
  <si>
    <t>develle_1831-04-06</t>
  </si>
  <si>
    <t>petitbien_1818-05-11</t>
  </si>
  <si>
    <t>mathieu_1830-10-15</t>
  </si>
  <si>
    <t>guillemin_1828-12-19</t>
  </si>
  <si>
    <t>deshayes de marcere_1828-03-16</t>
  </si>
  <si>
    <t>bernard_1831-07-30</t>
  </si>
  <si>
    <t>cirier_1823-04-16</t>
  </si>
  <si>
    <t>giroud_1811-01-03</t>
  </si>
  <si>
    <t>desmoutiers_1810-01-30</t>
  </si>
  <si>
    <t>trystram_1821-01-09</t>
  </si>
  <si>
    <t>outters_1849-06-13</t>
  </si>
  <si>
    <t>masure_1836-06-17</t>
  </si>
  <si>
    <t>screpel_1822-01-22</t>
  </si>
  <si>
    <t>debuchy_1823-10-07</t>
  </si>
  <si>
    <t>legrand_1842-03-30</t>
  </si>
  <si>
    <t>girard_1837-08-11</t>
  </si>
  <si>
    <t>robert_1849-01-13</t>
  </si>
  <si>
    <t>chauveau_1846-09-01</t>
  </si>
  <si>
    <t>fleury_1819-02-19</t>
  </si>
  <si>
    <t>bouilliez-bridou_1815-01-01</t>
  </si>
  <si>
    <t>florent-lefebvre_1821-03-26</t>
  </si>
  <si>
    <t>devaux_1819-11-23</t>
  </si>
  <si>
    <t>déprez_1839-06-23</t>
  </si>
  <si>
    <t>fiesnet_1827-11-14</t>
  </si>
  <si>
    <t>hamille_1812-09-03</t>
  </si>
  <si>
    <t>costes_1813-01-09</t>
  </si>
  <si>
    <t>tisserand_1819-02-19</t>
  </si>
  <si>
    <t>tallon_1828-05-17</t>
  </si>
  <si>
    <t>girot-pouzol_1832-04-18</t>
  </si>
  <si>
    <t>plantié_1817-10-20</t>
  </si>
  <si>
    <t>pradet-balade_1827-10-30</t>
  </si>
  <si>
    <t>lacaze_1826-01-20</t>
  </si>
  <si>
    <t>ténot_1839-05-02</t>
  </si>
  <si>
    <t>escarguel_1816-03-23</t>
  </si>
  <si>
    <t>forné_1829-02-13</t>
  </si>
  <si>
    <t>fréry_1846-11-26</t>
  </si>
  <si>
    <t>varambon_1830-07-07</t>
  </si>
  <si>
    <t>perras_1835-07-07</t>
  </si>
  <si>
    <t>guyot_1830-03-13</t>
  </si>
  <si>
    <t>gilliot_1822-06-20</t>
  </si>
  <si>
    <t>reyneau_1831-10-30</t>
  </si>
  <si>
    <t>daron_1803-09-06</t>
  </si>
  <si>
    <t>logerotte_1823-02-19</t>
  </si>
  <si>
    <t>margue_1828-07-14</t>
  </si>
  <si>
    <t>galpin_1832-02-23</t>
  </si>
  <si>
    <t>perrochel_1843-05-20</t>
  </si>
  <si>
    <t>monnier_1815-09-05</t>
  </si>
  <si>
    <t>chevallay_1816-08-15</t>
  </si>
  <si>
    <t>bel_1805-11-25</t>
  </si>
  <si>
    <t>mayet_1815-07-18</t>
  </si>
  <si>
    <t>dupont_1811-03-21</t>
  </si>
  <si>
    <t>tirard_1827-09-27</t>
  </si>
  <si>
    <t>talandier_1822-09-07</t>
  </si>
  <si>
    <t>hérisson_1831-10-12</t>
  </si>
  <si>
    <t>lanel_1813-04-23</t>
  </si>
  <si>
    <t>peulevey_1815-02-22</t>
  </si>
  <si>
    <t>saint-aignan_1846-02-19</t>
  </si>
  <si>
    <t>plessier_1813-03-13</t>
  </si>
  <si>
    <t>sallard_1827-12-16</t>
  </si>
  <si>
    <t>vermond_1849-08-05</t>
  </si>
  <si>
    <t>maze_1839-11-05</t>
  </si>
  <si>
    <t>dreyfus_1849-05-05</t>
  </si>
  <si>
    <t>langlois_1819-01-07</t>
  </si>
  <si>
    <t>journault_1827-02-24</t>
  </si>
  <si>
    <t>rameau_1809-01-26</t>
  </si>
  <si>
    <t>giraud_1814-05-22</t>
  </si>
  <si>
    <t>labitte_1823-02-19</t>
  </si>
  <si>
    <t>dieu_1842-01-14</t>
  </si>
  <si>
    <t>bernot_1842-06-10</t>
  </si>
  <si>
    <t>magniez_1835-09-09</t>
  </si>
  <si>
    <t>lavergne_1815-06-10</t>
  </si>
  <si>
    <t>pagès_1810-03-18</t>
  </si>
  <si>
    <t>dréo_1829-12-07</t>
  </si>
  <si>
    <t>poujade_1823-07-01</t>
  </si>
  <si>
    <t>gent_1813-10-27</t>
  </si>
  <si>
    <t>bienvenu_1835-11-19</t>
  </si>
  <si>
    <t>bassetière_1825-03-09</t>
  </si>
  <si>
    <t>hérault_1837-08-27</t>
  </si>
  <si>
    <t>salomon_1831-03-21</t>
  </si>
  <si>
    <t>labuze_1847-01-26</t>
  </si>
  <si>
    <t>donnet_1831-01-10</t>
  </si>
  <si>
    <t>pénicaud_1843-06-18</t>
  </si>
  <si>
    <t>mathé_1824-06-06</t>
  </si>
  <si>
    <t>guichard_1803-08-18</t>
  </si>
  <si>
    <t>lepère_1823-02-01</t>
  </si>
  <si>
    <t>mauguin_1838-01-30</t>
  </si>
  <si>
    <t>jacques_1817-01-01</t>
  </si>
  <si>
    <t>bartoli_1822-05-11</t>
  </si>
  <si>
    <t>rathier_1828-09-07</t>
  </si>
  <si>
    <t>murat_1828-12-12</t>
  </si>
  <si>
    <t>barthe_1813-01-15</t>
  </si>
  <si>
    <t>buvignier_1823-01-01</t>
  </si>
  <si>
    <t>cazauvieilh_1834-05-04</t>
  </si>
  <si>
    <t>daynaud_1838-06-01</t>
  </si>
  <si>
    <t>desmons_1832-10-14</t>
  </si>
  <si>
    <t>duportal_1814-02-17</t>
  </si>
  <si>
    <t>vaulcomte_1836-04-05</t>
  </si>
  <si>
    <t>dutailly_1847-08-02</t>
  </si>
  <si>
    <t>gasconi_1842-11-22</t>
  </si>
  <si>
    <t>gavini_1820-10-08</t>
  </si>
  <si>
    <t>gérard_1818-03-22</t>
  </si>
  <si>
    <t>gerville-réache_1854-08-23</t>
  </si>
  <si>
    <t>hugues_1851-11-03</t>
  </si>
  <si>
    <t>kergorlay_1847-09-14</t>
  </si>
  <si>
    <t>lacôte_1838-04-15</t>
  </si>
  <si>
    <t>lalande_1820-12-10</t>
  </si>
  <si>
    <t>laporte_1842-04-16</t>
  </si>
  <si>
    <t>laroze_1834-04-05</t>
  </si>
  <si>
    <t>de mahy_1830-07-22</t>
  </si>
  <si>
    <t>peytral_1842-01-20</t>
  </si>
  <si>
    <t>rivière_1822-03-01</t>
  </si>
  <si>
    <t>saint-prix_1829-06-01</t>
  </si>
  <si>
    <t>regnault_1843-06-19</t>
  </si>
  <si>
    <t>tiersot_1822-08-29</t>
  </si>
  <si>
    <t>vaschalde_1840-10-12</t>
  </si>
  <si>
    <t>bizot de fonteny_1825-08-29</t>
  </si>
  <si>
    <t>delattre_1830-01-03</t>
  </si>
  <si>
    <t>dufour_1824-04-03</t>
  </si>
  <si>
    <t>ganne_1815-02-26</t>
  </si>
  <si>
    <t>guyot_1834-01-06</t>
  </si>
  <si>
    <t>lefebvre_1821-09-09</t>
  </si>
  <si>
    <t>d'auray_1832-10-04</t>
  </si>
  <si>
    <t>bacquias_1825-04-18</t>
  </si>
  <si>
    <t>malric_1852-08-19</t>
  </si>
  <si>
    <t>chéneau_1845-05-02</t>
  </si>
  <si>
    <t>boulard_1825-04-03</t>
  </si>
  <si>
    <t>bellot_1824-06-19</t>
  </si>
  <si>
    <t>vachal_1838-09-25</t>
  </si>
  <si>
    <t>peraldi_1841-03-18</t>
  </si>
  <si>
    <t>camescasse_1838-09-23</t>
  </si>
  <si>
    <t>silhol_1829-10-12</t>
  </si>
  <si>
    <t>dréolle_1829-07-01</t>
  </si>
  <si>
    <t>fourcand-léon_1806-10-10</t>
  </si>
  <si>
    <t>devès_1837-11-03</t>
  </si>
  <si>
    <t>perigois_1819-04-25</t>
  </si>
  <si>
    <t>lombard_1825-08-09</t>
  </si>
  <si>
    <t>bavoux_1817-04-07</t>
  </si>
  <si>
    <t>chavanne_1817-02-18</t>
  </si>
  <si>
    <t>belon_1834-01-06</t>
  </si>
  <si>
    <t>courmeaux_1817-02-15</t>
  </si>
  <si>
    <t>bourgoing_1827-10-22</t>
  </si>
  <si>
    <t>levavasseur_1826-10-24</t>
  </si>
  <si>
    <t>bonnet-duverdier_1824-09-13</t>
  </si>
  <si>
    <t>ranc_1831-12-20</t>
  </si>
  <si>
    <t>dethomas_1842-10-04</t>
  </si>
  <si>
    <t>féau_1852-06-07</t>
  </si>
  <si>
    <t>thomas_1814-01-05</t>
  </si>
  <si>
    <t>hurard_1848-10-14</t>
  </si>
  <si>
    <t>sarlat_1854-06-14</t>
  </si>
  <si>
    <t>pesson_1843-06-22</t>
  </si>
  <si>
    <t>arène_1856-01-01</t>
  </si>
  <si>
    <t>lefèvre_1833-08-15</t>
  </si>
  <si>
    <t>granet_1849-07-29</t>
  </si>
  <si>
    <t>lagrange_1845-01-03</t>
  </si>
  <si>
    <t>leydet_1845-07-03</t>
  </si>
  <si>
    <t>lafont_1835-04-02</t>
  </si>
  <si>
    <t>janzé_1822-08-15</t>
  </si>
  <si>
    <t>even_1813-03-11</t>
  </si>
  <si>
    <t>riban_1814-07-12</t>
  </si>
  <si>
    <t>pouliot_1843-12-20</t>
  </si>
  <si>
    <t>d'aillières_1849-01-31</t>
  </si>
  <si>
    <t>lenient_1826-11-04</t>
  </si>
  <si>
    <t>chaumettes_1855-02-19</t>
  </si>
  <si>
    <t>cavaignac_1853-05-21</t>
  </si>
  <si>
    <t>gaillard_1847-04-10</t>
  </si>
  <si>
    <t>leporché_1840-02-21</t>
  </si>
  <si>
    <t>renault_1839-09-24</t>
  </si>
  <si>
    <t>rey_1845-04-05</t>
  </si>
  <si>
    <t>garet_1829-01-21</t>
  </si>
  <si>
    <t>haentjens_1824-06-11</t>
  </si>
  <si>
    <t>cadet_1821-03-23</t>
  </si>
  <si>
    <t>carette_1841-04-23</t>
  </si>
  <si>
    <t>dessoliers_1845-02-02</t>
  </si>
  <si>
    <t>deproge_1850-08-05</t>
  </si>
  <si>
    <t>million_1829-09-18</t>
  </si>
  <si>
    <t>prey_1834-08-16</t>
  </si>
  <si>
    <t>toulet_1839-04-14</t>
  </si>
  <si>
    <t>vernière_1847-10-11</t>
  </si>
  <si>
    <t>boussuges_1848-08-27</t>
  </si>
  <si>
    <t>bully_1822-02-08</t>
  </si>
  <si>
    <t>roche_1836-07-02</t>
  </si>
  <si>
    <t>préveraud_1823-11-07</t>
  </si>
  <si>
    <t>mazeron_1847-10-09</t>
  </si>
  <si>
    <t>gambon_1820-03-19</t>
  </si>
  <si>
    <t>roquet_1849-03-02</t>
  </si>
  <si>
    <t>poulet_1846-09-15</t>
  </si>
  <si>
    <t>sandrique_1845-06-14</t>
  </si>
  <si>
    <t>deroyer_1824-09-24</t>
  </si>
  <si>
    <t>giard_1846-08-08</t>
  </si>
  <si>
    <t>brialou_1833-02-14</t>
  </si>
  <si>
    <t>bourneville_1840-10-21</t>
  </si>
  <si>
    <t>rivet_1848-02-25</t>
  </si>
  <si>
    <t>calla_1840-12-05</t>
  </si>
  <si>
    <t>lacroix_1845-05-26</t>
  </si>
  <si>
    <t>rozières_1843-06-11</t>
  </si>
  <si>
    <t>gaillard_1843-11-19</t>
  </si>
  <si>
    <t>pochon_1840-06-07</t>
  </si>
  <si>
    <t>carret_1844-01-10</t>
  </si>
  <si>
    <t>briens_1835-08-13</t>
  </si>
  <si>
    <t>duval_1841-01-20</t>
  </si>
  <si>
    <t>monteilhet_1812-03-20</t>
  </si>
  <si>
    <t>fougeirol_1843-04-09</t>
  </si>
  <si>
    <t>papinaud_1844-03-10</t>
  </si>
  <si>
    <t>noblot_1824-01-10</t>
  </si>
  <si>
    <t>forest_1813-11-20</t>
  </si>
  <si>
    <t>loranchet_1845-08-21</t>
  </si>
  <si>
    <t>galtier_1842-01-23</t>
  </si>
  <si>
    <t>giguet_1834-01-13</t>
  </si>
  <si>
    <t>arnous_1846-06-30</t>
  </si>
  <si>
    <t>bartoli_1814-12-27</t>
  </si>
  <si>
    <t>grout_1820-12-28</t>
  </si>
  <si>
    <t>labrousse_1847-05-03</t>
  </si>
  <si>
    <t>largentaye_1853-03-06</t>
  </si>
  <si>
    <t>abrial_1836-12-28</t>
  </si>
  <si>
    <t>denayrouze_1848-05-17</t>
  </si>
  <si>
    <t>de la bourdonnaye_1837-05-12</t>
  </si>
  <si>
    <t>lecomte_1846-03-01</t>
  </si>
  <si>
    <t>bruel_1834-04-19</t>
  </si>
  <si>
    <t>raoul-duval_1832-04-09</t>
  </si>
  <si>
    <t>guillemaut_1842-08-21</t>
  </si>
  <si>
    <t>martin félix dit_1840-07-18</t>
  </si>
  <si>
    <t>saint-martin_1833-11-26</t>
  </si>
  <si>
    <t>jonglez_1831-09-28</t>
  </si>
  <si>
    <t>pradines_1838-12-31</t>
  </si>
  <si>
    <t>laroche-joubert_1843-09-12</t>
  </si>
  <si>
    <t>garnier_1822-04-27</t>
  </si>
  <si>
    <t>javal_1839-05-05</t>
  </si>
  <si>
    <t>legludic_1843-04-16</t>
  </si>
  <si>
    <t>amouroux_1843-12-21</t>
  </si>
  <si>
    <t>adam-fontaine_1829-11-29</t>
  </si>
  <si>
    <t>arnault_1837-09-21</t>
  </si>
  <si>
    <t>aujame_1834-03-06</t>
  </si>
  <si>
    <t>barascud_1819-06-10</t>
  </si>
  <si>
    <t>baucarne-leroux_1817-01-06</t>
  </si>
  <si>
    <t>benoit_1838-05-12</t>
  </si>
  <si>
    <t>berger_1829-01-10</t>
  </si>
  <si>
    <t>bernis_1839-02-03</t>
  </si>
  <si>
    <t>bigot_1831-01-18</t>
  </si>
  <si>
    <t>blachère_1837-05-03</t>
  </si>
  <si>
    <t>bonneval_1838-11-05</t>
  </si>
  <si>
    <t>boreau-lajanadie_1825-10-20</t>
  </si>
  <si>
    <t>bottieau_1822-09-12</t>
  </si>
  <si>
    <t>boucher_1829-09-23</t>
  </si>
  <si>
    <t>bourgeois-du-jura_1831-02-19</t>
  </si>
  <si>
    <t>bourlier_1830-04-05</t>
  </si>
  <si>
    <t>breteuil_1848-09-17</t>
  </si>
  <si>
    <t>calvet-rogniat_1853-11-12</t>
  </si>
  <si>
    <t>borda_1823-10-28</t>
  </si>
  <si>
    <t>champvallier_1826-04-19</t>
  </si>
  <si>
    <t>chevillotte_1838-02-03</t>
  </si>
  <si>
    <t>chevreau_1823-04-27</t>
  </si>
  <si>
    <t>landos_1833-09-07</t>
  </si>
  <si>
    <t>cordier_1844-01-16</t>
  </si>
  <si>
    <t>cornulier_1825-10-08</t>
  </si>
  <si>
    <t>deandréis_1838-06-20</t>
  </si>
  <si>
    <t>dejardin-verkinder_1840-06-10</t>
  </si>
  <si>
    <t>descaure_1848-05-11</t>
  </si>
  <si>
    <t>desloges_1828-05-14</t>
  </si>
  <si>
    <t>de dompierre d'hornoy_1816-02-24</t>
  </si>
  <si>
    <t>ducher_1832-10-21</t>
  </si>
  <si>
    <t>ducoudray_1842-08-19</t>
  </si>
  <si>
    <t>dufour_1846-02-23</t>
  </si>
  <si>
    <t>durand-savoyat_1847-02-14</t>
  </si>
  <si>
    <t>fairé_1824-03-01</t>
  </si>
  <si>
    <t>favernay_1827-03-09</t>
  </si>
  <si>
    <t>faure_1850-01-07</t>
  </si>
  <si>
    <t>féraud_1821-08-18</t>
  </si>
  <si>
    <t>ferrière_1838-03-17</t>
  </si>
  <si>
    <t>fonbelle-labrousse_1846-06-29</t>
  </si>
  <si>
    <t>frescheville_1823-02-23</t>
  </si>
  <si>
    <t>gadaud_1841-04-26</t>
  </si>
  <si>
    <t>ganivet_1819-08-12</t>
  </si>
  <si>
    <t>garnier-bodéléac_1819-12-24</t>
  </si>
  <si>
    <t>gastellier_1830-01-01</t>
  </si>
  <si>
    <t>gieuré_1844-12-26</t>
  </si>
  <si>
    <t>gros_1838-01-17</t>
  </si>
  <si>
    <t>hillion_1821-09-03</t>
  </si>
  <si>
    <t>hubbard_1858-05-22</t>
  </si>
  <si>
    <t>humbert_1857-07-19</t>
  </si>
  <si>
    <t>kergariou_1846-10-08</t>
  </si>
  <si>
    <t>kersauson-vieux-chatel_1850-08-07</t>
  </si>
  <si>
    <t>l'aigle_1843-11-23</t>
  </si>
  <si>
    <t>ferronnays_1842-09-15</t>
  </si>
  <si>
    <t>martinière_1849-02-17</t>
  </si>
  <si>
    <t>de lamarzelle_1852-08-04</t>
  </si>
  <si>
    <t>sainte-croix_1827-11-12</t>
  </si>
  <si>
    <t>lamothe-pradelle_1850-04-01</t>
  </si>
  <si>
    <t>larère_1829-04-27</t>
  </si>
  <si>
    <t>lascombes_1840-07-13</t>
  </si>
  <si>
    <t>lorois_1837-10-13</t>
  </si>
  <si>
    <t>mathé_1834-12-20</t>
  </si>
  <si>
    <t>mesnildot_1833-12-21</t>
  </si>
  <si>
    <t>millochau_1846-03-15</t>
  </si>
  <si>
    <t>montaut_1823-08-27</t>
  </si>
  <si>
    <t>montéty_1849-11-24</t>
  </si>
  <si>
    <t>montgolfier_1828-08-28</t>
  </si>
  <si>
    <t>morin-latour_1834-02-23</t>
  </si>
  <si>
    <t>niel_1837-07-29</t>
  </si>
  <si>
    <t>paulmier_1848-04-02</t>
  </si>
  <si>
    <t>peyrusse_1831-03-21</t>
  </si>
  <si>
    <t>philipon_1851-01-08</t>
  </si>
  <si>
    <t>plazanet_1821-04-15</t>
  </si>
  <si>
    <t>rondeleux_1832-11-20</t>
  </si>
  <si>
    <t>roques_1828-04-11</t>
  </si>
  <si>
    <t>roussin_1840-07-05</t>
  </si>
  <si>
    <t>sabouraud_1846-06-08</t>
  </si>
  <si>
    <t>saint-luc_1840-04-15</t>
  </si>
  <si>
    <t>saisy_1829-02-25</t>
  </si>
  <si>
    <t>prevet_1852-03-18</t>
  </si>
  <si>
    <t>razimbaud_1837-08-24</t>
  </si>
  <si>
    <t>renard_1836-03-16</t>
  </si>
  <si>
    <t>reybert_1844-11-11</t>
  </si>
  <si>
    <t>ricard_1839-03-17</t>
  </si>
  <si>
    <t>sevaistre_1840-02-10</t>
  </si>
  <si>
    <t>tailliandier_1847-06-23</t>
  </si>
  <si>
    <t>poncheville_1842-10-13</t>
  </si>
  <si>
    <t>witt_1824-11-15</t>
  </si>
  <si>
    <t>viellard-migeon_1842-09-24</t>
  </si>
  <si>
    <t>vilar_1847-07-26</t>
  </si>
  <si>
    <t>vernet_1820-12-25</t>
  </si>
  <si>
    <t>grandmaison_1848-02-12</t>
  </si>
  <si>
    <t>gavrian_1832-02-28</t>
  </si>
  <si>
    <t>legge_1836-06-29</t>
  </si>
  <si>
    <t>lejeune_1842-01-10</t>
  </si>
  <si>
    <t>d'ariste_1845-10-13</t>
  </si>
  <si>
    <t>barouille_1840-08-30</t>
  </si>
  <si>
    <t>bouvattier_1843-09-09</t>
  </si>
  <si>
    <t>rainvillers_1838-11-08</t>
  </si>
  <si>
    <t>brunel_1838-04-01</t>
  </si>
  <si>
    <t>caradec_1831-03-12</t>
  </si>
  <si>
    <t>chevalier_1844-05-17</t>
  </si>
  <si>
    <t>clercq_1837-12-24</t>
  </si>
  <si>
    <t>creuzé_1845-01-21</t>
  </si>
  <si>
    <t>deberly_1844-08-31</t>
  </si>
  <si>
    <t>delelis_1827-06-03</t>
  </si>
  <si>
    <t>dellisse_1840-03-31</t>
  </si>
  <si>
    <t>dussaussoy-hubert_1820-09-05</t>
  </si>
  <si>
    <t>gaudin_1858-06-23</t>
  </si>
  <si>
    <t>gaudin de villaine_1852-12-12</t>
  </si>
  <si>
    <t>riboulerie_1828-04-04</t>
  </si>
  <si>
    <t>gueydon_1809-11-22</t>
  </si>
  <si>
    <t>harispe_1817-07-15</t>
  </si>
  <si>
    <t>héral_1822-11-28</t>
  </si>
  <si>
    <t>hermary_1834-12-14</t>
  </si>
  <si>
    <t>morey_1834-07-24</t>
  </si>
  <si>
    <t>jouffrault_1845-03-22</t>
  </si>
  <si>
    <t>laborde-noguez_1823-08-21</t>
  </si>
  <si>
    <t>leblanc_1844-03-09</t>
  </si>
  <si>
    <t>lecointre_1840-09-08</t>
  </si>
  <si>
    <t>lefèvre-pontalis_1830-08-19</t>
  </si>
  <si>
    <t>lecelles_1826-10-29</t>
  </si>
  <si>
    <t>poutre_1825-05-28</t>
  </si>
  <si>
    <t>souef_1831-08-19</t>
  </si>
  <si>
    <t>lhomel_1813-11-11</t>
  </si>
  <si>
    <t>liais_1839-08-18</t>
  </si>
  <si>
    <t>lyonnais_1842-04-30</t>
  </si>
  <si>
    <t>luppé_1837-09-07</t>
  </si>
  <si>
    <t>martimprey_1849-09-02</t>
  </si>
  <si>
    <t>maurice_1834-02-02</t>
  </si>
  <si>
    <t>merlet_1830-11-26</t>
  </si>
  <si>
    <t>monteils_1824-05-21</t>
  </si>
  <si>
    <t>morel_1844-04-26</t>
  </si>
  <si>
    <t>mortillet_1821-08-29</t>
  </si>
  <si>
    <t>poix_1841-04-19</t>
  </si>
  <si>
    <t>munier_1837-05-17</t>
  </si>
  <si>
    <t>pressy_1819-07-03</t>
  </si>
  <si>
    <t>du campe de rosamel_1833-06-14</t>
  </si>
  <si>
    <t>roy_1826-03-07</t>
  </si>
  <si>
    <t>sens_1826-02-20</t>
  </si>
  <si>
    <t>soucaze_1818-04-09</t>
  </si>
  <si>
    <t>trubert_1845-11-10</t>
  </si>
  <si>
    <t>vaujuas-langan_1830-08-11</t>
  </si>
  <si>
    <t>abbatucci_1857-11-02</t>
  </si>
  <si>
    <t>abeille_1843-02-14</t>
  </si>
  <si>
    <t>barbe_1836-02-04</t>
  </si>
  <si>
    <t>béranger_1834-05-10</t>
  </si>
  <si>
    <t>bonnerot_1838-05-31</t>
  </si>
  <si>
    <t>borie_1843-03-21</t>
  </si>
  <si>
    <t>boullay_1825-05-16</t>
  </si>
  <si>
    <t>boyer_1850-10-26</t>
  </si>
  <si>
    <t>brugeilles_1845-03-19</t>
  </si>
  <si>
    <t>burdeau_1851-09-10</t>
  </si>
  <si>
    <t>calès_1828-07-24</t>
  </si>
  <si>
    <t>chevillon_1849-03-21</t>
  </si>
  <si>
    <t>cousset_1833-01-16</t>
  </si>
  <si>
    <t>crémieux_1857-12-15</t>
  </si>
  <si>
    <t>dellestable_1851-12-31</t>
  </si>
  <si>
    <t>delmas_1834-03-27</t>
  </si>
  <si>
    <t>dreyfus_1851-08-19</t>
  </si>
  <si>
    <t>duchatel_1838-10-19</t>
  </si>
  <si>
    <t>fauconnerie_1835-05-11</t>
  </si>
  <si>
    <t>dupuy_1848-10-15</t>
  </si>
  <si>
    <t>d'estourmel_1841-01-16</t>
  </si>
  <si>
    <t>fagot_1831-01-01</t>
  </si>
  <si>
    <t>faure_1853-03-16</t>
  </si>
  <si>
    <t>gilbert_1830-04-05</t>
  </si>
  <si>
    <t>gilly_1834-08-06</t>
  </si>
  <si>
    <t>gobron_1846-06-15</t>
  </si>
  <si>
    <t>guillaumou_1834-04-17</t>
  </si>
  <si>
    <t>guyot-dessaigne_1833-12-26</t>
  </si>
  <si>
    <t>houdaille_1816-04-24</t>
  </si>
  <si>
    <t>jacquemart_1836-10-03</t>
  </si>
  <si>
    <t>jamais_1856-12-10</t>
  </si>
  <si>
    <t>joubert_1845-09-26</t>
  </si>
  <si>
    <t>laroze_1835-01-21</t>
  </si>
  <si>
    <t>laur_1844-09-05</t>
  </si>
  <si>
    <t>magnien_1836-01-05</t>
  </si>
  <si>
    <t>marty_1838-01-31</t>
  </si>
  <si>
    <t>mathé_1837-05-27</t>
  </si>
  <si>
    <t>mellot_1840-09-26</t>
  </si>
  <si>
    <t>mérillon_1852-06-29</t>
  </si>
  <si>
    <t>michel_1848-03-07</t>
  </si>
  <si>
    <t>michelin_1847-05-03</t>
  </si>
  <si>
    <t>monis_1846-05-23</t>
  </si>
  <si>
    <t>montera_1823-05-27</t>
  </si>
  <si>
    <t>multedo_1846-05-17</t>
  </si>
  <si>
    <t>pajot_1844-06-30</t>
  </si>
  <si>
    <t>pally_1843-01-07</t>
  </si>
  <si>
    <t>périllier_1841-11-29</t>
  </si>
  <si>
    <t>pernollet_1845-03-14</t>
  </si>
  <si>
    <t>pichon_1857-08-10</t>
  </si>
  <si>
    <t>roure_1845-08-29</t>
  </si>
  <si>
    <t>sabatier_1851-03-10</t>
  </si>
  <si>
    <t>sans-leroy_1848-11-04</t>
  </si>
  <si>
    <t>pons-tande_1814-11-07</t>
  </si>
  <si>
    <t>poupin_1838-01-03</t>
  </si>
  <si>
    <t>proal_1851-04-24</t>
  </si>
  <si>
    <t>raspail_1827-08-17</t>
  </si>
  <si>
    <t>rey_1834-07-12</t>
  </si>
  <si>
    <t>suquet_1841-02-09</t>
  </si>
  <si>
    <t>théron_1834-05-05</t>
  </si>
  <si>
    <t>thévenet_1845-04-06</t>
  </si>
  <si>
    <t>thiers_1843-05-15</t>
  </si>
  <si>
    <t>turrel_1856-05-28</t>
  </si>
  <si>
    <t>viger_1843-10-19</t>
  </si>
  <si>
    <t>wickerscheimer_1849-02-22</t>
  </si>
  <si>
    <t>de vast-vimeux_1826-07-08</t>
  </si>
  <si>
    <t>lelièvre_1819-03-14</t>
  </si>
  <si>
    <t>lesage_1835-12-19</t>
  </si>
  <si>
    <t>lévis-mirepoix_1846-05-01</t>
  </si>
  <si>
    <t>lombard_1851-03-21</t>
  </si>
  <si>
    <t>barré_1836-11-05</t>
  </si>
  <si>
    <t>batie_1832-09-08</t>
  </si>
  <si>
    <t>berger_1852-09-25</t>
  </si>
  <si>
    <t>binachon_1816-03-21</t>
  </si>
  <si>
    <t>blatin_1841-08-01</t>
  </si>
  <si>
    <t>bourganel_1850-02-18</t>
  </si>
  <si>
    <t>camélinat_1840-09-14</t>
  </si>
  <si>
    <t>chantagrel_1822-04-14</t>
  </si>
  <si>
    <t>chatenay_1839-09-03</t>
  </si>
  <si>
    <t>chevalier_1820-08-14</t>
  </si>
  <si>
    <t>colfavru_1820-12-01</t>
  </si>
  <si>
    <t>crozet-fourneyron_1837-04-22</t>
  </si>
  <si>
    <t>thomas-derevoge_1839-07-10</t>
  </si>
  <si>
    <t>destandau_1828-03-17</t>
  </si>
  <si>
    <t>duché_1843-06-08</t>
  </si>
  <si>
    <t>duchesne_1851-08-21</t>
  </si>
  <si>
    <t>gillet_1845-08-05</t>
  </si>
  <si>
    <t>guyot_1843-09-06</t>
  </si>
  <si>
    <t>hude_1851-07-06</t>
  </si>
  <si>
    <t>imbert_1835-07-28</t>
  </si>
  <si>
    <t>jacquier_1835-10-26</t>
  </si>
  <si>
    <t>jouvencel_1817-01-16</t>
  </si>
  <si>
    <t>keller_1828-10-08</t>
  </si>
  <si>
    <t>daniel-lamazière_1812-03-06</t>
  </si>
  <si>
    <t>lamberterie_1839-05-29</t>
  </si>
  <si>
    <t>guay_1839-05-12</t>
  </si>
  <si>
    <t>levrey_1839-01-20</t>
  </si>
  <si>
    <t>marmonier_1855-09-16</t>
  </si>
  <si>
    <t>martin_1835-03-02</t>
  </si>
  <si>
    <t>mennesson_1846-07-22</t>
  </si>
  <si>
    <t>mondenard_1839-01-26</t>
  </si>
  <si>
    <t>planteau_1836-01-08</t>
  </si>
  <si>
    <t>pressat_1821-04-23</t>
  </si>
  <si>
    <t>prudhon_1832-04-30</t>
  </si>
  <si>
    <t>ranson_1828-11-19</t>
  </si>
  <si>
    <t>reuillet_1842-02-17</t>
  </si>
  <si>
    <t>rochefort-luçay_1831-01-31</t>
  </si>
  <si>
    <t>rochet_1837-07-01</t>
  </si>
  <si>
    <t>roulleaux-dugage_1849-01-30</t>
  </si>
  <si>
    <t>rumillet-charretier_1833-07-03</t>
  </si>
  <si>
    <t>saint-férreol_1810-07-29</t>
  </si>
  <si>
    <t>steenakers_1830-03-10</t>
  </si>
  <si>
    <t>turenne_1844-09-03</t>
  </si>
  <si>
    <t>vergoin_1850-05-10</t>
  </si>
  <si>
    <t>barrière_1837-09-26</t>
  </si>
  <si>
    <t>dupuy_1851-11-05</t>
  </si>
  <si>
    <t>bassetière_1857-05-24</t>
  </si>
  <si>
    <t>gaussorgues_1857-12-07</t>
  </si>
  <si>
    <t>labordère_1835-10-12</t>
  </si>
  <si>
    <t>maillard_1823-08-22</t>
  </si>
  <si>
    <t>astima_1826-08-07</t>
  </si>
  <si>
    <t>ceccaldi_1833-02-02</t>
  </si>
  <si>
    <t>clauzel_1842-06-17</t>
  </si>
  <si>
    <t>deguilhem_1831-09-20</t>
  </si>
  <si>
    <t>jourdan_1843-07-07</t>
  </si>
  <si>
    <t>jumel_1847-09-05</t>
  </si>
  <si>
    <t>susini_1843-09-20</t>
  </si>
  <si>
    <t>lorois_1831-09-29</t>
  </si>
  <si>
    <t>richard_1846-02-22</t>
  </si>
  <si>
    <t>hanotaux_1853-11-19</t>
  </si>
  <si>
    <t>gaulier_1829-11-10</t>
  </si>
  <si>
    <t>carrière_1852-07-22</t>
  </si>
  <si>
    <t>rigaut_1835-12-13</t>
  </si>
  <si>
    <t>grimaud_1836-04-09</t>
  </si>
  <si>
    <t>laffon_1847-08-16</t>
  </si>
  <si>
    <t>milliard_1844-12-19</t>
  </si>
  <si>
    <t>calvinhac_1849-06-24</t>
  </si>
  <si>
    <t>dorian_1852-04-12</t>
  </si>
  <si>
    <t>mesureur_1847-04-02</t>
  </si>
  <si>
    <t>valentin_1821-06-11</t>
  </si>
  <si>
    <t>vitry_1828-11-20</t>
  </si>
  <si>
    <t>lareinty_1852-09-10</t>
  </si>
  <si>
    <t>poincaré_1860-08-20</t>
  </si>
  <si>
    <t>goirand_1845-01-07</t>
  </si>
  <si>
    <t>hervieu_1852-01-22</t>
  </si>
  <si>
    <t>mercier_1836-03-18</t>
  </si>
  <si>
    <t>bourgeois_1851-05-29</t>
  </si>
  <si>
    <t>chollet_1830-11-20</t>
  </si>
  <si>
    <t>flourens_1841-04-27</t>
  </si>
  <si>
    <t>lacretelle_1822-10-30</t>
  </si>
  <si>
    <t>berge_1845-06-21</t>
  </si>
  <si>
    <t>augère_1824-05-10</t>
  </si>
  <si>
    <t>cernesson_1831-01-28</t>
  </si>
  <si>
    <t>pyat_1810-10-04</t>
  </si>
  <si>
    <t>doumer_1857-03-22</t>
  </si>
  <si>
    <t>boulanger_1837-04-29</t>
  </si>
  <si>
    <t>ferroul_1853-12-13</t>
  </si>
  <si>
    <t>brunier_1841-10-26</t>
  </si>
  <si>
    <t>gaillard_1836-06-19</t>
  </si>
  <si>
    <t>ternisien_1847-06-06</t>
  </si>
  <si>
    <t>séguins_1852-09-14</t>
  </si>
  <si>
    <t>chépié_1835-02-05</t>
  </si>
  <si>
    <t>lacroix_1834-12-11</t>
  </si>
  <si>
    <t>beaussier_1826-01-24</t>
  </si>
  <si>
    <t>taillefer_1836-09-30</t>
  </si>
  <si>
    <t>koechlin-schwartz_1829-09-15</t>
  </si>
  <si>
    <t>noue_1843-03-06</t>
  </si>
  <si>
    <t>cerf_1846-11-21</t>
  </si>
  <si>
    <t>cluseret_1823-06-13</t>
  </si>
  <si>
    <t>linard_1839-10-29</t>
  </si>
  <si>
    <t>duport_1862-01-26</t>
  </si>
  <si>
    <t>montaudon_1818-02-14</t>
  </si>
  <si>
    <t>bargy_1847-06-22</t>
  </si>
  <si>
    <t>d'arenberg_1837-09-15</t>
  </si>
  <si>
    <t>armand_1829-03-06</t>
  </si>
  <si>
    <t>bar_1842-02-04</t>
  </si>
  <si>
    <t>barbotin_1831-03-13</t>
  </si>
  <si>
    <t>batiot_1843-04-08</t>
  </si>
  <si>
    <t>baulard_1827-02-11</t>
  </si>
  <si>
    <t>bertrand_1847-12-11</t>
  </si>
  <si>
    <t>bezanson_1825-01-25</t>
  </si>
  <si>
    <t>boisboissel_1849-09-28</t>
  </si>
  <si>
    <t>bony-cisternes_1847-12-15</t>
  </si>
  <si>
    <t>boucher_1847-09-19</t>
  </si>
  <si>
    <t>boudenoot_1855-05-02</t>
  </si>
  <si>
    <t>rouvre_1850-11-16</t>
  </si>
  <si>
    <t>breton_1841-04-19</t>
  </si>
  <si>
    <t>saint-germain_1838-12-03</t>
  </si>
  <si>
    <t>caffarelli_1855-02-05</t>
  </si>
  <si>
    <t>carquet_1845-10-12</t>
  </si>
  <si>
    <t>chassaing_1855-12-15</t>
  </si>
  <si>
    <t>chaulin-servinière_1848-06-11</t>
  </si>
  <si>
    <t>clech_1850-05-09</t>
  </si>
  <si>
    <t>clerjounie_1837-12-11</t>
  </si>
  <si>
    <t>darlan_1848-06-10</t>
  </si>
  <si>
    <t>david_1837-10-19</t>
  </si>
  <si>
    <t>david_1851-10-11</t>
  </si>
  <si>
    <t>delaunay_1838-01-22</t>
  </si>
  <si>
    <t>denizot_1830-04-04</t>
  </si>
  <si>
    <t>déroulède_1846-09-02</t>
  </si>
  <si>
    <t>desjardins_1840-05-21</t>
  </si>
  <si>
    <t>dillon_1834-05-18</t>
  </si>
  <si>
    <t>dubois_1839-08-21</t>
  </si>
  <si>
    <t>dufaure_1851-11-27</t>
  </si>
  <si>
    <t>dumonteil_1853-08-28</t>
  </si>
  <si>
    <t>dupuytrem_1863-09-09</t>
  </si>
  <si>
    <t>durand-savoyat_1849-12-11</t>
  </si>
  <si>
    <t>eliez-evrard_1843-12-04</t>
  </si>
  <si>
    <t>d'elva_1850-09-21</t>
  </si>
  <si>
    <t>etcheverry_1853-02-22</t>
  </si>
  <si>
    <t>euzière_1842-05-20</t>
  </si>
  <si>
    <t>farjon_1850-01-25</t>
  </si>
  <si>
    <t>forcioli_1838-04-06</t>
  </si>
  <si>
    <t>fould_1861-08-10</t>
  </si>
  <si>
    <t>fouquier_1838-09-01</t>
  </si>
  <si>
    <t>de fourtou_1836-01-03</t>
  </si>
  <si>
    <t>françois_1833-12-27</t>
  </si>
  <si>
    <t>garnier_1836-02-24</t>
  </si>
  <si>
    <t>gaussorgues_1841-07-29</t>
  </si>
  <si>
    <t>clagny_1853-09-14</t>
  </si>
  <si>
    <t>gerbay_1835-04-17</t>
  </si>
  <si>
    <t>gervais_1851-02-28</t>
  </si>
  <si>
    <t>gillot_1851-05-29</t>
  </si>
  <si>
    <t>godelle_1832-10-21</t>
  </si>
  <si>
    <t>gonnet_1815-01-25</t>
  </si>
  <si>
    <t>goussot_1862-12-02</t>
  </si>
  <si>
    <t>goyon_1847-03-13</t>
  </si>
  <si>
    <t>greffulhe_1848-12-25</t>
  </si>
  <si>
    <t>grisez_1841-12-06</t>
  </si>
  <si>
    <t>grousset_1843-10-20</t>
  </si>
  <si>
    <t>hainsselin_1835-02-09</t>
  </si>
  <si>
    <t>haulon_1822-10-02</t>
  </si>
  <si>
    <t>haussmann_1847-07-13</t>
  </si>
  <si>
    <t>haynaut_1844-09-13</t>
  </si>
  <si>
    <t>herbet_1846-08-27</t>
  </si>
  <si>
    <t>isoard_1839-12-15</t>
  </si>
  <si>
    <t>jacquemin_1847-03-15</t>
  </si>
  <si>
    <t>jaluzot_1834-05-05</t>
  </si>
  <si>
    <t>jouffray_1841-02-22</t>
  </si>
  <si>
    <t>d'abbans_1820-04-20</t>
  </si>
  <si>
    <t>kerjégu_1846-02-27</t>
  </si>
  <si>
    <t>lachièze_1840-11-04</t>
  </si>
  <si>
    <t>lagnel_1831-10-08</t>
  </si>
  <si>
    <t>lalou_1841-06-26</t>
  </si>
  <si>
    <t>lur-saluces_1839-07-05</t>
  </si>
  <si>
    <t>mac-adaras_1838-06-21</t>
  </si>
  <si>
    <t>mandeville_1838-07-01</t>
  </si>
  <si>
    <t>maréchal_1837-08-13</t>
  </si>
  <si>
    <t>martinon_1854-08-15</t>
  </si>
  <si>
    <t>maruéjouls_1835-08-04</t>
  </si>
  <si>
    <t>meilhodon_1827-01-15</t>
  </si>
  <si>
    <t>michau_1843-03-08</t>
  </si>
  <si>
    <t>montalembert_1850-12-16</t>
  </si>
  <si>
    <t>montsaulnin_1838-06-05</t>
  </si>
  <si>
    <t>moreau_1837-04-08</t>
  </si>
  <si>
    <t>morillot_1838-07-19</t>
  </si>
  <si>
    <t>mougin_1837-06-14</t>
  </si>
  <si>
    <t>neyrand_1837-09-07</t>
  </si>
  <si>
    <t>nivert_1844-10-21</t>
  </si>
  <si>
    <t>olry_1833-09-11</t>
  </si>
  <si>
    <t>pasquier_1839-04-01</t>
  </si>
  <si>
    <t>larsan_1844-02-29</t>
  </si>
  <si>
    <t>perrier_1836-04-15</t>
  </si>
  <si>
    <t>picot_1848-04-09</t>
  </si>
  <si>
    <t>piérard_1854-03-07</t>
  </si>
  <si>
    <t>robert-mitchell_1839-05-21</t>
  </si>
  <si>
    <t>saint-germain_1853-01-31</t>
  </si>
  <si>
    <t>say_1826-06-06</t>
  </si>
  <si>
    <t>de breil de pontbriand_1848-11-09</t>
  </si>
  <si>
    <t>morandière_1839-12-09</t>
  </si>
  <si>
    <t>prost_1847-01-07</t>
  </si>
  <si>
    <t>quintaa_1843-12-06</t>
  </si>
  <si>
    <t>revest_1828-02-26</t>
  </si>
  <si>
    <t>rey_1838-10-04</t>
  </si>
  <si>
    <t>sirot_1843-02-17</t>
  </si>
  <si>
    <t>solages_1862-07-20</t>
  </si>
  <si>
    <t>talou_1835-08-15</t>
  </si>
  <si>
    <t>taudière_1834-11-30</t>
  </si>
  <si>
    <t>terrier_1854-07-08</t>
  </si>
  <si>
    <t>thorel_1842-09-09</t>
  </si>
  <si>
    <t>trannin_1842-09-04</t>
  </si>
  <si>
    <t>vival_1847-08-24</t>
  </si>
  <si>
    <t>vallé_1845-09-19</t>
  </si>
  <si>
    <t>villemonte-laclergerie_1851-08-20</t>
  </si>
  <si>
    <t>vilfeu_1850-12-25</t>
  </si>
  <si>
    <t>lavertujon_1855-04-19</t>
  </si>
  <si>
    <t>borgne_1844-09-01</t>
  </si>
  <si>
    <t>roy_1847-02-21</t>
  </si>
  <si>
    <t>ledieu_1834-07-21</t>
  </si>
  <si>
    <t>legras_1840-08-22</t>
  </si>
  <si>
    <t>lemercier_1820-06-25</t>
  </si>
  <si>
    <t>léouzon-le-duc_1860-10-11</t>
  </si>
  <si>
    <t>schneider_1840-12-10</t>
  </si>
  <si>
    <t>adam_1859-12-01</t>
  </si>
  <si>
    <t>aimelafille_1844-09-28</t>
  </si>
  <si>
    <t>argeliès_1862-08-28</t>
  </si>
  <si>
    <t>arribat_1855-11-24</t>
  </si>
  <si>
    <t>baile_1833-07-31</t>
  </si>
  <si>
    <t>balsan_1838-04-16</t>
  </si>
  <si>
    <t>bartissol_1841-12-20</t>
  </si>
  <si>
    <t>baudin_1853-08-29</t>
  </si>
  <si>
    <t>belleval_1860-01-20</t>
  </si>
  <si>
    <t>bérard_1829-10-29</t>
  </si>
  <si>
    <t>berger_1834-10-05</t>
  </si>
  <si>
    <t>bernis_1842-01-08</t>
  </si>
  <si>
    <t>bézine_1854-06-11</t>
  </si>
  <si>
    <t>bizot_1855-01-05</t>
  </si>
  <si>
    <t>bizouard-bert_1826-06-10</t>
  </si>
  <si>
    <t>bonnefoy-sibourg_1849-09-28</t>
  </si>
  <si>
    <t>boudeau_1852-02-04</t>
  </si>
  <si>
    <t>boulanger-bernet_1831-01-12</t>
  </si>
  <si>
    <t>braud_1846-08-11</t>
  </si>
  <si>
    <t>brincard_1842-03-11</t>
  </si>
  <si>
    <t>cabart-danneville_1846-06-24</t>
  </si>
  <si>
    <t>chautemps_1850-05-02</t>
  </si>
  <si>
    <t>chiché_1854-09-09</t>
  </si>
  <si>
    <t>coussergues_1831-12-03</t>
  </si>
  <si>
    <t>cosmao-dumenez_1840-02-29</t>
  </si>
  <si>
    <t>coutisson_1832-04-21</t>
  </si>
  <si>
    <t>couturier_1829-05-02</t>
  </si>
  <si>
    <t>delafosse_1843-08-18</t>
  </si>
  <si>
    <t>delpech_1834-09-08</t>
  </si>
  <si>
    <t>després_1834-04-12</t>
  </si>
  <si>
    <t>deville_1841-03-14</t>
  </si>
  <si>
    <t>dubois_1842-01-23</t>
  </si>
  <si>
    <t>dumas_1852-08-07</t>
  </si>
  <si>
    <t>dumay_1841-09-10</t>
  </si>
  <si>
    <t>dupuy-dutemps_1847-01-05</t>
  </si>
  <si>
    <t>engerand_1841-04-23</t>
  </si>
  <si>
    <t>ferry_1821-01-07</t>
  </si>
  <si>
    <t>gabriel_1848-09-14</t>
  </si>
  <si>
    <t>gacon_1847-10-08</t>
  </si>
  <si>
    <t>gaillard_1839-06-21</t>
  </si>
  <si>
    <t>gasté_1811-08-30</t>
  </si>
  <si>
    <t>gotteron_1849-05-11</t>
  </si>
  <si>
    <t>granger_1844-04-20</t>
  </si>
  <si>
    <t>d'oissel_1833-02-15</t>
  </si>
  <si>
    <t>hiroux_1827-04-02</t>
  </si>
  <si>
    <t>hovelacque_1843-11-14</t>
  </si>
  <si>
    <t>isambert_1841-10-20</t>
  </si>
  <si>
    <t>jacques_1828-09-26</t>
  </si>
  <si>
    <t>joffrin_1846-03-16</t>
  </si>
  <si>
    <t>jourde_1848-09-23</t>
  </si>
  <si>
    <t>chambre_1816-10-25</t>
  </si>
  <si>
    <t>lachize_1859-11-20</t>
  </si>
  <si>
    <t>langlet_1841-09-07</t>
  </si>
  <si>
    <t>loreau_1843-12-20</t>
  </si>
  <si>
    <t>lorgeril_1849-06-13</t>
  </si>
  <si>
    <t>macherez_1841-12-11</t>
  </si>
  <si>
    <t>martin_1848-01-16</t>
  </si>
  <si>
    <t>martineau_1859-12-18</t>
  </si>
  <si>
    <t>maujan_1853-06-03</t>
  </si>
  <si>
    <t>mège_1847-12-18</t>
  </si>
  <si>
    <t>merlou_1849-02-18</t>
  </si>
  <si>
    <t>de montfort_1840-02-03</t>
  </si>
  <si>
    <t>ouvré_1852-05-23</t>
  </si>
  <si>
    <t>papelier_1845-12-05</t>
  </si>
  <si>
    <t>paulin-méry_1860-06-14</t>
  </si>
  <si>
    <t>rolland_1833-05-07</t>
  </si>
  <si>
    <t>rousse_1860-01-26</t>
  </si>
  <si>
    <t>charles-roux_1841-11-14</t>
  </si>
  <si>
    <t>royer_1833-11-29</t>
  </si>
  <si>
    <t>saussay_1846-03-22</t>
  </si>
  <si>
    <t>pontois_1837-07-26</t>
  </si>
  <si>
    <t>possesse_1846-03-24</t>
  </si>
  <si>
    <t>poulié_1845-02-04</t>
  </si>
  <si>
    <t>prénat_1839-07-23</t>
  </si>
  <si>
    <t>rambourgt_1844-10-04</t>
  </si>
  <si>
    <t>rathier_1859-11-11</t>
  </si>
  <si>
    <t>réaux_1851-06-10</t>
  </si>
  <si>
    <t>richard_1864-04-18</t>
  </si>
  <si>
    <t>signard_1840-08-03</t>
  </si>
  <si>
    <t>souhet_1845-03-05</t>
  </si>
  <si>
    <t>surchamp_1846-04-26</t>
  </si>
  <si>
    <t>terrail-mermeix_1859-07-27</t>
  </si>
  <si>
    <t>thivrier_1841-05-16</t>
  </si>
  <si>
    <t>trouillot_1851-05-07</t>
  </si>
  <si>
    <t>vacherie_1847-06-25</t>
  </si>
  <si>
    <t>ville_1839-09-20</t>
  </si>
  <si>
    <t>vallon_1827-07-26</t>
  </si>
  <si>
    <t>varlet_1837-09-19</t>
  </si>
  <si>
    <t>villeneuve_1852-08-08</t>
  </si>
  <si>
    <t>werquin_1834-06-03</t>
  </si>
  <si>
    <t>senne_1848-04-21</t>
  </si>
  <si>
    <t>veillé_1861-03-31</t>
  </si>
  <si>
    <t>vilers_1833-02-17</t>
  </si>
  <si>
    <t>lasserre_1862-11-06</t>
  </si>
  <si>
    <t>cambe_1844-09-26</t>
  </si>
  <si>
    <t>frugier-puyboyer_1839-04-14</t>
  </si>
  <si>
    <t>lagorsse_1842-01-24</t>
  </si>
  <si>
    <t>guieysse_1841-05-11</t>
  </si>
  <si>
    <t>lebaudy_1858-07-04</t>
  </si>
  <si>
    <t>guillemet_1851-05-25</t>
  </si>
  <si>
    <t>muller_1843-09-19</t>
  </si>
  <si>
    <t>leygue_1850-04-08</t>
  </si>
  <si>
    <t>guichard_1826-05-25</t>
  </si>
  <si>
    <t>froin_1823-06-16</t>
  </si>
  <si>
    <t>lafont_1845-01-24</t>
  </si>
  <si>
    <t>delpeuch_1860-07-24</t>
  </si>
  <si>
    <t>seignobos_1822-08-25</t>
  </si>
  <si>
    <t>duportal_1848-02-14</t>
  </si>
  <si>
    <t>isambard_1845-03-08</t>
  </si>
  <si>
    <t>tricoche_1829-01-09</t>
  </si>
  <si>
    <t>mas_1850-01-31</t>
  </si>
  <si>
    <t>guillemin_1859-12-09</t>
  </si>
  <si>
    <t>raynaud_1844-07-25</t>
  </si>
  <si>
    <t>vian_1842-02-08</t>
  </si>
  <si>
    <t>lavy_1850-09-26</t>
  </si>
  <si>
    <t>clédou_1841-05-25</t>
  </si>
  <si>
    <t>herbecq_1835-07-23</t>
  </si>
  <si>
    <t>krantz_1848-08-24</t>
  </si>
  <si>
    <t>goujon_1854-05-22</t>
  </si>
  <si>
    <t>lebon_1849-11-13</t>
  </si>
  <si>
    <t>rouilly_1823-07-14</t>
  </si>
  <si>
    <t>tiphaine_1836-06-30</t>
  </si>
  <si>
    <t>moroux_1849-06-06</t>
  </si>
  <si>
    <t>ricard_1849-08-26</t>
  </si>
  <si>
    <t>trélat_1821-03-06</t>
  </si>
  <si>
    <t>gourvil_1845-03-29</t>
  </si>
  <si>
    <t>orsat_1849-06-27</t>
  </si>
  <si>
    <t>franc_1825-02-02</t>
  </si>
  <si>
    <t>denoix_1848-06-29</t>
  </si>
  <si>
    <t>lafargue_1843-01-15</t>
  </si>
  <si>
    <t>réal_1845-04-29</t>
  </si>
  <si>
    <t>coudreuse_1837-02-26</t>
  </si>
  <si>
    <t>béraud_1858-01-17</t>
  </si>
  <si>
    <t>thonion_1830-12-17</t>
  </si>
  <si>
    <t>touchimbert_1820-11-07</t>
  </si>
  <si>
    <t>d'hulst_1841-10-01</t>
  </si>
  <si>
    <t>froment_1838-09-14</t>
  </si>
  <si>
    <t>jaouen_1832-12-05</t>
  </si>
  <si>
    <t>clapot_1850-05-19</t>
  </si>
  <si>
    <t>rémusat_1864-01-19</t>
  </si>
  <si>
    <t>malausséna_1846-10-26</t>
  </si>
  <si>
    <t>aymé-martin_1859-05-13</t>
  </si>
  <si>
    <t>gamard_1837-10-30</t>
  </si>
  <si>
    <t>guéneau_1853-07-13</t>
  </si>
  <si>
    <t>gallix_1838-10-15</t>
  </si>
  <si>
    <t>bazille_1854-05-01</t>
  </si>
  <si>
    <t>duvigneau_1833-08-21</t>
  </si>
  <si>
    <t>blanc_1838-04-14</t>
  </si>
  <si>
    <t>bordet_1829-04-07</t>
  </si>
  <si>
    <t>leroy_1844-04-25</t>
  </si>
  <si>
    <t>chantelauze_1847-05-24</t>
  </si>
  <si>
    <t>chaudey_1857-05-23</t>
  </si>
  <si>
    <t>dindeau_1841-12-24</t>
  </si>
  <si>
    <t>denécheau_1845-05-13</t>
  </si>
  <si>
    <t>auricoste_1844-12-25</t>
  </si>
  <si>
    <t>balandreau_1843-09-19</t>
  </si>
  <si>
    <t>batiot_1845-08-17</t>
  </si>
  <si>
    <t>bepmale_1859-09-01</t>
  </si>
  <si>
    <t>bérard_1859-02-03</t>
  </si>
  <si>
    <t>berdoly_1844-02-29</t>
  </si>
  <si>
    <t>berne-lagarde_1850-11-15</t>
  </si>
  <si>
    <t>blanc_1858-01-07</t>
  </si>
  <si>
    <t>bourgoin_1836-05-27</t>
  </si>
  <si>
    <t>bourrillon_1853-09-15</t>
  </si>
  <si>
    <t>bozérian_1853-07-16</t>
  </si>
  <si>
    <t>broglie_1846-10-31</t>
  </si>
  <si>
    <t>brune_1835-04-01</t>
  </si>
  <si>
    <t>brunet_1847-07-23</t>
  </si>
  <si>
    <t>castillard_1847-09-03</t>
  </si>
  <si>
    <t>chandioux_1849-03-21</t>
  </si>
  <si>
    <t>chevallier_1851-12-21</t>
  </si>
  <si>
    <t>coget_1829-06-19</t>
  </si>
  <si>
    <t>cuissart_1835-09-24</t>
  </si>
  <si>
    <t>defumade_1844-01-14</t>
  </si>
  <si>
    <t>dejean_1859-07-11</t>
  </si>
  <si>
    <t>delanne_1838-01-27</t>
  </si>
  <si>
    <t>demalvillain_1841-01-18</t>
  </si>
  <si>
    <t>denis_1858-05-14</t>
  </si>
  <si>
    <t>desgenétais_1854-10-05</t>
  </si>
  <si>
    <t>deshayes_1833-01-15</t>
  </si>
  <si>
    <t>dupon_1823-04-20</t>
  </si>
  <si>
    <t>fiquet_1841-04-08</t>
  </si>
  <si>
    <t>fournol_1842-09-25</t>
  </si>
  <si>
    <t>françois_1842-07-01</t>
  </si>
  <si>
    <t>gavini_1858-12-16</t>
  </si>
  <si>
    <t>girard_1826-12-04</t>
  </si>
  <si>
    <t>guérin_1841-05-21</t>
  </si>
  <si>
    <t>harriague-saint-martin_1849-10-08</t>
  </si>
  <si>
    <t>henrion_1835-09-18</t>
  </si>
  <si>
    <t>humbert_1844-02-21</t>
  </si>
  <si>
    <t>labarthe_1846-12-23</t>
  </si>
  <si>
    <t>labat_1834-03-20</t>
  </si>
  <si>
    <t>lacombe_1853-12-11</t>
  </si>
  <si>
    <t>lannelongue_1840-12-04</t>
  </si>
  <si>
    <t>laroze_1861-05-25</t>
  </si>
  <si>
    <t>marcillat_1849-11-21</t>
  </si>
  <si>
    <t>lacour_1854-05-29</t>
  </si>
  <si>
    <t>moret_1846-11-10</t>
  </si>
  <si>
    <t>mougeot_1857-11-10</t>
  </si>
  <si>
    <t>néron-bancel_1859-01-23</t>
  </si>
  <si>
    <t>noël_1847-08-26</t>
  </si>
  <si>
    <t>pams_1852-08-14</t>
  </si>
  <si>
    <t>pédebidou_1854-12-16</t>
  </si>
  <si>
    <t>rouzaud_1855-11-14</t>
  </si>
  <si>
    <t>pontallié_1855-10-14</t>
  </si>
  <si>
    <t>pourteyron_1846-03-30</t>
  </si>
  <si>
    <t>ragot-blondeau_1838-12-02</t>
  </si>
  <si>
    <t>simon_1842-05-27</t>
  </si>
  <si>
    <t>sirot-mallez_1835-05-14</t>
  </si>
  <si>
    <t>tardif_1837-04-30</t>
  </si>
  <si>
    <t>thoulouse_1859-12-08</t>
  </si>
  <si>
    <t>trannoy_1837-02-06</t>
  </si>
  <si>
    <t>de treveneuc_1860-11-03</t>
  </si>
  <si>
    <t>vogeli_1832-09-14</t>
  </si>
  <si>
    <t>weill-mallez_1833-01-01</t>
  </si>
  <si>
    <t>vogüé_1848-02-24</t>
  </si>
  <si>
    <t>clec'h_1857-04-10</t>
  </si>
  <si>
    <t>moign_1824-03-17</t>
  </si>
  <si>
    <t>lebon_1858-08-26</t>
  </si>
  <si>
    <t>lebret_1853-11-07</t>
  </si>
  <si>
    <t>lebrun_1840-07-28</t>
  </si>
  <si>
    <t>leffet_1838-05-21</t>
  </si>
  <si>
    <t>legoux-longpré_1850-08-09</t>
  </si>
  <si>
    <t>lepez_1850-07-08</t>
  </si>
  <si>
    <t>leteurtre_1837-07-16</t>
  </si>
  <si>
    <t>levecque_1852-09-02</t>
  </si>
  <si>
    <t>avez_1858-06-16</t>
  </si>
  <si>
    <t>blanc_1856-02-22</t>
  </si>
  <si>
    <t>bourcy_1829-10-01</t>
  </si>
  <si>
    <t>brice_1830-10-28</t>
  </si>
  <si>
    <t>carpentier-risbourg_1842-09-12</t>
  </si>
  <si>
    <t>caussanel_1838-09-18</t>
  </si>
  <si>
    <t>charpentier_1858-12-20</t>
  </si>
  <si>
    <t>chauvin_1860-03-23</t>
  </si>
  <si>
    <t>chevrey-rameau_1836-08-05</t>
  </si>
  <si>
    <t>compayré_1851-03-21</t>
  </si>
  <si>
    <t>cot_1845-07-01</t>
  </si>
  <si>
    <t>couchard_1848-07-19</t>
  </si>
  <si>
    <t>cousin_1847-07-31</t>
  </si>
  <si>
    <t>cros-bonnel_1855-05-10</t>
  </si>
  <si>
    <t>dauzon_1860-08-01</t>
  </si>
  <si>
    <t>decker-david_1863-09-27</t>
  </si>
  <si>
    <t>delarue_1846-03-14</t>
  </si>
  <si>
    <t>delbet_1831-11-09</t>
  </si>
  <si>
    <t>delombre_1848-03-18</t>
  </si>
  <si>
    <t>descubes-desgueraines_1853-01-29</t>
  </si>
  <si>
    <t>desfarges_1851-08-12</t>
  </si>
  <si>
    <t>castillo_1855-02-01</t>
  </si>
  <si>
    <t>ducos_1833-10-14</t>
  </si>
  <si>
    <t>dufaure_1846-08-17</t>
  </si>
  <si>
    <t>dumas_1857-10-01</t>
  </si>
  <si>
    <t>dusevel_1840-10-05</t>
  </si>
  <si>
    <t>dussaussoy_1860-01-06</t>
  </si>
  <si>
    <t>dutreix_1848-02-10</t>
  </si>
  <si>
    <t>faberot_1834-05-27</t>
  </si>
  <si>
    <t>firino_1854-09-23</t>
  </si>
  <si>
    <t>flandin_1853-04-01</t>
  </si>
  <si>
    <t>fruchier_1851-03-20</t>
  </si>
  <si>
    <t>gasnier_1853-07-05</t>
  </si>
  <si>
    <t>gendre_1840-07-22</t>
  </si>
  <si>
    <t>genet_1850-04-20</t>
  </si>
  <si>
    <t>goujat_1845-02-22</t>
  </si>
  <si>
    <t>goujon_1835-12-01</t>
  </si>
  <si>
    <t>gras_1847-03-02</t>
  </si>
  <si>
    <t>grousset_1844-04-07</t>
  </si>
  <si>
    <t>gruet_1844-08-02</t>
  </si>
  <si>
    <t>guignard_1829-09-16</t>
  </si>
  <si>
    <t>hayez_1859-10-22</t>
  </si>
  <si>
    <t>hugues_1848-03-16</t>
  </si>
  <si>
    <t>d'hugues_1859-09-12</t>
  </si>
  <si>
    <t>isaac_1853-03-11</t>
  </si>
  <si>
    <t>iung_1833-03-12</t>
  </si>
  <si>
    <t>jourdan_1846-07-29</t>
  </si>
  <si>
    <t>labussière_1853-05-02</t>
  </si>
  <si>
    <t>loyer_1844-07-21</t>
  </si>
  <si>
    <t>casabianca_1847-11-27</t>
  </si>
  <si>
    <t>masson_1845-07-28</t>
  </si>
  <si>
    <t>mirman_1865-01-28</t>
  </si>
  <si>
    <t>odilon-barrot_1841-01-03</t>
  </si>
  <si>
    <t>oriol_1840-08-27</t>
  </si>
  <si>
    <t>pétrot_1837-06-03</t>
  </si>
  <si>
    <t>rose_1852-02-10</t>
  </si>
  <si>
    <t>samary_1848-02-07</t>
  </si>
  <si>
    <t>sauvanet_1851-11-27</t>
  </si>
  <si>
    <t>prudent-dervillers_1849-12-01</t>
  </si>
  <si>
    <t>reboulin_1852-04-05</t>
  </si>
  <si>
    <t>riu_1832-07-15</t>
  </si>
  <si>
    <t>sonnery-martin_1841-01-05</t>
  </si>
  <si>
    <t>temple_1848-11-04</t>
  </si>
  <si>
    <t>toussaint_1849-07-16</t>
  </si>
  <si>
    <t>d'octon_1859-09-07</t>
  </si>
  <si>
    <t>vaux_1848-02-22</t>
  </si>
  <si>
    <t>wignacourt_1845-10-23</t>
  </si>
  <si>
    <t>vichot_1825-07-30</t>
  </si>
  <si>
    <t>vuillod_1850-06-02</t>
  </si>
  <si>
    <t>coupanec_1857-11-01</t>
  </si>
  <si>
    <t>lefoullon_1844-07-03</t>
  </si>
  <si>
    <t>leveillé_1834-10-22</t>
  </si>
  <si>
    <t>saillant_1849-11-15</t>
  </si>
  <si>
    <t>doumergue_1863-08-01</t>
  </si>
  <si>
    <t>delaunay_1854-05-24</t>
  </si>
  <si>
    <t>mercier_1835-03-23</t>
  </si>
  <si>
    <t>mare_1848-09-01</t>
  </si>
  <si>
    <t>carnaud_1863-07-06</t>
  </si>
  <si>
    <t>malzac_1850-08-13</t>
  </si>
  <si>
    <t>saint_1826-09-13</t>
  </si>
  <si>
    <t>reille-soult-dalmatie_1861-10-07</t>
  </si>
  <si>
    <t>huguet_1860-08-04</t>
  </si>
  <si>
    <t>marfan_1827-06-24</t>
  </si>
  <si>
    <t>d'hénin_1853-08-05</t>
  </si>
  <si>
    <t>prud'homme-havette_1834-09-08</t>
  </si>
  <si>
    <t>genoux-prachée_1854-06-12</t>
  </si>
  <si>
    <t>saint-quentin_1850-10-14</t>
  </si>
  <si>
    <t>carnot_1866-12-26</t>
  </si>
  <si>
    <t>faure_1850-08-20</t>
  </si>
  <si>
    <t>chenavaz_1855-07-15</t>
  </si>
  <si>
    <t>villejean_1850-01-22</t>
  </si>
  <si>
    <t>gellé_1845-10-25</t>
  </si>
  <si>
    <t>gauvin_1852-06-08</t>
  </si>
  <si>
    <t>villain_1830-08-22</t>
  </si>
  <si>
    <t>lesage_1852-05-02</t>
  </si>
  <si>
    <t>marchegay_1869-10-05</t>
  </si>
  <si>
    <t>d'estournelles de constant_1852-01-22</t>
  </si>
  <si>
    <t>sever_1845-04-17</t>
  </si>
  <si>
    <t>bonard_1855-03-31</t>
  </si>
  <si>
    <t>jouart_1850-04-04</t>
  </si>
  <si>
    <t>vacher_1858-12-24</t>
  </si>
  <si>
    <t>dubois_1837-12-04</t>
  </si>
  <si>
    <t>sicard_1848-04-05</t>
  </si>
  <si>
    <t>bourrat_1859-12-12</t>
  </si>
  <si>
    <t>hennard_1847-03-27</t>
  </si>
  <si>
    <t>duvau_1855-03-05</t>
  </si>
  <si>
    <t>morlot_1859-10-10</t>
  </si>
  <si>
    <t>renou_1845-12-30</t>
  </si>
  <si>
    <t>sautumier_1869-03-21</t>
  </si>
  <si>
    <t>baron_1885-02-15</t>
  </si>
  <si>
    <t>perrin_1842-10-11</t>
  </si>
  <si>
    <t>legrand_1857-08-31</t>
  </si>
  <si>
    <t>deville_1854-03-08</t>
  </si>
  <si>
    <t>berthet_1857-08-22</t>
  </si>
  <si>
    <t>saint-urbain_1854-03-09</t>
  </si>
  <si>
    <t>ferret_1851-09-02</t>
  </si>
  <si>
    <t>guillain_1844-02-07</t>
  </si>
  <si>
    <t>cornet_1865-03-01</t>
  </si>
  <si>
    <t>grenier_1865-08-14</t>
  </si>
  <si>
    <t>girault_1852-09-21</t>
  </si>
  <si>
    <t>rigaud_1829-11-23</t>
  </si>
  <si>
    <t>pommeray_1858-10-21</t>
  </si>
  <si>
    <t>forni_1838-09-17</t>
  </si>
  <si>
    <t>beauregard_1854-02-19</t>
  </si>
  <si>
    <t>decrais_1838-12-18</t>
  </si>
  <si>
    <t>ermant_1852-06-22</t>
  </si>
  <si>
    <t>bienvenu-martin_1847-07-22</t>
  </si>
  <si>
    <t>couyba_1866-01-01</t>
  </si>
  <si>
    <t>munin-bourdin_1855-01-07</t>
  </si>
  <si>
    <t>rotours_1860-04-08</t>
  </si>
  <si>
    <t>augé_1850-03-31</t>
  </si>
  <si>
    <t>baron_1859-12-23</t>
  </si>
  <si>
    <t>d'aillières_1817-10-15</t>
  </si>
  <si>
    <t>pichon_1849-06-11</t>
  </si>
  <si>
    <t>derrien_1857-07-23</t>
  </si>
  <si>
    <t>jobez_1865-06-26</t>
  </si>
  <si>
    <t>bontemps_1840-04-22</t>
  </si>
  <si>
    <t>rispal_1836-05-25</t>
  </si>
  <si>
    <t>hervoches_1829-06-15</t>
  </si>
  <si>
    <t>d'agoult_1860-05-09</t>
  </si>
  <si>
    <t>aimond_1850-11-03</t>
  </si>
  <si>
    <t>aucouturier_1835-12-23</t>
  </si>
  <si>
    <t>chevrelière_1858-03-09</t>
  </si>
  <si>
    <t>barrois_1857-02-10</t>
  </si>
  <si>
    <t>bazillon_1847-01-10</t>
  </si>
  <si>
    <t>bernard_1862-05-31</t>
  </si>
  <si>
    <t>bersez_1857-01-22</t>
  </si>
  <si>
    <t>berthet_1861-09-29</t>
  </si>
  <si>
    <t>bordier_1855-01-28</t>
  </si>
  <si>
    <t>borne_1850-02-01</t>
  </si>
  <si>
    <t>boutard_1862-07-23</t>
  </si>
  <si>
    <t>bussière_1858-11-01</t>
  </si>
  <si>
    <t>canet_1837-03-07</t>
  </si>
  <si>
    <t>carrier_1834-09-28</t>
  </si>
  <si>
    <t>castellane_1867-02-14</t>
  </si>
  <si>
    <t>cazals_1861-12-24</t>
  </si>
  <si>
    <t>chenel_1847-10-23</t>
  </si>
  <si>
    <t>christophle_1851-11-21</t>
  </si>
  <si>
    <t>claudinon_1849-02-07</t>
  </si>
  <si>
    <t>colle_1847-06-29</t>
  </si>
  <si>
    <t>delaune_1855-10-13</t>
  </si>
  <si>
    <t>drumont_1844-05-03</t>
  </si>
  <si>
    <t>dubochet_1852-11-26</t>
  </si>
  <si>
    <t>fenal_1851-09-12</t>
  </si>
  <si>
    <t>fournière_1857-05-31</t>
  </si>
  <si>
    <t>gabiat_1861-12-16</t>
  </si>
  <si>
    <t>galot_1839-02-15</t>
  </si>
  <si>
    <t>gautret_1862-01-05</t>
  </si>
  <si>
    <t>guibert_1843-01-08</t>
  </si>
  <si>
    <t>henrique-duluc_1846-07-31</t>
  </si>
  <si>
    <t>heuzey_1863-12-25</t>
  </si>
  <si>
    <t>jacob_1849-03-15</t>
  </si>
  <si>
    <t>jacquey_1834-11-15</t>
  </si>
  <si>
    <t>kelsch_1844-12-03</t>
  </si>
  <si>
    <t>de kerouartz_1858-05-06</t>
  </si>
  <si>
    <t>langlais_1847-12-19</t>
  </si>
  <si>
    <t>lassalle_1856-11-22</t>
  </si>
  <si>
    <t>malaspina_1853-11-09</t>
  </si>
  <si>
    <t>marchal_1849-11-13</t>
  </si>
  <si>
    <t>mathey_1827-09-27</t>
  </si>
  <si>
    <t>maymac_1842-11-18</t>
  </si>
  <si>
    <t>meyer_1841-09-01</t>
  </si>
  <si>
    <t>miossec_1839-03-15</t>
  </si>
  <si>
    <t>de montaigu_1844-03-11</t>
  </si>
  <si>
    <t>motte_1860-10-15</t>
  </si>
  <si>
    <t>olive_1835-10-10</t>
  </si>
  <si>
    <t>palix_1864-11-14</t>
  </si>
  <si>
    <t>pavie_1843-02-02</t>
  </si>
  <si>
    <t>péronneau_1856-04-18</t>
  </si>
  <si>
    <t>philippe_1871-04-22</t>
  </si>
  <si>
    <t>rouland_1860-06-27</t>
  </si>
  <si>
    <t>schneider_1868-10-29</t>
  </si>
  <si>
    <t>borgo_1858-02-27</t>
  </si>
  <si>
    <t>ridouard_1865-02-09</t>
  </si>
  <si>
    <t>riou_1849-05-18</t>
  </si>
  <si>
    <t>sommeillier_1856-08-08</t>
  </si>
  <si>
    <t>suchetet_1849-03-06</t>
  </si>
  <si>
    <t>ternaux-compans_1846-01-20</t>
  </si>
  <si>
    <t>tramu_1838-05-17</t>
  </si>
  <si>
    <t>ursleur_1857-05-02</t>
  </si>
  <si>
    <t>leglos_1864-02-06</t>
  </si>
  <si>
    <t>lespinay_1854-01-10</t>
  </si>
  <si>
    <t>leygues_1856-07-09</t>
  </si>
  <si>
    <t>rieunier_1833-03-06</t>
  </si>
  <si>
    <t>abel-bernard_1860-11-21</t>
  </si>
  <si>
    <t>allard_1860-05-01</t>
  </si>
  <si>
    <t>d'aulan_1864-06-07</t>
  </si>
  <si>
    <t>baudin_1863-08-21</t>
  </si>
  <si>
    <t>bénézech_1852-04-06</t>
  </si>
  <si>
    <t>berthelot_1862-05-20</t>
  </si>
  <si>
    <t>berton_1859-03-12</t>
  </si>
  <si>
    <t>bompard_1860-12-17</t>
  </si>
  <si>
    <t>bos_1862-02-01</t>
  </si>
  <si>
    <t>cauvin_1843-07-24</t>
  </si>
  <si>
    <t>cère_1863-03-13</t>
  </si>
  <si>
    <t>chauvin_1870-08-27</t>
  </si>
  <si>
    <t>daudé-gleize_1862-01-17</t>
  </si>
  <si>
    <t>debève_1837-08-13</t>
  </si>
  <si>
    <t>debussy_1847-02-08</t>
  </si>
  <si>
    <t>delestrac_1844-05-08</t>
  </si>
  <si>
    <t>délieux_1850-09-17</t>
  </si>
  <si>
    <t>delon-soubeiran_1837-11-21</t>
  </si>
  <si>
    <t>delpech-cantaloup_1848-02-25</t>
  </si>
  <si>
    <t>denis_1853-11-23</t>
  </si>
  <si>
    <t>dubois_1853-12-28</t>
  </si>
  <si>
    <t>dufour_1844-03-30</t>
  </si>
  <si>
    <t>duquesnay_1846-01-07</t>
  </si>
  <si>
    <t>faure_1864-07-28</t>
  </si>
  <si>
    <t>ferrand_1844-05-10</t>
  </si>
  <si>
    <t>ferrero_1859-12-25</t>
  </si>
  <si>
    <t>florent_1849-02-04</t>
  </si>
  <si>
    <t>galley_1847-03-22</t>
  </si>
  <si>
    <t>galy-gasparrou_1850-07-20</t>
  </si>
  <si>
    <t>gay_1855-11-30</t>
  </si>
  <si>
    <t>gervais_1857-12-06</t>
  </si>
  <si>
    <t>gervaize_1857-02-15</t>
  </si>
  <si>
    <t>girou_1860-09-15</t>
  </si>
  <si>
    <t>gouzy_1833-03-18</t>
  </si>
  <si>
    <t>charles-gras_1850-10-04</t>
  </si>
  <si>
    <t>gueneau_1849-02-11</t>
  </si>
  <si>
    <t>guyard_1846-02-18</t>
  </si>
  <si>
    <t>holtz_1867-02-21</t>
  </si>
  <si>
    <t>isnard_1856-12-22</t>
  </si>
  <si>
    <t>joxé_1824-04-30</t>
  </si>
  <si>
    <t>krauss_1861-01-14</t>
  </si>
  <si>
    <t>lagasse_1860-07-12</t>
  </si>
  <si>
    <t>laloge_1869-12-21</t>
  </si>
  <si>
    <t>magne_1865-06-07</t>
  </si>
  <si>
    <t>masurel_1855-06-30</t>
  </si>
  <si>
    <t>maussabré-beufvier_1864-12-29</t>
  </si>
  <si>
    <t>melliet_1843-12-22</t>
  </si>
  <si>
    <t>menier_1855-05-22</t>
  </si>
  <si>
    <t>monfeuillart_1853-05-09</t>
  </si>
  <si>
    <t>morcrette-ledieu_1853-11-18</t>
  </si>
  <si>
    <t>muzet_1843-08-14</t>
  </si>
  <si>
    <t>ordinaire_1862-02-07</t>
  </si>
  <si>
    <t>pascal_1835-08-07</t>
  </si>
  <si>
    <t>pastre_1864-01-10</t>
  </si>
  <si>
    <t>paul-faure_1852-01-16</t>
  </si>
  <si>
    <t>perreau_1866-03-13</t>
  </si>
  <si>
    <t>peschaud_1861-04-02</t>
  </si>
  <si>
    <t>robert_1853-05-27</t>
  </si>
  <si>
    <t>rogez_1869-12-30</t>
  </si>
  <si>
    <t>roux_1848-01-28</t>
  </si>
  <si>
    <t>saba_1848-11-17</t>
  </si>
  <si>
    <t>salignac-fénelon_1858-09-04</t>
  </si>
  <si>
    <t>prache_1856-02-26</t>
  </si>
  <si>
    <t>reille-soult-dalmatie_1871-12-26</t>
  </si>
  <si>
    <t>rendu_1844-02-24</t>
  </si>
  <si>
    <t>tourgnol_1833-06-17</t>
  </si>
  <si>
    <t>zévaes_1873-05-24</t>
  </si>
  <si>
    <t>létang_1859-02-19</t>
  </si>
  <si>
    <t>levraud_1843-04-27</t>
  </si>
  <si>
    <t>limouzain-laplanche_1845-08-19</t>
  </si>
  <si>
    <t>deribéré-desgardes_1848-10-28</t>
  </si>
  <si>
    <t>narbonne_1847-03-01</t>
  </si>
  <si>
    <t>allombert_1860-03-11</t>
  </si>
  <si>
    <t>sirot_1844-10-27</t>
  </si>
  <si>
    <t>lemasson_1848-10-04</t>
  </si>
  <si>
    <t>peignot_1871-01-21</t>
  </si>
  <si>
    <t>riberpray_1832-04-26</t>
  </si>
  <si>
    <t>david_1857-04-18</t>
  </si>
  <si>
    <t>rivals_1851-09-16</t>
  </si>
  <si>
    <t>empereur_1848-05-17</t>
  </si>
  <si>
    <t>arbouin_1849-11-30</t>
  </si>
  <si>
    <t>dasque_1860-01-25</t>
  </si>
  <si>
    <t>fachard_1846-04-26</t>
  </si>
  <si>
    <t>girardin_1830-02-03</t>
  </si>
  <si>
    <t>mollard_1849-10-12</t>
  </si>
  <si>
    <t>miossec_1869-07-20</t>
  </si>
  <si>
    <t>cardon_1860-09-27</t>
  </si>
  <si>
    <t>gentil_1848-12-30</t>
  </si>
  <si>
    <t>vigouroux_1866-08-25</t>
  </si>
  <si>
    <t>martin_1859-01-15</t>
  </si>
  <si>
    <t>vallée_1853-08-21</t>
  </si>
  <si>
    <t>benoist_1843-05-17</t>
  </si>
  <si>
    <t>corderoy_1849-03-30</t>
  </si>
  <si>
    <t>allemane_1843-08-25</t>
  </si>
  <si>
    <t>guingand_1845-03-15</t>
  </si>
  <si>
    <t>mulac_1847-03-10</t>
  </si>
  <si>
    <t>caraman_1845-04-10</t>
  </si>
  <si>
    <t>authier_1856-06-16</t>
  </si>
  <si>
    <t>proust_1852-04-26</t>
  </si>
  <si>
    <t>senescail_1865-01-13</t>
  </si>
  <si>
    <t>ancel-seitz_1846-06-26</t>
  </si>
  <si>
    <t>aubry_1853-06-22</t>
  </si>
  <si>
    <t>bonvalot_1853-07-14</t>
  </si>
  <si>
    <t>borgnet_1846-02-03</t>
  </si>
  <si>
    <t>castellane_1868-04-24</t>
  </si>
  <si>
    <t>castelnau_1845-06-10</t>
  </si>
  <si>
    <t>catalogne_1856-09-27</t>
  </si>
  <si>
    <t>chevalier_1848-08-09</t>
  </si>
  <si>
    <t>dard_1875-06-20</t>
  </si>
  <si>
    <t>defarge_1836-08-22</t>
  </si>
  <si>
    <t>delarbre_1866-05-05</t>
  </si>
  <si>
    <t>dussuel_1858-10-10</t>
  </si>
  <si>
    <t>gabrielli_1856-08-08</t>
  </si>
  <si>
    <t>gautier_1848-07-08</t>
  </si>
  <si>
    <t>gérard_1861-02-08</t>
  </si>
  <si>
    <t>villeneuve_1864-02-09</t>
  </si>
  <si>
    <t>haudricourt_1858-02-07</t>
  </si>
  <si>
    <t>janet_1861-12-06</t>
  </si>
  <si>
    <t>jeanneney_1864-07-06</t>
  </si>
  <si>
    <t>jehanin_1851-06-27</t>
  </si>
  <si>
    <t>chambre_1861-11-07</t>
  </si>
  <si>
    <t>rochethulon_1868-01-08</t>
  </si>
  <si>
    <t>marot_1865-08-05</t>
  </si>
  <si>
    <t>maure_1852-08-03</t>
  </si>
  <si>
    <t>mazière_1847-11-13</t>
  </si>
  <si>
    <t>michel_1844-01-02</t>
  </si>
  <si>
    <t>ollivier_1853-04-03</t>
  </si>
  <si>
    <t>d'osmoy_1862-07-01</t>
  </si>
  <si>
    <t>ozun_1840-02-22</t>
  </si>
  <si>
    <t>perroche_1845-08-03</t>
  </si>
  <si>
    <t>petitjean_1858-08-22</t>
  </si>
  <si>
    <t>peureux_1857-04-05</t>
  </si>
  <si>
    <t>roscoat_1853-04-02</t>
  </si>
  <si>
    <t>rousset_1850-12-09</t>
  </si>
  <si>
    <t>rudelle_1843-07-09</t>
  </si>
  <si>
    <t>sabaterie_1855-08-09</t>
  </si>
  <si>
    <t>saint-pol_1857-01-18</t>
  </si>
  <si>
    <t>sénac_1839-05-25</t>
  </si>
  <si>
    <t>tournier_1855-05-24</t>
  </si>
  <si>
    <t>archdeacon_1864-12-24</t>
  </si>
  <si>
    <t>audiguier_1863-03-01</t>
  </si>
  <si>
    <t>auffray_1852-11-03</t>
  </si>
  <si>
    <t>bagnol_1862-07-08</t>
  </si>
  <si>
    <t>begey_1857-10-19</t>
  </si>
  <si>
    <t>béharelle_1861-11-09</t>
  </si>
  <si>
    <t>bellier_1854-09-10</t>
  </si>
  <si>
    <t>berthoulat_1859-08-16</t>
  </si>
  <si>
    <t>bichon_1848-11-26</t>
  </si>
  <si>
    <t>boissieu_1871-05-26</t>
  </si>
  <si>
    <t>bougon_1850-02-10</t>
  </si>
  <si>
    <t>brisson_1857-03-28</t>
  </si>
  <si>
    <t>brunard_1837-05-06</t>
  </si>
  <si>
    <t>cachet_1850-04-21</t>
  </si>
  <si>
    <t>capéran_1862-11-12</t>
  </si>
  <si>
    <t>cardet_1856-03-02</t>
  </si>
  <si>
    <t>cazeaux-cazalet_1861-04-23</t>
  </si>
  <si>
    <t>cazeneuve_1852-01-10</t>
  </si>
  <si>
    <t>clément_1852-07-12</t>
  </si>
  <si>
    <t>cloutier_1862-01-22</t>
  </si>
  <si>
    <t>congy_1857-05-24</t>
  </si>
  <si>
    <t>essarts_1865-03-06</t>
  </si>
  <si>
    <t>coulondre_1857-06-01</t>
  </si>
  <si>
    <t>debiève_1844-01-28</t>
  </si>
  <si>
    <t>dèche_1855-09-18</t>
  </si>
  <si>
    <t>dormoy_1862-02-17</t>
  </si>
  <si>
    <t>duquesnel_1860-08-29</t>
  </si>
  <si>
    <t>fabre_1871-01-11</t>
  </si>
  <si>
    <t>féron_1845-06-22</t>
  </si>
  <si>
    <t>ferrier_1842-06-14</t>
  </si>
  <si>
    <t>fruchier_1865-11-04</t>
  </si>
  <si>
    <t>girod_1856-01-19</t>
  </si>
  <si>
    <t>grosjean_1865-07-23</t>
  </si>
  <si>
    <t>guilloteaux_1865-09-30</t>
  </si>
  <si>
    <t>judet_1846-07-20</t>
  </si>
  <si>
    <t>loque_1852-11-22</t>
  </si>
  <si>
    <t>lorthiois_1873-09-04</t>
  </si>
  <si>
    <t>lozé_1850-01-20</t>
  </si>
  <si>
    <t>marchand_1842-08-21</t>
  </si>
  <si>
    <t>mas_1854-05-28</t>
  </si>
  <si>
    <t>mill_1864-04-06</t>
  </si>
  <si>
    <t>petit_1872-02-24</t>
  </si>
  <si>
    <t>pichat_1843-07-23</t>
  </si>
  <si>
    <t>piger_1864-07-14</t>
  </si>
  <si>
    <t>pins_1866-10-19</t>
  </si>
  <si>
    <t>poisson_1870-08-02</t>
  </si>
  <si>
    <t>rouby_1860-05-29</t>
  </si>
  <si>
    <t>rousé_1854-04-05</t>
  </si>
  <si>
    <t>sandrique_1854-05-30</t>
  </si>
  <si>
    <t>pressensé_1853-09-30</t>
  </si>
  <si>
    <t>ripert_1870-05-20</t>
  </si>
  <si>
    <t>truy_1876-08-11</t>
  </si>
  <si>
    <t>vialis_1848-06-14</t>
  </si>
  <si>
    <t>laurens-castelet_1844-04-09</t>
  </si>
  <si>
    <t>lepelletier_1846-06-26</t>
  </si>
  <si>
    <t>dorian_1855-06-02</t>
  </si>
  <si>
    <t>bonte_1853-06-02</t>
  </si>
  <si>
    <t>roger-ballu_1852-03-27</t>
  </si>
  <si>
    <t>serres_1845-03-25</t>
  </si>
  <si>
    <t>malizard_1848-09-11</t>
  </si>
  <si>
    <t>torchut_1863-09-17</t>
  </si>
  <si>
    <t>arnal_1873-03-18</t>
  </si>
  <si>
    <t>minier_1857-06-20</t>
  </si>
  <si>
    <t>régnier_1867-02-16</t>
  </si>
  <si>
    <t>isoard_1869-11-25</t>
  </si>
  <si>
    <t>ory_1852-09-12</t>
  </si>
  <si>
    <t>syveton_1864-02-21</t>
  </si>
  <si>
    <t>videau_1852-10-25</t>
  </si>
  <si>
    <t>hémard_1847-11-08</t>
  </si>
  <si>
    <t>rosanbo_1864-10-21</t>
  </si>
  <si>
    <t>plaisance_1860-06-27</t>
  </si>
  <si>
    <t>normand_1858-11-19</t>
  </si>
  <si>
    <t>albert-le-roy_1856-12-10</t>
  </si>
  <si>
    <t>dudouyt_1851-10-24</t>
  </si>
  <si>
    <t>salles_1829-05-31</t>
  </si>
  <si>
    <t>tenting_1851-09-10</t>
  </si>
  <si>
    <t>augé_1853-12-11</t>
  </si>
  <si>
    <t>castiau_1842-04-23</t>
  </si>
  <si>
    <t>vion_1853-05-04</t>
  </si>
  <si>
    <t>auber_1867-04-29</t>
  </si>
  <si>
    <t>barbançois_1869-05-04</t>
  </si>
  <si>
    <t>fort_1865-01-12</t>
  </si>
  <si>
    <t>couderc_1852-06-02</t>
  </si>
  <si>
    <t>brousse_1844-01-24</t>
  </si>
  <si>
    <t>chautard_1862-05-06</t>
  </si>
  <si>
    <t>dauthy_1866-11-13</t>
  </si>
  <si>
    <t>dehove_1851-03-03</t>
  </si>
  <si>
    <t>delaunay_1870-04-09</t>
  </si>
  <si>
    <t>dubois_1849-10-16</t>
  </si>
  <si>
    <t>dupourqué_1859-04-08</t>
  </si>
  <si>
    <t>fleurent_1865-01-30</t>
  </si>
  <si>
    <t>foy_1866-03-08</t>
  </si>
  <si>
    <t>gauvin_1859-06-08</t>
  </si>
  <si>
    <t>gontaut-biron_1854-07-30</t>
  </si>
  <si>
    <t>grillon_1875-09-06</t>
  </si>
  <si>
    <t>villeneuve_1862-08-09</t>
  </si>
  <si>
    <t>humbert_1866-05-28</t>
  </si>
  <si>
    <t>joyeux-laffuie_1852-12-12</t>
  </si>
  <si>
    <t>magnaud_1848-05-20</t>
  </si>
  <si>
    <t>pérès_1858-02-18</t>
  </si>
  <si>
    <t>leblanc_1867-02-07</t>
  </si>
  <si>
    <t>lemaire_1856-07-07</t>
  </si>
  <si>
    <t>labori_1860-04-18</t>
  </si>
  <si>
    <t>biétry_1872-05-09</t>
  </si>
  <si>
    <t>carlier_1859-04-29</t>
  </si>
  <si>
    <t>chaumeil_1856-01-10</t>
  </si>
  <si>
    <t>chion-ducollet_1848-09-23</t>
  </si>
  <si>
    <t>cibiel_1850-11-03</t>
  </si>
  <si>
    <t>cosnard_1856-10-04</t>
  </si>
  <si>
    <t>delecroix_1861-10-27</t>
  </si>
  <si>
    <t>dumont_1867-12-23</t>
  </si>
  <si>
    <t>farjon_1841-12-19</t>
  </si>
  <si>
    <t>fiévet_1867-02-17</t>
  </si>
  <si>
    <t>halléguen_1867-07-04</t>
  </si>
  <si>
    <t>maillé_1841-01-03</t>
  </si>
  <si>
    <t>merle_1879-07-18</t>
  </si>
  <si>
    <t>messner_1851-04-01</t>
  </si>
  <si>
    <t>ossola_1848-09-21</t>
  </si>
  <si>
    <t>roy_1865-09-22</t>
  </si>
  <si>
    <t>santelli_1857-10-30</t>
  </si>
  <si>
    <t>pozzi_1860-10-08</t>
  </si>
  <si>
    <t>ravier_1850-11-09</t>
  </si>
  <si>
    <t>vidon_1856-01-30</t>
  </si>
  <si>
    <t>ledin_1867-01-27</t>
  </si>
  <si>
    <t>lefort_1834-02-11</t>
  </si>
  <si>
    <t>evesque_1855-12-04</t>
  </si>
  <si>
    <t>gérard-varet_1860-08-20</t>
  </si>
  <si>
    <t>vigier_1854-11-02</t>
  </si>
  <si>
    <t>archimbaud_1856-04-29</t>
  </si>
  <si>
    <t>codet_1876-10-09</t>
  </si>
  <si>
    <t>pétin_1870-04-16</t>
  </si>
  <si>
    <t>colin_1865-02-05</t>
  </si>
  <si>
    <t>rolland_1852-02-07</t>
  </si>
  <si>
    <t>astier_1855-08-07</t>
  </si>
  <si>
    <t>foyer_1872-06-29</t>
  </si>
  <si>
    <t>ratier_1851-06-29</t>
  </si>
  <si>
    <t>morel_1854-10-10</t>
  </si>
  <si>
    <t>gasnier-duparc_1879-06-21</t>
  </si>
  <si>
    <t>sellier_1883-12-22</t>
  </si>
  <si>
    <t>brunschvicg_1877-07-19</t>
  </si>
  <si>
    <t>joliot-curie_1897-09-12</t>
  </si>
  <si>
    <t>perrin_1870-09-30</t>
  </si>
  <si>
    <t>lacore_1875-05-30</t>
  </si>
  <si>
    <t>pétain_1856-04-24</t>
  </si>
  <si>
    <t>denain_1880-11-06</t>
  </si>
  <si>
    <t>roustan_1870-02-20</t>
  </si>
  <si>
    <t>maurin_1854-12-23</t>
  </si>
  <si>
    <t>combes_1835-09-06</t>
  </si>
  <si>
    <t>berthelot_1827-10-25</t>
  </si>
  <si>
    <t>brun_1849-04-24</t>
  </si>
  <si>
    <t>boué de lapeyrère_1852-01-18</t>
  </si>
  <si>
    <t>dupuy_1844-10-01</t>
  </si>
  <si>
    <t>guillaumat_1863-01-04</t>
  </si>
  <si>
    <t>chapsal_1862-03-10</t>
  </si>
  <si>
    <t>marraud_1861-01-08</t>
  </si>
  <si>
    <t>girard_1851-01-14</t>
  </si>
  <si>
    <t>de freycinet_1828-11-14</t>
  </si>
  <si>
    <t>gallieni_1849-04-24</t>
  </si>
  <si>
    <t>roques_1856-12-28</t>
  </si>
  <si>
    <t>lacaze_1860-06-22</t>
  </si>
  <si>
    <t>thomas_1878-06-16</t>
  </si>
  <si>
    <t>lyautey_1854-11-17</t>
  </si>
  <si>
    <t>claveille_1865-01-01</t>
  </si>
  <si>
    <t>tissier_1866-03-26</t>
  </si>
  <si>
    <t>de jouvenel_1876-04-02</t>
  </si>
  <si>
    <t>campenon_1819-05-04</t>
  </si>
  <si>
    <t>galiber_1824-07-02</t>
  </si>
  <si>
    <t>clamageran_1827-03-29</t>
  </si>
  <si>
    <t>demôle_1828-03-22</t>
  </si>
  <si>
    <t>chanoine_1835-12-18</t>
  </si>
  <si>
    <t>zurlinden_1837-11-03</t>
  </si>
  <si>
    <t>charles tillaye_1847-05-31</t>
  </si>
  <si>
    <t>godin_1844-03-14</t>
  </si>
  <si>
    <t>de selves_1848-07-19</t>
  </si>
  <si>
    <t>mercier_1833-12-08</t>
  </si>
  <si>
    <t>lefèvre_1828-12-20</t>
  </si>
  <si>
    <t>boulanger_1831-10-12</t>
  </si>
  <si>
    <t>gallet_1874-11-12</t>
  </si>
  <si>
    <t>chabrun_1880-12-14</t>
  </si>
  <si>
    <t>charlot_1865-09-27</t>
  </si>
  <si>
    <t>le gorgeu_1881-05-05</t>
  </si>
  <si>
    <t>picquart_1854-09-06</t>
  </si>
  <si>
    <t>picard_1844-12-21</t>
  </si>
  <si>
    <t>milliès-lacroix_1850-12-04</t>
  </si>
  <si>
    <t>bérenger_1867-04-22</t>
  </si>
  <si>
    <t>vilgrain_1880-10-29</t>
  </si>
  <si>
    <t>sergent_1869-03-02</t>
  </si>
  <si>
    <t>chaumié_1849-03-17</t>
  </si>
  <si>
    <t>andré_1838-03-08</t>
  </si>
  <si>
    <t>penancier_1873-02-24</t>
  </si>
  <si>
    <t>appell_1887-07-03</t>
  </si>
  <si>
    <t>lisbonne_1876-06-20</t>
  </si>
  <si>
    <t>bernier_1866-07-10</t>
  </si>
  <si>
    <t>valadier_1878-09-07</t>
  </si>
  <si>
    <t>giraudoux_1882-10-29</t>
  </si>
  <si>
    <t>serruys_1875-03-04</t>
  </si>
  <si>
    <t>dautry_1880-09-16</t>
  </si>
  <si>
    <t>humbert_1822-06-28</t>
  </si>
  <si>
    <t>billot_1828-08-15</t>
  </si>
  <si>
    <t>jauréguiberry_1815-08-26</t>
  </si>
  <si>
    <t>varroy_1826-03-25</t>
  </si>
  <si>
    <t>aube_1826-11-22</t>
  </si>
  <si>
    <t>millaud_1834-09-07</t>
  </si>
  <si>
    <t>barbey_1831-09-02</t>
  </si>
  <si>
    <t>gauthier de l'aude_1850-09-28</t>
  </si>
  <si>
    <t>rivollet_1888-11-03</t>
  </si>
  <si>
    <t>duclerc_1812-11-09</t>
  </si>
  <si>
    <t>loizillon_1829-01-11</t>
  </si>
  <si>
    <t>guérin_1849-07-27</t>
  </si>
  <si>
    <t>lourties_1844-07-21</t>
  </si>
  <si>
    <t>thibaudin_1822-11-13</t>
  </si>
  <si>
    <t>lewal_1823-12-13</t>
  </si>
  <si>
    <t>peyron_1823-06-21</t>
  </si>
  <si>
    <t>brun_1821-11-22</t>
  </si>
  <si>
    <t>challemel-lacour_1827-05-19</t>
  </si>
  <si>
    <t>cassez_1871-07-23</t>
  </si>
  <si>
    <t>maurin_1869-01-05</t>
  </si>
  <si>
    <t>ferrouillat_1820-05-04</t>
  </si>
  <si>
    <t>françois émile krantz_1821-12-29</t>
  </si>
  <si>
    <t>françois-marsal_1874-03-16</t>
  </si>
  <si>
    <t>cazot_1821-02-11</t>
  </si>
  <si>
    <t>gougeard_1827-11-15</t>
  </si>
  <si>
    <t>chalamet_1822-12-19</t>
  </si>
  <si>
    <t>dauphin_1827-08-28</t>
  </si>
  <si>
    <t>nollet_1865-01-28</t>
  </si>
  <si>
    <t>robert_1814-01-28</t>
  </si>
  <si>
    <t>pasquet_1867-10-17</t>
  </si>
  <si>
    <t>maître_1883-07-12</t>
  </si>
  <si>
    <t>ricard_1880-09-03</t>
  </si>
  <si>
    <t>ogier_1862-01-06</t>
  </si>
  <si>
    <t>coupat_1860-06-17</t>
  </si>
  <si>
    <t>rambaud_1842-07-02</t>
  </si>
  <si>
    <t>besnard_1833-10-11</t>
  </si>
  <si>
    <t>goiran_1847-04-27</t>
  </si>
  <si>
    <t>schrameck_1867-11-26</t>
  </si>
  <si>
    <t>frémicourt_1877-09-27</t>
  </si>
  <si>
    <t>pujo_1878-08-21</t>
  </si>
  <si>
    <t>rivaud_1876-05-14</t>
  </si>
  <si>
    <t>weygand_1867-01-21</t>
  </si>
  <si>
    <t>colson_1875-10-27</t>
  </si>
  <si>
    <t>darlan_1881-08-07</t>
  </si>
  <si>
    <t>baudouin_1894-12-19</t>
  </si>
  <si>
    <t>bouthillier_1901-02-26</t>
  </si>
  <si>
    <t>alibert_1887-02-17</t>
  </si>
  <si>
    <t>sainsère_1852-09-09</t>
  </si>
  <si>
    <t>strauss_1852-09-23</t>
  </si>
  <si>
    <t>peyronnet_1862-01-05</t>
  </si>
  <si>
    <t>prouvost_1885-04-24</t>
  </si>
  <si>
    <t>hachette_1886-03-26</t>
  </si>
  <si>
    <t>pinelli_1881-05-31</t>
  </si>
  <si>
    <t>de la grange_1888-03-31</t>
  </si>
  <si>
    <t>mény_1890-09-17</t>
  </si>
  <si>
    <t>de gaulle_1890-11-22</t>
  </si>
  <si>
    <t>trarieux_1840-11-30</t>
  </si>
  <si>
    <t>abel_1863-01-12</t>
  </si>
  <si>
    <t>ferron_1830-09-19</t>
  </si>
  <si>
    <t>mazeau_1825-09-01</t>
  </si>
  <si>
    <t>mounié_1876-10-04</t>
  </si>
  <si>
    <t>chauveau_1861-08-22</t>
  </si>
  <si>
    <t>faye_1828-11-16</t>
  </si>
  <si>
    <t>logerot_1936-07-18</t>
  </si>
  <si>
    <t>jaurès_1823-02-03</t>
  </si>
  <si>
    <t>de galliffet_1831-01-23</t>
  </si>
  <si>
    <t>martel_1813-09-13</t>
  </si>
  <si>
    <t>d'audiffret-pasquier_1823-10-21</t>
  </si>
  <si>
    <t>pothuau_1815-12-30</t>
  </si>
  <si>
    <t>chanzy_1823-03-18</t>
  </si>
  <si>
    <t>lefebvre de laboulaye_1811-01-18</t>
  </si>
  <si>
    <t>lasteyrie du saillant_1810-10-29</t>
  </si>
  <si>
    <t>fourichon_1809-01-10</t>
  </si>
  <si>
    <t>foubert_1812-05-21</t>
  </si>
  <si>
    <t>corne_1802-08-28</t>
  </si>
  <si>
    <t>frebault_1813-02-01</t>
  </si>
  <si>
    <t>barthelemy saint-hilaire_1805-08-19</t>
  </si>
  <si>
    <t>cordier_1820-02-27</t>
  </si>
  <si>
    <t>krantz_1817-01-17</t>
  </si>
  <si>
    <t>calouin de treville_1802-02-28</t>
  </si>
  <si>
    <t>de cornulier-luciniere_1809-07-17</t>
  </si>
  <si>
    <t>kolb-bernard_1798-01-16</t>
  </si>
  <si>
    <t>thery_1807-05-04</t>
  </si>
  <si>
    <t>pajot_1809-02-01</t>
  </si>
  <si>
    <t>de chadois_1830-03-12</t>
  </si>
  <si>
    <t>dumon_1820-09-20</t>
  </si>
  <si>
    <t>bertauld_1812-06-09</t>
  </si>
  <si>
    <t>gaulthier de rumilly_1792-12-08</t>
  </si>
  <si>
    <t>calmon_1815-03-03</t>
  </si>
  <si>
    <t>le royer_1816-06-27</t>
  </si>
  <si>
    <t>tribert_1819-06-23</t>
  </si>
  <si>
    <t>de douhet_1811-04-21</t>
  </si>
  <si>
    <t>carnot_1801-08-06</t>
  </si>
  <si>
    <t>de lorgeril_1811-05-24</t>
  </si>
  <si>
    <t>rampont_1809-11-25</t>
  </si>
  <si>
    <t>scherer_1815-04-08</t>
  </si>
  <si>
    <t>de chabron_1806-01-05</t>
  </si>
  <si>
    <t>corbon_1808-12-23</t>
  </si>
  <si>
    <t>testelin_1814-01-06</t>
  </si>
  <si>
    <t>scheurer-kestner_1833-02-11</t>
  </si>
  <si>
    <t>luro_1823-10-17</t>
  </si>
  <si>
    <t>de saisy de kerampuil_1833-04-05</t>
  </si>
  <si>
    <t>goüin_1818-09-18</t>
  </si>
  <si>
    <t>laurent-pichat_1823-07-11</t>
  </si>
  <si>
    <t>schoelcher_1804-07-22</t>
  </si>
  <si>
    <t>suisse jules dit jules_1814-12-27</t>
  </si>
  <si>
    <t>denormandie_1821-08-16</t>
  </si>
  <si>
    <t>magnin_1824-01-01</t>
  </si>
  <si>
    <t>berenger_1830-04-22</t>
  </si>
  <si>
    <t>de cissey ernest_1810-12-23</t>
  </si>
  <si>
    <t>wallon_1812-12-23</t>
  </si>
  <si>
    <t>de maleville_1805-08-20</t>
  </si>
  <si>
    <t>de montaignac de chauvance_1811-03-14</t>
  </si>
  <si>
    <t>de la jaille_1824-04-15</t>
  </si>
  <si>
    <t>robin_1821-06-04</t>
  </si>
  <si>
    <t>bonnet louis_1815-10-06</t>
  </si>
  <si>
    <t>martin_1810-02-20</t>
  </si>
  <si>
    <t>de saint-vallier_1833-09-12</t>
  </si>
  <si>
    <t>waddington_1826-12-11</t>
  </si>
  <si>
    <t>de veauce_1820-01-01</t>
  </si>
  <si>
    <t>de chantemerle_1818-02-16</t>
  </si>
  <si>
    <t>martenot_1827-12-11</t>
  </si>
  <si>
    <t>dieude-defly_1809-02-10</t>
  </si>
  <si>
    <t>rampon_1805-07-09</t>
  </si>
  <si>
    <t>tailhand_1810-07-01</t>
  </si>
  <si>
    <t>toupet des vignes_1816-09-05</t>
  </si>
  <si>
    <t>vigarosy_1822-06-23</t>
  </si>
  <si>
    <t>masson de mortefontaine_1796-10-13</t>
  </si>
  <si>
    <t>beraldi_1821-08-24</t>
  </si>
  <si>
    <t>mayran_1818-03-04</t>
  </si>
  <si>
    <t>boisse_1810-09-16</t>
  </si>
  <si>
    <t>delsol_1827-10-27</t>
  </si>
  <si>
    <t>du chaffault_1822-05-19</t>
  </si>
  <si>
    <t>michel_1821-07-23</t>
  </si>
  <si>
    <t>daguenet_1801-07-09</t>
  </si>
  <si>
    <t>de gontaut-biron_1817-11-09</t>
  </si>
  <si>
    <t>de lestapis_1814-02-03</t>
  </si>
  <si>
    <t>paulmier_1811-10-21</t>
  </si>
  <si>
    <t>de saint-pierre_1810-03-14</t>
  </si>
  <si>
    <t>bocher_1811-02-16</t>
  </si>
  <si>
    <t>bertrand_1808-09-18</t>
  </si>
  <si>
    <t>de parieu_1815-04-13</t>
  </si>
  <si>
    <t>roy de loulay_1818-08-26</t>
  </si>
  <si>
    <t>boffinton_1817-08-27</t>
  </si>
  <si>
    <t>riviere_1817-07-08</t>
  </si>
  <si>
    <t>fournier_1830-09-01</t>
  </si>
  <si>
    <t>brunet_1829-03-04</t>
  </si>
  <si>
    <t>galloni d'istria_1815-01-20</t>
  </si>
  <si>
    <t>de champagny_1831-06-17</t>
  </si>
  <si>
    <t>de treveneuc_1815-09-13</t>
  </si>
  <si>
    <t>jacques-palotte_1830-08-28</t>
  </si>
  <si>
    <t>fayolle_1815-02-16</t>
  </si>
  <si>
    <t>taillefert_1808-01-05</t>
  </si>
  <si>
    <t>monnet_1820-10-01</t>
  </si>
  <si>
    <t>daussel_1813-03-22</t>
  </si>
  <si>
    <t>oudet_1816-07-04</t>
  </si>
  <si>
    <t>lamorte_1823-06-07</t>
  </si>
  <si>
    <t>malens_1829-01-17</t>
  </si>
  <si>
    <t>de broglie_1821-06-13</t>
  </si>
  <si>
    <t>delacroix_1807-11-05</t>
  </si>
  <si>
    <t>labiche_1827-11-25</t>
  </si>
  <si>
    <t>monjaret de kerjegu_1809-03-01</t>
  </si>
  <si>
    <t>forsanz_1825-04-16</t>
  </si>
  <si>
    <t>de raismes_1828-03-15</t>
  </si>
  <si>
    <t>soubigou_1819-02-11</t>
  </si>
  <si>
    <t>laget_1821-09-20</t>
  </si>
  <si>
    <t>meinadier_1811-07-16</t>
  </si>
  <si>
    <t>batbie_1828-05-31</t>
  </si>
  <si>
    <t>lacave-laplagne_1835-10-03</t>
  </si>
  <si>
    <t>du motier de la fayette_1818-01-11</t>
  </si>
  <si>
    <t>pelissier_1812-12-04</t>
  </si>
  <si>
    <t>dufournel_1808-08-30</t>
  </si>
  <si>
    <t>jobard_1821-12-11</t>
  </si>
  <si>
    <t>chaumontel_1828-10-02</t>
  </si>
  <si>
    <t>chardon_1828-10-04</t>
  </si>
  <si>
    <t>teisserenc de bort_1814-09-04</t>
  </si>
  <si>
    <t>blanc_1817-08-05</t>
  </si>
  <si>
    <t>cazalas_1813-09-01</t>
  </si>
  <si>
    <t>adnet_1829-12-04</t>
  </si>
  <si>
    <t>grivart_1829-07-30</t>
  </si>
  <si>
    <t>pelletan_1813-10-29</t>
  </si>
  <si>
    <t>de bondy_1802-04-23</t>
  </si>
  <si>
    <t>clement_1829-10-30</t>
  </si>
  <si>
    <t>michal-ladichere_1807-11-03</t>
  </si>
  <si>
    <t>eymard-duvernay_1816-01-03</t>
  </si>
  <si>
    <t>thurel_1818-08-18</t>
  </si>
  <si>
    <t>de lacroix de ravignan_1829-01-29</t>
  </si>
  <si>
    <t>de gavardie_1823-12-02</t>
  </si>
  <si>
    <t>bozerian_1825-10-28</t>
  </si>
  <si>
    <t>arbel_1826-09-05</t>
  </si>
  <si>
    <t>de lavrignais_1805-09-02</t>
  </si>
  <si>
    <t>baillardel de lareinty_1824-01-19</t>
  </si>
  <si>
    <t>espivent de la villeboisnet_1813-03-30</t>
  </si>
  <si>
    <t>dumesnil_1805-11-25</t>
  </si>
  <si>
    <t>joubert-bonnaire_1814-06-16</t>
  </si>
  <si>
    <t>le guay_1827-07-03</t>
  </si>
  <si>
    <t>dauphinot_1821-01-24</t>
  </si>
  <si>
    <t>duboys fresney_1808-08-15</t>
  </si>
  <si>
    <t>audren de kerdrel_1815-09-27</t>
  </si>
  <si>
    <t>de la monneraye_1812-02-03</t>
  </si>
  <si>
    <t>d'andlau_1824-01-01</t>
  </si>
  <si>
    <t>de flers_1817-10-27</t>
  </si>
  <si>
    <t>poriquet_1816-07-30</t>
  </si>
  <si>
    <t>dubrulle_1821-11-26</t>
  </si>
  <si>
    <t>paris_1826-11-12</t>
  </si>
  <si>
    <t>huguet_1822-12-20</t>
  </si>
  <si>
    <t>de barante_1816-08-27</t>
  </si>
  <si>
    <t>salneuve_1815-01-15</t>
  </si>
  <si>
    <t>arago_1812-08-06</t>
  </si>
  <si>
    <t>perret_1815-04-03</t>
  </si>
  <si>
    <t>mangini_1833-10-18</t>
  </si>
  <si>
    <t>guillemaut_1806-09-18</t>
  </si>
  <si>
    <t>de talhouet_1819-10-11</t>
  </si>
  <si>
    <t>vetillart_1820-10-28</t>
  </si>
  <si>
    <t>caillaux_1822-09-08</t>
  </si>
  <si>
    <t>d'alexandry_1829-03-09</t>
  </si>
  <si>
    <t>herold_1828-10-16</t>
  </si>
  <si>
    <t>hugo_1802-02-26</t>
  </si>
  <si>
    <t>peyrat_1812-06-21</t>
  </si>
  <si>
    <t>adam_1800-01-28</t>
  </si>
  <si>
    <t>foucher de careil_1826-03-01</t>
  </si>
  <si>
    <t>gilbert-boucher_1819-05-29</t>
  </si>
  <si>
    <t>feray_1804-05-29</t>
  </si>
  <si>
    <t>pouyer-quertier_1820-09-02</t>
  </si>
  <si>
    <t>ancel_1812-10-16</t>
  </si>
  <si>
    <t>vaysse de rainneville_1833-08-07</t>
  </si>
  <si>
    <t>espinasse_1810-09-04</t>
  </si>
  <si>
    <t>de preissac_1819-07-17</t>
  </si>
  <si>
    <t>pin_1813-08-09</t>
  </si>
  <si>
    <t>granier_1806-04-27</t>
  </si>
  <si>
    <t>de cornulier de la lande_1812-09-23</t>
  </si>
  <si>
    <t>gaudineau_1817-05-24</t>
  </si>
  <si>
    <t>de ladmirault_1808-02-17</t>
  </si>
  <si>
    <t>claude_1821-11-11</t>
  </si>
  <si>
    <t>george_1830-10-03</t>
  </si>
  <si>
    <t>ribiere_1822-03-01</t>
  </si>
  <si>
    <t>charton_1807-05-11</t>
  </si>
  <si>
    <t>lucet_1816-10-21</t>
  </si>
  <si>
    <t>lelievre_1799-11-07</t>
  </si>
  <si>
    <t>lacomme_1815-12-09</t>
  </si>
  <si>
    <t>pomel_1821-09-20</t>
  </si>
  <si>
    <t>lafond de saint-mur_1817-12-08</t>
  </si>
  <si>
    <t>de la sicotiere_1812-02-03</t>
  </si>
  <si>
    <t>desmazes_1806-11-16</t>
  </si>
  <si>
    <t>robinet de la serve_1821-03-30</t>
  </si>
  <si>
    <t>desbassyns de richemont_1833-01-29</t>
  </si>
  <si>
    <t>viellard-migeon_1803-11-21</t>
  </si>
  <si>
    <t>buffet_1818-10-26</t>
  </si>
  <si>
    <t>de merode_1816-01-13</t>
  </si>
  <si>
    <t>chesnelong_1820-04-14</t>
  </si>
  <si>
    <t>delbreil_1807-07-25</t>
  </si>
  <si>
    <t>dupuy de lôme_1816-10-15</t>
  </si>
  <si>
    <t>de chabaud-latour_1804-01-26</t>
  </si>
  <si>
    <t>brun_1822-06-02</t>
  </si>
  <si>
    <t>grandperret_1818-01-26</t>
  </si>
  <si>
    <t>arnaudeau_1821-09-08</t>
  </si>
  <si>
    <t>de larcy_1805-08-20</t>
  </si>
  <si>
    <t>barrot_1806-01-10</t>
  </si>
  <si>
    <t>de carayon-latour_1824-04-10</t>
  </si>
  <si>
    <t>cleron d'haussonville_1810-05-27</t>
  </si>
  <si>
    <t>de vallee_1821-09-01</t>
  </si>
  <si>
    <t>baragnon_1835-11-24</t>
  </si>
  <si>
    <t>barne_1831-09-09</t>
  </si>
  <si>
    <t>gazagne_1815-04-11</t>
  </si>
  <si>
    <t>issartier_1816-08-20</t>
  </si>
  <si>
    <t>de lur-saluces_1808-12-11</t>
  </si>
  <si>
    <t>callen_1820-10-30</t>
  </si>
  <si>
    <t>dupouy_1825-07-01</t>
  </si>
  <si>
    <t>de remusat_1831-11-17</t>
  </si>
  <si>
    <t>camparan_1832-11-29</t>
  </si>
  <si>
    <t>hebrard_1834-01-01</t>
  </si>
  <si>
    <t>vissaguet_1834-11-04</t>
  </si>
  <si>
    <t>robert-dehault_1821-01-22</t>
  </si>
  <si>
    <t>bazille_1812-09-29</t>
  </si>
  <si>
    <t>griffe_1825-10-18</t>
  </si>
  <si>
    <t>combescure_1819-01-15</t>
  </si>
  <si>
    <t>jouin_1818-02-17</t>
  </si>
  <si>
    <t>le bastard_1836-01-21</t>
  </si>
  <si>
    <t>roger-marvaise_1831-07-07</t>
  </si>
  <si>
    <t>guinot_1827-10-17</t>
  </si>
  <si>
    <t>fournier_1821-07-29</t>
  </si>
  <si>
    <t>ronjat_1827-01-29</t>
  </si>
  <si>
    <t>tamisier_1809-01-22</t>
  </si>
  <si>
    <t>dufay_1815-06-24</t>
  </si>
  <si>
    <t>cherpin_1813-03-08</t>
  </si>
  <si>
    <t>chavassieu_1814-10-16</t>
  </si>
  <si>
    <t>robert de massy_1810-09-29</t>
  </si>
  <si>
    <t>roques_1806-05-11</t>
  </si>
  <si>
    <t>delord_1808-02-21</t>
  </si>
  <si>
    <t>pons_1822-02-02</t>
  </si>
  <si>
    <t>de roziere_1820-05-03</t>
  </si>
  <si>
    <t>roussel_1816-07-27</t>
  </si>
  <si>
    <t>d'andigne_1821-11-10</t>
  </si>
  <si>
    <t>dufresne_1809-03-28</t>
  </si>
  <si>
    <t>lenoël_1827-03-23</t>
  </si>
  <si>
    <t>labiche_1826-08-09</t>
  </si>
  <si>
    <t>le blond_1812-05-09</t>
  </si>
  <si>
    <t>denis_1833-08-20</t>
  </si>
  <si>
    <t>bernard_1824-12-01</t>
  </si>
  <si>
    <t>vivenot_1835-09-23</t>
  </si>
  <si>
    <t>honnore_1836-09-29</t>
  </si>
  <si>
    <t>fresneau_1823-01-05</t>
  </si>
  <si>
    <t>tenaille-saligny_1830-02-22</t>
  </si>
  <si>
    <t>masse_1817-03-09</t>
  </si>
  <si>
    <t>dutilleul_1837-03-15</t>
  </si>
  <si>
    <t>fournier_1826-02-19</t>
  </si>
  <si>
    <t>massiet du biest_1823-11-02</t>
  </si>
  <si>
    <t>faidherbe_1818-06-03</t>
  </si>
  <si>
    <t>merlin_1825-12-22</t>
  </si>
  <si>
    <t>lagache_1809-08-29</t>
  </si>
  <si>
    <t>cuvinot_1837-06-01</t>
  </si>
  <si>
    <t>guyot-lavaline_1827-07-15</t>
  </si>
  <si>
    <t>mathey_1819-09-23</t>
  </si>
  <si>
    <t>halgan_1828-04-08</t>
  </si>
  <si>
    <t>de bremond d'ars_1810-03-19</t>
  </si>
  <si>
    <t>gresley_1819-02-09</t>
  </si>
  <si>
    <t>pietri_1820-02-25</t>
  </si>
  <si>
    <t>canrobert_1809-06-27</t>
  </si>
  <si>
    <t>guiffrey_1827-12-16</t>
  </si>
  <si>
    <t>ninard_1824-03-11</t>
  </si>
  <si>
    <t>lemoinne_1815-10-17</t>
  </si>
  <si>
    <t>grevy_1823-08-24</t>
  </si>
  <si>
    <t>de bosredon_1831-02-22</t>
  </si>
  <si>
    <t>vallier_1821-01-17</t>
  </si>
  <si>
    <t>gailly_1825-01-25</t>
  </si>
  <si>
    <t>parent_1817-03-21</t>
  </si>
  <si>
    <t>grevy_1820-09-05</t>
  </si>
  <si>
    <t>duval_1818-01-13</t>
  </si>
  <si>
    <t>de carne_1834-01-17</t>
  </si>
  <si>
    <t>farre_1816-05-05</t>
  </si>
  <si>
    <t>gayot_1834-02-02</t>
  </si>
  <si>
    <t>lefranc_1809-03-02</t>
  </si>
  <si>
    <t>didier_1807-04-12</t>
  </si>
  <si>
    <t>deschanel_1819-11-19</t>
  </si>
  <si>
    <t>wurtz_1817-11-26</t>
  </si>
  <si>
    <t>de voisins-laverniere_1813-05-17</t>
  </si>
  <si>
    <t>tolain_1828-06-18</t>
  </si>
  <si>
    <t>renaud_1812-04-12</t>
  </si>
  <si>
    <t>de reignie_1827-10-04</t>
  </si>
  <si>
    <t>goguet_1830-05-12</t>
  </si>
  <si>
    <t>donnot_1827-10-15</t>
  </si>
  <si>
    <t>noblot_1816-08-30</t>
  </si>
  <si>
    <t>deffis_1827-02-06</t>
  </si>
  <si>
    <t>dupre_1811-01-10</t>
  </si>
  <si>
    <t>demiautte_1829-10-15</t>
  </si>
  <si>
    <t>boucher-cadart_1836-05-17</t>
  </si>
  <si>
    <t>goutay_1804-11-21</t>
  </si>
  <si>
    <t>farines_1825-02-16</t>
  </si>
  <si>
    <t>munier_1821-11-21</t>
  </si>
  <si>
    <t>cordelet_1834-01-17</t>
  </si>
  <si>
    <t>carquet_1810-10-22</t>
  </si>
  <si>
    <t>lizot_1831-04-13</t>
  </si>
  <si>
    <t>rigal_1827-04-09</t>
  </si>
  <si>
    <t>garrisson_1820-02-28</t>
  </si>
  <si>
    <t>kiener_1807-11-16</t>
  </si>
  <si>
    <t>lecointe_1817-07-12</t>
  </si>
  <si>
    <t>frezoul_1837-04-02</t>
  </si>
  <si>
    <t>delbreil_1841-01-18</t>
  </si>
  <si>
    <t>hebrard_1841-02-21</t>
  </si>
  <si>
    <t>dietz-monnin_1826-11-13</t>
  </si>
  <si>
    <t>brugerolle_1840-05-10</t>
  </si>
  <si>
    <t>milhet-fontarabie_1828-11-22</t>
  </si>
  <si>
    <t>allou_1820-03-06</t>
  </si>
  <si>
    <t>peronne_1832-01-20</t>
  </si>
  <si>
    <t>halna du fretay_1819-05-11</t>
  </si>
  <si>
    <t>le guen_1826-08-31</t>
  </si>
  <si>
    <t>bardoux_1829-01-15</t>
  </si>
  <si>
    <t>allegre_1835-08-07</t>
  </si>
  <si>
    <t>de verninac-saint-maur_1841-05-18</t>
  </si>
  <si>
    <t>lalanne_1811-07-03</t>
  </si>
  <si>
    <t>michaux_1822-01-12</t>
  </si>
  <si>
    <t>beral_1838-08-01</t>
  </si>
  <si>
    <t>dehault de pressense_1823-06-21</t>
  </si>
  <si>
    <t>marquis_1834-09-22</t>
  </si>
  <si>
    <t>mace_1815-08-22</t>
  </si>
  <si>
    <t>blavier_1827-08-21</t>
  </si>
  <si>
    <t>goujon_1840-04-29</t>
  </si>
  <si>
    <t>lades-gout_1821-02-17</t>
  </si>
  <si>
    <t>lacombe_1840-11-05</t>
  </si>
  <si>
    <t>velten_1831-09-10</t>
  </si>
  <si>
    <t>lavalley_1821-10-09</t>
  </si>
  <si>
    <t>cabanes_1840-01-28</t>
  </si>
  <si>
    <t>cabanes_1831-10-13</t>
  </si>
  <si>
    <t>peaudecerf_1835-08-31</t>
  </si>
  <si>
    <t>casabianca (de)_1839-09-13</t>
  </si>
  <si>
    <t>de l'angle-beaumanoir_1828-03-03</t>
  </si>
  <si>
    <t>fayard_1816-04-02</t>
  </si>
  <si>
    <t>jumeau_1821-03-20</t>
  </si>
  <si>
    <t>claris_1825-03-17</t>
  </si>
  <si>
    <t>dide_1839-04-04</t>
  </si>
  <si>
    <t>laporte_1833-07-23</t>
  </si>
  <si>
    <t>fievet_1817-03-26</t>
  </si>
  <si>
    <t>libert_1828-10-08</t>
  </si>
  <si>
    <t>martin_1845-05-19</t>
  </si>
  <si>
    <t>halgan_1839-02-16</t>
  </si>
  <si>
    <t>de beauchamp_1820-04-01</t>
  </si>
  <si>
    <t>isaac_1845-01-09</t>
  </si>
  <si>
    <t>bergeon_1828-07-21</t>
  </si>
  <si>
    <t>sebire_1807-11-02</t>
  </si>
  <si>
    <t>veron_1819-01-04</t>
  </si>
  <si>
    <t>le provost de launay_1823-01-25</t>
  </si>
  <si>
    <t>songeon_1818-09-03</t>
  </si>
  <si>
    <t>guichard_1827-12-10</t>
  </si>
  <si>
    <t>dufraigne_1822-04-28</t>
  </si>
  <si>
    <t>laroche_1832-08-16</t>
  </si>
  <si>
    <t>morellet_1843-03-25</t>
  </si>
  <si>
    <t>petit_1836-06-03</t>
  </si>
  <si>
    <t>de cardevac d' havrincourt_1806-09-12</t>
  </si>
  <si>
    <t>garran de balzan_1838-01-30</t>
  </si>
  <si>
    <t>decroix_1810-05-07</t>
  </si>
  <si>
    <t>de bejarry_1840-06-30</t>
  </si>
  <si>
    <t>chaver-bière léonce dit léonce de_1833-09-30</t>
  </si>
  <si>
    <t>huon de penanster_1832-10-11</t>
  </si>
  <si>
    <t>sebline_1846-06-04</t>
  </si>
  <si>
    <t>feral_1830-12-13</t>
  </si>
  <si>
    <t>de guibourg de luzinais_1834-07-27</t>
  </si>
  <si>
    <t>diancourt_1825-10-05</t>
  </si>
  <si>
    <t>volland_1838-08-01</t>
  </si>
  <si>
    <t>madignier_1831-07-02</t>
  </si>
  <si>
    <t>bire_1826-09-29</t>
  </si>
  <si>
    <t>pauliat_1845-01-13</t>
  </si>
  <si>
    <t>de cès-caupenne_1832-01-28</t>
  </si>
  <si>
    <t>lavertujon_1827-07-26</t>
  </si>
  <si>
    <t>montesquiou-fezensac_1843-09-29</t>
  </si>
  <si>
    <t>lisbonne_1818-08-02</t>
  </si>
  <si>
    <t>de callac_1821-09-17</t>
  </si>
  <si>
    <t>nioche_1820-08-08</t>
  </si>
  <si>
    <t>rey_1836-07-13</t>
  </si>
  <si>
    <t>pazat_1839-02-08</t>
  </si>
  <si>
    <t>brunon_1836-05-08</t>
  </si>
  <si>
    <t>durand_1843-12-22</t>
  </si>
  <si>
    <t>bernard-dutreil_1831-11-01</t>
  </si>
  <si>
    <t>le breton_1833-09-12</t>
  </si>
  <si>
    <t>decray_1814-12-17</t>
  </si>
  <si>
    <t>de laubespin_1810-09-06</t>
  </si>
  <si>
    <t>claeys_1829-12-01</t>
  </si>
  <si>
    <t>chovet_1831-11-26</t>
  </si>
  <si>
    <t>lesueur_1834-04-15</t>
  </si>
  <si>
    <t>de corsi_1824-09-15</t>
  </si>
  <si>
    <t>chaix_1821-11-11</t>
  </si>
  <si>
    <t>legrand gery dit_1837-05-23</t>
  </si>
  <si>
    <t>darbot_1841-09-08</t>
  </si>
  <si>
    <t>vinet_1840-01-09</t>
  </si>
  <si>
    <t>morelli_1833-02-28</t>
  </si>
  <si>
    <t>sauton_1844-12-06</t>
  </si>
  <si>
    <t>lecler_1814-07-30</t>
  </si>
  <si>
    <t>poirrier_1832-11-20</t>
  </si>
  <si>
    <t>leroux_1825-10-14</t>
  </si>
  <si>
    <t>regnault de savigny de moncorps_1836-03-17</t>
  </si>
  <si>
    <t>decauville_1846-06-07</t>
  </si>
  <si>
    <t>bordes-pages_1815-05-20</t>
  </si>
  <si>
    <t>astor_1824-06-27</t>
  </si>
  <si>
    <t>coste_1833-08-28</t>
  </si>
  <si>
    <t>forest_1827-08-03</t>
  </si>
  <si>
    <t>martell_1834-02-17</t>
  </si>
  <si>
    <t>drouhet_1817-04-04</t>
  </si>
  <si>
    <t>ayme_1836-05-20</t>
  </si>
  <si>
    <t>brusset_1839-03-07</t>
  </si>
  <si>
    <t>bouilliez_1839-01-23</t>
  </si>
  <si>
    <t>gravin_1845-10-19</t>
  </si>
  <si>
    <t>lefevre_1834-11-28</t>
  </si>
  <si>
    <t>maret_1832-11-19</t>
  </si>
  <si>
    <t>rolland_1831-01-07</t>
  </si>
  <si>
    <t>angles_1838-10-24</t>
  </si>
  <si>
    <t>magnier_1841-04-20</t>
  </si>
  <si>
    <t>couteaux_1835-12-17</t>
  </si>
  <si>
    <t>thezard_1840-06-22</t>
  </si>
  <si>
    <t>regismanset_1849-01-27</t>
  </si>
  <si>
    <t>allemand_1826-10-17</t>
  </si>
  <si>
    <t>turgis_1828-12-09</t>
  </si>
  <si>
    <t>guindey_1834-01-16</t>
  </si>
  <si>
    <t>benoist_1821-02-20</t>
  </si>
  <si>
    <t>pauliac_1843-10-09</t>
  </si>
  <si>
    <t>brunet_1845-05-18</t>
  </si>
  <si>
    <t>japy_1826-02-26</t>
  </si>
  <si>
    <t>baduel_1844-04-25</t>
  </si>
  <si>
    <t>moinet_1836-12-08</t>
  </si>
  <si>
    <t>courcel alphonse chodron_1835-07-30</t>
  </si>
  <si>
    <t>demoulins de riols_1833-11-15</t>
  </si>
  <si>
    <t>monsservin_1838-01-05</t>
  </si>
  <si>
    <t>labbe_1832-09-29</t>
  </si>
  <si>
    <t>rouland_1831-10-06</t>
  </si>
  <si>
    <t>ringot_1838-03-07</t>
  </si>
  <si>
    <t>muracciole_1835-03-12</t>
  </si>
  <si>
    <t>dulac_1834-10-18</t>
  </si>
  <si>
    <t>hamel_1826-07-02</t>
  </si>
  <si>
    <t>le play_1842-07-27</t>
  </si>
  <si>
    <t>anne_1840-05-05</t>
  </si>
  <si>
    <t>francoz_1847-07-03</t>
  </si>
  <si>
    <t>baudens_1843-10-01</t>
  </si>
  <si>
    <t>coillot_1832-08-11</t>
  </si>
  <si>
    <t>laurens_1847-09-27</t>
  </si>
  <si>
    <t>delobeau_1834-09-02</t>
  </si>
  <si>
    <t>haugoumar des portes_1841-12-18</t>
  </si>
  <si>
    <t>tirman_1837-07-29</t>
  </si>
  <si>
    <t>delpech_1846-12-22</t>
  </si>
  <si>
    <t>ouvrier_1840-07-20</t>
  </si>
  <si>
    <t>richaud_1837-11-13</t>
  </si>
  <si>
    <t>brothier_1819-03-16</t>
  </si>
  <si>
    <t>laporte-bisquit_1842-11-05</t>
  </si>
  <si>
    <t>calvet_1843-11-16</t>
  </si>
  <si>
    <t>pitti-ferrandi_1838-02-22</t>
  </si>
  <si>
    <t>farinole_1832-09-01</t>
  </si>
  <si>
    <t>villard_1842-10-05</t>
  </si>
  <si>
    <t>dufoussat_1843-07-10</t>
  </si>
  <si>
    <t>drouillard_1833-07-16</t>
  </si>
  <si>
    <t>halleguen_1832-12-10</t>
  </si>
  <si>
    <t>savary_1821-05-29</t>
  </si>
  <si>
    <t>poirrier_1826-11-30</t>
  </si>
  <si>
    <t>gerente_1851-07-29</t>
  </si>
  <si>
    <t>taulier_1849-02-27</t>
  </si>
  <si>
    <t>monier_1842-04-24</t>
  </si>
  <si>
    <t>parissot_1845-09-06</t>
  </si>
  <si>
    <t>teisserenc de bort_1850-07-12</t>
  </si>
  <si>
    <t>blanc_1832-11-11</t>
  </si>
  <si>
    <t>fleury_1839-11-30</t>
  </si>
  <si>
    <t>depreux_1826-03-07</t>
  </si>
  <si>
    <t>de blois_1849-01-01</t>
  </si>
  <si>
    <t>rousseau_1822-07-05</t>
  </si>
  <si>
    <t>bayol_1830-01-05</t>
  </si>
  <si>
    <t>bastide_1831-10-19</t>
  </si>
  <si>
    <t>parisot_1831-08-30</t>
  </si>
  <si>
    <t>destieux-junca_1855-01-11</t>
  </si>
  <si>
    <t>laterrade_1823-12-02</t>
  </si>
  <si>
    <t>aucoin_1834-08-25</t>
  </si>
  <si>
    <t>ournac_1845-08-31</t>
  </si>
  <si>
    <t>perreal_1825-05-23</t>
  </si>
  <si>
    <t>guerin_1847-12-19</t>
  </si>
  <si>
    <t>garreau_1852-12-05</t>
  </si>
  <si>
    <t>prillieux_1829-01-11</t>
  </si>
  <si>
    <t>maillard_1828-04-06</t>
  </si>
  <si>
    <t>bodinier_1847-05-30</t>
  </si>
  <si>
    <t>bouffier_1835-08-13</t>
  </si>
  <si>
    <t>laubry_1842-04-19</t>
  </si>
  <si>
    <t>piot_1828-07-06</t>
  </si>
  <si>
    <t>delcros_1844-04-09</t>
  </si>
  <si>
    <t>renaudat_1850-02-13</t>
  </si>
  <si>
    <t>ponthier de chamaillard_1848-10-23</t>
  </si>
  <si>
    <t>bidault_1851-03-15</t>
  </si>
  <si>
    <t>saillard_1842-02-11</t>
  </si>
  <si>
    <t>allemand_1846-06-10</t>
  </si>
  <si>
    <t>latappy_1830-03-16</t>
  </si>
  <si>
    <t>viseur_1836-02-21</t>
  </si>
  <si>
    <t>bourgeat_1840-11-09</t>
  </si>
  <si>
    <t>pozzi_1846-10-03</t>
  </si>
  <si>
    <t>meric_1848-03-13</t>
  </si>
  <si>
    <t>gay de savary_1848-06-26</t>
  </si>
  <si>
    <t>bonnefille_1841-12-14</t>
  </si>
  <si>
    <t>goutant_1847-10-15</t>
  </si>
  <si>
    <t>bazire_1852-04-02</t>
  </si>
  <si>
    <t>fortier_1836-08-18</t>
  </si>
  <si>
    <t>d'aunay_1840-10-04</t>
  </si>
  <si>
    <t>maquennehen_1844-02-21</t>
  </si>
  <si>
    <t>bassinet_1850-05-16</t>
  </si>
  <si>
    <t>thuillier_1839-09-27</t>
  </si>
  <si>
    <t>knight_1852-07-17</t>
  </si>
  <si>
    <t>ciceron_1853-05-28</t>
  </si>
  <si>
    <t>fagot_1858-11-10</t>
  </si>
  <si>
    <t>lambert_1834-06-23</t>
  </si>
  <si>
    <t>outhenin-chalandre_1853-06-24</t>
  </si>
  <si>
    <t>gauthier_1835-07-25</t>
  </si>
  <si>
    <t>vagnat_1851-11-04</t>
  </si>
  <si>
    <t>petitjean_1857-04-30</t>
  </si>
  <si>
    <t>bataille_1848-01-15</t>
  </si>
  <si>
    <t>repiquet_1851-01-21</t>
  </si>
  <si>
    <t>gourju_1847-11-11</t>
  </si>
  <si>
    <t>piettre_1841-10-02</t>
  </si>
  <si>
    <t>expert-bezançon_1845-01-05</t>
  </si>
  <si>
    <t>thomas_1841-10-16</t>
  </si>
  <si>
    <t>legrand_1838-04-29</t>
  </si>
  <si>
    <t>tellier_1854-01-09</t>
  </si>
  <si>
    <t>boularan_1850-03-30</t>
  </si>
  <si>
    <t>sigallas_1850-04-19</t>
  </si>
  <si>
    <t>contancin_1855-07-13</t>
  </si>
  <si>
    <t>collinot_1844-03-17</t>
  </si>
  <si>
    <t>lordereau_1835-04-26</t>
  </si>
  <si>
    <t>riou_1840-01-10</t>
  </si>
  <si>
    <t>delport_1840-11-04</t>
  </si>
  <si>
    <t>berenger_1829-11-23</t>
  </si>
  <si>
    <t>leroy_1837-08-18</t>
  </si>
  <si>
    <t>renard_1836-01-12</t>
  </si>
  <si>
    <t>forichon_1848-11-17</t>
  </si>
  <si>
    <t>giresse_1849-10-30</t>
  </si>
  <si>
    <t>beaupin_1842-02-12</t>
  </si>
  <si>
    <t>de saint-germain_1833-06-20</t>
  </si>
  <si>
    <t>costes_1838-10-02</t>
  </si>
  <si>
    <t>raquet_1834-03-15</t>
  </si>
  <si>
    <t>de goulaine_1844-08-16</t>
  </si>
  <si>
    <t>lacombe_1833-04-26</t>
  </si>
  <si>
    <t>de cuverville_1834-07-28</t>
  </si>
  <si>
    <t>le cour-grandmaison_1849-02-27</t>
  </si>
  <si>
    <t>rouvier_1829-05-25</t>
  </si>
  <si>
    <t>de la jaille_1836-01-07</t>
  </si>
  <si>
    <t>cocula_1843-11-24</t>
  </si>
  <si>
    <t>guillier_1852-10-07</t>
  </si>
  <si>
    <t>porquier_1849-04-09</t>
  </si>
  <si>
    <t>dethil_1834-06-30</t>
  </si>
  <si>
    <t>pic-paris_1836-03-29</t>
  </si>
  <si>
    <t>faure maurice dit_1850-01-19</t>
  </si>
  <si>
    <t>gentilliez_1856-10-18</t>
  </si>
  <si>
    <t>sauvan_1860-11-07</t>
  </si>
  <si>
    <t>gerard_1861-04-26</t>
  </si>
  <si>
    <t>bayol_1849-12-24</t>
  </si>
  <si>
    <t>lintilhac_1854-01-05</t>
  </si>
  <si>
    <t>brisson_1837-08-09</t>
  </si>
  <si>
    <t>daumy_1836-08-15</t>
  </si>
  <si>
    <t>peyrot_1843-11-11</t>
  </si>
  <si>
    <t>thounens_1848-10-25</t>
  </si>
  <si>
    <t>potie_1858-11-28</t>
  </si>
  <si>
    <t>le chevalier_1839-11-11</t>
  </si>
  <si>
    <t>chabrie_1855-08-03</t>
  </si>
  <si>
    <t>boissier_1834-11-23</t>
  </si>
  <si>
    <t>aguillon_1851-10-14</t>
  </si>
  <si>
    <t>delahaye_1848-12-05</t>
  </si>
  <si>
    <t>gassis_1839-07-11</t>
  </si>
  <si>
    <t>blanchier_1850-09-03</t>
  </si>
  <si>
    <t>de las-cases_1854-04-02</t>
  </si>
  <si>
    <t>chatteleyn_1861-04-13</t>
  </si>
  <si>
    <t>barbaza_1845-10-24</t>
  </si>
  <si>
    <t>brager de la ville-moysan_1862-06-16</t>
  </si>
  <si>
    <t>berger_1846-09-15</t>
  </si>
  <si>
    <t>courregelongue_1849-04-25</t>
  </si>
  <si>
    <t>touron_1857-03-11</t>
  </si>
  <si>
    <t>fessard_1844-02-11</t>
  </si>
  <si>
    <t>mascuraud_1848-10-18</t>
  </si>
  <si>
    <t>maureau_1860-09-23</t>
  </si>
  <si>
    <t>vieu_1854-05-25</t>
  </si>
  <si>
    <t>reymond_1865-04-09</t>
  </si>
  <si>
    <t>flaissieres_1851-03-25</t>
  </si>
  <si>
    <t>genet_1852-02-10</t>
  </si>
  <si>
    <t>sancet_1855-03-27</t>
  </si>
  <si>
    <t>delhon_1861-12-22</t>
  </si>
  <si>
    <t>negre_1854-05-13</t>
  </si>
  <si>
    <t>daniel_1854-11-26</t>
  </si>
  <si>
    <t>dupont_1848-02-28</t>
  </si>
  <si>
    <t>crepin_1842-06-08</t>
  </si>
  <si>
    <t>belhomme_1848-10-08</t>
  </si>
  <si>
    <t>langlois_1839-04-03</t>
  </si>
  <si>
    <t>poulle_1861-03-01</t>
  </si>
  <si>
    <t>monnier_1844-11-10</t>
  </si>
  <si>
    <t>boivin-champeaux_1854-06-21</t>
  </si>
  <si>
    <t>collet_1848-12-01</t>
  </si>
  <si>
    <t>surreaux_1850-09-14</t>
  </si>
  <si>
    <t>ranson_1854-03-05</t>
  </si>
  <si>
    <t>pelissier_1859-08-29</t>
  </si>
  <si>
    <t>lemarie_1852-12-24</t>
  </si>
  <si>
    <t>jenouvrier_1846-10-12</t>
  </si>
  <si>
    <t>raymond_1844-02-18</t>
  </si>
  <si>
    <t>servant_1850-01-11</t>
  </si>
  <si>
    <t>poirson_1853-05-01</t>
  </si>
  <si>
    <t>philipot_1884-06-21</t>
  </si>
  <si>
    <t>richard_1856-07-14</t>
  </si>
  <si>
    <t>grosjean_1851-07-02</t>
  </si>
  <si>
    <t>chabert_1852-12-16</t>
  </si>
  <si>
    <t>fortin_1858-03-31</t>
  </si>
  <si>
    <t>sculfort_1844-05-01</t>
  </si>
  <si>
    <t>forsans_1853-09-01</t>
  </si>
  <si>
    <t>faisans_1847-07-28</t>
  </si>
  <si>
    <t>chambige_1853-01-21</t>
  </si>
  <si>
    <t>ponteille_1867-04-23</t>
  </si>
  <si>
    <t>beauvisage_1852-01-29</t>
  </si>
  <si>
    <t>vermorel_1848-11-29</t>
  </si>
  <si>
    <t>barbier_1853-01-31</t>
  </si>
  <si>
    <t>farny_1848-07-04</t>
  </si>
  <si>
    <t>ancel_1846-06-07</t>
  </si>
  <si>
    <t>besnard_1858-06-06</t>
  </si>
  <si>
    <t>lebert_1864-12-15</t>
  </si>
  <si>
    <t>martinet_1836-09-07</t>
  </si>
  <si>
    <t>loubet_1868-09-02</t>
  </si>
  <si>
    <t>audren de kerdrel_1841-02-28</t>
  </si>
  <si>
    <t>goy_1853-08-18</t>
  </si>
  <si>
    <t>bonnelat_1845-06-17</t>
  </si>
  <si>
    <t>debierre_1853-10-31</t>
  </si>
  <si>
    <t>cesbron fabien dit_1862-01-13</t>
  </si>
  <si>
    <t>amic_1864-07-30</t>
  </si>
  <si>
    <t>vincent_1864-02-17</t>
  </si>
  <si>
    <t>murat_1851-12-16</t>
  </si>
  <si>
    <t>bernere_1856-10-14</t>
  </si>
  <si>
    <t>reynald_1866-06-16</t>
  </si>
  <si>
    <t>cannac_1858-12-21</t>
  </si>
  <si>
    <t>mascle_1853-01-01</t>
  </si>
  <si>
    <t>perreau_1852-11-10</t>
  </si>
  <si>
    <t>larere_1861-08-06</t>
  </si>
  <si>
    <t>butterlin_1845-01-31</t>
  </si>
  <si>
    <t>hervey_1855-11-12</t>
  </si>
  <si>
    <t>fenoux_1868-08-17</t>
  </si>
  <si>
    <t>de langenhagen_1859-09-26</t>
  </si>
  <si>
    <t>thiery_1852-06-29</t>
  </si>
  <si>
    <t>sarraut_1869-09-22</t>
  </si>
  <si>
    <t>de penanros_1865-02-10</t>
  </si>
  <si>
    <t>milan_1873-04-05</t>
  </si>
  <si>
    <t>magny_1854-09-12</t>
  </si>
  <si>
    <t>galup_1853-07-15</t>
  </si>
  <si>
    <t>chenebenoit_1861-06-28</t>
  </si>
  <si>
    <t>de lubersac_1878-01-20</t>
  </si>
  <si>
    <t>beaumont_1870-06-10</t>
  </si>
  <si>
    <t>chalamet_1849-09-16</t>
  </si>
  <si>
    <t>cuminal_1863-10-28</t>
  </si>
  <si>
    <t>roche_1871-06-03</t>
  </si>
  <si>
    <t>mony_1849-03-19</t>
  </si>
  <si>
    <t>delsor_1847-10-05</t>
  </si>
  <si>
    <t>diebolt-weber_1859-12-10</t>
  </si>
  <si>
    <t>taufflieb_1857-05-22</t>
  </si>
  <si>
    <t>eccard_1867-09-02</t>
  </si>
  <si>
    <t>le barillier_1855-10-06</t>
  </si>
  <si>
    <t>artaud_1852-05-20</t>
  </si>
  <si>
    <t>landrodie_1858-10-29</t>
  </si>
  <si>
    <t>lederlin_1868-05-08</t>
  </si>
  <si>
    <t>hery_1870-09-08</t>
  </si>
  <si>
    <t>brangier_1859-09-07</t>
  </si>
  <si>
    <t>eymery_1862-06-07</t>
  </si>
  <si>
    <t>reynaud_1845-12-11</t>
  </si>
  <si>
    <t>perdrix_1872-04-24</t>
  </si>
  <si>
    <t>royneau_1866-10-16</t>
  </si>
  <si>
    <t>le hars_1861-08-12</t>
  </si>
  <si>
    <t>cazelles_1860-08-31</t>
  </si>
  <si>
    <t>philip_1868-10-06</t>
  </si>
  <si>
    <t>vayssiere_1856-11-05</t>
  </si>
  <si>
    <t>david_1856-05-31</t>
  </si>
  <si>
    <t>buhan_1859-12-29</t>
  </si>
  <si>
    <t>helmer_1874-01-06</t>
  </si>
  <si>
    <t>gegauff_1862-02-09</t>
  </si>
  <si>
    <t>scheurer_1852-09-23</t>
  </si>
  <si>
    <t>bourgeois_1857-02-21</t>
  </si>
  <si>
    <t>duchein_1869-01-15</t>
  </si>
  <si>
    <t>blaignan_1871-12-20</t>
  </si>
  <si>
    <t>foulhy_1858-08-29</t>
  </si>
  <si>
    <t>enjolras_1854-05-30</t>
  </si>
  <si>
    <t>quilliard_1852-02-05</t>
  </si>
  <si>
    <t>humblot_1862-06-06</t>
  </si>
  <si>
    <t>maranget_1867-09-22</t>
  </si>
  <si>
    <t>marsot_1877-01-19</t>
  </si>
  <si>
    <t>gras_1852-03-20</t>
  </si>
  <si>
    <t>garnier_1870-03-24</t>
  </si>
  <si>
    <t>vallier_1869-05-27</t>
  </si>
  <si>
    <t>berard_1864-08-10</t>
  </si>
  <si>
    <t>brocard_1860-12-23</t>
  </si>
  <si>
    <t>daraignez_1864-12-07</t>
  </si>
  <si>
    <t>cadilhon_1876-12-15</t>
  </si>
  <si>
    <t>soulie_1871-03-06</t>
  </si>
  <si>
    <t>jamin_1845-06-27</t>
  </si>
  <si>
    <t>de landemont_1856-04-14</t>
  </si>
  <si>
    <t>babin-chevaye_1863-04-03</t>
  </si>
  <si>
    <t>francois-saint-maur_1869-12-19</t>
  </si>
  <si>
    <t>donon_1879-06-12</t>
  </si>
  <si>
    <t>fontanille_1858-11-21</t>
  </si>
  <si>
    <t>laboulbene_1874-08-12</t>
  </si>
  <si>
    <t>carrere_1877-07-27</t>
  </si>
  <si>
    <t>de rougé_1862-01-15</t>
  </si>
  <si>
    <t>damecour_1846-10-15</t>
  </si>
  <si>
    <t>jouis_1865-10-30</t>
  </si>
  <si>
    <t>michaut_1857-01-26</t>
  </si>
  <si>
    <t>michel_1871-05-29</t>
  </si>
  <si>
    <t>chevalier pol dit_1861-10-12</t>
  </si>
  <si>
    <t>bompard_1854-05-17</t>
  </si>
  <si>
    <t>stuhl_1862-04-26</t>
  </si>
  <si>
    <t>hirschauer_1857-06-16</t>
  </si>
  <si>
    <t>de marguerie_1868-11-25</t>
  </si>
  <si>
    <t>imbart de la tour_1874-01-11</t>
  </si>
  <si>
    <t>chomet_1863-05-11</t>
  </si>
  <si>
    <t>roland_1858-06-07</t>
  </si>
  <si>
    <t>leneveu_1865-05-07</t>
  </si>
  <si>
    <t>oriot_1846-10-15</t>
  </si>
  <si>
    <t>bachelet_1852-09-07</t>
  </si>
  <si>
    <t>farjon_1876-03-27</t>
  </si>
  <si>
    <t>ruffier_1869-08-16</t>
  </si>
  <si>
    <t>duquaire_1859-02-12</t>
  </si>
  <si>
    <t>bussy_1860-01-27</t>
  </si>
  <si>
    <t>coignet_1855-05-13</t>
  </si>
  <si>
    <t>desgranges_1857-09-07</t>
  </si>
  <si>
    <t>gerbe_1868-10-18</t>
  </si>
  <si>
    <t>machet_1867-04-21</t>
  </si>
  <si>
    <t>mollard_1863-01-15</t>
  </si>
  <si>
    <t>levy_1853-02-24</t>
  </si>
  <si>
    <t>billiet_1873-07-01</t>
  </si>
  <si>
    <t>dausset_1866-09-03</t>
  </si>
  <si>
    <t>le roux_1860-11-23</t>
  </si>
  <si>
    <t>gouge_1869-11-03</t>
  </si>
  <si>
    <t>thuillier-buridard_1871-07-10</t>
  </si>
  <si>
    <t>pierrin_1860-06-27</t>
  </si>
  <si>
    <t>morand_1869-06-02</t>
  </si>
  <si>
    <t>duplantier_1874-03-04</t>
  </si>
  <si>
    <t>jossot_1859-04-04</t>
  </si>
  <si>
    <t>collin_1853-07-27</t>
  </si>
  <si>
    <t>gallini_1860-10-12</t>
  </si>
  <si>
    <t>busson-billault_1853-07-01</t>
  </si>
  <si>
    <t>merlin_1861-03-18</t>
  </si>
  <si>
    <t>mazurier_1860-10-13</t>
  </si>
  <si>
    <t>vidal_1864-06-22</t>
  </si>
  <si>
    <t>faure_1875-08-08</t>
  </si>
  <si>
    <t>labrousse_1878-12-29</t>
  </si>
  <si>
    <t>sari_1876-10-28</t>
  </si>
  <si>
    <t>chagnaud_1866-03-12</t>
  </si>
  <si>
    <t>grand_1860-12-19</t>
  </si>
  <si>
    <t>japy_1854-12-04</t>
  </si>
  <si>
    <t>codet_1863-05-27</t>
  </si>
  <si>
    <t>provost-dumarchais_1864-02-25</t>
  </si>
  <si>
    <t>duroux_1878-10-15</t>
  </si>
  <si>
    <t>gasser_1865-04-11</t>
  </si>
  <si>
    <t>de bertier de sauvigny_1877-10-31</t>
  </si>
  <si>
    <t>villette-gate_1836-04-19</t>
  </si>
  <si>
    <t>gaudaire_1873-07-21</t>
  </si>
  <si>
    <t>de blois_1880-02-15</t>
  </si>
  <si>
    <t>hamelin_1874-08-02</t>
  </si>
  <si>
    <t>bouvart_1864-07-03</t>
  </si>
  <si>
    <t>gaebele_1860-03-10</t>
  </si>
  <si>
    <t>elby_1857-11-25</t>
  </si>
  <si>
    <t>petit_1856-11-24</t>
  </si>
  <si>
    <t>fouilloux_1870-10-08</t>
  </si>
  <si>
    <t>coty_1874-05-03</t>
  </si>
  <si>
    <t>calmel_1871-04-07</t>
  </si>
  <si>
    <t>saint-martin_1871-04-15</t>
  </si>
  <si>
    <t>feuga_1863-04-03</t>
  </si>
  <si>
    <t>martin-binachon_1865-09-25</t>
  </si>
  <si>
    <t>delay_1855-02-14</t>
  </si>
  <si>
    <t>jamin_1863-04-13</t>
  </si>
  <si>
    <t>magnien_1864-04-22</t>
  </si>
  <si>
    <t>gay_1861-03-18</t>
  </si>
  <si>
    <t>mahieu_1864-02-02</t>
  </si>
  <si>
    <t>theret_1866-07-07</t>
  </si>
  <si>
    <t>valette_1881-08-14</t>
  </si>
  <si>
    <t>bruguier_1884-03-16</t>
  </si>
  <si>
    <t>langlois-meurinne_1873-06-27</t>
  </si>
  <si>
    <t>gigon_1867-12-09</t>
  </si>
  <si>
    <t>mejan_1874-06-05</t>
  </si>
  <si>
    <t>duprey_1864-10-16</t>
  </si>
  <si>
    <t>roussel_1880-05-04</t>
  </si>
  <si>
    <t>chopin_1869-11-23</t>
  </si>
  <si>
    <t>curral_1865-12-11</t>
  </si>
  <si>
    <t>charabot_1870-07-14</t>
  </si>
  <si>
    <t>cavillon_1875-08-06</t>
  </si>
  <si>
    <t>armbruster_1879-09-19</t>
  </si>
  <si>
    <t>dutaud_1883-06-15</t>
  </si>
  <si>
    <t>hayaux_1867-12-12</t>
  </si>
  <si>
    <t>renaudot_1868-04-27</t>
  </si>
  <si>
    <t>fevre_1867-08-07</t>
  </si>
  <si>
    <t>leclerc_1859-03-24</t>
  </si>
  <si>
    <t>dentu_1861-10-20</t>
  </si>
  <si>
    <t>darteyre_1870-12-09</t>
  </si>
  <si>
    <t>lacroix_1862-02-13</t>
  </si>
  <si>
    <t>giraud_1876-04-08</t>
  </si>
  <si>
    <t>rolland_1875-11-10</t>
  </si>
  <si>
    <t>pelletier_1870-08-13</t>
  </si>
  <si>
    <t>dherbecourt_1865-03-31</t>
  </si>
  <si>
    <t>morizet_1876-01-23</t>
  </si>
  <si>
    <t>bachelet_1866-01-06</t>
  </si>
  <si>
    <t>veyssiere_1875-11-17</t>
  </si>
  <si>
    <t>loubat_1870-03-14</t>
  </si>
  <si>
    <t>richard_1866-07-25</t>
  </si>
  <si>
    <t>saurin_1870-08-27</t>
  </si>
  <si>
    <t>grand_1874-09-03</t>
  </si>
  <si>
    <t>fourcade_1862-08-05</t>
  </si>
  <si>
    <t>guillemot_1869-04-25</t>
  </si>
  <si>
    <t>linyer_1878-12-01</t>
  </si>
  <si>
    <t>michel_1872-09-02</t>
  </si>
  <si>
    <t>boivin-champeaux_1887-08-12</t>
  </si>
  <si>
    <t>delhoume_1855-11-10</t>
  </si>
  <si>
    <t>benard_1882-01-10</t>
  </si>
  <si>
    <t>savignol_1866-09-17</t>
  </si>
  <si>
    <t>d'andlau de hombourg_1868-06-07</t>
  </si>
  <si>
    <t>le moignic_1875-05-02</t>
  </si>
  <si>
    <t>babaud-lacroze_1876-08-14</t>
  </si>
  <si>
    <t>bourdeaux_1869-05-02</t>
  </si>
  <si>
    <t>borgeot_1876-02-01</t>
  </si>
  <si>
    <t>dauzier_1873-07-01</t>
  </si>
  <si>
    <t>de pavin de lafarge_1889-10-17</t>
  </si>
  <si>
    <t>rambaud_1879-12-05</t>
  </si>
  <si>
    <t>de courtois_1878-11-28</t>
  </si>
  <si>
    <t>pujes_1863-11-04</t>
  </si>
  <si>
    <t>brunel_1871-03-08</t>
  </si>
  <si>
    <t>neuville_1865-07-03</t>
  </si>
  <si>
    <t>garrigou_1884-07-19</t>
  </si>
  <si>
    <t>cabart-danneville_1886-01-09</t>
  </si>
  <si>
    <t>buquin_1869-10-30</t>
  </si>
  <si>
    <t>muret_1865-05-03</t>
  </si>
  <si>
    <t>tanguy_1876-01-16</t>
  </si>
  <si>
    <t>bon_1875-07-27</t>
  </si>
  <si>
    <t>lavergne_1858-01-21</t>
  </si>
  <si>
    <t>caillier_1879-07-07</t>
  </si>
  <si>
    <t>ulmo_1867-10-27</t>
  </si>
  <si>
    <t>stourm_1866-07-17</t>
  </si>
  <si>
    <t>gautherot_1880-03-29</t>
  </si>
  <si>
    <t>roussel_1890-02-28</t>
  </si>
  <si>
    <t>raynaud_1883-08-11</t>
  </si>
  <si>
    <t>malsang_1875-06-12</t>
  </si>
  <si>
    <t>cochard_1876-12-12</t>
  </si>
  <si>
    <t>portmann_1890-07-01</t>
  </si>
  <si>
    <t>rouart_1872-08-22</t>
  </si>
  <si>
    <t>saint_1867-04-26</t>
  </si>
  <si>
    <t>carrere_1880-09-29</t>
  </si>
  <si>
    <t>martin_1869-03-23</t>
  </si>
  <si>
    <t>lemaistre_1862-03-11</t>
  </si>
  <si>
    <t>gautier_1870-01-25</t>
  </si>
  <si>
    <t>serlin_1868-10-11</t>
  </si>
  <si>
    <t>belmont_1892-12-22</t>
  </si>
  <si>
    <t>cencelme_1878-10-19</t>
  </si>
  <si>
    <t>millies-lacroix_1876-01-16</t>
  </si>
  <si>
    <t>boudin_1860-05-25</t>
  </si>
  <si>
    <t>patizel_1871-01-29</t>
  </si>
  <si>
    <t>roge_1886-11-28</t>
  </si>
  <si>
    <t>filhol de camas_1866-12-16</t>
  </si>
  <si>
    <t>corbedaine_1879-11-11</t>
  </si>
  <si>
    <t>naudin_1888-07-23</t>
  </si>
  <si>
    <t>demesmay_1876-10-10</t>
  </si>
  <si>
    <t>gore_1872-09-24</t>
  </si>
  <si>
    <t>benoist_1881-11-30</t>
  </si>
  <si>
    <t>turbat_1865-11-18</t>
  </si>
  <si>
    <t>rambaud_1883-09-19</t>
  </si>
  <si>
    <t>de la grandiere_1881-01-01</t>
  </si>
  <si>
    <t>le pelletier_1864-05-16</t>
  </si>
  <si>
    <t>germain_1858-11-20</t>
  </si>
  <si>
    <t>bouniols_1872-03-01</t>
  </si>
  <si>
    <t>baufle_1886-09-17</t>
  </si>
  <si>
    <t>chaumie_1880-02-21</t>
  </si>
  <si>
    <t>mirouel_1872-04-29</t>
  </si>
  <si>
    <t>presseq_1870-10-24</t>
  </si>
  <si>
    <t>ostermann_1878-01-24</t>
  </si>
  <si>
    <t>courot_1873-06-29</t>
  </si>
  <si>
    <t>turlier_1879-03-21</t>
  </si>
  <si>
    <t>urban_1875-10-26</t>
  </si>
  <si>
    <t>sigrist_1885-04-26</t>
  </si>
  <si>
    <t>levy_1863-04-12</t>
  </si>
  <si>
    <t>maroselli_1893-02-22</t>
  </si>
  <si>
    <t>nicolas_1879-12-08</t>
  </si>
  <si>
    <t>mireaux_1885-08-21</t>
  </si>
  <si>
    <t>bachelet_1878-11-17</t>
  </si>
  <si>
    <t>pezieres_1885-05-02</t>
  </si>
  <si>
    <t>froget_1880-03-20</t>
  </si>
  <si>
    <t>depierre_1888-03-15</t>
  </si>
  <si>
    <t>fleurot_1874-12-20</t>
  </si>
  <si>
    <t>courtier_1878-03-29</t>
  </si>
  <si>
    <t>brasseau_1879-09-21</t>
  </si>
  <si>
    <t>harent_1879-06-10</t>
  </si>
  <si>
    <t>de berny_1880-02-18</t>
  </si>
  <si>
    <t>senes_1877-02-17</t>
  </si>
  <si>
    <t>fabre_1879-02-12</t>
  </si>
  <si>
    <t>robert_1878-09-07</t>
  </si>
  <si>
    <t>maurice_1881-08-06</t>
  </si>
  <si>
    <t>blanc_1863-06-19</t>
  </si>
  <si>
    <t>escande_1879-05-10</t>
  </si>
  <si>
    <t>elby_1894-07-15</t>
  </si>
  <si>
    <t>bels_1882-10-25</t>
  </si>
  <si>
    <t>guilhem_1874-09-29</t>
  </si>
  <si>
    <t>cournault_1876-07-09</t>
  </si>
  <si>
    <t>buisson_1881-05-03</t>
  </si>
  <si>
    <t>musso_1884-07-12</t>
  </si>
  <si>
    <t>després_1890-01-25</t>
  </si>
  <si>
    <t>converset_1886-08-05</t>
  </si>
  <si>
    <t>guyonnet_1887-03-07</t>
  </si>
  <si>
    <t>pinay_1891-12-30</t>
  </si>
  <si>
    <t>betfert_1874-04-18</t>
  </si>
  <si>
    <t>azemar_1877-01-02</t>
  </si>
  <si>
    <t>antier_1868-05-31</t>
  </si>
  <si>
    <t>bardoux_1874-05-27</t>
  </si>
  <si>
    <t>lautier_1890-03-18</t>
  </si>
  <si>
    <t>labbe_1882-10-25</t>
  </si>
  <si>
    <t>hannotin_1874-11-18</t>
  </si>
  <si>
    <t>monsacre_1890-11-20</t>
  </si>
  <si>
    <t>maroger_1881-10-10</t>
  </si>
  <si>
    <t>delpuech_1888-04-05</t>
  </si>
  <si>
    <t>giacobbi_1896-03-18</t>
  </si>
  <si>
    <t>de kergariou_1884-12-26</t>
  </si>
  <si>
    <t>bouguen_1882-07-20</t>
  </si>
  <si>
    <t>alheritiere_1882-02-01</t>
  </si>
  <si>
    <t>chambonnet_1888-05-06</t>
  </si>
  <si>
    <t>eynard_1874-08-04</t>
  </si>
  <si>
    <t>rozier_1872-02-08</t>
  </si>
  <si>
    <t>gilbert_1878-03-31</t>
  </si>
  <si>
    <t>gautron_1892-01-07</t>
  </si>
  <si>
    <t>halna du fretay_1891-11-13</t>
  </si>
  <si>
    <t>le jeune_1887-01-17</t>
  </si>
  <si>
    <t>pointaire_1877-06-01</t>
  </si>
  <si>
    <t>warusfel_1880-06-09</t>
  </si>
  <si>
    <t>Adriani</t>
  </si>
  <si>
    <t>Ajam</t>
  </si>
  <si>
    <t>Adigard</t>
  </si>
  <si>
    <t>Alasseur</t>
  </si>
  <si>
    <t>Albert-Poulain</t>
  </si>
  <si>
    <t>Aldy</t>
  </si>
  <si>
    <t>BRARD Mathurin dit</t>
  </si>
  <si>
    <t>Andrieu</t>
  </si>
  <si>
    <t>Archambeaud</t>
  </si>
  <si>
    <t>Armez</t>
  </si>
  <si>
    <t>Augagneur</t>
  </si>
  <si>
    <t>Aynard</t>
  </si>
  <si>
    <t>Baduel</t>
  </si>
  <si>
    <t>Balitrand</t>
  </si>
  <si>
    <t>Bois</t>
  </si>
  <si>
    <t>Bar</t>
  </si>
  <si>
    <t>Barrès</t>
  </si>
  <si>
    <t>Barthe</t>
  </si>
  <si>
    <t>Barthou</t>
  </si>
  <si>
    <t>Basly</t>
  </si>
  <si>
    <t>Baudet</t>
  </si>
  <si>
    <t>d'Asson</t>
  </si>
  <si>
    <t>Beauquier</t>
  </si>
  <si>
    <t>Beauregard</t>
  </si>
  <si>
    <t>Becays</t>
  </si>
  <si>
    <t>Bénazet</t>
  </si>
  <si>
    <t>Bender</t>
  </si>
  <si>
    <t>Bérard</t>
  </si>
  <si>
    <t>Berlié</t>
  </si>
  <si>
    <t>Berry</t>
  </si>
  <si>
    <t>Berteaux</t>
  </si>
  <si>
    <t>Betoulle</t>
  </si>
  <si>
    <t>Bienaimé</t>
  </si>
  <si>
    <t>Bignon</t>
  </si>
  <si>
    <t>Binder</t>
  </si>
  <si>
    <t>Binet</t>
  </si>
  <si>
    <t>d'Aulps</t>
  </si>
  <si>
    <t>Blanc</t>
  </si>
  <si>
    <t>Blanchard</t>
  </si>
  <si>
    <t>Bluysen</t>
  </si>
  <si>
    <t>Boissel</t>
  </si>
  <si>
    <t>Boissel-Dombreval</t>
  </si>
  <si>
    <t>Bollet</t>
  </si>
  <si>
    <t>Bonnevay</t>
  </si>
  <si>
    <t>Borderie</t>
  </si>
  <si>
    <t>Borrel</t>
  </si>
  <si>
    <t>Bouctot</t>
  </si>
  <si>
    <t>Bouffandeau</t>
  </si>
  <si>
    <t>Bouge</t>
  </si>
  <si>
    <t>Bougère</t>
  </si>
  <si>
    <t>Bourely</t>
  </si>
  <si>
    <t>Boury</t>
  </si>
  <si>
    <t>Boutaud</t>
  </si>
  <si>
    <t>Bouveri</t>
  </si>
  <si>
    <t>Bouyssou</t>
  </si>
  <si>
    <t>Bozonet</t>
  </si>
  <si>
    <t>Breton</t>
  </si>
  <si>
    <t>Briand</t>
  </si>
  <si>
    <t>Brice</t>
  </si>
  <si>
    <t>Brizon</t>
  </si>
  <si>
    <t>Broussais</t>
  </si>
  <si>
    <t>Brousse</t>
  </si>
  <si>
    <t>Bussat</t>
  </si>
  <si>
    <t>Cadenat</t>
  </si>
  <si>
    <t>Caillaux</t>
  </si>
  <si>
    <t>Camuzet</t>
  </si>
  <si>
    <t>Carnot</t>
  </si>
  <si>
    <t>Cazauvieilh</t>
  </si>
  <si>
    <t>Cazes</t>
  </si>
  <si>
    <t>de CHAMBRUN</t>
  </si>
  <si>
    <t>Chamerlat</t>
  </si>
  <si>
    <t>Chanoz</t>
  </si>
  <si>
    <t>Chapuis</t>
  </si>
  <si>
    <t>Chassaing</t>
  </si>
  <si>
    <t>CHASTENET de CASTAING</t>
  </si>
  <si>
    <t>Chaulet</t>
  </si>
  <si>
    <t>Chaulin-Servinière</t>
  </si>
  <si>
    <t>Chaumet</t>
  </si>
  <si>
    <t>Chautemps</t>
  </si>
  <si>
    <t>Chéron</t>
  </si>
  <si>
    <t>Cibiel</t>
  </si>
  <si>
    <t>Clament</t>
  </si>
  <si>
    <t>Clémentel</t>
  </si>
  <si>
    <t>Cloarec</t>
  </si>
  <si>
    <t>Coache</t>
  </si>
  <si>
    <t>Cochery</t>
  </si>
  <si>
    <t>Cochin</t>
  </si>
  <si>
    <t>Colin</t>
  </si>
  <si>
    <t>Combrouze</t>
  </si>
  <si>
    <t>Compère-Morel</t>
  </si>
  <si>
    <t>Constant</t>
  </si>
  <si>
    <t>CORNUDET des CHAUMETTES</t>
  </si>
  <si>
    <t>Cosnier</t>
  </si>
  <si>
    <t>Couesnon</t>
  </si>
  <si>
    <t>Coutant-d'Ivry</t>
  </si>
  <si>
    <t>Crépel</t>
  </si>
  <si>
    <t>Cruppi</t>
  </si>
  <si>
    <t>Cuny</t>
  </si>
  <si>
    <t>Cuttoli</t>
  </si>
  <si>
    <t>Dalimier</t>
  </si>
  <si>
    <t>Dansette</t>
  </si>
  <si>
    <t>Dariac</t>
  </si>
  <si>
    <t>David</t>
  </si>
  <si>
    <t>Defontaine</t>
  </si>
  <si>
    <t>Dejeante</t>
  </si>
  <si>
    <t>Delachenal</t>
  </si>
  <si>
    <t>Delafosse</t>
  </si>
  <si>
    <t>Delahaye</t>
  </si>
  <si>
    <t>Thiérry-Delanoue</t>
  </si>
  <si>
    <t>Delcassé</t>
  </si>
  <si>
    <t>Deléglise</t>
  </si>
  <si>
    <t>Delelis-Fanien</t>
  </si>
  <si>
    <t>Delmas</t>
  </si>
  <si>
    <t>Demellier</t>
  </si>
  <si>
    <t>Deschanel</t>
  </si>
  <si>
    <t>Charles Dessoye</t>
  </si>
  <si>
    <t>Devins</t>
  </si>
  <si>
    <t>de DION</t>
  </si>
  <si>
    <t>Dior</t>
  </si>
  <si>
    <t>Disleau</t>
  </si>
  <si>
    <t>Doizy</t>
  </si>
  <si>
    <t>Donadeï</t>
  </si>
  <si>
    <t>Drelon</t>
  </si>
  <si>
    <t>Driant</t>
  </si>
  <si>
    <t>Dujardin-Beaumetz</t>
  </si>
  <si>
    <t>Dulau</t>
  </si>
  <si>
    <t>Dumesnil</t>
  </si>
  <si>
    <t>Dumont</t>
  </si>
  <si>
    <t>Dupuy</t>
  </si>
  <si>
    <t>Durand</t>
  </si>
  <si>
    <t>Dusevel</t>
  </si>
  <si>
    <t>Dutreil</t>
  </si>
  <si>
    <t>Jaurgain</t>
  </si>
  <si>
    <t>Engerand</t>
  </si>
  <si>
    <t>Escudier</t>
  </si>
  <si>
    <t>Étienne</t>
  </si>
  <si>
    <t>Fabre</t>
  </si>
  <si>
    <t>Failliot</t>
  </si>
  <si>
    <t>Faure</t>
  </si>
  <si>
    <t>Favre</t>
  </si>
  <si>
    <t>Fayssat</t>
  </si>
  <si>
    <t>Ferry</t>
  </si>
  <si>
    <t>Fitte</t>
  </si>
  <si>
    <t>Flandin</t>
  </si>
  <si>
    <t>Flayelle</t>
  </si>
  <si>
    <t>Fleury-Ravarin</t>
  </si>
  <si>
    <t>Bimorel</t>
  </si>
  <si>
    <t>Forest</t>
  </si>
  <si>
    <t>Foucher</t>
  </si>
  <si>
    <t>Fougère</t>
  </si>
  <si>
    <t>Fouquet</t>
  </si>
  <si>
    <t>Fournier-Sarlovèze</t>
  </si>
  <si>
    <t>Gaffier</t>
  </si>
  <si>
    <t>Galpin</t>
  </si>
  <si>
    <t>Ganault</t>
  </si>
  <si>
    <t>Garat</t>
  </si>
  <si>
    <t>Gasparin</t>
  </si>
  <si>
    <t>Gayraud</t>
  </si>
  <si>
    <t>Gérard</t>
  </si>
  <si>
    <t>Gérault-Richard</t>
  </si>
  <si>
    <t>Gheusi</t>
  </si>
  <si>
    <t>Ginoux-Defermon</t>
  </si>
  <si>
    <t>Gioux</t>
  </si>
  <si>
    <t>Girod</t>
  </si>
  <si>
    <t>Goniaux</t>
  </si>
  <si>
    <t>Goujon</t>
  </si>
  <si>
    <t>Gourd</t>
  </si>
  <si>
    <t>Grandjean</t>
  </si>
  <si>
    <t>de GRANDMAISON</t>
  </si>
  <si>
    <t>Grodet</t>
  </si>
  <si>
    <t>Grosdidier</t>
  </si>
  <si>
    <t>Groussau</t>
  </si>
  <si>
    <t>Guernier</t>
  </si>
  <si>
    <t>Guesde</t>
  </si>
  <si>
    <t>Guichenné</t>
  </si>
  <si>
    <t>Guist'hau</t>
  </si>
  <si>
    <t>Haguenin</t>
  </si>
  <si>
    <t>Poulpiquet</t>
  </si>
  <si>
    <t>Haudos</t>
  </si>
  <si>
    <t>Hauet</t>
  </si>
  <si>
    <t>Hémon</t>
  </si>
  <si>
    <t>Hennessy</t>
  </si>
  <si>
    <t>Hercé</t>
  </si>
  <si>
    <t>Heuzé</t>
  </si>
  <si>
    <t>Heuzey</t>
  </si>
  <si>
    <t>Honnorat</t>
  </si>
  <si>
    <t>Hubert</t>
  </si>
  <si>
    <t>d'Etchepare</t>
  </si>
  <si>
    <t>Jacquier</t>
  </si>
  <si>
    <t>Jaurès</t>
  </si>
  <si>
    <t>Javal</t>
  </si>
  <si>
    <t>Jonnart</t>
  </si>
  <si>
    <t>Jouancoux</t>
  </si>
  <si>
    <t>Judet</t>
  </si>
  <si>
    <t>de KERGUEZEC</t>
  </si>
  <si>
    <t>Klotz</t>
  </si>
  <si>
    <t>l'Estourbeillon</t>
  </si>
  <si>
    <t>Lhopiteau</t>
  </si>
  <si>
    <t>de LA BATUT</t>
  </si>
  <si>
    <t>Ferronnays</t>
  </si>
  <si>
    <t>Porte</t>
  </si>
  <si>
    <t>Trémoïlle</t>
  </si>
  <si>
    <t>Lachaud</t>
  </si>
  <si>
    <t>Lacombe</t>
  </si>
  <si>
    <t>Lagrosillière</t>
  </si>
  <si>
    <t>Lairolle</t>
  </si>
  <si>
    <t>Lamendin</t>
  </si>
  <si>
    <t>Lamy</t>
  </si>
  <si>
    <t>Laniel</t>
  </si>
  <si>
    <t>Lanjuinais</t>
  </si>
  <si>
    <t>Montebello</t>
  </si>
  <si>
    <t>Laroche</t>
  </si>
  <si>
    <t>Lorimy</t>
  </si>
  <si>
    <t>Ludre</t>
  </si>
  <si>
    <t>Feuchin</t>
  </si>
  <si>
    <t>Mackau</t>
  </si>
  <si>
    <t>Maginot</t>
  </si>
  <si>
    <t>Mahieu</t>
  </si>
  <si>
    <t>Maison</t>
  </si>
  <si>
    <t>Malavialle</t>
  </si>
  <si>
    <t>Malvy</t>
  </si>
  <si>
    <t>Mando</t>
  </si>
  <si>
    <t>Margaine</t>
  </si>
  <si>
    <t>Marin</t>
  </si>
  <si>
    <t>Marrou</t>
  </si>
  <si>
    <t>Massabuau</t>
  </si>
  <si>
    <t>Mathis</t>
  </si>
  <si>
    <t>Maunoury</t>
  </si>
  <si>
    <t>Méquillet</t>
  </si>
  <si>
    <t>Métin</t>
  </si>
  <si>
    <t>Meunier</t>
  </si>
  <si>
    <t>Millevoye</t>
  </si>
  <si>
    <t>Milliaux</t>
  </si>
  <si>
    <t>Monestier</t>
  </si>
  <si>
    <t>Mons</t>
  </si>
  <si>
    <t>Montaigu</t>
  </si>
  <si>
    <t>Montjou</t>
  </si>
  <si>
    <t>de Monzie</t>
  </si>
  <si>
    <t>MOREL Jean-Baptiste dit</t>
  </si>
  <si>
    <t>Morel</t>
  </si>
  <si>
    <t>de MOUSTIER</t>
  </si>
  <si>
    <t>Mun</t>
  </si>
  <si>
    <t>Muteau</t>
  </si>
  <si>
    <t>Néron</t>
  </si>
  <si>
    <t>Nicolle</t>
  </si>
  <si>
    <t>Noël</t>
  </si>
  <si>
    <t>Noguès</t>
  </si>
  <si>
    <t>Noulens</t>
  </si>
  <si>
    <t>Pain</t>
  </si>
  <si>
    <t>Pâris</t>
  </si>
  <si>
    <t>Passy</t>
  </si>
  <si>
    <t>Paul-Boncour</t>
  </si>
  <si>
    <t>Pélisse</t>
  </si>
  <si>
    <t>Pelletan</t>
  </si>
  <si>
    <t>Péret</t>
  </si>
  <si>
    <t>Périer</t>
  </si>
  <si>
    <t>Perier</t>
  </si>
  <si>
    <t>Perrissoud</t>
  </si>
  <si>
    <t>Pichery</t>
  </si>
  <si>
    <t>Pierangeli</t>
  </si>
  <si>
    <t>Piou</t>
  </si>
  <si>
    <t>Plichon</t>
  </si>
  <si>
    <t>Plissonnier</t>
  </si>
  <si>
    <t>Plouzané</t>
  </si>
  <si>
    <t>Roblin</t>
  </si>
  <si>
    <t>Roch</t>
  </si>
  <si>
    <t>Roche</t>
  </si>
  <si>
    <t>Roden</t>
  </si>
  <si>
    <t>Rognon</t>
  </si>
  <si>
    <t>Léon</t>
  </si>
  <si>
    <t>Roret</t>
  </si>
  <si>
    <t>Rouger</t>
  </si>
  <si>
    <t>Rougier</t>
  </si>
  <si>
    <t>Roulleaux-Dugage</t>
  </si>
  <si>
    <t>Rozier</t>
  </si>
  <si>
    <t>Ruau</t>
  </si>
  <si>
    <t>Samalens</t>
  </si>
  <si>
    <t>Sarraut</t>
  </si>
  <si>
    <t>Saumande</t>
  </si>
  <si>
    <t>Sauzède</t>
  </si>
  <si>
    <t>Sauzet</t>
  </si>
  <si>
    <t>Schneider</t>
  </si>
  <si>
    <t>Second</t>
  </si>
  <si>
    <t>Selle</t>
  </si>
  <si>
    <t>Sembat</t>
  </si>
  <si>
    <t>de POMEREU</t>
  </si>
  <si>
    <t>Ponsot</t>
  </si>
  <si>
    <t>Morandière</t>
  </si>
  <si>
    <t>Poullan</t>
  </si>
  <si>
    <t>Pradet-Balade</t>
  </si>
  <si>
    <t>Puech</t>
  </si>
  <si>
    <t>Pugliesi-Conti</t>
  </si>
  <si>
    <t>Quesnel</t>
  </si>
  <si>
    <t>Quilbeuf</t>
  </si>
  <si>
    <t>Rabier</t>
  </si>
  <si>
    <t>Ragally</t>
  </si>
  <si>
    <t>Raiberti</t>
  </si>
  <si>
    <t>Rauline</t>
  </si>
  <si>
    <t>Raynaud</t>
  </si>
  <si>
    <t>Razimbaud</t>
  </si>
  <si>
    <t>Reille-Soult-Dalmatie</t>
  </si>
  <si>
    <t>Reinach</t>
  </si>
  <si>
    <t>Renoult</t>
  </si>
  <si>
    <t>Réville</t>
  </si>
  <si>
    <t>Ribière</t>
  </si>
  <si>
    <t>Sévère</t>
  </si>
  <si>
    <t>Seydoux</t>
  </si>
  <si>
    <t>Sibille</t>
  </si>
  <si>
    <t>Simonet</t>
  </si>
  <si>
    <t>Simyan</t>
  </si>
  <si>
    <t>Sireyjol</t>
  </si>
  <si>
    <t>Spronck</t>
  </si>
  <si>
    <t>Steeg</t>
  </si>
  <si>
    <t>Surcouf</t>
  </si>
  <si>
    <t>Tarrade</t>
  </si>
  <si>
    <t>Thierry</t>
  </si>
  <si>
    <t>Thomson</t>
  </si>
  <si>
    <t>Treignier</t>
  </si>
  <si>
    <t>Trouin</t>
  </si>
  <si>
    <t>Trouvé</t>
  </si>
  <si>
    <t>Turmel</t>
  </si>
  <si>
    <t>Viollette</t>
  </si>
  <si>
    <t>Verlot</t>
  </si>
  <si>
    <t>Villault-Duchesnois</t>
  </si>
  <si>
    <t>Voilin</t>
  </si>
  <si>
    <t>Viviani</t>
  </si>
  <si>
    <t>Vaillant</t>
  </si>
  <si>
    <t>Vigne</t>
  </si>
  <si>
    <t>Villiers</t>
  </si>
  <si>
    <t>Villebois-Mareuil</t>
  </si>
  <si>
    <t>Willm</t>
  </si>
  <si>
    <t>Veillat</t>
  </si>
  <si>
    <t>Lauraine</t>
  </si>
  <si>
    <t>Laurent</t>
  </si>
  <si>
    <t>de LAVRIGNAIS</t>
  </si>
  <si>
    <t>Bail</t>
  </si>
  <si>
    <t>Boucq</t>
  </si>
  <si>
    <t>Le Cherpy</t>
  </si>
  <si>
    <t>Traissan</t>
  </si>
  <si>
    <t>Hérissé</t>
  </si>
  <si>
    <t>Louédec</t>
  </si>
  <si>
    <t>Rouzic</t>
  </si>
  <si>
    <t>Troadec</t>
  </si>
  <si>
    <t>Leblond</t>
  </si>
  <si>
    <t>Lebrun</t>
  </si>
  <si>
    <t>Lecointe</t>
  </si>
  <si>
    <t>Lefas</t>
  </si>
  <si>
    <t>Lefébure</t>
  </si>
  <si>
    <t>Lefèvre</t>
  </si>
  <si>
    <t>Legendre</t>
  </si>
  <si>
    <t>Legitimus</t>
  </si>
  <si>
    <t>Legrand</t>
  </si>
  <si>
    <t>Lerolle</t>
  </si>
  <si>
    <t>Leroy</t>
  </si>
  <si>
    <t>Leygues</t>
  </si>
  <si>
    <t>Limon</t>
  </si>
  <si>
    <t>Amiard</t>
  </si>
  <si>
    <t>Hesse</t>
  </si>
  <si>
    <t>Andrieux</t>
  </si>
  <si>
    <t>Arbel</t>
  </si>
  <si>
    <t>d'Argenson</t>
  </si>
  <si>
    <t>Astier</t>
  </si>
  <si>
    <t>Aubriot</t>
  </si>
  <si>
    <t>Auriol</t>
  </si>
  <si>
    <t>Babaud-Lacroze</t>
  </si>
  <si>
    <t>Bachimont</t>
  </si>
  <si>
    <t>Balesi</t>
  </si>
  <si>
    <t>Ballande</t>
  </si>
  <si>
    <t>Bedouce</t>
  </si>
  <si>
    <t>Charles-Benoist</t>
  </si>
  <si>
    <t>Berniolle</t>
  </si>
  <si>
    <t>Bertrand</t>
  </si>
  <si>
    <t>Besnard</t>
  </si>
  <si>
    <t>Bonnefous</t>
  </si>
  <si>
    <t>Bonniard</t>
  </si>
  <si>
    <t>Boret</t>
  </si>
  <si>
    <t>Bories</t>
  </si>
  <si>
    <t>Bory</t>
  </si>
  <si>
    <t>Boudoint</t>
  </si>
  <si>
    <t>Bougues</t>
  </si>
  <si>
    <t>Bouhey-Allex</t>
  </si>
  <si>
    <t>Bouisson</t>
  </si>
  <si>
    <t>Bourguet</t>
  </si>
  <si>
    <t>Bouttié</t>
  </si>
  <si>
    <t>Bouvier</t>
  </si>
  <si>
    <t>Braibant</t>
  </si>
  <si>
    <t>Brenier</t>
  </si>
  <si>
    <t>Brindeau</t>
  </si>
  <si>
    <t>Briquet</t>
  </si>
  <si>
    <t>Brisson</t>
  </si>
  <si>
    <t>Brun</t>
  </si>
  <si>
    <t>Brunet</t>
  </si>
  <si>
    <t>Buisson</t>
  </si>
  <si>
    <t>Bureau</t>
  </si>
  <si>
    <t>Cabrol</t>
  </si>
  <si>
    <t>Camelle</t>
  </si>
  <si>
    <t>Carpot</t>
  </si>
  <si>
    <t>Cassadou</t>
  </si>
  <si>
    <t>Castelin</t>
  </si>
  <si>
    <t>Ceccaldi</t>
  </si>
  <si>
    <t>Cels-Couybes</t>
  </si>
  <si>
    <t>CHANAL Jean dit Eugène</t>
  </si>
  <si>
    <t>Chanot</t>
  </si>
  <si>
    <t>de Chappedelaine</t>
  </si>
  <si>
    <t>Chaussier</t>
  </si>
  <si>
    <t>Chauvière</t>
  </si>
  <si>
    <t>Chavet</t>
  </si>
  <si>
    <t>Chenal</t>
  </si>
  <si>
    <t>Chialvo</t>
  </si>
  <si>
    <t>Chopinet</t>
  </si>
  <si>
    <t>Colliard</t>
  </si>
  <si>
    <t>Colly</t>
  </si>
  <si>
    <t>Coreil</t>
  </si>
  <si>
    <t>Coureau</t>
  </si>
  <si>
    <t>Crolard</t>
  </si>
  <si>
    <t>Dalbiez</t>
  </si>
  <si>
    <t>Damour</t>
  </si>
  <si>
    <t>Daniélou</t>
  </si>
  <si>
    <t>Davaine</t>
  </si>
  <si>
    <t>Debaune</t>
  </si>
  <si>
    <t>Delaroche-Vernet</t>
  </si>
  <si>
    <t>Delcluze</t>
  </si>
  <si>
    <t>Deloncle</t>
  </si>
  <si>
    <t>Delory</t>
  </si>
  <si>
    <t>Delpierre</t>
  </si>
  <si>
    <t>Depasse</t>
  </si>
  <si>
    <t>Derveloy</t>
  </si>
  <si>
    <t>Desjardins</t>
  </si>
  <si>
    <t>Desplas</t>
  </si>
  <si>
    <t>Devèze</t>
  </si>
  <si>
    <t>Doussaud</t>
  </si>
  <si>
    <t>Dreyt</t>
  </si>
  <si>
    <t>Drivet</t>
  </si>
  <si>
    <t>Dron</t>
  </si>
  <si>
    <t>Dubarle</t>
  </si>
  <si>
    <t>Dubled</t>
  </si>
  <si>
    <t>Dubois</t>
  </si>
  <si>
    <t>Dubuisson</t>
  </si>
  <si>
    <t>Ducarouge</t>
  </si>
  <si>
    <t>Duclaux-Monteil</t>
  </si>
  <si>
    <t>Duffau</t>
  </si>
  <si>
    <t>Dufour</t>
  </si>
  <si>
    <t>Dufrèche</t>
  </si>
  <si>
    <t>Dumas</t>
  </si>
  <si>
    <t>Dunaime</t>
  </si>
  <si>
    <t>Durafour</t>
  </si>
  <si>
    <t>Even</t>
  </si>
  <si>
    <t>Fesq</t>
  </si>
  <si>
    <t>FORGEMOL de BOSTQUENARD</t>
  </si>
  <si>
    <t>Fourment</t>
  </si>
  <si>
    <t>Fournier</t>
  </si>
  <si>
    <t>Fournol</t>
  </si>
  <si>
    <t>France</t>
  </si>
  <si>
    <t>Franklin-Bouillon</t>
  </si>
  <si>
    <t>Frayssinet</t>
  </si>
  <si>
    <t>Gallois</t>
  </si>
  <si>
    <t>Gallot</t>
  </si>
  <si>
    <t>Ghesquière</t>
  </si>
  <si>
    <t>Gillette-Arimondy</t>
  </si>
  <si>
    <t>Godart</t>
  </si>
  <si>
    <t>de GONTAUT-BIRON</t>
  </si>
  <si>
    <t>Goude</t>
  </si>
  <si>
    <t>Groussier</t>
  </si>
  <si>
    <t>Guesnier</t>
  </si>
  <si>
    <t>Guichard</t>
  </si>
  <si>
    <t>Guiraud</t>
  </si>
  <si>
    <t>Guislain</t>
  </si>
  <si>
    <t>Héritier</t>
  </si>
  <si>
    <t>Hucher</t>
  </si>
  <si>
    <t>Janin</t>
  </si>
  <si>
    <t>Joly</t>
  </si>
  <si>
    <t>Jousselin</t>
  </si>
  <si>
    <t>Lacour</t>
  </si>
  <si>
    <t>Lafferre</t>
  </si>
  <si>
    <t>Laguerre</t>
  </si>
  <si>
    <t>Lamoureux</t>
  </si>
  <si>
    <t>Landry</t>
  </si>
  <si>
    <t>de Lanessan</t>
  </si>
  <si>
    <t>Larquier</t>
  </si>
  <si>
    <t>Lauche</t>
  </si>
  <si>
    <t>Loth</t>
  </si>
  <si>
    <t>Loup</t>
  </si>
  <si>
    <t>Loustalot</t>
  </si>
  <si>
    <t>Magniaudé</t>
  </si>
  <si>
    <t>Magniez</t>
  </si>
  <si>
    <t>Mairat</t>
  </si>
  <si>
    <t>Maître</t>
  </si>
  <si>
    <t>Manaut</t>
  </si>
  <si>
    <t>Manus</t>
  </si>
  <si>
    <t>Marietton</t>
  </si>
  <si>
    <t>Marquet</t>
  </si>
  <si>
    <t>Massé</t>
  </si>
  <si>
    <t>Mauger</t>
  </si>
  <si>
    <t>Ménard</t>
  </si>
  <si>
    <t>Meslier</t>
  </si>
  <si>
    <t>Messimy</t>
  </si>
  <si>
    <t>Mille</t>
  </si>
  <si>
    <t>Millerand</t>
  </si>
  <si>
    <t>Mistral</t>
  </si>
  <si>
    <t>Molle</t>
  </si>
  <si>
    <t>Monsservin</t>
  </si>
  <si>
    <t>Morin</t>
  </si>
  <si>
    <t>Mouchel</t>
  </si>
  <si>
    <t>Myrens</t>
  </si>
  <si>
    <t>Nail</t>
  </si>
  <si>
    <t>Nectoux</t>
  </si>
  <si>
    <t>Nicolas</t>
  </si>
  <si>
    <t>Nouhaud</t>
  </si>
  <si>
    <t>Painlevé</t>
  </si>
  <si>
    <t>Pasqual</t>
  </si>
  <si>
    <t>Paté</t>
  </si>
  <si>
    <t>Patureau-Mirand</t>
  </si>
  <si>
    <t>Paturet</t>
  </si>
  <si>
    <t>Péchadre</t>
  </si>
  <si>
    <t>Pédoya</t>
  </si>
  <si>
    <t>Perchot</t>
  </si>
  <si>
    <t>Perreau-Pradier</t>
  </si>
  <si>
    <t>Perrier</t>
  </si>
  <si>
    <t>Picard</t>
  </si>
  <si>
    <t>Alphonse-Rivière</t>
  </si>
  <si>
    <t>Rouanet</t>
  </si>
  <si>
    <t>Roux-Costadau</t>
  </si>
  <si>
    <t>Roy</t>
  </si>
  <si>
    <t>Rozet</t>
  </si>
  <si>
    <t>Sabin</t>
  </si>
  <si>
    <t>Sarrazin</t>
  </si>
  <si>
    <t>Schmidt</t>
  </si>
  <si>
    <t>Poitou-Duplessy</t>
  </si>
  <si>
    <t>Potié</t>
  </si>
  <si>
    <t>Boisserin</t>
  </si>
  <si>
    <t>Ellen-Prévot</t>
  </si>
  <si>
    <t>Pujade</t>
  </si>
  <si>
    <t>Python</t>
  </si>
  <si>
    <t>Raffin-Dugens</t>
  </si>
  <si>
    <t>Ramel</t>
  </si>
  <si>
    <t>Ravisa</t>
  </si>
  <si>
    <t>Reboul</t>
  </si>
  <si>
    <t>Renard</t>
  </si>
  <si>
    <t>Réveillaud</t>
  </si>
  <si>
    <t>Ringuier</t>
  </si>
  <si>
    <t>Siegfried</t>
  </si>
  <si>
    <t>Simon</t>
  </si>
  <si>
    <t>Sixte-Quenin</t>
  </si>
  <si>
    <t>Soussial</t>
  </si>
  <si>
    <t>Tarbouriech</t>
  </si>
  <si>
    <t>Tavé</t>
  </si>
  <si>
    <t>Thalamas</t>
  </si>
  <si>
    <t>Theveny</t>
  </si>
  <si>
    <t>Thivrier</t>
  </si>
  <si>
    <t>Albert-Thomas</t>
  </si>
  <si>
    <t>Tournade</t>
  </si>
  <si>
    <t>Tournan</t>
  </si>
  <si>
    <t>Toy-Riont</t>
  </si>
  <si>
    <t>Vincent</t>
  </si>
  <si>
    <t>Voyer</t>
  </si>
  <si>
    <t>Vandame</t>
  </si>
  <si>
    <t>Walter</t>
  </si>
  <si>
    <t>Veber</t>
  </si>
  <si>
    <t>Vazeille</t>
  </si>
  <si>
    <t>Vian</t>
  </si>
  <si>
    <t>Lavaud</t>
  </si>
  <si>
    <t>Lefebvre du Prey</t>
  </si>
  <si>
    <t>Lefol</t>
  </si>
  <si>
    <t>Lemire</t>
  </si>
  <si>
    <t>Lenoir</t>
  </si>
  <si>
    <t>Leroy-Beaulieu</t>
  </si>
  <si>
    <t>Lhoste</t>
  </si>
  <si>
    <t>Long</t>
  </si>
  <si>
    <t>de JUIGNE</t>
  </si>
  <si>
    <t>d'Aramon</t>
  </si>
  <si>
    <t>Monprofit</t>
  </si>
  <si>
    <t>Ternois</t>
  </si>
  <si>
    <t>Viard</t>
  </si>
  <si>
    <t>Bagneux</t>
  </si>
  <si>
    <t>Berthod</t>
  </si>
  <si>
    <t>Denis</t>
  </si>
  <si>
    <t>Claussat</t>
  </si>
  <si>
    <t>Lalanne</t>
  </si>
  <si>
    <t>Loriot</t>
  </si>
  <si>
    <t>Géo-Gérald</t>
  </si>
  <si>
    <t>Denais</t>
  </si>
  <si>
    <t>Nortier</t>
  </si>
  <si>
    <t>Candace</t>
  </si>
  <si>
    <t>Giordan</t>
  </si>
  <si>
    <t>Peyroux</t>
  </si>
  <si>
    <t>Augé</t>
  </si>
  <si>
    <t>Bosquette</t>
  </si>
  <si>
    <t>Coyrard</t>
  </si>
  <si>
    <t>Eymond</t>
  </si>
  <si>
    <t>Peytral</t>
  </si>
  <si>
    <t>Soubigou</t>
  </si>
  <si>
    <t>Ancel</t>
  </si>
  <si>
    <t>Bonnail</t>
  </si>
  <si>
    <t>Déchelette</t>
  </si>
  <si>
    <t>Gailhard-Bancel</t>
  </si>
  <si>
    <t>Marlaud</t>
  </si>
  <si>
    <t>Lavoinne</t>
  </si>
  <si>
    <t>Girard</t>
  </si>
  <si>
    <t>Houbé</t>
  </si>
  <si>
    <t>Hugot-Derville</t>
  </si>
  <si>
    <t>Bracke-Desrousseaux</t>
  </si>
  <si>
    <t>Kernier</t>
  </si>
  <si>
    <t>Gouyou-Beauchamps</t>
  </si>
  <si>
    <t>Mignot-Bozérian</t>
  </si>
  <si>
    <t>Chevillon</t>
  </si>
  <si>
    <t>Dupont</t>
  </si>
  <si>
    <t>Tissier</t>
  </si>
  <si>
    <t>Forzy</t>
  </si>
  <si>
    <t>Constans</t>
  </si>
  <si>
    <t>Celos</t>
  </si>
  <si>
    <t>Meunier-Surcouf</t>
  </si>
  <si>
    <t>Taudière</t>
  </si>
  <si>
    <t>Thiery</t>
  </si>
  <si>
    <t>Veysseyre</t>
  </si>
  <si>
    <t>Lépine</t>
  </si>
  <si>
    <t>Merle</t>
  </si>
  <si>
    <t>Pays</t>
  </si>
  <si>
    <t>Deschamps</t>
  </si>
  <si>
    <t>Josse</t>
  </si>
  <si>
    <t>Hébert</t>
  </si>
  <si>
    <t>Coutant</t>
  </si>
  <si>
    <t>Abrami</t>
  </si>
  <si>
    <t>Amodru</t>
  </si>
  <si>
    <t>Anglès</t>
  </si>
  <si>
    <t>Arago</t>
  </si>
  <si>
    <t>Baudon</t>
  </si>
  <si>
    <t>de BAUDRY D'ASSON</t>
  </si>
  <si>
    <t>Bélinguier</t>
  </si>
  <si>
    <t>Bergeon</t>
  </si>
  <si>
    <t>René-Boisneuf</t>
  </si>
  <si>
    <t>Boussenot</t>
  </si>
  <si>
    <t>Cadot</t>
  </si>
  <si>
    <t>Caffort</t>
  </si>
  <si>
    <t>Chaumié</t>
  </si>
  <si>
    <t>Chavoix</t>
  </si>
  <si>
    <t>Defos</t>
  </si>
  <si>
    <t>Delom-Sorbé</t>
  </si>
  <si>
    <t>Dessein</t>
  </si>
  <si>
    <t>Dubief</t>
  </si>
  <si>
    <t>Duboys-Fresney</t>
  </si>
  <si>
    <t>Durandy</t>
  </si>
  <si>
    <t>Villesboisnet</t>
  </si>
  <si>
    <t>Eynac</t>
  </si>
  <si>
    <t>Faisant</t>
  </si>
  <si>
    <t>Fleuret</t>
  </si>
  <si>
    <t>de FONTAINES</t>
  </si>
  <si>
    <t>Galli</t>
  </si>
  <si>
    <t>Gardey</t>
  </si>
  <si>
    <t>Girard-Madoux</t>
  </si>
  <si>
    <t>Goust</t>
  </si>
  <si>
    <t>Coipel</t>
  </si>
  <si>
    <t>Gruet</t>
  </si>
  <si>
    <t>Corentin-Guyho</t>
  </si>
  <si>
    <t>Hugon</t>
  </si>
  <si>
    <t>Jugy</t>
  </si>
  <si>
    <t>Lacave-Laplagne</t>
  </si>
  <si>
    <t>Lasies</t>
  </si>
  <si>
    <t>Masse</t>
  </si>
  <si>
    <t>Mesnard</t>
  </si>
  <si>
    <t>de MONTI DE REZE</t>
  </si>
  <si>
    <t>Pacaud</t>
  </si>
  <si>
    <t>Paisant</t>
  </si>
  <si>
    <t>Péronnet</t>
  </si>
  <si>
    <t>Pierre-Robert</t>
  </si>
  <si>
    <t>Robic</t>
  </si>
  <si>
    <t>Rochereau</t>
  </si>
  <si>
    <t>Rohan-Chabot</t>
  </si>
  <si>
    <t>Prat</t>
  </si>
  <si>
    <t>Pressemane</t>
  </si>
  <si>
    <t>Rabouin</t>
  </si>
  <si>
    <t>Ragheboom</t>
  </si>
  <si>
    <t>Ribet</t>
  </si>
  <si>
    <t>Ribeyre</t>
  </si>
  <si>
    <t>Rigal</t>
  </si>
  <si>
    <t>Talon</t>
  </si>
  <si>
    <t>Tardieu</t>
  </si>
  <si>
    <t>Thome</t>
  </si>
  <si>
    <t>Ybarnegaray</t>
  </si>
  <si>
    <t>de WENDEL</t>
  </si>
  <si>
    <t>Viellard</t>
  </si>
  <si>
    <t>Lefebvre</t>
  </si>
  <si>
    <t>Lémery</t>
  </si>
  <si>
    <t>Lemoine</t>
  </si>
  <si>
    <t>Accambray</t>
  </si>
  <si>
    <t>Albert-Favre</t>
  </si>
  <si>
    <t>Albert Leret d'Aubigny</t>
  </si>
  <si>
    <t>Barabant</t>
  </si>
  <si>
    <t>Berger</t>
  </si>
  <si>
    <t>Charles-Bernard</t>
  </si>
  <si>
    <t>Bernard</t>
  </si>
  <si>
    <t>Berthon</t>
  </si>
  <si>
    <t>Blaisot</t>
  </si>
  <si>
    <t>Alexandre-Blanc</t>
  </si>
  <si>
    <t>Bokanowski</t>
  </si>
  <si>
    <t>Bon</t>
  </si>
  <si>
    <t>Bouilloux-Lafont</t>
  </si>
  <si>
    <t>Boulanger</t>
  </si>
  <si>
    <t>Bras</t>
  </si>
  <si>
    <t>Buisset</t>
  </si>
  <si>
    <t>Butin</t>
  </si>
  <si>
    <t>Cachin</t>
  </si>
  <si>
    <t>Carré-Bonvalet</t>
  </si>
  <si>
    <t>Castelnau</t>
  </si>
  <si>
    <t>Cazassus</t>
  </si>
  <si>
    <t>Champetier</t>
  </si>
  <si>
    <t>Charpentier</t>
  </si>
  <si>
    <t>Connevot</t>
  </si>
  <si>
    <t>Decroze</t>
  </si>
  <si>
    <t>Defossé</t>
  </si>
  <si>
    <t>Deguise</t>
  </si>
  <si>
    <t>Delaroue</t>
  </si>
  <si>
    <t>Demoulin</t>
  </si>
  <si>
    <t>Derangère</t>
  </si>
  <si>
    <t>Derognat</t>
  </si>
  <si>
    <t>Deshayes</t>
  </si>
  <si>
    <t>Deyris</t>
  </si>
  <si>
    <t>Diagne</t>
  </si>
  <si>
    <t>Durre</t>
  </si>
  <si>
    <t>Fayolle</t>
  </si>
  <si>
    <t>Forgeot</t>
  </si>
  <si>
    <t>Fringant</t>
  </si>
  <si>
    <t>Gaborit</t>
  </si>
  <si>
    <t>Giacobbi</t>
  </si>
  <si>
    <t>Giray</t>
  </si>
  <si>
    <t>Godet</t>
  </si>
  <si>
    <t>Gouyon</t>
  </si>
  <si>
    <t>Ignace</t>
  </si>
  <si>
    <t>Inghels</t>
  </si>
  <si>
    <t>Jobert</t>
  </si>
  <si>
    <t>Joubert-Peyrot</t>
  </si>
  <si>
    <t>Jovelet</t>
  </si>
  <si>
    <t>Labroue</t>
  </si>
  <si>
    <t>Laffont</t>
  </si>
  <si>
    <t>Lafont</t>
  </si>
  <si>
    <t>Lajarrige</t>
  </si>
  <si>
    <t>Lancien</t>
  </si>
  <si>
    <t>Louppe</t>
  </si>
  <si>
    <t>de LUDRE-FROLOIS</t>
  </si>
  <si>
    <t>Lugol</t>
  </si>
  <si>
    <t>Mayéras</t>
  </si>
  <si>
    <t>Mélin</t>
  </si>
  <si>
    <t>Merlin</t>
  </si>
  <si>
    <t>Monplanet</t>
  </si>
  <si>
    <t>Mourier</t>
  </si>
  <si>
    <t>Nadi</t>
  </si>
  <si>
    <t>Navarre</t>
  </si>
  <si>
    <t>Nérel</t>
  </si>
  <si>
    <t>Neyret</t>
  </si>
  <si>
    <t>Nibelle</t>
  </si>
  <si>
    <t>Ossola</t>
  </si>
  <si>
    <t>Outrey</t>
  </si>
  <si>
    <t>Parvy</t>
  </si>
  <si>
    <t>Patureau-Baronnet</t>
  </si>
  <si>
    <t>Petitjean</t>
  </si>
  <si>
    <t>Peyret</t>
  </si>
  <si>
    <t>Pezet</t>
  </si>
  <si>
    <t>Philbois</t>
  </si>
  <si>
    <t>Planche</t>
  </si>
  <si>
    <t>Narçay</t>
  </si>
  <si>
    <t>Rontin</t>
  </si>
  <si>
    <t>Salembier</t>
  </si>
  <si>
    <t>Serre</t>
  </si>
  <si>
    <t>Poncet</t>
  </si>
  <si>
    <t>Pottevin</t>
  </si>
  <si>
    <t>Pouzet</t>
  </si>
  <si>
    <t>Proust</t>
  </si>
  <si>
    <t>Queuille</t>
  </si>
  <si>
    <t>Rajon</t>
  </si>
  <si>
    <t>Rameil</t>
  </si>
  <si>
    <t>Renaudel</t>
  </si>
  <si>
    <t>Revault</t>
  </si>
  <si>
    <t>Reynouard</t>
  </si>
  <si>
    <t>Sibuet</t>
  </si>
  <si>
    <t>Sorriaux</t>
  </si>
  <si>
    <t>Stern</t>
  </si>
  <si>
    <t>Tailliandier</t>
  </si>
  <si>
    <t>Théo-Bretin</t>
  </si>
  <si>
    <t>Varenne</t>
  </si>
  <si>
    <t>Valière</t>
  </si>
  <si>
    <t>Vidalin</t>
  </si>
  <si>
    <t>Weiller</t>
  </si>
  <si>
    <t>Valette</t>
  </si>
  <si>
    <t>Voillot</t>
  </si>
  <si>
    <t>Laval</t>
  </si>
  <si>
    <t>Bail-Maignan</t>
  </si>
  <si>
    <t>Brecq</t>
  </si>
  <si>
    <t>Lebey</t>
  </si>
  <si>
    <t>Legros</t>
  </si>
  <si>
    <t>Leredu</t>
  </si>
  <si>
    <t>Levasseur</t>
  </si>
  <si>
    <t>Lissac</t>
  </si>
  <si>
    <t>Locquin</t>
  </si>
  <si>
    <t>Longuet</t>
  </si>
  <si>
    <t>Lacotte</t>
  </si>
  <si>
    <t>Puineuf</t>
  </si>
  <si>
    <t>Moutet</t>
  </si>
  <si>
    <t>Payer</t>
  </si>
  <si>
    <t>About</t>
  </si>
  <si>
    <t>Aiguier</t>
  </si>
  <si>
    <t>Aimond</t>
  </si>
  <si>
    <t>Altorffer</t>
  </si>
  <si>
    <t>André-Fribourg</t>
  </si>
  <si>
    <t>Anquetil</t>
  </si>
  <si>
    <t>Antériou</t>
  </si>
  <si>
    <t>Archimbaud</t>
  </si>
  <si>
    <t>Artaud</t>
  </si>
  <si>
    <t>Aubry</t>
  </si>
  <si>
    <t>d'Audiffret-Pasquier</t>
  </si>
  <si>
    <t>Aussoleil</t>
  </si>
  <si>
    <t>Avril</t>
  </si>
  <si>
    <t>Balanant</t>
  </si>
  <si>
    <t>Baradé</t>
  </si>
  <si>
    <t>Barbé</t>
  </si>
  <si>
    <t>Barès</t>
  </si>
  <si>
    <t>Baréty</t>
  </si>
  <si>
    <t>Barillet</t>
  </si>
  <si>
    <t>Baron</t>
  </si>
  <si>
    <t>Barthélemy</t>
  </si>
  <si>
    <t>Bartholoni</t>
  </si>
  <si>
    <t>Bataille</t>
  </si>
  <si>
    <t>Battle</t>
  </si>
  <si>
    <t>Lesseux</t>
  </si>
  <si>
    <t>Bazire</t>
  </si>
  <si>
    <t>Belcastel</t>
  </si>
  <si>
    <t>Bellet</t>
  </si>
  <si>
    <t>d'Auriac</t>
  </si>
  <si>
    <t>Bernier</t>
  </si>
  <si>
    <t>Berquet</t>
  </si>
  <si>
    <t>Berthelemot</t>
  </si>
  <si>
    <t>Bessonneau</t>
  </si>
  <si>
    <t>Bilger</t>
  </si>
  <si>
    <t>Blanchet</t>
  </si>
  <si>
    <t>Blum</t>
  </si>
  <si>
    <t>Boissard</t>
  </si>
  <si>
    <t>BONNET de PAILLERETS</t>
  </si>
  <si>
    <t>Boué</t>
  </si>
  <si>
    <t>Bouligand</t>
  </si>
  <si>
    <t>Bourgier</t>
  </si>
  <si>
    <t>Bouteille</t>
  </si>
  <si>
    <t>Boutton</t>
  </si>
  <si>
    <t>Bouvet</t>
  </si>
  <si>
    <t>Bovier-Lapierre</t>
  </si>
  <si>
    <t>Bringer</t>
  </si>
  <si>
    <t>Brogly</t>
  </si>
  <si>
    <t>Burnet</t>
  </si>
  <si>
    <t>Caillat</t>
  </si>
  <si>
    <t>Caïtucoli</t>
  </si>
  <si>
    <t>Lamazière</t>
  </si>
  <si>
    <t>Calmès</t>
  </si>
  <si>
    <t>Canavelli</t>
  </si>
  <si>
    <t>Capus</t>
  </si>
  <si>
    <t>Caron</t>
  </si>
  <si>
    <t>Cassagnac</t>
  </si>
  <si>
    <t>Castel</t>
  </si>
  <si>
    <t>de CASTELLANE</t>
  </si>
  <si>
    <t>Causeret</t>
  </si>
  <si>
    <t>Cautru</t>
  </si>
  <si>
    <t>Cazals</t>
  </si>
  <si>
    <t>Chassaigne-Goyon</t>
  </si>
  <si>
    <t>Chauly</t>
  </si>
  <si>
    <t>Chaussy</t>
  </si>
  <si>
    <t>Choribit</t>
  </si>
  <si>
    <t>Colrat</t>
  </si>
  <si>
    <t>Cordelle</t>
  </si>
  <si>
    <t>Coucoureux</t>
  </si>
  <si>
    <t>Courtial</t>
  </si>
  <si>
    <t>Courtier</t>
  </si>
  <si>
    <t>Couteaux</t>
  </si>
  <si>
    <t>Crespel</t>
  </si>
  <si>
    <t>Daladier</t>
  </si>
  <si>
    <t>Darblay</t>
  </si>
  <si>
    <t>Daudet</t>
  </si>
  <si>
    <t>Décloux</t>
  </si>
  <si>
    <t>Decoëne-Racouchot</t>
  </si>
  <si>
    <t>Rau</t>
  </si>
  <si>
    <t>Delafoy</t>
  </si>
  <si>
    <t>Delesalle</t>
  </si>
  <si>
    <t>Delport</t>
  </si>
  <si>
    <t>Denise</t>
  </si>
  <si>
    <t>Despax</t>
  </si>
  <si>
    <t>Dézarnaulds</t>
  </si>
  <si>
    <t>Dignac</t>
  </si>
  <si>
    <t>Dodat</t>
  </si>
  <si>
    <t>Dormoy</t>
  </si>
  <si>
    <t>Sablonnière</t>
  </si>
  <si>
    <t>Ducaud</t>
  </si>
  <si>
    <t>Ducos</t>
  </si>
  <si>
    <t>Dugueyt</t>
  </si>
  <si>
    <t>Dupin</t>
  </si>
  <si>
    <t>Durand-Béchet</t>
  </si>
  <si>
    <t>Duval</t>
  </si>
  <si>
    <t>Duval-Arnould</t>
  </si>
  <si>
    <t>Erlich</t>
  </si>
  <si>
    <t>Escoffier</t>
  </si>
  <si>
    <t>Evain</t>
  </si>
  <si>
    <t>Evrard</t>
  </si>
  <si>
    <t>Fabry</t>
  </si>
  <si>
    <t>Fallières</t>
  </si>
  <si>
    <t>Farges</t>
  </si>
  <si>
    <t>Félix</t>
  </si>
  <si>
    <t>Ferrand</t>
  </si>
  <si>
    <t>Ferraris</t>
  </si>
  <si>
    <t>Ferrette</t>
  </si>
  <si>
    <t>Fonck</t>
  </si>
  <si>
    <t>Forissier</t>
  </si>
  <si>
    <t>Fouché</t>
  </si>
  <si>
    <t>Fould</t>
  </si>
  <si>
    <t>François</t>
  </si>
  <si>
    <t>Frey</t>
  </si>
  <si>
    <t>Frouin</t>
  </si>
  <si>
    <t>Gadaud</t>
  </si>
  <si>
    <t>Gast</t>
  </si>
  <si>
    <t>Gavini</t>
  </si>
  <si>
    <t>Gavoty</t>
  </si>
  <si>
    <t>Gay</t>
  </si>
  <si>
    <t>Geoffroy-Saint-Hilaire</t>
  </si>
  <si>
    <t>Georges</t>
  </si>
  <si>
    <t>Giraud</t>
  </si>
  <si>
    <t>Glotin</t>
  </si>
  <si>
    <t>Gonnet</t>
  </si>
  <si>
    <t>Gounouilhou</t>
  </si>
  <si>
    <t>Gourin</t>
  </si>
  <si>
    <t>Grinda</t>
  </si>
  <si>
    <t>Guépratte</t>
  </si>
  <si>
    <t>Guérin</t>
  </si>
  <si>
    <t>Guibal</t>
  </si>
  <si>
    <t>Guilhaumon</t>
  </si>
  <si>
    <t>Habert</t>
  </si>
  <si>
    <t>Hackspill</t>
  </si>
  <si>
    <t>d'HARCOURT</t>
  </si>
  <si>
    <t>Hermabessière</t>
  </si>
  <si>
    <t>Herriot</t>
  </si>
  <si>
    <t>Heurtaux</t>
  </si>
  <si>
    <t>Hugues</t>
  </si>
  <si>
    <t>Huguet</t>
  </si>
  <si>
    <t>Inizan</t>
  </si>
  <si>
    <t>Isaac</t>
  </si>
  <si>
    <t>Israël</t>
  </si>
  <si>
    <t>Jadé</t>
  </si>
  <si>
    <t>Jaeger</t>
  </si>
  <si>
    <t>Jannin</t>
  </si>
  <si>
    <t>Jean</t>
  </si>
  <si>
    <t>Jeantet</t>
  </si>
  <si>
    <t>Join-Lambert</t>
  </si>
  <si>
    <t>Jurie-Joly</t>
  </si>
  <si>
    <t>Jourdain</t>
  </si>
  <si>
    <t>Kempf</t>
  </si>
  <si>
    <t>BASTON de LA RIBOISIERE</t>
  </si>
  <si>
    <t>Lafagette</t>
  </si>
  <si>
    <t>Lafarge</t>
  </si>
  <si>
    <t>de Lasteyrie</t>
  </si>
  <si>
    <t>Lastours</t>
  </si>
  <si>
    <t>Laudier</t>
  </si>
  <si>
    <t>Lorin</t>
  </si>
  <si>
    <t>Loucheur</t>
  </si>
  <si>
    <t>Macarez</t>
  </si>
  <si>
    <t>Maës</t>
  </si>
  <si>
    <t>d'Agens</t>
  </si>
  <si>
    <t>Magne</t>
  </si>
  <si>
    <t>Maillard</t>
  </si>
  <si>
    <t>Maire</t>
  </si>
  <si>
    <t>Manceau</t>
  </si>
  <si>
    <t>Mandel</t>
  </si>
  <si>
    <t>Marçais</t>
  </si>
  <si>
    <t>Marcellot</t>
  </si>
  <si>
    <t>Marchais</t>
  </si>
  <si>
    <t>Marot</t>
  </si>
  <si>
    <t>Masson</t>
  </si>
  <si>
    <t>Maud'Huy</t>
  </si>
  <si>
    <t>Maulion</t>
  </si>
  <si>
    <t>Maurel</t>
  </si>
  <si>
    <t>Mauriès</t>
  </si>
  <si>
    <t>Maurisson</t>
  </si>
  <si>
    <t>Mayaud</t>
  </si>
  <si>
    <t>Mazerand</t>
  </si>
  <si>
    <t>Menthon</t>
  </si>
  <si>
    <t>Mercier</t>
  </si>
  <si>
    <t>Méritan</t>
  </si>
  <si>
    <t>Mermod</t>
  </si>
  <si>
    <t>Messier</t>
  </si>
  <si>
    <t>Meyer</t>
  </si>
  <si>
    <t>Milhet</t>
  </si>
  <si>
    <t>Molinié</t>
  </si>
  <si>
    <t>Monicault</t>
  </si>
  <si>
    <t>Montenot</t>
  </si>
  <si>
    <t>Morinaud</t>
  </si>
  <si>
    <t>de Moro Giafferi</t>
  </si>
  <si>
    <t>Morucci</t>
  </si>
  <si>
    <t>Mouret</t>
  </si>
  <si>
    <t>Muller</t>
  </si>
  <si>
    <t>Murat</t>
  </si>
  <si>
    <t>Nicod</t>
  </si>
  <si>
    <t>Niveaux</t>
  </si>
  <si>
    <t>Noblemaire</t>
  </si>
  <si>
    <t>Oberkirch</t>
  </si>
  <si>
    <t>Oudin</t>
  </si>
  <si>
    <t>Ouvré</t>
  </si>
  <si>
    <t>Périnard</t>
  </si>
  <si>
    <t>Périvier</t>
  </si>
  <si>
    <t>Perrollaz</t>
  </si>
  <si>
    <t>Petit</t>
  </si>
  <si>
    <t>Petitfils</t>
  </si>
  <si>
    <t>Pfleger</t>
  </si>
  <si>
    <t>Philippoteaux</t>
  </si>
  <si>
    <t>Picot</t>
  </si>
  <si>
    <t>Pilate</t>
  </si>
  <si>
    <t>Pinard</t>
  </si>
  <si>
    <t>Piton</t>
  </si>
  <si>
    <t>Plaisant</t>
  </si>
  <si>
    <t>Plet</t>
  </si>
  <si>
    <t>Rocher</t>
  </si>
  <si>
    <t>Rodez-Bénavent</t>
  </si>
  <si>
    <t>Rollin</t>
  </si>
  <si>
    <t>Roques</t>
  </si>
  <si>
    <t>Roquette</t>
  </si>
  <si>
    <t>de ROTHSCHILD</t>
  </si>
  <si>
    <t>des ROTOURS</t>
  </si>
  <si>
    <t>Rougé</t>
  </si>
  <si>
    <t>Roux</t>
  </si>
  <si>
    <t>Ruellan</t>
  </si>
  <si>
    <t>Saillard</t>
  </si>
  <si>
    <t>Saint-Venant</t>
  </si>
  <si>
    <t>Salers</t>
  </si>
  <si>
    <t>Sangnier</t>
  </si>
  <si>
    <t>Scheer</t>
  </si>
  <si>
    <t>Schuman</t>
  </si>
  <si>
    <t>Seltz</t>
  </si>
  <si>
    <t>Sempé</t>
  </si>
  <si>
    <t>Sénac</t>
  </si>
  <si>
    <t>Sérot</t>
  </si>
  <si>
    <t>Poittevin</t>
  </si>
  <si>
    <t>Poussineau</t>
  </si>
  <si>
    <t>Pouzin</t>
  </si>
  <si>
    <t>Prevet</t>
  </si>
  <si>
    <t>Puis</t>
  </si>
  <si>
    <t>Groudière</t>
  </si>
  <si>
    <t>Raynaldy</t>
  </si>
  <si>
    <t>Regaud</t>
  </si>
  <si>
    <t>Regnier</t>
  </si>
  <si>
    <t>Reibel</t>
  </si>
  <si>
    <t>Rendu</t>
  </si>
  <si>
    <t>Reymonenq</t>
  </si>
  <si>
    <t>Reynaud</t>
  </si>
  <si>
    <t>Rhul</t>
  </si>
  <si>
    <t>Richard</t>
  </si>
  <si>
    <t>Ricolfi</t>
  </si>
  <si>
    <t>Verneuil</t>
  </si>
  <si>
    <t>Rio</t>
  </si>
  <si>
    <t>Servain</t>
  </si>
  <si>
    <t>Sevène</t>
  </si>
  <si>
    <t>Seynes</t>
  </si>
  <si>
    <t>Simonin</t>
  </si>
  <si>
    <t>Soulier</t>
  </si>
  <si>
    <t>Taittinger</t>
  </si>
  <si>
    <t>Talhouet-Roy</t>
  </si>
  <si>
    <t>Tapponnier</t>
  </si>
  <si>
    <t>Taurines</t>
  </si>
  <si>
    <t>Thibout</t>
  </si>
  <si>
    <t>Thoumyre</t>
  </si>
  <si>
    <t>Tilhet</t>
  </si>
  <si>
    <t>Pouët</t>
  </si>
  <si>
    <t>Tisseyre</t>
  </si>
  <si>
    <t>Tixier</t>
  </si>
  <si>
    <t>Tranchand</t>
  </si>
  <si>
    <t>Trincard-Moyat</t>
  </si>
  <si>
    <t>Uhry</t>
  </si>
  <si>
    <t>Vallette-Viallard</t>
  </si>
  <si>
    <t>Vallat</t>
  </si>
  <si>
    <t>Vaillant-Couturier</t>
  </si>
  <si>
    <t>Warren</t>
  </si>
  <si>
    <t>Valude</t>
  </si>
  <si>
    <t>Vidal</t>
  </si>
  <si>
    <t>Villeneau</t>
  </si>
  <si>
    <t>Viala</t>
  </si>
  <si>
    <t>Vavasseur</t>
  </si>
  <si>
    <t>Verniers</t>
  </si>
  <si>
    <t>Wetterlé</t>
  </si>
  <si>
    <t>Lavau</t>
  </si>
  <si>
    <t>Le Cour-Grandmaison</t>
  </si>
  <si>
    <t>Febvre</t>
  </si>
  <si>
    <t>Mire</t>
  </si>
  <si>
    <t>Moigne</t>
  </si>
  <si>
    <t>Launay</t>
  </si>
  <si>
    <t>Le Trocquer</t>
  </si>
  <si>
    <t>Lebas</t>
  </si>
  <si>
    <t>Lecourtier</t>
  </si>
  <si>
    <t>Leger</t>
  </si>
  <si>
    <t>Lesaché</t>
  </si>
  <si>
    <t>de LEUSSE</t>
  </si>
  <si>
    <t>Lévy</t>
  </si>
  <si>
    <t>Liouville</t>
  </si>
  <si>
    <t>Lobet</t>
  </si>
  <si>
    <t>Fiori</t>
  </si>
  <si>
    <t>Galmot</t>
  </si>
  <si>
    <t>Miellet</t>
  </si>
  <si>
    <t>Roux-Freissineng</t>
  </si>
  <si>
    <t>Saget</t>
  </si>
  <si>
    <t>Clerc</t>
  </si>
  <si>
    <t>Payen</t>
  </si>
  <si>
    <t>Persil</t>
  </si>
  <si>
    <t>Duboin</t>
  </si>
  <si>
    <t>Bonnet</t>
  </si>
  <si>
    <t>Corbeiller</t>
  </si>
  <si>
    <t>Cuven</t>
  </si>
  <si>
    <t>Desgroux</t>
  </si>
  <si>
    <t>Gallou</t>
  </si>
  <si>
    <t>Kéranflec'H-Kernezné</t>
  </si>
  <si>
    <t>Guen</t>
  </si>
  <si>
    <t>Thomas</t>
  </si>
  <si>
    <t>Doléris</t>
  </si>
  <si>
    <t>Abbo</t>
  </si>
  <si>
    <t>Coty</t>
  </si>
  <si>
    <t>Adam</t>
  </si>
  <si>
    <t>Adenis</t>
  </si>
  <si>
    <t>Aillaud</t>
  </si>
  <si>
    <t>Ameline</t>
  </si>
  <si>
    <t>Amet</t>
  </si>
  <si>
    <t>d'Andigné</t>
  </si>
  <si>
    <t>Angoulvant</t>
  </si>
  <si>
    <t>Antonelli</t>
  </si>
  <si>
    <t>Auffray</t>
  </si>
  <si>
    <t>Auray</t>
  </si>
  <si>
    <t>Baranton</t>
  </si>
  <si>
    <t>Barbecot</t>
  </si>
  <si>
    <t>Barbin</t>
  </si>
  <si>
    <t>Baroux</t>
  </si>
  <si>
    <t>Barra</t>
  </si>
  <si>
    <t>Bastid</t>
  </si>
  <si>
    <t>Bazile</t>
  </si>
  <si>
    <t>Beauvillain</t>
  </si>
  <si>
    <t>Bellamy</t>
  </si>
  <si>
    <t>Bénassy</t>
  </si>
  <si>
    <t>Bergey</t>
  </si>
  <si>
    <t>Bernachon</t>
  </si>
  <si>
    <t>Bibié</t>
  </si>
  <si>
    <t>Biré</t>
  </si>
  <si>
    <t>Bizet</t>
  </si>
  <si>
    <t>Blachez</t>
  </si>
  <si>
    <t>Boccard</t>
  </si>
  <si>
    <t>Bonin</t>
  </si>
  <si>
    <t>Borel</t>
  </si>
  <si>
    <t>Bosc</t>
  </si>
  <si>
    <t>Bouat</t>
  </si>
  <si>
    <t>Boudet</t>
  </si>
  <si>
    <t>Boully</t>
  </si>
  <si>
    <t>Bourlois</t>
  </si>
  <si>
    <t>Boyer</t>
  </si>
  <si>
    <t>Brémond</t>
  </si>
  <si>
    <t>Bret</t>
  </si>
  <si>
    <t>Breteau</t>
  </si>
  <si>
    <t>Briffaut</t>
  </si>
  <si>
    <t>Brigault</t>
  </si>
  <si>
    <t>Brocard</t>
  </si>
  <si>
    <t>Brom</t>
  </si>
  <si>
    <t>Burger</t>
  </si>
  <si>
    <t>Cadic</t>
  </si>
  <si>
    <t>Calmon</t>
  </si>
  <si>
    <t>Cante</t>
  </si>
  <si>
    <t>Capgras</t>
  </si>
  <si>
    <t>Carmagnolle</t>
  </si>
  <si>
    <t>Carron</t>
  </si>
  <si>
    <t>Castagnet</t>
  </si>
  <si>
    <t>Cauderon</t>
  </si>
  <si>
    <t>Cayrel</t>
  </si>
  <si>
    <t>de CHAMMARD</t>
  </si>
  <si>
    <t>Champetier de Ribes</t>
  </si>
  <si>
    <t>Charoulet</t>
  </si>
  <si>
    <t>Chastanet</t>
  </si>
  <si>
    <t>Chauvin</t>
  </si>
  <si>
    <t>Chavagnes</t>
  </si>
  <si>
    <t>Chazal</t>
  </si>
  <si>
    <t>Chazette</t>
  </si>
  <si>
    <t>Chevrier</t>
  </si>
  <si>
    <t>Chollet</t>
  </si>
  <si>
    <t>Clamamus</t>
  </si>
  <si>
    <t>Clarou</t>
  </si>
  <si>
    <t>Cluzel</t>
  </si>
  <si>
    <t>Colins</t>
  </si>
  <si>
    <t>Condé</t>
  </si>
  <si>
    <t>Coppeaux</t>
  </si>
  <si>
    <t>Cornand</t>
  </si>
  <si>
    <t>Cornavin</t>
  </si>
  <si>
    <t>Couhé</t>
  </si>
  <si>
    <t>Courtehoux</t>
  </si>
  <si>
    <t>Dalmagne</t>
  </si>
  <si>
    <t>Darme</t>
  </si>
  <si>
    <t>Dauthy</t>
  </si>
  <si>
    <t>Delbos</t>
  </si>
  <si>
    <t>Dellac</t>
  </si>
  <si>
    <t>Delmont</t>
  </si>
  <si>
    <t>Delourme</t>
  </si>
  <si>
    <t>Delthil</t>
  </si>
  <si>
    <t>Desoblin</t>
  </si>
  <si>
    <t>Didry</t>
  </si>
  <si>
    <t>Doriot</t>
  </si>
  <si>
    <t>Dorly</t>
  </si>
  <si>
    <t>Dubreuil</t>
  </si>
  <si>
    <t>Eldin</t>
  </si>
  <si>
    <t>Epivent</t>
  </si>
  <si>
    <t>Escoulent</t>
  </si>
  <si>
    <t>Falcoz</t>
  </si>
  <si>
    <t>Faugère</t>
  </si>
  <si>
    <t>Ferté</t>
  </si>
  <si>
    <t>Février</t>
  </si>
  <si>
    <t>Fié</t>
  </si>
  <si>
    <t>Fillon</t>
  </si>
  <si>
    <t>Fontanier</t>
  </si>
  <si>
    <t>François-Poncet</t>
  </si>
  <si>
    <t>Frot</t>
  </si>
  <si>
    <t>Gamard</t>
  </si>
  <si>
    <t>Garchery</t>
  </si>
  <si>
    <t>Gautier</t>
  </si>
  <si>
    <t>Gerboud</t>
  </si>
  <si>
    <t>Goirand</t>
  </si>
  <si>
    <t>Gouin</t>
  </si>
  <si>
    <t>Goy</t>
  </si>
  <si>
    <t>Gros</t>
  </si>
  <si>
    <t>Héliès</t>
  </si>
  <si>
    <t>Henriet</t>
  </si>
  <si>
    <t>Henry</t>
  </si>
  <si>
    <t>Héraud</t>
  </si>
  <si>
    <t>Hueber</t>
  </si>
  <si>
    <t>Hulin</t>
  </si>
  <si>
    <t>Jacquy</t>
  </si>
  <si>
    <t>Jean-François</t>
  </si>
  <si>
    <t>Jouffrault</t>
  </si>
  <si>
    <t>Jouhannet</t>
  </si>
  <si>
    <t>Kervenoaël</t>
  </si>
  <si>
    <t>Labatut</t>
  </si>
  <si>
    <t>Labes</t>
  </si>
  <si>
    <t>Laine</t>
  </si>
  <si>
    <t>Lamazou-Betbeder</t>
  </si>
  <si>
    <t>Lambert</t>
  </si>
  <si>
    <t>Laporte</t>
  </si>
  <si>
    <t>Laroche-Joubert</t>
  </si>
  <si>
    <t>Lassalle</t>
  </si>
  <si>
    <t>Louis</t>
  </si>
  <si>
    <t>Madelin</t>
  </si>
  <si>
    <t>Mandrillon</t>
  </si>
  <si>
    <t>Marcillé</t>
  </si>
  <si>
    <t>Marin-Quilliard</t>
  </si>
  <si>
    <t>Marquigny</t>
  </si>
  <si>
    <t>Martin</t>
  </si>
  <si>
    <t>Marty</t>
  </si>
  <si>
    <t>Mauger-Violleau</t>
  </si>
  <si>
    <t>Maupoil</t>
  </si>
  <si>
    <t>Merlant</t>
  </si>
  <si>
    <t>MICHEL Henri dit</t>
  </si>
  <si>
    <t>Milhaud</t>
  </si>
  <si>
    <t>Missoffe</t>
  </si>
  <si>
    <t>Moncelle</t>
  </si>
  <si>
    <t>Montigny</t>
  </si>
  <si>
    <t>Naples</t>
  </si>
  <si>
    <t>Nicollet</t>
  </si>
  <si>
    <t>Nogaro</t>
  </si>
  <si>
    <t>Nouelle</t>
  </si>
  <si>
    <t>Ollier</t>
  </si>
  <si>
    <t>Paganon</t>
  </si>
  <si>
    <t>Palmade</t>
  </si>
  <si>
    <t>Paqué</t>
  </si>
  <si>
    <t>Paulin</t>
  </si>
  <si>
    <t>Payra</t>
  </si>
  <si>
    <t>Peigné</t>
  </si>
  <si>
    <t>Peirotes</t>
  </si>
  <si>
    <t>Pélissier</t>
  </si>
  <si>
    <t>Péraudin</t>
  </si>
  <si>
    <t>Pernot</t>
  </si>
  <si>
    <t>Perronne</t>
  </si>
  <si>
    <t>Petitier</t>
  </si>
  <si>
    <t>Pietri</t>
  </si>
  <si>
    <t>Piquemal</t>
  </si>
  <si>
    <t>Planchenault</t>
  </si>
  <si>
    <t>Robaglia</t>
  </si>
  <si>
    <t>Rodhain</t>
  </si>
  <si>
    <t>Saint-Just</t>
  </si>
  <si>
    <t>Salmon</t>
  </si>
  <si>
    <t>Schleiter</t>
  </si>
  <si>
    <t>Sclafer</t>
  </si>
  <si>
    <t>Sérandour</t>
  </si>
  <si>
    <t>Sérol</t>
  </si>
  <si>
    <t>Ponard</t>
  </si>
  <si>
    <t>Puechmaille</t>
  </si>
  <si>
    <t>Railhac</t>
  </si>
  <si>
    <t>Régis</t>
  </si>
  <si>
    <t>Rieux</t>
  </si>
  <si>
    <t>Rimbert</t>
  </si>
  <si>
    <t>Silbermann</t>
  </si>
  <si>
    <t>Sizaire</t>
  </si>
  <si>
    <t>Spinasse</t>
  </si>
  <si>
    <t>Tasso</t>
  </si>
  <si>
    <t>Taton-Vassal</t>
  </si>
  <si>
    <t>Ternaux</t>
  </si>
  <si>
    <t>Teyssier</t>
  </si>
  <si>
    <t>Thuau</t>
  </si>
  <si>
    <t>Tilloy</t>
  </si>
  <si>
    <t>Trémintin</t>
  </si>
  <si>
    <t>Trémoulière</t>
  </si>
  <si>
    <t>Triballet</t>
  </si>
  <si>
    <t>Weill</t>
  </si>
  <si>
    <t>Villemant</t>
  </si>
  <si>
    <t>Waron</t>
  </si>
  <si>
    <t>Violle</t>
  </si>
  <si>
    <t>Vasseux</t>
  </si>
  <si>
    <t>Vermare</t>
  </si>
  <si>
    <t>Lautier</t>
  </si>
  <si>
    <t>Douarec</t>
  </si>
  <si>
    <t>Friec</t>
  </si>
  <si>
    <t>Moyne</t>
  </si>
  <si>
    <t>Lévy-Alphandéry</t>
  </si>
  <si>
    <t>Mallarmé</t>
  </si>
  <si>
    <t>Gardiol</t>
  </si>
  <si>
    <t>Petsche</t>
  </si>
  <si>
    <t>Déat</t>
  </si>
  <si>
    <t>Marchandeau</t>
  </si>
  <si>
    <t>Duclos</t>
  </si>
  <si>
    <t>Arnould</t>
  </si>
  <si>
    <t>Barbier</t>
  </si>
  <si>
    <t>Carlier-Caffieri</t>
  </si>
  <si>
    <t>Coquelle</t>
  </si>
  <si>
    <t>Coutel</t>
  </si>
  <si>
    <t>Coudert</t>
  </si>
  <si>
    <t>Moulière</t>
  </si>
  <si>
    <t>Saudubray</t>
  </si>
  <si>
    <t>Legué</t>
  </si>
  <si>
    <t>Bouhenry</t>
  </si>
  <si>
    <t>Albert</t>
  </si>
  <si>
    <t>André</t>
  </si>
  <si>
    <t>Baudouin-Bugnet</t>
  </si>
  <si>
    <t>Bloud</t>
  </si>
  <si>
    <t>Bouissoud</t>
  </si>
  <si>
    <t>Coponat</t>
  </si>
  <si>
    <t>Cot</t>
  </si>
  <si>
    <t>Desbons</t>
  </si>
  <si>
    <t>Desgranges</t>
  </si>
  <si>
    <t>Fays</t>
  </si>
  <si>
    <t>Férin</t>
  </si>
  <si>
    <t>Fiancette</t>
  </si>
  <si>
    <t>Filhoud-Lavergne</t>
  </si>
  <si>
    <t>Frossard</t>
  </si>
  <si>
    <t>Gellié</t>
  </si>
  <si>
    <t>Gianotti</t>
  </si>
  <si>
    <t>Graëve</t>
  </si>
  <si>
    <t>La Chambre</t>
  </si>
  <si>
    <t>Macouin</t>
  </si>
  <si>
    <t>Menier</t>
  </si>
  <si>
    <t>Minvielle</t>
  </si>
  <si>
    <t>Moustier</t>
  </si>
  <si>
    <t>Pascaud</t>
  </si>
  <si>
    <t>Patenôtre</t>
  </si>
  <si>
    <t>Peissel</t>
  </si>
  <si>
    <t>Rocca-Serra</t>
  </si>
  <si>
    <t>Rolland</t>
  </si>
  <si>
    <t>Polignac</t>
  </si>
  <si>
    <t>Puybaudet</t>
  </si>
  <si>
    <t>Wolff</t>
  </si>
  <si>
    <t>Vezouët</t>
  </si>
  <si>
    <t>Lecacheux</t>
  </si>
  <si>
    <t>Lissar</t>
  </si>
  <si>
    <t>Albertin</t>
  </si>
  <si>
    <t>Alès</t>
  </si>
  <si>
    <t>Amat</t>
  </si>
  <si>
    <t>Clos</t>
  </si>
  <si>
    <t>Amiot</t>
  </si>
  <si>
    <t>Andraud</t>
  </si>
  <si>
    <t>Aubaud</t>
  </si>
  <si>
    <t>Aurin</t>
  </si>
  <si>
    <t>Autrand</t>
  </si>
  <si>
    <t>Bahier</t>
  </si>
  <si>
    <t>Ballu</t>
  </si>
  <si>
    <t>Barbot</t>
  </si>
  <si>
    <t>Bascou</t>
  </si>
  <si>
    <t>Basset</t>
  </si>
  <si>
    <t>Beaugrand</t>
  </si>
  <si>
    <t>Bellanger</t>
  </si>
  <si>
    <t>Bellocq</t>
  </si>
  <si>
    <t>Beluel</t>
  </si>
  <si>
    <t>Bergerot</t>
  </si>
  <si>
    <t>Bergery</t>
  </si>
  <si>
    <t>Béron</t>
  </si>
  <si>
    <t>Berthézenne</t>
  </si>
  <si>
    <t>Besnard-Ferron</t>
  </si>
  <si>
    <t>Besset</t>
  </si>
  <si>
    <t>Blancho</t>
  </si>
  <si>
    <t>Blondel</t>
  </si>
  <si>
    <t>Boisseau</t>
  </si>
  <si>
    <t>Boucheron</t>
  </si>
  <si>
    <t>Boüessé</t>
  </si>
  <si>
    <t>Bourgot</t>
  </si>
  <si>
    <t>Boutet</t>
  </si>
  <si>
    <t>Braise</t>
  </si>
  <si>
    <t>Brandon</t>
  </si>
  <si>
    <t>Bravet</t>
  </si>
  <si>
    <t>Bréant</t>
  </si>
  <si>
    <t>BRETON André dit</t>
  </si>
  <si>
    <t>Brière</t>
  </si>
  <si>
    <t>Bruyas</t>
  </si>
  <si>
    <t>Burtin</t>
  </si>
  <si>
    <t>Buyat</t>
  </si>
  <si>
    <t>Calliès</t>
  </si>
  <si>
    <t>Calvet</t>
  </si>
  <si>
    <t>Camboulives</t>
  </si>
  <si>
    <t>Canu</t>
  </si>
  <si>
    <t>Capron</t>
  </si>
  <si>
    <t>Castanet</t>
  </si>
  <si>
    <t>Catalan</t>
  </si>
  <si>
    <t>Cathala</t>
  </si>
  <si>
    <t>Caujole</t>
  </si>
  <si>
    <t>Cazaud</t>
  </si>
  <si>
    <t>Chommeton</t>
  </si>
  <si>
    <t>Chouffet</t>
  </si>
  <si>
    <t>Colomb</t>
  </si>
  <si>
    <t>Cotin</t>
  </si>
  <si>
    <t>Courrent</t>
  </si>
  <si>
    <t>Cravoisier</t>
  </si>
  <si>
    <t>Dahlet</t>
  </si>
  <si>
    <t>Debève</t>
  </si>
  <si>
    <t>Debrégéas</t>
  </si>
  <si>
    <t>Delabarre</t>
  </si>
  <si>
    <t>Delcourt</t>
  </si>
  <si>
    <t>Deligne</t>
  </si>
  <si>
    <t>Delmotte</t>
  </si>
  <si>
    <t>Delorme</t>
  </si>
  <si>
    <t>Delsol</t>
  </si>
  <si>
    <t>Descubes</t>
  </si>
  <si>
    <t>Dessaint</t>
  </si>
  <si>
    <t>Détailleur</t>
  </si>
  <si>
    <t>Dien</t>
  </si>
  <si>
    <t>Doeblé</t>
  </si>
  <si>
    <t>Dollat</t>
  </si>
  <si>
    <t>Dormann</t>
  </si>
  <si>
    <t>Doussain</t>
  </si>
  <si>
    <t>Dumaine</t>
  </si>
  <si>
    <t>Dumat</t>
  </si>
  <si>
    <t>Escartefigue</t>
  </si>
  <si>
    <t>Faget</t>
  </si>
  <si>
    <t>Fels</t>
  </si>
  <si>
    <t>Forcinal</t>
  </si>
  <si>
    <t>Foulon</t>
  </si>
  <si>
    <t>Fraisseix</t>
  </si>
  <si>
    <t>Gallet</t>
  </si>
  <si>
    <t>Gaumet</t>
  </si>
  <si>
    <t>Geistdoerfer</t>
  </si>
  <si>
    <t>Germain-Martin</t>
  </si>
  <si>
    <t>Gignoux</t>
  </si>
  <si>
    <t>Gounin</t>
  </si>
  <si>
    <t>Gourdeau</t>
  </si>
  <si>
    <t>Gout</t>
  </si>
  <si>
    <t>Gramond-Lesparre</t>
  </si>
  <si>
    <t>Gratien</t>
  </si>
  <si>
    <t>Grumbach</t>
  </si>
  <si>
    <t>Guérault</t>
  </si>
  <si>
    <t>Guernut</t>
  </si>
  <si>
    <t>Guersy</t>
  </si>
  <si>
    <t>Guillon</t>
  </si>
  <si>
    <t>Guy</t>
  </si>
  <si>
    <t>Sigy</t>
  </si>
  <si>
    <t>Henry-Haye</t>
  </si>
  <si>
    <t>Hérard</t>
  </si>
  <si>
    <t>Hymans</t>
  </si>
  <si>
    <t>Jacoulot</t>
  </si>
  <si>
    <t>Jaubert</t>
  </si>
  <si>
    <t>Labach</t>
  </si>
  <si>
    <t>Lafaye</t>
  </si>
  <si>
    <t>Laquière</t>
  </si>
  <si>
    <t>Largier</t>
  </si>
  <si>
    <t>Laumond</t>
  </si>
  <si>
    <t>Lorgeré</t>
  </si>
  <si>
    <t>Louart</t>
  </si>
  <si>
    <t>Lupel</t>
  </si>
  <si>
    <t>Luquet</t>
  </si>
  <si>
    <t>Malingre</t>
  </si>
  <si>
    <t>Marcombes</t>
  </si>
  <si>
    <t>Marie</t>
  </si>
  <si>
    <t>Marsais</t>
  </si>
  <si>
    <t>Marteau</t>
  </si>
  <si>
    <t>Masclanis</t>
  </si>
  <si>
    <t>Massimi</t>
  </si>
  <si>
    <t>Mathieu</t>
  </si>
  <si>
    <t>Meck</t>
  </si>
  <si>
    <t>Ménil</t>
  </si>
  <si>
    <t>Millot</t>
  </si>
  <si>
    <t>Mistler</t>
  </si>
  <si>
    <t>Moch</t>
  </si>
  <si>
    <t>Monnet</t>
  </si>
  <si>
    <t>Mottu</t>
  </si>
  <si>
    <t>Mourer</t>
  </si>
  <si>
    <t>Nomblot</t>
  </si>
  <si>
    <t>Nominé</t>
  </si>
  <si>
    <t>Odin</t>
  </si>
  <si>
    <t>Parenteau</t>
  </si>
  <si>
    <t>Parsy</t>
  </si>
  <si>
    <t>Patenôtre-Desnoyers</t>
  </si>
  <si>
    <t>Péchin</t>
  </si>
  <si>
    <t>Perfetti</t>
  </si>
  <si>
    <t>Perrin</t>
  </si>
  <si>
    <t>Peter</t>
  </si>
  <si>
    <t>Pic</t>
  </si>
  <si>
    <t>Pieyre</t>
  </si>
  <si>
    <t>Pinault</t>
  </si>
  <si>
    <t>Poillot</t>
  </si>
  <si>
    <t>Robert</t>
  </si>
  <si>
    <t>Rossé</t>
  </si>
  <si>
    <t>Roumagoux</t>
  </si>
  <si>
    <t>Rouquier</t>
  </si>
  <si>
    <t>Rucart</t>
  </si>
  <si>
    <t>Rucklin</t>
  </si>
  <si>
    <t>Sabatier</t>
  </si>
  <si>
    <t>Sabiani</t>
  </si>
  <si>
    <t>Salengro</t>
  </si>
  <si>
    <t>Sallès</t>
  </si>
  <si>
    <t>Scapini</t>
  </si>
  <si>
    <t>Pomaret</t>
  </si>
  <si>
    <t>Porterat</t>
  </si>
  <si>
    <t>Pradon-Vallancy</t>
  </si>
  <si>
    <t>Queinnec</t>
  </si>
  <si>
    <t>Ramadier</t>
  </si>
  <si>
    <t>Raude</t>
  </si>
  <si>
    <t>Rauzy</t>
  </si>
  <si>
    <t>Ravanat</t>
  </si>
  <si>
    <t>Renaitour</t>
  </si>
  <si>
    <t>Ricci</t>
  </si>
  <si>
    <t>Riché</t>
  </si>
  <si>
    <t>Richerand</t>
  </si>
  <si>
    <t>Ricklin</t>
  </si>
  <si>
    <t>Riffaterre</t>
  </si>
  <si>
    <t>Sevestre</t>
  </si>
  <si>
    <t>Sire</t>
  </si>
  <si>
    <t>Surmont</t>
  </si>
  <si>
    <t>Tastes</t>
  </si>
  <si>
    <t>Tellier</t>
  </si>
  <si>
    <t>de Tessan</t>
  </si>
  <si>
    <t>Thibault</t>
  </si>
  <si>
    <t>Tricard-Graveron</t>
  </si>
  <si>
    <t>Tricoteaux</t>
  </si>
  <si>
    <t>Vassal</t>
  </si>
  <si>
    <t>Vernay</t>
  </si>
  <si>
    <t>Valensi</t>
  </si>
  <si>
    <t>Weydmann</t>
  </si>
  <si>
    <t>Lauvray</t>
  </si>
  <si>
    <t>Laville</t>
  </si>
  <si>
    <t>Pévedic</t>
  </si>
  <si>
    <t>Lebret</t>
  </si>
  <si>
    <t>Léglise</t>
  </si>
  <si>
    <t>Lemelle</t>
  </si>
  <si>
    <t>Lesesne</t>
  </si>
  <si>
    <t>Lierman</t>
  </si>
  <si>
    <t>Lillaz</t>
  </si>
  <si>
    <t>Rivière</t>
  </si>
  <si>
    <t>Drouot</t>
  </si>
  <si>
    <t>Blacque-Belair</t>
  </si>
  <si>
    <t>Leboeuf</t>
  </si>
  <si>
    <t>Stürmel</t>
  </si>
  <si>
    <t>Hauss</t>
  </si>
  <si>
    <t>Bardon</t>
  </si>
  <si>
    <t>d'Harcourt</t>
  </si>
  <si>
    <t>Thureau-Dangin</t>
  </si>
  <si>
    <t>Mitton</t>
  </si>
  <si>
    <t>Rieder</t>
  </si>
  <si>
    <t>Grimaud</t>
  </si>
  <si>
    <t>Tonnellier</t>
  </si>
  <si>
    <t>Cadoret</t>
  </si>
  <si>
    <t>Simounet</t>
  </si>
  <si>
    <t>Ledoux</t>
  </si>
  <si>
    <t>Bérenger</t>
  </si>
  <si>
    <t>Salette</t>
  </si>
  <si>
    <t>Leguet</t>
  </si>
  <si>
    <t>Kéroüartz</t>
  </si>
  <si>
    <t>Mazaud</t>
  </si>
  <si>
    <t>Cozannet</t>
  </si>
  <si>
    <t>Boissin</t>
  </si>
  <si>
    <t>l'Hévéder</t>
  </si>
  <si>
    <t>Niel</t>
  </si>
  <si>
    <t>Jardel</t>
  </si>
  <si>
    <t>Thébault</t>
  </si>
  <si>
    <t>Ambrosini</t>
  </si>
  <si>
    <t>Louis-Dreyfus</t>
  </si>
  <si>
    <t>Parayre</t>
  </si>
  <si>
    <t>Génébrier</t>
  </si>
  <si>
    <t>Parès</t>
  </si>
  <si>
    <t>Odoux</t>
  </si>
  <si>
    <t>Beltrémieux</t>
  </si>
  <si>
    <t>Salles</t>
  </si>
  <si>
    <t>Jules-Julien</t>
  </si>
  <si>
    <t>Boulay</t>
  </si>
  <si>
    <t>Nast</t>
  </si>
  <si>
    <t>Cluzan</t>
  </si>
  <si>
    <t>Bousgarbiès</t>
  </si>
  <si>
    <t>Bousquet</t>
  </si>
  <si>
    <t>Campinchi</t>
  </si>
  <si>
    <t>Carbuccia</t>
  </si>
  <si>
    <t>Compayré</t>
  </si>
  <si>
    <t>Corsin</t>
  </si>
  <si>
    <t>Deudon</t>
  </si>
  <si>
    <t>Duez</t>
  </si>
  <si>
    <t>Fieu</t>
  </si>
  <si>
    <t>Guillois</t>
  </si>
  <si>
    <t>Jacquinot</t>
  </si>
  <si>
    <t>l'Aigle</t>
  </si>
  <si>
    <t>Lotz</t>
  </si>
  <si>
    <t>Médecin</t>
  </si>
  <si>
    <t>Menant</t>
  </si>
  <si>
    <t>Pierre</t>
  </si>
  <si>
    <t>Ravel</t>
  </si>
  <si>
    <t>Torrès</t>
  </si>
  <si>
    <t>Vardelle</t>
  </si>
  <si>
    <t>Léculier</t>
  </si>
  <si>
    <t>Aubert</t>
  </si>
  <si>
    <t>Aulois</t>
  </si>
  <si>
    <t>Bacquet</t>
  </si>
  <si>
    <t>Barbero</t>
  </si>
  <si>
    <t>Basquin</t>
  </si>
  <si>
    <t>Baylet</t>
  </si>
  <si>
    <t>Beauguitte</t>
  </si>
  <si>
    <t>Bedu</t>
  </si>
  <si>
    <t>Besse</t>
  </si>
  <si>
    <t>Besson</t>
  </si>
  <si>
    <t>Blériot</t>
  </si>
  <si>
    <t>Bonnaure</t>
  </si>
  <si>
    <t>Brachard</t>
  </si>
  <si>
    <t>Burrus</t>
  </si>
  <si>
    <t>Cabannes</t>
  </si>
  <si>
    <t>Camier</t>
  </si>
  <si>
    <t>Canda</t>
  </si>
  <si>
    <t>Castagnez</t>
  </si>
  <si>
    <t>Cazalet</t>
  </si>
  <si>
    <t>Chatenet</t>
  </si>
  <si>
    <t>Chauvel</t>
  </si>
  <si>
    <t>Chichery</t>
  </si>
  <si>
    <t>Cochet</t>
  </si>
  <si>
    <t>Cointreau</t>
  </si>
  <si>
    <t>Cornu</t>
  </si>
  <si>
    <t>Couillerot</t>
  </si>
  <si>
    <t>Courson</t>
  </si>
  <si>
    <t>Creyssel</t>
  </si>
  <si>
    <t>Crutel</t>
  </si>
  <si>
    <t>Daroux</t>
  </si>
  <si>
    <t>Dasque</t>
  </si>
  <si>
    <t>Delabie</t>
  </si>
  <si>
    <t>Delsart</t>
  </si>
  <si>
    <t>Deschizeaux</t>
  </si>
  <si>
    <t>Desgeorges</t>
  </si>
  <si>
    <t>Desprez-Potié</t>
  </si>
  <si>
    <t>Dewez</t>
  </si>
  <si>
    <t>Diesbach</t>
  </si>
  <si>
    <t>Dommange</t>
  </si>
  <si>
    <t>Dubon</t>
  </si>
  <si>
    <t>Duchesne-Fournet</t>
  </si>
  <si>
    <t>Dumoret</t>
  </si>
  <si>
    <t>Mahérie</t>
  </si>
  <si>
    <t>Dupré</t>
  </si>
  <si>
    <t>Dupuis</t>
  </si>
  <si>
    <t>Elsaesser</t>
  </si>
  <si>
    <t>Fauchon</t>
  </si>
  <si>
    <t>Fouilland</t>
  </si>
  <si>
    <t>Fourès</t>
  </si>
  <si>
    <t>Froment</t>
  </si>
  <si>
    <t>Gélis</t>
  </si>
  <si>
    <t>Gentin</t>
  </si>
  <si>
    <t>Graziani</t>
  </si>
  <si>
    <t>Grisoni</t>
  </si>
  <si>
    <t>Guastavino</t>
  </si>
  <si>
    <t>Henriot</t>
  </si>
  <si>
    <t>Hussel</t>
  </si>
  <si>
    <t>Jacot</t>
  </si>
  <si>
    <t>Jardillier</t>
  </si>
  <si>
    <t>Lachal</t>
  </si>
  <si>
    <t>Lacourt</t>
  </si>
  <si>
    <t>Lagrange</t>
  </si>
  <si>
    <t>Lallemant</t>
  </si>
  <si>
    <t>Lasserre</t>
  </si>
  <si>
    <t>Luart</t>
  </si>
  <si>
    <t>Luquot</t>
  </si>
  <si>
    <t>Lyrot</t>
  </si>
  <si>
    <t>Mahagne</t>
  </si>
  <si>
    <t>Malet</t>
  </si>
  <si>
    <t>Malric</t>
  </si>
  <si>
    <t>Martel</t>
  </si>
  <si>
    <t>Martinaud-Déplat</t>
  </si>
  <si>
    <t>Mazé</t>
  </si>
  <si>
    <t>Mège</t>
  </si>
  <si>
    <t>Mendès France</t>
  </si>
  <si>
    <t>Métayer</t>
  </si>
  <si>
    <t>Michel</t>
  </si>
  <si>
    <t>Midol</t>
  </si>
  <si>
    <t>Molènes</t>
  </si>
  <si>
    <t>Monjauvis</t>
  </si>
  <si>
    <t>Monnerville</t>
  </si>
  <si>
    <t>Montagnon</t>
  </si>
  <si>
    <t>Mortier</t>
  </si>
  <si>
    <t>Parmentier</t>
  </si>
  <si>
    <t>Pellé</t>
  </si>
  <si>
    <t>Péri</t>
  </si>
  <si>
    <t>Périn</t>
  </si>
  <si>
    <t>Perrein</t>
  </si>
  <si>
    <t>Perrot</t>
  </si>
  <si>
    <t>Piot</t>
  </si>
  <si>
    <t>Plard</t>
  </si>
  <si>
    <t>Roldes</t>
  </si>
  <si>
    <t>Romastin</t>
  </si>
  <si>
    <t>Rous</t>
  </si>
  <si>
    <t>Seitz</t>
  </si>
  <si>
    <t>Sellier</t>
  </si>
  <si>
    <t>Potut</t>
  </si>
  <si>
    <t>Pouchus</t>
  </si>
  <si>
    <t>Nadaillac</t>
  </si>
  <si>
    <t>Pradel</t>
  </si>
  <si>
    <t>Prentout</t>
  </si>
  <si>
    <t>Pringolliet</t>
  </si>
  <si>
    <t>Ramette</t>
  </si>
  <si>
    <t>Rives</t>
  </si>
  <si>
    <t>Silvestre</t>
  </si>
  <si>
    <t>Susset</t>
  </si>
  <si>
    <t>Thorez</t>
  </si>
  <si>
    <t>Tillie</t>
  </si>
  <si>
    <t>REVILLON Michel dit</t>
  </si>
  <si>
    <t>Ulrich</t>
  </si>
  <si>
    <t>Voirin</t>
  </si>
  <si>
    <t>Viénot</t>
  </si>
  <si>
    <t>Zay</t>
  </si>
  <si>
    <t>Wiltzer</t>
  </si>
  <si>
    <t>Wallach</t>
  </si>
  <si>
    <t>Gac</t>
  </si>
  <si>
    <t>Lebel</t>
  </si>
  <si>
    <t>Lengrand</t>
  </si>
  <si>
    <t>Liautey</t>
  </si>
  <si>
    <t>Serda</t>
  </si>
  <si>
    <t>Framondée</t>
  </si>
  <si>
    <t>Genois</t>
  </si>
  <si>
    <t>Fernand-Laurent</t>
  </si>
  <si>
    <t>Poullen</t>
  </si>
  <si>
    <t>Thiolas</t>
  </si>
  <si>
    <t>Montillot</t>
  </si>
  <si>
    <t>Berlia</t>
  </si>
  <si>
    <t>Grandmaison</t>
  </si>
  <si>
    <t>Elbel</t>
  </si>
  <si>
    <t>Fleury</t>
  </si>
  <si>
    <t>Polimann</t>
  </si>
  <si>
    <t>Daille</t>
  </si>
  <si>
    <t>Feuillette</t>
  </si>
  <si>
    <t>Myre-Mory</t>
  </si>
  <si>
    <t>Brodel</t>
  </si>
  <si>
    <t>Thellier</t>
  </si>
  <si>
    <t>Ferru</t>
  </si>
  <si>
    <t>Thiébaut</t>
  </si>
  <si>
    <t>Saurin</t>
  </si>
  <si>
    <t>Cousin</t>
  </si>
  <si>
    <t>Sarret</t>
  </si>
  <si>
    <t>Tristan</t>
  </si>
  <si>
    <t>Gaillemin</t>
  </si>
  <si>
    <t>Diouf</t>
  </si>
  <si>
    <t>Lenain</t>
  </si>
  <si>
    <t>Barrachin</t>
  </si>
  <si>
    <t>Manent</t>
  </si>
  <si>
    <t>Coral</t>
  </si>
  <si>
    <t>Quenette</t>
  </si>
  <si>
    <t>Lestapis</t>
  </si>
  <si>
    <t>Decréquy</t>
  </si>
  <si>
    <t>Laurens</t>
  </si>
  <si>
    <t>Archer</t>
  </si>
  <si>
    <t>Baudry</t>
  </si>
  <si>
    <t>Bartolini</t>
  </si>
  <si>
    <t>Villedieu</t>
  </si>
  <si>
    <t>Cabanis</t>
  </si>
  <si>
    <t>Blanchoin</t>
  </si>
  <si>
    <t>Mellenne</t>
  </si>
  <si>
    <t>Bézos</t>
  </si>
  <si>
    <t>d'Aillières</t>
  </si>
  <si>
    <t>Albertini</t>
  </si>
  <si>
    <t>Bardoul</t>
  </si>
  <si>
    <t>Bastide</t>
  </si>
  <si>
    <t>Bernex</t>
  </si>
  <si>
    <t>Bloncourt</t>
  </si>
  <si>
    <t>Claudet</t>
  </si>
  <si>
    <t>Cristofol</t>
  </si>
  <si>
    <t>Devaud</t>
  </si>
  <si>
    <t>Dubosc</t>
  </si>
  <si>
    <t>Elmiger</t>
  </si>
  <si>
    <t>Genty</t>
  </si>
  <si>
    <t>Gérente</t>
  </si>
  <si>
    <t>Harter</t>
  </si>
  <si>
    <t>Hartmann</t>
  </si>
  <si>
    <t>Izard</t>
  </si>
  <si>
    <t>Kérillis</t>
  </si>
  <si>
    <t>Lardier</t>
  </si>
  <si>
    <t>Lucas</t>
  </si>
  <si>
    <t>Masteau</t>
  </si>
  <si>
    <t>Michard-Pellissier</t>
  </si>
  <si>
    <t>Monmousseau</t>
  </si>
  <si>
    <t>Morane</t>
  </si>
  <si>
    <t>Nader</t>
  </si>
  <si>
    <t>Pécherot</t>
  </si>
  <si>
    <t>Pierre-Bloch</t>
  </si>
  <si>
    <t>Fardinière</t>
  </si>
  <si>
    <t>Suzannet</t>
  </si>
  <si>
    <t>Talandier</t>
  </si>
  <si>
    <t>Temple</t>
  </si>
  <si>
    <t>Charmes</t>
  </si>
  <si>
    <t>Girodet</t>
  </si>
  <si>
    <t>Graux</t>
  </si>
  <si>
    <t>Alicot</t>
  </si>
  <si>
    <t>Amagat</t>
  </si>
  <si>
    <t>Arrazat</t>
  </si>
  <si>
    <t>Audiffred</t>
  </si>
  <si>
    <t>Baïhaut</t>
  </si>
  <si>
    <t>Baltet</t>
  </si>
  <si>
    <t>Barodet</t>
  </si>
  <si>
    <t>Bélizal</t>
  </si>
  <si>
    <t>Belle</t>
  </si>
  <si>
    <t>BENAZET Paul,</t>
  </si>
  <si>
    <t>Berlet</t>
  </si>
  <si>
    <t>Bert</t>
  </si>
  <si>
    <t>Bethmont</t>
  </si>
  <si>
    <t>Biliais</t>
  </si>
  <si>
    <t>Bischoffsheim</t>
  </si>
  <si>
    <t>Bizarelli</t>
  </si>
  <si>
    <t>Blancsubé</t>
  </si>
  <si>
    <t>Bourdon</t>
  </si>
  <si>
    <t>d'Anglas</t>
  </si>
  <si>
    <t>Bontoux</t>
  </si>
  <si>
    <t>Borriglione</t>
  </si>
  <si>
    <t>Boscher-Delangle</t>
  </si>
  <si>
    <t>Boucau</t>
  </si>
  <si>
    <t>Bouchet</t>
  </si>
  <si>
    <t>Boudeville</t>
  </si>
  <si>
    <t>Bourgeois</t>
  </si>
  <si>
    <t>Rochefort</t>
  </si>
  <si>
    <t>Boysset</t>
  </si>
  <si>
    <t>Brelay</t>
  </si>
  <si>
    <t>Brugère</t>
  </si>
  <si>
    <t>Brugnot</t>
  </si>
  <si>
    <t>Caduc</t>
  </si>
  <si>
    <t>Casimir-Perier</t>
  </si>
  <si>
    <t>Cassou</t>
  </si>
  <si>
    <t>Cavalié</t>
  </si>
  <si>
    <t>Caze</t>
  </si>
  <si>
    <t>Chantemille</t>
  </si>
  <si>
    <t>Chevandier</t>
  </si>
  <si>
    <t>Chiris</t>
  </si>
  <si>
    <t>Choiseul-Praslin</t>
  </si>
  <si>
    <t>Christophle</t>
  </si>
  <si>
    <t>Clemenceau</t>
  </si>
  <si>
    <t>Codet</t>
  </si>
  <si>
    <t>Colbert-Laplace</t>
  </si>
  <si>
    <t>Corneau</t>
  </si>
  <si>
    <t>Cornil</t>
  </si>
  <si>
    <t>Danelle-Bernardin</t>
  </si>
  <si>
    <t>Datas</t>
  </si>
  <si>
    <t>Daumas</t>
  </si>
  <si>
    <t>Dautresme</t>
  </si>
  <si>
    <t>Deluns-Montaud</t>
  </si>
  <si>
    <t>Demarçay</t>
  </si>
  <si>
    <t>Deniau</t>
  </si>
  <si>
    <t>Descamps</t>
  </si>
  <si>
    <t>Dethou</t>
  </si>
  <si>
    <t>Develle</t>
  </si>
  <si>
    <t>Douville-Maillefeu</t>
  </si>
  <si>
    <t>Drumel</t>
  </si>
  <si>
    <t>Bodan</t>
  </si>
  <si>
    <t>Dubost</t>
  </si>
  <si>
    <t>Duchasseint</t>
  </si>
  <si>
    <t>Duclaud</t>
  </si>
  <si>
    <t>Ducroz</t>
  </si>
  <si>
    <t>Offroy-Durieu</t>
  </si>
  <si>
    <t>Duvivier</t>
  </si>
  <si>
    <t>Escande</t>
  </si>
  <si>
    <t>Escanyé</t>
  </si>
  <si>
    <t>Eschassériaux</t>
  </si>
  <si>
    <t>d'Espeuilles</t>
  </si>
  <si>
    <t>Fanien</t>
  </si>
  <si>
    <t>Farcy</t>
  </si>
  <si>
    <t>Fauré</t>
  </si>
  <si>
    <t>Ferrary</t>
  </si>
  <si>
    <t>Floquet</t>
  </si>
  <si>
    <t>Folliet</t>
  </si>
  <si>
    <t>Franconie</t>
  </si>
  <si>
    <t>Frébault</t>
  </si>
  <si>
    <t>Freppel</t>
  </si>
  <si>
    <t>FROGIER de PONLEVOY</t>
  </si>
  <si>
    <t>Gagneur</t>
  </si>
  <si>
    <t>Gambetta</t>
  </si>
  <si>
    <t>Gassier</t>
  </si>
  <si>
    <t>Germain</t>
  </si>
  <si>
    <t>Gévelot</t>
  </si>
  <si>
    <t>Goblet</t>
  </si>
  <si>
    <t>Greppo</t>
  </si>
  <si>
    <t>Grollier</t>
  </si>
  <si>
    <t>Guéguen</t>
  </si>
  <si>
    <t>Guillot</t>
  </si>
  <si>
    <t>Guilloutet</t>
  </si>
  <si>
    <t>Horteur</t>
  </si>
  <si>
    <t>Hovius</t>
  </si>
  <si>
    <t>Joigneaux</t>
  </si>
  <si>
    <t>Jolibois</t>
  </si>
  <si>
    <t>Juigné</t>
  </si>
  <si>
    <t>Jullien</t>
  </si>
  <si>
    <t>Kermenguy</t>
  </si>
  <si>
    <t>de La Porte</t>
  </si>
  <si>
    <t>Bisaccia</t>
  </si>
  <si>
    <t>Rochejaquelein</t>
  </si>
  <si>
    <t>Labat</t>
  </si>
  <si>
    <t>Labussière</t>
  </si>
  <si>
    <t>Lacretelle</t>
  </si>
  <si>
    <t>Ladoucette</t>
  </si>
  <si>
    <t>Lajoannenque</t>
  </si>
  <si>
    <t>Laisant</t>
  </si>
  <si>
    <t>Lasbaysses</t>
  </si>
  <si>
    <t>Montjau</t>
  </si>
  <si>
    <t>Maigne</t>
  </si>
  <si>
    <t>de MAILLÉ DE LA JUMELLIERE</t>
  </si>
  <si>
    <t>Malartre</t>
  </si>
  <si>
    <t>Malézieux</t>
  </si>
  <si>
    <t>Marcou</t>
  </si>
  <si>
    <t>Maret</t>
  </si>
  <si>
    <t>Marmottan</t>
  </si>
  <si>
    <t>Martin-Feuillée</t>
  </si>
  <si>
    <t>Mas</t>
  </si>
  <si>
    <t>Méline</t>
  </si>
  <si>
    <t>Ménard-Dorian</t>
  </si>
  <si>
    <t>Mézières</t>
  </si>
  <si>
    <t>Michou</t>
  </si>
  <si>
    <t>Mir</t>
  </si>
  <si>
    <t>Nadaud</t>
  </si>
  <si>
    <t>Naquet</t>
  </si>
  <si>
    <t>Neveux</t>
  </si>
  <si>
    <t>Noël-Parfait</t>
  </si>
  <si>
    <t>Ollivier</t>
  </si>
  <si>
    <t>Ordinaire</t>
  </si>
  <si>
    <t>d'Ornano</t>
  </si>
  <si>
    <t>Papon</t>
  </si>
  <si>
    <t>Pierre-Alype</t>
  </si>
  <si>
    <t>Rodat</t>
  </si>
  <si>
    <t>Rotours</t>
  </si>
  <si>
    <t>Rouvier</t>
  </si>
  <si>
    <t>Loulay</t>
  </si>
  <si>
    <t>Royer</t>
  </si>
  <si>
    <t>Rubillard</t>
  </si>
  <si>
    <t>Saint-Martin</t>
  </si>
  <si>
    <t>Saint-Martin-Valogne</t>
  </si>
  <si>
    <t>Saint-Romme</t>
  </si>
  <si>
    <t>Salis</t>
  </si>
  <si>
    <t>Sarrien</t>
  </si>
  <si>
    <t>Sentenac</t>
  </si>
  <si>
    <t>Serph</t>
  </si>
  <si>
    <t>Pradon</t>
  </si>
  <si>
    <t>Prax-Paris</t>
  </si>
  <si>
    <t>Raynal</t>
  </si>
  <si>
    <t>Récipon</t>
  </si>
  <si>
    <t>Renault-Morlière</t>
  </si>
  <si>
    <t>Révillon</t>
  </si>
  <si>
    <t>Ribot</t>
  </si>
  <si>
    <t>Riotteau</t>
  </si>
  <si>
    <t>Simonnet</t>
  </si>
  <si>
    <t>Soland</t>
  </si>
  <si>
    <t>Soubeyran</t>
  </si>
  <si>
    <t>Sourigues</t>
  </si>
  <si>
    <t>Soye</t>
  </si>
  <si>
    <t>Spuller</t>
  </si>
  <si>
    <t>Tassin</t>
  </si>
  <si>
    <t>Terves</t>
  </si>
  <si>
    <t>Tézenas</t>
  </si>
  <si>
    <t>Theulier</t>
  </si>
  <si>
    <t>Thirion-Montauban</t>
  </si>
  <si>
    <t>Tondu</t>
  </si>
  <si>
    <t>Treille</t>
  </si>
  <si>
    <t>Turigny</t>
  </si>
  <si>
    <t>Turquet</t>
  </si>
  <si>
    <t>Vacher</t>
  </si>
  <si>
    <t>Wilson</t>
  </si>
  <si>
    <t>Viette</t>
  </si>
  <si>
    <t>Vernhes</t>
  </si>
  <si>
    <t>Viox</t>
  </si>
  <si>
    <t>Vignancour</t>
  </si>
  <si>
    <t>Waddington</t>
  </si>
  <si>
    <t>Villain</t>
  </si>
  <si>
    <t>Vielfaure</t>
  </si>
  <si>
    <t>Waldeck-Rousseau</t>
  </si>
  <si>
    <t>Laurençon</t>
  </si>
  <si>
    <t>Lechevallier</t>
  </si>
  <si>
    <t>Lebaudy</t>
  </si>
  <si>
    <t>Leconte</t>
  </si>
  <si>
    <t>Lesguillier</t>
  </si>
  <si>
    <t>Letellier</t>
  </si>
  <si>
    <t>Lévêque</t>
  </si>
  <si>
    <t>Levet</t>
  </si>
  <si>
    <t>Lockroy</t>
  </si>
  <si>
    <t>Allain-Targé</t>
  </si>
  <si>
    <t>Ballue</t>
  </si>
  <si>
    <t>Blandin</t>
  </si>
  <si>
    <t>Bresson</t>
  </si>
  <si>
    <t>Brame</t>
  </si>
  <si>
    <t>Cantagrel</t>
  </si>
  <si>
    <t>Casse</t>
  </si>
  <si>
    <t>Chavanne</t>
  </si>
  <si>
    <t>Devade</t>
  </si>
  <si>
    <t>Duvaux</t>
  </si>
  <si>
    <t>Forge</t>
  </si>
  <si>
    <t>Fousset</t>
  </si>
  <si>
    <t>Gomot</t>
  </si>
  <si>
    <t>de Heredia</t>
  </si>
  <si>
    <t>Hérisson</t>
  </si>
  <si>
    <t>Jametel</t>
  </si>
  <si>
    <t>Levert</t>
  </si>
  <si>
    <t>Lorois</t>
  </si>
  <si>
    <t>Marquiset</t>
  </si>
  <si>
    <t>Claye</t>
  </si>
  <si>
    <t>Paillard-Ducléré</t>
  </si>
  <si>
    <t>Philippe</t>
  </si>
  <si>
    <t>Raspail</t>
  </si>
  <si>
    <t>Remoiville</t>
  </si>
  <si>
    <t>Reymond</t>
  </si>
  <si>
    <t>Rochette</t>
  </si>
  <si>
    <t>Filhol</t>
  </si>
  <si>
    <t>Achard</t>
  </si>
  <si>
    <t>Sonnier</t>
  </si>
  <si>
    <t>Thiessé</t>
  </si>
  <si>
    <t>Turmelière</t>
  </si>
  <si>
    <t>Trouard-Riolle</t>
  </si>
  <si>
    <t>Valon</t>
  </si>
  <si>
    <t>Versigny</t>
  </si>
  <si>
    <t>Villeneuve</t>
  </si>
  <si>
    <t>Chevreau</t>
  </si>
  <si>
    <t>Noirot</t>
  </si>
  <si>
    <t>Cazeaux</t>
  </si>
  <si>
    <t>Roselli-Mollet</t>
  </si>
  <si>
    <t>Vinatier</t>
  </si>
  <si>
    <t>Soustre</t>
  </si>
  <si>
    <t>Pradal</t>
  </si>
  <si>
    <t>Massip</t>
  </si>
  <si>
    <t>Devic</t>
  </si>
  <si>
    <t>Mallevialle</t>
  </si>
  <si>
    <t>Cayrade</t>
  </si>
  <si>
    <t>Esnault</t>
  </si>
  <si>
    <t>Marrot</t>
  </si>
  <si>
    <t>Mestreau</t>
  </si>
  <si>
    <t>Barbedette</t>
  </si>
  <si>
    <t>Bisseuil</t>
  </si>
  <si>
    <t>Girault</t>
  </si>
  <si>
    <t>Mingasson</t>
  </si>
  <si>
    <t>Latrade</t>
  </si>
  <si>
    <t>Pénières</t>
  </si>
  <si>
    <t>Cherbonnier</t>
  </si>
  <si>
    <t>Hugot</t>
  </si>
  <si>
    <t>Dagorne</t>
  </si>
  <si>
    <t>Feltre</t>
  </si>
  <si>
    <t>Largentaye</t>
  </si>
  <si>
    <t>Fourot</t>
  </si>
  <si>
    <t>Parry</t>
  </si>
  <si>
    <t>Garrigat</t>
  </si>
  <si>
    <t>Dusolier</t>
  </si>
  <si>
    <t>Roger</t>
  </si>
  <si>
    <t>Gaudy</t>
  </si>
  <si>
    <t>Loubet</t>
  </si>
  <si>
    <t>Lepouzé</t>
  </si>
  <si>
    <t>Motte</t>
  </si>
  <si>
    <t>d'OSMOY</t>
  </si>
  <si>
    <t>Dreux-Linget</t>
  </si>
  <si>
    <t>Gatineau</t>
  </si>
  <si>
    <t>Truelle</t>
  </si>
  <si>
    <t>Caurant</t>
  </si>
  <si>
    <t>Rousseau</t>
  </si>
  <si>
    <t>Arnoult</t>
  </si>
  <si>
    <t>Pellet</t>
  </si>
  <si>
    <t>Latour</t>
  </si>
  <si>
    <t>Montané</t>
  </si>
  <si>
    <t>Roudier</t>
  </si>
  <si>
    <t>FRAIN de LA VILLEGONTIER</t>
  </si>
  <si>
    <t>Joubert</t>
  </si>
  <si>
    <t>Faverges</t>
  </si>
  <si>
    <t>Couturier</t>
  </si>
  <si>
    <t>Lelièvre</t>
  </si>
  <si>
    <t>Brossard</t>
  </si>
  <si>
    <t>Bertholon</t>
  </si>
  <si>
    <t>Jouve</t>
  </si>
  <si>
    <t>Gaudin</t>
  </si>
  <si>
    <t>Brierre</t>
  </si>
  <si>
    <t>Teilhard</t>
  </si>
  <si>
    <t>Sarrette</t>
  </si>
  <si>
    <t>Pelisse</t>
  </si>
  <si>
    <t>Bourrillon</t>
  </si>
  <si>
    <t>Maillé</t>
  </si>
  <si>
    <t>Benoist</t>
  </si>
  <si>
    <t>Civrac</t>
  </si>
  <si>
    <t>Bury</t>
  </si>
  <si>
    <t>Vieille</t>
  </si>
  <si>
    <t>Savary</t>
  </si>
  <si>
    <t>Mangon</t>
  </si>
  <si>
    <t>Souchu-Servinière</t>
  </si>
  <si>
    <t>Lecomte</t>
  </si>
  <si>
    <t>Bruneau</t>
  </si>
  <si>
    <t>Petitbien</t>
  </si>
  <si>
    <t>Guillemin</t>
  </si>
  <si>
    <t>DESHAYES de MARCERE</t>
  </si>
  <si>
    <t>Cirier</t>
  </si>
  <si>
    <t>Giroud</t>
  </si>
  <si>
    <t>Desmoutiers</t>
  </si>
  <si>
    <t>Trystram</t>
  </si>
  <si>
    <t>Outters</t>
  </si>
  <si>
    <t>Masure</t>
  </si>
  <si>
    <t>Screpel</t>
  </si>
  <si>
    <t>Debuchy</t>
  </si>
  <si>
    <t>Chauveau</t>
  </si>
  <si>
    <t>Bouilliez-Bridou</t>
  </si>
  <si>
    <t>Florent-Lefebvre</t>
  </si>
  <si>
    <t>Devaux</t>
  </si>
  <si>
    <t>Déprez</t>
  </si>
  <si>
    <t>Fiesnet</t>
  </si>
  <si>
    <t>Hamille</t>
  </si>
  <si>
    <t>Costes</t>
  </si>
  <si>
    <t>Tisserand</t>
  </si>
  <si>
    <t>Tallon</t>
  </si>
  <si>
    <t>Girot-Pouzol</t>
  </si>
  <si>
    <t>Plantié</t>
  </si>
  <si>
    <t>Lacaze</t>
  </si>
  <si>
    <t>Ténot</t>
  </si>
  <si>
    <t>Escarguel</t>
  </si>
  <si>
    <t>Forné</t>
  </si>
  <si>
    <t>Fréry</t>
  </si>
  <si>
    <t>Varambon</t>
  </si>
  <si>
    <t>Perras</t>
  </si>
  <si>
    <t>Guyot</t>
  </si>
  <si>
    <t>Gilliot</t>
  </si>
  <si>
    <t>Reyneau</t>
  </si>
  <si>
    <t>Daron</t>
  </si>
  <si>
    <t>Logerotte</t>
  </si>
  <si>
    <t>Margue</t>
  </si>
  <si>
    <t>Perrochel</t>
  </si>
  <si>
    <t>Monnier</t>
  </si>
  <si>
    <t>Chevallay</t>
  </si>
  <si>
    <t>Bel</t>
  </si>
  <si>
    <t>Mayet</t>
  </si>
  <si>
    <t>Tirard</t>
  </si>
  <si>
    <t>Lanel</t>
  </si>
  <si>
    <t>Peulevey</t>
  </si>
  <si>
    <t>Saint-Aignan</t>
  </si>
  <si>
    <t>Plessier</t>
  </si>
  <si>
    <t>Sallard</t>
  </si>
  <si>
    <t>Vermond</t>
  </si>
  <si>
    <t>Maze</t>
  </si>
  <si>
    <t>Dreyfus</t>
  </si>
  <si>
    <t>Langlois</t>
  </si>
  <si>
    <t>Journault</t>
  </si>
  <si>
    <t>Rameau</t>
  </si>
  <si>
    <t>Labitte</t>
  </si>
  <si>
    <t>Dieu</t>
  </si>
  <si>
    <t>Bernot</t>
  </si>
  <si>
    <t>Lavergne</t>
  </si>
  <si>
    <t>Pagès</t>
  </si>
  <si>
    <t>Dréo</t>
  </si>
  <si>
    <t>Poujade</t>
  </si>
  <si>
    <t>Gent</t>
  </si>
  <si>
    <t>Bienvenu</t>
  </si>
  <si>
    <t>Bassetière</t>
  </si>
  <si>
    <t>Hérault</t>
  </si>
  <si>
    <t>Salomon</t>
  </si>
  <si>
    <t>Labuze</t>
  </si>
  <si>
    <t>Donnet</t>
  </si>
  <si>
    <t>Pénicaud</t>
  </si>
  <si>
    <t>Mathé</t>
  </si>
  <si>
    <t>Lepère</t>
  </si>
  <si>
    <t>Mauguin</t>
  </si>
  <si>
    <t>Jacques</t>
  </si>
  <si>
    <t>Bartoli</t>
  </si>
  <si>
    <t>Rathier</t>
  </si>
  <si>
    <t>Buvignier</t>
  </si>
  <si>
    <t>Daynaud</t>
  </si>
  <si>
    <t>Desmons</t>
  </si>
  <si>
    <t>Duportal</t>
  </si>
  <si>
    <t>Vaulcomte</t>
  </si>
  <si>
    <t>Dutailly</t>
  </si>
  <si>
    <t>Gasconi</t>
  </si>
  <si>
    <t>Gerville-Réache</t>
  </si>
  <si>
    <t>Kergorlay</t>
  </si>
  <si>
    <t>Lacôte</t>
  </si>
  <si>
    <t>Lalande</t>
  </si>
  <si>
    <t>Laroze</t>
  </si>
  <si>
    <t>de Mahy</t>
  </si>
  <si>
    <t>Saint-Prix</t>
  </si>
  <si>
    <t>Regnault</t>
  </si>
  <si>
    <t>Tiersot</t>
  </si>
  <si>
    <t>Vaschalde</t>
  </si>
  <si>
    <t>BIZOT de FONTENY</t>
  </si>
  <si>
    <t>Delattre</t>
  </si>
  <si>
    <t>Ganne</t>
  </si>
  <si>
    <t>d'Auray</t>
  </si>
  <si>
    <t>Bacquias</t>
  </si>
  <si>
    <t>Chéneau</t>
  </si>
  <si>
    <t>Boulard</t>
  </si>
  <si>
    <t>Bellot</t>
  </si>
  <si>
    <t>Vachal</t>
  </si>
  <si>
    <t>Peraldi</t>
  </si>
  <si>
    <t>Camescasse</t>
  </si>
  <si>
    <t>Silhol</t>
  </si>
  <si>
    <t>Dréolle</t>
  </si>
  <si>
    <t>Fourcand-Léon</t>
  </si>
  <si>
    <t>Devès</t>
  </si>
  <si>
    <t>Perigois</t>
  </si>
  <si>
    <t>Lombard</t>
  </si>
  <si>
    <t>Bavoux</t>
  </si>
  <si>
    <t>Belon</t>
  </si>
  <si>
    <t>Courmeaux</t>
  </si>
  <si>
    <t>Bourgoing</t>
  </si>
  <si>
    <t>Levavasseur</t>
  </si>
  <si>
    <t>Bonnet-Duverdier</t>
  </si>
  <si>
    <t>Ranc</t>
  </si>
  <si>
    <t>Dethomas</t>
  </si>
  <si>
    <t>Féau</t>
  </si>
  <si>
    <t>Hurard</t>
  </si>
  <si>
    <t>Sarlat</t>
  </si>
  <si>
    <t>Pesson</t>
  </si>
  <si>
    <t>Arène</t>
  </si>
  <si>
    <t>Granet</t>
  </si>
  <si>
    <t>Leydet</t>
  </si>
  <si>
    <t>Janzé</t>
  </si>
  <si>
    <t>Riban</t>
  </si>
  <si>
    <t>Pouliot</t>
  </si>
  <si>
    <t>Lenient</t>
  </si>
  <si>
    <t>Chaumettes</t>
  </si>
  <si>
    <t>Cavaignac</t>
  </si>
  <si>
    <t>Gaillard</t>
  </si>
  <si>
    <t>Leporché</t>
  </si>
  <si>
    <t>Renault</t>
  </si>
  <si>
    <t>Rey</t>
  </si>
  <si>
    <t>Garet</t>
  </si>
  <si>
    <t>Haentjens</t>
  </si>
  <si>
    <t>Cadet</t>
  </si>
  <si>
    <t>Carette</t>
  </si>
  <si>
    <t>Dessoliers</t>
  </si>
  <si>
    <t>Deproge</t>
  </si>
  <si>
    <t>Million</t>
  </si>
  <si>
    <t>Prey</t>
  </si>
  <si>
    <t>Toulet</t>
  </si>
  <si>
    <t>Vernière</t>
  </si>
  <si>
    <t>Boussuges</t>
  </si>
  <si>
    <t>Bully</t>
  </si>
  <si>
    <t>Préveraud</t>
  </si>
  <si>
    <t>Mazeron</t>
  </si>
  <si>
    <t>Gambon</t>
  </si>
  <si>
    <t>Roquet</t>
  </si>
  <si>
    <t>Poulet</t>
  </si>
  <si>
    <t>Sandrique</t>
  </si>
  <si>
    <t>Deroyer</t>
  </si>
  <si>
    <t>Giard</t>
  </si>
  <si>
    <t>Brialou</t>
  </si>
  <si>
    <t>Bourneville</t>
  </si>
  <si>
    <t>Rivet</t>
  </si>
  <si>
    <t>Calla</t>
  </si>
  <si>
    <t>Lacroix</t>
  </si>
  <si>
    <t>Rozières</t>
  </si>
  <si>
    <t>Pochon</t>
  </si>
  <si>
    <t>Carret</t>
  </si>
  <si>
    <t>Briens</t>
  </si>
  <si>
    <t>Monteilhet</t>
  </si>
  <si>
    <t>Fougeirol</t>
  </si>
  <si>
    <t>Papinaud</t>
  </si>
  <si>
    <t>Noblot</t>
  </si>
  <si>
    <t>Loranchet</t>
  </si>
  <si>
    <t>Galtier</t>
  </si>
  <si>
    <t>Giguet</t>
  </si>
  <si>
    <t>Arnous</t>
  </si>
  <si>
    <t>Grout</t>
  </si>
  <si>
    <t>Labrousse</t>
  </si>
  <si>
    <t>Abrial</t>
  </si>
  <si>
    <t>Denayrouze</t>
  </si>
  <si>
    <t>de LA BOURDONNAYE</t>
  </si>
  <si>
    <t>Bruel</t>
  </si>
  <si>
    <t>Raoul-Duval</t>
  </si>
  <si>
    <t>Guillemaut</t>
  </si>
  <si>
    <t>MARTIN Félix dit</t>
  </si>
  <si>
    <t>Jonglez</t>
  </si>
  <si>
    <t>Pradines</t>
  </si>
  <si>
    <t>Garnier</t>
  </si>
  <si>
    <t>Legludic</t>
  </si>
  <si>
    <t>Amouroux</t>
  </si>
  <si>
    <t>Adam-Fontaine</t>
  </si>
  <si>
    <t>Arnault</t>
  </si>
  <si>
    <t>Aujame</t>
  </si>
  <si>
    <t>Barascud</t>
  </si>
  <si>
    <t>Baucarne-Leroux</t>
  </si>
  <si>
    <t>Benoit</t>
  </si>
  <si>
    <t>Bernis</t>
  </si>
  <si>
    <t>Bigot</t>
  </si>
  <si>
    <t>Blachère</t>
  </si>
  <si>
    <t>Bonneval</t>
  </si>
  <si>
    <t>Boreau-Lajanadie</t>
  </si>
  <si>
    <t>Bottieau</t>
  </si>
  <si>
    <t>Boucher</t>
  </si>
  <si>
    <t>Bourgeois-Du-Jura</t>
  </si>
  <si>
    <t>Bourlier</t>
  </si>
  <si>
    <t>Breteuil</t>
  </si>
  <si>
    <t>Calvet-Rogniat</t>
  </si>
  <si>
    <t>Borda</t>
  </si>
  <si>
    <t>Champvallier</t>
  </si>
  <si>
    <t>Chevillotte</t>
  </si>
  <si>
    <t>Landos</t>
  </si>
  <si>
    <t>Cordier</t>
  </si>
  <si>
    <t>Cornulier</t>
  </si>
  <si>
    <t>Deandréis</t>
  </si>
  <si>
    <t>Dejardin-Verkinder</t>
  </si>
  <si>
    <t>Descaure</t>
  </si>
  <si>
    <t>Desloges</t>
  </si>
  <si>
    <t>de DOMPIERRE D'HORNOY</t>
  </si>
  <si>
    <t>Ducher</t>
  </si>
  <si>
    <t>Ducoudray</t>
  </si>
  <si>
    <t>Durand-Savoyat</t>
  </si>
  <si>
    <t>Fairé</t>
  </si>
  <si>
    <t>Favernay</t>
  </si>
  <si>
    <t>Féraud</t>
  </si>
  <si>
    <t>Ferrière</t>
  </si>
  <si>
    <t>Fonbelle-Labrousse</t>
  </si>
  <si>
    <t>Frescheville</t>
  </si>
  <si>
    <t>Ganivet</t>
  </si>
  <si>
    <t>Garnier-Bodéléac</t>
  </si>
  <si>
    <t>Gastellier</t>
  </si>
  <si>
    <t>Gieuré</t>
  </si>
  <si>
    <t>Hillion</t>
  </si>
  <si>
    <t>Hubbard</t>
  </si>
  <si>
    <t>Humbert</t>
  </si>
  <si>
    <t>Kergariou</t>
  </si>
  <si>
    <t>Kersauson-Vieux-Chatel</t>
  </si>
  <si>
    <t>Martinière</t>
  </si>
  <si>
    <t>de LAMARZELLE</t>
  </si>
  <si>
    <t>Sainte-Croix</t>
  </si>
  <si>
    <t>Lamothe-Pradelle</t>
  </si>
  <si>
    <t>Larère</t>
  </si>
  <si>
    <t>Lascombes</t>
  </si>
  <si>
    <t>Mesnildot</t>
  </si>
  <si>
    <t>Millochau</t>
  </si>
  <si>
    <t>Montaut</t>
  </si>
  <si>
    <t>Montéty</t>
  </si>
  <si>
    <t>Montgolfier</t>
  </si>
  <si>
    <t>Morin-Latour</t>
  </si>
  <si>
    <t>Paulmier</t>
  </si>
  <si>
    <t>Peyrusse</t>
  </si>
  <si>
    <t>Philipon</t>
  </si>
  <si>
    <t>Plazanet</t>
  </si>
  <si>
    <t>Rondeleux</t>
  </si>
  <si>
    <t>Roussin</t>
  </si>
  <si>
    <t>Sabouraud</t>
  </si>
  <si>
    <t>Saint-Luc</t>
  </si>
  <si>
    <t>Saisy</t>
  </si>
  <si>
    <t>Reybert</t>
  </si>
  <si>
    <t>Ricard</t>
  </si>
  <si>
    <t>Sevaistre</t>
  </si>
  <si>
    <t>Poncheville</t>
  </si>
  <si>
    <t>Witt</t>
  </si>
  <si>
    <t>Viellard-Migeon</t>
  </si>
  <si>
    <t>Vilar</t>
  </si>
  <si>
    <t>Vernet</t>
  </si>
  <si>
    <t>Gavrian</t>
  </si>
  <si>
    <t>Legge</t>
  </si>
  <si>
    <t>Lejeune</t>
  </si>
  <si>
    <t>d'Ariste</t>
  </si>
  <si>
    <t>Barouille</t>
  </si>
  <si>
    <t>Bouvattier</t>
  </si>
  <si>
    <t>Rainvillers</t>
  </si>
  <si>
    <t>Brunel</t>
  </si>
  <si>
    <t>Caradec</t>
  </si>
  <si>
    <t>Chevalier</t>
  </si>
  <si>
    <t>Clercq</t>
  </si>
  <si>
    <t>Creuzé</t>
  </si>
  <si>
    <t>Deberly</t>
  </si>
  <si>
    <t>Delelis</t>
  </si>
  <si>
    <t>Dellisse</t>
  </si>
  <si>
    <t>Dussaussoy-Hubert</t>
  </si>
  <si>
    <t>GAUDIN de VILLAINE</t>
  </si>
  <si>
    <t>Riboulerie</t>
  </si>
  <si>
    <t>Gueydon</t>
  </si>
  <si>
    <t>Harispe</t>
  </si>
  <si>
    <t>Héral</t>
  </si>
  <si>
    <t>Hermary</t>
  </si>
  <si>
    <t>Morey</t>
  </si>
  <si>
    <t>Laborde-Noguez</t>
  </si>
  <si>
    <t>Leblanc</t>
  </si>
  <si>
    <t>Lecointre</t>
  </si>
  <si>
    <t>Lefèvre-Pontalis</t>
  </si>
  <si>
    <t>Lecelles</t>
  </si>
  <si>
    <t>Poutre</t>
  </si>
  <si>
    <t>Souef</t>
  </si>
  <si>
    <t>Lhomel</t>
  </si>
  <si>
    <t>Liais</t>
  </si>
  <si>
    <t>Lyonnais</t>
  </si>
  <si>
    <t>Luppé</t>
  </si>
  <si>
    <t>Martimprey</t>
  </si>
  <si>
    <t>Maurice</t>
  </si>
  <si>
    <t>Merlet</t>
  </si>
  <si>
    <t>Monteils</t>
  </si>
  <si>
    <t>Mortillet</t>
  </si>
  <si>
    <t>Poix</t>
  </si>
  <si>
    <t>Munier</t>
  </si>
  <si>
    <t>Pressy</t>
  </si>
  <si>
    <t>DU CAMPE de ROSAMEL</t>
  </si>
  <si>
    <t>Sens</t>
  </si>
  <si>
    <t>Soucaze</t>
  </si>
  <si>
    <t>Trubert</t>
  </si>
  <si>
    <t>Vaujuas-Langan</t>
  </si>
  <si>
    <t>Abbatucci</t>
  </si>
  <si>
    <t>Abeille</t>
  </si>
  <si>
    <t>Barbe</t>
  </si>
  <si>
    <t>Béranger</t>
  </si>
  <si>
    <t>Bonnerot</t>
  </si>
  <si>
    <t>Borie</t>
  </si>
  <si>
    <t>Boullay</t>
  </si>
  <si>
    <t>Brugeilles</t>
  </si>
  <si>
    <t>Burdeau</t>
  </si>
  <si>
    <t>Calès</t>
  </si>
  <si>
    <t>Cousset</t>
  </si>
  <si>
    <t>Crémieux</t>
  </si>
  <si>
    <t>Dellestable</t>
  </si>
  <si>
    <t>Duchatel</t>
  </si>
  <si>
    <t>Fauconnerie</t>
  </si>
  <si>
    <t>d'Estourmel</t>
  </si>
  <si>
    <t>Fagot</t>
  </si>
  <si>
    <t>Gilbert</t>
  </si>
  <si>
    <t>Gilly</t>
  </si>
  <si>
    <t>Gobron</t>
  </si>
  <si>
    <t>Guillaumou</t>
  </si>
  <si>
    <t>Guyot-Dessaigne</t>
  </si>
  <si>
    <t>Houdaille</t>
  </si>
  <si>
    <t>Jacquemart</t>
  </si>
  <si>
    <t>Jamais</t>
  </si>
  <si>
    <t>Laur</t>
  </si>
  <si>
    <t>Magnien</t>
  </si>
  <si>
    <t>Mellot</t>
  </si>
  <si>
    <t>Mérillon</t>
  </si>
  <si>
    <t>Michelin</t>
  </si>
  <si>
    <t>Monis</t>
  </si>
  <si>
    <t>Montera</t>
  </si>
  <si>
    <t>Multedo</t>
  </si>
  <si>
    <t>Pajot</t>
  </si>
  <si>
    <t>Pally</t>
  </si>
  <si>
    <t>Périllier</t>
  </si>
  <si>
    <t>Pernollet</t>
  </si>
  <si>
    <t>Pichon</t>
  </si>
  <si>
    <t>Roure</t>
  </si>
  <si>
    <t>Sans-Leroy</t>
  </si>
  <si>
    <t>Pons-Tande</t>
  </si>
  <si>
    <t>Poupin</t>
  </si>
  <si>
    <t>Proal</t>
  </si>
  <si>
    <t>Suquet</t>
  </si>
  <si>
    <t>Théron</t>
  </si>
  <si>
    <t>Thévenet</t>
  </si>
  <si>
    <t>Thiers</t>
  </si>
  <si>
    <t>Turrel</t>
  </si>
  <si>
    <t>Viger</t>
  </si>
  <si>
    <t>Wickerscheimer</t>
  </si>
  <si>
    <t>de VAST-VIMEUX</t>
  </si>
  <si>
    <t>Lesage</t>
  </si>
  <si>
    <t>Lévis-Mirepoix</t>
  </si>
  <si>
    <t>Barré</t>
  </si>
  <si>
    <t>Batie</t>
  </si>
  <si>
    <t>Binachon</t>
  </si>
  <si>
    <t>Blatin</t>
  </si>
  <si>
    <t>Bourganel</t>
  </si>
  <si>
    <t>Camélinat</t>
  </si>
  <si>
    <t>Chantagrel</t>
  </si>
  <si>
    <t>Chatenay</t>
  </si>
  <si>
    <t>Colfavru</t>
  </si>
  <si>
    <t>Crozet-Fourneyron</t>
  </si>
  <si>
    <t>Thomas-Derevoge</t>
  </si>
  <si>
    <t>Destandau</t>
  </si>
  <si>
    <t>Duché</t>
  </si>
  <si>
    <t>Duchesne</t>
  </si>
  <si>
    <t>Gillet</t>
  </si>
  <si>
    <t>Hude</t>
  </si>
  <si>
    <t>Imbert</t>
  </si>
  <si>
    <t>Jouvencel</t>
  </si>
  <si>
    <t>Keller</t>
  </si>
  <si>
    <t>Daniel-Lamazière</t>
  </si>
  <si>
    <t>Lamberterie</t>
  </si>
  <si>
    <t>Guay</t>
  </si>
  <si>
    <t>Levrey</t>
  </si>
  <si>
    <t>Marmonier</t>
  </si>
  <si>
    <t>Mennesson</t>
  </si>
  <si>
    <t>Mondenard</t>
  </si>
  <si>
    <t>Planteau</t>
  </si>
  <si>
    <t>Pressat</t>
  </si>
  <si>
    <t>Prudhon</t>
  </si>
  <si>
    <t>Ranson</t>
  </si>
  <si>
    <t>Reuillet</t>
  </si>
  <si>
    <t>Rochefort-Luçay</t>
  </si>
  <si>
    <t>Rochet</t>
  </si>
  <si>
    <t>Rumillet-Charretier</t>
  </si>
  <si>
    <t>Saint-Férreol</t>
  </si>
  <si>
    <t>Steenakers</t>
  </si>
  <si>
    <t>Turenne</t>
  </si>
  <si>
    <t>Vergoin</t>
  </si>
  <si>
    <t>Barrière</t>
  </si>
  <si>
    <t>Gaussorgues</t>
  </si>
  <si>
    <t>Labordère</t>
  </si>
  <si>
    <t>Astima</t>
  </si>
  <si>
    <t>Clauzel</t>
  </si>
  <si>
    <t>Deguilhem</t>
  </si>
  <si>
    <t>Jourdan</t>
  </si>
  <si>
    <t>Jumel</t>
  </si>
  <si>
    <t>Susini</t>
  </si>
  <si>
    <t>Hanotaux</t>
  </si>
  <si>
    <t>Gaulier</t>
  </si>
  <si>
    <t>Carrière</t>
  </si>
  <si>
    <t>Rigaut</t>
  </si>
  <si>
    <t>Laffon</t>
  </si>
  <si>
    <t>Milliard</t>
  </si>
  <si>
    <t>Calvinhac</t>
  </si>
  <si>
    <t>Dorian</t>
  </si>
  <si>
    <t>Mesureur</t>
  </si>
  <si>
    <t>Valentin</t>
  </si>
  <si>
    <t>Vitry</t>
  </si>
  <si>
    <t>Lareinty</t>
  </si>
  <si>
    <t>Poincaré</t>
  </si>
  <si>
    <t>Hervieu</t>
  </si>
  <si>
    <t>Flourens</t>
  </si>
  <si>
    <t>Berge</t>
  </si>
  <si>
    <t>Augère</t>
  </si>
  <si>
    <t>Cernesson</t>
  </si>
  <si>
    <t>Pyat</t>
  </si>
  <si>
    <t>Doumer</t>
  </si>
  <si>
    <t>Ferroul</t>
  </si>
  <si>
    <t>Brunier</t>
  </si>
  <si>
    <t>Ternisien</t>
  </si>
  <si>
    <t>Séguins</t>
  </si>
  <si>
    <t>Chépié</t>
  </si>
  <si>
    <t>Beaussier</t>
  </si>
  <si>
    <t>Taillefer</t>
  </si>
  <si>
    <t>Koechlin-Schwartz</t>
  </si>
  <si>
    <t>Noue</t>
  </si>
  <si>
    <t>Cerf</t>
  </si>
  <si>
    <t>Cluseret</t>
  </si>
  <si>
    <t>Linard</t>
  </si>
  <si>
    <t>Duport</t>
  </si>
  <si>
    <t>Montaudon</t>
  </si>
  <si>
    <t>Bargy</t>
  </si>
  <si>
    <t>d'Arenberg</t>
  </si>
  <si>
    <t>Armand</t>
  </si>
  <si>
    <t>Barbotin</t>
  </si>
  <si>
    <t>Batiot</t>
  </si>
  <si>
    <t>Baulard</t>
  </si>
  <si>
    <t>Bezanson</t>
  </si>
  <si>
    <t>Boisboissel</t>
  </si>
  <si>
    <t>Bony-Cisternes</t>
  </si>
  <si>
    <t>Boudenoot</t>
  </si>
  <si>
    <t>Rouvre</t>
  </si>
  <si>
    <t>Saint-Germain</t>
  </si>
  <si>
    <t>Caffarelli</t>
  </si>
  <si>
    <t>Carquet</t>
  </si>
  <si>
    <t>Clech</t>
  </si>
  <si>
    <t>Clerjounie</t>
  </si>
  <si>
    <t>Darlan</t>
  </si>
  <si>
    <t>Delaunay</t>
  </si>
  <si>
    <t>Denizot</t>
  </si>
  <si>
    <t>Déroulède</t>
  </si>
  <si>
    <t>Dillon</t>
  </si>
  <si>
    <t>Dufaure</t>
  </si>
  <si>
    <t>Dumonteil</t>
  </si>
  <si>
    <t>Dupuytrem</t>
  </si>
  <si>
    <t>Eliez-Evrard</t>
  </si>
  <si>
    <t>d'Elva</t>
  </si>
  <si>
    <t>Etcheverry</t>
  </si>
  <si>
    <t>Euzière</t>
  </si>
  <si>
    <t>Farjon</t>
  </si>
  <si>
    <t>Forcioli</t>
  </si>
  <si>
    <t>Fouquier</t>
  </si>
  <si>
    <t>de FOURTOU</t>
  </si>
  <si>
    <t>Clagny</t>
  </si>
  <si>
    <t>Gerbay</t>
  </si>
  <si>
    <t>Gervais</t>
  </si>
  <si>
    <t>Gillot</t>
  </si>
  <si>
    <t>Godelle</t>
  </si>
  <si>
    <t>Goussot</t>
  </si>
  <si>
    <t>Goyon</t>
  </si>
  <si>
    <t>Greffulhe</t>
  </si>
  <si>
    <t>Grisez</t>
  </si>
  <si>
    <t>Grousset</t>
  </si>
  <si>
    <t>Hainsselin</t>
  </si>
  <si>
    <t>Haulon</t>
  </si>
  <si>
    <t>Haussmann</t>
  </si>
  <si>
    <t>Haynaut</t>
  </si>
  <si>
    <t>Herbet</t>
  </si>
  <si>
    <t>Isoard</t>
  </si>
  <si>
    <t>Jacquemin</t>
  </si>
  <si>
    <t>Jaluzot</t>
  </si>
  <si>
    <t>Jouffray</t>
  </si>
  <si>
    <t>d'Abbans</t>
  </si>
  <si>
    <t>Kerjégu</t>
  </si>
  <si>
    <t>Lachièze</t>
  </si>
  <si>
    <t>Lagnel</t>
  </si>
  <si>
    <t>Lalou</t>
  </si>
  <si>
    <t>Lur-Saluces</t>
  </si>
  <si>
    <t>Mac-Adaras</t>
  </si>
  <si>
    <t>Mandeville</t>
  </si>
  <si>
    <t>Maréchal</t>
  </si>
  <si>
    <t>Martinon</t>
  </si>
  <si>
    <t>Maruéjouls</t>
  </si>
  <si>
    <t>Meilhodon</t>
  </si>
  <si>
    <t>Michau</t>
  </si>
  <si>
    <t>Montalembert</t>
  </si>
  <si>
    <t>Montsaulnin</t>
  </si>
  <si>
    <t>Moreau</t>
  </si>
  <si>
    <t>Morillot</t>
  </si>
  <si>
    <t>Mougin</t>
  </si>
  <si>
    <t>Neyrand</t>
  </si>
  <si>
    <t>Nivert</t>
  </si>
  <si>
    <t>Olry</t>
  </si>
  <si>
    <t>Pasquier</t>
  </si>
  <si>
    <t>Larsan</t>
  </si>
  <si>
    <t>Piérard</t>
  </si>
  <si>
    <t>Robert-Mitchell</t>
  </si>
  <si>
    <t>Say</t>
  </si>
  <si>
    <t>de BREIL de PONTBRIAND</t>
  </si>
  <si>
    <t>Prost</t>
  </si>
  <si>
    <t>Quintaa</t>
  </si>
  <si>
    <t>Revest</t>
  </si>
  <si>
    <t>Sirot</t>
  </si>
  <si>
    <t>Solages</t>
  </si>
  <si>
    <t>Talou</t>
  </si>
  <si>
    <t>Terrier</t>
  </si>
  <si>
    <t>Thorel</t>
  </si>
  <si>
    <t>Trannin</t>
  </si>
  <si>
    <t>Vival</t>
  </si>
  <si>
    <t>Vallé</t>
  </si>
  <si>
    <t>Villemonte-Laclergerie</t>
  </si>
  <si>
    <t>Vilfeu</t>
  </si>
  <si>
    <t>Lavertujon</t>
  </si>
  <si>
    <t>Borgne</t>
  </si>
  <si>
    <t>Ledieu</t>
  </si>
  <si>
    <t>Legras</t>
  </si>
  <si>
    <t>Lemercier</t>
  </si>
  <si>
    <t>Léouzon-Le-Duc</t>
  </si>
  <si>
    <t>Aimelafille</t>
  </si>
  <si>
    <t>Argeliès</t>
  </si>
  <si>
    <t>Arribat</t>
  </si>
  <si>
    <t>Baile</t>
  </si>
  <si>
    <t>Balsan</t>
  </si>
  <si>
    <t>Bartissol</t>
  </si>
  <si>
    <t>Baudin</t>
  </si>
  <si>
    <t>Belleval</t>
  </si>
  <si>
    <t>Bézine</t>
  </si>
  <si>
    <t>Bizot</t>
  </si>
  <si>
    <t>Bizouard-Bert</t>
  </si>
  <si>
    <t>Bonnefoy-Sibourg</t>
  </si>
  <si>
    <t>Boudeau</t>
  </si>
  <si>
    <t>Boulanger-Bernet</t>
  </si>
  <si>
    <t>Braud</t>
  </si>
  <si>
    <t>Brincard</t>
  </si>
  <si>
    <t>Cabart-Danneville</t>
  </si>
  <si>
    <t>Chiché</t>
  </si>
  <si>
    <t>Coussergues</t>
  </si>
  <si>
    <t>Cosmao-Dumenez</t>
  </si>
  <si>
    <t>Coutisson</t>
  </si>
  <si>
    <t>Delpech</t>
  </si>
  <si>
    <t>Després</t>
  </si>
  <si>
    <t>Deville</t>
  </si>
  <si>
    <t>Dumay</t>
  </si>
  <si>
    <t>Dupuy-Dutemps</t>
  </si>
  <si>
    <t>Gabriel</t>
  </si>
  <si>
    <t>Gacon</t>
  </si>
  <si>
    <t>Gasté</t>
  </si>
  <si>
    <t>Gotteron</t>
  </si>
  <si>
    <t>Granger</t>
  </si>
  <si>
    <t>d'Oissel</t>
  </si>
  <si>
    <t>Hiroux</t>
  </si>
  <si>
    <t>Hovelacque</t>
  </si>
  <si>
    <t>Isambert</t>
  </si>
  <si>
    <t>Joffrin</t>
  </si>
  <si>
    <t>Jourde</t>
  </si>
  <si>
    <t>Chambre</t>
  </si>
  <si>
    <t>Lachize</t>
  </si>
  <si>
    <t>Langlet</t>
  </si>
  <si>
    <t>Loreau</t>
  </si>
  <si>
    <t>Lorgeril</t>
  </si>
  <si>
    <t>Macherez</t>
  </si>
  <si>
    <t>Martineau</t>
  </si>
  <si>
    <t>Maujan</t>
  </si>
  <si>
    <t>Merlou</t>
  </si>
  <si>
    <t>de MONTFORT</t>
  </si>
  <si>
    <t>Papelier</t>
  </si>
  <si>
    <t>Paulin-Méry</t>
  </si>
  <si>
    <t>Rousse</t>
  </si>
  <si>
    <t>Charles-Roux</t>
  </si>
  <si>
    <t>Saussay</t>
  </si>
  <si>
    <t>Pontois</t>
  </si>
  <si>
    <t>Possesse</t>
  </si>
  <si>
    <t>Poulié</t>
  </si>
  <si>
    <t>Prénat</t>
  </si>
  <si>
    <t>Rambourgt</t>
  </si>
  <si>
    <t>Réaux</t>
  </si>
  <si>
    <t>Signard</t>
  </si>
  <si>
    <t>Souhet</t>
  </si>
  <si>
    <t>Surchamp</t>
  </si>
  <si>
    <t>Terrail-Mermeix</t>
  </si>
  <si>
    <t>Trouillot</t>
  </si>
  <si>
    <t>Vacherie</t>
  </si>
  <si>
    <t>Ville</t>
  </si>
  <si>
    <t>Vallon</t>
  </si>
  <si>
    <t>Varlet</t>
  </si>
  <si>
    <t>Werquin</t>
  </si>
  <si>
    <t>Senne</t>
  </si>
  <si>
    <t>Veillé</t>
  </si>
  <si>
    <t>Vilers</t>
  </si>
  <si>
    <t>Cambe</t>
  </si>
  <si>
    <t>Frugier-Puyboyer</t>
  </si>
  <si>
    <t>Lagorsse</t>
  </si>
  <si>
    <t>Guieysse</t>
  </si>
  <si>
    <t>Guillemet</t>
  </si>
  <si>
    <t>Leygue</t>
  </si>
  <si>
    <t>Froin</t>
  </si>
  <si>
    <t>Delpeuch</t>
  </si>
  <si>
    <t>Seignobos</t>
  </si>
  <si>
    <t>Isambard</t>
  </si>
  <si>
    <t>Tricoche</t>
  </si>
  <si>
    <t>Lavy</t>
  </si>
  <si>
    <t>Clédou</t>
  </si>
  <si>
    <t>Herbecq</t>
  </si>
  <si>
    <t>Krantz</t>
  </si>
  <si>
    <t>Lebon</t>
  </si>
  <si>
    <t>Rouilly</t>
  </si>
  <si>
    <t>Tiphaine</t>
  </si>
  <si>
    <t>Moroux</t>
  </si>
  <si>
    <t>Trélat</t>
  </si>
  <si>
    <t>Gourvil</t>
  </si>
  <si>
    <t>Orsat</t>
  </si>
  <si>
    <t>Franc</t>
  </si>
  <si>
    <t>Denoix</t>
  </si>
  <si>
    <t>Lafargue</t>
  </si>
  <si>
    <t>Réal</t>
  </si>
  <si>
    <t>Coudreuse</t>
  </si>
  <si>
    <t>Béraud</t>
  </si>
  <si>
    <t>Thonion</t>
  </si>
  <si>
    <t>Touchimbert</t>
  </si>
  <si>
    <t>d'Hulst</t>
  </si>
  <si>
    <t>Jaouen</t>
  </si>
  <si>
    <t>Clapot</t>
  </si>
  <si>
    <t>Rémusat</t>
  </si>
  <si>
    <t>Malausséna</t>
  </si>
  <si>
    <t>Aymé-Martin</t>
  </si>
  <si>
    <t>Guéneau</t>
  </si>
  <si>
    <t>Gallix</t>
  </si>
  <si>
    <t>Bazille</t>
  </si>
  <si>
    <t>Duvigneau</t>
  </si>
  <si>
    <t>Bordet</t>
  </si>
  <si>
    <t>Chantelauze</t>
  </si>
  <si>
    <t>Chaudey</t>
  </si>
  <si>
    <t>Dindeau</t>
  </si>
  <si>
    <t>Denécheau</t>
  </si>
  <si>
    <t>Auricoste</t>
  </si>
  <si>
    <t>Balandreau</t>
  </si>
  <si>
    <t>Bepmale</t>
  </si>
  <si>
    <t>Berdoly</t>
  </si>
  <si>
    <t>Berne-Lagarde</t>
  </si>
  <si>
    <t>Bourgoin</t>
  </si>
  <si>
    <t>Bozérian</t>
  </si>
  <si>
    <t>Broglie</t>
  </si>
  <si>
    <t>Brune</t>
  </si>
  <si>
    <t>Castillard</t>
  </si>
  <si>
    <t>Chandioux</t>
  </si>
  <si>
    <t>Chevallier</t>
  </si>
  <si>
    <t>Coget</t>
  </si>
  <si>
    <t>Cuissart</t>
  </si>
  <si>
    <t>Defumade</t>
  </si>
  <si>
    <t>Dejean</t>
  </si>
  <si>
    <t>Delanne</t>
  </si>
  <si>
    <t>Demalvillain</t>
  </si>
  <si>
    <t>Desgenétais</t>
  </si>
  <si>
    <t>Dupon</t>
  </si>
  <si>
    <t>Fiquet</t>
  </si>
  <si>
    <t>Harriague-Saint-Martin</t>
  </si>
  <si>
    <t>Henrion</t>
  </si>
  <si>
    <t>Labarthe</t>
  </si>
  <si>
    <t>Lannelongue</t>
  </si>
  <si>
    <t>Marcillat</t>
  </si>
  <si>
    <t>Moret</t>
  </si>
  <si>
    <t>Mougeot</t>
  </si>
  <si>
    <t>Néron-Bancel</t>
  </si>
  <si>
    <t>Pams</t>
  </si>
  <si>
    <t>Pédebidou</t>
  </si>
  <si>
    <t>Rouzaud</t>
  </si>
  <si>
    <t>Pontallié</t>
  </si>
  <si>
    <t>Pourteyron</t>
  </si>
  <si>
    <t>Ragot-Blondeau</t>
  </si>
  <si>
    <t>Sirot-Mallez</t>
  </si>
  <si>
    <t>Tardif</t>
  </si>
  <si>
    <t>Thoulouse</t>
  </si>
  <si>
    <t>Trannoy</t>
  </si>
  <si>
    <t>de TREVENEUC</t>
  </si>
  <si>
    <t>Vogeli</t>
  </si>
  <si>
    <t>Weill-Mallez</t>
  </si>
  <si>
    <t>Vogüé</t>
  </si>
  <si>
    <t>Clec'H</t>
  </si>
  <si>
    <t>Moign</t>
  </si>
  <si>
    <t>Leffet</t>
  </si>
  <si>
    <t>Legoux-Longpré</t>
  </si>
  <si>
    <t>Lepez</t>
  </si>
  <si>
    <t>Leteurtre</t>
  </si>
  <si>
    <t>Levecque</t>
  </si>
  <si>
    <t>Avez</t>
  </si>
  <si>
    <t>Bourcy</t>
  </si>
  <si>
    <t>Carpentier-Risbourg</t>
  </si>
  <si>
    <t>Caussanel</t>
  </si>
  <si>
    <t>Chevrey-Rameau</t>
  </si>
  <si>
    <t>Couchard</t>
  </si>
  <si>
    <t>Cros-Bonnel</t>
  </si>
  <si>
    <t>Dauzon</t>
  </si>
  <si>
    <t>Decker-David</t>
  </si>
  <si>
    <t>Delarue</t>
  </si>
  <si>
    <t>Delbet</t>
  </si>
  <si>
    <t>Delombre</t>
  </si>
  <si>
    <t>Descubes-Desgueraines</t>
  </si>
  <si>
    <t>Desfarges</t>
  </si>
  <si>
    <t>Castillo</t>
  </si>
  <si>
    <t>Dussaussoy</t>
  </si>
  <si>
    <t>Dutreix</t>
  </si>
  <si>
    <t>Faberot</t>
  </si>
  <si>
    <t>Firino</t>
  </si>
  <si>
    <t>Fruchier</t>
  </si>
  <si>
    <t>Gasnier</t>
  </si>
  <si>
    <t>Gendre</t>
  </si>
  <si>
    <t>Genet</t>
  </si>
  <si>
    <t>Goujat</t>
  </si>
  <si>
    <t>Gras</t>
  </si>
  <si>
    <t>Guignard</t>
  </si>
  <si>
    <t>Hayez</t>
  </si>
  <si>
    <t>d'Hugues</t>
  </si>
  <si>
    <t>Iung</t>
  </si>
  <si>
    <t>Loyer</t>
  </si>
  <si>
    <t>Casabianca</t>
  </si>
  <si>
    <t>Mirman</t>
  </si>
  <si>
    <t>Odilon-Barrot</t>
  </si>
  <si>
    <t>Oriol</t>
  </si>
  <si>
    <t>Pétrot</t>
  </si>
  <si>
    <t>Rose</t>
  </si>
  <si>
    <t>Samary</t>
  </si>
  <si>
    <t>Sauvanet</t>
  </si>
  <si>
    <t>Prudent-Dervillers</t>
  </si>
  <si>
    <t>Reboulin</t>
  </si>
  <si>
    <t>Riu</t>
  </si>
  <si>
    <t>Sonnery-Martin</t>
  </si>
  <si>
    <t>Toussaint</t>
  </si>
  <si>
    <t>d'Octon</t>
  </si>
  <si>
    <t>Vaux</t>
  </si>
  <si>
    <t>Wignacourt</t>
  </si>
  <si>
    <t>Vichot</t>
  </si>
  <si>
    <t>Vuillod</t>
  </si>
  <si>
    <t>Coupanec</t>
  </si>
  <si>
    <t>Lefoullon</t>
  </si>
  <si>
    <t>Leveillé</t>
  </si>
  <si>
    <t>Saillant</t>
  </si>
  <si>
    <t>Doumergue</t>
  </si>
  <si>
    <t>Mare</t>
  </si>
  <si>
    <t>Carnaud</t>
  </si>
  <si>
    <t>Malzac</t>
  </si>
  <si>
    <t>Saint</t>
  </si>
  <si>
    <t>Marfan</t>
  </si>
  <si>
    <t>d'Hénin</t>
  </si>
  <si>
    <t>Prud'Homme-Havette</t>
  </si>
  <si>
    <t>Genoux-Prachée</t>
  </si>
  <si>
    <t>Saint-Quentin</t>
  </si>
  <si>
    <t>Chenavaz</t>
  </si>
  <si>
    <t>Villejean</t>
  </si>
  <si>
    <t>Gellé</t>
  </si>
  <si>
    <t>Gauvin</t>
  </si>
  <si>
    <t>Marchegay</t>
  </si>
  <si>
    <t>d'ESTOURNELLES DE CONSTANT</t>
  </si>
  <si>
    <t>Sever</t>
  </si>
  <si>
    <t>Bonard</t>
  </si>
  <si>
    <t>Jouart</t>
  </si>
  <si>
    <t>Sicard</t>
  </si>
  <si>
    <t>Bourrat</t>
  </si>
  <si>
    <t>Hennard</t>
  </si>
  <si>
    <t>Duvau</t>
  </si>
  <si>
    <t>Morlot</t>
  </si>
  <si>
    <t>Renou</t>
  </si>
  <si>
    <t>Sautumier</t>
  </si>
  <si>
    <t>Berthet</t>
  </si>
  <si>
    <t>Saint-Urbain</t>
  </si>
  <si>
    <t>Ferret</t>
  </si>
  <si>
    <t>Guillain</t>
  </si>
  <si>
    <t>Cornet</t>
  </si>
  <si>
    <t>Grenier</t>
  </si>
  <si>
    <t>Rigaud</t>
  </si>
  <si>
    <t>Pommeray</t>
  </si>
  <si>
    <t>Forni</t>
  </si>
  <si>
    <t>Decrais</t>
  </si>
  <si>
    <t>Ermant</t>
  </si>
  <si>
    <t>Bienvenu-Martin</t>
  </si>
  <si>
    <t>Couyba</t>
  </si>
  <si>
    <t>Munin-Bourdin</t>
  </si>
  <si>
    <t>Derrien</t>
  </si>
  <si>
    <t>Jobez</t>
  </si>
  <si>
    <t>Bontemps</t>
  </si>
  <si>
    <t>Rispal</t>
  </si>
  <si>
    <t>Hervoches</t>
  </si>
  <si>
    <t>d'Agoult</t>
  </si>
  <si>
    <t>Aucouturier</t>
  </si>
  <si>
    <t>Chevrelière</t>
  </si>
  <si>
    <t>Barrois</t>
  </si>
  <si>
    <t>Bazillon</t>
  </si>
  <si>
    <t>Bersez</t>
  </si>
  <si>
    <t>Bordier</t>
  </si>
  <si>
    <t>Borne</t>
  </si>
  <si>
    <t>Boutard</t>
  </si>
  <si>
    <t>Bussière</t>
  </si>
  <si>
    <t>Canet</t>
  </si>
  <si>
    <t>Carrier</t>
  </si>
  <si>
    <t>Castellane</t>
  </si>
  <si>
    <t>Chenel</t>
  </si>
  <si>
    <t>Claudinon</t>
  </si>
  <si>
    <t>Colle</t>
  </si>
  <si>
    <t>Delaune</t>
  </si>
  <si>
    <t>Drumont</t>
  </si>
  <si>
    <t>Dubochet</t>
  </si>
  <si>
    <t>Fenal</t>
  </si>
  <si>
    <t>Fournière</t>
  </si>
  <si>
    <t>Gabiat</t>
  </si>
  <si>
    <t>Galot</t>
  </si>
  <si>
    <t>Gautret</t>
  </si>
  <si>
    <t>Guibert</t>
  </si>
  <si>
    <t>Henrique-Duluc</t>
  </si>
  <si>
    <t>Jacob</t>
  </si>
  <si>
    <t>Jacquey</t>
  </si>
  <si>
    <t>Kelsch</t>
  </si>
  <si>
    <t>de KEROUARTZ</t>
  </si>
  <si>
    <t>Langlais</t>
  </si>
  <si>
    <t>Malaspina</t>
  </si>
  <si>
    <t>Marchal</t>
  </si>
  <si>
    <t>Mathey</t>
  </si>
  <si>
    <t>Maymac</t>
  </si>
  <si>
    <t>Miossec</t>
  </si>
  <si>
    <t>de MONTAIGU</t>
  </si>
  <si>
    <t>Olive</t>
  </si>
  <si>
    <t>Palix</t>
  </si>
  <si>
    <t>Pavie</t>
  </si>
  <si>
    <t>Péronneau</t>
  </si>
  <si>
    <t>Rouland</t>
  </si>
  <si>
    <t>Borgo</t>
  </si>
  <si>
    <t>Ridouard</t>
  </si>
  <si>
    <t>Riou</t>
  </si>
  <si>
    <t>Sommeillier</t>
  </si>
  <si>
    <t>Suchetet</t>
  </si>
  <si>
    <t>Ternaux-Compans</t>
  </si>
  <si>
    <t>Tramu</t>
  </si>
  <si>
    <t>Ursleur</t>
  </si>
  <si>
    <t>Leglos</t>
  </si>
  <si>
    <t>Lespinay</t>
  </si>
  <si>
    <t>Rieunier</t>
  </si>
  <si>
    <t>Abel-Bernard</t>
  </si>
  <si>
    <t>Allard</t>
  </si>
  <si>
    <t>d'Aulan</t>
  </si>
  <si>
    <t>Bénézech</t>
  </si>
  <si>
    <t>Berthelot</t>
  </si>
  <si>
    <t>Berton</t>
  </si>
  <si>
    <t>Bompard</t>
  </si>
  <si>
    <t>Bos</t>
  </si>
  <si>
    <t>Cauvin</t>
  </si>
  <si>
    <t>Cère</t>
  </si>
  <si>
    <t>Daudé-Gleize</t>
  </si>
  <si>
    <t>Debussy</t>
  </si>
  <si>
    <t>Delestrac</t>
  </si>
  <si>
    <t>Délieux</t>
  </si>
  <si>
    <t>Delon-Soubeiran</t>
  </si>
  <si>
    <t>Delpech-Cantaloup</t>
  </si>
  <si>
    <t>Duquesnay</t>
  </si>
  <si>
    <t>Ferrero</t>
  </si>
  <si>
    <t>Florent</t>
  </si>
  <si>
    <t>Galley</t>
  </si>
  <si>
    <t>Galy-Gasparrou</t>
  </si>
  <si>
    <t>Gervaize</t>
  </si>
  <si>
    <t>Girou</t>
  </si>
  <si>
    <t>Gouzy</t>
  </si>
  <si>
    <t>Charles-Gras</t>
  </si>
  <si>
    <t>Gueneau</t>
  </si>
  <si>
    <t>Guyard</t>
  </si>
  <si>
    <t>Holtz</t>
  </si>
  <si>
    <t>Isnard</t>
  </si>
  <si>
    <t>Joxé</t>
  </si>
  <si>
    <t>Krauss</t>
  </si>
  <si>
    <t>Lagasse</t>
  </si>
  <si>
    <t>Laloge</t>
  </si>
  <si>
    <t>Masurel</t>
  </si>
  <si>
    <t>Maussabré-Beufvier</t>
  </si>
  <si>
    <t>Melliet</t>
  </si>
  <si>
    <t>Monfeuillart</t>
  </si>
  <si>
    <t>Morcrette-Ledieu</t>
  </si>
  <si>
    <t>Muzet</t>
  </si>
  <si>
    <t>Pascal</t>
  </si>
  <si>
    <t>Pastre</t>
  </si>
  <si>
    <t>Paul-Faure</t>
  </si>
  <si>
    <t>Perreau</t>
  </si>
  <si>
    <t>Peschaud</t>
  </si>
  <si>
    <t>Rogez</t>
  </si>
  <si>
    <t>Saba</t>
  </si>
  <si>
    <t>Salignac-Fénelon</t>
  </si>
  <si>
    <t>Prache</t>
  </si>
  <si>
    <t>Tourgnol</t>
  </si>
  <si>
    <t>Zévaes</t>
  </si>
  <si>
    <t>Létang</t>
  </si>
  <si>
    <t>Levraud</t>
  </si>
  <si>
    <t>Limouzain-Laplanche</t>
  </si>
  <si>
    <t>Deribéré-Desgardes</t>
  </si>
  <si>
    <t>Narbonne</t>
  </si>
  <si>
    <t>Allombert</t>
  </si>
  <si>
    <t>Lemasson</t>
  </si>
  <si>
    <t>Peignot</t>
  </si>
  <si>
    <t>Riberpray</t>
  </si>
  <si>
    <t>Rivals</t>
  </si>
  <si>
    <t>Empereur</t>
  </si>
  <si>
    <t>Arbouin</t>
  </si>
  <si>
    <t>Fachard</t>
  </si>
  <si>
    <t>Girardin</t>
  </si>
  <si>
    <t>Mollard</t>
  </si>
  <si>
    <t>Cardon</t>
  </si>
  <si>
    <t>Gentil</t>
  </si>
  <si>
    <t>Vigouroux</t>
  </si>
  <si>
    <t>Vallée</t>
  </si>
  <si>
    <t>Corderoy</t>
  </si>
  <si>
    <t>Allemane</t>
  </si>
  <si>
    <t>Guingand</t>
  </si>
  <si>
    <t>Mulac</t>
  </si>
  <si>
    <t>Caraman</t>
  </si>
  <si>
    <t>Authier</t>
  </si>
  <si>
    <t>Senescail</t>
  </si>
  <si>
    <t>Ancel-Seitz</t>
  </si>
  <si>
    <t>Bonvalot</t>
  </si>
  <si>
    <t>Borgnet</t>
  </si>
  <si>
    <t>Catalogne</t>
  </si>
  <si>
    <t>Dard</t>
  </si>
  <si>
    <t>Defarge</t>
  </si>
  <si>
    <t>Delarbre</t>
  </si>
  <si>
    <t>Dussuel</t>
  </si>
  <si>
    <t>Gabrielli</t>
  </si>
  <si>
    <t>Haudricourt</t>
  </si>
  <si>
    <t>Janet</t>
  </si>
  <si>
    <t>Jeanneney</t>
  </si>
  <si>
    <t>Jehanin</t>
  </si>
  <si>
    <t>Rochethulon</t>
  </si>
  <si>
    <t>Maure</t>
  </si>
  <si>
    <t>Mazière</t>
  </si>
  <si>
    <t>d'Osmoy</t>
  </si>
  <si>
    <t>Ozun</t>
  </si>
  <si>
    <t>Perroche</t>
  </si>
  <si>
    <t>Peureux</t>
  </si>
  <si>
    <t>Roscoat</t>
  </si>
  <si>
    <t>Rousset</t>
  </si>
  <si>
    <t>Rudelle</t>
  </si>
  <si>
    <t>Sabaterie</t>
  </si>
  <si>
    <t>Saint-Pol</t>
  </si>
  <si>
    <t>Tournier</t>
  </si>
  <si>
    <t>Archdeacon</t>
  </si>
  <si>
    <t>Audiguier</t>
  </si>
  <si>
    <t>Bagnol</t>
  </si>
  <si>
    <t>Begey</t>
  </si>
  <si>
    <t>Béharelle</t>
  </si>
  <si>
    <t>Bellier</t>
  </si>
  <si>
    <t>Berthoulat</t>
  </si>
  <si>
    <t>Bichon</t>
  </si>
  <si>
    <t>Boissieu</t>
  </si>
  <si>
    <t>Bougon</t>
  </si>
  <si>
    <t>Brunard</t>
  </si>
  <si>
    <t>Cachet</t>
  </si>
  <si>
    <t>Capéran</t>
  </si>
  <si>
    <t>Cardet</t>
  </si>
  <si>
    <t>Cazeaux-Cazalet</t>
  </si>
  <si>
    <t>Cazeneuve</t>
  </si>
  <si>
    <t>Clément</t>
  </si>
  <si>
    <t>Cloutier</t>
  </si>
  <si>
    <t>Congy</t>
  </si>
  <si>
    <t>Essarts</t>
  </si>
  <si>
    <t>Coulondre</t>
  </si>
  <si>
    <t>Debiève</t>
  </si>
  <si>
    <t>Dèche</t>
  </si>
  <si>
    <t>Duquesnel</t>
  </si>
  <si>
    <t>Féron</t>
  </si>
  <si>
    <t>Ferrier</t>
  </si>
  <si>
    <t>Grosjean</t>
  </si>
  <si>
    <t>Guilloteaux</t>
  </si>
  <si>
    <t>Loque</t>
  </si>
  <si>
    <t>Lorthiois</t>
  </si>
  <si>
    <t>Lozé</t>
  </si>
  <si>
    <t>Marchand</t>
  </si>
  <si>
    <t>Mill</t>
  </si>
  <si>
    <t>Pichat</t>
  </si>
  <si>
    <t>Piger</t>
  </si>
  <si>
    <t>Pins</t>
  </si>
  <si>
    <t>Poisson</t>
  </si>
  <si>
    <t>Rouby</t>
  </si>
  <si>
    <t>Rousé</t>
  </si>
  <si>
    <t>Pressensé</t>
  </si>
  <si>
    <t>Ripert</t>
  </si>
  <si>
    <t>Truy</t>
  </si>
  <si>
    <t>Vialis</t>
  </si>
  <si>
    <t>Laurens-Castelet</t>
  </si>
  <si>
    <t>Lepelletier</t>
  </si>
  <si>
    <t>Bonte</t>
  </si>
  <si>
    <t>Roger-Ballu</t>
  </si>
  <si>
    <t>Serres</t>
  </si>
  <si>
    <t>Malizard</t>
  </si>
  <si>
    <t>Torchut</t>
  </si>
  <si>
    <t>Arnal</t>
  </si>
  <si>
    <t>Minier</t>
  </si>
  <si>
    <t>Régnier</t>
  </si>
  <si>
    <t>Ory</t>
  </si>
  <si>
    <t>Syveton</t>
  </si>
  <si>
    <t>Videau</t>
  </si>
  <si>
    <t>Hémard</t>
  </si>
  <si>
    <t>Rosanbo</t>
  </si>
  <si>
    <t>Plaisance</t>
  </si>
  <si>
    <t>Normand</t>
  </si>
  <si>
    <t>Albert-Le-Roy</t>
  </si>
  <si>
    <t>Dudouyt</t>
  </si>
  <si>
    <t>Tenting</t>
  </si>
  <si>
    <t>Castiau</t>
  </si>
  <si>
    <t>Vion</t>
  </si>
  <si>
    <t>Auber</t>
  </si>
  <si>
    <t>Barbançois</t>
  </si>
  <si>
    <t>Fort</t>
  </si>
  <si>
    <t>Couderc</t>
  </si>
  <si>
    <t>Chautard</t>
  </si>
  <si>
    <t>Dehove</t>
  </si>
  <si>
    <t>Dupourqué</t>
  </si>
  <si>
    <t>Fleurent</t>
  </si>
  <si>
    <t>Foy</t>
  </si>
  <si>
    <t>Gontaut-Biron</t>
  </si>
  <si>
    <t>Grillon</t>
  </si>
  <si>
    <t>Joyeux-Laffuie</t>
  </si>
  <si>
    <t>Magnaud</t>
  </si>
  <si>
    <t>Pérès</t>
  </si>
  <si>
    <t>Lemaire</t>
  </si>
  <si>
    <t>Labori</t>
  </si>
  <si>
    <t>Biétry</t>
  </si>
  <si>
    <t>Carlier</t>
  </si>
  <si>
    <t>Chaumeil</t>
  </si>
  <si>
    <t>Chion-Ducollet</t>
  </si>
  <si>
    <t>Cosnard</t>
  </si>
  <si>
    <t>Delecroix</t>
  </si>
  <si>
    <t>Fiévet</t>
  </si>
  <si>
    <t>Halléguen</t>
  </si>
  <si>
    <t>Messner</t>
  </si>
  <si>
    <t>Santelli</t>
  </si>
  <si>
    <t>Pozzi</t>
  </si>
  <si>
    <t>Ravier</t>
  </si>
  <si>
    <t>Vidon</t>
  </si>
  <si>
    <t>Ledin</t>
  </si>
  <si>
    <t>Lefort</t>
  </si>
  <si>
    <t>Evesque</t>
  </si>
  <si>
    <t>Gérard-Varet</t>
  </si>
  <si>
    <t>Vigier</t>
  </si>
  <si>
    <t>Pétin</t>
  </si>
  <si>
    <t>Foyer</t>
  </si>
  <si>
    <t>Ratier</t>
  </si>
  <si>
    <t>Gasnier-Duparc</t>
  </si>
  <si>
    <t>Brunschvicg</t>
  </si>
  <si>
    <t>Joliot-Curie</t>
  </si>
  <si>
    <t>Lacore</t>
  </si>
  <si>
    <t>Pétain</t>
  </si>
  <si>
    <t>Denain</t>
  </si>
  <si>
    <t>Roustan</t>
  </si>
  <si>
    <t>Maurin</t>
  </si>
  <si>
    <t>Combes</t>
  </si>
  <si>
    <t>Boué de Lapeyrère</t>
  </si>
  <si>
    <t>Guillaumat</t>
  </si>
  <si>
    <t>Chapsal</t>
  </si>
  <si>
    <t>Marraud</t>
  </si>
  <si>
    <t>de Freycinet</t>
  </si>
  <si>
    <t>Gallieni</t>
  </si>
  <si>
    <t>Lyautey</t>
  </si>
  <si>
    <t>Claveille</t>
  </si>
  <si>
    <t>de Jouvenel</t>
  </si>
  <si>
    <t>Campenon</t>
  </si>
  <si>
    <t>Galiber</t>
  </si>
  <si>
    <t>Clamageran</t>
  </si>
  <si>
    <t>Demôle</t>
  </si>
  <si>
    <t>Chanoine</t>
  </si>
  <si>
    <t>Zurlinden</t>
  </si>
  <si>
    <t>Charles Tillaye</t>
  </si>
  <si>
    <t>Godin</t>
  </si>
  <si>
    <t>de Selves</t>
  </si>
  <si>
    <t>Chabrun</t>
  </si>
  <si>
    <t>Charlot</t>
  </si>
  <si>
    <t>Le Gorgeu</t>
  </si>
  <si>
    <t>Picquart</t>
  </si>
  <si>
    <t>Milliès-Lacroix</t>
  </si>
  <si>
    <t>Vilgrain</t>
  </si>
  <si>
    <t>Sergent</t>
  </si>
  <si>
    <t>Penancier</t>
  </si>
  <si>
    <t>Appell</t>
  </si>
  <si>
    <t>Lisbonne</t>
  </si>
  <si>
    <t>Valadier</t>
  </si>
  <si>
    <t>Giraudoux</t>
  </si>
  <si>
    <t>Serruys</t>
  </si>
  <si>
    <t>Dautry</t>
  </si>
  <si>
    <t>Billot</t>
  </si>
  <si>
    <t>Jauréguiberry</t>
  </si>
  <si>
    <t>Varroy</t>
  </si>
  <si>
    <t>Aube</t>
  </si>
  <si>
    <t>Millaud</t>
  </si>
  <si>
    <t>Barbey</t>
  </si>
  <si>
    <t>Gauthier de l'Aude</t>
  </si>
  <si>
    <t>Rivollet</t>
  </si>
  <si>
    <t>Duclerc</t>
  </si>
  <si>
    <t>Loizillon</t>
  </si>
  <si>
    <t>Lourties</t>
  </si>
  <si>
    <t>Thibaudin</t>
  </si>
  <si>
    <t>Lewal</t>
  </si>
  <si>
    <t>Peyron</t>
  </si>
  <si>
    <t>Challemel-Lacour</t>
  </si>
  <si>
    <t>Cassez</t>
  </si>
  <si>
    <t>Ferrouillat</t>
  </si>
  <si>
    <t>François Émile Krantz</t>
  </si>
  <si>
    <t>François-Marsal</t>
  </si>
  <si>
    <t>Cazot</t>
  </si>
  <si>
    <t>Gougeard</t>
  </si>
  <si>
    <t>Chalamet</t>
  </si>
  <si>
    <t>Dauphin</t>
  </si>
  <si>
    <t>Nollet</t>
  </si>
  <si>
    <t>Pasquet</t>
  </si>
  <si>
    <t>Ogier</t>
  </si>
  <si>
    <t>Coupat</t>
  </si>
  <si>
    <t>Rambaud</t>
  </si>
  <si>
    <t>Goiran</t>
  </si>
  <si>
    <t>Schrameck</t>
  </si>
  <si>
    <t>Frémicourt</t>
  </si>
  <si>
    <t>Pujo</t>
  </si>
  <si>
    <t>Rivaud</t>
  </si>
  <si>
    <t>Weygand</t>
  </si>
  <si>
    <t>Colson</t>
  </si>
  <si>
    <t>Baudouin</t>
  </si>
  <si>
    <t>Bouthillier</t>
  </si>
  <si>
    <t>Alibert</t>
  </si>
  <si>
    <t>Sainsère</t>
  </si>
  <si>
    <t>Strauss</t>
  </si>
  <si>
    <t>Peyronnet</t>
  </si>
  <si>
    <t>Prouvost</t>
  </si>
  <si>
    <t>Hachette</t>
  </si>
  <si>
    <t>Pinelli</t>
  </si>
  <si>
    <t>de La Grange</t>
  </si>
  <si>
    <t>Mény</t>
  </si>
  <si>
    <t>de Gaulle</t>
  </si>
  <si>
    <t>Trarieux</t>
  </si>
  <si>
    <t>Abel</t>
  </si>
  <si>
    <t>Ferron</t>
  </si>
  <si>
    <t>Mazeau</t>
  </si>
  <si>
    <t>Mounié</t>
  </si>
  <si>
    <t>Faye</t>
  </si>
  <si>
    <t>Logerot</t>
  </si>
  <si>
    <t>de Galliffet</t>
  </si>
  <si>
    <t>MARTEL</t>
  </si>
  <si>
    <t>d'AUDIFFRET-PASQUIER</t>
  </si>
  <si>
    <t>POTHUAU</t>
  </si>
  <si>
    <t>CHANZY</t>
  </si>
  <si>
    <t>LEFEBVRE de LABOULAYE</t>
  </si>
  <si>
    <t>LASTEYRIE DU SAILLANT</t>
  </si>
  <si>
    <t>FOURICHON</t>
  </si>
  <si>
    <t>FOUBERT</t>
  </si>
  <si>
    <t>CORNE</t>
  </si>
  <si>
    <t>FREBAULT</t>
  </si>
  <si>
    <t>BARTHELEMY SAINT-HILAIRE</t>
  </si>
  <si>
    <t>CORDIER</t>
  </si>
  <si>
    <t>KRANTZ</t>
  </si>
  <si>
    <t>CALOUIN de TREVILLE</t>
  </si>
  <si>
    <t>de CORNULIER-LUCINIERE</t>
  </si>
  <si>
    <t>KOLB-BERNARD</t>
  </si>
  <si>
    <t>THERY</t>
  </si>
  <si>
    <t>PAJOT</t>
  </si>
  <si>
    <t>de CHADOIS</t>
  </si>
  <si>
    <t>DUMON</t>
  </si>
  <si>
    <t>BERTAULD</t>
  </si>
  <si>
    <t>GAULTHIER de RUMILLY</t>
  </si>
  <si>
    <t>CALMON</t>
  </si>
  <si>
    <t>LE ROYER</t>
  </si>
  <si>
    <t>TRIBERT</t>
  </si>
  <si>
    <t>de DOUHET</t>
  </si>
  <si>
    <t>CARNOT</t>
  </si>
  <si>
    <t>de LORGERIL</t>
  </si>
  <si>
    <t>RAMPONT</t>
  </si>
  <si>
    <t>SCHERER</t>
  </si>
  <si>
    <t>de CHABRON</t>
  </si>
  <si>
    <t>CORBON</t>
  </si>
  <si>
    <t>TESTELIN</t>
  </si>
  <si>
    <t>SCHEURER-KESTNER</t>
  </si>
  <si>
    <t>LURO</t>
  </si>
  <si>
    <t>de SAISY DE KERAMPUIL</t>
  </si>
  <si>
    <t>GOÜIN</t>
  </si>
  <si>
    <t>LAURENT-PICHAT</t>
  </si>
  <si>
    <t>SCHOELCHER</t>
  </si>
  <si>
    <t>SUISSE Jules dit Jules</t>
  </si>
  <si>
    <t>DENORMANDIE</t>
  </si>
  <si>
    <t>MAGNIN</t>
  </si>
  <si>
    <t>BERENGER</t>
  </si>
  <si>
    <t>de CISSEY Ernest</t>
  </si>
  <si>
    <t>WALLON</t>
  </si>
  <si>
    <t>de MALEVILLE</t>
  </si>
  <si>
    <t>de MONTAIGNAC DE CHAUVANCE</t>
  </si>
  <si>
    <t>de LA JAILLE</t>
  </si>
  <si>
    <t>ROBIN</t>
  </si>
  <si>
    <t>BONNET Louis</t>
  </si>
  <si>
    <t>MARTIN</t>
  </si>
  <si>
    <t>de SAINT-VALLIER</t>
  </si>
  <si>
    <t>WADDINGTON</t>
  </si>
  <si>
    <t>de VEAUCE</t>
  </si>
  <si>
    <t>de CHANTEMERLE</t>
  </si>
  <si>
    <t>MARTENOT</t>
  </si>
  <si>
    <t>DIEUDE-DEFLY</t>
  </si>
  <si>
    <t>RAMPON</t>
  </si>
  <si>
    <t>TAILHAND</t>
  </si>
  <si>
    <t>TOUPET DES VIGNES</t>
  </si>
  <si>
    <t>VIGAROSY</t>
  </si>
  <si>
    <t>MASSON DE MORTEFONTAINE</t>
  </si>
  <si>
    <t>BERALDI</t>
  </si>
  <si>
    <t>MAYRAN</t>
  </si>
  <si>
    <t>BOISSE</t>
  </si>
  <si>
    <t>DELSOL</t>
  </si>
  <si>
    <t>du CHAFFAULT</t>
  </si>
  <si>
    <t>MICHEL</t>
  </si>
  <si>
    <t>DAGUENET</t>
  </si>
  <si>
    <t>de LESTAPIS</t>
  </si>
  <si>
    <t>PAULMIER</t>
  </si>
  <si>
    <t>de SAINT-PIERRE</t>
  </si>
  <si>
    <t>BOCHER</t>
  </si>
  <si>
    <t>BERTRAND</t>
  </si>
  <si>
    <t>de PARIEU</t>
  </si>
  <si>
    <t>ROY DE LOULAY</t>
  </si>
  <si>
    <t>BOFFINTON</t>
  </si>
  <si>
    <t>RIVIERE</t>
  </si>
  <si>
    <t>FOURNIER</t>
  </si>
  <si>
    <t>BRUNET</t>
  </si>
  <si>
    <t>GALLONI d'ISTRIA</t>
  </si>
  <si>
    <t>de CHAMPAGNY</t>
  </si>
  <si>
    <t>JACQUES-PALOTTE</t>
  </si>
  <si>
    <t>FAYOLLE</t>
  </si>
  <si>
    <t>TAILLEFERT</t>
  </si>
  <si>
    <t>MONNET</t>
  </si>
  <si>
    <t>DAUSSEL</t>
  </si>
  <si>
    <t>OUDET</t>
  </si>
  <si>
    <t>LAMORTE</t>
  </si>
  <si>
    <t>MALENS</t>
  </si>
  <si>
    <t>de BROGLIE</t>
  </si>
  <si>
    <t>DELACROIX</t>
  </si>
  <si>
    <t>LABICHE</t>
  </si>
  <si>
    <t>MONJARET de KERJEGU</t>
  </si>
  <si>
    <t>FORSANZ</t>
  </si>
  <si>
    <t>de RAISMES</t>
  </si>
  <si>
    <t>SOUBIGOU</t>
  </si>
  <si>
    <t>LAGET</t>
  </si>
  <si>
    <t>MEINADIER</t>
  </si>
  <si>
    <t>BATBIE</t>
  </si>
  <si>
    <t>LACAVE-LAPLAGNE</t>
  </si>
  <si>
    <t>du MOTIER de LA FAYETTE</t>
  </si>
  <si>
    <t>PELISSIER</t>
  </si>
  <si>
    <t>DUFOURNEL</t>
  </si>
  <si>
    <t>JOBARD</t>
  </si>
  <si>
    <t>CHAUMONTEL</t>
  </si>
  <si>
    <t>CHARDON</t>
  </si>
  <si>
    <t>TEISSERENC DE BORT</t>
  </si>
  <si>
    <t>BLANC</t>
  </si>
  <si>
    <t>CAZALAS</t>
  </si>
  <si>
    <t>ADNET</t>
  </si>
  <si>
    <t>GRIVART</t>
  </si>
  <si>
    <t>PELLETAN</t>
  </si>
  <si>
    <t>de BONDY</t>
  </si>
  <si>
    <t>CLEMENT</t>
  </si>
  <si>
    <t>MICHAL-LADICHERE</t>
  </si>
  <si>
    <t>EYMARD-DUVERNAY</t>
  </si>
  <si>
    <t>THUREL</t>
  </si>
  <si>
    <t>de LACROIX de RAVIGNAN</t>
  </si>
  <si>
    <t>de GAVARDIE</t>
  </si>
  <si>
    <t>BOZERIAN</t>
  </si>
  <si>
    <t>ARBEL</t>
  </si>
  <si>
    <t>BAILLARDEL DE LAREINTY</t>
  </si>
  <si>
    <t>ESPIVENT de la VILLEBOISNET</t>
  </si>
  <si>
    <t>DUMESNIL</t>
  </si>
  <si>
    <t>JOUBERT-BONNAIRE</t>
  </si>
  <si>
    <t>LE GUAY</t>
  </si>
  <si>
    <t>DAUPHINOT</t>
  </si>
  <si>
    <t>DUBOYS FRESNEY</t>
  </si>
  <si>
    <t>AUDREN DE KERDREL</t>
  </si>
  <si>
    <t>de LA MONNERAYE</t>
  </si>
  <si>
    <t>d'ANDLAU</t>
  </si>
  <si>
    <t>de FLERS</t>
  </si>
  <si>
    <t>PORIQUET</t>
  </si>
  <si>
    <t>DUBRULLE</t>
  </si>
  <si>
    <t>PARIS</t>
  </si>
  <si>
    <t>HUGUET</t>
  </si>
  <si>
    <t>de BARANTE</t>
  </si>
  <si>
    <t>SALNEUVE</t>
  </si>
  <si>
    <t>ARAGO</t>
  </si>
  <si>
    <t>PERRET</t>
  </si>
  <si>
    <t>MANGINI</t>
  </si>
  <si>
    <t>GUILLEMAUT</t>
  </si>
  <si>
    <t>de TALHOUET</t>
  </si>
  <si>
    <t>VETILLART</t>
  </si>
  <si>
    <t>CAILLAUX</t>
  </si>
  <si>
    <t>d'ALEXANDRY</t>
  </si>
  <si>
    <t>HEROLD</t>
  </si>
  <si>
    <t>HUGO</t>
  </si>
  <si>
    <t>PEYRAT</t>
  </si>
  <si>
    <t>ADAM</t>
  </si>
  <si>
    <t>FOUCHER de CAREIL</t>
  </si>
  <si>
    <t>GILBERT-BOUCHER</t>
  </si>
  <si>
    <t>FERAY</t>
  </si>
  <si>
    <t>POUYER-QUERTIER</t>
  </si>
  <si>
    <t>ROBERT</t>
  </si>
  <si>
    <t>ANCEL</t>
  </si>
  <si>
    <t>VAYSSE de RAINNEVILLE</t>
  </si>
  <si>
    <t>ESPINASSE</t>
  </si>
  <si>
    <t>de PREISSAC</t>
  </si>
  <si>
    <t>PIN</t>
  </si>
  <si>
    <t>GRANIER</t>
  </si>
  <si>
    <t>de CORNULIER DE LA LANDE</t>
  </si>
  <si>
    <t>GAUDINEAU</t>
  </si>
  <si>
    <t>de LADMIRAULT</t>
  </si>
  <si>
    <t>CLAUDE</t>
  </si>
  <si>
    <t>GEORGE</t>
  </si>
  <si>
    <t>RIBIERE</t>
  </si>
  <si>
    <t>CHARTON</t>
  </si>
  <si>
    <t>LUCET</t>
  </si>
  <si>
    <t>LELIEVRE</t>
  </si>
  <si>
    <t>LACOMME</t>
  </si>
  <si>
    <t>POMEL</t>
  </si>
  <si>
    <t>LAFOND DE SAINT-MUR</t>
  </si>
  <si>
    <t>de LA SICOTIERE</t>
  </si>
  <si>
    <t>DESMAZES</t>
  </si>
  <si>
    <t>ROBINET de LA SERVE</t>
  </si>
  <si>
    <t>DESBASSYNS de RICHEMONT</t>
  </si>
  <si>
    <t>VIELLARD-MIGEON</t>
  </si>
  <si>
    <t>BUFFET</t>
  </si>
  <si>
    <t>de MERODE</t>
  </si>
  <si>
    <t>CHESNELONG</t>
  </si>
  <si>
    <t>DELBREIL</t>
  </si>
  <si>
    <t>DUPUY DE LÔME</t>
  </si>
  <si>
    <t>de CHABAUD-LATOUR</t>
  </si>
  <si>
    <t>BRUN</t>
  </si>
  <si>
    <t>GRANDPERRET</t>
  </si>
  <si>
    <t>ARNAUDEAU</t>
  </si>
  <si>
    <t>de LARCY</t>
  </si>
  <si>
    <t>BARROT</t>
  </si>
  <si>
    <t>de CARAYON-LATOUR</t>
  </si>
  <si>
    <t>CLERON d'HAUSSONVILLE</t>
  </si>
  <si>
    <t>de VALLEE</t>
  </si>
  <si>
    <t>BARAGNON</t>
  </si>
  <si>
    <t>BARNE</t>
  </si>
  <si>
    <t>GAZAGNE</t>
  </si>
  <si>
    <t>ISSARTIER</t>
  </si>
  <si>
    <t>de LUR-SALUCES</t>
  </si>
  <si>
    <t>CALLEN</t>
  </si>
  <si>
    <t>DUPOUY</t>
  </si>
  <si>
    <t>de REMUSAT</t>
  </si>
  <si>
    <t>CAMPARAN</t>
  </si>
  <si>
    <t>HEBRARD</t>
  </si>
  <si>
    <t>VISSAGUET</t>
  </si>
  <si>
    <t>ROBERT-DEHAULT</t>
  </si>
  <si>
    <t>BAZILLE</t>
  </si>
  <si>
    <t>GRIFFE</t>
  </si>
  <si>
    <t>COMBESCURE</t>
  </si>
  <si>
    <t>JOUIN</t>
  </si>
  <si>
    <t>LE BASTARD</t>
  </si>
  <si>
    <t>ROGER-MARVAISE</t>
  </si>
  <si>
    <t>GUINOT</t>
  </si>
  <si>
    <t>RONJAT</t>
  </si>
  <si>
    <t>TAMISIER</t>
  </si>
  <si>
    <t>DUFAY</t>
  </si>
  <si>
    <t>CHERPIN</t>
  </si>
  <si>
    <t>CHAVASSIEU</t>
  </si>
  <si>
    <t>ROBERT de MASSY</t>
  </si>
  <si>
    <t>ROQUES</t>
  </si>
  <si>
    <t>DELORD</t>
  </si>
  <si>
    <t>PONS</t>
  </si>
  <si>
    <t>de ROZIERE</t>
  </si>
  <si>
    <t>ROUSSEL</t>
  </si>
  <si>
    <t>d'ANDIGNE</t>
  </si>
  <si>
    <t>DUFRESNE</t>
  </si>
  <si>
    <t>LENOËL</t>
  </si>
  <si>
    <t>LE BLOND</t>
  </si>
  <si>
    <t>DENIS</t>
  </si>
  <si>
    <t>BERNARD</t>
  </si>
  <si>
    <t>VIVENOT</t>
  </si>
  <si>
    <t>HONNORE</t>
  </si>
  <si>
    <t>FRESNEAU</t>
  </si>
  <si>
    <t>TENAILLE-SALIGNY</t>
  </si>
  <si>
    <t>MASSE</t>
  </si>
  <si>
    <t>DUTILLEUL</t>
  </si>
  <si>
    <t>MASSIET DU BIEST</t>
  </si>
  <si>
    <t>FAIDHERBE</t>
  </si>
  <si>
    <t>MERLIN</t>
  </si>
  <si>
    <t>LAGACHE</t>
  </si>
  <si>
    <t>CUVINOT</t>
  </si>
  <si>
    <t>GUYOT-LAVALINE</t>
  </si>
  <si>
    <t>MATHEY</t>
  </si>
  <si>
    <t>HALGAN</t>
  </si>
  <si>
    <t>de BREMOND D'ARS</t>
  </si>
  <si>
    <t>GRESLEY</t>
  </si>
  <si>
    <t>PIETRI</t>
  </si>
  <si>
    <t>CANROBERT</t>
  </si>
  <si>
    <t>GUIFFREY</t>
  </si>
  <si>
    <t>NINARD</t>
  </si>
  <si>
    <t>LEMOINNE</t>
  </si>
  <si>
    <t>GREVY</t>
  </si>
  <si>
    <t>de BOSREDON</t>
  </si>
  <si>
    <t>VALLIER</t>
  </si>
  <si>
    <t>GAILLY</t>
  </si>
  <si>
    <t>PARENT</t>
  </si>
  <si>
    <t>DUVAL</t>
  </si>
  <si>
    <t>de CARNE</t>
  </si>
  <si>
    <t>FARRE</t>
  </si>
  <si>
    <t>GAYOT</t>
  </si>
  <si>
    <t>LEFRANC</t>
  </si>
  <si>
    <t>DIDIER</t>
  </si>
  <si>
    <t>DESCHANEL</t>
  </si>
  <si>
    <t>WURTZ</t>
  </si>
  <si>
    <t>de VOISINS-LAVERNIERE</t>
  </si>
  <si>
    <t>TOLAIN</t>
  </si>
  <si>
    <t>RENAUD</t>
  </si>
  <si>
    <t>de REIGNIE</t>
  </si>
  <si>
    <t>GOGUET</t>
  </si>
  <si>
    <t>DONNOT</t>
  </si>
  <si>
    <t>NOBLOT</t>
  </si>
  <si>
    <t>DEFFIS</t>
  </si>
  <si>
    <t>DUPRE</t>
  </si>
  <si>
    <t>DEMIAUTTE</t>
  </si>
  <si>
    <t>BOUCHER-CADART</t>
  </si>
  <si>
    <t>GOUTAY</t>
  </si>
  <si>
    <t>FARINES</t>
  </si>
  <si>
    <t>MUNIER</t>
  </si>
  <si>
    <t>CORDELET</t>
  </si>
  <si>
    <t>CARQUET</t>
  </si>
  <si>
    <t>LIZOT</t>
  </si>
  <si>
    <t>RIGAL</t>
  </si>
  <si>
    <t>GARRISSON</t>
  </si>
  <si>
    <t>KIENER</t>
  </si>
  <si>
    <t>LECOINTE</t>
  </si>
  <si>
    <t>FREZOUL</t>
  </si>
  <si>
    <t>DIETZ-MONNIN</t>
  </si>
  <si>
    <t>BRUGEROLLE</t>
  </si>
  <si>
    <t>MILHET-FONTARABIE</t>
  </si>
  <si>
    <t>ALLOU</t>
  </si>
  <si>
    <t>PERONNE</t>
  </si>
  <si>
    <t>HALNA DU FRETAY</t>
  </si>
  <si>
    <t>LE GUEN</t>
  </si>
  <si>
    <t>BARDOUX</t>
  </si>
  <si>
    <t>ALLEGRE</t>
  </si>
  <si>
    <t>de VERNINAC-SAINT-MAUR</t>
  </si>
  <si>
    <t>LALANNE</t>
  </si>
  <si>
    <t>MICHAUX</t>
  </si>
  <si>
    <t>BERAL</t>
  </si>
  <si>
    <t>DEHAULT de PRESSENSE</t>
  </si>
  <si>
    <t>MARQUIS</t>
  </si>
  <si>
    <t>MACE</t>
  </si>
  <si>
    <t>BLAVIER</t>
  </si>
  <si>
    <t>GOUJON</t>
  </si>
  <si>
    <t>MERCIER</t>
  </si>
  <si>
    <t>LADES-GOUT</t>
  </si>
  <si>
    <t>LACOMBE</t>
  </si>
  <si>
    <t>VELTEN</t>
  </si>
  <si>
    <t>LAVALLEY</t>
  </si>
  <si>
    <t>CABANES</t>
  </si>
  <si>
    <t>PEAUDECERF</t>
  </si>
  <si>
    <t>CASABIANCA (de)</t>
  </si>
  <si>
    <t>de L'ANGLE-BEAUMANOIR</t>
  </si>
  <si>
    <t>ROGER</t>
  </si>
  <si>
    <t>FAYARD</t>
  </si>
  <si>
    <t>JUMEAU</t>
  </si>
  <si>
    <t>CLARIS</t>
  </si>
  <si>
    <t>DIDE</t>
  </si>
  <si>
    <t>LAPORTE</t>
  </si>
  <si>
    <t>FIEVET</t>
  </si>
  <si>
    <t>LIBERT</t>
  </si>
  <si>
    <t>de BEAUCHAMP</t>
  </si>
  <si>
    <t>ISAAC</t>
  </si>
  <si>
    <t>BERGEON</t>
  </si>
  <si>
    <t>SEBIRE</t>
  </si>
  <si>
    <t>VERON</t>
  </si>
  <si>
    <t>LE PROVOST DE LAUNAY</t>
  </si>
  <si>
    <t>SONGEON</t>
  </si>
  <si>
    <t>GUICHARD</t>
  </si>
  <si>
    <t>DUFRAIGNE</t>
  </si>
  <si>
    <t>LAROCHE</t>
  </si>
  <si>
    <t>MORELLET</t>
  </si>
  <si>
    <t>PETIT</t>
  </si>
  <si>
    <t>de CARDEVAC D' HAVRINCOURT</t>
  </si>
  <si>
    <t>GARRAN DE BALZAN</t>
  </si>
  <si>
    <t>DECROIX</t>
  </si>
  <si>
    <t>de BEJARRY</t>
  </si>
  <si>
    <t>CHAVER-BIÈRE Léonce dit Léonce de</t>
  </si>
  <si>
    <t>HUON DE PENANSTER</t>
  </si>
  <si>
    <t>SEBLINE</t>
  </si>
  <si>
    <t>BOULANGER</t>
  </si>
  <si>
    <t>FERAL</t>
  </si>
  <si>
    <t>de GUIBOURG de LUZINAIS</t>
  </si>
  <si>
    <t>DIANCOURT</t>
  </si>
  <si>
    <t>VOLLAND</t>
  </si>
  <si>
    <t>MADIGNIER</t>
  </si>
  <si>
    <t>BIRE</t>
  </si>
  <si>
    <t>PAULIAT</t>
  </si>
  <si>
    <t>de CÈS-CAUPENNE</t>
  </si>
  <si>
    <t>LAVERTUJON</t>
  </si>
  <si>
    <t>MONTESQUIOU-FEZENSAC</t>
  </si>
  <si>
    <t>LISBONNE</t>
  </si>
  <si>
    <t>de CALLAC</t>
  </si>
  <si>
    <t>NIOCHE</t>
  </si>
  <si>
    <t>REY</t>
  </si>
  <si>
    <t>PAZAT</t>
  </si>
  <si>
    <t>LOURTIES</t>
  </si>
  <si>
    <t>BRUNON</t>
  </si>
  <si>
    <t>DURAND</t>
  </si>
  <si>
    <t>BERNARD-DUTREIL</t>
  </si>
  <si>
    <t>LE BRETON</t>
  </si>
  <si>
    <t>DECRAY</t>
  </si>
  <si>
    <t>de LAUBESPIN</t>
  </si>
  <si>
    <t>CLAEYS</t>
  </si>
  <si>
    <t>CHOVET</t>
  </si>
  <si>
    <t>LESUEUR</t>
  </si>
  <si>
    <t>de CORSI</t>
  </si>
  <si>
    <t>CHAIX</t>
  </si>
  <si>
    <t>LEGRAND Gery dit</t>
  </si>
  <si>
    <t>DARBOT</t>
  </si>
  <si>
    <t>VINET</t>
  </si>
  <si>
    <t>MORELLI</t>
  </si>
  <si>
    <t>SAUTON</t>
  </si>
  <si>
    <t>LECLER</t>
  </si>
  <si>
    <t>POIRRIER</t>
  </si>
  <si>
    <t>LEROUX</t>
  </si>
  <si>
    <t>REGNAULT DE SAVIGNY DE MONCORPS</t>
  </si>
  <si>
    <t>DECAUVILLE</t>
  </si>
  <si>
    <t>BORDES-PAGES</t>
  </si>
  <si>
    <t>ASTOR</t>
  </si>
  <si>
    <t>COSTE</t>
  </si>
  <si>
    <t>FOREST</t>
  </si>
  <si>
    <t>MARTELL</t>
  </si>
  <si>
    <t>DROUHET</t>
  </si>
  <si>
    <t>AYME</t>
  </si>
  <si>
    <t>BRUSSET</t>
  </si>
  <si>
    <t>DUPUY</t>
  </si>
  <si>
    <t>BOUILLIEZ</t>
  </si>
  <si>
    <t>GRAVIN</t>
  </si>
  <si>
    <t>LEFEVRE</t>
  </si>
  <si>
    <t>MARET</t>
  </si>
  <si>
    <t>ROLLAND</t>
  </si>
  <si>
    <t>ANGLES</t>
  </si>
  <si>
    <t>MAGNIER</t>
  </si>
  <si>
    <t>COUTEAUX</t>
  </si>
  <si>
    <t>THEZARD</t>
  </si>
  <si>
    <t>REGISMANSET</t>
  </si>
  <si>
    <t>ALLEMAND</t>
  </si>
  <si>
    <t>TURGIS</t>
  </si>
  <si>
    <t>GUINDEY</t>
  </si>
  <si>
    <t>BENOIST</t>
  </si>
  <si>
    <t>PAULIAC</t>
  </si>
  <si>
    <t>JAPY</t>
  </si>
  <si>
    <t>BADUEL</t>
  </si>
  <si>
    <t>MOINET</t>
  </si>
  <si>
    <t>COURCEL Alphonse CHODRON</t>
  </si>
  <si>
    <t>TRYSTRAM</t>
  </si>
  <si>
    <t>DEMOULINS de RIOLS</t>
  </si>
  <si>
    <t>MONSSERVIN</t>
  </si>
  <si>
    <t>LABBE</t>
  </si>
  <si>
    <t>ROULAND</t>
  </si>
  <si>
    <t>RINGOT</t>
  </si>
  <si>
    <t>MURACCIOLE</t>
  </si>
  <si>
    <t>DULAC</t>
  </si>
  <si>
    <t>HAMEL</t>
  </si>
  <si>
    <t>LE PLAY</t>
  </si>
  <si>
    <t>ANNE</t>
  </si>
  <si>
    <t>FRANCOZ</t>
  </si>
  <si>
    <t>BAUDENS</t>
  </si>
  <si>
    <t>COILLOT</t>
  </si>
  <si>
    <t>LAURENS</t>
  </si>
  <si>
    <t>DELOBEAU</t>
  </si>
  <si>
    <t>HAUGOUMAR DES PORTES</t>
  </si>
  <si>
    <t>TIRMAN</t>
  </si>
  <si>
    <t>DELPECH</t>
  </si>
  <si>
    <t>OUVRIER</t>
  </si>
  <si>
    <t>RICHAUD</t>
  </si>
  <si>
    <t>BROTHIER</t>
  </si>
  <si>
    <t>LAPORTE-BISQUIT</t>
  </si>
  <si>
    <t>CALVET</t>
  </si>
  <si>
    <t>PITTI-FERRANDI</t>
  </si>
  <si>
    <t>FARINOLE</t>
  </si>
  <si>
    <t>VILLARD</t>
  </si>
  <si>
    <t>DUFOUSSAT</t>
  </si>
  <si>
    <t>DROUILLARD</t>
  </si>
  <si>
    <t>HALLEGUEN</t>
  </si>
  <si>
    <t>SAVARY</t>
  </si>
  <si>
    <t>GERENTE</t>
  </si>
  <si>
    <t>TAULIER</t>
  </si>
  <si>
    <t>MONIER</t>
  </si>
  <si>
    <t>PARISSOT</t>
  </si>
  <si>
    <t>FLEURY</t>
  </si>
  <si>
    <t>DEPREUX</t>
  </si>
  <si>
    <t>de BLOIS</t>
  </si>
  <si>
    <t>ROUSSEAU</t>
  </si>
  <si>
    <t>BAYOL</t>
  </si>
  <si>
    <t>BASTIDE</t>
  </si>
  <si>
    <t>PARISOT</t>
  </si>
  <si>
    <t>DESTIEUX-JUNCA</t>
  </si>
  <si>
    <t>LATERRADE</t>
  </si>
  <si>
    <t>AUCOIN</t>
  </si>
  <si>
    <t>OURNAC</t>
  </si>
  <si>
    <t>PERREAL</t>
  </si>
  <si>
    <t>GUERIN</t>
  </si>
  <si>
    <t>GARREAU</t>
  </si>
  <si>
    <t>PRILLIEUX</t>
  </si>
  <si>
    <t>MAILLARD</t>
  </si>
  <si>
    <t>BODINIER</t>
  </si>
  <si>
    <t>DUBOIS</t>
  </si>
  <si>
    <t>BOUFFIER</t>
  </si>
  <si>
    <t>LAUBRY</t>
  </si>
  <si>
    <t>PIOT</t>
  </si>
  <si>
    <t>DELCROS</t>
  </si>
  <si>
    <t>RENAUDAT</t>
  </si>
  <si>
    <t>PONTHIER DE CHAMAILLARD</t>
  </si>
  <si>
    <t>BIDAULT</t>
  </si>
  <si>
    <t>SAILLARD</t>
  </si>
  <si>
    <t>LATAPPY</t>
  </si>
  <si>
    <t>VISEUR</t>
  </si>
  <si>
    <t>BOURGEAT</t>
  </si>
  <si>
    <t>POZZI</t>
  </si>
  <si>
    <t>MERIC</t>
  </si>
  <si>
    <t>GAY de SAVARY</t>
  </si>
  <si>
    <t>BONNEFILLE</t>
  </si>
  <si>
    <t>GOUTANT</t>
  </si>
  <si>
    <t>BAZIRE</t>
  </si>
  <si>
    <t>FORTIER</t>
  </si>
  <si>
    <t>d'AUNAY</t>
  </si>
  <si>
    <t>MAQUENNEHEN</t>
  </si>
  <si>
    <t>BASSINET</t>
  </si>
  <si>
    <t>THUILLIER</t>
  </si>
  <si>
    <t>KNIGHT</t>
  </si>
  <si>
    <t>CICERON</t>
  </si>
  <si>
    <t>FAGOT</t>
  </si>
  <si>
    <t>LAMBERT</t>
  </si>
  <si>
    <t>OUTHENIN-CHALANDRE</t>
  </si>
  <si>
    <t>GAUTHIER</t>
  </si>
  <si>
    <t>VAGNAT</t>
  </si>
  <si>
    <t>PETITJEAN</t>
  </si>
  <si>
    <t>BATAILLE</t>
  </si>
  <si>
    <t>REPIQUET</t>
  </si>
  <si>
    <t>GOURJU</t>
  </si>
  <si>
    <t>PIETTRE</t>
  </si>
  <si>
    <t>EXPERT-BEZANÇON</t>
  </si>
  <si>
    <t>THOMAS</t>
  </si>
  <si>
    <t>LEGRAND</t>
  </si>
  <si>
    <t>TELLIER</t>
  </si>
  <si>
    <t>BOULARAN</t>
  </si>
  <si>
    <t>SIGALLAS</t>
  </si>
  <si>
    <t>CONTANCIN</t>
  </si>
  <si>
    <t>COLLINOT</t>
  </si>
  <si>
    <t>LORDEREAU</t>
  </si>
  <si>
    <t>RIOU</t>
  </si>
  <si>
    <t>DELPORT</t>
  </si>
  <si>
    <t>LEROY</t>
  </si>
  <si>
    <t>RENARD</t>
  </si>
  <si>
    <t>FORICHON</t>
  </si>
  <si>
    <t>GIRESSE</t>
  </si>
  <si>
    <t>BEAUPIN</t>
  </si>
  <si>
    <t>de SAINT-GERMAIN</t>
  </si>
  <si>
    <t>COSTES</t>
  </si>
  <si>
    <t>RAQUET</t>
  </si>
  <si>
    <t>de GOULAINE</t>
  </si>
  <si>
    <t>de CUVERVILLE</t>
  </si>
  <si>
    <t>LE COUR-GRANDMAISON</t>
  </si>
  <si>
    <t>ROUVIER</t>
  </si>
  <si>
    <t>COCULA</t>
  </si>
  <si>
    <t>GUILLIER</t>
  </si>
  <si>
    <t>PORQUIER</t>
  </si>
  <si>
    <t>DETHIL</t>
  </si>
  <si>
    <t>PIC-PARIS</t>
  </si>
  <si>
    <t>FAURE Maurice dit</t>
  </si>
  <si>
    <t>GENTILLIEZ</t>
  </si>
  <si>
    <t>SAUVAN</t>
  </si>
  <si>
    <t>GERARD</t>
  </si>
  <si>
    <t>LINTILHAC</t>
  </si>
  <si>
    <t>BRISSON</t>
  </si>
  <si>
    <t>DAUMY</t>
  </si>
  <si>
    <t>PEYROT</t>
  </si>
  <si>
    <t>THOUNENS</t>
  </si>
  <si>
    <t>POTIE</t>
  </si>
  <si>
    <t>LE CHEVALIER</t>
  </si>
  <si>
    <t>CHABRIE</t>
  </si>
  <si>
    <t>BOISSIER</t>
  </si>
  <si>
    <t>AGUILLON</t>
  </si>
  <si>
    <t>DELAHAYE</t>
  </si>
  <si>
    <t>GASSIS</t>
  </si>
  <si>
    <t>BLANCHIER</t>
  </si>
  <si>
    <t>de LAS-CASES</t>
  </si>
  <si>
    <t>CHATTELEYN</t>
  </si>
  <si>
    <t>BARBAZA</t>
  </si>
  <si>
    <t>BRAGER de LA VILLE-MOYSAN</t>
  </si>
  <si>
    <t>BERGER</t>
  </si>
  <si>
    <t>COURREGELONGUE</t>
  </si>
  <si>
    <t>TOURON</t>
  </si>
  <si>
    <t>FESSARD</t>
  </si>
  <si>
    <t>MASCURAUD</t>
  </si>
  <si>
    <t>MAUREAU</t>
  </si>
  <si>
    <t>VIEU</t>
  </si>
  <si>
    <t>REYMOND</t>
  </si>
  <si>
    <t>FLAISSIERES</t>
  </si>
  <si>
    <t>GENET</t>
  </si>
  <si>
    <t>SANCET</t>
  </si>
  <si>
    <t>DELHON</t>
  </si>
  <si>
    <t>NEGRE</t>
  </si>
  <si>
    <t>DANIEL</t>
  </si>
  <si>
    <t>DUPONT</t>
  </si>
  <si>
    <t>CREPIN</t>
  </si>
  <si>
    <t>BELHOMME</t>
  </si>
  <si>
    <t>LANGLOIS</t>
  </si>
  <si>
    <t>POULLE</t>
  </si>
  <si>
    <t>MONNIER</t>
  </si>
  <si>
    <t>BOIVIN-CHAMPEAUX</t>
  </si>
  <si>
    <t>COLLET</t>
  </si>
  <si>
    <t>SURREAUX</t>
  </si>
  <si>
    <t>RANSON</t>
  </si>
  <si>
    <t>LEMARIE</t>
  </si>
  <si>
    <t>JENOUVRIER</t>
  </si>
  <si>
    <t>RAYMOND</t>
  </si>
  <si>
    <t>SERVANT</t>
  </si>
  <si>
    <t>POIRSON</t>
  </si>
  <si>
    <t>PHILIPOT</t>
  </si>
  <si>
    <t>RICHARD</t>
  </si>
  <si>
    <t>GROSJEAN</t>
  </si>
  <si>
    <t>CHABERT</t>
  </si>
  <si>
    <t>FORTIN</t>
  </si>
  <si>
    <t>SCULFORT</t>
  </si>
  <si>
    <t>FORSANS</t>
  </si>
  <si>
    <t>FAISANS</t>
  </si>
  <si>
    <t>CHAMBIGE</t>
  </si>
  <si>
    <t>PONTEILLE</t>
  </si>
  <si>
    <t>BEAUVISAGE</t>
  </si>
  <si>
    <t>VERMOREL</t>
  </si>
  <si>
    <t>BARBIER</t>
  </si>
  <si>
    <t>FARNY</t>
  </si>
  <si>
    <t>BESNARD</t>
  </si>
  <si>
    <t>LEBERT</t>
  </si>
  <si>
    <t>MARTINET</t>
  </si>
  <si>
    <t>LOUBET</t>
  </si>
  <si>
    <t>GOY</t>
  </si>
  <si>
    <t>BONNELAT</t>
  </si>
  <si>
    <t>DEBIERRE</t>
  </si>
  <si>
    <t>CESBRON Fabien dit</t>
  </si>
  <si>
    <t>AMIC</t>
  </si>
  <si>
    <t>VINCENT</t>
  </si>
  <si>
    <t>MURAT</t>
  </si>
  <si>
    <t>BERNERE</t>
  </si>
  <si>
    <t>REYNALD</t>
  </si>
  <si>
    <t>CANNAC</t>
  </si>
  <si>
    <t>MASCLE</t>
  </si>
  <si>
    <t>PERREAU</t>
  </si>
  <si>
    <t>LARERE</t>
  </si>
  <si>
    <t>BUTTERLIN</t>
  </si>
  <si>
    <t>HERVEY</t>
  </si>
  <si>
    <t>FENOUX</t>
  </si>
  <si>
    <t>de LANGENHAGEN</t>
  </si>
  <si>
    <t>THIERY</t>
  </si>
  <si>
    <t>SARRAUT</t>
  </si>
  <si>
    <t>de PENANROS</t>
  </si>
  <si>
    <t>MILAN</t>
  </si>
  <si>
    <t>MAGNY</t>
  </si>
  <si>
    <t>GALUP</t>
  </si>
  <si>
    <t>CHENEBENOIT</t>
  </si>
  <si>
    <t>de LUBERSAC</t>
  </si>
  <si>
    <t>BEAUMONT</t>
  </si>
  <si>
    <t>CHALAMET</t>
  </si>
  <si>
    <t>CUMINAL</t>
  </si>
  <si>
    <t>ROCHE</t>
  </si>
  <si>
    <t>MONY</t>
  </si>
  <si>
    <t>DELSOR</t>
  </si>
  <si>
    <t>DIEBOLT-WEBER</t>
  </si>
  <si>
    <t>TAUFFLIEB</t>
  </si>
  <si>
    <t>ECCARD</t>
  </si>
  <si>
    <t>LE BARILLIER</t>
  </si>
  <si>
    <t>ARTAUD</t>
  </si>
  <si>
    <t>LANDRODIE</t>
  </si>
  <si>
    <t>LEDERLIN</t>
  </si>
  <si>
    <t>HERY</t>
  </si>
  <si>
    <t>BRANGIER</t>
  </si>
  <si>
    <t>EYMERY</t>
  </si>
  <si>
    <t>REYNAUD</t>
  </si>
  <si>
    <t>PERDRIX</t>
  </si>
  <si>
    <t>ROYNEAU</t>
  </si>
  <si>
    <t>LE HARS</t>
  </si>
  <si>
    <t>CAZELLES</t>
  </si>
  <si>
    <t>PHILIP</t>
  </si>
  <si>
    <t>VAYSSIERE</t>
  </si>
  <si>
    <t>DAVID</t>
  </si>
  <si>
    <t>BUHAN</t>
  </si>
  <si>
    <t>HELMER</t>
  </si>
  <si>
    <t>GEGAUFF</t>
  </si>
  <si>
    <t>SCHEURER</t>
  </si>
  <si>
    <t>BOURGEOIS</t>
  </si>
  <si>
    <t>DUCHEIN</t>
  </si>
  <si>
    <t>BLAIGNAN</t>
  </si>
  <si>
    <t>FOULHY</t>
  </si>
  <si>
    <t>ENJOLRAS</t>
  </si>
  <si>
    <t>QUILLIARD</t>
  </si>
  <si>
    <t>HUMBLOT</t>
  </si>
  <si>
    <t>MARANGET</t>
  </si>
  <si>
    <t>MARSOT</t>
  </si>
  <si>
    <t>GRAS</t>
  </si>
  <si>
    <t>GARNIER</t>
  </si>
  <si>
    <t>BERARD</t>
  </si>
  <si>
    <t>BROCARD</t>
  </si>
  <si>
    <t>DARAIGNEZ</t>
  </si>
  <si>
    <t>CADILHON</t>
  </si>
  <si>
    <t>MAURIN</t>
  </si>
  <si>
    <t>SOULIE</t>
  </si>
  <si>
    <t>JAMIN</t>
  </si>
  <si>
    <t>de LANDEMONT</t>
  </si>
  <si>
    <t>BABIN-CHEVAYE</t>
  </si>
  <si>
    <t>FRANCOIS-SAINT-MAUR</t>
  </si>
  <si>
    <t>DONON</t>
  </si>
  <si>
    <t>FONTANILLE</t>
  </si>
  <si>
    <t>LABOULBENE</t>
  </si>
  <si>
    <t>CARRERE</t>
  </si>
  <si>
    <t>de ROUGÉ</t>
  </si>
  <si>
    <t>DAMECOUR</t>
  </si>
  <si>
    <t>JOUIS</t>
  </si>
  <si>
    <t>MICHAUT</t>
  </si>
  <si>
    <t>CHEVALIER Pol dit</t>
  </si>
  <si>
    <t>BOMPARD</t>
  </si>
  <si>
    <t>STUHL</t>
  </si>
  <si>
    <t>HIRSCHAUER</t>
  </si>
  <si>
    <t>de MARGUERIE</t>
  </si>
  <si>
    <t>IMBART DE LA TOUR</t>
  </si>
  <si>
    <t>CHOMET</t>
  </si>
  <si>
    <t>ROLAND</t>
  </si>
  <si>
    <t>LENEVEU</t>
  </si>
  <si>
    <t>ORIOT</t>
  </si>
  <si>
    <t>BACHELET</t>
  </si>
  <si>
    <t>FARJON</t>
  </si>
  <si>
    <t>RUFFIER</t>
  </si>
  <si>
    <t>DUQUAIRE</t>
  </si>
  <si>
    <t>BUSSY</t>
  </si>
  <si>
    <t>COIGNET</t>
  </si>
  <si>
    <t>DESGRANGES</t>
  </si>
  <si>
    <t>GERBE</t>
  </si>
  <si>
    <t>MACHET</t>
  </si>
  <si>
    <t>MOLLARD</t>
  </si>
  <si>
    <t>LEVY</t>
  </si>
  <si>
    <t>BILLIET</t>
  </si>
  <si>
    <t>DAUSSET</t>
  </si>
  <si>
    <t>LE ROUX</t>
  </si>
  <si>
    <t>GOUGE</t>
  </si>
  <si>
    <t>THUILLIER-BURIDARD</t>
  </si>
  <si>
    <t>PIERRIN</t>
  </si>
  <si>
    <t>MORAND</t>
  </si>
  <si>
    <t>DUPLANTIER</t>
  </si>
  <si>
    <t>JOSSOT</t>
  </si>
  <si>
    <t>COLLIN</t>
  </si>
  <si>
    <t>GALLINI</t>
  </si>
  <si>
    <t>BUSSON-BILLAULT</t>
  </si>
  <si>
    <t>MAZURIER</t>
  </si>
  <si>
    <t>VIDAL</t>
  </si>
  <si>
    <t>FAURE</t>
  </si>
  <si>
    <t>LABROUSSE</t>
  </si>
  <si>
    <t>SARI</t>
  </si>
  <si>
    <t>CHAGNAUD</t>
  </si>
  <si>
    <t>GRAND</t>
  </si>
  <si>
    <t>CODET</t>
  </si>
  <si>
    <t>PROVOST-DUMARCHAIS</t>
  </si>
  <si>
    <t>DUROUX</t>
  </si>
  <si>
    <t>GASSER</t>
  </si>
  <si>
    <t>de BERTIER de SAUVIGNY</t>
  </si>
  <si>
    <t>VILLETTE-GATE</t>
  </si>
  <si>
    <t>GAUDAIRE</t>
  </si>
  <si>
    <t>HAMELIN</t>
  </si>
  <si>
    <t>BOUVART</t>
  </si>
  <si>
    <t>GAEBELE</t>
  </si>
  <si>
    <t>ELBY</t>
  </si>
  <si>
    <t>FOUILLOUX</t>
  </si>
  <si>
    <t>COTY</t>
  </si>
  <si>
    <t>CALMEL</t>
  </si>
  <si>
    <t>SAINT-MARTIN</t>
  </si>
  <si>
    <t>FEUGA</t>
  </si>
  <si>
    <t>MARTIN-BINACHON</t>
  </si>
  <si>
    <t>DELAY</t>
  </si>
  <si>
    <t>MAGNIEN</t>
  </si>
  <si>
    <t>GAY</t>
  </si>
  <si>
    <t>MAHIEU</t>
  </si>
  <si>
    <t>THERET</t>
  </si>
  <si>
    <t>VALETTE</t>
  </si>
  <si>
    <t>BRUGUIER</t>
  </si>
  <si>
    <t>LANGLOIS-MEURINNE</t>
  </si>
  <si>
    <t>GIGON</t>
  </si>
  <si>
    <t>MEJAN</t>
  </si>
  <si>
    <t>DUPREY</t>
  </si>
  <si>
    <t>CHOPIN</t>
  </si>
  <si>
    <t>CURRAL</t>
  </si>
  <si>
    <t>CHARABOT</t>
  </si>
  <si>
    <t>CAVILLON</t>
  </si>
  <si>
    <t>ARMBRUSTER</t>
  </si>
  <si>
    <t>DUTAUD</t>
  </si>
  <si>
    <t>HAYAUX</t>
  </si>
  <si>
    <t>RENAUDOT</t>
  </si>
  <si>
    <t>FEVRE</t>
  </si>
  <si>
    <t>LECLERC</t>
  </si>
  <si>
    <t>DENTU</t>
  </si>
  <si>
    <t>DARTEYRE</t>
  </si>
  <si>
    <t>LACROIX</t>
  </si>
  <si>
    <t>GIRAUD</t>
  </si>
  <si>
    <t>PELLETIER</t>
  </si>
  <si>
    <t>DHERBECOURT</t>
  </si>
  <si>
    <t>MORIZET</t>
  </si>
  <si>
    <t>VEYSSIERE</t>
  </si>
  <si>
    <t>LOUBAT</t>
  </si>
  <si>
    <t>SAURIN</t>
  </si>
  <si>
    <t>FOURCADE</t>
  </si>
  <si>
    <t>GUILLEMOT</t>
  </si>
  <si>
    <t>LINYER</t>
  </si>
  <si>
    <t>DELHOUME</t>
  </si>
  <si>
    <t>BENARD</t>
  </si>
  <si>
    <t>SAVIGNOL</t>
  </si>
  <si>
    <t>d'ANDLAU de HOMBOURG</t>
  </si>
  <si>
    <t>LE MOIGNIC</t>
  </si>
  <si>
    <t>BABAUD-LACROZE</t>
  </si>
  <si>
    <t>BOURDEAUX</t>
  </si>
  <si>
    <t>BORGEOT</t>
  </si>
  <si>
    <t>DAUZIER</t>
  </si>
  <si>
    <t>de PAVIN DE LAFARGE</t>
  </si>
  <si>
    <t>RAMBAUD</t>
  </si>
  <si>
    <t>de COURTOIS</t>
  </si>
  <si>
    <t>PUJES</t>
  </si>
  <si>
    <t>BRUNEL</t>
  </si>
  <si>
    <t>NEUVILLE</t>
  </si>
  <si>
    <t>GARRIGOU</t>
  </si>
  <si>
    <t>CABART-DANNEVILLE</t>
  </si>
  <si>
    <t>BUQUIN</t>
  </si>
  <si>
    <t>MURET</t>
  </si>
  <si>
    <t>TANGUY</t>
  </si>
  <si>
    <t>BON</t>
  </si>
  <si>
    <t>LAVERGNE</t>
  </si>
  <si>
    <t>CAILLIER</t>
  </si>
  <si>
    <t>ULMO</t>
  </si>
  <si>
    <t>STOURM</t>
  </si>
  <si>
    <t>GAUTHEROT</t>
  </si>
  <si>
    <t>RAYNAUD</t>
  </si>
  <si>
    <t>MALSANG</t>
  </si>
  <si>
    <t>COCHARD</t>
  </si>
  <si>
    <t>PORTMANN</t>
  </si>
  <si>
    <t>ROUART</t>
  </si>
  <si>
    <t>SAINT</t>
  </si>
  <si>
    <t>LEMAISTRE</t>
  </si>
  <si>
    <t>GAUTIER</t>
  </si>
  <si>
    <t>SERLIN</t>
  </si>
  <si>
    <t>BELMONT</t>
  </si>
  <si>
    <t>CENCELME</t>
  </si>
  <si>
    <t>MILLIES-LACROIX</t>
  </si>
  <si>
    <t>BOUDIN</t>
  </si>
  <si>
    <t>PATIZEL</t>
  </si>
  <si>
    <t>ROGE</t>
  </si>
  <si>
    <t>FILHOL DE CAMAS</t>
  </si>
  <si>
    <t>CORBEDAINE</t>
  </si>
  <si>
    <t>NAUDIN</t>
  </si>
  <si>
    <t>DEMESMAY</t>
  </si>
  <si>
    <t>GORE</t>
  </si>
  <si>
    <t>TURBAT</t>
  </si>
  <si>
    <t>de LA GRANDIERE</t>
  </si>
  <si>
    <t>LE PELLETIER</t>
  </si>
  <si>
    <t>GERMAIN</t>
  </si>
  <si>
    <t>BOUNIOLS</t>
  </si>
  <si>
    <t>BAUFLE</t>
  </si>
  <si>
    <t>CHAUMIE</t>
  </si>
  <si>
    <t>MIROUEL</t>
  </si>
  <si>
    <t>PRESSEQ</t>
  </si>
  <si>
    <t>OSTERMANN</t>
  </si>
  <si>
    <t>COUROT</t>
  </si>
  <si>
    <t>TURLIER</t>
  </si>
  <si>
    <t>URBAN</t>
  </si>
  <si>
    <t>SIGRIST</t>
  </si>
  <si>
    <t>MAROSELLI</t>
  </si>
  <si>
    <t>NICOLAS</t>
  </si>
  <si>
    <t>MIREAUX</t>
  </si>
  <si>
    <t>PEZIERES</t>
  </si>
  <si>
    <t>FROGET</t>
  </si>
  <si>
    <t>DEPIERRE</t>
  </si>
  <si>
    <t>FLEUROT</t>
  </si>
  <si>
    <t>COURTIER</t>
  </si>
  <si>
    <t>BRASSEAU</t>
  </si>
  <si>
    <t>HARENT</t>
  </si>
  <si>
    <t>de BERNY</t>
  </si>
  <si>
    <t>SENES</t>
  </si>
  <si>
    <t>FABRE</t>
  </si>
  <si>
    <t>GROS</t>
  </si>
  <si>
    <t>MAURICE</t>
  </si>
  <si>
    <t>ESCANDE</t>
  </si>
  <si>
    <t>BELS</t>
  </si>
  <si>
    <t>GUILHEM</t>
  </si>
  <si>
    <t>COURNAULT</t>
  </si>
  <si>
    <t>BUISSON</t>
  </si>
  <si>
    <t>MUSSO</t>
  </si>
  <si>
    <t>DESPRÉS</t>
  </si>
  <si>
    <t>CONVERSET</t>
  </si>
  <si>
    <t>GUYONNET</t>
  </si>
  <si>
    <t>PINAY</t>
  </si>
  <si>
    <t>BETFERT</t>
  </si>
  <si>
    <t>AZEMAR</t>
  </si>
  <si>
    <t>ANTIER</t>
  </si>
  <si>
    <t>LAUTIER</t>
  </si>
  <si>
    <t>HANNOTIN</t>
  </si>
  <si>
    <t>MONSACRE</t>
  </si>
  <si>
    <t>MAROGER</t>
  </si>
  <si>
    <t>DELPUECH</t>
  </si>
  <si>
    <t>GIACOBBI</t>
  </si>
  <si>
    <t>de KERGARIOU</t>
  </si>
  <si>
    <t>BOUGUEN</t>
  </si>
  <si>
    <t>ALHERITIERE</t>
  </si>
  <si>
    <t>CHAMBONNET</t>
  </si>
  <si>
    <t>EYNARD</t>
  </si>
  <si>
    <t>ROZIER</t>
  </si>
  <si>
    <t>GILBERT</t>
  </si>
  <si>
    <t>GAUTRON</t>
  </si>
  <si>
    <t>LE JEUNE</t>
  </si>
  <si>
    <t>POINTAIRE</t>
  </si>
  <si>
    <t>WARUSFEL</t>
  </si>
  <si>
    <t>Pierre, Georges, Louis</t>
  </si>
  <si>
    <t>Alexandre, Augustin, dit Gustave</t>
  </si>
  <si>
    <t>Gaétan</t>
  </si>
  <si>
    <t>Emile, Paul, Félix</t>
  </si>
  <si>
    <t>ALFRED-BRARD</t>
  </si>
  <si>
    <t>Edouard, Casimir, Aimé</t>
  </si>
  <si>
    <t>Augustin, Pierre, Edouard</t>
  </si>
  <si>
    <t>Jean-Victor</t>
  </si>
  <si>
    <t>Edouard</t>
  </si>
  <si>
    <t>Ferdinand</t>
  </si>
  <si>
    <t>André, Paul, Lucien</t>
  </si>
  <si>
    <t>Alfred, Alexandre Bansard des</t>
  </si>
  <si>
    <t>Martial, Fernand, Paul</t>
  </si>
  <si>
    <t>Maurice, Auguste</t>
  </si>
  <si>
    <t>Emile, Joseph</t>
  </si>
  <si>
    <t>Charles, Joseph</t>
  </si>
  <si>
    <t>Louis, Alexandre</t>
  </si>
  <si>
    <t>Léon, Armand, Charles de Baudry</t>
  </si>
  <si>
    <t>Charles</t>
  </si>
  <si>
    <t>Paul, Victor</t>
  </si>
  <si>
    <t>Etienne, Louis</t>
  </si>
  <si>
    <t>Paul</t>
  </si>
  <si>
    <t>Emile</t>
  </si>
  <si>
    <t>Léon, Félix, Joseph, Louis</t>
  </si>
  <si>
    <t>Claude</t>
  </si>
  <si>
    <t>Georges, Jean-Baptiste, Marie</t>
  </si>
  <si>
    <t>Amédée, Pierre, Léonard</t>
  </si>
  <si>
    <t>Maurice, Charles, Henri</t>
  </si>
  <si>
    <t>Pierre, Guy, Marie de Blacas</t>
  </si>
  <si>
    <t>Balthazar, Antoine</t>
  </si>
  <si>
    <t>Alcide, Louis</t>
  </si>
  <si>
    <t>Victor, Félix</t>
  </si>
  <si>
    <t>Donat, Auguste, Alexandre</t>
  </si>
  <si>
    <t>Auguste, Jean, Paul, Antoine</t>
  </si>
  <si>
    <t>Antoine</t>
  </si>
  <si>
    <t>Georges, Jacques, Pierre</t>
  </si>
  <si>
    <t>Félix, Louis, Marie, Daniel</t>
  </si>
  <si>
    <t>Auguste, Eugène, César, Marie</t>
  </si>
  <si>
    <t>Élisée</t>
  </si>
  <si>
    <t>Charles, Ernest, Gérard Aubourg de</t>
  </si>
  <si>
    <t>Joseph</t>
  </si>
  <si>
    <t>Léo</t>
  </si>
  <si>
    <t>Paul, Honoré, Paul</t>
  </si>
  <si>
    <t>Jules-Louis</t>
  </si>
  <si>
    <t>Aristide</t>
  </si>
  <si>
    <t>René, Joseph</t>
  </si>
  <si>
    <t>Emile, Octave</t>
  </si>
  <si>
    <t>Emmanuel</t>
  </si>
  <si>
    <t>Edouard, François</t>
  </si>
  <si>
    <t>Etienne, Pierre</t>
  </si>
  <si>
    <t>François, Adolphe, Léon</t>
  </si>
  <si>
    <t>René, André</t>
  </si>
  <si>
    <t>Noêl, Victor, François)</t>
  </si>
  <si>
    <t>Antonin, Pierre, Joseph</t>
  </si>
  <si>
    <t>Gustave</t>
  </si>
  <si>
    <t>Eugène, Antoine</t>
  </si>
  <si>
    <t>Guillaume</t>
  </si>
  <si>
    <t>Georges, Jean, Albert</t>
  </si>
  <si>
    <t>Jean, Paul, Gaston, Lucien</t>
  </si>
  <si>
    <t>Alphonse</t>
  </si>
  <si>
    <t>Félix, Marie</t>
  </si>
  <si>
    <t>Alfred, Louis</t>
  </si>
  <si>
    <t>Clément, Pierre, Antoine</t>
  </si>
  <si>
    <t>Emile, Auguste, Joseph, Marie</t>
  </si>
  <si>
    <t>Emile, Charles, Alfred</t>
  </si>
  <si>
    <t>Denys</t>
  </si>
  <si>
    <t>Henry, Denis, Benoist, Marie</t>
  </si>
  <si>
    <t>Maurice, Pierre</t>
  </si>
  <si>
    <t>François, dit Gabriel</t>
  </si>
  <si>
    <t>Adéodat, Constant, Alphonse</t>
  </si>
  <si>
    <t>Émile</t>
  </si>
  <si>
    <t>Honoré</t>
  </si>
  <si>
    <t>Henri, Charles</t>
  </si>
  <si>
    <t>Amédée</t>
  </si>
  <si>
    <t>Jules Coutant dit</t>
  </si>
  <si>
    <t>Ernest</t>
  </si>
  <si>
    <t>Paul, Raymond, Maxime</t>
  </si>
  <si>
    <t>Jules, Auguste, Joseph</t>
  </si>
  <si>
    <t>Adrien</t>
  </si>
  <si>
    <t>Fernand</t>
  </si>
  <si>
    <t>Victor, Louis</t>
  </si>
  <si>
    <t>Joseph, Louis, Adolphe</t>
  </si>
  <si>
    <t>Jules</t>
  </si>
  <si>
    <t>Thierry Delanoue dit</t>
  </si>
  <si>
    <t>Théophile</t>
  </si>
  <si>
    <t>Arthur, Vincent</t>
  </si>
  <si>
    <t>Arthur</t>
  </si>
  <si>
    <t>Louis, Antonin</t>
  </si>
  <si>
    <t>Lucien</t>
  </si>
  <si>
    <t>Charles, Guy, Adrien</t>
  </si>
  <si>
    <t>Henri</t>
  </si>
  <si>
    <t>Alfred</t>
  </si>
  <si>
    <t>Félix, Guillaume</t>
  </si>
  <si>
    <t>Jacques-Louis</t>
  </si>
  <si>
    <t>Alfred, Henri</t>
  </si>
  <si>
    <t>Joseph, Etienne, Denis</t>
  </si>
  <si>
    <t>Etienne, Octave</t>
  </si>
  <si>
    <t>Arnaud d'Elissagaray de</t>
  </si>
  <si>
    <t>Eugène</t>
  </si>
  <si>
    <t>Auguste, Gabriel</t>
  </si>
  <si>
    <t>Daniel de Folleville de</t>
  </si>
  <si>
    <t>Octave</t>
  </si>
  <si>
    <t>Louis, Camille</t>
  </si>
  <si>
    <t>Gaston</t>
  </si>
  <si>
    <t>Lucien, Charles, Marie</t>
  </si>
  <si>
    <t>Hippolyte</t>
  </si>
  <si>
    <t>Alfred-Léon</t>
  </si>
  <si>
    <t>Jean-Baptiste</t>
  </si>
  <si>
    <t>Léon, Adolphe</t>
  </si>
  <si>
    <t>René</t>
  </si>
  <si>
    <t>Maurice du Halgouet de</t>
  </si>
  <si>
    <t>James, Richard, Charles</t>
  </si>
  <si>
    <t>Urbain de</t>
  </si>
  <si>
    <t>Louis d'Iriart</t>
  </si>
  <si>
    <t>Jean, Félix</t>
  </si>
  <si>
    <t>Rémi, Charles, Anatole</t>
  </si>
  <si>
    <t>Victor</t>
  </si>
  <si>
    <t>Louis-Lucien</t>
  </si>
  <si>
    <t>Régis de</t>
  </si>
  <si>
    <t>Henri de La</t>
  </si>
  <si>
    <t>Louis de La</t>
  </si>
  <si>
    <t>Daniel</t>
  </si>
  <si>
    <t>Joseph, Samuel</t>
  </si>
  <si>
    <t>Ernest de</t>
  </si>
  <si>
    <t>Paul-Henry de</t>
  </si>
  <si>
    <t>Adrien Lannes de</t>
  </si>
  <si>
    <t>Ferri de</t>
  </si>
  <si>
    <t>Henri, Jules, Albert des Lyons de</t>
  </si>
  <si>
    <t>Frédéric, Armand de</t>
  </si>
  <si>
    <t>Etienne, Henry</t>
  </si>
  <si>
    <t>Baptiste</t>
  </si>
  <si>
    <t>Joseph-Pierre</t>
  </si>
  <si>
    <t>Marc</t>
  </si>
  <si>
    <t>Raoul</t>
  </si>
  <si>
    <t>Hubert de</t>
  </si>
  <si>
    <t>Edgard de</t>
  </si>
  <si>
    <t>Anatole</t>
  </si>
  <si>
    <t>JEAN-MOREL</t>
  </si>
  <si>
    <t>Albert de</t>
  </si>
  <si>
    <t>Camille</t>
  </si>
  <si>
    <t>Prosper</t>
  </si>
  <si>
    <t>Pierre-Paul</t>
  </si>
  <si>
    <t>Louis, Charles, Paulin</t>
  </si>
  <si>
    <t>Paul, Louis</t>
  </si>
  <si>
    <t>Amans, Adrien, Augustin</t>
  </si>
  <si>
    <t>Raphaël</t>
  </si>
  <si>
    <t>Jacques, Gustave</t>
  </si>
  <si>
    <t>Jean, Ignace, Alexis, Winoc</t>
  </si>
  <si>
    <t>Pierre, Louis, Henri</t>
  </si>
  <si>
    <t>Etienne</t>
  </si>
  <si>
    <t>Alain, Charles, Louis de Rohan-Chabot de</t>
  </si>
  <si>
    <t>Philippe, François</t>
  </si>
  <si>
    <t>Ferdinand, Emile, Prosper</t>
  </si>
  <si>
    <t>Henry, Georges, Adrien</t>
  </si>
  <si>
    <t>Henri Savary de</t>
  </si>
  <si>
    <t>Auguste-Robert</t>
  </si>
  <si>
    <t>Marcel</t>
  </si>
  <si>
    <t>André, Anna, Marie, Gaston Porteu de la</t>
  </si>
  <si>
    <t>Léon, Théodore, Hyacinthe</t>
  </si>
  <si>
    <t>Paul, Joseph</t>
  </si>
  <si>
    <t>Fernand, Athos</t>
  </si>
  <si>
    <t>Pierre, Amédée, Fernand</t>
  </si>
  <si>
    <t>Flaminius</t>
  </si>
  <si>
    <t>Marcel, Albert</t>
  </si>
  <si>
    <t>Maurice, Etienne</t>
  </si>
  <si>
    <t>Jules-Armand</t>
  </si>
  <si>
    <t>Théodore</t>
  </si>
  <si>
    <t>Adolphe</t>
  </si>
  <si>
    <t>Julien</t>
  </si>
  <si>
    <t>Jean-Paul, Firmin</t>
  </si>
  <si>
    <t>Eugène, Sylvain, Pierre</t>
  </si>
  <si>
    <t>César, Joseph</t>
  </si>
  <si>
    <t>René, Paul, Gustave</t>
  </si>
  <si>
    <t>Louis, Marie</t>
  </si>
  <si>
    <t>François-Emile</t>
  </si>
  <si>
    <t>Christian de</t>
  </si>
  <si>
    <t>Georges, Arsène</t>
  </si>
  <si>
    <t>Jean-Octave</t>
  </si>
  <si>
    <t>Georges-Auguste Le</t>
  </si>
  <si>
    <t>Charles Le</t>
  </si>
  <si>
    <t>Olivier de Le Gonidec de</t>
  </si>
  <si>
    <t>René Le</t>
  </si>
  <si>
    <t>Jules Le</t>
  </si>
  <si>
    <t>Joseph Le</t>
  </si>
  <si>
    <t>Paul Le</t>
  </si>
  <si>
    <t>Auguste</t>
  </si>
  <si>
    <t>Alexandre</t>
  </si>
  <si>
    <t>Maxime</t>
  </si>
  <si>
    <t>Hégésippe, Jean</t>
  </si>
  <si>
    <t>Arthur, Marie, Alexis</t>
  </si>
  <si>
    <t>Paul, Siméon</t>
  </si>
  <si>
    <t>Modeste</t>
  </si>
  <si>
    <t>Louis, Eugène</t>
  </si>
  <si>
    <t>Antoine, Jean</t>
  </si>
  <si>
    <t>Pierre, Gaston, Marie, Marc, de Voyer</t>
  </si>
  <si>
    <t>Placide, Alexandre</t>
  </si>
  <si>
    <t>Jules, Paul</t>
  </si>
  <si>
    <t>Henri, Jean, Marie, André</t>
  </si>
  <si>
    <t>Antoine, Pierre, Alfred, François</t>
  </si>
  <si>
    <t>André, Antoine, Marie, Pierre</t>
  </si>
  <si>
    <t>Charles, Augustin Benoist dit</t>
  </si>
  <si>
    <t>Raymond, Prosper, Marcellin</t>
  </si>
  <si>
    <t>Lucien, Joseph</t>
  </si>
  <si>
    <t>Benjamin, Louis</t>
  </si>
  <si>
    <t>Armand, Jean, Antoine, Henri</t>
  </si>
  <si>
    <t>Jean, Pierre, Claude, Marcel</t>
  </si>
  <si>
    <t>André, Ferdinand, Jules</t>
  </si>
  <si>
    <t>Georges, Casimir</t>
  </si>
  <si>
    <t>Gustave, Alfred, François</t>
  </si>
  <si>
    <t>Maurice, Fauste</t>
  </si>
  <si>
    <t>Louis, Eugène, Henri</t>
  </si>
  <si>
    <t>Fernand, Jean, Alexis</t>
  </si>
  <si>
    <t>Jules, Silvère</t>
  </si>
  <si>
    <t>Ferdinand, Edouard</t>
  </si>
  <si>
    <t>Jules, Albert, Pierre</t>
  </si>
  <si>
    <t>Calixte, Georges</t>
  </si>
  <si>
    <t>CHANAL</t>
  </si>
  <si>
    <t>Amable, Jean-Baptiste</t>
  </si>
  <si>
    <t>Emmanuel, Jean, Jules</t>
  </si>
  <si>
    <t>Emmanuel, Victor</t>
  </si>
  <si>
    <t>Amédée, François</t>
  </si>
  <si>
    <t>François, René</t>
  </si>
  <si>
    <t>Maurice, Joseph</t>
  </si>
  <si>
    <t>Alfred, Marc, Louis</t>
  </si>
  <si>
    <t>Charles, Jean-Benoît</t>
  </si>
  <si>
    <t>Hector</t>
  </si>
  <si>
    <t>Marius</t>
  </si>
  <si>
    <t>Louis, Joseph, Marie</t>
  </si>
  <si>
    <t>Jean, François, Sigismond</t>
  </si>
  <si>
    <t>Charles, Antoine</t>
  </si>
  <si>
    <t>Emile, Jean</t>
  </si>
  <si>
    <t>Eugène, Henri</t>
  </si>
  <si>
    <t>Paul, Jacques</t>
  </si>
  <si>
    <t>François, Jean-Baptiste, Antoine, Paulin</t>
  </si>
  <si>
    <t>Francis</t>
  </si>
  <si>
    <t>Edmond</t>
  </si>
  <si>
    <t>Charles de</t>
  </si>
  <si>
    <t>Henri, François</t>
  </si>
  <si>
    <t>Justin</t>
  </si>
  <si>
    <t>Jean-Marie</t>
  </si>
  <si>
    <t>Charles-Olivier</t>
  </si>
  <si>
    <t>Antony</t>
  </si>
  <si>
    <t>Armand-Paul</t>
  </si>
  <si>
    <t>Auguste, Marie, Antoine, Désiré</t>
  </si>
  <si>
    <t>Henri, Claude</t>
  </si>
  <si>
    <t>Frédéric</t>
  </si>
  <si>
    <t>Joannès</t>
  </si>
  <si>
    <t>Edmond, Charles</t>
  </si>
  <si>
    <t>Hippolyte, Marie, Antoine, Eloïse</t>
  </si>
  <si>
    <t>Joseph, Jean Louis, Bernard</t>
  </si>
  <si>
    <t>Arthur, Victor, Henri</t>
  </si>
  <si>
    <t>Jean-L'Heureux</t>
  </si>
  <si>
    <t>Joseph, Aimé, Pierre, Charles, Emile</t>
  </si>
  <si>
    <t>Léandre</t>
  </si>
  <si>
    <t>Joseph, Marie, Anselme, Paul, Julien</t>
  </si>
  <si>
    <t>Adhémar</t>
  </si>
  <si>
    <t>Gustave, Jean, Marie</t>
  </si>
  <si>
    <t>Justin, Louis</t>
  </si>
  <si>
    <t>François-Charles</t>
  </si>
  <si>
    <t>Léon, Charles</t>
  </si>
  <si>
    <t>Ernest, Jean</t>
  </si>
  <si>
    <t>Gustave, Armand</t>
  </si>
  <si>
    <t>Henri, Ferdinand, Bienvenu</t>
  </si>
  <si>
    <t>Albin, Antoine</t>
  </si>
  <si>
    <t>Jules, Jean, Joseph</t>
  </si>
  <si>
    <t>Roger, Marie, Joseph</t>
  </si>
  <si>
    <t>Georges, Alexandre, Louis</t>
  </si>
  <si>
    <t>Joseph-Gaston Pourquery de</t>
  </si>
  <si>
    <t>Antoine, Abel, Gabriel Prévot dit</t>
  </si>
  <si>
    <t>Dominique</t>
  </si>
  <si>
    <t>Joseph, Henri</t>
  </si>
  <si>
    <t>Jean-Pierre</t>
  </si>
  <si>
    <t>Fernand, Augustin de</t>
  </si>
  <si>
    <t>Joseph, Ferdinand</t>
  </si>
  <si>
    <t>Camille, Louis</t>
  </si>
  <si>
    <t>André, Marie, Jacques</t>
  </si>
  <si>
    <t>Eugène, Michel</t>
  </si>
  <si>
    <t>Louis, Emile, Célestin</t>
  </si>
  <si>
    <t>Ernest, Hippolyte</t>
  </si>
  <si>
    <t>Laurent, Constant</t>
  </si>
  <si>
    <t>Léon Tivrier dit</t>
  </si>
  <si>
    <t>Albert Thomas dit</t>
  </si>
  <si>
    <t>Henri, Marie, Léon, Joseph</t>
  </si>
  <si>
    <t>Isidore, François</t>
  </si>
  <si>
    <t>Maurice-Louis</t>
  </si>
  <si>
    <t>Emile, Jules, Olivier</t>
  </si>
  <si>
    <t>Georges, Jean, Baptiste, Joseph</t>
  </si>
  <si>
    <t>Albert, Julien, Auguste</t>
  </si>
  <si>
    <t>Alfred Le</t>
  </si>
  <si>
    <t>Bertrand, Marie, Joseph de Sauvan</t>
  </si>
  <si>
    <t>Emile, Henri</t>
  </si>
  <si>
    <t>Pierre, Adalbert, Marie-Guilhem de Frottier de</t>
  </si>
  <si>
    <t>Joseph, Paul, Emile, Marie</t>
  </si>
  <si>
    <t>Amédée, Louis</t>
  </si>
  <si>
    <t>Bernard, Louis</t>
  </si>
  <si>
    <t>Maurice, Albert, Alexandre</t>
  </si>
  <si>
    <t>Georges, Pierre, Daniel</t>
  </si>
  <si>
    <t>Jean, Julien, Léon</t>
  </si>
  <si>
    <t>Joannès, François, Marie</t>
  </si>
  <si>
    <t>Hyacinthe de</t>
  </si>
  <si>
    <t>Léonce</t>
  </si>
  <si>
    <t>André-Paul</t>
  </si>
  <si>
    <t>Alexandre, Marie</t>
  </si>
  <si>
    <t>Jacques, Marie, Henri Le Cardinal de</t>
  </si>
  <si>
    <t>Jean, Adrien</t>
  </si>
  <si>
    <t>Gaston, Auguste, Adolphe</t>
  </si>
  <si>
    <t>Henry, Jacques</t>
  </si>
  <si>
    <t>Lucien, Ernest, Alfred</t>
  </si>
  <si>
    <t>Prosper, Joseph</t>
  </si>
  <si>
    <t>Henri, Eugène</t>
  </si>
  <si>
    <t>Raoul, Adolphe, Elie</t>
  </si>
  <si>
    <t>François, Pierre, Jean</t>
  </si>
  <si>
    <t>Pierre, Jean-Baptiste</t>
  </si>
  <si>
    <t>Benoît, Charles</t>
  </si>
  <si>
    <t>Achille</t>
  </si>
  <si>
    <t>Georges, Tony</t>
  </si>
  <si>
    <t>Antoine-Frédéric</t>
  </si>
  <si>
    <t>Henri, Emile, Christian</t>
  </si>
  <si>
    <t>Charles, Louis, Simon</t>
  </si>
  <si>
    <t>Jacques, Henri, Bertrand</t>
  </si>
  <si>
    <t>Henri, Jean, Georges, François</t>
  </si>
  <si>
    <t>Claude, Edouard, Denys, Marie</t>
  </si>
  <si>
    <t>Paul, André, Ferdinand</t>
  </si>
  <si>
    <t>Jacques, Etienne, Albert</t>
  </si>
  <si>
    <t>Arthur, Emmanuel, Joseph Espivent de la</t>
  </si>
  <si>
    <t>Raymond</t>
  </si>
  <si>
    <t>Henri, Louis Gallichet dit</t>
  </si>
  <si>
    <t>Jean-Claude</t>
  </si>
  <si>
    <t>Joseph de Gouyon de</t>
  </si>
  <si>
    <t>Léonard</t>
  </si>
  <si>
    <t>Joseph, Paul</t>
  </si>
  <si>
    <t>Henri, Maxime</t>
  </si>
  <si>
    <t>Charles, Gilbert, Joseph</t>
  </si>
  <si>
    <t>Pierre, Claude Robert dit</t>
  </si>
  <si>
    <t>Victor, Louis, Marie</t>
  </si>
  <si>
    <t>Josselin de</t>
  </si>
  <si>
    <t>Aristide, Emile</t>
  </si>
  <si>
    <t>Auguste, Valentin, Honoré</t>
  </si>
  <si>
    <t>Justin, Bernard</t>
  </si>
  <si>
    <t>Antoine, Charles</t>
  </si>
  <si>
    <t>Léon, Alphonse</t>
  </si>
  <si>
    <t>Alain</t>
  </si>
  <si>
    <t>Henri, Joseph</t>
  </si>
  <si>
    <t>Pierre, Charles</t>
  </si>
  <si>
    <t>Charles, Jean Bernard dit</t>
  </si>
  <si>
    <t>William</t>
  </si>
  <si>
    <t>Alexandre, Marius, Henri Blanc dit</t>
  </si>
  <si>
    <t>Jean, Emile</t>
  </si>
  <si>
    <t>Narcisse, Auguste, Noël</t>
  </si>
  <si>
    <t>Georges, Thomas</t>
  </si>
  <si>
    <t>Séraphin, Léopold</t>
  </si>
  <si>
    <t>Octave, François</t>
  </si>
  <si>
    <t>Marcel, Gilles</t>
  </si>
  <si>
    <t>René Carré dit</t>
  </si>
  <si>
    <t>Joseph, Emile, Jean-Baptiste de Curières de</t>
  </si>
  <si>
    <t>Ernest, Paul, Maurice</t>
  </si>
  <si>
    <t>Léon, Hubert</t>
  </si>
  <si>
    <t>Adolphe, Edouard</t>
  </si>
  <si>
    <t>Olivier, Jules, Félix, Eugène</t>
  </si>
  <si>
    <t>Laurent, Jules, Jean</t>
  </si>
  <si>
    <t>Blaise</t>
  </si>
  <si>
    <t>Édouard</t>
  </si>
  <si>
    <t>Anatole, Henri, Raoul</t>
  </si>
  <si>
    <t>Ernest, Louis</t>
  </si>
  <si>
    <t>Barthélémy</t>
  </si>
  <si>
    <t>Henri Guillemin de</t>
  </si>
  <si>
    <t>Bertrand de</t>
  </si>
  <si>
    <t>Jules Pomaret dit</t>
  </si>
  <si>
    <t>Joseph, Constant</t>
  </si>
  <si>
    <t>Isidore</t>
  </si>
  <si>
    <t>Robert, Gustave, Marie Poirier de</t>
  </si>
  <si>
    <t>Louis dit Emile</t>
  </si>
  <si>
    <t>Paul, Jean, Baptiste</t>
  </si>
  <si>
    <t>Henri, Jean, Marie</t>
  </si>
  <si>
    <t>Claude, Pierre, Antoine, Joseph</t>
  </si>
  <si>
    <t>Pierre, Narcisse</t>
  </si>
  <si>
    <t>Uriane</t>
  </si>
  <si>
    <t>Louis Bretin dit</t>
  </si>
  <si>
    <t>Gaston, Pierre, Théodore</t>
  </si>
  <si>
    <t>Alexandre, Claude</t>
  </si>
  <si>
    <t>Sabinus</t>
  </si>
  <si>
    <t>Elie</t>
  </si>
  <si>
    <t>Lazare</t>
  </si>
  <si>
    <t>Marius, Clément</t>
  </si>
  <si>
    <t>Georges Le</t>
  </si>
  <si>
    <t>René, Auguste, Louis, Paul Le</t>
  </si>
  <si>
    <t>Victor, Marie, Georges</t>
  </si>
  <si>
    <t>Pierre-Étienne</t>
  </si>
  <si>
    <t>Charles, Eugène</t>
  </si>
  <si>
    <t>Louis de</t>
  </si>
  <si>
    <t>Gaston, Paul, Marie</t>
  </si>
  <si>
    <t>Georges, Louis</t>
  </si>
  <si>
    <t>Charles, Émile</t>
  </si>
  <si>
    <t>Georges, André, Alexandre</t>
  </si>
  <si>
    <t>Paul, Félix, Cyprien</t>
  </si>
  <si>
    <t>Albert, Jules, Marie</t>
  </si>
  <si>
    <t>Etienne, Denis, Augustin, Marie, Gaston</t>
  </si>
  <si>
    <t>Henri, Pierre, Marie</t>
  </si>
  <si>
    <t>Léon, Jean-Baptiste</t>
  </si>
  <si>
    <t>Charles, Joseph, Gabriel</t>
  </si>
  <si>
    <t>Robert, Joseph, André</t>
  </si>
  <si>
    <t>Charles, Victorin, Apollon, Marie, Eugène</t>
  </si>
  <si>
    <t>Victor, Antoine, Martial</t>
  </si>
  <si>
    <t>Hubert de Bazelaire de</t>
  </si>
  <si>
    <t>Louis, Marie, Antoine</t>
  </si>
  <si>
    <t>Joseph de</t>
  </si>
  <si>
    <t>Jean, Émile, Laurent, Michel de Bermond</t>
  </si>
  <si>
    <t>César, Léon, Constant</t>
  </si>
  <si>
    <t>Joseph, Marie</t>
  </si>
  <si>
    <t>Paul, Marie</t>
  </si>
  <si>
    <t>Alfred, Paul, Louis</t>
  </si>
  <si>
    <t>Marie, Edouard</t>
  </si>
  <si>
    <t>André, Pierre, Marie</t>
  </si>
  <si>
    <t>Paul, dit Charles</t>
  </si>
  <si>
    <t>Jules, Jean, Jacques</t>
  </si>
  <si>
    <t>Adéodat, Emmanuel, Joseph, Jacques</t>
  </si>
  <si>
    <t>Germain, Alexandre</t>
  </si>
  <si>
    <t>Pierre, François</t>
  </si>
  <si>
    <t>Désiré, Alfred, Fulgence</t>
  </si>
  <si>
    <t>Jean, Charles, Gaspard</t>
  </si>
  <si>
    <t>Médard, Jules</t>
  </si>
  <si>
    <t>Jules, François</t>
  </si>
  <si>
    <t>Paul, Augustin</t>
  </si>
  <si>
    <t>Célestin,Marc</t>
  </si>
  <si>
    <t>Raoul, Marie, Louis Calary de</t>
  </si>
  <si>
    <t>Jean, Baptiste</t>
  </si>
  <si>
    <t>René, François</t>
  </si>
  <si>
    <t>Paul, Julien Granier de</t>
  </si>
  <si>
    <t>Stanislas</t>
  </si>
  <si>
    <t>Edouard, Noël, Marie, Joseph de Curières de</t>
  </si>
  <si>
    <t>Pierre, Théodore</t>
  </si>
  <si>
    <t>Paul, Auguste, Pierre, Marie</t>
  </si>
  <si>
    <t>Albert, Léonard</t>
  </si>
  <si>
    <t>Arthur, Théophile</t>
  </si>
  <si>
    <t>Joseph, Narcisse, Léon, Jean</t>
  </si>
  <si>
    <t>Pierre, Léon, Edouard</t>
  </si>
  <si>
    <t>Marie-Joseph</t>
  </si>
  <si>
    <t>Ernest, Clément, Désiré</t>
  </si>
  <si>
    <t>Alexandre, Denis</t>
  </si>
  <si>
    <t>Louis, Jacques, Paul, Marie</t>
  </si>
  <si>
    <t>Joseph, Hector Defos du</t>
  </si>
  <si>
    <t>Auguste Parenthou d'Ormoy dit</t>
  </si>
  <si>
    <t>Paul, Casimir, Léon</t>
  </si>
  <si>
    <t>Pierre Dubois de la</t>
  </si>
  <si>
    <t>Paul, Marie, Joseph</t>
  </si>
  <si>
    <t>Louis, Jean, Georges</t>
  </si>
  <si>
    <t>François, Charles, Abel</t>
  </si>
  <si>
    <t>Alexandre, Henri</t>
  </si>
  <si>
    <t>Louis, Frédéric, Eugène</t>
  </si>
  <si>
    <t>Louis, Pierre, Marie</t>
  </si>
  <si>
    <t>Marie, Paul, Henry</t>
  </si>
  <si>
    <t>Désiré</t>
  </si>
  <si>
    <t>Roland</t>
  </si>
  <si>
    <t>Achille-Armand</t>
  </si>
  <si>
    <t>Elysée</t>
  </si>
  <si>
    <t>Gontrand</t>
  </si>
  <si>
    <t>Pétrus</t>
  </si>
  <si>
    <t>Alfred, Marie, Joseph</t>
  </si>
  <si>
    <t>Pierre Joly dit</t>
  </si>
  <si>
    <t>Elie Dor de</t>
  </si>
  <si>
    <t>Alfred, Jacques, Wulfrand</t>
  </si>
  <si>
    <t>Xavier, Joseph, Frédéric, Guillaume de Magallon</t>
  </si>
  <si>
    <t>Alfred, Louis, Antoine</t>
  </si>
  <si>
    <t>Fernand, Jules</t>
  </si>
  <si>
    <t>Maurice, Emile, Marie</t>
  </si>
  <si>
    <t>Emile, Hilaire</t>
  </si>
  <si>
    <t>Louis, François</t>
  </si>
  <si>
    <t>Henri, Bernard, François de</t>
  </si>
  <si>
    <t>Camille, Joseph, Nicéphore</t>
  </si>
  <si>
    <t>Paul, François, Désiré</t>
  </si>
  <si>
    <t>Albert, Jean, Baptiste</t>
  </si>
  <si>
    <t>François, Pierre</t>
  </si>
  <si>
    <t>Pierre, Jules, Joseph de</t>
  </si>
  <si>
    <t>Guy de</t>
  </si>
  <si>
    <t>Joachim</t>
  </si>
  <si>
    <t>Anselme, Marie, Joseph, François, Julien, Léocade</t>
  </si>
  <si>
    <t>Yves</t>
  </si>
  <si>
    <t>Constant, Léon, Maximilien</t>
  </si>
  <si>
    <t>Aimé, Charles</t>
  </si>
  <si>
    <t>Henri, Marie, Théophile, Joseph de</t>
  </si>
  <si>
    <t>Henri, Théodore, Clair, Jean, Denis, Louis</t>
  </si>
  <si>
    <t>Alain de</t>
  </si>
  <si>
    <t>Charles, Jean, Victor</t>
  </si>
  <si>
    <t>Charles, Félix, Henri, Marie, Anne</t>
  </si>
  <si>
    <t>Antoine, Marie, Eugène</t>
  </si>
  <si>
    <t>Jacques, Marie, Louis</t>
  </si>
  <si>
    <t>Jules, Frédéric, Georges</t>
  </si>
  <si>
    <t>Louis, Adrien</t>
  </si>
  <si>
    <t>Bernard Quénault de la</t>
  </si>
  <si>
    <t>François de</t>
  </si>
  <si>
    <t>Francisque, Romain</t>
  </si>
  <si>
    <t>Ambroise</t>
  </si>
  <si>
    <t>Victor, Alexis</t>
  </si>
  <si>
    <t>Raphaël, Alphonse, René</t>
  </si>
  <si>
    <t>Humbert, Joseph, Marie</t>
  </si>
  <si>
    <t>Henri, Marie, Victor Rillard de</t>
  </si>
  <si>
    <t>Etienne de</t>
  </si>
  <si>
    <t>Georges de</t>
  </si>
  <si>
    <t>Jean du Tinguy du</t>
  </si>
  <si>
    <t>Charles, Marie, Adrien</t>
  </si>
  <si>
    <t>Aimé</t>
  </si>
  <si>
    <t>Xavier</t>
  </si>
  <si>
    <t>Paul, Charles</t>
  </si>
  <si>
    <t>Edouard de</t>
  </si>
  <si>
    <t>Clément, Gabriel</t>
  </si>
  <si>
    <t>Charles, Henri</t>
  </si>
  <si>
    <t>Jean, Henri, Antoine Le</t>
  </si>
  <si>
    <t>Henry Le</t>
  </si>
  <si>
    <t>Albert Le</t>
  </si>
  <si>
    <t>Gaston, Henri, Adolphe Le Provost de</t>
  </si>
  <si>
    <t>Louis, Marie, Pierre Le</t>
  </si>
  <si>
    <t>Pierre, Arthur</t>
  </si>
  <si>
    <t>Louis, Honoré, Fernand</t>
  </si>
  <si>
    <t>Raoult, Etienne</t>
  </si>
  <si>
    <t>Jean dit Renaud</t>
  </si>
  <si>
    <t>Joseph-Louis</t>
  </si>
  <si>
    <t>Jean-Maurice Le</t>
  </si>
  <si>
    <t>Cyprien</t>
  </si>
  <si>
    <t>Yves, Marie Le Gallou dit</t>
  </si>
  <si>
    <t>Hervé de</t>
  </si>
  <si>
    <t>Jammy</t>
  </si>
  <si>
    <t>Victor Le</t>
  </si>
  <si>
    <t>Yves, Marie, Julien</t>
  </si>
  <si>
    <t>Jacques, Amédée</t>
  </si>
  <si>
    <t>Joseph, Pierre, Gabriel</t>
  </si>
  <si>
    <t>Frédéric, Denis, Marcelin</t>
  </si>
  <si>
    <t>Olivier-François</t>
  </si>
  <si>
    <t>Geoffroy, Charles, François, Marie</t>
  </si>
  <si>
    <t>Gabriel, Louis</t>
  </si>
  <si>
    <t>Etienne, César</t>
  </si>
  <si>
    <t>Marcel, Français</t>
  </si>
  <si>
    <t>Charles, Adrien</t>
  </si>
  <si>
    <t>Fernand, Isidore, Amédée</t>
  </si>
  <si>
    <t>Charles, Georges</t>
  </si>
  <si>
    <t>Raymond, Henri</t>
  </si>
  <si>
    <t>Genès, Emile, dit Félix</t>
  </si>
  <si>
    <t>Clotaire, Hildevert, Maurice</t>
  </si>
  <si>
    <t>Gustave, Jules, Léopold</t>
  </si>
  <si>
    <t>Auguste, Arthur</t>
  </si>
  <si>
    <t>Daniel, Vivien, Michel</t>
  </si>
  <si>
    <t>Jean-Joseph</t>
  </si>
  <si>
    <t>Maxence</t>
  </si>
  <si>
    <t>Anatole, Marie, Paul, Henri</t>
  </si>
  <si>
    <t>René-Charles</t>
  </si>
  <si>
    <t>Marie-Gabriel</t>
  </si>
  <si>
    <t>Georges, Etienne</t>
  </si>
  <si>
    <t>Edmond, Jean</t>
  </si>
  <si>
    <t>Jules, Pierre, Mathieu, Auguste</t>
  </si>
  <si>
    <t>Victor, Charles, François</t>
  </si>
  <si>
    <t>Georges, Robert, René, Léon</t>
  </si>
  <si>
    <t>Almire</t>
  </si>
  <si>
    <t>Henri, Jean-Baptiste</t>
  </si>
  <si>
    <t>Emilien</t>
  </si>
  <si>
    <t>Antonin, Félix, Gabriel</t>
  </si>
  <si>
    <t>Auguste, Charles, Désiré, Emmanuel</t>
  </si>
  <si>
    <t>Gustave, Jean, Jacques</t>
  </si>
  <si>
    <t>Joseph, Marie, Augustin</t>
  </si>
  <si>
    <t>Elie, Pierre</t>
  </si>
  <si>
    <t>Jean dit Charles</t>
  </si>
  <si>
    <t>Hubert, Joseph</t>
  </si>
  <si>
    <t>Jean, Paulin, Hippolyte</t>
  </si>
  <si>
    <t>Hyacinthe</t>
  </si>
  <si>
    <t>Gabriel, Prosper</t>
  </si>
  <si>
    <t>Adolphe, Joseph</t>
  </si>
  <si>
    <t>Antoine, Georges, Hubert</t>
  </si>
  <si>
    <t>Adolphe-Henri</t>
  </si>
  <si>
    <t>Jean, Louis</t>
  </si>
  <si>
    <t>Emmanuel, Jacques, Marie</t>
  </si>
  <si>
    <t>Auguste, Joseph, Marius, Léopold</t>
  </si>
  <si>
    <t>Jean, Ludovic dit René Picard-Chavagnes dit</t>
  </si>
  <si>
    <t>André, Camille</t>
  </si>
  <si>
    <t>Pierre, Théophile</t>
  </si>
  <si>
    <t>Louis, Géraud, Joseph</t>
  </si>
  <si>
    <t>Ephrem</t>
  </si>
  <si>
    <t>Léon, Eugène</t>
  </si>
  <si>
    <t>Gaston, Louis, Paul</t>
  </si>
  <si>
    <t>Louis, Marie, Adrien, Philippe</t>
  </si>
  <si>
    <t>Jules, François, Joseph, Marie</t>
  </si>
  <si>
    <t>Raymond, Pierre</t>
  </si>
  <si>
    <t>Yvon</t>
  </si>
  <si>
    <t>Alcide</t>
  </si>
  <si>
    <t>Clotaire</t>
  </si>
  <si>
    <t>Roger, Jean-Marie, Camille</t>
  </si>
  <si>
    <t>Augustin</t>
  </si>
  <si>
    <t>Louis, Noël</t>
  </si>
  <si>
    <t>Sully</t>
  </si>
  <si>
    <t>Maurice-Henri</t>
  </si>
  <si>
    <t>Arsène-Celestin</t>
  </si>
  <si>
    <t>Jean-Louis</t>
  </si>
  <si>
    <t>Félix, Jean</t>
  </si>
  <si>
    <t>Olivier</t>
  </si>
  <si>
    <t>Charles, Louis</t>
  </si>
  <si>
    <t>Louis, Charlemagne dit Georges</t>
  </si>
  <si>
    <t>Emile de</t>
  </si>
  <si>
    <t>Edouard, Jean, Marc</t>
  </si>
  <si>
    <t>Julien, Charles, Marie</t>
  </si>
  <si>
    <t>Charles, Marius</t>
  </si>
  <si>
    <t>Adolphe de</t>
  </si>
  <si>
    <t>Louis, Emile, Marir</t>
  </si>
  <si>
    <t>Emile-Jean</t>
  </si>
  <si>
    <t>René, François, Marie</t>
  </si>
  <si>
    <t>Emile, Charles, Félix</t>
  </si>
  <si>
    <t>HENRI-MICHEL</t>
  </si>
  <si>
    <t>Edouard, Marius, Joseph</t>
  </si>
  <si>
    <t>Jean, Auguste</t>
  </si>
  <si>
    <t>Emile, Louis, Mathieu</t>
  </si>
  <si>
    <t>Jacques, Laurent</t>
  </si>
  <si>
    <t>Yvan</t>
  </si>
  <si>
    <t>Louis, Virgile</t>
  </si>
  <si>
    <t>Henri-Elisée</t>
  </si>
  <si>
    <t>Alexandre-Etienne</t>
  </si>
  <si>
    <t>Adrien, Charles, Félix</t>
  </si>
  <si>
    <t>Rémy</t>
  </si>
  <si>
    <t>Victor de</t>
  </si>
  <si>
    <t>James</t>
  </si>
  <si>
    <t>Pierre, Marie, François</t>
  </si>
  <si>
    <t>Pierre-Henri</t>
  </si>
  <si>
    <t>Alexandre-Félix</t>
  </si>
  <si>
    <t>Joseph, Ernest, Charles</t>
  </si>
  <si>
    <t>Joseph-Louis, Edouard, Marie</t>
  </si>
  <si>
    <t>Auguste, Marie</t>
  </si>
  <si>
    <t>Fernand, Etienne</t>
  </si>
  <si>
    <t>Louis-Edouard</t>
  </si>
  <si>
    <t>François, Clément</t>
  </si>
  <si>
    <t>Antoine, Lucien</t>
  </si>
  <si>
    <t>Isidore, Joseph</t>
  </si>
  <si>
    <t>Eugène, Jules</t>
  </si>
  <si>
    <t>Pierre, Marie, Jacques, Nicolas</t>
  </si>
  <si>
    <t>Emile, Léon</t>
  </si>
  <si>
    <t>Paul-Edouard</t>
  </si>
  <si>
    <t>Armand Le</t>
  </si>
  <si>
    <t>François-Marie Le</t>
  </si>
  <si>
    <t>Pierre Le</t>
  </si>
  <si>
    <t>Théophile, Ignace</t>
  </si>
  <si>
    <t>Marcel, Ernest, Jean, Marie</t>
  </si>
  <si>
    <t>André, Marie, Alfred</t>
  </si>
  <si>
    <t>Jules, Léon, Ferdinand</t>
  </si>
  <si>
    <t>Georges, Marie, Jacques</t>
  </si>
  <si>
    <t>Camille, Clément</t>
  </si>
  <si>
    <t>Jean, Maurice</t>
  </si>
  <si>
    <t>Adrien, Baptiste, Honoré</t>
  </si>
  <si>
    <t>Pierre, Jean, Gustave</t>
  </si>
  <si>
    <t>Edmond, Antony, Joseph</t>
  </si>
  <si>
    <t>Louis, Marie, François</t>
  </si>
  <si>
    <t>Charles, Paul, Adolphe, Claudius</t>
  </si>
  <si>
    <t>Joanny, Marius, dit Jean</t>
  </si>
  <si>
    <t>Jules, Raymond, Joseph, Philippe</t>
  </si>
  <si>
    <t>Jean, Marie, Joseph, Charles</t>
  </si>
  <si>
    <t>Jean-Paul</t>
  </si>
  <si>
    <t>Ludovic-Oscar</t>
  </si>
  <si>
    <t>Antonin</t>
  </si>
  <si>
    <t>Clovis, Henri, Dominique</t>
  </si>
  <si>
    <t>Proper, Marie, Auguste</t>
  </si>
  <si>
    <t>Léonel, Marie, Ghislain, Alfred de</t>
  </si>
  <si>
    <t>Edouard, Pierre, Ausone, François</t>
  </si>
  <si>
    <t>Camille, Charles, Joseph, Eugène, Roch de</t>
  </si>
  <si>
    <t>Louis, Jean, René, Gaston Poute de</t>
  </si>
  <si>
    <t>Emile, Georges</t>
  </si>
  <si>
    <t>Henri Le</t>
  </si>
  <si>
    <t>Fabien</t>
  </si>
  <si>
    <t>Jean, Marius</t>
  </si>
  <si>
    <t>Pierre, Antoine, Marie Amidieu du</t>
  </si>
  <si>
    <t>Henri, Urbain</t>
  </si>
  <si>
    <t>Joseph, Léon, Samuel, dit Louis</t>
  </si>
  <si>
    <t>Jean, Joseph</t>
  </si>
  <si>
    <t>André, Louis, Joseph</t>
  </si>
  <si>
    <t>Guillaume, Marie</t>
  </si>
  <si>
    <t>Georges, Amédée</t>
  </si>
  <si>
    <t>Ernest, Alexandre, Etienne</t>
  </si>
  <si>
    <t>Olivier, Eugène, Jules, Gustave</t>
  </si>
  <si>
    <t>Léopold</t>
  </si>
  <si>
    <t>Charles, Alphonse, Auguste</t>
  </si>
  <si>
    <t>Louis, Victor</t>
  </si>
  <si>
    <t>Edmond, Eugène, Edouard</t>
  </si>
  <si>
    <t>Léon, Edmond</t>
  </si>
  <si>
    <t>Georges, Alphonse, Hubert</t>
  </si>
  <si>
    <t>Joseph, Jules, Adolphe</t>
  </si>
  <si>
    <t>François, Louis</t>
  </si>
  <si>
    <t>Charles, Alfred, Ghislain</t>
  </si>
  <si>
    <t>Raoul, Jacques, Ernest</t>
  </si>
  <si>
    <t>Emile, Claude</t>
  </si>
  <si>
    <t>ANDRÉ-BRETON</t>
  </si>
  <si>
    <t>Henri, Emile</t>
  </si>
  <si>
    <t>Camille, Victor, Joseph</t>
  </si>
  <si>
    <t>Claude, Marie</t>
  </si>
  <si>
    <t>René, Valentin</t>
  </si>
  <si>
    <t>Louis, Antoine, Marie</t>
  </si>
  <si>
    <t>Alexis, Eugène</t>
  </si>
  <si>
    <t>Eugène, Georges</t>
  </si>
  <si>
    <t>Léon, Pierre</t>
  </si>
  <si>
    <t>Camille, Constant</t>
  </si>
  <si>
    <t>Paul, Ladislas</t>
  </si>
  <si>
    <t>Léon, Paul</t>
  </si>
  <si>
    <t>Armand, Pierre, Emile</t>
  </si>
  <si>
    <t>Pierre, Augustin, Nicolas</t>
  </si>
  <si>
    <t>Paul, Jean, Pierre</t>
  </si>
  <si>
    <t>Henry, Edouard</t>
  </si>
  <si>
    <t>Jean-Charles, Eugène,Jules</t>
  </si>
  <si>
    <t>Gabriel, Louis, Eugène, Alfred</t>
  </si>
  <si>
    <t>Louis, Jean-Baptiste</t>
  </si>
  <si>
    <t>Paul, Charles, Eugène</t>
  </si>
  <si>
    <t>Louis, Marie, Edouard</t>
  </si>
  <si>
    <t>Auguste, Louis, Marie</t>
  </si>
  <si>
    <t>René, André, Louis, Joseph</t>
  </si>
  <si>
    <t>André de</t>
  </si>
  <si>
    <t>Claude-Joseph</t>
  </si>
  <si>
    <t>Antoine de</t>
  </si>
  <si>
    <t>Arsène</t>
  </si>
  <si>
    <t>Paul-François</t>
  </si>
  <si>
    <t>Pierre Jacobé de Haut de</t>
  </si>
  <si>
    <t>Gaston, Henry dit</t>
  </si>
  <si>
    <t>Alphonse, Eugène, Gabriel</t>
  </si>
  <si>
    <t>Max</t>
  </si>
  <si>
    <t>Jean-Alexis</t>
  </si>
  <si>
    <t>Jacques, Philippe</t>
  </si>
  <si>
    <t>Pierre de</t>
  </si>
  <si>
    <t>Paul, Marie, Elie</t>
  </si>
  <si>
    <t>Louis, Raoul, Edouard</t>
  </si>
  <si>
    <t>Joseph, Marie, Henri</t>
  </si>
  <si>
    <t>Emile, Claude, Antoine</t>
  </si>
  <si>
    <t>Paul, Dominique</t>
  </si>
  <si>
    <t>Joseph, Victor</t>
  </si>
  <si>
    <t>Albert, Emile</t>
  </si>
  <si>
    <t>Henri, Pierre</t>
  </si>
  <si>
    <t>Ennemond</t>
  </si>
  <si>
    <t>Ernest, Amans</t>
  </si>
  <si>
    <t>Marius, Jérôme</t>
  </si>
  <si>
    <t>Etienne, Pierre, Marie, Lucien</t>
  </si>
  <si>
    <t>Lucien, Camille, Eugène</t>
  </si>
  <si>
    <t>Eugène, Nérestan</t>
  </si>
  <si>
    <t>Louis, Etienne</t>
  </si>
  <si>
    <t>Eugène, Elie, Joseph</t>
  </si>
  <si>
    <t>René, Jean-Baptiste</t>
  </si>
  <si>
    <t>Simon, Pierre</t>
  </si>
  <si>
    <t>Eugène, Ernest</t>
  </si>
  <si>
    <t>Jean-Michel Tournaire dit</t>
  </si>
  <si>
    <t>Gaston, Gabriel, Eudoxe dit</t>
  </si>
  <si>
    <t>Camille, Guillaume</t>
  </si>
  <si>
    <t>Lionel de</t>
  </si>
  <si>
    <t>Albert, Alexis</t>
  </si>
  <si>
    <t>Eugène-Romain</t>
  </si>
  <si>
    <t>Léon, Alfred</t>
  </si>
  <si>
    <t>Joseph, Marie Le</t>
  </si>
  <si>
    <t>Gabriel, Jean</t>
  </si>
  <si>
    <t>Léon, Henri</t>
  </si>
  <si>
    <t>Maurice, Paul</t>
  </si>
  <si>
    <t>Aimery, Louis, Jules</t>
  </si>
  <si>
    <t>Marcel, Louis, Maurice</t>
  </si>
  <si>
    <t>Jean, Marie, Charles</t>
  </si>
  <si>
    <t>Rodolphe, Jean-Baptiste</t>
  </si>
  <si>
    <t>Georges, Henri, Maurice, Christian</t>
  </si>
  <si>
    <t>François, Benjamin, Pierre, Joseph</t>
  </si>
  <si>
    <t>Raymond, Albert, Ernest</t>
  </si>
  <si>
    <t>Firmin</t>
  </si>
  <si>
    <t>Oswen de</t>
  </si>
  <si>
    <t>Pierre, Marie, Auguste</t>
  </si>
  <si>
    <t>Yves Le</t>
  </si>
  <si>
    <t>René, Joseph, Casimir</t>
  </si>
  <si>
    <t>Léon, Marie, Joseph</t>
  </si>
  <si>
    <t>Gaston, Jean-Baptiste, François, Joseph</t>
  </si>
  <si>
    <t>Marx</t>
  </si>
  <si>
    <t>Anatole, Jean</t>
  </si>
  <si>
    <t>Fortuné, Marie, Pierre</t>
  </si>
  <si>
    <t>Edouard, Marius</t>
  </si>
  <si>
    <t>César</t>
  </si>
  <si>
    <t>Horace de</t>
  </si>
  <si>
    <t>Emery</t>
  </si>
  <si>
    <t>Henry, Jean-Baptiste</t>
  </si>
  <si>
    <t>Armand, Victor, Eugène, Henri, Lucien, Marie, Joseph</t>
  </si>
  <si>
    <t>Marie, Joseph, Charles des Acres de</t>
  </si>
  <si>
    <t>Guy, Henri, Victor</t>
  </si>
  <si>
    <t>Georges, Pierre</t>
  </si>
  <si>
    <t>Eugène, Marius</t>
  </si>
  <si>
    <t>Victor, Henri, Ernest</t>
  </si>
  <si>
    <t>Marcel, Léon</t>
  </si>
  <si>
    <t>Eugène, Alexis Le</t>
  </si>
  <si>
    <t>Louis, Félix, Hippolyte</t>
  </si>
  <si>
    <t>Félix, Pierre, Théodore</t>
  </si>
  <si>
    <t>Georges, Eugène, Germain</t>
  </si>
  <si>
    <t>Alfred, Jean-Baptiste</t>
  </si>
  <si>
    <t>Charles, Albert</t>
  </si>
  <si>
    <t>René, Amédée, Marcel, Joseph</t>
  </si>
  <si>
    <t>Philibert, Hippolyte, Marcelin</t>
  </si>
  <si>
    <t>Eloi</t>
  </si>
  <si>
    <t>Gaston, Louis</t>
  </si>
  <si>
    <t>Marius, Etienne, Florent</t>
  </si>
  <si>
    <t>Emile, Victor, Léon</t>
  </si>
  <si>
    <t>Maurice, Jean, Marie</t>
  </si>
  <si>
    <t>Gaston, Marie, Léon</t>
  </si>
  <si>
    <t>Maurice, Léonce</t>
  </si>
  <si>
    <t>Emile, Ulysse</t>
  </si>
  <si>
    <t>Jean, Marcel</t>
  </si>
  <si>
    <t>Henri, Julien</t>
  </si>
  <si>
    <t>Georges, Louis, Marie</t>
  </si>
  <si>
    <t>Henri, François, Joseph, Marius</t>
  </si>
  <si>
    <t>Jean, Alfred, Eugène</t>
  </si>
  <si>
    <t>André, Pierre</t>
  </si>
  <si>
    <t>Octave, Louis, Charles, Célestin</t>
  </si>
  <si>
    <t>Achille, Pierre, Anatole, Eugène</t>
  </si>
  <si>
    <t>Emile, Jean, Joseph, Ferdinand</t>
  </si>
  <si>
    <t>Jean, Louis, Camille, Emile</t>
  </si>
  <si>
    <t>Louis, Georges</t>
  </si>
  <si>
    <t>Sulpice</t>
  </si>
  <si>
    <t>Pierre, Alphonse</t>
  </si>
  <si>
    <t>Jean-Jacques, Henri, André</t>
  </si>
  <si>
    <t>René Dupray de la</t>
  </si>
  <si>
    <t>Armand, Camille</t>
  </si>
  <si>
    <t>Sansimon</t>
  </si>
  <si>
    <t>Louis, Paul</t>
  </si>
  <si>
    <t>Georges (Pierre dit)</t>
  </si>
  <si>
    <t>Jacques, Louis, Jean, Robert du</t>
  </si>
  <si>
    <t>Hervé, Léon, Charles de</t>
  </si>
  <si>
    <t>Henri, Léopold, Eugène</t>
  </si>
  <si>
    <t>Henri, Jean-Claude, Eugène</t>
  </si>
  <si>
    <t>Ernest, Jean, Marie</t>
  </si>
  <si>
    <t>Louis, Félix</t>
  </si>
  <si>
    <t>Georges, Eugène</t>
  </si>
  <si>
    <t>Marc de</t>
  </si>
  <si>
    <t>Lucien, Henri</t>
  </si>
  <si>
    <t>Barthelémy, Marius</t>
  </si>
  <si>
    <t>Léon, Narcisse, Isidore</t>
  </si>
  <si>
    <t>Emile, Jean, Marie</t>
  </si>
  <si>
    <t>Léon, Pierre, Laubanie</t>
  </si>
  <si>
    <t>Maxence, Jean-Baptiste</t>
  </si>
  <si>
    <t>Maurice, Pierre, Félix</t>
  </si>
  <si>
    <t>Théophile, Victor, Marie</t>
  </si>
  <si>
    <t>Emmanuel, Jean</t>
  </si>
  <si>
    <t>Jean du Pouget de</t>
  </si>
  <si>
    <t>Camille, Alphonse</t>
  </si>
  <si>
    <t>Paul, Jacques, Marius</t>
  </si>
  <si>
    <t>TONY-REVILLON</t>
  </si>
  <si>
    <t>Marcel, Jacques, Marie</t>
  </si>
  <si>
    <t>Alex</t>
  </si>
  <si>
    <t>Louis, Alfred, Désiré</t>
  </si>
  <si>
    <t>Marc, Léandre, Auguste</t>
  </si>
  <si>
    <t>Ernest de Framont de la</t>
  </si>
  <si>
    <t>Etienne Le</t>
  </si>
  <si>
    <t>Maurice, Antonin, Barthélémy</t>
  </si>
  <si>
    <t>Robert Millin de</t>
  </si>
  <si>
    <t>Angèle, Emile, Lucien</t>
  </si>
  <si>
    <t>Robert de La</t>
  </si>
  <si>
    <t>Louis, Edouard</t>
  </si>
  <si>
    <t>Georges, Lucien, Paul, Constant</t>
  </si>
  <si>
    <t>Firmin, Célestin, Marie</t>
  </si>
  <si>
    <t>Galandou</t>
  </si>
  <si>
    <t>Edmond, Marcel</t>
  </si>
  <si>
    <t>Bernard, Gabriel, Jean, Marie de</t>
  </si>
  <si>
    <t>Samuel de</t>
  </si>
  <si>
    <t>François, Joseph</t>
  </si>
  <si>
    <t>Charles, Georges, Alfred</t>
  </si>
  <si>
    <t>Paul, Léon, Rollin</t>
  </si>
  <si>
    <t>Albert, Pierre, René</t>
  </si>
  <si>
    <t>André, Gervais, Paul, Albert</t>
  </si>
  <si>
    <t>Robert, Jean-Baptiste, Paul</t>
  </si>
  <si>
    <t>Bernard, Julien, Marie</t>
  </si>
  <si>
    <t>Emmerand, Prosper, Marie, Joseph</t>
  </si>
  <si>
    <t>Joseph, Etienne, Jacques, Pierre</t>
  </si>
  <si>
    <t>Jean-Baptiste, Marie</t>
  </si>
  <si>
    <t>Elie, Clainville</t>
  </si>
  <si>
    <t>Fernand, René, Léon, Just</t>
  </si>
  <si>
    <t>Jean, Joseph, Antoine</t>
  </si>
  <si>
    <t>Henri Calloc'H de</t>
  </si>
  <si>
    <t>Octave, Joseph</t>
  </si>
  <si>
    <t>Jean, Lucien, Victor</t>
  </si>
  <si>
    <t>Gaston, René, Léon</t>
  </si>
  <si>
    <t>Hervé</t>
  </si>
  <si>
    <t>Henri Provost de la</t>
  </si>
  <si>
    <t>Jean, Louis, Honoré de</t>
  </si>
  <si>
    <t>Fernand, Paul, Jean-Baptiste, Bertrand, Germain</t>
  </si>
  <si>
    <t>Francis, Marie, Julien, Joseph, François</t>
  </si>
  <si>
    <t>Georges, Edouard</t>
  </si>
  <si>
    <t>Jean-Jacques, César, Eugène, Michel</t>
  </si>
  <si>
    <t>Louis, Amans</t>
  </si>
  <si>
    <t>Jean-Honoré</t>
  </si>
  <si>
    <t>Claude, Stanislas</t>
  </si>
  <si>
    <t>Désiré, Jean</t>
  </si>
  <si>
    <t>Adrien, Pierre, Rémy</t>
  </si>
  <si>
    <t>Louis, Alphonse Gouzillon de</t>
  </si>
  <si>
    <t>Antoine, Dieudonné</t>
  </si>
  <si>
    <t>Alphonse, Louis, Ferdinand</t>
  </si>
  <si>
    <t>Jean, Gustave</t>
  </si>
  <si>
    <t>Paul, Louis, Gabriel</t>
  </si>
  <si>
    <t>Henri Le Loup de La</t>
  </si>
  <si>
    <t>Raphaël, Louis</t>
  </si>
  <si>
    <t>Louis, Jean, Joseph, Charles</t>
  </si>
  <si>
    <t>Marie, Jules</t>
  </si>
  <si>
    <t>Alexandre, Raoul, Marie Blin de</t>
  </si>
  <si>
    <t>François, Antoine de Boissy</t>
  </si>
  <si>
    <t>Alfred, Ferdinand</t>
  </si>
  <si>
    <t>Augustin, Marie</t>
  </si>
  <si>
    <t>Albert, Jean-Marie, Alexandre</t>
  </si>
  <si>
    <t>Paul-Emile</t>
  </si>
  <si>
    <t>Paul, Antoine, Charles</t>
  </si>
  <si>
    <t>Oswald, Jean-Baptiste, Michel, Augustin</t>
  </si>
  <si>
    <t>Jean-Baptiste, Augustin Bouthier de</t>
  </si>
  <si>
    <t>Amédée-Pierre,Marie, Auguste, Ennemond</t>
  </si>
  <si>
    <t>Ferdinand, François, Charles</t>
  </si>
  <si>
    <t>Charles, Guillaume</t>
  </si>
  <si>
    <t>Pierre, Eugène, Emile</t>
  </si>
  <si>
    <t>Aurélien, François, Marie, Jules</t>
  </si>
  <si>
    <t>Alfred, Barthélemy</t>
  </si>
  <si>
    <t>Sadi, Marie, François</t>
  </si>
  <si>
    <t>Paul, Adolphe, Marie, Prosper Granier de</t>
  </si>
  <si>
    <t>Jean, René</t>
  </si>
  <si>
    <t>Louis, Henri, Angeli</t>
  </si>
  <si>
    <t>Antoine-Daniel</t>
  </si>
  <si>
    <t>François, Antoine, Léon</t>
  </si>
  <si>
    <t>Horace, Eugène, Antoine de</t>
  </si>
  <si>
    <t>Albert, Silas, Médéric, Charles</t>
  </si>
  <si>
    <t>Jean, Julien, Augustin</t>
  </si>
  <si>
    <t>Jean, Pierre, Louis, Jean-Baptiste de</t>
  </si>
  <si>
    <t>André, Victor</t>
  </si>
  <si>
    <t>Jean-Baptiste, Fernand</t>
  </si>
  <si>
    <t>Félix, Bernard</t>
  </si>
  <si>
    <t>Augustin, Honoré</t>
  </si>
  <si>
    <t>Maurice, Marc, Auguste</t>
  </si>
  <si>
    <t>Gaston de</t>
  </si>
  <si>
    <t>Etienne, Hubert, Ernest</t>
  </si>
  <si>
    <t>Charles, Maurice, Christophe Guillo Du</t>
  </si>
  <si>
    <t>François, Auguste</t>
  </si>
  <si>
    <t>Jean-Jacques, Paulin</t>
  </si>
  <si>
    <t>Nicolas, Eugène</t>
  </si>
  <si>
    <t>Eugène, René, François</t>
  </si>
  <si>
    <t>Albéric</t>
  </si>
  <si>
    <t>Eugène, Jérôme</t>
  </si>
  <si>
    <t>Justin, François</t>
  </si>
  <si>
    <t>Barthélémy, Amédée</t>
  </si>
  <si>
    <t>Albert, Joseph</t>
  </si>
  <si>
    <t>Charles, Félix, Michel</t>
  </si>
  <si>
    <t>Charles, Félix</t>
  </si>
  <si>
    <t>Charles-Emile</t>
  </si>
  <si>
    <t>Wladimir, Just, Charles</t>
  </si>
  <si>
    <t>René-François</t>
  </si>
  <si>
    <t>Henri, Antoine, Marie</t>
  </si>
  <si>
    <t>Jules, Félix</t>
  </si>
  <si>
    <t>Alphonse, Benjamin</t>
  </si>
  <si>
    <t>Joseph, René</t>
  </si>
  <si>
    <t>Adhémar, Joseph, Louis de</t>
  </si>
  <si>
    <t>Auguste, Jean</t>
  </si>
  <si>
    <t>Charles, Etienne, Gustave Leclerc de</t>
  </si>
  <si>
    <t>Philippe, Emile</t>
  </si>
  <si>
    <t>Emile Cillard de</t>
  </si>
  <si>
    <t>Marie, Charles, Gabriel, Sosthène La Rochefoucauld de</t>
  </si>
  <si>
    <t>Julien, Gaston du Vergier de La</t>
  </si>
  <si>
    <t>Jules, Jean, François</t>
  </si>
  <si>
    <t>Pierre, Henri de</t>
  </si>
  <si>
    <t>Etienne, Charles de</t>
  </si>
  <si>
    <t>Laure, Gustave de Laffitte de</t>
  </si>
  <si>
    <t>Charles, Ange</t>
  </si>
  <si>
    <t>Noël, François, Alfred Madier de</t>
  </si>
  <si>
    <t>Julien, Louis</t>
  </si>
  <si>
    <t>Pierre, François, Florentin</t>
  </si>
  <si>
    <t>François, Adrien, Ferdinand</t>
  </si>
  <si>
    <t>Jacques, Théophile</t>
  </si>
  <si>
    <t>Pierre, Joseph, Henri</t>
  </si>
  <si>
    <t>Antoine, Victorin, Edouard</t>
  </si>
  <si>
    <t>Jacques, Hippolyte, Paul</t>
  </si>
  <si>
    <t>Paul, François, Antoine</t>
  </si>
  <si>
    <t>Jean, Théodose</t>
  </si>
  <si>
    <t>Alfred, Jean, François</t>
  </si>
  <si>
    <t>Casimir, Laurent</t>
  </si>
  <si>
    <t>Eugène, Bertrand, Louis</t>
  </si>
  <si>
    <t>Alfred, Joseph</t>
  </si>
  <si>
    <t>Noël Parfait dit</t>
  </si>
  <si>
    <t>Dionys, Louis</t>
  </si>
  <si>
    <t>Gustave Cunéo</t>
  </si>
  <si>
    <t>Arthur, Eugène</t>
  </si>
  <si>
    <t>Louis Alype dit</t>
  </si>
  <si>
    <t>Eugène, Marie</t>
  </si>
  <si>
    <t>Lucien, Armand, Henri</t>
  </si>
  <si>
    <t>Eugène, Robert des</t>
  </si>
  <si>
    <t>François, Oscar</t>
  </si>
  <si>
    <t>Louis Roy de</t>
  </si>
  <si>
    <t>Gabriel, Antoine</t>
  </si>
  <si>
    <t>Richard, Joseph, Timoléon De Roys de Lédignan Saint</t>
  </si>
  <si>
    <t>Anselme, Maurice</t>
  </si>
  <si>
    <t>Etienne, Marie, Aimé Vaissière de</t>
  </si>
  <si>
    <t>Auguste, Mathias</t>
  </si>
  <si>
    <t>Jacques, Michel</t>
  </si>
  <si>
    <t>Marc, Gusman</t>
  </si>
  <si>
    <t>Christophe, Félix, Alphonse</t>
  </si>
  <si>
    <t>Adrien, Joseph</t>
  </si>
  <si>
    <t>Gustave, Paul</t>
  </si>
  <si>
    <t>Emile, Louis</t>
  </si>
  <si>
    <t>René, Charles</t>
  </si>
  <si>
    <t>Amédée, Joseph, Romaire</t>
  </si>
  <si>
    <t>Antoine, dit Tony</t>
  </si>
  <si>
    <t>Antoine, Ernest</t>
  </si>
  <si>
    <t>Emile, Alexandre</t>
  </si>
  <si>
    <t>Fidèle</t>
  </si>
  <si>
    <t>Marcellin, François</t>
  </si>
  <si>
    <t>Théobald de</t>
  </si>
  <si>
    <t>Georges, Jean, Marie Girard de</t>
  </si>
  <si>
    <t>Benoît-Martin</t>
  </si>
  <si>
    <t>Joseph, Nelson</t>
  </si>
  <si>
    <t>Léonce, Pierre, Gabriel de</t>
  </si>
  <si>
    <t>Antoine, Hippolyte</t>
  </si>
  <si>
    <t>Albert, Pierre, Emmanuel</t>
  </si>
  <si>
    <t>Stéphen, Albert</t>
  </si>
  <si>
    <t>Alfred, Jean, Jules</t>
  </si>
  <si>
    <t>Jacques, Charles, Henri</t>
  </si>
  <si>
    <t>Alcide, Marie</t>
  </si>
  <si>
    <t>Jean, Placide</t>
  </si>
  <si>
    <t>Léon, Cléry</t>
  </si>
  <si>
    <t>Emile, Hercule</t>
  </si>
  <si>
    <t>Richard, Pendrell</t>
  </si>
  <si>
    <t>Jean, Louis, Henri</t>
  </si>
  <si>
    <t>Louis, Privat, Camille</t>
  </si>
  <si>
    <t>André, Gilbert, Adolphe</t>
  </si>
  <si>
    <t>Louis Le Provost de</t>
  </si>
  <si>
    <t>Paul, Georges, Anne, Jean Le</t>
  </si>
  <si>
    <t>Gustave, Jean</t>
  </si>
  <si>
    <t>Désiré-Jules</t>
  </si>
  <si>
    <t>Henri, Frédéric</t>
  </si>
  <si>
    <t>Georges, Jean, Angel</t>
  </si>
  <si>
    <t>Arthur, Auguste, Eléonor</t>
  </si>
  <si>
    <t>Mesmin, Florent</t>
  </si>
  <si>
    <t>Edouard, Victor, Stanislas</t>
  </si>
  <si>
    <t>Georges, Jules, Louis</t>
  </si>
  <si>
    <t>François, Jean</t>
  </si>
  <si>
    <t>Paul, Charles, Fortuné Perier dit</t>
  </si>
  <si>
    <t>Eugène, François, Germain</t>
  </si>
  <si>
    <t>Alexis</t>
  </si>
  <si>
    <t>Guillaume, Amédée</t>
  </si>
  <si>
    <t>Pierre, Hippolyte</t>
  </si>
  <si>
    <t>Anatole de La</t>
  </si>
  <si>
    <t>Ernest, Eugène</t>
  </si>
  <si>
    <t>César, Auguste</t>
  </si>
  <si>
    <t>Severiano</t>
  </si>
  <si>
    <t>Sylvestre</t>
  </si>
  <si>
    <t>Gustave, Louis</t>
  </si>
  <si>
    <t>Charles, Alphonse</t>
  </si>
  <si>
    <t>Henri, Camille</t>
  </si>
  <si>
    <t>Jean, Gaston</t>
  </si>
  <si>
    <t>Auguste, Baptistin</t>
  </si>
  <si>
    <t>Adolphe, Auguste Maynard de la</t>
  </si>
  <si>
    <t>Constant, Jules</t>
  </si>
  <si>
    <t>François, Théophile, Agénor</t>
  </si>
  <si>
    <t>Georges, Charles, Frédéric, Hyacinthe</t>
  </si>
  <si>
    <t>Joseph, Jules, Pierre</t>
  </si>
  <si>
    <t>Ignace, Charles</t>
  </si>
  <si>
    <t>Benjamin, François, Vincent</t>
  </si>
  <si>
    <t>Paul, Eugène</t>
  </si>
  <si>
    <t>Francisque</t>
  </si>
  <si>
    <t>Ernest, Léon, Zacharie Poictevin de La</t>
  </si>
  <si>
    <t>Jean, Théoxène Roque de</t>
  </si>
  <si>
    <t>Antoine, Philippe, Adrien</t>
  </si>
  <si>
    <t>Edouard, Charles de</t>
  </si>
  <si>
    <t>Jules, Théodore</t>
  </si>
  <si>
    <t>Charles, Célestin, Joseph Thoinnet de la</t>
  </si>
  <si>
    <t>Auguste, Pierre</t>
  </si>
  <si>
    <t>Adrien, François, Arthur, Gaétan de</t>
  </si>
  <si>
    <t>Claude, Marie, Agapite</t>
  </si>
  <si>
    <t>Jean, Louis, Emile</t>
  </si>
  <si>
    <t>Léon, Théophile</t>
  </si>
  <si>
    <t>Dominique, Emile</t>
  </si>
  <si>
    <t>Luc, Philibert, Edmond</t>
  </si>
  <si>
    <t>Jean, Balthazar, Alexandre</t>
  </si>
  <si>
    <t>Marius, Arthur</t>
  </si>
  <si>
    <t>Victor, Gabriel</t>
  </si>
  <si>
    <t>Hugues, Arnaud</t>
  </si>
  <si>
    <t>Amant, Joseph</t>
  </si>
  <si>
    <t>Jean-Baptiste, Vincent, Henri</t>
  </si>
  <si>
    <t>Jules, Adolphe</t>
  </si>
  <si>
    <t>Emile, Valentin</t>
  </si>
  <si>
    <t>Jérôme</t>
  </si>
  <si>
    <t>Jean, Edmond</t>
  </si>
  <si>
    <t>Jules, Jean-François, Raoul</t>
  </si>
  <si>
    <t>Pierre, Léandre, Hippolyte</t>
  </si>
  <si>
    <t>Eugène, Aimé</t>
  </si>
  <si>
    <t>Ernest, Timoléon, Gabriel</t>
  </si>
  <si>
    <t>Louis Chassaignac de</t>
  </si>
  <si>
    <t>Raymond, Etienne, Lucien</t>
  </si>
  <si>
    <t>Arthur Le</t>
  </si>
  <si>
    <t>Antoine, Giudice</t>
  </si>
  <si>
    <t>Just, Louis, Anatole</t>
  </si>
  <si>
    <t>Marin, Jean-Pierre</t>
  </si>
  <si>
    <t>Charles, Marius, Michel de Goyon de</t>
  </si>
  <si>
    <t>Jacques, Michel, Marie</t>
  </si>
  <si>
    <t>Charles, Julien Rioust de</t>
  </si>
  <si>
    <t>Gilbert, Armand</t>
  </si>
  <si>
    <t>Jean, Amédée Le</t>
  </si>
  <si>
    <t>Eugène, Alexandre</t>
  </si>
  <si>
    <t>François, Alexis, Alcide</t>
  </si>
  <si>
    <t>Antoine, François, Félix</t>
  </si>
  <si>
    <t>Eugène Janvier de la</t>
  </si>
  <si>
    <t>Pierre, Honoré</t>
  </si>
  <si>
    <t>Louis, André, Ferdinand</t>
  </si>
  <si>
    <t>Charles, Adolphe</t>
  </si>
  <si>
    <t>François, Emile</t>
  </si>
  <si>
    <t>Adolphe, Jacques</t>
  </si>
  <si>
    <t>Marcellin, Eugène, Antoine</t>
  </si>
  <si>
    <t>Pierre, Bernard, Achille</t>
  </si>
  <si>
    <t>Marc, Amédée</t>
  </si>
  <si>
    <t>Jean, Justin, Fritz, Etienne</t>
  </si>
  <si>
    <t>Jean-Baptiste, Ernest</t>
  </si>
  <si>
    <t>Isidore, Bernard</t>
  </si>
  <si>
    <t>Joseph Marion de</t>
  </si>
  <si>
    <t>Jean-Baptiste, Henry</t>
  </si>
  <si>
    <t>Christophe, César</t>
  </si>
  <si>
    <t>Claude, Auguste</t>
  </si>
  <si>
    <t>Emile, François</t>
  </si>
  <si>
    <t>Jacques, Charles, Hyacinthe</t>
  </si>
  <si>
    <t>Louis, Paul, Arsène</t>
  </si>
  <si>
    <t>Jean, Joseph, Dominique, Hermaud</t>
  </si>
  <si>
    <t>Frédéric, Gustave</t>
  </si>
  <si>
    <t>Henri, Louis, Marie de Durfort de</t>
  </si>
  <si>
    <t>Jacques, Eugène, Clément</t>
  </si>
  <si>
    <t>Hippolyte, Aimé, Pierre</t>
  </si>
  <si>
    <t>François, Sébastien La</t>
  </si>
  <si>
    <t>Charles, François</t>
  </si>
  <si>
    <t>Albert, Daniel</t>
  </si>
  <si>
    <t>Vital</t>
  </si>
  <si>
    <t>Louis, Charles, Edmond</t>
  </si>
  <si>
    <t>Joseph, Théodore</t>
  </si>
  <si>
    <t>Edouard, Léon, Napoléon</t>
  </si>
  <si>
    <t>Auguste, Joseph</t>
  </si>
  <si>
    <t>Victor, Jules, Dunon</t>
  </si>
  <si>
    <t>Casimir</t>
  </si>
  <si>
    <t>Jean-Baptiste, Louis</t>
  </si>
  <si>
    <t>Auguste, Henri, Alphonse</t>
  </si>
  <si>
    <t>Désiré, Philippe, Joseph</t>
  </si>
  <si>
    <t>Louis, Désiré</t>
  </si>
  <si>
    <t>Alfred, Louis, Joseph</t>
  </si>
  <si>
    <t>Edmond, François, Marie</t>
  </si>
  <si>
    <t>Franck, Joseph, Charles</t>
  </si>
  <si>
    <t>Charles, Frédéric</t>
  </si>
  <si>
    <t>Alphonse, Lucien</t>
  </si>
  <si>
    <t>Louis, Edouard, Joseph</t>
  </si>
  <si>
    <t>André, Louis</t>
  </si>
  <si>
    <t>Edmond, Charles, Philippe Ansart Rault du</t>
  </si>
  <si>
    <t>Victor, François</t>
  </si>
  <si>
    <t>Thomas, Jean-Baptiste, François</t>
  </si>
  <si>
    <t>François, Jean, Amédée</t>
  </si>
  <si>
    <t>Jean-Baptiste, Théodore</t>
  </si>
  <si>
    <t>Jacques, Hyacinthe, Théodore</t>
  </si>
  <si>
    <t>Louis, Jacques</t>
  </si>
  <si>
    <t>Eugène, Pierre, Paul</t>
  </si>
  <si>
    <t>Lazare, Henri</t>
  </si>
  <si>
    <t>Jean, Jacques, Joseph</t>
  </si>
  <si>
    <t>Jean, Claude, Etienne, Edmond</t>
  </si>
  <si>
    <t>François, Philibert</t>
  </si>
  <si>
    <t>Antoine, Pierre</t>
  </si>
  <si>
    <t>Auguste, Léopold, Frédéric, Clément</t>
  </si>
  <si>
    <t>Fernand, Clovis, Ludovic de</t>
  </si>
  <si>
    <t>Pierre, Jean-Baptiste Le</t>
  </si>
  <si>
    <t>Bernardin</t>
  </si>
  <si>
    <t>Daniel, Henri</t>
  </si>
  <si>
    <t>Joseph, Théobald</t>
  </si>
  <si>
    <t>Alfred, Pierre, Théodore</t>
  </si>
  <si>
    <t>Anne-Charles</t>
  </si>
  <si>
    <t>David, Vincent</t>
  </si>
  <si>
    <t>Louis, Armand, Léon</t>
  </si>
  <si>
    <t>Marie, Maurice Desson de</t>
  </si>
  <si>
    <t>Louis, Edmond</t>
  </si>
  <si>
    <t>François, Charles, Auguste</t>
  </si>
  <si>
    <t>Amédée, Jérôme</t>
  </si>
  <si>
    <t>Léon, Louis, Geneviève</t>
  </si>
  <si>
    <t>Charles, Victor</t>
  </si>
  <si>
    <t>Henri, Etienne</t>
  </si>
  <si>
    <t>Porphyre, Henri</t>
  </si>
  <si>
    <t>Achille, Joseph</t>
  </si>
  <si>
    <t>Victor, Henri, Emile</t>
  </si>
  <si>
    <t>Bernard, Barthélémy, Martial</t>
  </si>
  <si>
    <t>Amaury, Pierre</t>
  </si>
  <si>
    <t>Louis, Cyprien</t>
  </si>
  <si>
    <t>Alphonse, Joseph, Antoine</t>
  </si>
  <si>
    <t>Edouard, Jean-Baptiste, Henri Morisson de La</t>
  </si>
  <si>
    <t>Jules, Yves</t>
  </si>
  <si>
    <t>Jacques, René</t>
  </si>
  <si>
    <t>Edme, Charles, Philippe</t>
  </si>
  <si>
    <t>Hector, Alexandre</t>
  </si>
  <si>
    <t>Joachim, Joseph, André</t>
  </si>
  <si>
    <t>Marcel, Jean</t>
  </si>
  <si>
    <t>Charles Dureau de</t>
  </si>
  <si>
    <t>Henri, Alexandre</t>
  </si>
  <si>
    <t>Gaston, Marie, Sidoine, Théonile</t>
  </si>
  <si>
    <t>Clovis, Hubert</t>
  </si>
  <si>
    <t>Pierre, Henri, Ernest de</t>
  </si>
  <si>
    <t>Armand, Félix</t>
  </si>
  <si>
    <t>Oscar, Victor,Emile Soubeyran de</t>
  </si>
  <si>
    <t>Alfred, Nicolas</t>
  </si>
  <si>
    <t>Joseph, Bruno</t>
  </si>
  <si>
    <t>Eugène, Paul</t>
  </si>
  <si>
    <t>Auguste, Bertrand, François, Joseph, Marie, Désiré</t>
  </si>
  <si>
    <t>Louis, André</t>
  </si>
  <si>
    <t>Charles, Auguste</t>
  </si>
  <si>
    <t>Joseph Martin</t>
  </si>
  <si>
    <t>Auguste, Henri</t>
  </si>
  <si>
    <t>Joseph, Arthur, Louis</t>
  </si>
  <si>
    <t>Nicolas, Joseph</t>
  </si>
  <si>
    <t>Ernest, Jean, Louis</t>
  </si>
  <si>
    <t>Ernest, Jean-Baptiste, André</t>
  </si>
  <si>
    <t>Jean-Urbain</t>
  </si>
  <si>
    <t>Charles, Edouard, Ernest</t>
  </si>
  <si>
    <t>Alfred, Pierre, Victor</t>
  </si>
  <si>
    <t>Napoléon</t>
  </si>
  <si>
    <t>Jean, Jules, Henri</t>
  </si>
  <si>
    <t>Philippe, Eugène, Pierre</t>
  </si>
  <si>
    <t>Philippe la Beaume de</t>
  </si>
  <si>
    <t>Louis, Fernand, Gustave</t>
  </si>
  <si>
    <t>Edouard, Guillaume</t>
  </si>
  <si>
    <t>Jean, Albert</t>
  </si>
  <si>
    <t>Paul, Edmond</t>
  </si>
  <si>
    <t>Ernest, François</t>
  </si>
  <si>
    <t>Victor, Etienne</t>
  </si>
  <si>
    <t>Jean, Anne, Antoine</t>
  </si>
  <si>
    <t>Charles, Alfred de</t>
  </si>
  <si>
    <t>Jean, Joseph, Mathurin</t>
  </si>
  <si>
    <t>Augustin, François</t>
  </si>
  <si>
    <t>Etienne, Prosper, Ferdinand</t>
  </si>
  <si>
    <t>Augustin, Fernand Caillard</t>
  </si>
  <si>
    <t>Emile Cornudet des</t>
  </si>
  <si>
    <t>Godefroy, Jacques, Marie, Eugène</t>
  </si>
  <si>
    <t>Henri, Jean, Baptiste</t>
  </si>
  <si>
    <t>Jean-François, Emile</t>
  </si>
  <si>
    <t>Alphonse, Alfred</t>
  </si>
  <si>
    <t>Louis, Auguste</t>
  </si>
  <si>
    <t>Albert, Alexandre</t>
  </si>
  <si>
    <t>Edmond, Marie Lefebvre du</t>
  </si>
  <si>
    <t>Alfred, Stanislas</t>
  </si>
  <si>
    <t>Pierre, Michel</t>
  </si>
  <si>
    <t>Henri, Adolphe Pieyre de</t>
  </si>
  <si>
    <t>Joseph, Ambroise</t>
  </si>
  <si>
    <t>Bernard, Honoré</t>
  </si>
  <si>
    <t>Louis, Gabriel</t>
  </si>
  <si>
    <t>Charles, Ferdinand</t>
  </si>
  <si>
    <t>Marius, Georges, Malachie, Barthélemy</t>
  </si>
  <si>
    <t>Joseph, Constant, Michel</t>
  </si>
  <si>
    <t>Alfred, Mathieu</t>
  </si>
  <si>
    <t>Nicolas, Charles, Désiré, Magloire</t>
  </si>
  <si>
    <t>Louis, Pierre, François</t>
  </si>
  <si>
    <t>Sigismond Krzyzanowski dit</t>
  </si>
  <si>
    <t>Jean, Baptiste, Marie, Germain, Léon, Jules</t>
  </si>
  <si>
    <t>Alexandre, Joseph, Marie</t>
  </si>
  <si>
    <t>Edouard-Auguste</t>
  </si>
  <si>
    <t>Théophile, Nicolas</t>
  </si>
  <si>
    <t>Marie,Gustave, Louis, Eugène</t>
  </si>
  <si>
    <t>François, Marie</t>
  </si>
  <si>
    <t>Nicolas, Jules</t>
  </si>
  <si>
    <t>Philippe, Michel</t>
  </si>
  <si>
    <t>Frédéric Rioust de</t>
  </si>
  <si>
    <t>Jean, Pierre, Léon</t>
  </si>
  <si>
    <t>Marie, Louis</t>
  </si>
  <si>
    <t>Eugène, Charles</t>
  </si>
  <si>
    <t>Edgar, Raoul</t>
  </si>
  <si>
    <t>FELIX-MARTIN</t>
  </si>
  <si>
    <t>Louis Obissier</t>
  </si>
  <si>
    <t>Edouard, Pierre, Michel de Cazenove de</t>
  </si>
  <si>
    <t>Edgard</t>
  </si>
  <si>
    <t>Etienne, Henri</t>
  </si>
  <si>
    <t>Louis, Emile</t>
  </si>
  <si>
    <t>Léon, Prosper</t>
  </si>
  <si>
    <t>Charles, Achille</t>
  </si>
  <si>
    <t>Ferdinand, Louis, Barthélemy</t>
  </si>
  <si>
    <t>Antoine, Hippolythe</t>
  </si>
  <si>
    <t>Norbert, Marie, Solange, Guillaume de</t>
  </si>
  <si>
    <t>François, Eugène</t>
  </si>
  <si>
    <t>Hervé, Marie Pierres de</t>
  </si>
  <si>
    <t>Julien, Armand</t>
  </si>
  <si>
    <t>Ernest, Henri, Bernard</t>
  </si>
  <si>
    <t>Anatole, Fernand, Marie de</t>
  </si>
  <si>
    <t>Charles, François, Joseph</t>
  </si>
  <si>
    <t>Emile, Anatole</t>
  </si>
  <si>
    <t>Jean-Baptiste Bourgeois dit</t>
  </si>
  <si>
    <t>Charles, Nicolas</t>
  </si>
  <si>
    <t>Henry, Charles, Joseph Le Tonelier de</t>
  </si>
  <si>
    <t>Henri, Ferdinand, Joseph</t>
  </si>
  <si>
    <t>Alexandre de Cardenau de</t>
  </si>
  <si>
    <t>John, Alexander, Edgar Dumas de</t>
  </si>
  <si>
    <t>Jean, Charles</t>
  </si>
  <si>
    <t>Julien, Henri</t>
  </si>
  <si>
    <t>Anatole, Bernard, Joseph de Colombet de</t>
  </si>
  <si>
    <t>Elisée</t>
  </si>
  <si>
    <t>Alphonse, Désiré</t>
  </si>
  <si>
    <t>Paul, Guillaume</t>
  </si>
  <si>
    <t>Léonce, Emile</t>
  </si>
  <si>
    <t>Marie, Aimé, Henri Faton de</t>
  </si>
  <si>
    <t>François, Tiburce</t>
  </si>
  <si>
    <t>Lucien Gaultier de La</t>
  </si>
  <si>
    <t>Joseph, Anatole Bosquillon de</t>
  </si>
  <si>
    <t>Louis, Alban</t>
  </si>
  <si>
    <t>Albini</t>
  </si>
  <si>
    <t>Joseph, Laurent</t>
  </si>
  <si>
    <t>Gustave-Adolphe</t>
  </si>
  <si>
    <t>Frédéric, Eugène, Gaston</t>
  </si>
  <si>
    <t>Robert, Arthur, Espérance des Acres de</t>
  </si>
  <si>
    <t>Henri Ferron de La</t>
  </si>
  <si>
    <t>Edouard Tirel de La</t>
  </si>
  <si>
    <t>Charles Lambert de</t>
  </si>
  <si>
    <t>Gabriel, Guillaume</t>
  </si>
  <si>
    <t>Pierre, Félix</t>
  </si>
  <si>
    <t>Edouard, Auguste, Bernardin du</t>
  </si>
  <si>
    <t>Emile, Narcisse</t>
  </si>
  <si>
    <t>Bernard, Louis, Célestin</t>
  </si>
  <si>
    <t>Louis, Albert, Henri de</t>
  </si>
  <si>
    <t>Auguste de</t>
  </si>
  <si>
    <t>Charles, Ernest</t>
  </si>
  <si>
    <t>Jules-Victor</t>
  </si>
  <si>
    <t>Edouard, Paul, Lucien</t>
  </si>
  <si>
    <t>Charles, Théophile de</t>
  </si>
  <si>
    <t>Paul, Grégoire</t>
  </si>
  <si>
    <t>François, Camille</t>
  </si>
  <si>
    <t>Etienne, Pierre, Marie</t>
  </si>
  <si>
    <t>Gaston, Ambroise</t>
  </si>
  <si>
    <t>Gaston Conen de</t>
  </si>
  <si>
    <t>Paul de</t>
  </si>
  <si>
    <t>Frédéric, Alphonse, Charles</t>
  </si>
  <si>
    <t>Jules-Antoine, Louis, Barthélémy</t>
  </si>
  <si>
    <t>Léon, Louis</t>
  </si>
  <si>
    <t>Louis, Jean</t>
  </si>
  <si>
    <t>Léon, Matthieu</t>
  </si>
  <si>
    <t>Henri, André, Joseph</t>
  </si>
  <si>
    <t>Charles, Louis, Zephirin Thellier de</t>
  </si>
  <si>
    <t>Conrad, Jacob, Dionys, Cornélis de</t>
  </si>
  <si>
    <t>Louis, Clovis</t>
  </si>
  <si>
    <t>Charles Le Cour</t>
  </si>
  <si>
    <t>Henri de</t>
  </si>
  <si>
    <t>Pierre, Louis</t>
  </si>
  <si>
    <t>Paul, Eugène, Augustin Dariste dit</t>
  </si>
  <si>
    <t>Denis, François, Alfred</t>
  </si>
  <si>
    <t>Jules, Marie, François</t>
  </si>
  <si>
    <t>Louis, Jean, Philippe Briet de</t>
  </si>
  <si>
    <t>Georges, Jean-Marie</t>
  </si>
  <si>
    <t>Albert, Marie, Ambroise</t>
  </si>
  <si>
    <t>Louis, Constantin, Henri, François-Xavier de</t>
  </si>
  <si>
    <t>Georges, Adrien, Jules</t>
  </si>
  <si>
    <t>Jules, André, Joseph</t>
  </si>
  <si>
    <t>Paul, Antoine, François</t>
  </si>
  <si>
    <t>Gabriel, Claude</t>
  </si>
  <si>
    <t>Louis Godet de la</t>
  </si>
  <si>
    <t>Louis, Henri de</t>
  </si>
  <si>
    <t>Jules, Hippolyte, Joseph</t>
  </si>
  <si>
    <t>Eugène Joly de</t>
  </si>
  <si>
    <t>Amédée, Simon, Gratien de</t>
  </si>
  <si>
    <t>Edmond, Lucien</t>
  </si>
  <si>
    <t>Antonin, Germain</t>
  </si>
  <si>
    <t>Louis Legrand de</t>
  </si>
  <si>
    <t>Auguste, Louis Le</t>
  </si>
  <si>
    <t>Pierre, Jules Le</t>
  </si>
  <si>
    <t>Joseph, Louis de</t>
  </si>
  <si>
    <t>Edmond, Louis de</t>
  </si>
  <si>
    <t>Louis, Jules, Léon</t>
  </si>
  <si>
    <t>Jules, Marie</t>
  </si>
  <si>
    <t>Jean, François</t>
  </si>
  <si>
    <t>Louis, Laurent, Gabriel de</t>
  </si>
  <si>
    <t>Antoine, Just, Léon, Marie de Mouchy de Noailles de</t>
  </si>
  <si>
    <t>Adolphe, Charles de Partz de</t>
  </si>
  <si>
    <t>Félix Le</t>
  </si>
  <si>
    <t>Edouard, Joseph</t>
  </si>
  <si>
    <t>Pierre, Antoine, Alphonse</t>
  </si>
  <si>
    <t>Etienne, Pierre, Gabriel</t>
  </si>
  <si>
    <t>Henri, Marie, Jacques, Charles de</t>
  </si>
  <si>
    <t>Jacques, Pierre, Jean, Charles</t>
  </si>
  <si>
    <t>Léon, Etienne</t>
  </si>
  <si>
    <t>Antoine, Jean-Baptiste, dit Antide</t>
  </si>
  <si>
    <t>Pierre, Joseph, Louis</t>
  </si>
  <si>
    <t>Jean, Jules, Godefroy</t>
  </si>
  <si>
    <t>Joseph, Marie, Eugène</t>
  </si>
  <si>
    <t>Fernand, Josué</t>
  </si>
  <si>
    <t>François, Antoine</t>
  </si>
  <si>
    <t>Charles, Emile</t>
  </si>
  <si>
    <t>Charles, Jacques, Marie, Tanneguy</t>
  </si>
  <si>
    <t>Henri, Joseph Dugué de la</t>
  </si>
  <si>
    <t>Destin</t>
  </si>
  <si>
    <t>Marie, Reimbold</t>
  </si>
  <si>
    <t>André, Pierre, Armand, Pascal</t>
  </si>
  <si>
    <t>Numa</t>
  </si>
  <si>
    <t>Jules, Nicolas, Pierre</t>
  </si>
  <si>
    <t>Eugène, Alfred</t>
  </si>
  <si>
    <t>Gabriel, Adolphe</t>
  </si>
  <si>
    <t>Fortuné, Pierre, Paul</t>
  </si>
  <si>
    <t>Christophe</t>
  </si>
  <si>
    <t>Stephen</t>
  </si>
  <si>
    <t>Ernest, Claude</t>
  </si>
  <si>
    <t>Camille, Pierre, Germain, Damaze, Jean</t>
  </si>
  <si>
    <t>Louis, Baptiste</t>
  </si>
  <si>
    <t>Victor, Paul</t>
  </si>
  <si>
    <t>Jules, Henri, Balthazar</t>
  </si>
  <si>
    <t>Camille, François</t>
  </si>
  <si>
    <t>Aristide, Emile, Jules</t>
  </si>
  <si>
    <t>Félix de</t>
  </si>
  <si>
    <t>Joseph, Louis</t>
  </si>
  <si>
    <t>Marie-Julien de La</t>
  </si>
  <si>
    <t>Maurice, Pierre, Celestin</t>
  </si>
  <si>
    <t>Antoine, Jean-Baptiste</t>
  </si>
  <si>
    <t>Zéphirin</t>
  </si>
  <si>
    <t>Alexandre, Marie Genet de</t>
  </si>
  <si>
    <t>Ernest, Amand</t>
  </si>
  <si>
    <t>Jean-Louis, Maurice, Félix</t>
  </si>
  <si>
    <t>Jean-Pierre, Eudore</t>
  </si>
  <si>
    <t>Antoine, Scaevola</t>
  </si>
  <si>
    <t>Antoine, Auguste</t>
  </si>
  <si>
    <t>Agamemnon</t>
  </si>
  <si>
    <t>Paul, Hippolyte, Félicité de</t>
  </si>
  <si>
    <t>Jean-Baptiste, Guillaume</t>
  </si>
  <si>
    <t>Gilbert Le</t>
  </si>
  <si>
    <t>Léon, Emmanuel</t>
  </si>
  <si>
    <t>Louis, Félix, Joseph</t>
  </si>
  <si>
    <t>Adolphe (Joseph) de</t>
  </si>
  <si>
    <t>François, Edouard</t>
  </si>
  <si>
    <t>Eugène, Jean, François, Pascal</t>
  </si>
  <si>
    <t>Louis, Casimir</t>
  </si>
  <si>
    <t>Jean, Marie, Ferréol</t>
  </si>
  <si>
    <t>Victor, Henri de</t>
  </si>
  <si>
    <t>Joseph, Claude</t>
  </si>
  <si>
    <t>Georges, Henri</t>
  </si>
  <si>
    <t>Amédée, Pierre, Ignace Martinon de</t>
  </si>
  <si>
    <t>Joseph dit François-Frédéric</t>
  </si>
  <si>
    <t>Henri, Eléonor, Jacques, Elisabeth de</t>
  </si>
  <si>
    <t>Maurice, Pierre, Marie</t>
  </si>
  <si>
    <t>Charles, Claude</t>
  </si>
  <si>
    <t>Louis Morisson de La</t>
  </si>
  <si>
    <t>Simon, Samuel, Edouard, Léonce</t>
  </si>
  <si>
    <t>Jean-Marie, Arthur</t>
  </si>
  <si>
    <t>Pierre, Marie, Guillaume</t>
  </si>
  <si>
    <t>Ange-Gaétan</t>
  </si>
  <si>
    <t>Dominique, François</t>
  </si>
  <si>
    <t>Jean-Marie, Albin</t>
  </si>
  <si>
    <t>Henri, Charles, Louis</t>
  </si>
  <si>
    <t>François-Henri</t>
  </si>
  <si>
    <t>Paul, Emile</t>
  </si>
  <si>
    <t>Georges, Louis, Marcellin</t>
  </si>
  <si>
    <t>Paul, Ange, Louis, Marie Carron de la</t>
  </si>
  <si>
    <t>Eugène, Adolphe, Philippe</t>
  </si>
  <si>
    <t>Gustave, François, Louis</t>
  </si>
  <si>
    <t>François, Maximin</t>
  </si>
  <si>
    <t>Louis, Armand</t>
  </si>
  <si>
    <t>Jules, Jean Baillardel de</t>
  </si>
  <si>
    <t>André, Florimond</t>
  </si>
  <si>
    <t>Albert, Raphaël Marchais de la</t>
  </si>
  <si>
    <t>Léopold, Camille</t>
  </si>
  <si>
    <t>Marie, Félix</t>
  </si>
  <si>
    <t>Auguste, Pierre, Antoine</t>
  </si>
  <si>
    <t>Henry, Julien, Stanislas</t>
  </si>
  <si>
    <t>Etienne Gellibert des</t>
  </si>
  <si>
    <t>Jean-Baptiste, Jacques</t>
  </si>
  <si>
    <t>Joseph, Adolphe</t>
  </si>
  <si>
    <t>Charles-Adolphe de La</t>
  </si>
  <si>
    <t>Désiré, Adolphe</t>
  </si>
  <si>
    <t>Marie, Adolphe</t>
  </si>
  <si>
    <t>Jean-Baptiste, Alexandre</t>
  </si>
  <si>
    <t>Nicolas, Julien, dit Amédée</t>
  </si>
  <si>
    <t>Auguste, Louis, Albéric</t>
  </si>
  <si>
    <t>Raymond, Antoine de</t>
  </si>
  <si>
    <t>René, François, Julien</t>
  </si>
  <si>
    <t>Aristide, Armand, Constant</t>
  </si>
  <si>
    <t>Jules, Ferdinand</t>
  </si>
  <si>
    <t>Paul, Charles, Alfred</t>
  </si>
  <si>
    <t>Louis, Charles, François</t>
  </si>
  <si>
    <t>Charles Bourlon de</t>
  </si>
  <si>
    <t>Albert Moreau Du Breuil de</t>
  </si>
  <si>
    <t>Jean, Louis, Maximilien</t>
  </si>
  <si>
    <t>Henri-Blaise</t>
  </si>
  <si>
    <t>Jean, Léon</t>
  </si>
  <si>
    <t>Alban, Bernard</t>
  </si>
  <si>
    <t>Théophile, Timothée, Honoré</t>
  </si>
  <si>
    <t>Alexis, Achille</t>
  </si>
  <si>
    <t>Emile, André, Désiré</t>
  </si>
  <si>
    <t>Léon, Jean-Marie</t>
  </si>
  <si>
    <t>Christian, Marie, Alphonse Daliney</t>
  </si>
  <si>
    <t>Louis, Félix, Jean-Baptiste</t>
  </si>
  <si>
    <t>Adrien, Vital</t>
  </si>
  <si>
    <t>Frédéric, Jean, François, Gustave</t>
  </si>
  <si>
    <t>Albert Gauthier de</t>
  </si>
  <si>
    <t>Gontran</t>
  </si>
  <si>
    <t>Aimery de</t>
  </si>
  <si>
    <t>Georges, Jean, Victor</t>
  </si>
  <si>
    <t>Eugène, Joseph</t>
  </si>
  <si>
    <t>Joseph, Marius, Victor</t>
  </si>
  <si>
    <t>Charles Jouffroy</t>
  </si>
  <si>
    <t>James, Marie, Antoine Monjaret de</t>
  </si>
  <si>
    <t>Amédée, Eugène, Louis de</t>
  </si>
  <si>
    <t>James-Dyer</t>
  </si>
  <si>
    <t>Honoré, Auguste</t>
  </si>
  <si>
    <t>Antoine, Justin</t>
  </si>
  <si>
    <t>Geoffroy de</t>
  </si>
  <si>
    <t>François-Charles de</t>
  </si>
  <si>
    <t>Henri du Périer de</t>
  </si>
  <si>
    <t>Ernest, Charles, Eusèbe</t>
  </si>
  <si>
    <t>Armand, Albert, Hyacinthe Porteu de la</t>
  </si>
  <si>
    <t>Emile, Marie, Antoine</t>
  </si>
  <si>
    <t>Emile, Maurice, Lucien, Louis</t>
  </si>
  <si>
    <t>Jérôme de</t>
  </si>
  <si>
    <t>Léon, Jean</t>
  </si>
  <si>
    <t>Jacques, Paul</t>
  </si>
  <si>
    <t>Louis, Jean, Jacques</t>
  </si>
  <si>
    <t>Jules, Ernest</t>
  </si>
  <si>
    <t>Marc, Thimotée</t>
  </si>
  <si>
    <t>André, Marie, Edouard</t>
  </si>
  <si>
    <t>Jean Le</t>
  </si>
  <si>
    <t>Edouard Le</t>
  </si>
  <si>
    <t>Anatole, Jean, Louis</t>
  </si>
  <si>
    <t>Henri, Adolphe, Eugène</t>
  </si>
  <si>
    <t>Achille, Gabriel, Louis</t>
  </si>
  <si>
    <t>Jean-Baptiste, Justin, Joseph</t>
  </si>
  <si>
    <t>Pierre, Adolphe, Charles</t>
  </si>
  <si>
    <t>Martial, François, Germain</t>
  </si>
  <si>
    <t>Henri, Louis, Jean de</t>
  </si>
  <si>
    <t>Georges, Paul, Louis</t>
  </si>
  <si>
    <t>François, Henri, Jules Pierres de</t>
  </si>
  <si>
    <t>Eugène, Jean, Jacques</t>
  </si>
  <si>
    <t>Georges, Aguste</t>
  </si>
  <si>
    <t>Elie, Isidore, Jean</t>
  </si>
  <si>
    <t>Ernest, Jean, François-Xavier</t>
  </si>
  <si>
    <t>Louis, Ernest</t>
  </si>
  <si>
    <t>Charles, Maurice</t>
  </si>
  <si>
    <t>Claude Clausel de</t>
  </si>
  <si>
    <t>Sélim</t>
  </si>
  <si>
    <t>Félix-François</t>
  </si>
  <si>
    <t>Arnauld</t>
  </si>
  <si>
    <t>Alexandre, Gilbert</t>
  </si>
  <si>
    <t>Ludovic</t>
  </si>
  <si>
    <t>Auguste, Alexandre</t>
  </si>
  <si>
    <t>Jules, Gabriel</t>
  </si>
  <si>
    <t>Joseph, Alexandre de</t>
  </si>
  <si>
    <t>André, Marie, Antoine, Louis</t>
  </si>
  <si>
    <t>Jean Hély</t>
  </si>
  <si>
    <t>Charles-Emile La</t>
  </si>
  <si>
    <t>Marien, dit Marius</t>
  </si>
  <si>
    <t>Albert, Alfred</t>
  </si>
  <si>
    <t>César, Auguste, Paulin dit</t>
  </si>
  <si>
    <t>Edouard, Antoine, Guillaume</t>
  </si>
  <si>
    <t>Charles, Raphaël, Martial</t>
  </si>
  <si>
    <t>Charles, Jules, Théodore Roux dit</t>
  </si>
  <si>
    <t>Louis Vasse Du</t>
  </si>
  <si>
    <t>Honoré, Jean, Félix</t>
  </si>
  <si>
    <t>Lucien, Henri Haudos de</t>
  </si>
  <si>
    <t>Charles, Paul, François</t>
  </si>
  <si>
    <t>Edouard, Claude, Marie, Antoine</t>
  </si>
  <si>
    <t>Eugène, Arsène</t>
  </si>
  <si>
    <t>Emile, Marie, Auguste</t>
  </si>
  <si>
    <t>Pierre, Marie</t>
  </si>
  <si>
    <t>Marcellin</t>
  </si>
  <si>
    <t>Gabriel, Dieudonné, Jean, Edouard</t>
  </si>
  <si>
    <t>Christophe Tivrier dit</t>
  </si>
  <si>
    <t>Aristide, Louis, Antoine, Maximin, Marie</t>
  </si>
  <si>
    <t>Christian, Henri, Marie de</t>
  </si>
  <si>
    <t>Achille, Alfred</t>
  </si>
  <si>
    <t>Charles Le Myre de</t>
  </si>
  <si>
    <t>Hippolyte, Pierre, Raymond</t>
  </si>
  <si>
    <t>François Mayjurou Sclafer de</t>
  </si>
  <si>
    <t>Claudius</t>
  </si>
  <si>
    <t>Alcée</t>
  </si>
  <si>
    <t>Charles, André</t>
  </si>
  <si>
    <t>Eugène, André</t>
  </si>
  <si>
    <t>Jean ,Victor, Alfred</t>
  </si>
  <si>
    <t>Mary</t>
  </si>
  <si>
    <t>Jean-Baptiste, Aimé</t>
  </si>
  <si>
    <t>Pierre, Frédéric</t>
  </si>
  <si>
    <t>Hippolyte, Paul, Emile</t>
  </si>
  <si>
    <t>Arnaud, Elie</t>
  </si>
  <si>
    <t>Auguste, Bruno</t>
  </si>
  <si>
    <t>Jean, Henri Prévost-Sansac de</t>
  </si>
  <si>
    <t>Maurice Le Sage d'Hauteroche</t>
  </si>
  <si>
    <t>Pierre, Charles, Joseph de</t>
  </si>
  <si>
    <t>Albin, Paul, Alexandre</t>
  </si>
  <si>
    <t>Camille, Justin, Anatole</t>
  </si>
  <si>
    <t>Louis, Antoine</t>
  </si>
  <si>
    <t>Georges, Gabriel, Auguste</t>
  </si>
  <si>
    <t>Charles, Jacques</t>
  </si>
  <si>
    <t>Marc, François, Eugène</t>
  </si>
  <si>
    <t>Georges, Pierre, Aimé</t>
  </si>
  <si>
    <t>Jean, Eugène, Omer</t>
  </si>
  <si>
    <t>Martial</t>
  </si>
  <si>
    <t>Auguste, Marie, Joseph de</t>
  </si>
  <si>
    <t>Edmé, Alfrède</t>
  </si>
  <si>
    <t>Maurice, Marie, Alfred, Henri</t>
  </si>
  <si>
    <t>Gaston, Eugène, Elie</t>
  </si>
  <si>
    <t>Louis, Alphonse, Victor de</t>
  </si>
  <si>
    <t>Jean, Rollin</t>
  </si>
  <si>
    <t>Emile, Louis, Augustin</t>
  </si>
  <si>
    <t>Philippe, Eugène</t>
  </si>
  <si>
    <t>Alphonse, Jean</t>
  </si>
  <si>
    <t>Eutrope</t>
  </si>
  <si>
    <t>Sébastien</t>
  </si>
  <si>
    <t>Morrochco</t>
  </si>
  <si>
    <t>Alphonse, Jean, Joseph</t>
  </si>
  <si>
    <t>Odilon, Marc</t>
  </si>
  <si>
    <t>Michel Mielvacque de</t>
  </si>
  <si>
    <t>Adolphe, Jean, Marie, Cyprien, Maurice</t>
  </si>
  <si>
    <t>Henri, Pierre, Jean-Baptiste</t>
  </si>
  <si>
    <t>Constant, Louis Ragot dit</t>
  </si>
  <si>
    <t>Amaury</t>
  </si>
  <si>
    <t>Alfrede, Vincent</t>
  </si>
  <si>
    <t>Emile, Marie</t>
  </si>
  <si>
    <t>Melchior de</t>
  </si>
  <si>
    <t>Albert, Marie, Nicolas, Maurice Le</t>
  </si>
  <si>
    <t>Ferdinand-Joseph</t>
  </si>
  <si>
    <t>Valérius, Alphonse</t>
  </si>
  <si>
    <t>Fernand, Ernest</t>
  </si>
  <si>
    <t>Félix, Alexandre</t>
  </si>
  <si>
    <t>Pascal, Emile</t>
  </si>
  <si>
    <t>Damas, Dominique, Jules</t>
  </si>
  <si>
    <t>Edmond, Louis, Alfred</t>
  </si>
  <si>
    <t>René, Auguste</t>
  </si>
  <si>
    <t>Paul, Dominique Rameau dit</t>
  </si>
  <si>
    <t>Elie, Emile</t>
  </si>
  <si>
    <t>Philippe, Jean, Michel</t>
  </si>
  <si>
    <t>Paul-Henry</t>
  </si>
  <si>
    <t>Ernest, Pierre, Julien</t>
  </si>
  <si>
    <t>Jacques Drake Del</t>
  </si>
  <si>
    <t>Joseph, Pierre, Louis, Edouard</t>
  </si>
  <si>
    <t>Julien, Pierre, Paul</t>
  </si>
  <si>
    <t>Octave, Léon</t>
  </si>
  <si>
    <t>Fernand, Edouard</t>
  </si>
  <si>
    <t>Théophile, Jean, Eloi</t>
  </si>
  <si>
    <t>Paschal</t>
  </si>
  <si>
    <t>Paul-Antonin</t>
  </si>
  <si>
    <t>Joseph Luce de</t>
  </si>
  <si>
    <t>Benoît</t>
  </si>
  <si>
    <t>Albert, Augustin</t>
  </si>
  <si>
    <t>Théodore, François</t>
  </si>
  <si>
    <t>Charles, Pierre</t>
  </si>
  <si>
    <t>Prudent, Onésime</t>
  </si>
  <si>
    <t>Eugène, Jules, Louis</t>
  </si>
  <si>
    <t>Eugène, Daniel, Clélia</t>
  </si>
  <si>
    <t>Louis Thonnard du</t>
  </si>
  <si>
    <t>Paul, Etienne Vigné dit Vigné</t>
  </si>
  <si>
    <t>Pierre, Armand, Napoléon</t>
  </si>
  <si>
    <t>Adrien de</t>
  </si>
  <si>
    <t>Eugène Le</t>
  </si>
  <si>
    <t>Robert, Charles de Lasteyrie du</t>
  </si>
  <si>
    <t>Maximilien, Antoine, Albert</t>
  </si>
  <si>
    <t>Louis, Antoine, Ulysse, Miranda</t>
  </si>
  <si>
    <t>Thierry, Arno, Laurent, Baudouin d'Alsace</t>
  </si>
  <si>
    <t>Louis Doynel de</t>
  </si>
  <si>
    <t>Ernest, Claude, Jean</t>
  </si>
  <si>
    <t>Octave, Pierre, Léonce</t>
  </si>
  <si>
    <t>Eusèbe</t>
  </si>
  <si>
    <t>Maximilien</t>
  </si>
  <si>
    <t>Etienne, Alexandre</t>
  </si>
  <si>
    <t>Jean, Michel, Justin</t>
  </si>
  <si>
    <t>Louis-Emile</t>
  </si>
  <si>
    <t>Louis, Simon</t>
  </si>
  <si>
    <t>Jean, Isaac</t>
  </si>
  <si>
    <t>Gabriel Vidal de</t>
  </si>
  <si>
    <t>Jean-Baptiste, François</t>
  </si>
  <si>
    <t>Léon, Louis, Annie</t>
  </si>
  <si>
    <t>Raoul des</t>
  </si>
  <si>
    <t>Justin, Auguste</t>
  </si>
  <si>
    <t>Gabriel, Charles, Esprit</t>
  </si>
  <si>
    <t>Henri-Jean</t>
  </si>
  <si>
    <t>Charles, François, Xavier</t>
  </si>
  <si>
    <t>Hector, Hugues, Alphonse, Marie</t>
  </si>
  <si>
    <t>Emile-Théodore</t>
  </si>
  <si>
    <t>Siméon</t>
  </si>
  <si>
    <t>Jean, Marie, Charles Aymé de la</t>
  </si>
  <si>
    <t>Théodore, Charles</t>
  </si>
  <si>
    <t>Alfred, Marie, Pierre, Victor</t>
  </si>
  <si>
    <t>Emile, Louis, Alexandre</t>
  </si>
  <si>
    <t>Charles, Marie, Joseph</t>
  </si>
  <si>
    <t>Etienne, Eugène</t>
  </si>
  <si>
    <t>Boniface Boni de</t>
  </si>
  <si>
    <t>Emile, Victor</t>
  </si>
  <si>
    <t>Jean, Michel</t>
  </si>
  <si>
    <t>(Louis, Camille, Alexandre, Marie</t>
  </si>
  <si>
    <t>Jean-Fernand</t>
  </si>
  <si>
    <t>Jean, Denis, Marie, Arthur</t>
  </si>
  <si>
    <t>Jean-Toussaint</t>
  </si>
  <si>
    <t>Théophile Trédolat-Maymac dit</t>
  </si>
  <si>
    <t>Yves-Gabriel</t>
  </si>
  <si>
    <t>Julien, Gustave, André</t>
  </si>
  <si>
    <t>Charles, Jean, Félix Pozzo Di</t>
  </si>
  <si>
    <t>Maxime, Maxime, Lowinski</t>
  </si>
  <si>
    <t>Yves, Hippolyte, Jean, Marie</t>
  </si>
  <si>
    <t>Maurice, Nicolas, Dominique</t>
  </si>
  <si>
    <t>Charles, Amédée</t>
  </si>
  <si>
    <t>Henri, Louis, Hippolyte</t>
  </si>
  <si>
    <t>Alexis de</t>
  </si>
  <si>
    <t>Emile, Eugène</t>
  </si>
  <si>
    <t>Maurice, Edouard, Eugène</t>
  </si>
  <si>
    <t>Marie-François, Guénin Harouart de Suarès</t>
  </si>
  <si>
    <t>André, Marcel</t>
  </si>
  <si>
    <t>Armand, Oscar</t>
  </si>
  <si>
    <t>Raoul, Henri, Bertrand</t>
  </si>
  <si>
    <t>Charles, François, Antoine</t>
  </si>
  <si>
    <t>Emile, Paul, Auguste</t>
  </si>
  <si>
    <t>Ernest-Alfred</t>
  </si>
  <si>
    <t>Emile, Jules</t>
  </si>
  <si>
    <t>Eugène, Florentin</t>
  </si>
  <si>
    <t>Osman, Philippe</t>
  </si>
  <si>
    <t>Jean-Baptiste, Claude</t>
  </si>
  <si>
    <t>Charles Gras dit</t>
  </si>
  <si>
    <t>Armand, Louis</t>
  </si>
  <si>
    <t>Philippe, François, Vincent, Spartacus</t>
  </si>
  <si>
    <t>Robert, Gilbert de</t>
  </si>
  <si>
    <t>Nicolas, Cécile,François, Anne, Célestin dit Léo</t>
  </si>
  <si>
    <t>Gaston, Emile, Henri</t>
  </si>
  <si>
    <t>Ernest, Auguste</t>
  </si>
  <si>
    <t>Maurice, Charles, François</t>
  </si>
  <si>
    <t>Ulysse, Rochilde</t>
  </si>
  <si>
    <t>Gabriel, Jean, Antoine</t>
  </si>
  <si>
    <t>Ludovic, Marie, Alexandre</t>
  </si>
  <si>
    <t>Paul, Henri</t>
  </si>
  <si>
    <t>Paul, Joseph, Marie</t>
  </si>
  <si>
    <t>Edmond, Louis, Jacques, Joseph</t>
  </si>
  <si>
    <t>Jean-Hugues de</t>
  </si>
  <si>
    <t>Laurent, Denis</t>
  </si>
  <si>
    <t>Armand, Marie</t>
  </si>
  <si>
    <t>Alexandre Bourson dit</t>
  </si>
  <si>
    <t>Stéphane, Gilbert</t>
  </si>
  <si>
    <t>Léonce, Adam</t>
  </si>
  <si>
    <t>Jules, Etienne, Louis</t>
  </si>
  <si>
    <t>César, Constantin</t>
  </si>
  <si>
    <t>Gaston, Eugène</t>
  </si>
  <si>
    <t>Léopold, Alphonse</t>
  </si>
  <si>
    <t>Harold, Emmanuel, Jean, Agis</t>
  </si>
  <si>
    <t>Georges, François, Edmond</t>
  </si>
  <si>
    <t>Albert, Victor, Marie de</t>
  </si>
  <si>
    <t>Junyen</t>
  </si>
  <si>
    <t>Maurice, Georges, Ernest Riquet de</t>
  </si>
  <si>
    <t>Victor, Ferréol</t>
  </si>
  <si>
    <t>Pierre-Gabriel, Edouard</t>
  </si>
  <si>
    <t>Ernest, Pierre</t>
  </si>
  <si>
    <t>Jean de</t>
  </si>
  <si>
    <t>Léonce de Curières de</t>
  </si>
  <si>
    <t>Jacques, Mathieu, Damien</t>
  </si>
  <si>
    <t>Henry, André, Joseph</t>
  </si>
  <si>
    <t>Adolphe, Etienne, Marius</t>
  </si>
  <si>
    <t>Paul, Octave, Prosper</t>
  </si>
  <si>
    <t>Thadée</t>
  </si>
  <si>
    <t>Jean, Pierre Guyot de</t>
  </si>
  <si>
    <t>Léon, Augustin</t>
  </si>
  <si>
    <t>Charles La</t>
  </si>
  <si>
    <t>Georges, joseph, Marie, Eugène de La</t>
  </si>
  <si>
    <t>Félix, Paul</t>
  </si>
  <si>
    <t>André dit Adrien</t>
  </si>
  <si>
    <t>Louis, Félix, Marie</t>
  </si>
  <si>
    <t>Tanguy</t>
  </si>
  <si>
    <t>Paul, Albert</t>
  </si>
  <si>
    <t>Théodore, Claude</t>
  </si>
  <si>
    <t>Auguste, François, Jules, César</t>
  </si>
  <si>
    <t>Louis, Marie, Raoul Rolland Du</t>
  </si>
  <si>
    <t>Pierre, Théodore, Henri</t>
  </si>
  <si>
    <t>Ambroise de</t>
  </si>
  <si>
    <t>Urbain, Thomas, Marie</t>
  </si>
  <si>
    <t>Edmond, Sébastien</t>
  </si>
  <si>
    <t>Jules, Augustin</t>
  </si>
  <si>
    <t>Henry, Marius</t>
  </si>
  <si>
    <t>Joseph, Hippolyte</t>
  </si>
  <si>
    <t>Georges, Pierre, Louis, Félix</t>
  </si>
  <si>
    <t>Guy de Salvaing de</t>
  </si>
  <si>
    <t>Joseph, André, Paul, Benjamin</t>
  </si>
  <si>
    <t>Louis-Auguste</t>
  </si>
  <si>
    <t>Alexandre, Georges</t>
  </si>
  <si>
    <t>Georges, Barthélémy</t>
  </si>
  <si>
    <t>Paul, Jean-Baptiste</t>
  </si>
  <si>
    <t>Homère, Charles, Marie, Hidulphe</t>
  </si>
  <si>
    <t>Charles, Roger dit Daniel</t>
  </si>
  <si>
    <t>Albert, Félix</t>
  </si>
  <si>
    <t>Jules Corrard des</t>
  </si>
  <si>
    <t>Anatole, Edouard</t>
  </si>
  <si>
    <t>Paul, François</t>
  </si>
  <si>
    <t>Léopold, Guillaume, Marie</t>
  </si>
  <si>
    <t>Augustin, Cyrille</t>
  </si>
  <si>
    <t>ZZZ</t>
  </si>
  <si>
    <t>Samuel-Maurice</t>
  </si>
  <si>
    <t>Auguste, Ambroise, Joseph</t>
  </si>
  <si>
    <t>Georges, Auguste, Désiré</t>
  </si>
  <si>
    <t>Henri, Odon, Marie, Chantal de</t>
  </si>
  <si>
    <t>Pierre, Jacques, Alphonse</t>
  </si>
  <si>
    <t>Hippolyte, Jean, Pierre, Bernard, Antoine</t>
  </si>
  <si>
    <t>Francis, Charles de Hault de</t>
  </si>
  <si>
    <t>Jean-Baptiste, Victor</t>
  </si>
  <si>
    <t>Albert, Paul</t>
  </si>
  <si>
    <t>Olivier de</t>
  </si>
  <si>
    <t>Daniel, Georges, Claude</t>
  </si>
  <si>
    <t>Auguste, Charles</t>
  </si>
  <si>
    <t>Roger dit Ballu dit</t>
  </si>
  <si>
    <t>Charles, Benjamin</t>
  </si>
  <si>
    <t>Pierre-Marc</t>
  </si>
  <si>
    <t>François, Joseph, Hippolyte</t>
  </si>
  <si>
    <t>Romain</t>
  </si>
  <si>
    <t>Alain, Marie, Raymond, Louis, Henri Lepelletier de</t>
  </si>
  <si>
    <t>Louis de Maillé de</t>
  </si>
  <si>
    <t>Louis, Sylvain</t>
  </si>
  <si>
    <t>Joanny</t>
  </si>
  <si>
    <t>Abel-Omer</t>
  </si>
  <si>
    <t>Joseph, Pierre, Jules</t>
  </si>
  <si>
    <t>Paul, Louis, Marie</t>
  </si>
  <si>
    <t>Paul, Henri, Joseph</t>
  </si>
  <si>
    <t>Joseph-Eleuthère</t>
  </si>
  <si>
    <t>Raphaël, Emile, Jean</t>
  </si>
  <si>
    <t>André, César</t>
  </si>
  <si>
    <t>Emile, Amédée</t>
  </si>
  <si>
    <t>Théobald</t>
  </si>
  <si>
    <t>Bernard de</t>
  </si>
  <si>
    <t>Camille, Pierre, François Guyot de</t>
  </si>
  <si>
    <t>Philema, Jean-Baptiste</t>
  </si>
  <si>
    <t>Prosper, Alfred, Antoine</t>
  </si>
  <si>
    <t>Oscar</t>
  </si>
  <si>
    <t>Pierre, Victor, Ferdinand</t>
  </si>
  <si>
    <t>Rodolphe</t>
  </si>
  <si>
    <t>Adrien Pozzy dit</t>
  </si>
  <si>
    <t>Gustave, Joseph</t>
  </si>
  <si>
    <t>Louis, Aimé</t>
  </si>
  <si>
    <t>Daniel, Léon</t>
  </si>
  <si>
    <t>Louis, Romain, Jean, Pierre</t>
  </si>
  <si>
    <t>Albert, Léopold, Paul</t>
  </si>
  <si>
    <t>Jacques, Maurice</t>
  </si>
  <si>
    <t>François, Hippolyte</t>
  </si>
  <si>
    <t>Lucien Le</t>
  </si>
  <si>
    <t>Cécile</t>
  </si>
  <si>
    <t>Irène</t>
  </si>
  <si>
    <t>Suzanne</t>
  </si>
  <si>
    <t>Godefroy</t>
  </si>
  <si>
    <t>Albert-André</t>
  </si>
  <si>
    <t>Jean-Baptiste-Marie</t>
  </si>
  <si>
    <t>Charles-Eugène</t>
  </si>
  <si>
    <t>Sadi</t>
  </si>
  <si>
    <t>Jean-Jules</t>
  </si>
  <si>
    <t>Paul-Amand</t>
  </si>
  <si>
    <t>Joannis</t>
  </si>
  <si>
    <t>Joseph-Honoré</t>
  </si>
  <si>
    <t>Abraham</t>
  </si>
  <si>
    <t>Benjamin</t>
  </si>
  <si>
    <t>Edme</t>
  </si>
  <si>
    <t>Bernard-Louis</t>
  </si>
  <si>
    <t>Marc-Antoine</t>
  </si>
  <si>
    <t>Philippe-Elie</t>
  </si>
  <si>
    <t>Anthime</t>
  </si>
  <si>
    <t>SIMON</t>
  </si>
  <si>
    <t>COURTOT</t>
  </si>
  <si>
    <t>Charles-André</t>
  </si>
  <si>
    <t>Charles-Auguste</t>
  </si>
  <si>
    <t>Césaire</t>
  </si>
  <si>
    <t>Anne</t>
  </si>
  <si>
    <t>Arnold</t>
  </si>
  <si>
    <t>Anselme</t>
  </si>
  <si>
    <t>Sylvain</t>
  </si>
  <si>
    <t>Eustache</t>
  </si>
  <si>
    <t>Werner</t>
  </si>
  <si>
    <t>Othenin</t>
  </si>
  <si>
    <t>Edgar</t>
  </si>
  <si>
    <t>Hughes</t>
  </si>
  <si>
    <t>Paul-Alexandre</t>
  </si>
  <si>
    <t>Célestin</t>
  </si>
  <si>
    <t>Stéphane</t>
  </si>
  <si>
    <t>John</t>
  </si>
  <si>
    <t>Silvain</t>
  </si>
  <si>
    <t>Charles-Adolphe</t>
  </si>
  <si>
    <t>Marie-Clément</t>
  </si>
  <si>
    <t>Christian</t>
  </si>
  <si>
    <t>Hyppolite</t>
  </si>
  <si>
    <t>Agénor</t>
  </si>
  <si>
    <t>Geoffroy</t>
  </si>
  <si>
    <t>Louis-Edmond</t>
  </si>
  <si>
    <t>Alfonse</t>
  </si>
  <si>
    <t>SAL</t>
  </si>
  <si>
    <t>Jean-Charles</t>
  </si>
  <si>
    <t>Léonel</t>
  </si>
  <si>
    <t>Patrice</t>
  </si>
  <si>
    <t>GERY-LEGRAND</t>
  </si>
  <si>
    <t>de</t>
  </si>
  <si>
    <t>Ange</t>
  </si>
  <si>
    <t>Norbert</t>
  </si>
  <si>
    <t>Corentin</t>
  </si>
  <si>
    <t>Albin</t>
  </si>
  <si>
    <t>Samuel</t>
  </si>
  <si>
    <t>Elphège</t>
  </si>
  <si>
    <t>Athanase</t>
  </si>
  <si>
    <t>Hémir</t>
  </si>
  <si>
    <t>MAURICE-FAURE</t>
  </si>
  <si>
    <t>FABIEN-CESBRON</t>
  </si>
  <si>
    <t>Maximin</t>
  </si>
  <si>
    <t>POL-CHEVALIER</t>
  </si>
  <si>
    <t>Alcime</t>
  </si>
  <si>
    <t>Irénée</t>
  </si>
  <si>
    <t>Manuel</t>
  </si>
  <si>
    <t>Léonus</t>
  </si>
  <si>
    <t>Léonide</t>
  </si>
  <si>
    <t>Philibert</t>
  </si>
  <si>
    <t>Palamède</t>
  </si>
  <si>
    <t>Leopold</t>
  </si>
  <si>
    <t>Jean-Jacques</t>
  </si>
  <si>
    <t>Moïse</t>
  </si>
  <si>
    <t>Ulysse</t>
  </si>
  <si>
    <t>Charles-Henri</t>
  </si>
  <si>
    <t>1862-10-02</t>
  </si>
  <si>
    <t>1861-06-11</t>
  </si>
  <si>
    <t>1859-07-20</t>
  </si>
  <si>
    <t>1843-09-18</t>
  </si>
  <si>
    <t>1866-06-18</t>
  </si>
  <si>
    <t>1853-07-17</t>
  </si>
  <si>
    <t>1876-07-23</t>
  </si>
  <si>
    <t>1862-12-20</t>
  </si>
  <si>
    <t>1868-03-17</t>
  </si>
  <si>
    <t>1838-08-19</t>
  </si>
  <si>
    <t>1855-05-16</t>
  </si>
  <si>
    <t>1837-01-01</t>
  </si>
  <si>
    <t>1859-06-08</t>
  </si>
  <si>
    <t>1864-08-09</t>
  </si>
  <si>
    <t>1848-04-29</t>
  </si>
  <si>
    <t>1853-04-28</t>
  </si>
  <si>
    <t>1862-09-22</t>
  </si>
  <si>
    <t>1882-05-26</t>
  </si>
  <si>
    <t>1862-08-25</t>
  </si>
  <si>
    <t>1854-03-29</t>
  </si>
  <si>
    <t>1852-01-16</t>
  </si>
  <si>
    <t>1857-01-09</t>
  </si>
  <si>
    <t>1836-06-15</t>
  </si>
  <si>
    <t>1833-12-18</t>
  </si>
  <si>
    <t>1853-10-13</t>
  </si>
  <si>
    <t>1870-09-14</t>
  </si>
  <si>
    <t>1876-02-24</t>
  </si>
  <si>
    <t>1871-09-06</t>
  </si>
  <si>
    <t>1876-01-06</t>
  </si>
  <si>
    <t>1850-05-03</t>
  </si>
  <si>
    <t>1855-03-08</t>
  </si>
  <si>
    <t>1852-06-03</t>
  </si>
  <si>
    <t>1871-10-25</t>
  </si>
  <si>
    <t>1843-02-26</t>
  </si>
  <si>
    <t>1858-04-14</t>
  </si>
  <si>
    <t>1857-03-21</t>
  </si>
  <si>
    <t>1880-05-04</t>
  </si>
  <si>
    <t>1853-05-27</t>
  </si>
  <si>
    <t>1848-07-23</t>
  </si>
  <si>
    <t>1852-01-10</t>
  </si>
  <si>
    <t>1861-04-10</t>
  </si>
  <si>
    <t>1840-01-14</t>
  </si>
  <si>
    <t>1864-04-10</t>
  </si>
  <si>
    <t>1851-10-02</t>
  </si>
  <si>
    <t>1870-07-28</t>
  </si>
  <si>
    <t>1861-08-21</t>
  </si>
  <si>
    <t>1878-11-22</t>
  </si>
  <si>
    <t>1855-06-29</t>
  </si>
  <si>
    <t>1855-04-21</t>
  </si>
  <si>
    <t>1853-06-23</t>
  </si>
  <si>
    <t>1868-07-26</t>
  </si>
  <si>
    <t>1864-12-14</t>
  </si>
  <si>
    <t>1867-12-08</t>
  </si>
  <si>
    <t>1857-10-14</t>
  </si>
  <si>
    <t>1866-03-19</t>
  </si>
  <si>
    <t>1865-07-18</t>
  </si>
  <si>
    <t>1872-12-02</t>
  </si>
  <si>
    <t>1872-04-01</t>
  </si>
  <si>
    <t>1862-03-28</t>
  </si>
  <si>
    <t>1839-06-23</t>
  </si>
  <si>
    <t>1878-05-16</t>
  </si>
  <si>
    <t>1855-06-20</t>
  </si>
  <si>
    <t>1866-08-23</t>
  </si>
  <si>
    <t>1863-08-30</t>
  </si>
  <si>
    <t>1853-01-02</t>
  </si>
  <si>
    <t>1863-03-30</t>
  </si>
  <si>
    <t>1867-06-10</t>
  </si>
  <si>
    <t>1872-02-22</t>
  </si>
  <si>
    <t>1859-07-26</t>
  </si>
  <si>
    <t>1861-07-03</t>
  </si>
  <si>
    <t>1865-06-11</t>
  </si>
  <si>
    <t>1841-11-28</t>
  </si>
  <si>
    <t>1863-03-31</t>
  </si>
  <si>
    <t>1851-01-12</t>
  </si>
  <si>
    <t>1876-07-07</t>
  </si>
  <si>
    <t>1858-07-05</t>
  </si>
  <si>
    <t>1858-06-28</t>
  </si>
  <si>
    <t>1884-12-08</t>
  </si>
  <si>
    <t>1866-02-21</t>
  </si>
  <si>
    <t>1860-10-18</t>
  </si>
  <si>
    <t>1877-08-14</t>
  </si>
  <si>
    <t>1867-05-11</t>
  </si>
  <si>
    <t>1841-05-11</t>
  </si>
  <si>
    <t>1851-02-17</t>
  </si>
  <si>
    <t>1864-03-29</t>
  </si>
  <si>
    <t>1858-01-06</t>
  </si>
  <si>
    <t>1857-05-08</t>
  </si>
  <si>
    <t>1855-03-20</t>
  </si>
  <si>
    <t>1851-09-01</t>
  </si>
  <si>
    <t>1854-01-31</t>
  </si>
  <si>
    <t>1859-01-19</t>
  </si>
  <si>
    <t>1865-06-07</t>
  </si>
  <si>
    <t>1872-10-05</t>
  </si>
  <si>
    <t>1861-07-20</t>
  </si>
  <si>
    <t>1861-03-20</t>
  </si>
  <si>
    <t>1869-07-14</t>
  </si>
  <si>
    <t>1850-11-07</t>
  </si>
  <si>
    <t>1854-05-21</t>
  </si>
  <si>
    <t>1856-04-16</t>
  </si>
  <si>
    <t>1855-05-22</t>
  </si>
  <si>
    <t>1872-11-19</t>
  </si>
  <si>
    <t>1864-05-28</t>
  </si>
  <si>
    <t>1875-02-20</t>
  </si>
  <si>
    <t>1857-09-17</t>
  </si>
  <si>
    <t>1868-06-14</t>
  </si>
  <si>
    <t>1869-10-18</t>
  </si>
  <si>
    <t>1873-11-05</t>
  </si>
  <si>
    <t>1858-08-12</t>
  </si>
  <si>
    <t>1850-12-28</t>
  </si>
  <si>
    <t>1881-08-12</t>
  </si>
  <si>
    <t>1841-03-02</t>
  </si>
  <si>
    <t>1851-05-05</t>
  </si>
  <si>
    <t>1843-03-17</t>
  </si>
  <si>
    <t>1852-03-01</t>
  </si>
  <si>
    <t>1856-06-11</t>
  </si>
  <si>
    <t>1843-03-30</t>
  </si>
  <si>
    <t>1853-07-27</t>
  </si>
  <si>
    <t>1862-04-07</t>
  </si>
  <si>
    <t>1855-02-13</t>
  </si>
  <si>
    <t>1854-08-23</t>
  </si>
  <si>
    <t>1856-03-10</t>
  </si>
  <si>
    <t>1867-07-04</t>
  </si>
  <si>
    <t>1853-03-30</t>
  </si>
  <si>
    <t>1869-01-03</t>
  </si>
  <si>
    <t>1875-06-13</t>
  </si>
  <si>
    <t>1861-03-15</t>
  </si>
  <si>
    <t>1855-09-11</t>
  </si>
  <si>
    <t>1852-09-20</t>
  </si>
  <si>
    <t>1857-07-26</t>
  </si>
  <si>
    <t>1882-03-15</t>
  </si>
  <si>
    <t>1845-08-17</t>
  </si>
  <si>
    <t>1876-06-21</t>
  </si>
  <si>
    <t>1865-01-08</t>
  </si>
  <si>
    <t>1849-05-08</t>
  </si>
  <si>
    <t>1881-04-11</t>
  </si>
  <si>
    <t>1875-07-13</t>
  </si>
  <si>
    <t>1871-05-08</t>
  </si>
  <si>
    <t>1867-04-15</t>
  </si>
  <si>
    <t>1858-03-15</t>
  </si>
  <si>
    <t>1844-12-15</t>
  </si>
  <si>
    <t>1851-11-29</t>
  </si>
  <si>
    <t>1851-10-26</t>
  </si>
  <si>
    <t>1873-02-16</t>
  </si>
  <si>
    <t>1869-02-27</t>
  </si>
  <si>
    <t>1855-12-08</t>
  </si>
  <si>
    <t>1881-05-26</t>
  </si>
  <si>
    <t>1845-04-30</t>
  </si>
  <si>
    <t>1868-06-19</t>
  </si>
  <si>
    <t>1857-04-25</t>
  </si>
  <si>
    <t>1861-04-24</t>
  </si>
  <si>
    <t>1842-01-05</t>
  </si>
  <si>
    <t>1852-09-13</t>
  </si>
  <si>
    <t>1862-02-05</t>
  </si>
  <si>
    <t>1882-06-04</t>
  </si>
  <si>
    <t>1841-01-13</t>
  </si>
  <si>
    <t>1869-01-14</t>
  </si>
  <si>
    <t>1861-10-17</t>
  </si>
  <si>
    <t>1841-01-09</t>
  </si>
  <si>
    <t>1868-03-12</t>
  </si>
  <si>
    <t>1872-12-31</t>
  </si>
  <si>
    <t>1868-02-18</t>
  </si>
  <si>
    <t>1856-08-13</t>
  </si>
  <si>
    <t>1853-10-04</t>
  </si>
  <si>
    <t>1860-10-11</t>
  </si>
  <si>
    <t>1870-01-06</t>
  </si>
  <si>
    <t>1868-02-24</t>
  </si>
  <si>
    <t>1863-08-18</t>
  </si>
  <si>
    <t>1872-08-13</t>
  </si>
  <si>
    <t>1872-06-10</t>
  </si>
  <si>
    <t>1875-08-31</t>
  </si>
  <si>
    <t>1850-09-07</t>
  </si>
  <si>
    <t>1874-10-24</t>
  </si>
  <si>
    <t>1865-05-14</t>
  </si>
  <si>
    <t>1853-05-04</t>
  </si>
  <si>
    <t>1846-01-14</t>
  </si>
  <si>
    <t>1851-06-17</t>
  </si>
  <si>
    <t>1870-04-26</t>
  </si>
  <si>
    <t>1845-11-11</t>
  </si>
  <si>
    <t>1845-09-07</t>
  </si>
  <si>
    <t>1863-09-22</t>
  </si>
  <si>
    <t>1849-04-13</t>
  </si>
  <si>
    <t>1847-12-11</t>
  </si>
  <si>
    <t>1870-09-25</t>
  </si>
  <si>
    <t>1867-08-05</t>
  </si>
  <si>
    <t>1844-02-25</t>
  </si>
  <si>
    <t>1867-07-26</t>
  </si>
  <si>
    <t>1874-04-26</t>
  </si>
  <si>
    <t>1861-05-01</t>
  </si>
  <si>
    <t>1873-06-01</t>
  </si>
  <si>
    <t>1875-03-05</t>
  </si>
  <si>
    <t>1868-12-10</t>
  </si>
  <si>
    <t>1868-08-27</t>
  </si>
  <si>
    <t>1859-07-24</t>
  </si>
  <si>
    <t>1879-03-26</t>
  </si>
  <si>
    <t>1859-09-03</t>
  </si>
  <si>
    <t>1871-10-11</t>
  </si>
  <si>
    <t>1857-12-27</t>
  </si>
  <si>
    <t>1856-05-21</t>
  </si>
  <si>
    <t>1871-04-30</t>
  </si>
  <si>
    <t>1868-05-18</t>
  </si>
  <si>
    <t>1868-01-01</t>
  </si>
  <si>
    <t>1858-02-10</t>
  </si>
  <si>
    <t>1860-04-26</t>
  </si>
  <si>
    <t>1854-05-09</t>
  </si>
  <si>
    <t>1876-04-08</t>
  </si>
  <si>
    <t>1880-06-17</t>
  </si>
  <si>
    <t>1863-03-28</t>
  </si>
  <si>
    <t>1857-06-07</t>
  </si>
  <si>
    <t>1870-06-19</t>
  </si>
  <si>
    <t>1872-11-02</t>
  </si>
  <si>
    <t>1851-04-25</t>
  </si>
  <si>
    <t>1852-03-02</t>
  </si>
  <si>
    <t>1867-11-08</t>
  </si>
  <si>
    <t>1834-07-24</t>
  </si>
  <si>
    <t>1851-08-09</t>
  </si>
  <si>
    <t>1848-01-26</t>
  </si>
  <si>
    <t>1850-01-15</t>
  </si>
  <si>
    <t>1870-08-11</t>
  </si>
  <si>
    <t>1868-08-28</t>
  </si>
  <si>
    <t>1832-11-29</t>
  </si>
  <si>
    <t>1877-02-17</t>
  </si>
  <si>
    <t>1860-01-17</t>
  </si>
  <si>
    <t>1847-10-31</t>
  </si>
  <si>
    <t>1860-07-29</t>
  </si>
  <si>
    <t>1875-12-01</t>
  </si>
  <si>
    <t>1855-08-23</t>
  </si>
  <si>
    <t>1870-01-18</t>
  </si>
  <si>
    <t>1871-02-07</t>
  </si>
  <si>
    <t>1862-05-07</t>
  </si>
  <si>
    <t>1862-07-27</t>
  </si>
  <si>
    <t>1866-04-22</t>
  </si>
  <si>
    <t>1863-10-16</t>
  </si>
  <si>
    <t>1861-06-03</t>
  </si>
  <si>
    <t>1871-01-28</t>
  </si>
  <si>
    <t>1871-02-18</t>
  </si>
  <si>
    <t>1850-08-01</t>
  </si>
  <si>
    <t>1861-07-10</t>
  </si>
  <si>
    <t>1855-11-23</t>
  </si>
  <si>
    <t>1858-03-27</t>
  </si>
  <si>
    <t>1877-11-27</t>
  </si>
  <si>
    <t>1856-12-17</t>
  </si>
  <si>
    <t>1876-11-22</t>
  </si>
  <si>
    <t>1854-10-10</t>
  </si>
  <si>
    <t>1869-09-20</t>
  </si>
  <si>
    <t>1850-02-16</t>
  </si>
  <si>
    <t>1841-02-28</t>
  </si>
  <si>
    <t>1850-03-01</t>
  </si>
  <si>
    <t>1867-02-15</t>
  </si>
  <si>
    <t>1836-08-02</t>
  </si>
  <si>
    <t>1863-04-08</t>
  </si>
  <si>
    <t>1858-03-03</t>
  </si>
  <si>
    <t>1866-09-22</t>
  </si>
  <si>
    <t>1860-01-19</t>
  </si>
  <si>
    <t>1830-12-04</t>
  </si>
  <si>
    <t>1873-08-04</t>
  </si>
  <si>
    <t>1874-02-04</t>
  </si>
  <si>
    <t>1846-06-23</t>
  </si>
  <si>
    <t>1870-11-29</t>
  </si>
  <si>
    <t>1851-01-15</t>
  </si>
  <si>
    <t>1847-08-24</t>
  </si>
  <si>
    <t>1879-12-23</t>
  </si>
  <si>
    <t>1863-06-14</t>
  </si>
  <si>
    <t>1875-01-23</t>
  </si>
  <si>
    <t>1838-08-06</t>
  </si>
  <si>
    <t>1847-04-12</t>
  </si>
  <si>
    <t>1859-12-27</t>
  </si>
  <si>
    <t>1877-07-22</t>
  </si>
  <si>
    <t>1844-03-10</t>
  </si>
  <si>
    <t>1841-05-22</t>
  </si>
  <si>
    <t>1852-07-11</t>
  </si>
  <si>
    <t>1869-09-17</t>
  </si>
  <si>
    <t>1844-12-01</t>
  </si>
  <si>
    <t>1833-02-04</t>
  </si>
  <si>
    <t>1875-10-06</t>
  </si>
  <si>
    <t>1855-06-27</t>
  </si>
  <si>
    <t>1879-02-25</t>
  </si>
  <si>
    <t>1870-05-17</t>
  </si>
  <si>
    <t>1865-06-05</t>
  </si>
  <si>
    <t>1865-11-07</t>
  </si>
  <si>
    <t>1872-07-28</t>
  </si>
  <si>
    <t>1851-01-21</t>
  </si>
  <si>
    <t>1844-07-19</t>
  </si>
  <si>
    <t>1852-02-18</t>
  </si>
  <si>
    <t>1862-10-11</t>
  </si>
  <si>
    <t>1851-05-19</t>
  </si>
  <si>
    <t>1865-06-15</t>
  </si>
  <si>
    <t>1854-05-10</t>
  </si>
  <si>
    <t>1862-10-19</t>
  </si>
  <si>
    <t>1860-02-06</t>
  </si>
  <si>
    <t>1876-10-26</t>
  </si>
  <si>
    <t>1870-04-09</t>
  </si>
  <si>
    <t>1857-04-27</t>
  </si>
  <si>
    <t>1863-02-06</t>
  </si>
  <si>
    <t>1851-05-01</t>
  </si>
  <si>
    <t>1861-07-06</t>
  </si>
  <si>
    <t>1868-03-25</t>
  </si>
  <si>
    <t>1854-04-15</t>
  </si>
  <si>
    <t>1855-07-23</t>
  </si>
  <si>
    <t>1859-05-12</t>
  </si>
  <si>
    <t>1862-04-13</t>
  </si>
  <si>
    <t>1861-07-18</t>
  </si>
  <si>
    <t>1860-11-05</t>
  </si>
  <si>
    <t>1873-06-14</t>
  </si>
  <si>
    <t>1873-03-25</t>
  </si>
  <si>
    <t>1860-07-03</t>
  </si>
  <si>
    <t>1867-08-29</t>
  </si>
  <si>
    <t>1863-06-19</t>
  </si>
  <si>
    <t>1860-09-19</t>
  </si>
  <si>
    <t>1867-11-01</t>
  </si>
  <si>
    <t>1866-10-25</t>
  </si>
  <si>
    <t>1847-05-21</t>
  </si>
  <si>
    <t>1858-05-17</t>
  </si>
  <si>
    <t>1850-04-15</t>
  </si>
  <si>
    <t>1861-01-27</t>
  </si>
  <si>
    <t>1861-02-18</t>
  </si>
  <si>
    <t>1868-12-19</t>
  </si>
  <si>
    <t>1868-10-30</t>
  </si>
  <si>
    <t>1855-04-18</t>
  </si>
  <si>
    <t>1857-03-20</t>
  </si>
  <si>
    <t>1848-01-29</t>
  </si>
  <si>
    <t>1853-11-08</t>
  </si>
  <si>
    <t>1866-11-15</t>
  </si>
  <si>
    <t>1867-06-19</t>
  </si>
  <si>
    <t>1866-02-19</t>
  </si>
  <si>
    <t>1870-09-03</t>
  </si>
  <si>
    <t>1876-02-21</t>
  </si>
  <si>
    <t>1870-08-28</t>
  </si>
  <si>
    <t>1870-09-01</t>
  </si>
  <si>
    <t>1863-11-08</t>
  </si>
  <si>
    <t>1840-01-29</t>
  </si>
  <si>
    <t>1867-04-14</t>
  </si>
  <si>
    <t>1851-07-31</t>
  </si>
  <si>
    <t>1852-08-10</t>
  </si>
  <si>
    <t>1868-11-24</t>
  </si>
  <si>
    <t>1862-06-01</t>
  </si>
  <si>
    <t>1864-10-03</t>
  </si>
  <si>
    <t>1857-02-04</t>
  </si>
  <si>
    <t>1850-07-15</t>
  </si>
  <si>
    <t>1857-06-15</t>
  </si>
  <si>
    <t>1868-06-08</t>
  </si>
  <si>
    <t>1874-10-10</t>
  </si>
  <si>
    <t>1839-02-24</t>
  </si>
  <si>
    <t>1857-12-14</t>
  </si>
  <si>
    <t>1856-06-01</t>
  </si>
  <si>
    <t>1863-08-16</t>
  </si>
  <si>
    <t>1860-04-28</t>
  </si>
  <si>
    <t>1856-02-29</t>
  </si>
  <si>
    <t>1871-08-29</t>
  </si>
  <si>
    <t>1871-09-20</t>
  </si>
  <si>
    <t>1860-09-20</t>
  </si>
  <si>
    <t>1870-11-27</t>
  </si>
  <si>
    <t>1869-06-17</t>
  </si>
  <si>
    <t>1861-01-15</t>
  </si>
  <si>
    <t>1868-04-08</t>
  </si>
  <si>
    <t>1833-10-28</t>
  </si>
  <si>
    <t>1846-04-03</t>
  </si>
  <si>
    <t>1855-03-22</t>
  </si>
  <si>
    <t>1857-10-26</t>
  </si>
  <si>
    <t>1841-04-07</t>
  </si>
  <si>
    <t>1872-04-04</t>
  </si>
  <si>
    <t>1874-04-22</t>
  </si>
  <si>
    <t>1840-07-24</t>
  </si>
  <si>
    <t>1855-08-16</t>
  </si>
  <si>
    <t>1877-03-09</t>
  </si>
  <si>
    <t>1856-02-23</t>
  </si>
  <si>
    <t>1873-07-30</t>
  </si>
  <si>
    <t>1880-05-08</t>
  </si>
  <si>
    <t>1846-11-29</t>
  </si>
  <si>
    <t>1844-10-10</t>
  </si>
  <si>
    <t>1850-09-21</t>
  </si>
  <si>
    <t>1857-09-22</t>
  </si>
  <si>
    <t>1869-01-08</t>
  </si>
  <si>
    <t>1861-01-31</t>
  </si>
  <si>
    <t>1855-05-14</t>
  </si>
  <si>
    <t>1847-10-09</t>
  </si>
  <si>
    <t>1879-04-12</t>
  </si>
  <si>
    <t>1867-11-30</t>
  </si>
  <si>
    <t>1855-04-03</t>
  </si>
  <si>
    <t>1872-08-18</t>
  </si>
  <si>
    <t>1852-02-15</t>
  </si>
  <si>
    <t>1844-07-08</t>
  </si>
  <si>
    <t>1860-01-16</t>
  </si>
  <si>
    <t>1876-08-20</t>
  </si>
  <si>
    <t>1855-02-03</t>
  </si>
  <si>
    <t>1874-06-16</t>
  </si>
  <si>
    <t>1876-05-22</t>
  </si>
  <si>
    <t>1844-11-03</t>
  </si>
  <si>
    <t>1854-09-01</t>
  </si>
  <si>
    <t>1863-09-16</t>
  </si>
  <si>
    <t>1876-04-23</t>
  </si>
  <si>
    <t>1856-12-21</t>
  </si>
  <si>
    <t>1875-11-04</t>
  </si>
  <si>
    <t>1835-07-31</t>
  </si>
  <si>
    <t>1867-10-02</t>
  </si>
  <si>
    <t>1872-04-29</t>
  </si>
  <si>
    <t>1841-12-20</t>
  </si>
  <si>
    <t>1870-01-31</t>
  </si>
  <si>
    <t>1871-06-08</t>
  </si>
  <si>
    <t>1863-08-31</t>
  </si>
  <si>
    <t>1862-05-11</t>
  </si>
  <si>
    <t>1854-06-04</t>
  </si>
  <si>
    <t>1876-12-25</t>
  </si>
  <si>
    <t>1865-11-18</t>
  </si>
  <si>
    <t>1868-07-28</t>
  </si>
  <si>
    <t>1855-09-13</t>
  </si>
  <si>
    <t>1835-06-07</t>
  </si>
  <si>
    <t>1850-08-13</t>
  </si>
  <si>
    <t>1844-03-23</t>
  </si>
  <si>
    <t>1852-09-02</t>
  </si>
  <si>
    <t>1853-05-28</t>
  </si>
  <si>
    <t>1847-04-26</t>
  </si>
  <si>
    <t>1852-04-30</t>
  </si>
  <si>
    <t>1863-11-12</t>
  </si>
  <si>
    <t>1849-03-26</t>
  </si>
  <si>
    <t>1861-04-30</t>
  </si>
  <si>
    <t>1876-06-23</t>
  </si>
  <si>
    <t>1878-07-13</t>
  </si>
  <si>
    <t>1862-05-26</t>
  </si>
  <si>
    <t>1840-10-29</t>
  </si>
  <si>
    <t>1878-11-10</t>
  </si>
  <si>
    <t>1857-01-18</t>
  </si>
  <si>
    <t>1866-01-27</t>
  </si>
  <si>
    <t>1857-09-10</t>
  </si>
  <si>
    <t>1859-05-24</t>
  </si>
  <si>
    <t>1842-12-14</t>
  </si>
  <si>
    <t>1855-01-16</t>
  </si>
  <si>
    <t>1845-09-23</t>
  </si>
  <si>
    <t>1856-01-30</t>
  </si>
  <si>
    <t>1863-05-21</t>
  </si>
  <si>
    <t>1871-06-16</t>
  </si>
  <si>
    <t>1863-09-01</t>
  </si>
  <si>
    <t>1856-10-21</t>
  </si>
  <si>
    <t>1881-10-16</t>
  </si>
  <si>
    <t>1864-01-21</t>
  </si>
  <si>
    <t>1859-06-10</t>
  </si>
  <si>
    <t>1842-02-12</t>
  </si>
  <si>
    <t>1859-10-13</t>
  </si>
  <si>
    <t>1848-07-30</t>
  </si>
  <si>
    <t>1853-02-24</t>
  </si>
  <si>
    <t>1850-01-02</t>
  </si>
  <si>
    <t>1864-01-13</t>
  </si>
  <si>
    <t>1883-07-21</t>
  </si>
  <si>
    <t>1873-11-18</t>
  </si>
  <si>
    <t>1867-08-31</t>
  </si>
  <si>
    <t>1855-10-11</t>
  </si>
  <si>
    <t>1878-06-28</t>
  </si>
  <si>
    <t>1846-07-08</t>
  </si>
  <si>
    <t>1876-08-12</t>
  </si>
  <si>
    <t>1884-05-06</t>
  </si>
  <si>
    <t>1851-05-13</t>
  </si>
  <si>
    <t>1851-11-20</t>
  </si>
  <si>
    <t>1869-05-04</t>
  </si>
  <si>
    <t>1866-08-14</t>
  </si>
  <si>
    <t>1876-12-08</t>
  </si>
  <si>
    <t>1871-04-08</t>
  </si>
  <si>
    <t>1864-01-16</t>
  </si>
  <si>
    <t>1845-01-03</t>
  </si>
  <si>
    <t>1863-08-27</t>
  </si>
  <si>
    <t>1846-10-16</t>
  </si>
  <si>
    <t>1871-11-26</t>
  </si>
  <si>
    <t>1851-06-29</t>
  </si>
  <si>
    <t>1870-03-20</t>
  </si>
  <si>
    <t>1856-11-30</t>
  </si>
  <si>
    <t>1866-06-13</t>
  </si>
  <si>
    <t>1857-06-04</t>
  </si>
  <si>
    <t>1855-11-18</t>
  </si>
  <si>
    <t>1872-11-25</t>
  </si>
  <si>
    <t>1847-12-26</t>
  </si>
  <si>
    <t>1864-05-23</t>
  </si>
  <si>
    <t>1868-03-08</t>
  </si>
  <si>
    <t>1869-05-15</t>
  </si>
  <si>
    <t>1864-07-14</t>
  </si>
  <si>
    <t>1861-05-10</t>
  </si>
  <si>
    <t>1858-06-24</t>
  </si>
  <si>
    <t>1854-09-17</t>
  </si>
  <si>
    <t>1874-09-29</t>
  </si>
  <si>
    <t>1843-07-13</t>
  </si>
  <si>
    <t>1863-08-06</t>
  </si>
  <si>
    <t>1872-09-27</t>
  </si>
  <si>
    <t>1858-12-02</t>
  </si>
  <si>
    <t>1846-06-24</t>
  </si>
  <si>
    <t>1861-01-04</t>
  </si>
  <si>
    <t>1851-02-21</t>
  </si>
  <si>
    <t>1876-04-14</t>
  </si>
  <si>
    <t>1865-06-13</t>
  </si>
  <si>
    <t>1883-11-23</t>
  </si>
  <si>
    <t>1868-05-08</t>
  </si>
  <si>
    <t>1867-08-11</t>
  </si>
  <si>
    <t>1860-08-27</t>
  </si>
  <si>
    <t>1851-11-15</t>
  </si>
  <si>
    <t>1870-06-02</t>
  </si>
  <si>
    <t>1852-02-21</t>
  </si>
  <si>
    <t>1859-09-12</t>
  </si>
  <si>
    <t>1868-05-13</t>
  </si>
  <si>
    <t>1869-01-31</t>
  </si>
  <si>
    <t>1854-07-30</t>
  </si>
  <si>
    <t>1859-02-10</t>
  </si>
  <si>
    <t>1872-09-19</t>
  </si>
  <si>
    <t>1876-04-24</t>
  </si>
  <si>
    <t>1864-05-08</t>
  </si>
  <si>
    <t>1869-10-30</t>
  </si>
  <si>
    <t>1851-10-21</t>
  </si>
  <si>
    <t>1855-02-04</t>
  </si>
  <si>
    <t>1861-02-04</t>
  </si>
  <si>
    <t>1864-09-27</t>
  </si>
  <si>
    <t>1860-08-29</t>
  </si>
  <si>
    <t>1844-10-25</t>
  </si>
  <si>
    <t>1855-02-20</t>
  </si>
  <si>
    <t>1863-12-05</t>
  </si>
  <si>
    <t>1869-02-04</t>
  </si>
  <si>
    <t>1878-12-24</t>
  </si>
  <si>
    <t>1873-04-12</t>
  </si>
  <si>
    <t>1856-07-09</t>
  </si>
  <si>
    <t>1862-08-23</t>
  </si>
  <si>
    <t>1838-11-29</t>
  </si>
  <si>
    <t>1867-09-09</t>
  </si>
  <si>
    <t>1847-05-13</t>
  </si>
  <si>
    <t>1873-02-01</t>
  </si>
  <si>
    <t>1872-08-21</t>
  </si>
  <si>
    <t>1855-07-31</t>
  </si>
  <si>
    <t>1850-10-29</t>
  </si>
  <si>
    <t>1855-08-14</t>
  </si>
  <si>
    <t>1875-04-23</t>
  </si>
  <si>
    <t>1873-02-17</t>
  </si>
  <si>
    <t>1852-12-05</t>
  </si>
  <si>
    <t>1870-12-25</t>
  </si>
  <si>
    <t>1854-04-05</t>
  </si>
  <si>
    <t>1874-07-06</t>
  </si>
  <si>
    <t>1883-04-08</t>
  </si>
  <si>
    <t>1863-09-03</t>
  </si>
  <si>
    <t>1852-06-08</t>
  </si>
  <si>
    <t>1877-08-11</t>
  </si>
  <si>
    <t>1863-06-21</t>
  </si>
  <si>
    <t>1854-03-17</t>
  </si>
  <si>
    <t>1883-12-15</t>
  </si>
  <si>
    <t>1861-12-03</t>
  </si>
  <si>
    <t>1847-03-27</t>
  </si>
  <si>
    <t>1850-03-19</t>
  </si>
  <si>
    <t>1869-06-25</t>
  </si>
  <si>
    <t>1856-09-30</t>
  </si>
  <si>
    <t>1861-06-14</t>
  </si>
  <si>
    <t>1851-01-30</t>
  </si>
  <si>
    <t>1870-01-30</t>
  </si>
  <si>
    <t>1837-02-12</t>
  </si>
  <si>
    <t>1874-05-20</t>
  </si>
  <si>
    <t>1867-09-25</t>
  </si>
  <si>
    <t>1870-07-03</t>
  </si>
  <si>
    <t>1852-10-16</t>
  </si>
  <si>
    <t>1865-04-18</t>
  </si>
  <si>
    <t>1856-08-01</t>
  </si>
  <si>
    <t>1867-09-23</t>
  </si>
  <si>
    <t>1845-04-24</t>
  </si>
  <si>
    <t>1871-04-17</t>
  </si>
  <si>
    <t>1878-06-16</t>
  </si>
  <si>
    <t>1850-11-05</t>
  </si>
  <si>
    <t>1874-08-14</t>
  </si>
  <si>
    <t>1876-06-07</t>
  </si>
  <si>
    <t>1871-06-27</t>
  </si>
  <si>
    <t>1874-03-31</t>
  </si>
  <si>
    <t>1852-12-09</t>
  </si>
  <si>
    <t>1852-06-20</t>
  </si>
  <si>
    <t>1861-03-08</t>
  </si>
  <si>
    <t>1859-01-28</t>
  </si>
  <si>
    <t>1874-02-23</t>
  </si>
  <si>
    <t>1857-05-28</t>
  </si>
  <si>
    <t>1875-07-29</t>
  </si>
  <si>
    <t>1866-10-16</t>
  </si>
  <si>
    <t>1852-07-09</t>
  </si>
  <si>
    <t>1853-04-23</t>
  </si>
  <si>
    <t>1859-05-04</t>
  </si>
  <si>
    <t>1871-09-25</t>
  </si>
  <si>
    <t>1876-03-05</t>
  </si>
  <si>
    <t>1866-03-15</t>
  </si>
  <si>
    <t>1870-02-23</t>
  </si>
  <si>
    <t>1874-02-16</t>
  </si>
  <si>
    <t>1876-02-14</t>
  </si>
  <si>
    <t>1857-10-07</t>
  </si>
  <si>
    <t>1862-08-21</t>
  </si>
  <si>
    <t>1876-07-31</t>
  </si>
  <si>
    <t>1849-03-05</t>
  </si>
  <si>
    <t>1845-07-26</t>
  </si>
  <si>
    <t>1878-08-09</t>
  </si>
  <si>
    <t>1866-01-12</t>
  </si>
  <si>
    <t>1874-10-12</t>
  </si>
  <si>
    <t>1872-12-16</t>
  </si>
  <si>
    <t>1850-03-27</t>
  </si>
  <si>
    <t>1880-05-10</t>
  </si>
  <si>
    <t>1868-09-01</t>
  </si>
  <si>
    <t>1877-08-10</t>
  </si>
  <si>
    <t>1859-08-04</t>
  </si>
  <si>
    <t>1873-12-18</t>
  </si>
  <si>
    <t>1864-10-07</t>
  </si>
  <si>
    <t>1872-08-29</t>
  </si>
  <si>
    <t>1872-08-31</t>
  </si>
  <si>
    <t>1865-11-11</t>
  </si>
  <si>
    <t>1874-10-18</t>
  </si>
  <si>
    <t>1863-04-14</t>
  </si>
  <si>
    <t>1870-07-01</t>
  </si>
  <si>
    <t>1852-11-13</t>
  </si>
  <si>
    <t>1864-08-12</t>
  </si>
  <si>
    <t>1849-11-01</t>
  </si>
  <si>
    <t>1866-05-16</t>
  </si>
  <si>
    <t>1867-07-01</t>
  </si>
  <si>
    <t>1864-10-15</t>
  </si>
  <si>
    <t>1885-07-05</t>
  </si>
  <si>
    <t>1878-10-12</t>
  </si>
  <si>
    <t>1851-06-27</t>
  </si>
  <si>
    <t>1861-09-29</t>
  </si>
  <si>
    <t>1862-08-16</t>
  </si>
  <si>
    <t>1856-08-14</t>
  </si>
  <si>
    <t>1855-01-04</t>
  </si>
  <si>
    <t>1850-10-05</t>
  </si>
  <si>
    <t>1878-07-04</t>
  </si>
  <si>
    <t>1879-01-12</t>
  </si>
  <si>
    <t>1872-01-13</t>
  </si>
  <si>
    <t>1866-07-22</t>
  </si>
  <si>
    <t>1856-01-15</t>
  </si>
  <si>
    <t>1873-05-12</t>
  </si>
  <si>
    <t>1873-03-26</t>
  </si>
  <si>
    <t>1860-11-19</t>
  </si>
  <si>
    <t>1886-06-14</t>
  </si>
  <si>
    <t>1869-09-12</t>
  </si>
  <si>
    <t>1860-08-09</t>
  </si>
  <si>
    <t>1868-07-11</t>
  </si>
  <si>
    <t>1865-04-16</t>
  </si>
  <si>
    <t>1875-10-18</t>
  </si>
  <si>
    <t>1846-08-06</t>
  </si>
  <si>
    <t>1873-09-03</t>
  </si>
  <si>
    <t>1863-07-11</t>
  </si>
  <si>
    <t>1878-12-23</t>
  </si>
  <si>
    <t>1874-10-15</t>
  </si>
  <si>
    <t>1873-04-24</t>
  </si>
  <si>
    <t>1886-03-22</t>
  </si>
  <si>
    <t>1879-07-01</t>
  </si>
  <si>
    <t>1849-10-09</t>
  </si>
  <si>
    <t>1887-10-21</t>
  </si>
  <si>
    <t>1862-01-10</t>
  </si>
  <si>
    <t>1869-01-26</t>
  </si>
  <si>
    <t>1862-10-26</t>
  </si>
  <si>
    <t>1870-06-24</t>
  </si>
  <si>
    <t>1870-02-11</t>
  </si>
  <si>
    <t>1873-11-09</t>
  </si>
  <si>
    <t>1876-07-25</t>
  </si>
  <si>
    <t>1868-10-21</t>
  </si>
  <si>
    <t>1864-04-22</t>
  </si>
  <si>
    <t>1880-09-12</t>
  </si>
  <si>
    <t>1844-01-28</t>
  </si>
  <si>
    <t>1883-11-17</t>
  </si>
  <si>
    <t>1857-09-08</t>
  </si>
  <si>
    <t>1866-12-25</t>
  </si>
  <si>
    <t>1860-01-12</t>
  </si>
  <si>
    <t>1875-02-23</t>
  </si>
  <si>
    <t>1850-10-14</t>
  </si>
  <si>
    <t>1873-05-17</t>
  </si>
  <si>
    <t>1879-01-24</t>
  </si>
  <si>
    <t>1868-10-18</t>
  </si>
  <si>
    <t>1872-05-07</t>
  </si>
  <si>
    <t>1886-10-04</t>
  </si>
  <si>
    <t>1876-12-31</t>
  </si>
  <si>
    <t>1861-04-27</t>
  </si>
  <si>
    <t>1859-05-30</t>
  </si>
  <si>
    <t>1853-11-16</t>
  </si>
  <si>
    <t>1882-11-21</t>
  </si>
  <si>
    <t>1882-01-03</t>
  </si>
  <si>
    <t>1859-01-10</t>
  </si>
  <si>
    <t>1872-02-10</t>
  </si>
  <si>
    <t>1882-01-05</t>
  </si>
  <si>
    <t>1844-06-07</t>
  </si>
  <si>
    <t>1851-08-28</t>
  </si>
  <si>
    <t>1876-09-02</t>
  </si>
  <si>
    <t>1881-10-25</t>
  </si>
  <si>
    <t>1863-04-07</t>
  </si>
  <si>
    <t>1862-02-21</t>
  </si>
  <si>
    <t>1879-12-13</t>
  </si>
  <si>
    <t>1873-08-28</t>
  </si>
  <si>
    <t>1874-10-19</t>
  </si>
  <si>
    <t>1862-10-31</t>
  </si>
  <si>
    <t>1868-08-11</t>
  </si>
  <si>
    <t>1866-06-05</t>
  </si>
  <si>
    <t>1875-05-17</t>
  </si>
  <si>
    <t>1875-04-12</t>
  </si>
  <si>
    <t>1881-09-14</t>
  </si>
  <si>
    <t>1879-04-04</t>
  </si>
  <si>
    <t>1870-08-02</t>
  </si>
  <si>
    <t>1879-01-31</t>
  </si>
  <si>
    <t>1861-10-18</t>
  </si>
  <si>
    <t>1859-08-02</t>
  </si>
  <si>
    <t>1888-02-10</t>
  </si>
  <si>
    <t>1879-10-24</t>
  </si>
  <si>
    <t>1885-10-04</t>
  </si>
  <si>
    <t>1861-05-14</t>
  </si>
  <si>
    <t>1860-07-22</t>
  </si>
  <si>
    <t>1860-07-14</t>
  </si>
  <si>
    <t>1876-09-22</t>
  </si>
  <si>
    <t>1883-10-16</t>
  </si>
  <si>
    <t>1874-05-05</t>
  </si>
  <si>
    <t>1879-07-07</t>
  </si>
  <si>
    <t>1871-03-05</t>
  </si>
  <si>
    <t>1874-12-09</t>
  </si>
  <si>
    <t>1849-08-04</t>
  </si>
  <si>
    <t>1868-05-02</t>
  </si>
  <si>
    <t>1868-07-12</t>
  </si>
  <si>
    <t>1875-07-06</t>
  </si>
  <si>
    <t>1884-08-27</t>
  </si>
  <si>
    <t>1874-11-09</t>
  </si>
  <si>
    <t>1873-10-27</t>
  </si>
  <si>
    <t>1856-06-14</t>
  </si>
  <si>
    <t>1886-01-26</t>
  </si>
  <si>
    <t>1877-05-05</t>
  </si>
  <si>
    <t>1860-10-06</t>
  </si>
  <si>
    <t>1881-11-09</t>
  </si>
  <si>
    <t>1881-01-19</t>
  </si>
  <si>
    <t>1874-09-14</t>
  </si>
  <si>
    <t>1879-08-31</t>
  </si>
  <si>
    <t>1872-10-18</t>
  </si>
  <si>
    <t>1875-04-10</t>
  </si>
  <si>
    <t>1854-01-14</t>
  </si>
  <si>
    <t>1859-03-07</t>
  </si>
  <si>
    <t>1870-06-10</t>
  </si>
  <si>
    <t>1860-12-14</t>
  </si>
  <si>
    <t>1875-08-11</t>
  </si>
  <si>
    <t>1879-01-04</t>
  </si>
  <si>
    <t>1862-03-08</t>
  </si>
  <si>
    <t>1871-11-12</t>
  </si>
  <si>
    <t>1859-08-22</t>
  </si>
  <si>
    <t>1873-12-12</t>
  </si>
  <si>
    <t>1869-05-01</t>
  </si>
  <si>
    <t>1855-01-20</t>
  </si>
  <si>
    <t>1871-01-21</t>
  </si>
  <si>
    <t>1877-05-14</t>
  </si>
  <si>
    <t>1864-04-04</t>
  </si>
  <si>
    <t>1863-01-27</t>
  </si>
  <si>
    <t>1865-02-15</t>
  </si>
  <si>
    <t>1867-11-15</t>
  </si>
  <si>
    <t>1875-10-30</t>
  </si>
  <si>
    <t>1872-10-13</t>
  </si>
  <si>
    <t>1867-09-15</t>
  </si>
  <si>
    <t>1867-03-08</t>
  </si>
  <si>
    <t>1888-03-10</t>
  </si>
  <si>
    <t>1872-03-31</t>
  </si>
  <si>
    <t>1867-06-07</t>
  </si>
  <si>
    <t>1846-09-14</t>
  </si>
  <si>
    <t>1866-10-13</t>
  </si>
  <si>
    <t>1850-09-06</t>
  </si>
  <si>
    <t>1875-12-19</t>
  </si>
  <si>
    <t>1862-01-04</t>
  </si>
  <si>
    <t>1872-05-09</t>
  </si>
  <si>
    <t>1869-03-23</t>
  </si>
  <si>
    <t>1869-04-17</t>
  </si>
  <si>
    <t>1869-04-11</t>
  </si>
  <si>
    <t>1880-08-29</t>
  </si>
  <si>
    <t>1885-04-25</t>
  </si>
  <si>
    <t>1879-07-26</t>
  </si>
  <si>
    <t>1875-06-09</t>
  </si>
  <si>
    <t>1874-08-18</t>
  </si>
  <si>
    <t>1856-06-16</t>
  </si>
  <si>
    <t>1864-05-10</t>
  </si>
  <si>
    <t>1864-02-06</t>
  </si>
  <si>
    <t>1879-08-03</t>
  </si>
  <si>
    <t>1863-11-07</t>
  </si>
  <si>
    <t>1868-02-12</t>
  </si>
  <si>
    <t>1874-11-23</t>
  </si>
  <si>
    <t>1876-02-10</t>
  </si>
  <si>
    <t>1873-10-08</t>
  </si>
  <si>
    <t>1870-01-26</t>
  </si>
  <si>
    <t>1872-05-19</t>
  </si>
  <si>
    <t>1853-04-27</t>
  </si>
  <si>
    <t>1855-12-28</t>
  </si>
  <si>
    <t>1861-08-05</t>
  </si>
  <si>
    <t>1860-02-13</t>
  </si>
  <si>
    <t>1881-04-24</t>
  </si>
  <si>
    <t>1863-08-11</t>
  </si>
  <si>
    <t>1876-11-26</t>
  </si>
  <si>
    <t>1875-12-23</t>
  </si>
  <si>
    <t>1875-11-24</t>
  </si>
  <si>
    <t>1868-10-07</t>
  </si>
  <si>
    <t>1848-07-19</t>
  </si>
  <si>
    <t>1864-06-17</t>
  </si>
  <si>
    <t>1866-06-04</t>
  </si>
  <si>
    <t>1859-03-27</t>
  </si>
  <si>
    <t>1880-10-16</t>
  </si>
  <si>
    <t>1857-07-18</t>
  </si>
  <si>
    <t>1873-08-17</t>
  </si>
  <si>
    <t>1863-11-01</t>
  </si>
  <si>
    <t>1878-01-13</t>
  </si>
  <si>
    <t>1865-05-07</t>
  </si>
  <si>
    <t>1875-07-05</t>
  </si>
  <si>
    <t>1882-04-10</t>
  </si>
  <si>
    <t>1884-03-31</t>
  </si>
  <si>
    <t>1866-06-02</t>
  </si>
  <si>
    <t>1878-04-18</t>
  </si>
  <si>
    <t>1871-12-19</t>
  </si>
  <si>
    <t>1866-09-16</t>
  </si>
  <si>
    <t>1869-01-06</t>
  </si>
  <si>
    <t>1856-09-14</t>
  </si>
  <si>
    <t>1859-07-12</t>
  </si>
  <si>
    <t>1882-04-14</t>
  </si>
  <si>
    <t>1875-04-28</t>
  </si>
  <si>
    <t>1879-01-11</t>
  </si>
  <si>
    <t>1878-02-13</t>
  </si>
  <si>
    <t>1870-10-03</t>
  </si>
  <si>
    <t>1880-02-21</t>
  </si>
  <si>
    <t>1876-08-06</t>
  </si>
  <si>
    <t>1858-07-20</t>
  </si>
  <si>
    <t>1874-06-08</t>
  </si>
  <si>
    <t>1874-04-05</t>
  </si>
  <si>
    <t>1883-06-28</t>
  </si>
  <si>
    <t>1886-10-06</t>
  </si>
  <si>
    <t>1876-03-13</t>
  </si>
  <si>
    <t>1861-05-28</t>
  </si>
  <si>
    <t>1860-06-02</t>
  </si>
  <si>
    <t>1875-02-04</t>
  </si>
  <si>
    <t>1879-06-06</t>
  </si>
  <si>
    <t>1876-05-10</t>
  </si>
  <si>
    <t>1889-04-12</t>
  </si>
  <si>
    <t>1870-11-16</t>
  </si>
  <si>
    <t>1856-04-20</t>
  </si>
  <si>
    <t>1876-04-19</t>
  </si>
  <si>
    <t>1877-11-30</t>
  </si>
  <si>
    <t>1890-03-17</t>
  </si>
  <si>
    <t>1876-03-31</t>
  </si>
  <si>
    <t>1878-10-29</t>
  </si>
  <si>
    <t>1881-01-30</t>
  </si>
  <si>
    <t>1887-11-20</t>
  </si>
  <si>
    <t>1873-10-31</t>
  </si>
  <si>
    <t>1887-06-14</t>
  </si>
  <si>
    <t>1880-09-23</t>
  </si>
  <si>
    <t>1859-09-26</t>
  </si>
  <si>
    <t>1892-12-08</t>
  </si>
  <si>
    <t>1861-10-15</t>
  </si>
  <si>
    <t>1888-12-04</t>
  </si>
  <si>
    <t>1888-07-03</t>
  </si>
  <si>
    <t>1882-12-03</t>
  </si>
  <si>
    <t>1863-10-31</t>
  </si>
  <si>
    <t>1872-11-21</t>
  </si>
  <si>
    <t>1883-10-18</t>
  </si>
  <si>
    <t>1881-04-10</t>
  </si>
  <si>
    <t>1876-05-16</t>
  </si>
  <si>
    <t>1882-11-01</t>
  </si>
  <si>
    <t>1874-07-09</t>
  </si>
  <si>
    <t>1881-06-22</t>
  </si>
  <si>
    <t>1887-11-12</t>
  </si>
  <si>
    <t>1859-12-10</t>
  </si>
  <si>
    <t>1868-08-15</t>
  </si>
  <si>
    <t>1877-09-30</t>
  </si>
  <si>
    <t>1860-10-01</t>
  </si>
  <si>
    <t>1880-08-03</t>
  </si>
  <si>
    <t>1855-09-29</t>
  </si>
  <si>
    <t>1875-12-12</t>
  </si>
  <si>
    <t>1864-04-12</t>
  </si>
  <si>
    <t>1868-07-10</t>
  </si>
  <si>
    <t>1860-08-26</t>
  </si>
  <si>
    <t>1877-06-21</t>
  </si>
  <si>
    <t>1882-07-21</t>
  </si>
  <si>
    <t>1884-05-26</t>
  </si>
  <si>
    <t>1864-01-19</t>
  </si>
  <si>
    <t>1880-05-19</t>
  </si>
  <si>
    <t>1879-10-17</t>
  </si>
  <si>
    <t>1858-05-12</t>
  </si>
  <si>
    <t>1862-04-25</t>
  </si>
  <si>
    <t>1872-04-09</t>
  </si>
  <si>
    <t>1870-12-11</t>
  </si>
  <si>
    <t>1867-09-11</t>
  </si>
  <si>
    <t>1870-12-30</t>
  </si>
  <si>
    <t>1866-11-22</t>
  </si>
  <si>
    <t>1872-08-20</t>
  </si>
  <si>
    <t>1880-11-08</t>
  </si>
  <si>
    <t>1883-12-10</t>
  </si>
  <si>
    <t>1855-10-31</t>
  </si>
  <si>
    <t>1883-04-28</t>
  </si>
  <si>
    <t>1872-08-03</t>
  </si>
  <si>
    <t>1878-04-29</t>
  </si>
  <si>
    <t>1863-11-06</t>
  </si>
  <si>
    <t>1874-10-02</t>
  </si>
  <si>
    <t>1865-01-12</t>
  </si>
  <si>
    <t>1879-05-10</t>
  </si>
  <si>
    <t>1853-07-31</t>
  </si>
  <si>
    <t>1877-12-01</t>
  </si>
  <si>
    <t>1867-08-18</t>
  </si>
  <si>
    <t>1861-07-08</t>
  </si>
  <si>
    <t>1880-04-12</t>
  </si>
  <si>
    <t>1875-10-15</t>
  </si>
  <si>
    <t>1851-12-24</t>
  </si>
  <si>
    <t>1868-03-02</t>
  </si>
  <si>
    <t>1879-02-04</t>
  </si>
  <si>
    <t>1853-11-05</t>
  </si>
  <si>
    <t>1855-08-02</t>
  </si>
  <si>
    <t>1868-02-23</t>
  </si>
  <si>
    <t>1880-01-18</t>
  </si>
  <si>
    <t>1885-02-01</t>
  </si>
  <si>
    <t>1873-03-27</t>
  </si>
  <si>
    <t>1871-09-29</t>
  </si>
  <si>
    <t>1876-12-13</t>
  </si>
  <si>
    <t>1869-03-24</t>
  </si>
  <si>
    <t>1871-07-01</t>
  </si>
  <si>
    <t>1879-10-18</t>
  </si>
  <si>
    <t>1866-03-18</t>
  </si>
  <si>
    <t>1874-03-24</t>
  </si>
  <si>
    <t>1868-04-14</t>
  </si>
  <si>
    <t>1881-11-20</t>
  </si>
  <si>
    <t>1867-05-17</t>
  </si>
  <si>
    <t>1884-06-18</t>
  </si>
  <si>
    <t>1851-09-17</t>
  </si>
  <si>
    <t>1867-11-16</t>
  </si>
  <si>
    <t>1878-07-12</t>
  </si>
  <si>
    <t>1884-04-09</t>
  </si>
  <si>
    <t>1860-03-19</t>
  </si>
  <si>
    <t>1886-04-15</t>
  </si>
  <si>
    <t>1885-07-26</t>
  </si>
  <si>
    <t>1866-09-24</t>
  </si>
  <si>
    <t>1863-05-19</t>
  </si>
  <si>
    <t>1861-01-05</t>
  </si>
  <si>
    <t>1879-12-07</t>
  </si>
  <si>
    <t>1876-01-13</t>
  </si>
  <si>
    <t>1862-02-14</t>
  </si>
  <si>
    <t>1876-07-09</t>
  </si>
  <si>
    <t>1867-02-22</t>
  </si>
  <si>
    <t>1856-10-09</t>
  </si>
  <si>
    <t>1877-09-04</t>
  </si>
  <si>
    <t>1881-10-04</t>
  </si>
  <si>
    <t>1877-09-17</t>
  </si>
  <si>
    <t>1864-02-04</t>
  </si>
  <si>
    <t>1886-04-12</t>
  </si>
  <si>
    <t>1875-05-30</t>
  </si>
  <si>
    <t>1884-04-07</t>
  </si>
  <si>
    <t>1886-05-20</t>
  </si>
  <si>
    <t>1877-07-31</t>
  </si>
  <si>
    <t>1879-06-03</t>
  </si>
  <si>
    <t>1876-06-06</t>
  </si>
  <si>
    <t>1875-09-30</t>
  </si>
  <si>
    <t>1858-10-12</t>
  </si>
  <si>
    <t>1885-12-03</t>
  </si>
  <si>
    <t>1864-08-15</t>
  </si>
  <si>
    <t>1886-12-28</t>
  </si>
  <si>
    <t>1869-07-13</t>
  </si>
  <si>
    <t>1886-10-26</t>
  </si>
  <si>
    <t>1894-03-26</t>
  </si>
  <si>
    <t>1889-03-06</t>
  </si>
  <si>
    <t>1858-09-18</t>
  </si>
  <si>
    <t>1890-09-19</t>
  </si>
  <si>
    <t>1874-12-14</t>
  </si>
  <si>
    <t>1888-02-26</t>
  </si>
  <si>
    <t>1883-08-05</t>
  </si>
  <si>
    <t>1875-03-22</t>
  </si>
  <si>
    <t>1857-10-01</t>
  </si>
  <si>
    <t>1856-07-24</t>
  </si>
  <si>
    <t>1866-03-12</t>
  </si>
  <si>
    <t>1874-10-13</t>
  </si>
  <si>
    <t>1868-08-12</t>
  </si>
  <si>
    <t>1893-07-09</t>
  </si>
  <si>
    <t>1880-12-31</t>
  </si>
  <si>
    <t>1865-09-07</t>
  </si>
  <si>
    <t>1870-05-18</t>
  </si>
  <si>
    <t>1878-06-08</t>
  </si>
  <si>
    <t>1882-07-11</t>
  </si>
  <si>
    <t>1870-05-12</t>
  </si>
  <si>
    <t>1866-12-20</t>
  </si>
  <si>
    <t>1856-08-30</t>
  </si>
  <si>
    <t>1873-10-20</t>
  </si>
  <si>
    <t>1859-12-11</t>
  </si>
  <si>
    <t>1876-06-25</t>
  </si>
  <si>
    <t>1862-09-20</t>
  </si>
  <si>
    <t>1871-06-30</t>
  </si>
  <si>
    <t>1870-04-18</t>
  </si>
  <si>
    <t>1872-07-05</t>
  </si>
  <si>
    <t>1893-05-20</t>
  </si>
  <si>
    <t>1858-04-19</t>
  </si>
  <si>
    <t>1867-12-11</t>
  </si>
  <si>
    <t>1869-04-18</t>
  </si>
  <si>
    <t>1849-09-06</t>
  </si>
  <si>
    <t>1868-11-25</t>
  </si>
  <si>
    <t>1890-03-29</t>
  </si>
  <si>
    <t>1864-02-25</t>
  </si>
  <si>
    <t>1850-12-25</t>
  </si>
  <si>
    <t>1872-05-10</t>
  </si>
  <si>
    <t>1874-11-16</t>
  </si>
  <si>
    <t>1873-06-10</t>
  </si>
  <si>
    <t>1875-01-13</t>
  </si>
  <si>
    <t>1887-04-20</t>
  </si>
  <si>
    <t>1878-10-28</t>
  </si>
  <si>
    <t>1888-01-26</t>
  </si>
  <si>
    <t>1856-01-01</t>
  </si>
  <si>
    <t>1883-08-08</t>
  </si>
  <si>
    <t>1888-09-16</t>
  </si>
  <si>
    <t>1877-08-27</t>
  </si>
  <si>
    <t>1874-08-12</t>
  </si>
  <si>
    <t>1878-02-20</t>
  </si>
  <si>
    <t>1866-07-02</t>
  </si>
  <si>
    <t>1872-08-12</t>
  </si>
  <si>
    <t>1872-02-29</t>
  </si>
  <si>
    <t>1875-07-15</t>
  </si>
  <si>
    <t>1866-04-02</t>
  </si>
  <si>
    <t>1873-11-13</t>
  </si>
  <si>
    <t>1879-04-15</t>
  </si>
  <si>
    <t>1863-09-27</t>
  </si>
  <si>
    <t>1891-09-23</t>
  </si>
  <si>
    <t>1875-06-11</t>
  </si>
  <si>
    <t>1885-06-05</t>
  </si>
  <si>
    <t>1882-03-07</t>
  </si>
  <si>
    <t>1861-04-25</t>
  </si>
  <si>
    <t>1878-05-03</t>
  </si>
  <si>
    <t>1857-09-19</t>
  </si>
  <si>
    <t>1875-10-25</t>
  </si>
  <si>
    <t>1860-12-08</t>
  </si>
  <si>
    <t>1857-02-17</t>
  </si>
  <si>
    <t>1875-07-01</t>
  </si>
  <si>
    <t>1867-05-02</t>
  </si>
  <si>
    <t>1882-09-18</t>
  </si>
  <si>
    <t>1883-03-22</t>
  </si>
  <si>
    <t>1850-09-22</t>
  </si>
  <si>
    <t>1865-10-22</t>
  </si>
  <si>
    <t>1864-07-15</t>
  </si>
  <si>
    <t>1862-09-26</t>
  </si>
  <si>
    <t>1878-08-24</t>
  </si>
  <si>
    <t>1861-09-08</t>
  </si>
  <si>
    <t>1868-07-01</t>
  </si>
  <si>
    <t>1881-04-09</t>
  </si>
  <si>
    <t>1872-06-03</t>
  </si>
  <si>
    <t>1868-06-10</t>
  </si>
  <si>
    <t>1869-06-27</t>
  </si>
  <si>
    <t>1888-08-05</t>
  </si>
  <si>
    <t>1865-02-17</t>
  </si>
  <si>
    <t>1878-06-06</t>
  </si>
  <si>
    <t>1868-06-23</t>
  </si>
  <si>
    <t>1861-08-31</t>
  </si>
  <si>
    <t>1885-08-06</t>
  </si>
  <si>
    <t>1881-07-18</t>
  </si>
  <si>
    <t>1863-08-19</t>
  </si>
  <si>
    <t>1867-12-27</t>
  </si>
  <si>
    <t>1876-01-01</t>
  </si>
  <si>
    <t>1857-09-06</t>
  </si>
  <si>
    <t>1883-05-27</t>
  </si>
  <si>
    <t>1875-09-11</t>
  </si>
  <si>
    <t>1884-03-15</t>
  </si>
  <si>
    <t>1893-04-29</t>
  </si>
  <si>
    <t>1857-09-14</t>
  </si>
  <si>
    <t>1871-01-09</t>
  </si>
  <si>
    <t>1878-05-19</t>
  </si>
  <si>
    <t>1873-09-30</t>
  </si>
  <si>
    <t>1866-01-19</t>
  </si>
  <si>
    <t>1862-03-17</t>
  </si>
  <si>
    <t>1850-01-12</t>
  </si>
  <si>
    <t>1844-02-04</t>
  </si>
  <si>
    <t>1883-07-25</t>
  </si>
  <si>
    <t>1887-03-08</t>
  </si>
  <si>
    <t>1864-04-08</t>
  </si>
  <si>
    <t>1877-10-08</t>
  </si>
  <si>
    <t>1879-03-27</t>
  </si>
  <si>
    <t>1859-09-25</t>
  </si>
  <si>
    <t>1881-05-19</t>
  </si>
  <si>
    <t>1888-07-01</t>
  </si>
  <si>
    <t>1871-11-09</t>
  </si>
  <si>
    <t>1876-02-22</t>
  </si>
  <si>
    <t>1868-04-23</t>
  </si>
  <si>
    <t>1873-04-03</t>
  </si>
  <si>
    <t>1871-08-24</t>
  </si>
  <si>
    <t>1886-06-29</t>
  </si>
  <si>
    <t>1872-12-21</t>
  </si>
  <si>
    <t>1863-11-18</t>
  </si>
  <si>
    <t>1872-06-09</t>
  </si>
  <si>
    <t>1885-02-18</t>
  </si>
  <si>
    <t>1885-01-05</t>
  </si>
  <si>
    <t>1880-07-15</t>
  </si>
  <si>
    <t>1857-11-03</t>
  </si>
  <si>
    <t>1880-12-09</t>
  </si>
  <si>
    <t>1854-09-06</t>
  </si>
  <si>
    <t>1878-06-04</t>
  </si>
  <si>
    <t>1873-04-05</t>
  </si>
  <si>
    <t>1883-01-26</t>
  </si>
  <si>
    <t>1869-12-23</t>
  </si>
  <si>
    <t>1871-09-05</t>
  </si>
  <si>
    <t>1855-01-22</t>
  </si>
  <si>
    <t>1873-06-13</t>
  </si>
  <si>
    <t>1882-12-29</t>
  </si>
  <si>
    <t>1891-09-11</t>
  </si>
  <si>
    <t>1874-12-29</t>
  </si>
  <si>
    <t>1858-10-06</t>
  </si>
  <si>
    <t>1878-10-15</t>
  </si>
  <si>
    <t>1881-01-27</t>
  </si>
  <si>
    <t>1874-02-15</t>
  </si>
  <si>
    <t>1886-09-01</t>
  </si>
  <si>
    <t>1870-12-17</t>
  </si>
  <si>
    <t>1873-10-28</t>
  </si>
  <si>
    <t>1857-01-21</t>
  </si>
  <si>
    <t>1853-07-06</t>
  </si>
  <si>
    <t>1859-08-01</t>
  </si>
  <si>
    <t>1865-10-05</t>
  </si>
  <si>
    <t>1870-01-01</t>
  </si>
  <si>
    <t>1887-10-04</t>
  </si>
  <si>
    <t>1861-08-15</t>
  </si>
  <si>
    <t>1884-08-14</t>
  </si>
  <si>
    <t>1884-01-21</t>
  </si>
  <si>
    <t>1878-09-14</t>
  </si>
  <si>
    <t>1883-02-16</t>
  </si>
  <si>
    <t>1875-02-28</t>
  </si>
  <si>
    <t>1875-03-23</t>
  </si>
  <si>
    <t>1880-07-21</t>
  </si>
  <si>
    <t>1870-01-22</t>
  </si>
  <si>
    <t>1880-08-24</t>
  </si>
  <si>
    <t>1874-12-10</t>
  </si>
  <si>
    <t>1877-11-12</t>
  </si>
  <si>
    <t>1883-11-06</t>
  </si>
  <si>
    <t>1891-12-23</t>
  </si>
  <si>
    <t>1884-02-05</t>
  </si>
  <si>
    <t>1892-01-08</t>
  </si>
  <si>
    <t>1871-04-04</t>
  </si>
  <si>
    <t>1891-09-21</t>
  </si>
  <si>
    <t>1878-04-22</t>
  </si>
  <si>
    <t>1888-10-18</t>
  </si>
  <si>
    <t>1873-03-24</t>
  </si>
  <si>
    <t>1859-09-24</t>
  </si>
  <si>
    <t>1867-07-23</t>
  </si>
  <si>
    <t>1890-05-29</t>
  </si>
  <si>
    <t>1861-04-02</t>
  </si>
  <si>
    <t>1876-08-30</t>
  </si>
  <si>
    <t>1883-03-15</t>
  </si>
  <si>
    <t>1869-02-17</t>
  </si>
  <si>
    <t>1873-01-22</t>
  </si>
  <si>
    <t>1849-07-19</t>
  </si>
  <si>
    <t>1874-12-13</t>
  </si>
  <si>
    <t>1877-10-04</t>
  </si>
  <si>
    <t>1878-10-24</t>
  </si>
  <si>
    <t>1866-12-23</t>
  </si>
  <si>
    <t>1868-11-09</t>
  </si>
  <si>
    <t>1877-10-24</t>
  </si>
  <si>
    <t>1888-02-20</t>
  </si>
  <si>
    <t>1860-12-18</t>
  </si>
  <si>
    <t>1877-02-06</t>
  </si>
  <si>
    <t>1874-02-08</t>
  </si>
  <si>
    <t>1859-11-09</t>
  </si>
  <si>
    <t>1871-07-31</t>
  </si>
  <si>
    <t>1881-02-20</t>
  </si>
  <si>
    <t>1879-06-01</t>
  </si>
  <si>
    <t>1880-11-01</t>
  </si>
  <si>
    <t>1863-05-27</t>
  </si>
  <si>
    <t>1887-09-06</t>
  </si>
  <si>
    <t>1869-08-20</t>
  </si>
  <si>
    <t>1870-08-04</t>
  </si>
  <si>
    <t>1887-08-16</t>
  </si>
  <si>
    <t>1879-09-17</t>
  </si>
  <si>
    <t>1859-09-14</t>
  </si>
  <si>
    <t>1875-05-24</t>
  </si>
  <si>
    <t>1854-09-26</t>
  </si>
  <si>
    <t>1853-07-10</t>
  </si>
  <si>
    <t>1861-10-22</t>
  </si>
  <si>
    <t>1872-11-16</t>
  </si>
  <si>
    <t>1881-05-04</t>
  </si>
  <si>
    <t>1854-01-06</t>
  </si>
  <si>
    <t>1852-12-22</t>
  </si>
  <si>
    <t>1883-06-26</t>
  </si>
  <si>
    <t>1882-03-20</t>
  </si>
  <si>
    <t>1868-09-11</t>
  </si>
  <si>
    <t>1883-02-20</t>
  </si>
  <si>
    <t>1879-05-31</t>
  </si>
  <si>
    <t>1857-03-31</t>
  </si>
  <si>
    <t>1870-09-28</t>
  </si>
  <si>
    <t>1858-02-11</t>
  </si>
  <si>
    <t>1872-02-08</t>
  </si>
  <si>
    <t>1879-08-24</t>
  </si>
  <si>
    <t>1885-01-07</t>
  </si>
  <si>
    <t>1887-12-20</t>
  </si>
  <si>
    <t>1873-08-11</t>
  </si>
  <si>
    <t>1879-09-15</t>
  </si>
  <si>
    <t>1895-11-10</t>
  </si>
  <si>
    <t>1876-08-03</t>
  </si>
  <si>
    <t>1876-07-19</t>
  </si>
  <si>
    <t>1881-12-31</t>
  </si>
  <si>
    <t>1870-06-22</t>
  </si>
  <si>
    <t>1892-05-17</t>
  </si>
  <si>
    <t>1878-12-27</t>
  </si>
  <si>
    <t>1866-10-27</t>
  </si>
  <si>
    <t>1887-02-25</t>
  </si>
  <si>
    <t>1881-04-19</t>
  </si>
  <si>
    <t>1891-01-11</t>
  </si>
  <si>
    <t>1863-10-22</t>
  </si>
  <si>
    <t>1875-11-07</t>
  </si>
  <si>
    <t>1861-09-13</t>
  </si>
  <si>
    <t>1869-04-21</t>
  </si>
  <si>
    <t>1879-08-26</t>
  </si>
  <si>
    <t>1889-07-23</t>
  </si>
  <si>
    <t>1871-01-07</t>
  </si>
  <si>
    <t>1875-09-18</t>
  </si>
  <si>
    <t>1873-03-31</t>
  </si>
  <si>
    <t>1874-09-10</t>
  </si>
  <si>
    <t>1877-02-20</t>
  </si>
  <si>
    <t>1893-06-09</t>
  </si>
  <si>
    <t>1882-11-22</t>
  </si>
  <si>
    <t>1888-12-15</t>
  </si>
  <si>
    <t>1880-02-27</t>
  </si>
  <si>
    <t>1885-09-21</t>
  </si>
  <si>
    <t>1862-05-28</t>
  </si>
  <si>
    <t>1865-03-24</t>
  </si>
  <si>
    <t>1857-07-30</t>
  </si>
  <si>
    <t>1886-09-15</t>
  </si>
  <si>
    <t>1885-11-14</t>
  </si>
  <si>
    <t>1881-10-10</t>
  </si>
  <si>
    <t>1878-01-04</t>
  </si>
  <si>
    <t>1878-02-06</t>
  </si>
  <si>
    <t>1886-09-05</t>
  </si>
  <si>
    <t>1897-07-14</t>
  </si>
  <si>
    <t>1882-04-23</t>
  </si>
  <si>
    <t>1873-03-23</t>
  </si>
  <si>
    <t>1879-04-25</t>
  </si>
  <si>
    <t>1881-07-13</t>
  </si>
  <si>
    <t>1886-03-24</t>
  </si>
  <si>
    <t>1870-12-26</t>
  </si>
  <si>
    <t>1885-04-23</t>
  </si>
  <si>
    <t>1888-06-01</t>
  </si>
  <si>
    <t>1882-07-30</t>
  </si>
  <si>
    <t>1870-02-15</t>
  </si>
  <si>
    <t>1882-11-19</t>
  </si>
  <si>
    <t>1890-08-15</t>
  </si>
  <si>
    <t>1869-02-12</t>
  </si>
  <si>
    <t>1885-11-16</t>
  </si>
  <si>
    <t>1883-10-10</t>
  </si>
  <si>
    <t>1875-03-27</t>
  </si>
  <si>
    <t>1876-09-21</t>
  </si>
  <si>
    <t>1876-06-30</t>
  </si>
  <si>
    <t>1879-07-27</t>
  </si>
  <si>
    <t>1860-12-06</t>
  </si>
  <si>
    <t>1879-12-15</t>
  </si>
  <si>
    <t>1860-02-03</t>
  </si>
  <si>
    <t>1875-07-17</t>
  </si>
  <si>
    <t>1876-07-14</t>
  </si>
  <si>
    <t>1894-06-27</t>
  </si>
  <si>
    <t>1889-06-24</t>
  </si>
  <si>
    <t>1879-03-18</t>
  </si>
  <si>
    <t>1860-09-10</t>
  </si>
  <si>
    <t>1875-08-01</t>
  </si>
  <si>
    <t>1885-05-07</t>
  </si>
  <si>
    <t>1876-05-03</t>
  </si>
  <si>
    <t>1877-01-14</t>
  </si>
  <si>
    <t>1869-05-11</t>
  </si>
  <si>
    <t>1873-07-26</t>
  </si>
  <si>
    <t>1862-04-15</t>
  </si>
  <si>
    <t>1898-09-26</t>
  </si>
  <si>
    <t>1867-05-05</t>
  </si>
  <si>
    <t>1873-12-30</t>
  </si>
  <si>
    <t>1874-05-25</t>
  </si>
  <si>
    <t>1879-12-16</t>
  </si>
  <si>
    <t>1877-08-23</t>
  </si>
  <si>
    <t>1881-12-28</t>
  </si>
  <si>
    <t>1869-12-27</t>
  </si>
  <si>
    <t>1880-04-26</t>
  </si>
  <si>
    <t>1878-02-03</t>
  </si>
  <si>
    <t>1873-12-08</t>
  </si>
  <si>
    <t>1885-11-30</t>
  </si>
  <si>
    <t>1869-10-31</t>
  </si>
  <si>
    <t>1874-05-23</t>
  </si>
  <si>
    <t>1880-02-16</t>
  </si>
  <si>
    <t>1887-06-13</t>
  </si>
  <si>
    <t>1893-10-02</t>
  </si>
  <si>
    <t>1879-10-21</t>
  </si>
  <si>
    <t>1872-01-01</t>
  </si>
  <si>
    <t>1881-12-30</t>
  </si>
  <si>
    <t>1881-03-19</t>
  </si>
  <si>
    <t>1879-04-03</t>
  </si>
  <si>
    <t>1884-10-04</t>
  </si>
  <si>
    <t>1892-10-16</t>
  </si>
  <si>
    <t>1872-11-01</t>
  </si>
  <si>
    <t>1866-03-23</t>
  </si>
  <si>
    <t>1861-11-03</t>
  </si>
  <si>
    <t>1883-05-08</t>
  </si>
  <si>
    <t>1881-10-03</t>
  </si>
  <si>
    <t>1883-08-21</t>
  </si>
  <si>
    <t>1882-07-24</t>
  </si>
  <si>
    <t>1875-06-27</t>
  </si>
  <si>
    <t>1860-08-18</t>
  </si>
  <si>
    <t>1874-03-07</t>
  </si>
  <si>
    <t>1887-09-01</t>
  </si>
  <si>
    <t>1871-05-25</t>
  </si>
  <si>
    <t>1865-02-03</t>
  </si>
  <si>
    <t>1862-10-04</t>
  </si>
  <si>
    <t>1879-06-28</t>
  </si>
  <si>
    <t>1881-11-03</t>
  </si>
  <si>
    <t>1862-09-11</t>
  </si>
  <si>
    <t>1895-01-29</t>
  </si>
  <si>
    <t>1883-12-16</t>
  </si>
  <si>
    <t>1874-12-03</t>
  </si>
  <si>
    <t>1879-01-09</t>
  </si>
  <si>
    <t>1882-06-02</t>
  </si>
  <si>
    <t>1854-05-27</t>
  </si>
  <si>
    <t>1862-12-26</t>
  </si>
  <si>
    <t>1881-07-10</t>
  </si>
  <si>
    <t>1873-07-25</t>
  </si>
  <si>
    <t>1884-10-06</t>
  </si>
  <si>
    <t>1876-07-24</t>
  </si>
  <si>
    <t>1886-11-06</t>
  </si>
  <si>
    <t>1860-07-11</t>
  </si>
  <si>
    <t>1867-11-03</t>
  </si>
  <si>
    <t>1891-07-11</t>
  </si>
  <si>
    <t>1863-05-17</t>
  </si>
  <si>
    <t>1857-01-27</t>
  </si>
  <si>
    <t>1871-06-10</t>
  </si>
  <si>
    <t>1887-06-09</t>
  </si>
  <si>
    <t>1879-09-12</t>
  </si>
  <si>
    <t>1892-04-19</t>
  </si>
  <si>
    <t>1871-03-22</t>
  </si>
  <si>
    <t>1876-05-11</t>
  </si>
  <si>
    <t>1872-11-23</t>
  </si>
  <si>
    <t>1875-12-18</t>
  </si>
  <si>
    <t>1880-04-05</t>
  </si>
  <si>
    <t>1887-08-30</t>
  </si>
  <si>
    <t>1876-05-13</t>
  </si>
  <si>
    <t>1880-03-19</t>
  </si>
  <si>
    <t>1881-11-21</t>
  </si>
  <si>
    <t>1882-02-16</t>
  </si>
  <si>
    <t>1862-09-21</t>
  </si>
  <si>
    <t>1869-09-11</t>
  </si>
  <si>
    <t>1890-03-15</t>
  </si>
  <si>
    <t>1865-07-08</t>
  </si>
  <si>
    <t>1879-11-06</t>
  </si>
  <si>
    <t>1887-09-27</t>
  </si>
  <si>
    <t>1873-11-01</t>
  </si>
  <si>
    <t>1881-11-07</t>
  </si>
  <si>
    <t>1882-08-08</t>
  </si>
  <si>
    <t>1891-09-12</t>
  </si>
  <si>
    <t>1867-07-08</t>
  </si>
  <si>
    <t>1868-08-14</t>
  </si>
  <si>
    <t>1870-10-11</t>
  </si>
  <si>
    <t>1865-06-29</t>
  </si>
  <si>
    <t>1862-01-05</t>
  </si>
  <si>
    <t>1876-05-20</t>
  </si>
  <si>
    <t>1872-07-18</t>
  </si>
  <si>
    <t>1898-03-03</t>
  </si>
  <si>
    <t>1879-07-29</t>
  </si>
  <si>
    <t>1877-07-21</t>
  </si>
  <si>
    <t>1861-08-08</t>
  </si>
  <si>
    <t>1874-05-02</t>
  </si>
  <si>
    <t>1875-04-20</t>
  </si>
  <si>
    <t>1878-05-13</t>
  </si>
  <si>
    <t>1891-05-23</t>
  </si>
  <si>
    <t>1875-03-18</t>
  </si>
  <si>
    <t>1894-03-03</t>
  </si>
  <si>
    <t>1878-04-04</t>
  </si>
  <si>
    <t>1869-09-30</t>
  </si>
  <si>
    <t>1875-07-14</t>
  </si>
  <si>
    <t>1878-09-11</t>
  </si>
  <si>
    <t>1893-10-22</t>
  </si>
  <si>
    <t>1882-10-10</t>
  </si>
  <si>
    <t>1881-01-10</t>
  </si>
  <si>
    <t>1862-03-23</t>
  </si>
  <si>
    <t>1862-02-19</t>
  </si>
  <si>
    <t>1874-10-05</t>
  </si>
  <si>
    <t>1861-05-06</t>
  </si>
  <si>
    <t>1878-10-09</t>
  </si>
  <si>
    <t>1876-06-05</t>
  </si>
  <si>
    <t>1884-09-25</t>
  </si>
  <si>
    <t>1866-03-11</t>
  </si>
  <si>
    <t>1882-09-17</t>
  </si>
  <si>
    <t>1863-08-07</t>
  </si>
  <si>
    <t>1868-08-01</t>
  </si>
  <si>
    <t>1869-10-21</t>
  </si>
  <si>
    <t>1860-09-12</t>
  </si>
  <si>
    <t>1867-08-20</t>
  </si>
  <si>
    <t>1884-03-24</t>
  </si>
  <si>
    <t>1857-05-13</t>
  </si>
  <si>
    <t>1881-10-15</t>
  </si>
  <si>
    <t>1862-01-14</t>
  </si>
  <si>
    <t>1866-01-01</t>
  </si>
  <si>
    <t>1877-08-06</t>
  </si>
  <si>
    <t>1879-09-25</t>
  </si>
  <si>
    <t>1895-12-01</t>
  </si>
  <si>
    <t>1894-03-07</t>
  </si>
  <si>
    <t>1882-08-10</t>
  </si>
  <si>
    <t>1896-10-02</t>
  </si>
  <si>
    <t>1882-03-08</t>
  </si>
  <si>
    <t>1891-06-08</t>
  </si>
  <si>
    <t>1885-03-03</t>
  </si>
  <si>
    <t>1878-12-09</t>
  </si>
  <si>
    <t>1864-07-05</t>
  </si>
  <si>
    <t>1871-12-10</t>
  </si>
  <si>
    <t>1887-07-28</t>
  </si>
  <si>
    <t>1888-10-20</t>
  </si>
  <si>
    <t>1865-07-27</t>
  </si>
  <si>
    <t>1873-11-23</t>
  </si>
  <si>
    <t>1883-03-06</t>
  </si>
  <si>
    <t>1877-04-04</t>
  </si>
  <si>
    <t>1884-05-29</t>
  </si>
  <si>
    <t>1889-08-06</t>
  </si>
  <si>
    <t>1876-12-10</t>
  </si>
  <si>
    <t>1859-09-07</t>
  </si>
  <si>
    <t>1880-07-30</t>
  </si>
  <si>
    <t>1893-11-22</t>
  </si>
  <si>
    <t>1895-11-20</t>
  </si>
  <si>
    <t>1871-09-23</t>
  </si>
  <si>
    <t>1891-02-01</t>
  </si>
  <si>
    <t>1874-01-12</t>
  </si>
  <si>
    <t>1870-03-13</t>
  </si>
  <si>
    <t>1871-07-16</t>
  </si>
  <si>
    <t>1889-07-08</t>
  </si>
  <si>
    <t>1871-01-04</t>
  </si>
  <si>
    <t>1889-03-05</t>
  </si>
  <si>
    <t>1885-08-12</t>
  </si>
  <si>
    <t>1878-04-30</t>
  </si>
  <si>
    <t>1871-09-28</t>
  </si>
  <si>
    <t>1878-12-08</t>
  </si>
  <si>
    <t>1898-06-05</t>
  </si>
  <si>
    <t>1888-07-25</t>
  </si>
  <si>
    <t>1880-01-25</t>
  </si>
  <si>
    <t>1868-02-16</t>
  </si>
  <si>
    <t>1882-04-05</t>
  </si>
  <si>
    <t>1876-10-22</t>
  </si>
  <si>
    <t>1900-07-31</t>
  </si>
  <si>
    <t>1879-05-22</t>
  </si>
  <si>
    <t>1880-08-16</t>
  </si>
  <si>
    <t>1877-08-24</t>
  </si>
  <si>
    <t>1885-01-16</t>
  </si>
  <si>
    <t>1873-06-06</t>
  </si>
  <si>
    <t>1890-07-14</t>
  </si>
  <si>
    <t>1878-07-22</t>
  </si>
  <si>
    <t>1877-10-15</t>
  </si>
  <si>
    <t>1880-03-15</t>
  </si>
  <si>
    <t>1871-02-06</t>
  </si>
  <si>
    <t>1879-11-30</t>
  </si>
  <si>
    <t>1877-07-14</t>
  </si>
  <si>
    <t>1881-09-16</t>
  </si>
  <si>
    <t>1871-08-02</t>
  </si>
  <si>
    <t>1895-04-09</t>
  </si>
  <si>
    <t>1899-06-19</t>
  </si>
  <si>
    <t>1878-11-30</t>
  </si>
  <si>
    <t>1887-09-11</t>
  </si>
  <si>
    <t>1885-05-27</t>
  </si>
  <si>
    <t>1893-04-27</t>
  </si>
  <si>
    <t>1871-01-25</t>
  </si>
  <si>
    <t>1878-03-03</t>
  </si>
  <si>
    <t>1865-02-09</t>
  </si>
  <si>
    <t>1889-07-21</t>
  </si>
  <si>
    <t>1893-10-24</t>
  </si>
  <si>
    <t>1884-01-03</t>
  </si>
  <si>
    <t>1880-03-10</t>
  </si>
  <si>
    <t>1885-02-21</t>
  </si>
  <si>
    <t>1885-06-07</t>
  </si>
  <si>
    <t>1861-03-30</t>
  </si>
  <si>
    <t>1892-11-22</t>
  </si>
  <si>
    <t>1896-01-01</t>
  </si>
  <si>
    <t>1871-01-30</t>
  </si>
  <si>
    <t>1873-05-13</t>
  </si>
  <si>
    <t>1892-01-04</t>
  </si>
  <si>
    <t>1873-06-21</t>
  </si>
  <si>
    <t>1893-06-28</t>
  </si>
  <si>
    <t>1877-04-29</t>
  </si>
  <si>
    <t>1880-12-25</t>
  </si>
  <si>
    <t>1891-07-16</t>
  </si>
  <si>
    <t>1879-08-04</t>
  </si>
  <si>
    <t>1865-06-17</t>
  </si>
  <si>
    <t>1893-04-09</t>
  </si>
  <si>
    <t>1878-03-24</t>
  </si>
  <si>
    <t>1873-11-15</t>
  </si>
  <si>
    <t>1897-04-03</t>
  </si>
  <si>
    <t>1873-12-13</t>
  </si>
  <si>
    <t>1882-11-13</t>
  </si>
  <si>
    <t>1892-03-28</t>
  </si>
  <si>
    <t>1875-01-26</t>
  </si>
  <si>
    <t>1870-03-26</t>
  </si>
  <si>
    <t>1889-02-25</t>
  </si>
  <si>
    <t>1883-08-26</t>
  </si>
  <si>
    <t>1864-09-11</t>
  </si>
  <si>
    <t>1884-03-22</t>
  </si>
  <si>
    <t>1889-02-10</t>
  </si>
  <si>
    <t>1888-09-22</t>
  </si>
  <si>
    <t>1878-10-11</t>
  </si>
  <si>
    <t>1858-03-08</t>
  </si>
  <si>
    <t>1869-03-06</t>
  </si>
  <si>
    <t>1895-03-04</t>
  </si>
  <si>
    <t>1883-07-22</t>
  </si>
  <si>
    <t>1876-08-28</t>
  </si>
  <si>
    <t>1872-06-06</t>
  </si>
  <si>
    <t>1884-12-21</t>
  </si>
  <si>
    <t>1876-05-21</t>
  </si>
  <si>
    <t>1882-02-23</t>
  </si>
  <si>
    <t>1894-10-26</t>
  </si>
  <si>
    <t>1887-11-06</t>
  </si>
  <si>
    <t>1889-10-10</t>
  </si>
  <si>
    <t>1861-10-07</t>
  </si>
  <si>
    <t>1876-02-05</t>
  </si>
  <si>
    <t>1865-03-09</t>
  </si>
  <si>
    <t>1870-03-09</t>
  </si>
  <si>
    <t>1887-03-02</t>
  </si>
  <si>
    <t>1869-02-15</t>
  </si>
  <si>
    <t>1890-11-22</t>
  </si>
  <si>
    <t>1890-02-24</t>
  </si>
  <si>
    <t>1882-07-18</t>
  </si>
  <si>
    <t>1881-04-20</t>
  </si>
  <si>
    <t>1872-05-01</t>
  </si>
  <si>
    <t>1877-06-22</t>
  </si>
  <si>
    <t>1901-12-24</t>
  </si>
  <si>
    <t>1874-03-23</t>
  </si>
  <si>
    <t>1861-07-25</t>
  </si>
  <si>
    <t>1890-07-21</t>
  </si>
  <si>
    <t>1882-05-22</t>
  </si>
  <si>
    <t>1890-01-27</t>
  </si>
  <si>
    <t>1892-01-10</t>
  </si>
  <si>
    <t>1887-05-11</t>
  </si>
  <si>
    <t>1886-09-16</t>
  </si>
  <si>
    <t>1872-07-12</t>
  </si>
  <si>
    <t>1875-11-26</t>
  </si>
  <si>
    <t>1880-11-09</t>
  </si>
  <si>
    <t>1883-04-14</t>
  </si>
  <si>
    <t>1872-11-07</t>
  </si>
  <si>
    <t>1890-11-29</t>
  </si>
  <si>
    <t>1869-07-23</t>
  </si>
  <si>
    <t>1898-06-18</t>
  </si>
  <si>
    <t>1883-02-19</t>
  </si>
  <si>
    <t>1876-11-09</t>
  </si>
  <si>
    <t>1889-05-29</t>
  </si>
  <si>
    <t>1878-10-22</t>
  </si>
  <si>
    <t>1881-01-11</t>
  </si>
  <si>
    <t>1884-01-06</t>
  </si>
  <si>
    <t>1874-03-27</t>
  </si>
  <si>
    <t>1876-11-02</t>
  </si>
  <si>
    <t>1885-09-13</t>
  </si>
  <si>
    <t>1868-01-23</t>
  </si>
  <si>
    <t>1890-02-06</t>
  </si>
  <si>
    <t>1888-07-06</t>
  </si>
  <si>
    <t>1870-12-02</t>
  </si>
  <si>
    <t>1900-03-02</t>
  </si>
  <si>
    <t>1869-11-30</t>
  </si>
  <si>
    <t>1879-12-01</t>
  </si>
  <si>
    <t>1872-10-24</t>
  </si>
  <si>
    <t>1888-10-14</t>
  </si>
  <si>
    <t>1881-08-10</t>
  </si>
  <si>
    <t>1865-08-22</t>
  </si>
  <si>
    <t>1891-01-26</t>
  </si>
  <si>
    <t>1880-01-14</t>
  </si>
  <si>
    <t>1882-06-01</t>
  </si>
  <si>
    <t>1877-12-05</t>
  </si>
  <si>
    <t>1897-12-03</t>
  </si>
  <si>
    <t>1883-08-19</t>
  </si>
  <si>
    <t>1875-01-31</t>
  </si>
  <si>
    <t>1858-03-25</t>
  </si>
  <si>
    <t>1877-05-24</t>
  </si>
  <si>
    <t>1868-06-03</t>
  </si>
  <si>
    <t>1885-09-01</t>
  </si>
  <si>
    <t>1897-07-31</t>
  </si>
  <si>
    <t>1873-02-28</t>
  </si>
  <si>
    <t>1887-12-25</t>
  </si>
  <si>
    <t>1881-10-07</t>
  </si>
  <si>
    <t>1897-09-01</t>
  </si>
  <si>
    <t>1893-03-15</t>
  </si>
  <si>
    <t>1898-08-12</t>
  </si>
  <si>
    <t>1886-03-01</t>
  </si>
  <si>
    <t>1897-08-19</t>
  </si>
  <si>
    <t>1890-05-13</t>
  </si>
  <si>
    <t>1868-01-25</t>
  </si>
  <si>
    <t>1892-04-08</t>
  </si>
  <si>
    <t>1889-01-20</t>
  </si>
  <si>
    <t>1859-07-25</t>
  </si>
  <si>
    <t>1878-01-29</t>
  </si>
  <si>
    <t>1883-02-03</t>
  </si>
  <si>
    <t>1881-05-13</t>
  </si>
  <si>
    <t>1871-06-22</t>
  </si>
  <si>
    <t>1875-10-21</t>
  </si>
  <si>
    <t>1888-10-08</t>
  </si>
  <si>
    <t>1887-09-21</t>
  </si>
  <si>
    <t>1887-12-06</t>
  </si>
  <si>
    <t>1879-06-09</t>
  </si>
  <si>
    <t>1867-03-09</t>
  </si>
  <si>
    <t>1870-09-24</t>
  </si>
  <si>
    <t>1892-05-05</t>
  </si>
  <si>
    <t>1864-09-09</t>
  </si>
  <si>
    <t>1884-07-11</t>
  </si>
  <si>
    <t>1865-12-09</t>
  </si>
  <si>
    <t>1892-08-26</t>
  </si>
  <si>
    <t>1877-12-13</t>
  </si>
  <si>
    <t>1863-10-12</t>
  </si>
  <si>
    <t>1882-03-12</t>
  </si>
  <si>
    <t>1893-07-24</t>
  </si>
  <si>
    <t>1889-12-31</t>
  </si>
  <si>
    <t>1885-05-03</t>
  </si>
  <si>
    <t>1889-05-14</t>
  </si>
  <si>
    <t>1890-05-30</t>
  </si>
  <si>
    <t>1860-05-19</t>
  </si>
  <si>
    <t>1893-10-04</t>
  </si>
  <si>
    <t>1897-08-16</t>
  </si>
  <si>
    <t>1870-10-02</t>
  </si>
  <si>
    <t>1891-09-07</t>
  </si>
  <si>
    <t>1885-10-07</t>
  </si>
  <si>
    <t>1888-03-17</t>
  </si>
  <si>
    <t>1878-06-01</t>
  </si>
  <si>
    <t>1903-01-14</t>
  </si>
  <si>
    <t>1882-12-01</t>
  </si>
  <si>
    <t>1896-03-31</t>
  </si>
  <si>
    <t>1869-02-11</t>
  </si>
  <si>
    <t>1883-07-15</t>
  </si>
  <si>
    <t>1862-10-13</t>
  </si>
  <si>
    <t>1862-05-12</t>
  </si>
  <si>
    <t>1879-04-20</t>
  </si>
  <si>
    <t>1885-08-20</t>
  </si>
  <si>
    <t>1862-01-26</t>
  </si>
  <si>
    <t>1893-02-19</t>
  </si>
  <si>
    <t>1881-10-23</t>
  </si>
  <si>
    <t>1876-09-29</t>
  </si>
  <si>
    <t>1870-07-17</t>
  </si>
  <si>
    <t>1895-01-22</t>
  </si>
  <si>
    <t>1901-07-18</t>
  </si>
  <si>
    <t>1876-09-27</t>
  </si>
  <si>
    <t>1876-11-01</t>
  </si>
  <si>
    <t>1877-06-27</t>
  </si>
  <si>
    <t>1874-07-20</t>
  </si>
  <si>
    <t>1886-06-21</t>
  </si>
  <si>
    <t>1871-07-10</t>
  </si>
  <si>
    <t>1858-07-12</t>
  </si>
  <si>
    <t>1877-09-24</t>
  </si>
  <si>
    <t>1880-03-09</t>
  </si>
  <si>
    <t>1879-12-03</t>
  </si>
  <si>
    <t>1886-10-16</t>
  </si>
  <si>
    <t>1872-10-23</t>
  </si>
  <si>
    <t>1872-03-30</t>
  </si>
  <si>
    <t>1878-07-29</t>
  </si>
  <si>
    <t>1889-07-13</t>
  </si>
  <si>
    <t>1881-01-06</t>
  </si>
  <si>
    <t>1891-04-24</t>
  </si>
  <si>
    <t>1886-03-26</t>
  </si>
  <si>
    <t>1898-08-21</t>
  </si>
  <si>
    <t>1872-12-05</t>
  </si>
  <si>
    <t>1900-06-17</t>
  </si>
  <si>
    <t>1896-01-25</t>
  </si>
  <si>
    <t>1901-01-10</t>
  </si>
  <si>
    <t>1902-07-12</t>
  </si>
  <si>
    <t>1870-11-25</t>
  </si>
  <si>
    <t>1868-10-15</t>
  </si>
  <si>
    <t>1888-12-01</t>
  </si>
  <si>
    <t>1887-10-29</t>
  </si>
  <si>
    <t>1881-08-07</t>
  </si>
  <si>
    <t>1887-02-13</t>
  </si>
  <si>
    <t>1878-09-19</t>
  </si>
  <si>
    <t>1881-02-05</t>
  </si>
  <si>
    <t>1886-04-03</t>
  </si>
  <si>
    <t>1879-08-10</t>
  </si>
  <si>
    <t>1880-02-23</t>
  </si>
  <si>
    <t>1898-09-11</t>
  </si>
  <si>
    <t>1888-07-19</t>
  </si>
  <si>
    <t>1898-01-28</t>
  </si>
  <si>
    <t>1869-01-15</t>
  </si>
  <si>
    <t>1899-01-24</t>
  </si>
  <si>
    <t>1894-12-26</t>
  </si>
  <si>
    <t>1880-09-06</t>
  </si>
  <si>
    <t>1893-09-12</t>
  </si>
  <si>
    <t>1880-01-05</t>
  </si>
  <si>
    <t>1867-09-06</t>
  </si>
  <si>
    <t>1893-11-09</t>
  </si>
  <si>
    <t>1870-09-08</t>
  </si>
  <si>
    <t>1887-08-02</t>
  </si>
  <si>
    <t>1871-03-12</t>
  </si>
  <si>
    <t>1876-03-15</t>
  </si>
  <si>
    <t>1891-02-22</t>
  </si>
  <si>
    <t>1882-09-20</t>
  </si>
  <si>
    <t>1889-07-14</t>
  </si>
  <si>
    <t>1884-09-24</t>
  </si>
  <si>
    <t>1888-08-01</t>
  </si>
  <si>
    <t>1887-06-19</t>
  </si>
  <si>
    <t>1873-01-20</t>
  </si>
  <si>
    <t>1868-12-11</t>
  </si>
  <si>
    <t>1889-02-19</t>
  </si>
  <si>
    <t>1879-07-08</t>
  </si>
  <si>
    <t>1882-05-04</t>
  </si>
  <si>
    <t>1891-03-01</t>
  </si>
  <si>
    <t>1877-11-23</t>
  </si>
  <si>
    <t>1881-08-03</t>
  </si>
  <si>
    <t>1896-04-03</t>
  </si>
  <si>
    <t>1891-10-11</t>
  </si>
  <si>
    <t>1879-11-07</t>
  </si>
  <si>
    <t>1872-02-23</t>
  </si>
  <si>
    <t>1898-09-16</t>
  </si>
  <si>
    <t>1890-12-02</t>
  </si>
  <si>
    <t>1891-03-27</t>
  </si>
  <si>
    <t>1887-10-31</t>
  </si>
  <si>
    <t>1864-11-26</t>
  </si>
  <si>
    <t>1880-02-25</t>
  </si>
  <si>
    <t>1893-10-18</t>
  </si>
  <si>
    <t>1891-10-17</t>
  </si>
  <si>
    <t>1883-04-16</t>
  </si>
  <si>
    <t>1894-08-26</t>
  </si>
  <si>
    <t>1871-10-26</t>
  </si>
  <si>
    <t>1874-07-23</t>
  </si>
  <si>
    <t>1878-08-25</t>
  </si>
  <si>
    <t>1881-12-19</t>
  </si>
  <si>
    <t>1893-06-18</t>
  </si>
  <si>
    <t>1881-12-29</t>
  </si>
  <si>
    <t>1870-08-24</t>
  </si>
  <si>
    <t>1897-06-15</t>
  </si>
  <si>
    <t>1895-01-27</t>
  </si>
  <si>
    <t>1867-10-14</t>
  </si>
  <si>
    <t>1901-07-06</t>
  </si>
  <si>
    <t>1876-01-07</t>
  </si>
  <si>
    <t>1891-02-20</t>
  </si>
  <si>
    <t>1898-06-06</t>
  </si>
  <si>
    <t>1891-07-29</t>
  </si>
  <si>
    <t>1886-01-21</t>
  </si>
  <si>
    <t>1887-11-07</t>
  </si>
  <si>
    <t>1887-04-29</t>
  </si>
  <si>
    <t>1882-08-12</t>
  </si>
  <si>
    <t>1884-06-15</t>
  </si>
  <si>
    <t>1884-06-16</t>
  </si>
  <si>
    <t>1896-03-24</t>
  </si>
  <si>
    <t>1902-04-29</t>
  </si>
  <si>
    <t>1886-01-11</t>
  </si>
  <si>
    <t>1879-06-14</t>
  </si>
  <si>
    <t>1902-05-20</t>
  </si>
  <si>
    <t>1888-10-12</t>
  </si>
  <si>
    <t>1881-12-22</t>
  </si>
  <si>
    <t>1890-06-24</t>
  </si>
  <si>
    <t>1867-07-20</t>
  </si>
  <si>
    <t>1888-05-28</t>
  </si>
  <si>
    <t>1892-06-27</t>
  </si>
  <si>
    <t>1863-01-04</t>
  </si>
  <si>
    <t>1883-10-21</t>
  </si>
  <si>
    <t>1895-06-15</t>
  </si>
  <si>
    <t>1879-12-04</t>
  </si>
  <si>
    <t>1866-07-25</t>
  </si>
  <si>
    <t>1872-08-14</t>
  </si>
  <si>
    <t>1887-08-20</t>
  </si>
  <si>
    <t>1898-09-17</t>
  </si>
  <si>
    <t>1883-12-08</t>
  </si>
  <si>
    <t>1868-10-28</t>
  </si>
  <si>
    <t>1904-09-01</t>
  </si>
  <si>
    <t>1897-12-15</t>
  </si>
  <si>
    <t>1888-08-24</t>
  </si>
  <si>
    <t>1887-09-26</t>
  </si>
  <si>
    <t>1889-06-10</t>
  </si>
  <si>
    <t>1904-09-30</t>
  </si>
  <si>
    <t>1893-08-31</t>
  </si>
  <si>
    <t>1888-12-18</t>
  </si>
  <si>
    <t>1894-09-11</t>
  </si>
  <si>
    <t>1880-08-01</t>
  </si>
  <si>
    <t>1892-06-24</t>
  </si>
  <si>
    <t>1887-10-30</t>
  </si>
  <si>
    <t>1871-01-20</t>
  </si>
  <si>
    <t>1891-08-16</t>
  </si>
  <si>
    <t>1894-03-04</t>
  </si>
  <si>
    <t>1897-11-14</t>
  </si>
  <si>
    <t>1900-10-04</t>
  </si>
  <si>
    <t>1879-02-09</t>
  </si>
  <si>
    <t>1884-03-13</t>
  </si>
  <si>
    <t>1886-08-16</t>
  </si>
  <si>
    <t>1898-11-16</t>
  </si>
  <si>
    <t>1884-05-28</t>
  </si>
  <si>
    <t>1886-04-02</t>
  </si>
  <si>
    <t>1887-08-25</t>
  </si>
  <si>
    <t>1889-01-07</t>
  </si>
  <si>
    <t>1889-12-27</t>
  </si>
  <si>
    <t>1884-12-03</t>
  </si>
  <si>
    <t>1890-03-31</t>
  </si>
  <si>
    <t>1898-05-04</t>
  </si>
  <si>
    <t>1876-10-24</t>
  </si>
  <si>
    <t>1900-11-28</t>
  </si>
  <si>
    <t>1878-08-08</t>
  </si>
  <si>
    <t>1889-10-12</t>
  </si>
  <si>
    <t>1881-09-01</t>
  </si>
  <si>
    <t>1881-01-02</t>
  </si>
  <si>
    <t>1885-05-26</t>
  </si>
  <si>
    <t>1879-10-20</t>
  </si>
  <si>
    <t>1888-07-15</t>
  </si>
  <si>
    <t>1883-12-23</t>
  </si>
  <si>
    <t>1899-01-20</t>
  </si>
  <si>
    <t>1886-09-26</t>
  </si>
  <si>
    <t>1899-08-09</t>
  </si>
  <si>
    <t>1891-04-27</t>
  </si>
  <si>
    <t>1893-01-09</t>
  </si>
  <si>
    <t>1883-08-01</t>
  </si>
  <si>
    <t>1907-01-11</t>
  </si>
  <si>
    <t>1869-12-29</t>
  </si>
  <si>
    <t>1882-04-26</t>
  </si>
  <si>
    <t>1883-09-24</t>
  </si>
  <si>
    <t>1896-09-05</t>
  </si>
  <si>
    <t>1904-12-02</t>
  </si>
  <si>
    <t>1897-01-02</t>
  </si>
  <si>
    <t>1889-08-19</t>
  </si>
  <si>
    <t>1882-01-09</t>
  </si>
  <si>
    <t>1896-03-11</t>
  </si>
  <si>
    <t>1902-02-09</t>
  </si>
  <si>
    <t>1892-01-24</t>
  </si>
  <si>
    <t>1892-02-05</t>
  </si>
  <si>
    <t>1891-11-09</t>
  </si>
  <si>
    <t>1889-06-07</t>
  </si>
  <si>
    <t>1889-06-27</t>
  </si>
  <si>
    <t>1888-12-23</t>
  </si>
  <si>
    <t>1895-06-29</t>
  </si>
  <si>
    <t>1867-09-13</t>
  </si>
  <si>
    <t>1902-10-27</t>
  </si>
  <si>
    <t>1883-03-25</t>
  </si>
  <si>
    <t>1881-05-28</t>
  </si>
  <si>
    <t>1887-06-16</t>
  </si>
  <si>
    <t>1896-07-11</t>
  </si>
  <si>
    <t>1885-11-06</t>
  </si>
  <si>
    <t>1900-06-25</t>
  </si>
  <si>
    <t>1885-02-14</t>
  </si>
  <si>
    <t>1880-08-05</t>
  </si>
  <si>
    <t>1873-06-02</t>
  </si>
  <si>
    <t>1889-04-06</t>
  </si>
  <si>
    <t>1879-01-23</t>
  </si>
  <si>
    <t>1897-10-12</t>
  </si>
  <si>
    <t>1889-12-28</t>
  </si>
  <si>
    <t>1870-09-15</t>
  </si>
  <si>
    <t>1895-08-19</t>
  </si>
  <si>
    <t>1896-07-21</t>
  </si>
  <si>
    <t>1895-06-05</t>
  </si>
  <si>
    <t>1900-04-28</t>
  </si>
  <si>
    <t>1881-10-24</t>
  </si>
  <si>
    <t>1880-07-02</t>
  </si>
  <si>
    <t>1891-01-28</t>
  </si>
  <si>
    <t>1897-08-05</t>
  </si>
  <si>
    <t>1896-12-27</t>
  </si>
  <si>
    <t>1904-08-06</t>
  </si>
  <si>
    <t>1903-07-04</t>
  </si>
  <si>
    <t>1882-03-05</t>
  </si>
  <si>
    <t>1898-08-04</t>
  </si>
  <si>
    <t>1889-01-21</t>
  </si>
  <si>
    <t>1888-08-15</t>
  </si>
  <si>
    <t>1892-02-03</t>
  </si>
  <si>
    <t>1896-03-09</t>
  </si>
  <si>
    <t>1889-05-07</t>
  </si>
  <si>
    <t>1886-06-05</t>
  </si>
  <si>
    <t>1880-11-02</t>
  </si>
  <si>
    <t>1901-03-04</t>
  </si>
  <si>
    <t>1889-05-15</t>
  </si>
  <si>
    <t>1877-12-04</t>
  </si>
  <si>
    <t>1901-04-17</t>
  </si>
  <si>
    <t>1882-07-03</t>
  </si>
  <si>
    <t>1878-05-23</t>
  </si>
  <si>
    <t>1896-05-05</t>
  </si>
  <si>
    <t>1875-03-06</t>
  </si>
  <si>
    <t>1879-08-06</t>
  </si>
  <si>
    <t>1890-11-19</t>
  </si>
  <si>
    <t>1879-01-19</t>
  </si>
  <si>
    <t>1896-03-19</t>
  </si>
  <si>
    <t>1883-01-12</t>
  </si>
  <si>
    <t>1898-03-04</t>
  </si>
  <si>
    <t>1892-03-31</t>
  </si>
  <si>
    <t>1899-10-29</t>
  </si>
  <si>
    <t>1905-05-13</t>
  </si>
  <si>
    <t>1898-04-11</t>
  </si>
  <si>
    <t>1903-10-06</t>
  </si>
  <si>
    <t>1886-08-21</t>
  </si>
  <si>
    <t>1893-08-01</t>
  </si>
  <si>
    <t>1886-03-25</t>
  </si>
  <si>
    <t>1875-09-14</t>
  </si>
  <si>
    <t>1900-01-15</t>
  </si>
  <si>
    <t>1876-08-14</t>
  </si>
  <si>
    <t>1884-04-24</t>
  </si>
  <si>
    <t>1900-06-23</t>
  </si>
  <si>
    <t>1903-05-02</t>
  </si>
  <si>
    <t>1898-08-27</t>
  </si>
  <si>
    <t>1899-12-21</t>
  </si>
  <si>
    <t>1884-01-29</t>
  </si>
  <si>
    <t>1883-02-15</t>
  </si>
  <si>
    <t>1891-11-01</t>
  </si>
  <si>
    <t>1899-05-10</t>
  </si>
  <si>
    <t>1887-12-09</t>
  </si>
  <si>
    <t>1892-11-09</t>
  </si>
  <si>
    <t>1902-08-17</t>
  </si>
  <si>
    <t>1882-05-05</t>
  </si>
  <si>
    <t>1895-06-09</t>
  </si>
  <si>
    <t>1890-11-15</t>
  </si>
  <si>
    <t>1892-12-27</t>
  </si>
  <si>
    <t>1876-08-29</t>
  </si>
  <si>
    <t>1893-10-26</t>
  </si>
  <si>
    <t>1896-06-10</t>
  </si>
  <si>
    <t>1901-03-24</t>
  </si>
  <si>
    <t>1896-05-15</t>
  </si>
  <si>
    <t>1886-03-29</t>
  </si>
  <si>
    <t>1887-04-30</t>
  </si>
  <si>
    <t>1897-07-25</t>
  </si>
  <si>
    <t>1897-01-23</t>
  </si>
  <si>
    <t>1891-11-26</t>
  </si>
  <si>
    <t>1903-06-17</t>
  </si>
  <si>
    <t>1889-10-27</t>
  </si>
  <si>
    <t>1885-05-08</t>
  </si>
  <si>
    <t>1892-05-25</t>
  </si>
  <si>
    <t>1903-07-18</t>
  </si>
  <si>
    <t>1909-10-03</t>
  </si>
  <si>
    <t>1883-01-17</t>
  </si>
  <si>
    <t>1901-06-17</t>
  </si>
  <si>
    <t>1899-09-17</t>
  </si>
  <si>
    <t>1887-10-25</t>
  </si>
  <si>
    <t>1905-04-14</t>
  </si>
  <si>
    <t>1897-05-12</t>
  </si>
  <si>
    <t>1884-10-11</t>
  </si>
  <si>
    <t>1895-09-21</t>
  </si>
  <si>
    <t>1848-04-21</t>
  </si>
  <si>
    <t>1849-03-23</t>
  </si>
  <si>
    <t>1843-02-15</t>
  </si>
  <si>
    <t>1842-07-17</t>
  </si>
  <si>
    <t>1847-07-12</t>
  </si>
  <si>
    <t>1826-10-03</t>
  </si>
  <si>
    <t>1840-12-12</t>
  </si>
  <si>
    <t>1843-04-02</t>
  </si>
  <si>
    <t>1832-11-25</t>
  </si>
  <si>
    <t>1823-07-27</t>
  </si>
  <si>
    <t>1853-10-01</t>
  </si>
  <si>
    <t>1834-03-06</t>
  </si>
  <si>
    <t>1824-12-08</t>
  </si>
  <si>
    <t>1843-11-22</t>
  </si>
  <si>
    <t>1820-09-07</t>
  </si>
  <si>
    <t>1837-10-18</t>
  </si>
  <si>
    <t>1836-11-11</t>
  </si>
  <si>
    <t>1833-10-19</t>
  </si>
  <si>
    <t>1833-10-12</t>
  </si>
  <si>
    <t>1836-03-22</t>
  </si>
  <si>
    <t>1823-07-22</t>
  </si>
  <si>
    <t>1836-07-25</t>
  </si>
  <si>
    <t>1811-10-29</t>
  </si>
  <si>
    <t>1806-06-20</t>
  </si>
  <si>
    <t>1834-12-11</t>
  </si>
  <si>
    <t>1837-05-20</t>
  </si>
  <si>
    <t>1846-02-19</t>
  </si>
  <si>
    <t>1846-12-13</t>
  </si>
  <si>
    <t>1841-02-17</t>
  </si>
  <si>
    <t>1840-05-13</t>
  </si>
  <si>
    <t>1826-12-26</t>
  </si>
  <si>
    <t>1840-12-28</t>
  </si>
  <si>
    <t>1824-09-23</t>
  </si>
  <si>
    <t>1827-03-06</t>
  </si>
  <si>
    <t>1839-04-20</t>
  </si>
  <si>
    <t>1825-11-13</t>
  </si>
  <si>
    <t>1814-04-08</t>
  </si>
  <si>
    <t>1837-03-27</t>
  </si>
  <si>
    <t>1823-10-12</t>
  </si>
  <si>
    <t>1817-04-29</t>
  </si>
  <si>
    <t>1817-12-07</t>
  </si>
  <si>
    <t>1850-09-25</t>
  </si>
  <si>
    <t>1841-09-17</t>
  </si>
  <si>
    <t>1827-05-11</t>
  </si>
  <si>
    <t>1831-07-08</t>
  </si>
  <si>
    <t>1818-09-13</t>
  </si>
  <si>
    <t>1837-08-11</t>
  </si>
  <si>
    <t>1847-11-08</t>
  </si>
  <si>
    <t>1842-12-02</t>
  </si>
  <si>
    <t>1827-05-31</t>
  </si>
  <si>
    <t>1831-03-04</t>
  </si>
  <si>
    <t>1839-09-16</t>
  </si>
  <si>
    <t>1827-04-23</t>
  </si>
  <si>
    <t>1822-05-27</t>
  </si>
  <si>
    <t>1839-12-13</t>
  </si>
  <si>
    <t>1837-02-23</t>
  </si>
  <si>
    <t>1830-07-13</t>
  </si>
  <si>
    <t>1841-09-28</t>
  </si>
  <si>
    <t>1852-07-24</t>
  </si>
  <si>
    <t>1843-08-06</t>
  </si>
  <si>
    <t>1833-05-03</t>
  </si>
  <si>
    <t>1826-08-19</t>
  </si>
  <si>
    <t>1837-06-17</t>
  </si>
  <si>
    <t>1826-09-16</t>
  </si>
  <si>
    <t>1804-03-31</t>
  </si>
  <si>
    <t>1826-05-25</t>
  </si>
  <si>
    <t>1826-05-21</t>
  </si>
  <si>
    <t>1845-06-05</t>
  </si>
  <si>
    <t>1835-10-26</t>
  </si>
  <si>
    <t>1834-02-01</t>
  </si>
  <si>
    <t>1832-10-13</t>
  </si>
  <si>
    <t>1819-04-18</t>
  </si>
  <si>
    <t>1845-04-12</t>
  </si>
  <si>
    <t>1835-08-06</t>
  </si>
  <si>
    <t>1844-01-25</t>
  </si>
  <si>
    <t>1827-05-23</t>
  </si>
  <si>
    <t>1814-03-28</t>
  </si>
  <si>
    <t>1842-04-06</t>
  </si>
  <si>
    <t>1814-01-20</t>
  </si>
  <si>
    <t>1824-04-08</t>
  </si>
  <si>
    <t>1820-05-21</t>
  </si>
  <si>
    <t>1838-04-13</t>
  </si>
  <si>
    <t>1812-02-19</t>
  </si>
  <si>
    <t>1817-08-10</t>
  </si>
  <si>
    <t>1847-08-13</t>
  </si>
  <si>
    <t>1833-05-15</t>
  </si>
  <si>
    <t>1823-07-25</t>
  </si>
  <si>
    <t>1840-11-12</t>
  </si>
  <si>
    <t>1841-11-06</t>
  </si>
  <si>
    <t>1827-01-19</t>
  </si>
  <si>
    <t>1830-03-19</t>
  </si>
  <si>
    <t>1841-01-30</t>
  </si>
  <si>
    <t>1840-01-03</t>
  </si>
  <si>
    <t>1827-04-27</t>
  </si>
  <si>
    <t>1833-02-27</t>
  </si>
  <si>
    <t>1834-05-23</t>
  </si>
  <si>
    <t>1828-10-02</t>
  </si>
  <si>
    <t>1838-03-18</t>
  </si>
  <si>
    <t>1825-11-10</t>
  </si>
  <si>
    <t>1845-01-15</t>
  </si>
  <si>
    <t>1825-03-07</t>
  </si>
  <si>
    <t>1827-06-01</t>
  </si>
  <si>
    <t>1827-07-03</t>
  </si>
  <si>
    <t>1807-08-09</t>
  </si>
  <si>
    <t>1838-04-02</t>
  </si>
  <si>
    <t>1831-05-17</t>
  </si>
  <si>
    <t>1834-09-11</t>
  </si>
  <si>
    <t>1824-02-19</t>
  </si>
  <si>
    <t>1839-06-16</t>
  </si>
  <si>
    <t>1826-06-06</t>
  </si>
  <si>
    <t>1828-11-26</t>
  </si>
  <si>
    <t>1810-01-08</t>
  </si>
  <si>
    <t>1807-03-25</t>
  </si>
  <si>
    <t>1832-11-04</t>
  </si>
  <si>
    <t>1844-11-07</t>
  </si>
  <si>
    <t>1819-04-06</t>
  </si>
  <si>
    <t>1842-09-17</t>
  </si>
  <si>
    <t>1816-08-01</t>
  </si>
  <si>
    <t>1815-12-23</t>
  </si>
  <si>
    <t>1819-06-04</t>
  </si>
  <si>
    <t>1825-06-15</t>
  </si>
  <si>
    <t>1845-07-10</t>
  </si>
  <si>
    <t>1810-12-01</t>
  </si>
  <si>
    <t>1848-06-20</t>
  </si>
  <si>
    <t>1825-09-14</t>
  </si>
  <si>
    <t>1833-03-27</t>
  </si>
  <si>
    <t>1819-01-28</t>
  </si>
  <si>
    <t>1845-02-01</t>
  </si>
  <si>
    <t>1815-08-21</t>
  </si>
  <si>
    <t>1844-04-23</t>
  </si>
  <si>
    <t>1824-02-26</t>
  </si>
  <si>
    <t>1841-11-01</t>
  </si>
  <si>
    <t>1831-02-12</t>
  </si>
  <si>
    <t>1836-05-23</t>
  </si>
  <si>
    <t>1826-01-04</t>
  </si>
  <si>
    <t>1814-08-01</t>
  </si>
  <si>
    <t>1816-08-25</t>
  </si>
  <si>
    <t>1816-07-01</t>
  </si>
  <si>
    <t>1834-11-29</t>
  </si>
  <si>
    <t>1821-01-03</t>
  </si>
  <si>
    <t>1813-05-18</t>
  </si>
  <si>
    <t>1837-03-04</t>
  </si>
  <si>
    <t>1832-08-30</t>
  </si>
  <si>
    <t>1830-11-25</t>
  </si>
  <si>
    <t>1824-06-30</t>
  </si>
  <si>
    <t>1838-05-20</t>
  </si>
  <si>
    <t>1846-04-26</t>
  </si>
  <si>
    <t>1825-01-10</t>
  </si>
  <si>
    <t>1826-11-19</t>
  </si>
  <si>
    <t>1823-12-29</t>
  </si>
  <si>
    <t>1843-04-14</t>
  </si>
  <si>
    <t>1815-11-17</t>
  </si>
  <si>
    <t>1834-10-06</t>
  </si>
  <si>
    <t>1824-03-13</t>
  </si>
  <si>
    <t>1813-12-30</t>
  </si>
  <si>
    <t>1828-11-17</t>
  </si>
  <si>
    <t>1826-06-10</t>
  </si>
  <si>
    <t>1845-11-15</t>
  </si>
  <si>
    <t>1821-09-05</t>
  </si>
  <si>
    <t>1821-04-17</t>
  </si>
  <si>
    <t>1825-07-08</t>
  </si>
  <si>
    <t>1846-02-24</t>
  </si>
  <si>
    <t>1834-05-10</t>
  </si>
  <si>
    <t>1842-07-31</t>
  </si>
  <si>
    <t>1833-10-23</t>
  </si>
  <si>
    <t>1845-12-15</t>
  </si>
  <si>
    <t>1842-04-17</t>
  </si>
  <si>
    <t>1848-08-08</t>
  </si>
  <si>
    <t>1825-10-01</t>
  </si>
  <si>
    <t>1839-08-14</t>
  </si>
  <si>
    <t>1826-09-25</t>
  </si>
  <si>
    <t>1840-05-05</t>
  </si>
  <si>
    <t>1831-09-14</t>
  </si>
  <si>
    <t>1848-03-21</t>
  </si>
  <si>
    <t>1840-10-15</t>
  </si>
  <si>
    <t>1835-01-24</t>
  </si>
  <si>
    <t>1820-07-12</t>
  </si>
  <si>
    <t>1847-05-31</t>
  </si>
  <si>
    <t>1829-10-02</t>
  </si>
  <si>
    <t>1832-03-05</t>
  </si>
  <si>
    <t>1822-06-01</t>
  </si>
  <si>
    <t>1840-02-26</t>
  </si>
  <si>
    <t>1839-10-18</t>
  </si>
  <si>
    <t>1835-02-04</t>
  </si>
  <si>
    <t>1839-10-11</t>
  </si>
  <si>
    <t>1831-12-30</t>
  </si>
  <si>
    <t>1842-02-07</t>
  </si>
  <si>
    <t>1829-05-29</t>
  </si>
  <si>
    <t>1825-03-18</t>
  </si>
  <si>
    <t>1837-12-18</t>
  </si>
  <si>
    <t>1837-08-06</t>
  </si>
  <si>
    <t>1824-04-20</t>
  </si>
  <si>
    <t>1821-12-01</t>
  </si>
  <si>
    <t>1828-11-03</t>
  </si>
  <si>
    <t>1820-02-11</t>
  </si>
  <si>
    <t>1824-03-03</t>
  </si>
  <si>
    <t>1835-12-08</t>
  </si>
  <si>
    <t>1836-02-21</t>
  </si>
  <si>
    <t>1837-01-21</t>
  </si>
  <si>
    <t>1840-08-01</t>
  </si>
  <si>
    <t>1815-01-10</t>
  </si>
  <si>
    <t>1840-11-01</t>
  </si>
  <si>
    <t>1843-09-22</t>
  </si>
  <si>
    <t>1826-10-29</t>
  </si>
  <si>
    <t>1827-05-26</t>
  </si>
  <si>
    <t>1844-12-08</t>
  </si>
  <si>
    <t>1822-01-17</t>
  </si>
  <si>
    <t>1836-05-31</t>
  </si>
  <si>
    <t>1832-03-28</t>
  </si>
  <si>
    <t>1840-03-06</t>
  </si>
  <si>
    <t>1843-05-06</t>
  </si>
  <si>
    <t>1820-10-20</t>
  </si>
  <si>
    <t>1833-06-30</t>
  </si>
  <si>
    <t>1841-08-22</t>
  </si>
  <si>
    <t>1838-05-22</t>
  </si>
  <si>
    <t>1819-12-27</t>
  </si>
  <si>
    <t>1823-06-05</t>
  </si>
  <si>
    <t>1846-12-02</t>
  </si>
  <si>
    <t>1841-10-16</t>
  </si>
  <si>
    <t>1831-06-06</t>
  </si>
  <si>
    <t>1840-01-20</t>
  </si>
  <si>
    <t>1850-06-08</t>
  </si>
  <si>
    <t>1850-09-26</t>
  </si>
  <si>
    <t>1827-02-26</t>
  </si>
  <si>
    <t>1824-12-21</t>
  </si>
  <si>
    <t>1843-11-19</t>
  </si>
  <si>
    <t>1834-05-13</t>
  </si>
  <si>
    <t>1828-07-08</t>
  </si>
  <si>
    <t>1825-07-15</t>
  </si>
  <si>
    <t>1841-03-16</t>
  </si>
  <si>
    <t>1829-08-08</t>
  </si>
  <si>
    <t>1834-04-13</t>
  </si>
  <si>
    <t>1838-07-17</t>
  </si>
  <si>
    <t>1832-05-07</t>
  </si>
  <si>
    <t>1835-12-16</t>
  </si>
  <si>
    <t>1809-01-28</t>
  </si>
  <si>
    <t>1830-07-28</t>
  </si>
  <si>
    <t>1826-06-27</t>
  </si>
  <si>
    <t>1839-08-16</t>
  </si>
  <si>
    <t>1810-06-27</t>
  </si>
  <si>
    <t>1812-12-18</t>
  </si>
  <si>
    <t>1837-09-22</t>
  </si>
  <si>
    <t>1824-10-11</t>
  </si>
  <si>
    <t>1819-08-26</t>
  </si>
  <si>
    <t>1843-01-02</t>
  </si>
  <si>
    <t>1818-01-11</t>
  </si>
  <si>
    <t>1827-05-21</t>
  </si>
  <si>
    <t>1816-08-26</t>
  </si>
  <si>
    <t>1832-04-05</t>
  </si>
  <si>
    <t>1821-04-01</t>
  </si>
  <si>
    <t>1830-07-24</t>
  </si>
  <si>
    <t>1828-04-20</t>
  </si>
  <si>
    <t>1837-10-12</t>
  </si>
  <si>
    <t>1836-11-08</t>
  </si>
  <si>
    <t>1835-08-02</t>
  </si>
  <si>
    <t>1821-05-28</t>
  </si>
  <si>
    <t>1825-06-11</t>
  </si>
  <si>
    <t>1837-08-17</t>
  </si>
  <si>
    <t>1819-06-09</t>
  </si>
  <si>
    <t>1829-09-04</t>
  </si>
  <si>
    <t>1826-11-05</t>
  </si>
  <si>
    <t>1841-07-16</t>
  </si>
  <si>
    <t>1845-06-29</t>
  </si>
  <si>
    <t>1844-10-20</t>
  </si>
  <si>
    <t>1830-07-16</t>
  </si>
  <si>
    <t>1822-05-20</t>
  </si>
  <si>
    <t>1838-07-01</t>
  </si>
  <si>
    <t>1827-10-30</t>
  </si>
  <si>
    <t>1814-06-28</t>
  </si>
  <si>
    <t>1823-08-16</t>
  </si>
  <si>
    <t>1824-01-10</t>
  </si>
  <si>
    <t>1829-05-15</t>
  </si>
  <si>
    <t>1847-05-20</t>
  </si>
  <si>
    <t>1824-04-11</t>
  </si>
  <si>
    <t>1814-12-12</t>
  </si>
  <si>
    <t>1828-04-19</t>
  </si>
  <si>
    <t>1833-12-06</t>
  </si>
  <si>
    <t>1823-10-26</t>
  </si>
  <si>
    <t>1824-05-10</t>
  </si>
  <si>
    <t>1835-10-15</t>
  </si>
  <si>
    <t>1818-08-18</t>
  </si>
  <si>
    <t>1840-02-25</t>
  </si>
  <si>
    <t>1827-10-22</t>
  </si>
  <si>
    <t>1833-02-02</t>
  </si>
  <si>
    <t>1835-12-12</t>
  </si>
  <si>
    <t>1842-01-30</t>
  </si>
  <si>
    <t>1832-01-23</t>
  </si>
  <si>
    <t>1828-09-01</t>
  </si>
  <si>
    <t>1842-07-02</t>
  </si>
  <si>
    <t>1836-10-03</t>
  </si>
  <si>
    <t>1842-12-10</t>
  </si>
  <si>
    <t>1836-04-04</t>
  </si>
  <si>
    <t>1840-04-05</t>
  </si>
  <si>
    <t>1839-08-30</t>
  </si>
  <si>
    <t>1842-02-02</t>
  </si>
  <si>
    <t>1812-06-16</t>
  </si>
  <si>
    <t>1845-05-20</t>
  </si>
  <si>
    <t>1821-09-27</t>
  </si>
  <si>
    <t>1820-01-12</t>
  </si>
  <si>
    <t>1852-08-23</t>
  </si>
  <si>
    <t>1825-02-15</t>
  </si>
  <si>
    <t>1827-03-17</t>
  </si>
  <si>
    <t>1833-04-23</t>
  </si>
  <si>
    <t>1825-10-11</t>
  </si>
  <si>
    <t>1830-10-14</t>
  </si>
  <si>
    <t>1811-11-25</t>
  </si>
  <si>
    <t>1840-05-29</t>
  </si>
  <si>
    <t>1822-09-09</t>
  </si>
  <si>
    <t>1820-06-02</t>
  </si>
  <si>
    <t>1836-04-03</t>
  </si>
  <si>
    <t>1826-10-20</t>
  </si>
  <si>
    <t>1844-09-14</t>
  </si>
  <si>
    <t>1834-09-29</t>
  </si>
  <si>
    <t>1820-10-26</t>
  </si>
  <si>
    <t>1834-03-10</t>
  </si>
  <si>
    <t>1838-10-20</t>
  </si>
  <si>
    <t>1822-05-02</t>
  </si>
  <si>
    <t>1839-01-25</t>
  </si>
  <si>
    <t>1836-09-21</t>
  </si>
  <si>
    <t>1881-08-21</t>
  </si>
  <si>
    <t>1831-02-03</t>
  </si>
  <si>
    <t>1832-05-03</t>
  </si>
  <si>
    <t>1838-12-31</t>
  </si>
  <si>
    <t>1821-01-20</t>
  </si>
  <si>
    <t>1823-03-27</t>
  </si>
  <si>
    <t>1827-08-19</t>
  </si>
  <si>
    <t>1829-04-22</t>
  </si>
  <si>
    <t>1828-07-13</t>
  </si>
  <si>
    <t>1816-02-20</t>
  </si>
  <si>
    <t>1822-08-04</t>
  </si>
  <si>
    <t>1839-10-22</t>
  </si>
  <si>
    <t>1835-08-24</t>
  </si>
  <si>
    <t>1832-06-09</t>
  </si>
  <si>
    <t>1827-02-11</t>
  </si>
  <si>
    <t>1849-05-04</t>
  </si>
  <si>
    <t>1848-03-07</t>
  </si>
  <si>
    <t>1822-03-07</t>
  </si>
  <si>
    <t>1829-06-02</t>
  </si>
  <si>
    <t>1834-07-06</t>
  </si>
  <si>
    <t>1823-04-25</t>
  </si>
  <si>
    <t>1827-10-02</t>
  </si>
  <si>
    <t>1811-12-24</t>
  </si>
  <si>
    <t>1841-01-10</t>
  </si>
  <si>
    <t>1805-05-07</t>
  </si>
  <si>
    <t>1814-05-09</t>
  </si>
  <si>
    <t>1820-06-30</t>
  </si>
  <si>
    <t>1829-12-17</t>
  </si>
  <si>
    <t>1813-07-15</t>
  </si>
  <si>
    <t>1839-03-09</t>
  </si>
  <si>
    <t>1818-01-18</t>
  </si>
  <si>
    <t>1821-07-21</t>
  </si>
  <si>
    <t>1825-02-07</t>
  </si>
  <si>
    <t>1818-01-14</t>
  </si>
  <si>
    <t>1826-06-16</t>
  </si>
  <si>
    <t>1822-10-18</t>
  </si>
  <si>
    <t>1853-02-12</t>
  </si>
  <si>
    <t>1840-11-08</t>
  </si>
  <si>
    <t>1815-08-13</t>
  </si>
  <si>
    <t>1842-06-11</t>
  </si>
  <si>
    <t>1812-07-26</t>
  </si>
  <si>
    <t>1844-08-07</t>
  </si>
  <si>
    <t>1846-10-09</t>
  </si>
  <si>
    <t>1830-01-20</t>
  </si>
  <si>
    <t>1845-09-21</t>
  </si>
  <si>
    <t>1821-07-31</t>
  </si>
  <si>
    <t>1830-11-17</t>
  </si>
  <si>
    <t>1805-07-31</t>
  </si>
  <si>
    <t>1844-10-04</t>
  </si>
  <si>
    <t>1835-01-03</t>
  </si>
  <si>
    <t>1831-04-06</t>
  </si>
  <si>
    <t>1818-05-11</t>
  </si>
  <si>
    <t>1830-10-15</t>
  </si>
  <si>
    <t>1828-12-19</t>
  </si>
  <si>
    <t>1828-03-16</t>
  </si>
  <si>
    <t>1831-07-30</t>
  </si>
  <si>
    <t>1823-04-16</t>
  </si>
  <si>
    <t>1811-01-03</t>
  </si>
  <si>
    <t>1810-01-30</t>
  </si>
  <si>
    <t>1821-01-09</t>
  </si>
  <si>
    <t>1849-06-13</t>
  </si>
  <si>
    <t>1836-06-17</t>
  </si>
  <si>
    <t>1822-01-22</t>
  </si>
  <si>
    <t>1823-10-07</t>
  </si>
  <si>
    <t>1842-03-30</t>
  </si>
  <si>
    <t>1849-01-13</t>
  </si>
  <si>
    <t>1846-09-01</t>
  </si>
  <si>
    <t>1819-02-19</t>
  </si>
  <si>
    <t>1815-01-01</t>
  </si>
  <si>
    <t>1821-03-26</t>
  </si>
  <si>
    <t>1819-11-23</t>
  </si>
  <si>
    <t>1827-11-14</t>
  </si>
  <si>
    <t>1812-09-03</t>
  </si>
  <si>
    <t>1813-01-09</t>
  </si>
  <si>
    <t>1828-05-17</t>
  </si>
  <si>
    <t>1832-03-18</t>
  </si>
  <si>
    <t>1817-10-20</t>
  </si>
  <si>
    <t>1826-01-20</t>
  </si>
  <si>
    <t>1839-05-02</t>
  </si>
  <si>
    <t>1816-03-23</t>
  </si>
  <si>
    <t>1829-02-13</t>
  </si>
  <si>
    <t>1846-11-26</t>
  </si>
  <si>
    <t>1830-07-07</t>
  </si>
  <si>
    <t>1835-07-07</t>
  </si>
  <si>
    <t>1830-03-13</t>
  </si>
  <si>
    <t>1822-06-20</t>
  </si>
  <si>
    <t>1831-10-30</t>
  </si>
  <si>
    <t>1803-09-06</t>
  </si>
  <si>
    <t>1823-02-19</t>
  </si>
  <si>
    <t>1828-07-14</t>
  </si>
  <si>
    <t>1832-02-23</t>
  </si>
  <si>
    <t>1843-05-20</t>
  </si>
  <si>
    <t>1815-09-05</t>
  </si>
  <si>
    <t>1816-08-15</t>
  </si>
  <si>
    <t>1805-11-25</t>
  </si>
  <si>
    <t>1815-07-18</t>
  </si>
  <si>
    <t>1811-03-21</t>
  </si>
  <si>
    <t>1827-09-27</t>
  </si>
  <si>
    <t>1822-09-07</t>
  </si>
  <si>
    <t>1831-10-12</t>
  </si>
  <si>
    <t>1813-04-23</t>
  </si>
  <si>
    <t>1815-02-22</t>
  </si>
  <si>
    <t>1813-03-13</t>
  </si>
  <si>
    <t>1827-12-16</t>
  </si>
  <si>
    <t>1849-08-05</t>
  </si>
  <si>
    <t>1839-11-05</t>
  </si>
  <si>
    <t>1849-05-05</t>
  </si>
  <si>
    <t>1819-01-07</t>
  </si>
  <si>
    <t>1827-02-24</t>
  </si>
  <si>
    <t>1809-01-26</t>
  </si>
  <si>
    <t>1814-05-22</t>
  </si>
  <si>
    <t>1842-01-14</t>
  </si>
  <si>
    <t>1842-06-10</t>
  </si>
  <si>
    <t>1835-09-09</t>
  </si>
  <si>
    <t>1815-06-10</t>
  </si>
  <si>
    <t>1810-03-18</t>
  </si>
  <si>
    <t>1829-12-07</t>
  </si>
  <si>
    <t>1823-07-01</t>
  </si>
  <si>
    <t>1813-10-27</t>
  </si>
  <si>
    <t>1835-11-19</t>
  </si>
  <si>
    <t>1825-03-09</t>
  </si>
  <si>
    <t>1837-08-27</t>
  </si>
  <si>
    <t>1831-03-21</t>
  </si>
  <si>
    <t>1847-01-26</t>
  </si>
  <si>
    <t>1831-01-10</t>
  </si>
  <si>
    <t>1843-06-18</t>
  </si>
  <si>
    <t>1824-06-06</t>
  </si>
  <si>
    <t>1803-08-18</t>
  </si>
  <si>
    <t>1823-02-01</t>
  </si>
  <si>
    <t>1838-01-30</t>
  </si>
  <si>
    <t>1817-01-17</t>
  </si>
  <si>
    <t>1822-05-11</t>
  </si>
  <si>
    <t>1828-09-07</t>
  </si>
  <si>
    <t>1828-12-12</t>
  </si>
  <si>
    <t>1813-01-15</t>
  </si>
  <si>
    <t>1823-01-01</t>
  </si>
  <si>
    <t>1834-05-04</t>
  </si>
  <si>
    <t>1838-06-01</t>
  </si>
  <si>
    <t>1832-10-14</t>
  </si>
  <si>
    <t>1814-02-17</t>
  </si>
  <si>
    <t>1836-04-05</t>
  </si>
  <si>
    <t>1847-08-02</t>
  </si>
  <si>
    <t>1842-11-22</t>
  </si>
  <si>
    <t>1820-10-08</t>
  </si>
  <si>
    <t>1818-03-22</t>
  </si>
  <si>
    <t>1851-11-03</t>
  </si>
  <si>
    <t>1847-09-14</t>
  </si>
  <si>
    <t>1838-04-15</t>
  </si>
  <si>
    <t>1820-12-10</t>
  </si>
  <si>
    <t>1842-04-16</t>
  </si>
  <si>
    <t>1834-04-05</t>
  </si>
  <si>
    <t>1830-07-22</t>
  </si>
  <si>
    <t>1842-01-20</t>
  </si>
  <si>
    <t>1822-03-01</t>
  </si>
  <si>
    <t>1829-06-01</t>
  </si>
  <si>
    <t>1843-06-19</t>
  </si>
  <si>
    <t>1822-08-29</t>
  </si>
  <si>
    <t>1840-10-12</t>
  </si>
  <si>
    <t>1825-08-29</t>
  </si>
  <si>
    <t>1830-01-03</t>
  </si>
  <si>
    <t>1824-04-03</t>
  </si>
  <si>
    <t>1815-02-26</t>
  </si>
  <si>
    <t>1834-01-06</t>
  </si>
  <si>
    <t>1821-09-09</t>
  </si>
  <si>
    <t>1832-10-04</t>
  </si>
  <si>
    <t>1825-04-18</t>
  </si>
  <si>
    <t>1852-08-19</t>
  </si>
  <si>
    <t>1845-05-02</t>
  </si>
  <si>
    <t>1825-04-03</t>
  </si>
  <si>
    <t>1824-06-19</t>
  </si>
  <si>
    <t>1838-09-25</t>
  </si>
  <si>
    <t>1841-03-18</t>
  </si>
  <si>
    <t>1838-09-23</t>
  </si>
  <si>
    <t>1829-10-12</t>
  </si>
  <si>
    <t>1829-07-01</t>
  </si>
  <si>
    <t>1806-10-10</t>
  </si>
  <si>
    <t>1837-11-03</t>
  </si>
  <si>
    <t>1819-04-25</t>
  </si>
  <si>
    <t>1825-08-09</t>
  </si>
  <si>
    <t>1817-04-07</t>
  </si>
  <si>
    <t>1817-02-18</t>
  </si>
  <si>
    <t>1817-02-15</t>
  </si>
  <si>
    <t>1826-10-24</t>
  </si>
  <si>
    <t>1824-09-13</t>
  </si>
  <si>
    <t>1831-12-20</t>
  </si>
  <si>
    <t>1842-10-04</t>
  </si>
  <si>
    <t>1852-06-07</t>
  </si>
  <si>
    <t>1814-01-05</t>
  </si>
  <si>
    <t>1848-10-14</t>
  </si>
  <si>
    <t>1854-06-14</t>
  </si>
  <si>
    <t>1843-06-22</t>
  </si>
  <si>
    <t>1833-08-15</t>
  </si>
  <si>
    <t>1849-07-29</t>
  </si>
  <si>
    <t>1845-07-03</t>
  </si>
  <si>
    <t>1835-04-02</t>
  </si>
  <si>
    <t>1822-08-15</t>
  </si>
  <si>
    <t>1813-03-11</t>
  </si>
  <si>
    <t>1814-07-12</t>
  </si>
  <si>
    <t>1843-12-20</t>
  </si>
  <si>
    <t>1849-01-31</t>
  </si>
  <si>
    <t>1826-11-04</t>
  </si>
  <si>
    <t>1855-02-19</t>
  </si>
  <si>
    <t>1853-05-21</t>
  </si>
  <si>
    <t>1847-04-10</t>
  </si>
  <si>
    <t>1840-02-21</t>
  </si>
  <si>
    <t>1839-09-24</t>
  </si>
  <si>
    <t>1845-04-05</t>
  </si>
  <si>
    <t>1829-01-21</t>
  </si>
  <si>
    <t>1824-06-11</t>
  </si>
  <si>
    <t>1821-03-23</t>
  </si>
  <si>
    <t>1841-04-23</t>
  </si>
  <si>
    <t>1845-02-02</t>
  </si>
  <si>
    <t>1850-08-05</t>
  </si>
  <si>
    <t>1829-09-18</t>
  </si>
  <si>
    <t>1834-08-16</t>
  </si>
  <si>
    <t>1839-04-14</t>
  </si>
  <si>
    <t>1847-10-11</t>
  </si>
  <si>
    <t>1848-08-27</t>
  </si>
  <si>
    <t>1822-02-08</t>
  </si>
  <si>
    <t>1836-07-02</t>
  </si>
  <si>
    <t>1823-11-07</t>
  </si>
  <si>
    <t>1820-03-19</t>
  </si>
  <si>
    <t>1849-03-02</t>
  </si>
  <si>
    <t>1846-09-15</t>
  </si>
  <si>
    <t>1845-06-14</t>
  </si>
  <si>
    <t>1824-09-24</t>
  </si>
  <si>
    <t>1846-08-08</t>
  </si>
  <si>
    <t>1833-02-14</t>
  </si>
  <si>
    <t>1840-10-21</t>
  </si>
  <si>
    <t>1848-02-25</t>
  </si>
  <si>
    <t>1840-12-05</t>
  </si>
  <si>
    <t>1845-05-26</t>
  </si>
  <si>
    <t>1843-06-11</t>
  </si>
  <si>
    <t>1840-06-07</t>
  </si>
  <si>
    <t>1844-01-10</t>
  </si>
  <si>
    <t>1835-08-13</t>
  </si>
  <si>
    <t>1841-01-20</t>
  </si>
  <si>
    <t>1812-03-20</t>
  </si>
  <si>
    <t>1843-04-09</t>
  </si>
  <si>
    <t>1813-11-20</t>
  </si>
  <si>
    <t>1845-08-21</t>
  </si>
  <si>
    <t>1842-01-23</t>
  </si>
  <si>
    <t>1834-01-13</t>
  </si>
  <si>
    <t>1846-06-30</t>
  </si>
  <si>
    <t>1814-12-27</t>
  </si>
  <si>
    <t>1820-12-28</t>
  </si>
  <si>
    <t>1847-05-03</t>
  </si>
  <si>
    <t>1853-03-06</t>
  </si>
  <si>
    <t>1836-12-28</t>
  </si>
  <si>
    <t>1848-05-17</t>
  </si>
  <si>
    <t>1837-05-12</t>
  </si>
  <si>
    <t>1846-03-01</t>
  </si>
  <si>
    <t>1834-04-19</t>
  </si>
  <si>
    <t>1832-04-09</t>
  </si>
  <si>
    <t>1842-08-21</t>
  </si>
  <si>
    <t>1840-07-18</t>
  </si>
  <si>
    <t>1833-11-26</t>
  </si>
  <si>
    <t>1831-09-28</t>
  </si>
  <si>
    <t>1843-09-12</t>
  </si>
  <si>
    <t>1822-04-27</t>
  </si>
  <si>
    <t>1839-05-05</t>
  </si>
  <si>
    <t>1843-04-16</t>
  </si>
  <si>
    <t>1843-12-21</t>
  </si>
  <si>
    <t>1829-11-29</t>
  </si>
  <si>
    <t>1837-09-21</t>
  </si>
  <si>
    <t>1819-06-10</t>
  </si>
  <si>
    <t>1817-01-06</t>
  </si>
  <si>
    <t>1838-05-12</t>
  </si>
  <si>
    <t>1829-01-10</t>
  </si>
  <si>
    <t>1839-02-03</t>
  </si>
  <si>
    <t>1831-01-18</t>
  </si>
  <si>
    <t>1837-05-03</t>
  </si>
  <si>
    <t>1838-11-05</t>
  </si>
  <si>
    <t>1825-10-20</t>
  </si>
  <si>
    <t>1822-09-12</t>
  </si>
  <si>
    <t>1829-09-23</t>
  </si>
  <si>
    <t>1831-02-19</t>
  </si>
  <si>
    <t>1830-04-05</t>
  </si>
  <si>
    <t>1848-09-17</t>
  </si>
  <si>
    <t>1853-11-12</t>
  </si>
  <si>
    <t>1823-10-28</t>
  </si>
  <si>
    <t>1826-04-19</t>
  </si>
  <si>
    <t>1838-02-03</t>
  </si>
  <si>
    <t>1823-04-27</t>
  </si>
  <si>
    <t>1833-09-07</t>
  </si>
  <si>
    <t>1844-01-16</t>
  </si>
  <si>
    <t>1825-10-08</t>
  </si>
  <si>
    <t>1838-06-20</t>
  </si>
  <si>
    <t>1840-06-10</t>
  </si>
  <si>
    <t>1848-05-11</t>
  </si>
  <si>
    <t>1828-05-14</t>
  </si>
  <si>
    <t>1816-02-24</t>
  </si>
  <si>
    <t>1832-10-21</t>
  </si>
  <si>
    <t>1842-08-19</t>
  </si>
  <si>
    <t>1846-02-23</t>
  </si>
  <si>
    <t>1847-02-14</t>
  </si>
  <si>
    <t>1824-03-01</t>
  </si>
  <si>
    <t>1827-03-09</t>
  </si>
  <si>
    <t>1850-01-07</t>
  </si>
  <si>
    <t>1821-08-18</t>
  </si>
  <si>
    <t>1838-03-17</t>
  </si>
  <si>
    <t>1846-06-29</t>
  </si>
  <si>
    <t>1823-02-23</t>
  </si>
  <si>
    <t>1841-04-26</t>
  </si>
  <si>
    <t>1819-08-12</t>
  </si>
  <si>
    <t>1819-12-24</t>
  </si>
  <si>
    <t>1830-01-01</t>
  </si>
  <si>
    <t>1844-12-26</t>
  </si>
  <si>
    <t>1838-01-17</t>
  </si>
  <si>
    <t>1821-09-03</t>
  </si>
  <si>
    <t>1858-05-22</t>
  </si>
  <si>
    <t>1857-07-19</t>
  </si>
  <si>
    <t>1846-10-08</t>
  </si>
  <si>
    <t>1850-08-07</t>
  </si>
  <si>
    <t>1843-11-23</t>
  </si>
  <si>
    <t>1842-09-15</t>
  </si>
  <si>
    <t>1849-02-17</t>
  </si>
  <si>
    <t>1852-08-04</t>
  </si>
  <si>
    <t>1827-11-12</t>
  </si>
  <si>
    <t>1850-04-01</t>
  </si>
  <si>
    <t>1829-04-27</t>
  </si>
  <si>
    <t>1840-07-13</t>
  </si>
  <si>
    <t>1837-10-13</t>
  </si>
  <si>
    <t>1834-12-20</t>
  </si>
  <si>
    <t>1833-12-21</t>
  </si>
  <si>
    <t>1846-03-15</t>
  </si>
  <si>
    <t>1823-08-27</t>
  </si>
  <si>
    <t>1849-11-24</t>
  </si>
  <si>
    <t>1828-08-28</t>
  </si>
  <si>
    <t>1834-02-23</t>
  </si>
  <si>
    <t>1837-07-29</t>
  </si>
  <si>
    <t>1848-04-02</t>
  </si>
  <si>
    <t>1851-01-08</t>
  </si>
  <si>
    <t>1821-04-15</t>
  </si>
  <si>
    <t>1832-11-20</t>
  </si>
  <si>
    <t>1828-04-11</t>
  </si>
  <si>
    <t>1840-07-05</t>
  </si>
  <si>
    <t>1846-06-08</t>
  </si>
  <si>
    <t>1840-04-15</t>
  </si>
  <si>
    <t>1829-02-25</t>
  </si>
  <si>
    <t>1852-03-18</t>
  </si>
  <si>
    <t>1837-08-24</t>
  </si>
  <si>
    <t>1836-03-16</t>
  </si>
  <si>
    <t>1844-11-11</t>
  </si>
  <si>
    <t>1839-03-17</t>
  </si>
  <si>
    <t>1840-02-10</t>
  </si>
  <si>
    <t>1847-06-23</t>
  </si>
  <si>
    <t>1842-10-13</t>
  </si>
  <si>
    <t>1824-11-15</t>
  </si>
  <si>
    <t>1842-09-24</t>
  </si>
  <si>
    <t>1847-07-26</t>
  </si>
  <si>
    <t>1820-12-25</t>
  </si>
  <si>
    <t>1848-02-12</t>
  </si>
  <si>
    <t>1832-02-28</t>
  </si>
  <si>
    <t>1836-06-29</t>
  </si>
  <si>
    <t>1842-01-10</t>
  </si>
  <si>
    <t>1845-10-13</t>
  </si>
  <si>
    <t>1840-08-30</t>
  </si>
  <si>
    <t>1843-09-09</t>
  </si>
  <si>
    <t>1838-11-08</t>
  </si>
  <si>
    <t>1838-04-01</t>
  </si>
  <si>
    <t>1831-03-12</t>
  </si>
  <si>
    <t>1844-05-17</t>
  </si>
  <si>
    <t>1837-12-24</t>
  </si>
  <si>
    <t>1845-01-21</t>
  </si>
  <si>
    <t>1844-08-31</t>
  </si>
  <si>
    <t>1827-06-03</t>
  </si>
  <si>
    <t>1840-03-31</t>
  </si>
  <si>
    <t>1820-09-05</t>
  </si>
  <si>
    <t>1858-06-23</t>
  </si>
  <si>
    <t>1852-12-12</t>
  </si>
  <si>
    <t>1828-04-04</t>
  </si>
  <si>
    <t>1809-11-22</t>
  </si>
  <si>
    <t>1817-07-15</t>
  </si>
  <si>
    <t>1822-11-28</t>
  </si>
  <si>
    <t>1834-12-14</t>
  </si>
  <si>
    <t>1845-03-22</t>
  </si>
  <si>
    <t>1823-08-21</t>
  </si>
  <si>
    <t>1844-03-09</t>
  </si>
  <si>
    <t>1840-09-08</t>
  </si>
  <si>
    <t>1830-08-19</t>
  </si>
  <si>
    <t>1825-05-28</t>
  </si>
  <si>
    <t>1831-08-18</t>
  </si>
  <si>
    <t>1813-11-11</t>
  </si>
  <si>
    <t>1839-08-18</t>
  </si>
  <si>
    <t>1842-04-30</t>
  </si>
  <si>
    <t>1837-09-07</t>
  </si>
  <si>
    <t>1849-09-02</t>
  </si>
  <si>
    <t>1834-02-02</t>
  </si>
  <si>
    <t>1830-11-26</t>
  </si>
  <si>
    <t>1824-05-21</t>
  </si>
  <si>
    <t>1844-04-26</t>
  </si>
  <si>
    <t>1821-08-29</t>
  </si>
  <si>
    <t>1841-04-19</t>
  </si>
  <si>
    <t>1837-05-17</t>
  </si>
  <si>
    <t>1819-07-03</t>
  </si>
  <si>
    <t>1833-06-14</t>
  </si>
  <si>
    <t>1826-03-07</t>
  </si>
  <si>
    <t>1826-02-20</t>
  </si>
  <si>
    <t>1818-04-09</t>
  </si>
  <si>
    <t>1845-11-10</t>
  </si>
  <si>
    <t>1830-08-11</t>
  </si>
  <si>
    <t>1857-11-02</t>
  </si>
  <si>
    <t>1843-02-14</t>
  </si>
  <si>
    <t>1836-02-04</t>
  </si>
  <si>
    <t>1838-05-31</t>
  </si>
  <si>
    <t>1843-03-21</t>
  </si>
  <si>
    <t>1825-05-16</t>
  </si>
  <si>
    <t>1850-10-26</t>
  </si>
  <si>
    <t>1845-03-19</t>
  </si>
  <si>
    <t>1851-09-10</t>
  </si>
  <si>
    <t>1828-07-24</t>
  </si>
  <si>
    <t>1849-03-21</t>
  </si>
  <si>
    <t>1833-01-16</t>
  </si>
  <si>
    <t>1857-12-15</t>
  </si>
  <si>
    <t>1851-12-31</t>
  </si>
  <si>
    <t>1834-03-27</t>
  </si>
  <si>
    <t>1851-08-19</t>
  </si>
  <si>
    <t>1838-10-19</t>
  </si>
  <si>
    <t>1835-05-11</t>
  </si>
  <si>
    <t>1848-10-15</t>
  </si>
  <si>
    <t>1841-01-16</t>
  </si>
  <si>
    <t>1831-01-01</t>
  </si>
  <si>
    <t>1853-03-16</t>
  </si>
  <si>
    <t>1834-08-06</t>
  </si>
  <si>
    <t>1846-06-15</t>
  </si>
  <si>
    <t>1834-04-17</t>
  </si>
  <si>
    <t>1833-12-25</t>
  </si>
  <si>
    <t>1816-04-24</t>
  </si>
  <si>
    <t>1856-12-10</t>
  </si>
  <si>
    <t>1845-09-26</t>
  </si>
  <si>
    <t>1835-01-21</t>
  </si>
  <si>
    <t>1844-09-05</t>
  </si>
  <si>
    <t>1836-01-05</t>
  </si>
  <si>
    <t>1838-01-31</t>
  </si>
  <si>
    <t>1837-05-27</t>
  </si>
  <si>
    <t>1840-09-26</t>
  </si>
  <si>
    <t>1852-06-29</t>
  </si>
  <si>
    <t>1846-05-23</t>
  </si>
  <si>
    <t>1823-05-27</t>
  </si>
  <si>
    <t>1846-05-17</t>
  </si>
  <si>
    <t>1844-06-30</t>
  </si>
  <si>
    <t>1843-01-07</t>
  </si>
  <si>
    <t>1841-11-29</t>
  </si>
  <si>
    <t>1845-03-14</t>
  </si>
  <si>
    <t>1857-08-10</t>
  </si>
  <si>
    <t>1845-08-29</t>
  </si>
  <si>
    <t>1851-03-10</t>
  </si>
  <si>
    <t>1848-11-04</t>
  </si>
  <si>
    <t>1814-11-07</t>
  </si>
  <si>
    <t>1838-01-03</t>
  </si>
  <si>
    <t>1851-04-24</t>
  </si>
  <si>
    <t>1827-08-17</t>
  </si>
  <si>
    <t>1834-07-12</t>
  </si>
  <si>
    <t>1841-02-09</t>
  </si>
  <si>
    <t>1834-05-05</t>
  </si>
  <si>
    <t>1845-04-06</t>
  </si>
  <si>
    <t>1843-05-15</t>
  </si>
  <si>
    <t>1856-05-28</t>
  </si>
  <si>
    <t>1843-10-19</t>
  </si>
  <si>
    <t>1849-02-22</t>
  </si>
  <si>
    <t>1826-07-08</t>
  </si>
  <si>
    <t>1819-03-14</t>
  </si>
  <si>
    <t>1835-12-19</t>
  </si>
  <si>
    <t>1846-05-01</t>
  </si>
  <si>
    <t>1851-03-21</t>
  </si>
  <si>
    <t>1836-11-05</t>
  </si>
  <si>
    <t>1832-09-08</t>
  </si>
  <si>
    <t>1852-09-25</t>
  </si>
  <si>
    <t>1816-03-21</t>
  </si>
  <si>
    <t>1841-08-01</t>
  </si>
  <si>
    <t>1850-02-18</t>
  </si>
  <si>
    <t>1840-09-14</t>
  </si>
  <si>
    <t>1822-04-14</t>
  </si>
  <si>
    <t>1839-09-03</t>
  </si>
  <si>
    <t>1820-08-14</t>
  </si>
  <si>
    <t>1820-12-01</t>
  </si>
  <si>
    <t>1837-04-22</t>
  </si>
  <si>
    <t>1839-07-10</t>
  </si>
  <si>
    <t>1828-03-17</t>
  </si>
  <si>
    <t>1843-06-08</t>
  </si>
  <si>
    <t>1851-08-21</t>
  </si>
  <si>
    <t>1845-08-05</t>
  </si>
  <si>
    <t>1843-09-06</t>
  </si>
  <si>
    <t>1851-07-06</t>
  </si>
  <si>
    <t>1835-07-28</t>
  </si>
  <si>
    <t>1817-01-16</t>
  </si>
  <si>
    <t>1828-10-08</t>
  </si>
  <si>
    <t>1812-03-06</t>
  </si>
  <si>
    <t>1839-05-29</t>
  </si>
  <si>
    <t>1839-05-12</t>
  </si>
  <si>
    <t>1839-01-20</t>
  </si>
  <si>
    <t>1855-09-16</t>
  </si>
  <si>
    <t>1835-03-02</t>
  </si>
  <si>
    <t>1846-07-22</t>
  </si>
  <si>
    <t>1839-01-26</t>
  </si>
  <si>
    <t>1836-01-08</t>
  </si>
  <si>
    <t>1821-04-23</t>
  </si>
  <si>
    <t>1832-04-30</t>
  </si>
  <si>
    <t>1828-11-19</t>
  </si>
  <si>
    <t>1842-02-17</t>
  </si>
  <si>
    <t>1831-01-31</t>
  </si>
  <si>
    <t>1837-07-01</t>
  </si>
  <si>
    <t>1849-01-30</t>
  </si>
  <si>
    <t>1833-07-03</t>
  </si>
  <si>
    <t>1810-07-29</t>
  </si>
  <si>
    <t>1830-03-10</t>
  </si>
  <si>
    <t>1844-09-03</t>
  </si>
  <si>
    <t>1850-05-10</t>
  </si>
  <si>
    <t>1830-09-27</t>
  </si>
  <si>
    <t>1851-11-05</t>
  </si>
  <si>
    <t>1857-05-24</t>
  </si>
  <si>
    <t>1857-12-07</t>
  </si>
  <si>
    <t>1835-10-12</t>
  </si>
  <si>
    <t>1823-08-22</t>
  </si>
  <si>
    <t>1826-08-07</t>
  </si>
  <si>
    <t>1842-06-17</t>
  </si>
  <si>
    <t>1831-09-20</t>
  </si>
  <si>
    <t>1843-07-07</t>
  </si>
  <si>
    <t>1847-09-05</t>
  </si>
  <si>
    <t>1843-09-20</t>
  </si>
  <si>
    <t>1831-09-29</t>
  </si>
  <si>
    <t>1846-02-22</t>
  </si>
  <si>
    <t>1853-11-19</t>
  </si>
  <si>
    <t>1829-11-10</t>
  </si>
  <si>
    <t>1852-07-22</t>
  </si>
  <si>
    <t>1835-12-13</t>
  </si>
  <si>
    <t>1836-04-09</t>
  </si>
  <si>
    <t>1847-08-16</t>
  </si>
  <si>
    <t>1844-12-19</t>
  </si>
  <si>
    <t>1849-06-24</t>
  </si>
  <si>
    <t>1852-04-12</t>
  </si>
  <si>
    <t>1847-04-02</t>
  </si>
  <si>
    <t>1821-06-11</t>
  </si>
  <si>
    <t>1828-11-20</t>
  </si>
  <si>
    <t>1852-09-10</t>
  </si>
  <si>
    <t>1860-08-20</t>
  </si>
  <si>
    <t>1845-01-07</t>
  </si>
  <si>
    <t>1852-01-22</t>
  </si>
  <si>
    <t>1836-03-18</t>
  </si>
  <si>
    <t>1851-05-29</t>
  </si>
  <si>
    <t>1830-11-20</t>
  </si>
  <si>
    <t>1822-10-30</t>
  </si>
  <si>
    <t>1845-06-21</t>
  </si>
  <si>
    <t>1831-01-28</t>
  </si>
  <si>
    <t>1810-10-04</t>
  </si>
  <si>
    <t>1857-03-22</t>
  </si>
  <si>
    <t>1837-04-29</t>
  </si>
  <si>
    <t>1853-12-13</t>
  </si>
  <si>
    <t>1841-10-26</t>
  </si>
  <si>
    <t>1836-06-19</t>
  </si>
  <si>
    <t>1847-06-06</t>
  </si>
  <si>
    <t>1852-09-14</t>
  </si>
  <si>
    <t>1835-02-05</t>
  </si>
  <si>
    <t>1826-01-24</t>
  </si>
  <si>
    <t>1836-09-30</t>
  </si>
  <si>
    <t>1829-09-15</t>
  </si>
  <si>
    <t>1843-03-06</t>
  </si>
  <si>
    <t>1846-11-21</t>
  </si>
  <si>
    <t>1823-06-13</t>
  </si>
  <si>
    <t>1839-10-29</t>
  </si>
  <si>
    <t>1818-02-14</t>
  </si>
  <si>
    <t>1847-06-22</t>
  </si>
  <si>
    <t>1837-09-15</t>
  </si>
  <si>
    <t>1829-03-06</t>
  </si>
  <si>
    <t>1842-02-04</t>
  </si>
  <si>
    <t>1831-03-13</t>
  </si>
  <si>
    <t>1843-04-08</t>
  </si>
  <si>
    <t>1825-01-25</t>
  </si>
  <si>
    <t>1849-09-28</t>
  </si>
  <si>
    <t>1847-12-15</t>
  </si>
  <si>
    <t>1847-09-19</t>
  </si>
  <si>
    <t>1855-05-02</t>
  </si>
  <si>
    <t>1850-11-16</t>
  </si>
  <si>
    <t>1838-12-03</t>
  </si>
  <si>
    <t>1855-02-05</t>
  </si>
  <si>
    <t>1845-10-12</t>
  </si>
  <si>
    <t>1855-12-15</t>
  </si>
  <si>
    <t>1848-06-11</t>
  </si>
  <si>
    <t>1850-05-09</t>
  </si>
  <si>
    <t>1837-12-11</t>
  </si>
  <si>
    <t>1848-06-10</t>
  </si>
  <si>
    <t>1837-10-19</t>
  </si>
  <si>
    <t>1851-10-11</t>
  </si>
  <si>
    <t>1838-01-22</t>
  </si>
  <si>
    <t>1830-04-04</t>
  </si>
  <si>
    <t>1846-09-02</t>
  </si>
  <si>
    <t>1840-05-21</t>
  </si>
  <si>
    <t>1834-05-18</t>
  </si>
  <si>
    <t>1839-08-21</t>
  </si>
  <si>
    <t>1851-11-27</t>
  </si>
  <si>
    <t>1853-08-28</t>
  </si>
  <si>
    <t>1863-09-09</t>
  </si>
  <si>
    <t>1849-12-11</t>
  </si>
  <si>
    <t>1843-12-04</t>
  </si>
  <si>
    <t>1853-02-22</t>
  </si>
  <si>
    <t>1842-05-20</t>
  </si>
  <si>
    <t>1850-01-25</t>
  </si>
  <si>
    <t>1838-04-06</t>
  </si>
  <si>
    <t>1861-08-10</t>
  </si>
  <si>
    <t>1838-09-01</t>
  </si>
  <si>
    <t>1836-01-03</t>
  </si>
  <si>
    <t>1833-12-27</t>
  </si>
  <si>
    <t>1836-02-24</t>
  </si>
  <si>
    <t>1841-07-29</t>
  </si>
  <si>
    <t>1853-09-14</t>
  </si>
  <si>
    <t>1835-04-17</t>
  </si>
  <si>
    <t>1851-02-28</t>
  </si>
  <si>
    <t>1815-01-25</t>
  </si>
  <si>
    <t>1862-12-02</t>
  </si>
  <si>
    <t>1847-03-13</t>
  </si>
  <si>
    <t>1848-12-25</t>
  </si>
  <si>
    <t>1841-12-06</t>
  </si>
  <si>
    <t>1843-10-20</t>
  </si>
  <si>
    <t>1835-02-09</t>
  </si>
  <si>
    <t>1822-10-02</t>
  </si>
  <si>
    <t>1847-07-13</t>
  </si>
  <si>
    <t>1844-09-13</t>
  </si>
  <si>
    <t>1846-08-27</t>
  </si>
  <si>
    <t>1839-12-15</t>
  </si>
  <si>
    <t>1847-03-15</t>
  </si>
  <si>
    <t>1841-02-22</t>
  </si>
  <si>
    <t>1820-04-20</t>
  </si>
  <si>
    <t>1846-02-27</t>
  </si>
  <si>
    <t>1840-11-04</t>
  </si>
  <si>
    <t>1831-10-08</t>
  </si>
  <si>
    <t>1841-06-26</t>
  </si>
  <si>
    <t>1839-07-05</t>
  </si>
  <si>
    <t>1838-06-21</t>
  </si>
  <si>
    <t>1837-08-13</t>
  </si>
  <si>
    <t>1854-08-15</t>
  </si>
  <si>
    <t>1837-08-04</t>
  </si>
  <si>
    <t>1827-01-15</t>
  </si>
  <si>
    <t>1843-03-08</t>
  </si>
  <si>
    <t>1850-12-16</t>
  </si>
  <si>
    <t>1838-06-05</t>
  </si>
  <si>
    <t>1837-04-08</t>
  </si>
  <si>
    <t>1838-07-19</t>
  </si>
  <si>
    <t>1837-06-14</t>
  </si>
  <si>
    <t>1844-10-21</t>
  </si>
  <si>
    <t>1833-09-11</t>
  </si>
  <si>
    <t>1839-04-01</t>
  </si>
  <si>
    <t>1844-02-29</t>
  </si>
  <si>
    <t>1836-04-15</t>
  </si>
  <si>
    <t>1848-04-09</t>
  </si>
  <si>
    <t>1854-03-07</t>
  </si>
  <si>
    <t>1839-05-21</t>
  </si>
  <si>
    <t>1853-01-31</t>
  </si>
  <si>
    <t>1848-11-09</t>
  </si>
  <si>
    <t>1839-12-09</t>
  </si>
  <si>
    <t>1847-01-07</t>
  </si>
  <si>
    <t>1843-12-06</t>
  </si>
  <si>
    <t>1828-02-26</t>
  </si>
  <si>
    <t>1838-10-04</t>
  </si>
  <si>
    <t>1843-02-17</t>
  </si>
  <si>
    <t>1862-07-20</t>
  </si>
  <si>
    <t>1835-08-15</t>
  </si>
  <si>
    <t>1834-11-30</t>
  </si>
  <si>
    <t>1854-07-08</t>
  </si>
  <si>
    <t>1842-09-09</t>
  </si>
  <si>
    <t>1842-09-04</t>
  </si>
  <si>
    <t>1845-09-19</t>
  </si>
  <si>
    <t>1851-08-20</t>
  </si>
  <si>
    <t>1855-04-19</t>
  </si>
  <si>
    <t>1844-09-01</t>
  </si>
  <si>
    <t>1847-02-21</t>
  </si>
  <si>
    <t>1834-07-21</t>
  </si>
  <si>
    <t>1840-08-22</t>
  </si>
  <si>
    <t>1820-06-25</t>
  </si>
  <si>
    <t>1840-12-10</t>
  </si>
  <si>
    <t>1859-12-01</t>
  </si>
  <si>
    <t>1844-09-28</t>
  </si>
  <si>
    <t>1862-08-28</t>
  </si>
  <si>
    <t>1855-11-24</t>
  </si>
  <si>
    <t>1833-07-31</t>
  </si>
  <si>
    <t>1838-04-16</t>
  </si>
  <si>
    <t>1853-08-29</t>
  </si>
  <si>
    <t>1860-01-20</t>
  </si>
  <si>
    <t>1829-10-29</t>
  </si>
  <si>
    <t>1834-10-05</t>
  </si>
  <si>
    <t>1842-01-08</t>
  </si>
  <si>
    <t>1854-06-11</t>
  </si>
  <si>
    <t>1855-01-05</t>
  </si>
  <si>
    <t>1852-02-04</t>
  </si>
  <si>
    <t>1831-01-12</t>
  </si>
  <si>
    <t>1846-08-11</t>
  </si>
  <si>
    <t>1842-03-11</t>
  </si>
  <si>
    <t>1850-05-02</t>
  </si>
  <si>
    <t>1854-09-09</t>
  </si>
  <si>
    <t>1831-12-03</t>
  </si>
  <si>
    <t>1840-02-29</t>
  </si>
  <si>
    <t>1832-04-21</t>
  </si>
  <si>
    <t>1829-05-02</t>
  </si>
  <si>
    <t>1843-08-18</t>
  </si>
  <si>
    <t>1834-09-08</t>
  </si>
  <si>
    <t>1834-04-12</t>
  </si>
  <si>
    <t>1841-03-14</t>
  </si>
  <si>
    <t>1852-08-07</t>
  </si>
  <si>
    <t>1841-09-10</t>
  </si>
  <si>
    <t>1847-01-05</t>
  </si>
  <si>
    <t>1821-01-07</t>
  </si>
  <si>
    <t>1848-09-14</t>
  </si>
  <si>
    <t>1847-10-08</t>
  </si>
  <si>
    <t>1839-06-21</t>
  </si>
  <si>
    <t>1811-08-30</t>
  </si>
  <si>
    <t>1849-05-11</t>
  </si>
  <si>
    <t>1844-04-20</t>
  </si>
  <si>
    <t>1833-02-15</t>
  </si>
  <si>
    <t>1827-04-02</t>
  </si>
  <si>
    <t>1843-11-14</t>
  </si>
  <si>
    <t>1841-10-20</t>
  </si>
  <si>
    <t>1828-09-26</t>
  </si>
  <si>
    <t>1846-03-16</t>
  </si>
  <si>
    <t>1848-09-23</t>
  </si>
  <si>
    <t>1816-10-25</t>
  </si>
  <si>
    <t>1859-11-20</t>
  </si>
  <si>
    <t>1841-09-07</t>
  </si>
  <si>
    <t>1841-12-11</t>
  </si>
  <si>
    <t>1848-01-16</t>
  </si>
  <si>
    <t>1859-12-18</t>
  </si>
  <si>
    <t>1853-06-03</t>
  </si>
  <si>
    <t>1847-12-18</t>
  </si>
  <si>
    <t>1849-02-18</t>
  </si>
  <si>
    <t>1840-02-03</t>
  </si>
  <si>
    <t>1852-05-23</t>
  </si>
  <si>
    <t>1845-12-05</t>
  </si>
  <si>
    <t>1860-06-14</t>
  </si>
  <si>
    <t>1833-05-07</t>
  </si>
  <si>
    <t>1860-01-26</t>
  </si>
  <si>
    <t>1841-11-14</t>
  </si>
  <si>
    <t>1833-11-29</t>
  </si>
  <si>
    <t>1846-03-22</t>
  </si>
  <si>
    <t>1837-07-26</t>
  </si>
  <si>
    <t>1846-03-24</t>
  </si>
  <si>
    <t>1845-02-04</t>
  </si>
  <si>
    <t>1839-07-23</t>
  </si>
  <si>
    <t>1859-11-11</t>
  </si>
  <si>
    <t>1851-06-10</t>
  </si>
  <si>
    <t>1864-04-18</t>
  </si>
  <si>
    <t>1840-08-03</t>
  </si>
  <si>
    <t>1845-03-05</t>
  </si>
  <si>
    <t>1859-07-27</t>
  </si>
  <si>
    <t>1841-05-16</t>
  </si>
  <si>
    <t>1851-05-07</t>
  </si>
  <si>
    <t>1847-06-25</t>
  </si>
  <si>
    <t>1839-09-20</t>
  </si>
  <si>
    <t>1827-07-26</t>
  </si>
  <si>
    <t>1837-09-19</t>
  </si>
  <si>
    <t>1852-08-08</t>
  </si>
  <si>
    <t>1834-06-03</t>
  </si>
  <si>
    <t>1861-03-31</t>
  </si>
  <si>
    <t>1833-02-17</t>
  </si>
  <si>
    <t>1862-11-06</t>
  </si>
  <si>
    <t>1844-09-26</t>
  </si>
  <si>
    <t>1842-01-24</t>
  </si>
  <si>
    <t>1858-07-04</t>
  </si>
  <si>
    <t>1851-05-25</t>
  </si>
  <si>
    <t>1843-09-19</t>
  </si>
  <si>
    <t>1850-04-08</t>
  </si>
  <si>
    <t>1823-06-16</t>
  </si>
  <si>
    <t>1845-01-24</t>
  </si>
  <si>
    <t>1860-07-24</t>
  </si>
  <si>
    <t>1822-08-25</t>
  </si>
  <si>
    <t>1848-02-14</t>
  </si>
  <si>
    <t>1845-03-08</t>
  </si>
  <si>
    <t>1829-01-09</t>
  </si>
  <si>
    <t>1850-01-31</t>
  </si>
  <si>
    <t>1859-12-09</t>
  </si>
  <si>
    <t>1844-07-25</t>
  </si>
  <si>
    <t>1842-02-08</t>
  </si>
  <si>
    <t>1841-05-25</t>
  </si>
  <si>
    <t>1835-07-23</t>
  </si>
  <si>
    <t>1848-08-24</t>
  </si>
  <si>
    <t>1854-05-22</t>
  </si>
  <si>
    <t>1849-11-13</t>
  </si>
  <si>
    <t>1823-07-14</t>
  </si>
  <si>
    <t>1836-06-30</t>
  </si>
  <si>
    <t>1849-06-06</t>
  </si>
  <si>
    <t>1849-08-26</t>
  </si>
  <si>
    <t>1821-03-06</t>
  </si>
  <si>
    <t>1845-03-29</t>
  </si>
  <si>
    <t>1849-06-27</t>
  </si>
  <si>
    <t>1825-02-02</t>
  </si>
  <si>
    <t>1848-06-29</t>
  </si>
  <si>
    <t>1843-01-15</t>
  </si>
  <si>
    <t>1845-04-29</t>
  </si>
  <si>
    <t>1837-02-26</t>
  </si>
  <si>
    <t>1858-01-17</t>
  </si>
  <si>
    <t>1830-12-17</t>
  </si>
  <si>
    <t>1820-11-07</t>
  </si>
  <si>
    <t>1841-10-01</t>
  </si>
  <si>
    <t>1838-09-14</t>
  </si>
  <si>
    <t>1832-12-05</t>
  </si>
  <si>
    <t>1850-05-19</t>
  </si>
  <si>
    <t>1846-10-26</t>
  </si>
  <si>
    <t>1859-05-13</t>
  </si>
  <si>
    <t>1837-10-30</t>
  </si>
  <si>
    <t>1853-07-13</t>
  </si>
  <si>
    <t>1838-10-15</t>
  </si>
  <si>
    <t>1854-05-01</t>
  </si>
  <si>
    <t>1833-08-21</t>
  </si>
  <si>
    <t>1838-04-14</t>
  </si>
  <si>
    <t>1829-04-07</t>
  </si>
  <si>
    <t>1844-04-25</t>
  </si>
  <si>
    <t>1847-05-24</t>
  </si>
  <si>
    <t>1857-05-23</t>
  </si>
  <si>
    <t>1841-12-24</t>
  </si>
  <si>
    <t>1845-05-13</t>
  </si>
  <si>
    <t>1844-12-25</t>
  </si>
  <si>
    <t>1859-09-01</t>
  </si>
  <si>
    <t>1859-02-03</t>
  </si>
  <si>
    <t>1850-11-15</t>
  </si>
  <si>
    <t>1858-01-07</t>
  </si>
  <si>
    <t>1836-05-27</t>
  </si>
  <si>
    <t>1853-09-15</t>
  </si>
  <si>
    <t>1853-07-16</t>
  </si>
  <si>
    <t>1846-10-31</t>
  </si>
  <si>
    <t>1835-04-01</t>
  </si>
  <si>
    <t>1847-07-23</t>
  </si>
  <si>
    <t>1847-09-03</t>
  </si>
  <si>
    <t>1851-12-21</t>
  </si>
  <si>
    <t>1829-06-19</t>
  </si>
  <si>
    <t>1835-09-24</t>
  </si>
  <si>
    <t>1844-01-14</t>
  </si>
  <si>
    <t>1859-07-11</t>
  </si>
  <si>
    <t>1838-01-27</t>
  </si>
  <si>
    <t>1841-01-18</t>
  </si>
  <si>
    <t>1858-05-14</t>
  </si>
  <si>
    <t>1854-10-05</t>
  </si>
  <si>
    <t>1833-01-15</t>
  </si>
  <si>
    <t>1823-04-20</t>
  </si>
  <si>
    <t>1841-04-08</t>
  </si>
  <si>
    <t>1842-09-25</t>
  </si>
  <si>
    <t>1842-07-01</t>
  </si>
  <si>
    <t>1858-12-16</t>
  </si>
  <si>
    <t>1826-12-04</t>
  </si>
  <si>
    <t>1841-05-21</t>
  </si>
  <si>
    <t>1849-10-08</t>
  </si>
  <si>
    <t>1835-09-18</t>
  </si>
  <si>
    <t>1844-02-21</t>
  </si>
  <si>
    <t>1846-12-23</t>
  </si>
  <si>
    <t>1834-03-20</t>
  </si>
  <si>
    <t>1853-12-11</t>
  </si>
  <si>
    <t>1840-12-04</t>
  </si>
  <si>
    <t>1861-05-25</t>
  </si>
  <si>
    <t>1849-11-21</t>
  </si>
  <si>
    <t>1854-05-29</t>
  </si>
  <si>
    <t>1846-11-10</t>
  </si>
  <si>
    <t>1857-11-10</t>
  </si>
  <si>
    <t>1859-01-23</t>
  </si>
  <si>
    <t>1847-08-26</t>
  </si>
  <si>
    <t>1852-08-14</t>
  </si>
  <si>
    <t>1854-12-16</t>
  </si>
  <si>
    <t>1855-11-14</t>
  </si>
  <si>
    <t>1855-10-14</t>
  </si>
  <si>
    <t>1846-03-30</t>
  </si>
  <si>
    <t>1838-12-02</t>
  </si>
  <si>
    <t>1842-05-27</t>
  </si>
  <si>
    <t>1835-05-14</t>
  </si>
  <si>
    <t>1837-04-30</t>
  </si>
  <si>
    <t>1859-12-08</t>
  </si>
  <si>
    <t>1837-02-06</t>
  </si>
  <si>
    <t>1860-11-03</t>
  </si>
  <si>
    <t>1832-09-14</t>
  </si>
  <si>
    <t>1833-01-01</t>
  </si>
  <si>
    <t>1848-02-24</t>
  </si>
  <si>
    <t>1857-04-10</t>
  </si>
  <si>
    <t>1824-03-17</t>
  </si>
  <si>
    <t>1858-08-26</t>
  </si>
  <si>
    <t>1853-11-07</t>
  </si>
  <si>
    <t>1840-07-28</t>
  </si>
  <si>
    <t>1838-05-21</t>
  </si>
  <si>
    <t>1850-08-09</t>
  </si>
  <si>
    <t>1850-07-08</t>
  </si>
  <si>
    <t>1837-07-16</t>
  </si>
  <si>
    <t>1858-06-16</t>
  </si>
  <si>
    <t>1856-02-22</t>
  </si>
  <si>
    <t>1829-10-01</t>
  </si>
  <si>
    <t>1830-10-28</t>
  </si>
  <si>
    <t>1842-09-12</t>
  </si>
  <si>
    <t>1838-09-18</t>
  </si>
  <si>
    <t>1858-12-20</t>
  </si>
  <si>
    <t>1860-03-23</t>
  </si>
  <si>
    <t>1836-08-05</t>
  </si>
  <si>
    <t>1845-07-01</t>
  </si>
  <si>
    <t>1847-07-31</t>
  </si>
  <si>
    <t>1855-05-10</t>
  </si>
  <si>
    <t>1860-08-01</t>
  </si>
  <si>
    <t>1846-03-14</t>
  </si>
  <si>
    <t>1831-11-09</t>
  </si>
  <si>
    <t>1848-03-18</t>
  </si>
  <si>
    <t>1853-01-29</t>
  </si>
  <si>
    <t>1851-08-12</t>
  </si>
  <si>
    <t>1855-02-01</t>
  </si>
  <si>
    <t>1833-10-14</t>
  </si>
  <si>
    <t>1846-08-17</t>
  </si>
  <si>
    <t>1840-10-05</t>
  </si>
  <si>
    <t>1860-01-06</t>
  </si>
  <si>
    <t>1848-02-10</t>
  </si>
  <si>
    <t>1834-05-27</t>
  </si>
  <si>
    <t>1854-09-23</t>
  </si>
  <si>
    <t>1853-04-01</t>
  </si>
  <si>
    <t>1851-03-20</t>
  </si>
  <si>
    <t>1853-07-05</t>
  </si>
  <si>
    <t>1840-07-22</t>
  </si>
  <si>
    <t>1850-04-20</t>
  </si>
  <si>
    <t>1845-02-22</t>
  </si>
  <si>
    <t>1835-12-01</t>
  </si>
  <si>
    <t>1847-03-02</t>
  </si>
  <si>
    <t>1844-04-07</t>
  </si>
  <si>
    <t>1844-08-02</t>
  </si>
  <si>
    <t>1829-09-16</t>
  </si>
  <si>
    <t>1859-10-22</t>
  </si>
  <si>
    <t>1848-03-16</t>
  </si>
  <si>
    <t>1853-03-11</t>
  </si>
  <si>
    <t>1833-03-12</t>
  </si>
  <si>
    <t>1846-07-29</t>
  </si>
  <si>
    <t>1853-05-02</t>
  </si>
  <si>
    <t>1844-07-21</t>
  </si>
  <si>
    <t>1847-11-27</t>
  </si>
  <si>
    <t>1845-07-28</t>
  </si>
  <si>
    <t>1865-01-28</t>
  </si>
  <si>
    <t>1841-01-03</t>
  </si>
  <si>
    <t>1840-08-27</t>
  </si>
  <si>
    <t>1837-06-03</t>
  </si>
  <si>
    <t>1852-02-10</t>
  </si>
  <si>
    <t>1848-02-07</t>
  </si>
  <si>
    <t>1849-12-01</t>
  </si>
  <si>
    <t>1852-04-05</t>
  </si>
  <si>
    <t>1832-07-15</t>
  </si>
  <si>
    <t>1841-01-05</t>
  </si>
  <si>
    <t>1849-07-16</t>
  </si>
  <si>
    <t>1848-02-22</t>
  </si>
  <si>
    <t>1845-10-23</t>
  </si>
  <si>
    <t>1825-07-30</t>
  </si>
  <si>
    <t>1850-06-02</t>
  </si>
  <si>
    <t>1857-11-01</t>
  </si>
  <si>
    <t>1844-07-03</t>
  </si>
  <si>
    <t>1834-10-22</t>
  </si>
  <si>
    <t>1849-11-15</t>
  </si>
  <si>
    <t>1863-08-01</t>
  </si>
  <si>
    <t>1854-05-24</t>
  </si>
  <si>
    <t>1835-03-23</t>
  </si>
  <si>
    <t>1848-09-01</t>
  </si>
  <si>
    <t>1863-07-06</t>
  </si>
  <si>
    <t>1826-09-13</t>
  </si>
  <si>
    <t>1860-08-04</t>
  </si>
  <si>
    <t>1827-06-24</t>
  </si>
  <si>
    <t>1853-08-05</t>
  </si>
  <si>
    <t>1854-06-12</t>
  </si>
  <si>
    <t>1866-12-26</t>
  </si>
  <si>
    <t>1850-08-20</t>
  </si>
  <si>
    <t>1855-07-15</t>
  </si>
  <si>
    <t>1850-01-22</t>
  </si>
  <si>
    <t>1845-10-25</t>
  </si>
  <si>
    <t>1830-08-22</t>
  </si>
  <si>
    <t>1852-05-02</t>
  </si>
  <si>
    <t>1869-10-05</t>
  </si>
  <si>
    <t>1845-04-17</t>
  </si>
  <si>
    <t>1855-03-31</t>
  </si>
  <si>
    <t>1850-04-04</t>
  </si>
  <si>
    <t>1858-12-24</t>
  </si>
  <si>
    <t>1837-12-04</t>
  </si>
  <si>
    <t>1848-04-05</t>
  </si>
  <si>
    <t>1859-12-12</t>
  </si>
  <si>
    <t>1855-03-05</t>
  </si>
  <si>
    <t>1859-10-10</t>
  </si>
  <si>
    <t>1845-12-30</t>
  </si>
  <si>
    <t>1869-03-21</t>
  </si>
  <si>
    <t>1885-02-15</t>
  </si>
  <si>
    <t>1842-10-11</t>
  </si>
  <si>
    <t>1857-08-31</t>
  </si>
  <si>
    <t>1854-03-08</t>
  </si>
  <si>
    <t>1857-08-22</t>
  </si>
  <si>
    <t>1854-03-09</t>
  </si>
  <si>
    <t>1851-09-02</t>
  </si>
  <si>
    <t>1844-02-07</t>
  </si>
  <si>
    <t>1865-03-01</t>
  </si>
  <si>
    <t>1865-08-14</t>
  </si>
  <si>
    <t>1852-09-21</t>
  </si>
  <si>
    <t>1829-11-23</t>
  </si>
  <si>
    <t>1858-10-21</t>
  </si>
  <si>
    <t>1838-09-17</t>
  </si>
  <si>
    <t>1854-02-19</t>
  </si>
  <si>
    <t>1838-12-18</t>
  </si>
  <si>
    <t>1852-06-22</t>
  </si>
  <si>
    <t>1847-07-22</t>
  </si>
  <si>
    <t>1855-01-07</t>
  </si>
  <si>
    <t>1860-04-08</t>
  </si>
  <si>
    <t>1850-03-31</t>
  </si>
  <si>
    <t>1859-12-23</t>
  </si>
  <si>
    <t>1817-10-15</t>
  </si>
  <si>
    <t>1849-06-11</t>
  </si>
  <si>
    <t>1857-07-23</t>
  </si>
  <si>
    <t>1865-06-26</t>
  </si>
  <si>
    <t>1840-04-22</t>
  </si>
  <si>
    <t>1836-05-25</t>
  </si>
  <si>
    <t>1829-06-15</t>
  </si>
  <si>
    <t>1860-05-09</t>
  </si>
  <si>
    <t>1850-11-03</t>
  </si>
  <si>
    <t>1835-12-23</t>
  </si>
  <si>
    <t>1858-03-09</t>
  </si>
  <si>
    <t>1857-02-10</t>
  </si>
  <si>
    <t>1847-01-10</t>
  </si>
  <si>
    <t>1862-05-31</t>
  </si>
  <si>
    <t>1857-01-22</t>
  </si>
  <si>
    <t>1855-01-28</t>
  </si>
  <si>
    <t>1850-02-01</t>
  </si>
  <si>
    <t>1862-07-23</t>
  </si>
  <si>
    <t>1858-11-01</t>
  </si>
  <si>
    <t>1837-03-07</t>
  </si>
  <si>
    <t>1834-09-28</t>
  </si>
  <si>
    <t>1867-02-14</t>
  </si>
  <si>
    <t>1861-12-24</t>
  </si>
  <si>
    <t>1847-10-23</t>
  </si>
  <si>
    <t>1851-11-21</t>
  </si>
  <si>
    <t>1849-02-07</t>
  </si>
  <si>
    <t>1847-06-29</t>
  </si>
  <si>
    <t>1855-10-13</t>
  </si>
  <si>
    <t>1844-05-03</t>
  </si>
  <si>
    <t>1852-11-26</t>
  </si>
  <si>
    <t>1851-09-12</t>
  </si>
  <si>
    <t>1857-05-31</t>
  </si>
  <si>
    <t>1861-12-16</t>
  </si>
  <si>
    <t>1839-02-15</t>
  </si>
  <si>
    <t>1843-01-08</t>
  </si>
  <si>
    <t>1846-07-31</t>
  </si>
  <si>
    <t>1863-12-25</t>
  </si>
  <si>
    <t>1849-03-15</t>
  </si>
  <si>
    <t>1834-11-15</t>
  </si>
  <si>
    <t>1844-12-03</t>
  </si>
  <si>
    <t>1858-05-06</t>
  </si>
  <si>
    <t>1847-12-19</t>
  </si>
  <si>
    <t>1856-11-22</t>
  </si>
  <si>
    <t>1853-11-09</t>
  </si>
  <si>
    <t>1842-11-18</t>
  </si>
  <si>
    <t>1841-09-01</t>
  </si>
  <si>
    <t>1839-03-15</t>
  </si>
  <si>
    <t>1844-03-11</t>
  </si>
  <si>
    <t>1860-10-15</t>
  </si>
  <si>
    <t>1835-10-10</t>
  </si>
  <si>
    <t>1864-11-14</t>
  </si>
  <si>
    <t>1843-02-02</t>
  </si>
  <si>
    <t>1856-04-18</t>
  </si>
  <si>
    <t>1871-04-22</t>
  </si>
  <si>
    <t>1860-06-27</t>
  </si>
  <si>
    <t>1868-10-29</t>
  </si>
  <si>
    <t>1858-02-27</t>
  </si>
  <si>
    <t>1849-05-18</t>
  </si>
  <si>
    <t>1856-08-08</t>
  </si>
  <si>
    <t>1849-03-06</t>
  </si>
  <si>
    <t>1846-01-20</t>
  </si>
  <si>
    <t>1838-05-17</t>
  </si>
  <si>
    <t>1857-05-02</t>
  </si>
  <si>
    <t>1854-01-10</t>
  </si>
  <si>
    <t>1833-03-06</t>
  </si>
  <si>
    <t>1860-11-21</t>
  </si>
  <si>
    <t>1860-05-01</t>
  </si>
  <si>
    <t>1864-06-07</t>
  </si>
  <si>
    <t>1863-08-21</t>
  </si>
  <si>
    <t>1852-04-06</t>
  </si>
  <si>
    <t>1862-05-20</t>
  </si>
  <si>
    <t>1859-03-12</t>
  </si>
  <si>
    <t>1860-12-17</t>
  </si>
  <si>
    <t>1862-02-01</t>
  </si>
  <si>
    <t>1843-07-24</t>
  </si>
  <si>
    <t>1863-03-13</t>
  </si>
  <si>
    <t>1870-08-27</t>
  </si>
  <si>
    <t>1862-01-17</t>
  </si>
  <si>
    <t>1847-02-08</t>
  </si>
  <si>
    <t>1844-05-08</t>
  </si>
  <si>
    <t>1850-09-17</t>
  </si>
  <si>
    <t>1837-11-21</t>
  </si>
  <si>
    <t>1853-11-23</t>
  </si>
  <si>
    <t>1853-12-28</t>
  </si>
  <si>
    <t>1844-03-30</t>
  </si>
  <si>
    <t>1846-01-07</t>
  </si>
  <si>
    <t>1864-07-28</t>
  </si>
  <si>
    <t>1844-05-10</t>
  </si>
  <si>
    <t>1859-12-25</t>
  </si>
  <si>
    <t>1849-02-04</t>
  </si>
  <si>
    <t>1847-03-22</t>
  </si>
  <si>
    <t>1850-07-20</t>
  </si>
  <si>
    <t>1855-11-30</t>
  </si>
  <si>
    <t>1857-12-06</t>
  </si>
  <si>
    <t>1857-02-15</t>
  </si>
  <si>
    <t>1860-09-15</t>
  </si>
  <si>
    <t>1833-03-18</t>
  </si>
  <si>
    <t>1850-10-04</t>
  </si>
  <si>
    <t>1849-02-11</t>
  </si>
  <si>
    <t>1846-02-18</t>
  </si>
  <si>
    <t>1867-02-21</t>
  </si>
  <si>
    <t>1856-12-22</t>
  </si>
  <si>
    <t>1824-04-30</t>
  </si>
  <si>
    <t>1861-01-14</t>
  </si>
  <si>
    <t>1860-07-12</t>
  </si>
  <si>
    <t>1869-12-21</t>
  </si>
  <si>
    <t>1855-06-30</t>
  </si>
  <si>
    <t>1864-12-29</t>
  </si>
  <si>
    <t>1843-12-22</t>
  </si>
  <si>
    <t>1853-05-09</t>
  </si>
  <si>
    <t>1853-11-18</t>
  </si>
  <si>
    <t>1843-08-14</t>
  </si>
  <si>
    <t>1862-02-07</t>
  </si>
  <si>
    <t>1835-08-07</t>
  </si>
  <si>
    <t>1864-01-10</t>
  </si>
  <si>
    <t>1866-03-13</t>
  </si>
  <si>
    <t>1869-12-30</t>
  </si>
  <si>
    <t>1848-01-28</t>
  </si>
  <si>
    <t>1848-11-17</t>
  </si>
  <si>
    <t>1858-09-04</t>
  </si>
  <si>
    <t>1856-02-26</t>
  </si>
  <si>
    <t>1871-12-26</t>
  </si>
  <si>
    <t>1844-02-24</t>
  </si>
  <si>
    <t>1833-06-17</t>
  </si>
  <si>
    <t>1873-05-24</t>
  </si>
  <si>
    <t>1859-02-19</t>
  </si>
  <si>
    <t>1843-04-27</t>
  </si>
  <si>
    <t>1845-08-19</t>
  </si>
  <si>
    <t>1848-10-28</t>
  </si>
  <si>
    <t>1847-03-01</t>
  </si>
  <si>
    <t>1860-03-11</t>
  </si>
  <si>
    <t>1844-10-27</t>
  </si>
  <si>
    <t>1848-10-04</t>
  </si>
  <si>
    <t>1832-04-26</t>
  </si>
  <si>
    <t>1857-04-18</t>
  </si>
  <si>
    <t>1851-09-16</t>
  </si>
  <si>
    <t>1849-11-30</t>
  </si>
  <si>
    <t>1860-01-25</t>
  </si>
  <si>
    <t>1830-02-03</t>
  </si>
  <si>
    <t>1849-10-12</t>
  </si>
  <si>
    <t>1869-07-20</t>
  </si>
  <si>
    <t>1860-09-27</t>
  </si>
  <si>
    <t>1848-12-30</t>
  </si>
  <si>
    <t>1866-08-25</t>
  </si>
  <si>
    <t>1859-01-15</t>
  </si>
  <si>
    <t>1853-08-21</t>
  </si>
  <si>
    <t>1843-05-17</t>
  </si>
  <si>
    <t>1849-03-30</t>
  </si>
  <si>
    <t>1843-08-25</t>
  </si>
  <si>
    <t>1845-03-15</t>
  </si>
  <si>
    <t>1847-03-10</t>
  </si>
  <si>
    <t>1845-04-10</t>
  </si>
  <si>
    <t>1852-04-26</t>
  </si>
  <si>
    <t>1865-01-13</t>
  </si>
  <si>
    <t>1846-06-26</t>
  </si>
  <si>
    <t>1853-06-22</t>
  </si>
  <si>
    <t>1853-07-14</t>
  </si>
  <si>
    <t>1846-02-03</t>
  </si>
  <si>
    <t>1868-04-24</t>
  </si>
  <si>
    <t>1845-06-10</t>
  </si>
  <si>
    <t>1856-09-27</t>
  </si>
  <si>
    <t>1848-08-09</t>
  </si>
  <si>
    <t>1875-06-20</t>
  </si>
  <si>
    <t>1836-08-22</t>
  </si>
  <si>
    <t>1866-05-05</t>
  </si>
  <si>
    <t>1858-10-10</t>
  </si>
  <si>
    <t>1856-08-07</t>
  </si>
  <si>
    <t>1848-07-08</t>
  </si>
  <si>
    <t>1861-02-08</t>
  </si>
  <si>
    <t>1864-02-09</t>
  </si>
  <si>
    <t>1858-02-07</t>
  </si>
  <si>
    <t>1861-12-06</t>
  </si>
  <si>
    <t>1864-07-06</t>
  </si>
  <si>
    <t>1861-11-07</t>
  </si>
  <si>
    <t>1868-01-08</t>
  </si>
  <si>
    <t>1865-08-05</t>
  </si>
  <si>
    <t>1852-08-03</t>
  </si>
  <si>
    <t>1847-11-13</t>
  </si>
  <si>
    <t>1844-01-02</t>
  </si>
  <si>
    <t>1853-04-03</t>
  </si>
  <si>
    <t>1862-07-01</t>
  </si>
  <si>
    <t>1840-02-22</t>
  </si>
  <si>
    <t>1845-08-03</t>
  </si>
  <si>
    <t>1858-08-22</t>
  </si>
  <si>
    <t>1857-04-05</t>
  </si>
  <si>
    <t>1853-04-02</t>
  </si>
  <si>
    <t>1850-12-09</t>
  </si>
  <si>
    <t>1843-07-09</t>
  </si>
  <si>
    <t>1855-08-09</t>
  </si>
  <si>
    <t>1839-05-25</t>
  </si>
  <si>
    <t>1855-05-24</t>
  </si>
  <si>
    <t>1864-12-24</t>
  </si>
  <si>
    <t>1863-03-01</t>
  </si>
  <si>
    <t>1852-11-03</t>
  </si>
  <si>
    <t>1862-07-08</t>
  </si>
  <si>
    <t>1857-10-19</t>
  </si>
  <si>
    <t>1861-11-09</t>
  </si>
  <si>
    <t>1854-09-10</t>
  </si>
  <si>
    <t>1859-08-16</t>
  </si>
  <si>
    <t>1848-11-26</t>
  </si>
  <si>
    <t>1871-05-26</t>
  </si>
  <si>
    <t>1850-02-10</t>
  </si>
  <si>
    <t>1857-03-28</t>
  </si>
  <si>
    <t>1837-05-06</t>
  </si>
  <si>
    <t>1850-04-21</t>
  </si>
  <si>
    <t>1862-11-12</t>
  </si>
  <si>
    <t>1856-03-02</t>
  </si>
  <si>
    <t>1861-04-23</t>
  </si>
  <si>
    <t>1852-07-12</t>
  </si>
  <si>
    <t>1862-01-22</t>
  </si>
  <si>
    <t>1865-03-06</t>
  </si>
  <si>
    <t>1857-06-01</t>
  </si>
  <si>
    <t>1855-09-18</t>
  </si>
  <si>
    <t>1862-02-17</t>
  </si>
  <si>
    <t>1871-01-11</t>
  </si>
  <si>
    <t>1845-06-22</t>
  </si>
  <si>
    <t>1842-06-14</t>
  </si>
  <si>
    <t>1865-11-04</t>
  </si>
  <si>
    <t>1856-01-19</t>
  </si>
  <si>
    <t>1865-07-23</t>
  </si>
  <si>
    <t>1865-09-30</t>
  </si>
  <si>
    <t>1846-07-20</t>
  </si>
  <si>
    <t>1852-11-22</t>
  </si>
  <si>
    <t>1873-09-04</t>
  </si>
  <si>
    <t>1850-01-20</t>
  </si>
  <si>
    <t>1854-05-28</t>
  </si>
  <si>
    <t>1864-04-06</t>
  </si>
  <si>
    <t>1872-02-24</t>
  </si>
  <si>
    <t>1843-07-23</t>
  </si>
  <si>
    <t>1866-10-19</t>
  </si>
  <si>
    <t>1860-05-29</t>
  </si>
  <si>
    <t>1854-05-30</t>
  </si>
  <si>
    <t>1853-09-30</t>
  </si>
  <si>
    <t>1870-05-20</t>
  </si>
  <si>
    <t>1876-08-11</t>
  </si>
  <si>
    <t>1848-06-14</t>
  </si>
  <si>
    <t>1844-04-09</t>
  </si>
  <si>
    <t>1855-06-02</t>
  </si>
  <si>
    <t>1853-06-02</t>
  </si>
  <si>
    <t>1852-03-27</t>
  </si>
  <si>
    <t>1845-03-25</t>
  </si>
  <si>
    <t>1848-09-11</t>
  </si>
  <si>
    <t>1863-09-17</t>
  </si>
  <si>
    <t>1873-03-18</t>
  </si>
  <si>
    <t>1857-06-20</t>
  </si>
  <si>
    <t>1867-02-16</t>
  </si>
  <si>
    <t>1869-11-25</t>
  </si>
  <si>
    <t>1852-09-12</t>
  </si>
  <si>
    <t>1864-02-21</t>
  </si>
  <si>
    <t>1852-10-25</t>
  </si>
  <si>
    <t>1864-10-21</t>
  </si>
  <si>
    <t>1858-11-19</t>
  </si>
  <si>
    <t>1851-10-24</t>
  </si>
  <si>
    <t>1829-05-31</t>
  </si>
  <si>
    <t>1842-04-23</t>
  </si>
  <si>
    <t>1867-04-29</t>
  </si>
  <si>
    <t>1852-06-02</t>
  </si>
  <si>
    <t>1844-01-24</t>
  </si>
  <si>
    <t>1862-05-06</t>
  </si>
  <si>
    <t>1866-11-13</t>
  </si>
  <si>
    <t>1851-03-03</t>
  </si>
  <si>
    <t>1849-10-16</t>
  </si>
  <si>
    <t>1859-04-08</t>
  </si>
  <si>
    <t>1865-01-30</t>
  </si>
  <si>
    <t>1866-03-08</t>
  </si>
  <si>
    <t>1875-09-06</t>
  </si>
  <si>
    <t>1862-08-09</t>
  </si>
  <si>
    <t>1866-05-28</t>
  </si>
  <si>
    <t>1848-05-20</t>
  </si>
  <si>
    <t>1858-02-18</t>
  </si>
  <si>
    <t>1867-02-07</t>
  </si>
  <si>
    <t>1856-07-07</t>
  </si>
  <si>
    <t>1860-04-18</t>
  </si>
  <si>
    <t>1859-04-29</t>
  </si>
  <si>
    <t>1856-01-10</t>
  </si>
  <si>
    <t>1856-10-04</t>
  </si>
  <si>
    <t>1861-10-27</t>
  </si>
  <si>
    <t>1867-12-23</t>
  </si>
  <si>
    <t>1841-12-19</t>
  </si>
  <si>
    <t>1867-02-17</t>
  </si>
  <si>
    <t>1879-07-18</t>
  </si>
  <si>
    <t>1851-04-01</t>
  </si>
  <si>
    <t>1848-09-21</t>
  </si>
  <si>
    <t>1865-09-22</t>
  </si>
  <si>
    <t>1857-10-30</t>
  </si>
  <si>
    <t>1860-10-08</t>
  </si>
  <si>
    <t>1850-11-09</t>
  </si>
  <si>
    <t>1867-01-27</t>
  </si>
  <si>
    <t>1834-02-11</t>
  </si>
  <si>
    <t>1855-12-04</t>
  </si>
  <si>
    <t>1854-11-02</t>
  </si>
  <si>
    <t>1856-04-29</t>
  </si>
  <si>
    <t>1876-10-09</t>
  </si>
  <si>
    <t>1870-04-16</t>
  </si>
  <si>
    <t>1865-02-05</t>
  </si>
  <si>
    <t>1852-02-07</t>
  </si>
  <si>
    <t>1855-08-07</t>
  </si>
  <si>
    <t>1872-06-29</t>
  </si>
  <si>
    <t>1879-06-21</t>
  </si>
  <si>
    <t>1883-12-22</t>
  </si>
  <si>
    <t>1877-07-19</t>
  </si>
  <si>
    <t>1897-09-12</t>
  </si>
  <si>
    <t>1870-09-30</t>
  </si>
  <si>
    <t>1856-04-24</t>
  </si>
  <si>
    <t>1880-11-06</t>
  </si>
  <si>
    <t>1870-02-20</t>
  </si>
  <si>
    <t>1854-12-23</t>
  </si>
  <si>
    <t>1835-09-06</t>
  </si>
  <si>
    <t>1827-10-25</t>
  </si>
  <si>
    <t>1849-04-24</t>
  </si>
  <si>
    <t>1852-01-18</t>
  </si>
  <si>
    <t>1844-10-01</t>
  </si>
  <si>
    <t>1862-03-10</t>
  </si>
  <si>
    <t>1861-01-08</t>
  </si>
  <si>
    <t>1851-01-14</t>
  </si>
  <si>
    <t>1828-11-14</t>
  </si>
  <si>
    <t>1856-12-28</t>
  </si>
  <si>
    <t>1860-06-22</t>
  </si>
  <si>
    <t>1854-11-17</t>
  </si>
  <si>
    <t>1865-01-01</t>
  </si>
  <si>
    <t>1866-03-26</t>
  </si>
  <si>
    <t>1876-04-02</t>
  </si>
  <si>
    <t>1819-05-04</t>
  </si>
  <si>
    <t>1824-07-02</t>
  </si>
  <si>
    <t>1827-03-29</t>
  </si>
  <si>
    <t>1828-03-22</t>
  </si>
  <si>
    <t>1835-12-18</t>
  </si>
  <si>
    <t>1844-03-14</t>
  </si>
  <si>
    <t>1833-12-08</t>
  </si>
  <si>
    <t>1828-12-20</t>
  </si>
  <si>
    <t>1874-11-12</t>
  </si>
  <si>
    <t>1880-12-14</t>
  </si>
  <si>
    <t>1865-09-27</t>
  </si>
  <si>
    <t>1881-05-05</t>
  </si>
  <si>
    <t>1844-12-21</t>
  </si>
  <si>
    <t>1850-12-04</t>
  </si>
  <si>
    <t>1867-04-22</t>
  </si>
  <si>
    <t>1880-10-29</t>
  </si>
  <si>
    <t>1869-03-02</t>
  </si>
  <si>
    <t>1849-03-17</t>
  </si>
  <si>
    <t>1838-03-08</t>
  </si>
  <si>
    <t>1873-02-04</t>
  </si>
  <si>
    <t>1887-07-03</t>
  </si>
  <si>
    <t>1876-06-20</t>
  </si>
  <si>
    <t>1866-07-10</t>
  </si>
  <si>
    <t>1878-09-07</t>
  </si>
  <si>
    <t>1882-10-29</t>
  </si>
  <si>
    <t>1875-03-04</t>
  </si>
  <si>
    <t>1880-09-16</t>
  </si>
  <si>
    <t>1822-06-28</t>
  </si>
  <si>
    <t>1828-08-15</t>
  </si>
  <si>
    <t>1815-08-26</t>
  </si>
  <si>
    <t>1826-03-25</t>
  </si>
  <si>
    <t>1826-11-22</t>
  </si>
  <si>
    <t>1834-09-07</t>
  </si>
  <si>
    <t>1831-09-02</t>
  </si>
  <si>
    <t>1850-09-20</t>
  </si>
  <si>
    <t>1888-11-03</t>
  </si>
  <si>
    <t>1812-11-09</t>
  </si>
  <si>
    <t>1829-01-11</t>
  </si>
  <si>
    <t>1849-07-27</t>
  </si>
  <si>
    <t>1822-11-13</t>
  </si>
  <si>
    <t>1823-12-13</t>
  </si>
  <si>
    <t>1823-06-21</t>
  </si>
  <si>
    <t>1821-11-22</t>
  </si>
  <si>
    <t>1827-05-19</t>
  </si>
  <si>
    <t>1871-07-23</t>
  </si>
  <si>
    <t>1869-01-05</t>
  </si>
  <si>
    <t>1820-05-04</t>
  </si>
  <si>
    <t>1821-12-29</t>
  </si>
  <si>
    <t>1874-03-16</t>
  </si>
  <si>
    <t>1821-02-11</t>
  </si>
  <si>
    <t>1827-11-15</t>
  </si>
  <si>
    <t>1822-12-19</t>
  </si>
  <si>
    <t>1827-08-28</t>
  </si>
  <si>
    <t>1814-01-28</t>
  </si>
  <si>
    <t>1867-10-17</t>
  </si>
  <si>
    <t>1883-07-12</t>
  </si>
  <si>
    <t>1880-09-03</t>
  </si>
  <si>
    <t>1862-01-06</t>
  </si>
  <si>
    <t>1860-06-17</t>
  </si>
  <si>
    <t>1833-10-11</t>
  </si>
  <si>
    <t>1847-04-27</t>
  </si>
  <si>
    <t>1867-11-26</t>
  </si>
  <si>
    <t>1877-09-27</t>
  </si>
  <si>
    <t>1878-08-21</t>
  </si>
  <si>
    <t>1876-05-14</t>
  </si>
  <si>
    <t>1867-01-21</t>
  </si>
  <si>
    <t>1875-10-27</t>
  </si>
  <si>
    <t>1894-12-19</t>
  </si>
  <si>
    <t>1901-02-26</t>
  </si>
  <si>
    <t>1887-02-17</t>
  </si>
  <si>
    <t>1852-09-09</t>
  </si>
  <si>
    <t>1852-09-23</t>
  </si>
  <si>
    <t>1885-04-24</t>
  </si>
  <si>
    <t>1881-05-31</t>
  </si>
  <si>
    <t>1888-03-31</t>
  </si>
  <si>
    <t>1890-09-17</t>
  </si>
  <si>
    <t>1840-11-30</t>
  </si>
  <si>
    <t>1863-01-12</t>
  </si>
  <si>
    <t>1830-09-19</t>
  </si>
  <si>
    <t>1825-09-01</t>
  </si>
  <si>
    <t>1873-01-04</t>
  </si>
  <si>
    <t>1861-08-22</t>
  </si>
  <si>
    <t>1828-11-16</t>
  </si>
  <si>
    <t>1936-07-18</t>
  </si>
  <si>
    <t>1823-02-03</t>
  </si>
  <si>
    <t>1831-01-23</t>
  </si>
  <si>
    <t>1813-09-13</t>
  </si>
  <si>
    <t>1823-10-21</t>
  </si>
  <si>
    <t>1815-12-30</t>
  </si>
  <si>
    <t>1823-03-18</t>
  </si>
  <si>
    <t>1811-01-18</t>
  </si>
  <si>
    <t>1810-10-29</t>
  </si>
  <si>
    <t>1809-01-10</t>
  </si>
  <si>
    <t>1812-05-21</t>
  </si>
  <si>
    <t>1802-08-28</t>
  </si>
  <si>
    <t>1813-02-01</t>
  </si>
  <si>
    <t>1805-08-19</t>
  </si>
  <si>
    <t>1820-02-27</t>
  </si>
  <si>
    <t>1802-02-28</t>
  </si>
  <si>
    <t>1809-07-17</t>
  </si>
  <si>
    <t>1798-01-16</t>
  </si>
  <si>
    <t>1807-05-04</t>
  </si>
  <si>
    <t>1809-02-01</t>
  </si>
  <si>
    <t>1830-03-12</t>
  </si>
  <si>
    <t>1820-09-20</t>
  </si>
  <si>
    <t>1812-06-09</t>
  </si>
  <si>
    <t>1792-12-08</t>
  </si>
  <si>
    <t>1815-03-03</t>
  </si>
  <si>
    <t>1816-06-27</t>
  </si>
  <si>
    <t>1819-06-23</t>
  </si>
  <si>
    <t>1811-04-21</t>
  </si>
  <si>
    <t>1801-08-06</t>
  </si>
  <si>
    <t>1811-05-24</t>
  </si>
  <si>
    <t>1809-11-25</t>
  </si>
  <si>
    <t>1815-04-08</t>
  </si>
  <si>
    <t>1806-01-05</t>
  </si>
  <si>
    <t>1808-12-23</t>
  </si>
  <si>
    <t>1814-01-06</t>
  </si>
  <si>
    <t>1833-02-11</t>
  </si>
  <si>
    <t>1823-10-17</t>
  </si>
  <si>
    <t>1833-04-05</t>
  </si>
  <si>
    <t>1818-09-18</t>
  </si>
  <si>
    <t>1823-07-11</t>
  </si>
  <si>
    <t>1804-07-22</t>
  </si>
  <si>
    <t>1821-08-16</t>
  </si>
  <si>
    <t>1824-01-01</t>
  </si>
  <si>
    <t>1830-04-22</t>
  </si>
  <si>
    <t>1810-12-23</t>
  </si>
  <si>
    <t>1812-12-23</t>
  </si>
  <si>
    <t>1805-08-20</t>
  </si>
  <si>
    <t>1811-03-14</t>
  </si>
  <si>
    <t>1824-04-15</t>
  </si>
  <si>
    <t>1821-06-04</t>
  </si>
  <si>
    <t>1815-10-06</t>
  </si>
  <si>
    <t>1810-02-20</t>
  </si>
  <si>
    <t>1833-09-12</t>
  </si>
  <si>
    <t>1826-12-11</t>
  </si>
  <si>
    <t>1820-01-01</t>
  </si>
  <si>
    <t>1818-02-16</t>
  </si>
  <si>
    <t>1827-12-11</t>
  </si>
  <si>
    <t>1809-02-10</t>
  </si>
  <si>
    <t>1805-07-09</t>
  </si>
  <si>
    <t>1810-07-01</t>
  </si>
  <si>
    <t>1816-09-05</t>
  </si>
  <si>
    <t>1822-06-23</t>
  </si>
  <si>
    <t>1796-10-13</t>
  </si>
  <si>
    <t>1821-08-24</t>
  </si>
  <si>
    <t>1818-03-04</t>
  </si>
  <si>
    <t>1810-09-16</t>
  </si>
  <si>
    <t>1827-10-27</t>
  </si>
  <si>
    <t>1822-05-19</t>
  </si>
  <si>
    <t>1821-07-23</t>
  </si>
  <si>
    <t>1801-07-09</t>
  </si>
  <si>
    <t>1817-11-09</t>
  </si>
  <si>
    <t>1814-02-03</t>
  </si>
  <si>
    <t>1811-10-21</t>
  </si>
  <si>
    <t>1810-03-14</t>
  </si>
  <si>
    <t>1811-02-16</t>
  </si>
  <si>
    <t>1808-09-18</t>
  </si>
  <si>
    <t>1815-04-13</t>
  </si>
  <si>
    <t>1818-08-26</t>
  </si>
  <si>
    <t>1817-08-27</t>
  </si>
  <si>
    <t>1817-07-08</t>
  </si>
  <si>
    <t>1830-09-01</t>
  </si>
  <si>
    <t>1829-03-04</t>
  </si>
  <si>
    <t>1815-01-20</t>
  </si>
  <si>
    <t>1831-06-17</t>
  </si>
  <si>
    <t>1815-09-13</t>
  </si>
  <si>
    <t>1830-08-28</t>
  </si>
  <si>
    <t>1815-02-16</t>
  </si>
  <si>
    <t>1808-01-05</t>
  </si>
  <si>
    <t>1820-10-01</t>
  </si>
  <si>
    <t>1813-03-22</t>
  </si>
  <si>
    <t>1816-07-04</t>
  </si>
  <si>
    <t>1823-06-07</t>
  </si>
  <si>
    <t>1829-01-17</t>
  </si>
  <si>
    <t>1821-06-13</t>
  </si>
  <si>
    <t>1807-11-05</t>
  </si>
  <si>
    <t>1827-11-25</t>
  </si>
  <si>
    <t>1809-03-01</t>
  </si>
  <si>
    <t>1825-04-16</t>
  </si>
  <si>
    <t>1828-03-15</t>
  </si>
  <si>
    <t>1819-02-11</t>
  </si>
  <si>
    <t>1821-09-20</t>
  </si>
  <si>
    <t>1811-07-16</t>
  </si>
  <si>
    <t>1828-05-31</t>
  </si>
  <si>
    <t>1835-10-03</t>
  </si>
  <si>
    <t>1812-12-04</t>
  </si>
  <si>
    <t>1808-08-30</t>
  </si>
  <si>
    <t>1821-12-11</t>
  </si>
  <si>
    <t>1828-10-04</t>
  </si>
  <si>
    <t>1814-09-04</t>
  </si>
  <si>
    <t>1817-08-05</t>
  </si>
  <si>
    <t>1813-09-01</t>
  </si>
  <si>
    <t>1829-12-04</t>
  </si>
  <si>
    <t>1829-07-30</t>
  </si>
  <si>
    <t>1813-10-29</t>
  </si>
  <si>
    <t>1802-04-23</t>
  </si>
  <si>
    <t>1829-10-30</t>
  </si>
  <si>
    <t>1807-11-03</t>
  </si>
  <si>
    <t>1816-01-03</t>
  </si>
  <si>
    <t>1829-01-29</t>
  </si>
  <si>
    <t>1823-12-02</t>
  </si>
  <si>
    <t>1825-10-28</t>
  </si>
  <si>
    <t>1826-09-05</t>
  </si>
  <si>
    <t>1805-09-02</t>
  </si>
  <si>
    <t>1824-01-19</t>
  </si>
  <si>
    <t>1813-03-30</t>
  </si>
  <si>
    <t>1814-06-16</t>
  </si>
  <si>
    <t>1821-01-24</t>
  </si>
  <si>
    <t>1808-08-15</t>
  </si>
  <si>
    <t>1815-09-27</t>
  </si>
  <si>
    <t>1812-02-03</t>
  </si>
  <si>
    <t>1817-10-27</t>
  </si>
  <si>
    <t>1816-07-30</t>
  </si>
  <si>
    <t>1821-11-26</t>
  </si>
  <si>
    <t>1826-11-12</t>
  </si>
  <si>
    <t>1822-12-20</t>
  </si>
  <si>
    <t>1816-08-27</t>
  </si>
  <si>
    <t>1815-01-15</t>
  </si>
  <si>
    <t>1812-08-06</t>
  </si>
  <si>
    <t>1815-04-03</t>
  </si>
  <si>
    <t>1833-10-18</t>
  </si>
  <si>
    <t>1806-09-18</t>
  </si>
  <si>
    <t>1819-10-11</t>
  </si>
  <si>
    <t>1820-10-28</t>
  </si>
  <si>
    <t>1822-09-08</t>
  </si>
  <si>
    <t>1829-03-09</t>
  </si>
  <si>
    <t>1828-10-16</t>
  </si>
  <si>
    <t>1802-02-26</t>
  </si>
  <si>
    <t>1812-06-21</t>
  </si>
  <si>
    <t>1800-01-28</t>
  </si>
  <si>
    <t>1826-03-01</t>
  </si>
  <si>
    <t>1819-05-29</t>
  </si>
  <si>
    <t>1804-05-29</t>
  </si>
  <si>
    <t>1820-09-02</t>
  </si>
  <si>
    <t>1812-10-16</t>
  </si>
  <si>
    <t>1833-08-07</t>
  </si>
  <si>
    <t>1810-09-04</t>
  </si>
  <si>
    <t>1819-07-17</t>
  </si>
  <si>
    <t>1813-08-09</t>
  </si>
  <si>
    <t>1806-04-27</t>
  </si>
  <si>
    <t>1812-09-23</t>
  </si>
  <si>
    <t>1817-05-24</t>
  </si>
  <si>
    <t>1808-02-17</t>
  </si>
  <si>
    <t>1821-11-11</t>
  </si>
  <si>
    <t>1830-10-03</t>
  </si>
  <si>
    <t>1807-05-11</t>
  </si>
  <si>
    <t>1816-10-21</t>
  </si>
  <si>
    <t>1799-11-07</t>
  </si>
  <si>
    <t>1815-12-09</t>
  </si>
  <si>
    <t>1817-12-08</t>
  </si>
  <si>
    <t>1806-11-16</t>
  </si>
  <si>
    <t>1821-03-30</t>
  </si>
  <si>
    <t>1833-01-29</t>
  </si>
  <si>
    <t>1803-11-21</t>
  </si>
  <si>
    <t>1818-10-26</t>
  </si>
  <si>
    <t>1816-01-13</t>
  </si>
  <si>
    <t>1820-04-14</t>
  </si>
  <si>
    <t>1807-07-25</t>
  </si>
  <si>
    <t>1816-10-15</t>
  </si>
  <si>
    <t>1804-01-26</t>
  </si>
  <si>
    <t>1822-06-02</t>
  </si>
  <si>
    <t>1818-01-26</t>
  </si>
  <si>
    <t>1821-09-08</t>
  </si>
  <si>
    <t>1806-01-10</t>
  </si>
  <si>
    <t>1824-04-10</t>
  </si>
  <si>
    <t>1810-05-27</t>
  </si>
  <si>
    <t>1821-09-01</t>
  </si>
  <si>
    <t>1835-11-24</t>
  </si>
  <si>
    <t>1831-09-09</t>
  </si>
  <si>
    <t>1815-04-11</t>
  </si>
  <si>
    <t>1816-08-20</t>
  </si>
  <si>
    <t>1808-12-11</t>
  </si>
  <si>
    <t>1820-10-30</t>
  </si>
  <si>
    <t>1825-07-01</t>
  </si>
  <si>
    <t>1831-11-17</t>
  </si>
  <si>
    <t>1834-01-01</t>
  </si>
  <si>
    <t>1834-11-04</t>
  </si>
  <si>
    <t>1821-01-22</t>
  </si>
  <si>
    <t>1812-09-29</t>
  </si>
  <si>
    <t>1825-10-18</t>
  </si>
  <si>
    <t>1819-01-15</t>
  </si>
  <si>
    <t>1818-02-17</t>
  </si>
  <si>
    <t>1836-01-21</t>
  </si>
  <si>
    <t>1831-07-07</t>
  </si>
  <si>
    <t>1827-10-17</t>
  </si>
  <si>
    <t>1821-07-29</t>
  </si>
  <si>
    <t>1827-01-29</t>
  </si>
  <si>
    <t>1809-01-22</t>
  </si>
  <si>
    <t>1815-06-24</t>
  </si>
  <si>
    <t>1813-03-08</t>
  </si>
  <si>
    <t>1814-10-16</t>
  </si>
  <si>
    <t>1810-09-29</t>
  </si>
  <si>
    <t>1806-05-11</t>
  </si>
  <si>
    <t>1808-02-21</t>
  </si>
  <si>
    <t>1822-02-02</t>
  </si>
  <si>
    <t>1820-05-03</t>
  </si>
  <si>
    <t>1816-07-27</t>
  </si>
  <si>
    <t>1821-11-10</t>
  </si>
  <si>
    <t>1809-03-28</t>
  </si>
  <si>
    <t>1827-03-23</t>
  </si>
  <si>
    <t>1826-08-09</t>
  </si>
  <si>
    <t>1812-05-09</t>
  </si>
  <si>
    <t>1833-08-20</t>
  </si>
  <si>
    <t>1824-12-01</t>
  </si>
  <si>
    <t>1835-09-23</t>
  </si>
  <si>
    <t>1836-09-29</t>
  </si>
  <si>
    <t>1823-01-05</t>
  </si>
  <si>
    <t>1830-02-22</t>
  </si>
  <si>
    <t>1817-03-09</t>
  </si>
  <si>
    <t>1837-03-15</t>
  </si>
  <si>
    <t>1826-02-19</t>
  </si>
  <si>
    <t>1823-11-02</t>
  </si>
  <si>
    <t>1818-06-03</t>
  </si>
  <si>
    <t>1825-12-22</t>
  </si>
  <si>
    <t>1809-08-29</t>
  </si>
  <si>
    <t>1837-06-01</t>
  </si>
  <si>
    <t>1827-07-15</t>
  </si>
  <si>
    <t>1819-09-23</t>
  </si>
  <si>
    <t>1828-04-08</t>
  </si>
  <si>
    <t>1810-03-19</t>
  </si>
  <si>
    <t>1819-02-09</t>
  </si>
  <si>
    <t>1820-02-25</t>
  </si>
  <si>
    <t>1809-06-27</t>
  </si>
  <si>
    <t>1824-03-11</t>
  </si>
  <si>
    <t>1815-10-17</t>
  </si>
  <si>
    <t>1823-08-24</t>
  </si>
  <si>
    <t>1831-02-22</t>
  </si>
  <si>
    <t>1821-01-17</t>
  </si>
  <si>
    <t>1817-03-21</t>
  </si>
  <si>
    <t>1818-01-13</t>
  </si>
  <si>
    <t>1834-01-17</t>
  </si>
  <si>
    <t>1816-05-05</t>
  </si>
  <si>
    <t>1809-03-02</t>
  </si>
  <si>
    <t>1807-04-12</t>
  </si>
  <si>
    <t>1819-11-19</t>
  </si>
  <si>
    <t>1817-11-26</t>
  </si>
  <si>
    <t>1813-05-17</t>
  </si>
  <si>
    <t>1828-06-18</t>
  </si>
  <si>
    <t>1812-04-12</t>
  </si>
  <si>
    <t>1827-10-04</t>
  </si>
  <si>
    <t>1830-05-12</t>
  </si>
  <si>
    <t>1827-10-15</t>
  </si>
  <si>
    <t>1816-08-30</t>
  </si>
  <si>
    <t>1827-02-06</t>
  </si>
  <si>
    <t>1811-01-10</t>
  </si>
  <si>
    <t>1829-10-15</t>
  </si>
  <si>
    <t>1836-05-17</t>
  </si>
  <si>
    <t>1804-11-21</t>
  </si>
  <si>
    <t>1825-02-16</t>
  </si>
  <si>
    <t>1821-11-21</t>
  </si>
  <si>
    <t>1810-10-22</t>
  </si>
  <si>
    <t>1831-04-13</t>
  </si>
  <si>
    <t>1827-04-09</t>
  </si>
  <si>
    <t>1820-02-28</t>
  </si>
  <si>
    <t>1807-11-16</t>
  </si>
  <si>
    <t>1817-07-12</t>
  </si>
  <si>
    <t>1837-04-02</t>
  </si>
  <si>
    <t>1841-02-21</t>
  </si>
  <si>
    <t>1826-11-13</t>
  </si>
  <si>
    <t>1840-05-10</t>
  </si>
  <si>
    <t>1828-11-22</t>
  </si>
  <si>
    <t>1820-03-06</t>
  </si>
  <si>
    <t>1832-01-20</t>
  </si>
  <si>
    <t>1819-05-11</t>
  </si>
  <si>
    <t>1826-08-31</t>
  </si>
  <si>
    <t>1829-01-15</t>
  </si>
  <si>
    <t>1841-05-18</t>
  </si>
  <si>
    <t>1811-07-03</t>
  </si>
  <si>
    <t>1822-01-12</t>
  </si>
  <si>
    <t>1838-08-01</t>
  </si>
  <si>
    <t>1834-09-22</t>
  </si>
  <si>
    <t>1815-08-22</t>
  </si>
  <si>
    <t>1827-08-21</t>
  </si>
  <si>
    <t>1840-04-29</t>
  </si>
  <si>
    <t>1821-02-17</t>
  </si>
  <si>
    <t>1840-11-05</t>
  </si>
  <si>
    <t>1831-09-10</t>
  </si>
  <si>
    <t>1821-10-09</t>
  </si>
  <si>
    <t>1840-01-28</t>
  </si>
  <si>
    <t>1831-10-13</t>
  </si>
  <si>
    <t>1835-08-31</t>
  </si>
  <si>
    <t>1839-09-13</t>
  </si>
  <si>
    <t>1828-03-03</t>
  </si>
  <si>
    <t>1816-04-02</t>
  </si>
  <si>
    <t>1821-03-20</t>
  </si>
  <si>
    <t>1825-03-17</t>
  </si>
  <si>
    <t>1839-04-04</t>
  </si>
  <si>
    <t>1833-07-23</t>
  </si>
  <si>
    <t>1817-03-26</t>
  </si>
  <si>
    <t>1845-05-19</t>
  </si>
  <si>
    <t>1839-02-16</t>
  </si>
  <si>
    <t>1820-04-01</t>
  </si>
  <si>
    <t>1845-01-09</t>
  </si>
  <si>
    <t>1828-07-21</t>
  </si>
  <si>
    <t>1807-11-02</t>
  </si>
  <si>
    <t>1819-01-04</t>
  </si>
  <si>
    <t>1823-01-25</t>
  </si>
  <si>
    <t>1818-09-03</t>
  </si>
  <si>
    <t>1827-12-10</t>
  </si>
  <si>
    <t>1822-04-28</t>
  </si>
  <si>
    <t>1832-08-16</t>
  </si>
  <si>
    <t>1843-03-25</t>
  </si>
  <si>
    <t>1836-06-03</t>
  </si>
  <si>
    <t>1806-09-12</t>
  </si>
  <si>
    <t>1810-05-07</t>
  </si>
  <si>
    <t>1840-06-30</t>
  </si>
  <si>
    <t>1833-09-30</t>
  </si>
  <si>
    <t>1832-10-11</t>
  </si>
  <si>
    <t>1846-06-04</t>
  </si>
  <si>
    <t>1830-12-13</t>
  </si>
  <si>
    <t>1834-07-27</t>
  </si>
  <si>
    <t>1825-10-05</t>
  </si>
  <si>
    <t>1831-07-02</t>
  </si>
  <si>
    <t>1826-09-29</t>
  </si>
  <si>
    <t>1845-01-13</t>
  </si>
  <si>
    <t>1832-01-28</t>
  </si>
  <si>
    <t>1843-09-29</t>
  </si>
  <si>
    <t>1818-08-02</t>
  </si>
  <si>
    <t>1821-09-17</t>
  </si>
  <si>
    <t>1820-08-08</t>
  </si>
  <si>
    <t>1836-07-13</t>
  </si>
  <si>
    <t>1839-02-08</t>
  </si>
  <si>
    <t>1836-05-08</t>
  </si>
  <si>
    <t>1831-11-01</t>
  </si>
  <si>
    <t>1814-12-17</t>
  </si>
  <si>
    <t>1810-09-06</t>
  </si>
  <si>
    <t>1829-12-01</t>
  </si>
  <si>
    <t>1831-11-26</t>
  </si>
  <si>
    <t>1834-04-15</t>
  </si>
  <si>
    <t>1824-09-15</t>
  </si>
  <si>
    <t>1837-05-23</t>
  </si>
  <si>
    <t>1841-09-08</t>
  </si>
  <si>
    <t>1840-01-09</t>
  </si>
  <si>
    <t>1833-02-28</t>
  </si>
  <si>
    <t>1844-12-06</t>
  </si>
  <si>
    <t>1814-07-30</t>
  </si>
  <si>
    <t>1825-10-14</t>
  </si>
  <si>
    <t>1836-03-17</t>
  </si>
  <si>
    <t>1846-06-07</t>
  </si>
  <si>
    <t>1815-05-20</t>
  </si>
  <si>
    <t>1824-06-27</t>
  </si>
  <si>
    <t>1833-08-28</t>
  </si>
  <si>
    <t>1827-08-03</t>
  </si>
  <si>
    <t>1834-02-17</t>
  </si>
  <si>
    <t>1817-04-04</t>
  </si>
  <si>
    <t>1836-05-20</t>
  </si>
  <si>
    <t>1839-03-07</t>
  </si>
  <si>
    <t>1839-01-23</t>
  </si>
  <si>
    <t>1845-10-19</t>
  </si>
  <si>
    <t>1834-11-28</t>
  </si>
  <si>
    <t>1832-11-19</t>
  </si>
  <si>
    <t>1831-01-07</t>
  </si>
  <si>
    <t>1838-10-24</t>
  </si>
  <si>
    <t>1841-04-20</t>
  </si>
  <si>
    <t>1835-12-17</t>
  </si>
  <si>
    <t>1840-06-22</t>
  </si>
  <si>
    <t>1849-01-27</t>
  </si>
  <si>
    <t>1826-10-17</t>
  </si>
  <si>
    <t>1828-12-09</t>
  </si>
  <si>
    <t>1834-01-16</t>
  </si>
  <si>
    <t>1821-02-20</t>
  </si>
  <si>
    <t>1843-10-09</t>
  </si>
  <si>
    <t>1845-05-18</t>
  </si>
  <si>
    <t>1826-02-26</t>
  </si>
  <si>
    <t>1836-12-08</t>
  </si>
  <si>
    <t>1835-07-30</t>
  </si>
  <si>
    <t>1845-09-02</t>
  </si>
  <si>
    <t>1833-11-15</t>
  </si>
  <si>
    <t>1838-01-05</t>
  </si>
  <si>
    <t>1832-09-29</t>
  </si>
  <si>
    <t>1831-10-06</t>
  </si>
  <si>
    <t>1838-03-07</t>
  </si>
  <si>
    <t>1835-03-12</t>
  </si>
  <si>
    <t>1834-10-18</t>
  </si>
  <si>
    <t>1826-07-02</t>
  </si>
  <si>
    <t>1842-07-27</t>
  </si>
  <si>
    <t>1847-07-03</t>
  </si>
  <si>
    <t>1843-10-01</t>
  </si>
  <si>
    <t>1832-08-11</t>
  </si>
  <si>
    <t>1847-09-27</t>
  </si>
  <si>
    <t>1834-09-02</t>
  </si>
  <si>
    <t>1841-12-18</t>
  </si>
  <si>
    <t>1846-12-22</t>
  </si>
  <si>
    <t>1840-07-20</t>
  </si>
  <si>
    <t>1837-11-13</t>
  </si>
  <si>
    <t>1819-03-16</t>
  </si>
  <si>
    <t>1842-11-05</t>
  </si>
  <si>
    <t>1843-11-16</t>
  </si>
  <si>
    <t>1838-02-22</t>
  </si>
  <si>
    <t>1832-09-01</t>
  </si>
  <si>
    <t>1842-10-05</t>
  </si>
  <si>
    <t>1843-07-10</t>
  </si>
  <si>
    <t>1833-07-16</t>
  </si>
  <si>
    <t>1832-12-10</t>
  </si>
  <si>
    <t>1821-05-29</t>
  </si>
  <si>
    <t>1826-11-30</t>
  </si>
  <si>
    <t>1851-07-29</t>
  </si>
  <si>
    <t>1849-02-27</t>
  </si>
  <si>
    <t>1842-04-24</t>
  </si>
  <si>
    <t>1845-09-06</t>
  </si>
  <si>
    <t>1850-07-12</t>
  </si>
  <si>
    <t>1832-11-11</t>
  </si>
  <si>
    <t>1839-11-30</t>
  </si>
  <si>
    <t>1849-01-01</t>
  </si>
  <si>
    <t>1822-07-05</t>
  </si>
  <si>
    <t>1830-01-05</t>
  </si>
  <si>
    <t>1831-10-19</t>
  </si>
  <si>
    <t>1831-08-30</t>
  </si>
  <si>
    <t>1855-01-11</t>
  </si>
  <si>
    <t>1834-08-25</t>
  </si>
  <si>
    <t>1845-08-31</t>
  </si>
  <si>
    <t>1825-05-23</t>
  </si>
  <si>
    <t>1828-04-06</t>
  </si>
  <si>
    <t>1847-05-30</t>
  </si>
  <si>
    <t>1842-04-19</t>
  </si>
  <si>
    <t>1828-07-06</t>
  </si>
  <si>
    <t>1850-02-13</t>
  </si>
  <si>
    <t>1848-10-23</t>
  </si>
  <si>
    <t>1851-03-15</t>
  </si>
  <si>
    <t>1842-02-11</t>
  </si>
  <si>
    <t>1846-06-10</t>
  </si>
  <si>
    <t>1830-03-16</t>
  </si>
  <si>
    <t>1840-11-09</t>
  </si>
  <si>
    <t>1846-10-03</t>
  </si>
  <si>
    <t>1848-03-13</t>
  </si>
  <si>
    <t>1848-06-26</t>
  </si>
  <si>
    <t>1841-12-14</t>
  </si>
  <si>
    <t>1847-10-15</t>
  </si>
  <si>
    <t>1852-04-02</t>
  </si>
  <si>
    <t>1836-08-18</t>
  </si>
  <si>
    <t>1840-10-04</t>
  </si>
  <si>
    <t>1850-05-16</t>
  </si>
  <si>
    <t>1839-09-27</t>
  </si>
  <si>
    <t>1852-07-17</t>
  </si>
  <si>
    <t>1858-11-10</t>
  </si>
  <si>
    <t>1834-06-23</t>
  </si>
  <si>
    <t>1853-06-24</t>
  </si>
  <si>
    <t>1835-07-25</t>
  </si>
  <si>
    <t>1851-11-04</t>
  </si>
  <si>
    <t>1857-04-30</t>
  </si>
  <si>
    <t>1848-01-15</t>
  </si>
  <si>
    <t>1847-11-11</t>
  </si>
  <si>
    <t>1841-10-02</t>
  </si>
  <si>
    <t>1845-01-05</t>
  </si>
  <si>
    <t>1838-04-29</t>
  </si>
  <si>
    <t>1854-01-09</t>
  </si>
  <si>
    <t>1850-03-30</t>
  </si>
  <si>
    <t>1850-04-19</t>
  </si>
  <si>
    <t>1855-07-13</t>
  </si>
  <si>
    <t>1844-03-17</t>
  </si>
  <si>
    <t>1835-04-26</t>
  </si>
  <si>
    <t>1840-01-10</t>
  </si>
  <si>
    <t>1837-08-18</t>
  </si>
  <si>
    <t>1836-01-12</t>
  </si>
  <si>
    <t>1849-10-30</t>
  </si>
  <si>
    <t>1833-06-20</t>
  </si>
  <si>
    <t>1838-10-02</t>
  </si>
  <si>
    <t>1834-03-15</t>
  </si>
  <si>
    <t>1844-08-16</t>
  </si>
  <si>
    <t>1833-04-26</t>
  </si>
  <si>
    <t>1834-07-28</t>
  </si>
  <si>
    <t>1829-05-25</t>
  </si>
  <si>
    <t>1836-01-07</t>
  </si>
  <si>
    <t>1843-11-24</t>
  </si>
  <si>
    <t>1852-10-07</t>
  </si>
  <si>
    <t>1849-04-09</t>
  </si>
  <si>
    <t>1834-06-30</t>
  </si>
  <si>
    <t>1836-03-29</t>
  </si>
  <si>
    <t>1850-01-19</t>
  </si>
  <si>
    <t>1856-10-18</t>
  </si>
  <si>
    <t>1860-11-07</t>
  </si>
  <si>
    <t>1861-04-26</t>
  </si>
  <si>
    <t>1849-12-24</t>
  </si>
  <si>
    <t>1854-01-05</t>
  </si>
  <si>
    <t>1837-08-09</t>
  </si>
  <si>
    <t>1836-08-15</t>
  </si>
  <si>
    <t>1843-11-11</t>
  </si>
  <si>
    <t>1848-10-25</t>
  </si>
  <si>
    <t>1858-11-28</t>
  </si>
  <si>
    <t>1839-11-11</t>
  </si>
  <si>
    <t>1855-08-03</t>
  </si>
  <si>
    <t>1834-11-23</t>
  </si>
  <si>
    <t>1851-10-14</t>
  </si>
  <si>
    <t>1848-12-05</t>
  </si>
  <si>
    <t>1839-07-11</t>
  </si>
  <si>
    <t>1850-09-03</t>
  </si>
  <si>
    <t>1854-04-02</t>
  </si>
  <si>
    <t>1861-04-13</t>
  </si>
  <si>
    <t>1845-10-24</t>
  </si>
  <si>
    <t>1862-06-16</t>
  </si>
  <si>
    <t>1849-04-25</t>
  </si>
  <si>
    <t>1857-03-11</t>
  </si>
  <si>
    <t>1844-02-11</t>
  </si>
  <si>
    <t>1848-10-18</t>
  </si>
  <si>
    <t>1860-09-23</t>
  </si>
  <si>
    <t>1854-05-25</t>
  </si>
  <si>
    <t>1865-04-09</t>
  </si>
  <si>
    <t>1851-03-25</t>
  </si>
  <si>
    <t>1855-03-27</t>
  </si>
  <si>
    <t>1861-12-22</t>
  </si>
  <si>
    <t>1854-05-13</t>
  </si>
  <si>
    <t>1854-11-26</t>
  </si>
  <si>
    <t>1848-02-28</t>
  </si>
  <si>
    <t>1842-06-08</t>
  </si>
  <si>
    <t>1848-10-08</t>
  </si>
  <si>
    <t>1839-04-03</t>
  </si>
  <si>
    <t>1861-03-01</t>
  </si>
  <si>
    <t>1844-11-10</t>
  </si>
  <si>
    <t>1854-06-21</t>
  </si>
  <si>
    <t>1848-12-01</t>
  </si>
  <si>
    <t>1850-09-14</t>
  </si>
  <si>
    <t>1854-03-05</t>
  </si>
  <si>
    <t>1859-08-29</t>
  </si>
  <si>
    <t>1852-12-24</t>
  </si>
  <si>
    <t>1846-10-12</t>
  </si>
  <si>
    <t>1844-02-18</t>
  </si>
  <si>
    <t>1850-01-11</t>
  </si>
  <si>
    <t>1853-05-01</t>
  </si>
  <si>
    <t>1884-06-21</t>
  </si>
  <si>
    <t>1856-07-14</t>
  </si>
  <si>
    <t>1851-07-02</t>
  </si>
  <si>
    <t>1852-12-16</t>
  </si>
  <si>
    <t>1858-03-31</t>
  </si>
  <si>
    <t>1844-05-01</t>
  </si>
  <si>
    <t>1853-09-01</t>
  </si>
  <si>
    <t>1847-07-28</t>
  </si>
  <si>
    <t>1853-01-21</t>
  </si>
  <si>
    <t>1867-04-23</t>
  </si>
  <si>
    <t>1852-01-29</t>
  </si>
  <si>
    <t>1848-11-29</t>
  </si>
  <si>
    <t>1848-07-04</t>
  </si>
  <si>
    <t>1858-06-06</t>
  </si>
  <si>
    <t>1864-12-15</t>
  </si>
  <si>
    <t>1836-09-07</t>
  </si>
  <si>
    <t>1868-09-02</t>
  </si>
  <si>
    <t>1853-08-18</t>
  </si>
  <si>
    <t>1845-06-17</t>
  </si>
  <si>
    <t>1853-10-31</t>
  </si>
  <si>
    <t>1862-01-13</t>
  </si>
  <si>
    <t>1864-07-30</t>
  </si>
  <si>
    <t>1864-02-17</t>
  </si>
  <si>
    <t>1851-12-16</t>
  </si>
  <si>
    <t>1856-10-14</t>
  </si>
  <si>
    <t>1866-06-16</t>
  </si>
  <si>
    <t>1858-12-21</t>
  </si>
  <si>
    <t>1853-01-01</t>
  </si>
  <si>
    <t>1852-11-10</t>
  </si>
  <si>
    <t>1861-08-06</t>
  </si>
  <si>
    <t>1845-01-31</t>
  </si>
  <si>
    <t>1855-11-12</t>
  </si>
  <si>
    <t>1868-08-17</t>
  </si>
  <si>
    <t>1869-09-22</t>
  </si>
  <si>
    <t>1865-02-10</t>
  </si>
  <si>
    <t>1854-09-12</t>
  </si>
  <si>
    <t>1853-07-15</t>
  </si>
  <si>
    <t>1861-06-28</t>
  </si>
  <si>
    <t>1878-01-20</t>
  </si>
  <si>
    <t>1849-09-16</t>
  </si>
  <si>
    <t>1863-10-28</t>
  </si>
  <si>
    <t>1871-06-03</t>
  </si>
  <si>
    <t>1849-03-19</t>
  </si>
  <si>
    <t>1847-10-05</t>
  </si>
  <si>
    <t>1857-05-22</t>
  </si>
  <si>
    <t>1867-09-02</t>
  </si>
  <si>
    <t>1855-10-06</t>
  </si>
  <si>
    <t>1852-05-20</t>
  </si>
  <si>
    <t>1858-10-29</t>
  </si>
  <si>
    <t>1862-06-07</t>
  </si>
  <si>
    <t>1845-12-11</t>
  </si>
  <si>
    <t>1872-04-24</t>
  </si>
  <si>
    <t>1861-08-12</t>
  </si>
  <si>
    <t>1860-08-31</t>
  </si>
  <si>
    <t>1868-10-06</t>
  </si>
  <si>
    <t>1856-11-05</t>
  </si>
  <si>
    <t>1856-05-31</t>
  </si>
  <si>
    <t>1859-12-29</t>
  </si>
  <si>
    <t>1874-01-06</t>
  </si>
  <si>
    <t>1862-02-09</t>
  </si>
  <si>
    <t>1857-02-21</t>
  </si>
  <si>
    <t>1871-12-20</t>
  </si>
  <si>
    <t>1858-08-29</t>
  </si>
  <si>
    <t>1852-02-05</t>
  </si>
  <si>
    <t>1862-06-06</t>
  </si>
  <si>
    <t>1867-09-22</t>
  </si>
  <si>
    <t>1877-01-19</t>
  </si>
  <si>
    <t>1852-03-20</t>
  </si>
  <si>
    <t>1870-03-24</t>
  </si>
  <si>
    <t>1869-05-27</t>
  </si>
  <si>
    <t>1864-08-10</t>
  </si>
  <si>
    <t>1860-12-23</t>
  </si>
  <si>
    <t>1864-12-07</t>
  </si>
  <si>
    <t>1876-12-15</t>
  </si>
  <si>
    <t>1871-03-06</t>
  </si>
  <si>
    <t>1845-06-27</t>
  </si>
  <si>
    <t>1856-04-14</t>
  </si>
  <si>
    <t>1863-04-03</t>
  </si>
  <si>
    <t>1869-12-19</t>
  </si>
  <si>
    <t>1879-06-12</t>
  </si>
  <si>
    <t>1858-11-21</t>
  </si>
  <si>
    <t>1877-07-27</t>
  </si>
  <si>
    <t>1862-01-15</t>
  </si>
  <si>
    <t>1846-10-15</t>
  </si>
  <si>
    <t>1865-10-30</t>
  </si>
  <si>
    <t>1857-01-26</t>
  </si>
  <si>
    <t>1871-05-29</t>
  </si>
  <si>
    <t>1861-10-12</t>
  </si>
  <si>
    <t>1854-05-17</t>
  </si>
  <si>
    <t>1862-04-26</t>
  </si>
  <si>
    <t>1857-06-16</t>
  </si>
  <si>
    <t>1874-01-11</t>
  </si>
  <si>
    <t>1863-05-11</t>
  </si>
  <si>
    <t>1858-06-07</t>
  </si>
  <si>
    <t>1852-09-07</t>
  </si>
  <si>
    <t>1876-03-27</t>
  </si>
  <si>
    <t>1869-08-16</t>
  </si>
  <si>
    <t>1859-02-12</t>
  </si>
  <si>
    <t>1860-01-27</t>
  </si>
  <si>
    <t>1855-05-13</t>
  </si>
  <si>
    <t>1857-09-07</t>
  </si>
  <si>
    <t>1867-04-21</t>
  </si>
  <si>
    <t>1863-01-15</t>
  </si>
  <si>
    <t>1873-07-01</t>
  </si>
  <si>
    <t>1866-09-03</t>
  </si>
  <si>
    <t>1860-11-23</t>
  </si>
  <si>
    <t>1869-11-03</t>
  </si>
  <si>
    <t>1869-06-02</t>
  </si>
  <si>
    <t>1874-03-04</t>
  </si>
  <si>
    <t>1859-04-04</t>
  </si>
  <si>
    <t>1860-10-12</t>
  </si>
  <si>
    <t>1853-07-01</t>
  </si>
  <si>
    <t>1861-03-18</t>
  </si>
  <si>
    <t>1860-10-13</t>
  </si>
  <si>
    <t>1864-06-22</t>
  </si>
  <si>
    <t>1875-08-08</t>
  </si>
  <si>
    <t>1878-12-29</t>
  </si>
  <si>
    <t>1876-10-28</t>
  </si>
  <si>
    <t>1860-12-19</t>
  </si>
  <si>
    <t>1854-12-04</t>
  </si>
  <si>
    <t>1865-04-11</t>
  </si>
  <si>
    <t>1877-10-31</t>
  </si>
  <si>
    <t>1836-04-19</t>
  </si>
  <si>
    <t>1873-07-21</t>
  </si>
  <si>
    <t>1880-02-15</t>
  </si>
  <si>
    <t>1874-08-02</t>
  </si>
  <si>
    <t>1864-07-03</t>
  </si>
  <si>
    <t>1860-03-10</t>
  </si>
  <si>
    <t>1857-11-25</t>
  </si>
  <si>
    <t>1856-11-24</t>
  </si>
  <si>
    <t>1870-10-08</t>
  </si>
  <si>
    <t>1874-05-03</t>
  </si>
  <si>
    <t>1871-04-07</t>
  </si>
  <si>
    <t>1871-04-15</t>
  </si>
  <si>
    <t>1865-09-25</t>
  </si>
  <si>
    <t>1855-02-14</t>
  </si>
  <si>
    <t>1863-04-13</t>
  </si>
  <si>
    <t>1864-02-02</t>
  </si>
  <si>
    <t>1866-07-07</t>
  </si>
  <si>
    <t>1881-08-14</t>
  </si>
  <si>
    <t>1884-03-16</t>
  </si>
  <si>
    <t>1873-06-27</t>
  </si>
  <si>
    <t>1867-12-09</t>
  </si>
  <si>
    <t>1874-06-05</t>
  </si>
  <si>
    <t>1864-10-16</t>
  </si>
  <si>
    <t>1869-11-23</t>
  </si>
  <si>
    <t>1865-12-11</t>
  </si>
  <si>
    <t>1870-07-14</t>
  </si>
  <si>
    <t>1875-08-06</t>
  </si>
  <si>
    <t>1879-09-19</t>
  </si>
  <si>
    <t>1883-06-15</t>
  </si>
  <si>
    <t>1867-12-12</t>
  </si>
  <si>
    <t>1868-04-27</t>
  </si>
  <si>
    <t>1867-08-07</t>
  </si>
  <si>
    <t>1859-03-24</t>
  </si>
  <si>
    <t>1861-10-20</t>
  </si>
  <si>
    <t>1870-12-09</t>
  </si>
  <si>
    <t>1862-02-13</t>
  </si>
  <si>
    <t>1875-11-10</t>
  </si>
  <si>
    <t>1870-08-13</t>
  </si>
  <si>
    <t>1865-03-31</t>
  </si>
  <si>
    <t>1876-01-23</t>
  </si>
  <si>
    <t>1866-01-06</t>
  </si>
  <si>
    <t>1875-11-17</t>
  </si>
  <si>
    <t>1870-03-14</t>
  </si>
  <si>
    <t>1874-09-03</t>
  </si>
  <si>
    <t>1862-08-05</t>
  </si>
  <si>
    <t>1869-04-25</t>
  </si>
  <si>
    <t>1878-12-01</t>
  </si>
  <si>
    <t>1872-09-02</t>
  </si>
  <si>
    <t>1887-08-12</t>
  </si>
  <si>
    <t>1855-11-10</t>
  </si>
  <si>
    <t>1882-01-10</t>
  </si>
  <si>
    <t>1866-09-17</t>
  </si>
  <si>
    <t>1868-06-07</t>
  </si>
  <si>
    <t>1875-05-02</t>
  </si>
  <si>
    <t>1869-05-02</t>
  </si>
  <si>
    <t>1876-02-01</t>
  </si>
  <si>
    <t>1889-10-17</t>
  </si>
  <si>
    <t>1879-12-05</t>
  </si>
  <si>
    <t>1878-11-28</t>
  </si>
  <si>
    <t>1863-11-04</t>
  </si>
  <si>
    <t>1871-03-08</t>
  </si>
  <si>
    <t>1865-07-03</t>
  </si>
  <si>
    <t>1884-07-19</t>
  </si>
  <si>
    <t>1865-05-03</t>
  </si>
  <si>
    <t>1876-01-16</t>
  </si>
  <si>
    <t>1875-07-27</t>
  </si>
  <si>
    <t>1858-01-21</t>
  </si>
  <si>
    <t>1867-10-27</t>
  </si>
  <si>
    <t>1866-07-17</t>
  </si>
  <si>
    <t>1880-03-29</t>
  </si>
  <si>
    <t>1890-02-28</t>
  </si>
  <si>
    <t>1883-08-11</t>
  </si>
  <si>
    <t>1875-06-12</t>
  </si>
  <si>
    <t>1876-12-12</t>
  </si>
  <si>
    <t>1890-07-01</t>
  </si>
  <si>
    <t>1872-08-22</t>
  </si>
  <si>
    <t>1867-04-26</t>
  </si>
  <si>
    <t>1880-09-29</t>
  </si>
  <si>
    <t>1862-03-11</t>
  </si>
  <si>
    <t>1870-01-25</t>
  </si>
  <si>
    <t>1868-10-11</t>
  </si>
  <si>
    <t>1892-12-22</t>
  </si>
  <si>
    <t>1878-10-19</t>
  </si>
  <si>
    <t>1860-05-25</t>
  </si>
  <si>
    <t>1871-01-29</t>
  </si>
  <si>
    <t>1886-11-28</t>
  </si>
  <si>
    <t>1866-12-16</t>
  </si>
  <si>
    <t>1879-11-11</t>
  </si>
  <si>
    <t>1888-07-23</t>
  </si>
  <si>
    <t>1876-10-10</t>
  </si>
  <si>
    <t>1872-09-24</t>
  </si>
  <si>
    <t>1881-11-30</t>
  </si>
  <si>
    <t>1883-09-19</t>
  </si>
  <si>
    <t>1881-01-01</t>
  </si>
  <si>
    <t>1864-05-16</t>
  </si>
  <si>
    <t>1858-11-20</t>
  </si>
  <si>
    <t>1872-03-01</t>
  </si>
  <si>
    <t>1886-09-17</t>
  </si>
  <si>
    <t>1870-10-24</t>
  </si>
  <si>
    <t>1878-01-24</t>
  </si>
  <si>
    <t>1873-06-29</t>
  </si>
  <si>
    <t>1879-03-21</t>
  </si>
  <si>
    <t>1875-10-26</t>
  </si>
  <si>
    <t>1885-04-26</t>
  </si>
  <si>
    <t>1863-04-12</t>
  </si>
  <si>
    <t>1893-02-22</t>
  </si>
  <si>
    <t>1879-12-08</t>
  </si>
  <si>
    <t>1885-08-21</t>
  </si>
  <si>
    <t>1878-11-17</t>
  </si>
  <si>
    <t>1885-05-02</t>
  </si>
  <si>
    <t>1880-03-20</t>
  </si>
  <si>
    <t>1888-03-15</t>
  </si>
  <si>
    <t>1874-12-20</t>
  </si>
  <si>
    <t>1878-03-29</t>
  </si>
  <si>
    <t>1879-09-21</t>
  </si>
  <si>
    <t>1879-06-10</t>
  </si>
  <si>
    <t>1880-02-18</t>
  </si>
  <si>
    <t>1879-02-12</t>
  </si>
  <si>
    <t>1881-08-06</t>
  </si>
  <si>
    <t>1894-07-15</t>
  </si>
  <si>
    <t>1882-10-25</t>
  </si>
  <si>
    <t>1881-05-03</t>
  </si>
  <si>
    <t>1884-07-12</t>
  </si>
  <si>
    <t>1890-01-25</t>
  </si>
  <si>
    <t>1886-08-05</t>
  </si>
  <si>
    <t>1887-03-07</t>
  </si>
  <si>
    <t>1891-12-30</t>
  </si>
  <si>
    <t>1874-04-18</t>
  </si>
  <si>
    <t>1877-01-02</t>
  </si>
  <si>
    <t>1868-05-31</t>
  </si>
  <si>
    <t>1874-05-27</t>
  </si>
  <si>
    <t>1874-11-18</t>
  </si>
  <si>
    <t>1890-11-20</t>
  </si>
  <si>
    <t>1888-04-05</t>
  </si>
  <si>
    <t>1896-03-18</t>
  </si>
  <si>
    <t>1884-12-26</t>
  </si>
  <si>
    <t>1882-07-20</t>
  </si>
  <si>
    <t>1882-02-01</t>
  </si>
  <si>
    <t>1888-05-06</t>
  </si>
  <si>
    <t>1874-08-04</t>
  </si>
  <si>
    <t>1878-03-31</t>
  </si>
  <si>
    <t>1892-01-07</t>
  </si>
  <si>
    <t>1891-11-13</t>
  </si>
  <si>
    <t>1887-01-17</t>
  </si>
  <si>
    <t>1877-06-01</t>
  </si>
  <si>
    <t>1880-06-09</t>
  </si>
  <si>
    <t>1942-06-15</t>
  </si>
  <si>
    <t>1944-02-26</t>
  </si>
  <si>
    <t>1914-01-04</t>
  </si>
  <si>
    <t>1916-06-03</t>
  </si>
  <si>
    <t>1916-03-19</t>
  </si>
  <si>
    <t>1921-04-25</t>
  </si>
  <si>
    <t>1945-03-15</t>
  </si>
  <si>
    <t>1944-06-09</t>
  </si>
  <si>
    <t>1937-08-21</t>
  </si>
  <si>
    <t>1917-09-18</t>
  </si>
  <si>
    <t>1931-04-23</t>
  </si>
  <si>
    <t>1913-06-25</t>
  </si>
  <si>
    <t>1922-02-03</t>
  </si>
  <si>
    <t>1931-12-20</t>
  </si>
  <si>
    <t>1920-09-26</t>
  </si>
  <si>
    <t>1926-04-04</t>
  </si>
  <si>
    <t>1923-12-04</t>
  </si>
  <si>
    <t>1949-07-25</t>
  </si>
  <si>
    <t>1934-10-09</t>
  </si>
  <si>
    <t>1928-02-11</t>
  </si>
  <si>
    <t>1933-03-20</t>
  </si>
  <si>
    <t>1918-01-23</t>
  </si>
  <si>
    <t>1915-05-12</t>
  </si>
  <si>
    <t>1916-08-12</t>
  </si>
  <si>
    <t>1919-03-22</t>
  </si>
  <si>
    <t>1955-08-28</t>
  </si>
  <si>
    <t>1948-09-23</t>
  </si>
  <si>
    <t>1953-03-26</t>
  </si>
  <si>
    <t>1960-02-25</t>
  </si>
  <si>
    <t>1926-08-28</t>
  </si>
  <si>
    <t>1915-04-09</t>
  </si>
  <si>
    <t>1911-05-20</t>
  </si>
  <si>
    <t>1956-11-30</t>
  </si>
  <si>
    <t>1930-03-16</t>
  </si>
  <si>
    <t>1932-01-24</t>
  </si>
  <si>
    <t>1944-10-24</t>
  </si>
  <si>
    <t>1930-12-02</t>
  </si>
  <si>
    <t>1937-12-13</t>
  </si>
  <si>
    <t>1925-09-27</t>
  </si>
  <si>
    <t>1912-06-06</t>
  </si>
  <si>
    <t>1928-09-10</t>
  </si>
  <si>
    <t>1919-09-19</t>
  </si>
  <si>
    <t>1937-02-15</t>
  </si>
  <si>
    <t>1923-04-13</t>
  </si>
  <si>
    <t>1957-05-28</t>
  </si>
  <si>
    <t>1925-09-17</t>
  </si>
  <si>
    <t>1961-03-08</t>
  </si>
  <si>
    <t>1929-02-27</t>
  </si>
  <si>
    <t>1926-05-13</t>
  </si>
  <si>
    <t>1931-01-08</t>
  </si>
  <si>
    <t>1933-10-25</t>
  </si>
  <si>
    <t>1918-08-18</t>
  </si>
  <si>
    <t>1919-11-11</t>
  </si>
  <si>
    <t>1940-12-02</t>
  </si>
  <si>
    <t>1936-03-30</t>
  </si>
  <si>
    <t>1927-07-03</t>
  </si>
  <si>
    <t>1935-11-16</t>
  </si>
  <si>
    <t>1935-06-11</t>
  </si>
  <si>
    <t>1940-08-02</t>
  </si>
  <si>
    <t>1932-03-07</t>
  </si>
  <si>
    <t>1921-08-26</t>
  </si>
  <si>
    <t>1923-08-01</t>
  </si>
  <si>
    <t>1943-02-07</t>
  </si>
  <si>
    <t>1926-11-17</t>
  </si>
  <si>
    <t>1938-08-26</t>
  </si>
  <si>
    <t>1930-08-01</t>
  </si>
  <si>
    <t>1944-11-21</t>
  </si>
  <si>
    <t>1946-10-25</t>
  </si>
  <si>
    <t>1960-12-24</t>
  </si>
  <si>
    <t>1941-11-25</t>
  </si>
  <si>
    <t>1932-03-12</t>
  </si>
  <si>
    <t>1954-08-24</t>
  </si>
  <si>
    <t>1911-04-13</t>
  </si>
  <si>
    <t>1923-12-11</t>
  </si>
  <si>
    <t>1920-12-22</t>
  </si>
  <si>
    <t>1968-03-01</t>
  </si>
  <si>
    <t>1933-07-20</t>
  </si>
  <si>
    <t>1925-02-24</t>
  </si>
  <si>
    <t>1968-02-11</t>
  </si>
  <si>
    <t>1932-01-27</t>
  </si>
  <si>
    <t>1944-04-24</t>
  </si>
  <si>
    <t>1915-01-20</t>
  </si>
  <si>
    <t>1936-04-14</t>
  </si>
  <si>
    <t>1914-07-14</t>
  </si>
  <si>
    <t>1925-03-20</t>
  </si>
  <si>
    <t>1936-12-25</t>
  </si>
  <si>
    <t>1914-07-13</t>
  </si>
  <si>
    <t>1910-07-06</t>
  </si>
  <si>
    <t>1914-08-08</t>
  </si>
  <si>
    <t>1922-03-24</t>
  </si>
  <si>
    <t>1926-12-09</t>
  </si>
  <si>
    <t>1920-09-09</t>
  </si>
  <si>
    <t>1946-12-10</t>
  </si>
  <si>
    <t>1941-08-03</t>
  </si>
  <si>
    <t>1950-12-04</t>
  </si>
  <si>
    <t>1938-02-11</t>
  </si>
  <si>
    <t>1932-09-23</t>
  </si>
  <si>
    <t>1931-09-29</t>
  </si>
  <si>
    <t>1913-08-30</t>
  </si>
  <si>
    <t>1933-12-12</t>
  </si>
  <si>
    <t>1933-10-16</t>
  </si>
  <si>
    <t>1925-06-03</t>
  </si>
  <si>
    <t>1949-04-27</t>
  </si>
  <si>
    <t>1936-05-06</t>
  </si>
  <si>
    <t>1917-03-30</t>
  </si>
  <si>
    <t>1949-06-13</t>
  </si>
  <si>
    <t>1935-01-17</t>
  </si>
  <si>
    <t>1958-04-26</t>
  </si>
  <si>
    <t>1918-02-26</t>
  </si>
  <si>
    <t>1927-12-07</t>
  </si>
  <si>
    <t>1970-05-04</t>
  </si>
  <si>
    <t>1916-01-31</t>
  </si>
  <si>
    <t>1925-04-18</t>
  </si>
  <si>
    <t>1927-12-21</t>
  </si>
  <si>
    <t>1923-02-22</t>
  </si>
  <si>
    <t>1917-09-05</t>
  </si>
  <si>
    <t>1945-02-21</t>
  </si>
  <si>
    <t>1929-01-25</t>
  </si>
  <si>
    <t>1943-10-12</t>
  </si>
  <si>
    <t>1922-04-28</t>
  </si>
  <si>
    <t>1927-04-30</t>
  </si>
  <si>
    <t>1917-02-11</t>
  </si>
  <si>
    <t>1946-08-19</t>
  </si>
  <si>
    <t>1932-05-20</t>
  </si>
  <si>
    <t>1914-12-22</t>
  </si>
  <si>
    <t>1952-08-03</t>
  </si>
  <si>
    <t>1933-05-30</t>
  </si>
  <si>
    <t>1935-02-07</t>
  </si>
  <si>
    <t>1916-02-22</t>
  </si>
  <si>
    <t>1913-09-27</t>
  </si>
  <si>
    <t>1911-04-25</t>
  </si>
  <si>
    <t>1956-06-15</t>
  </si>
  <si>
    <t>1915-07-27</t>
  </si>
  <si>
    <t>1968-06-29</t>
  </si>
  <si>
    <t>1936-10-11</t>
  </si>
  <si>
    <t>1925-10-17</t>
  </si>
  <si>
    <t>1950-11-11</t>
  </si>
  <si>
    <t>1940-06-18</t>
  </si>
  <si>
    <t>1950-03-06</t>
  </si>
  <si>
    <t>1938-11-08</t>
  </si>
  <si>
    <t>1931-10-26</t>
  </si>
  <si>
    <t>1921-05-13</t>
  </si>
  <si>
    <t>1923-12-10</t>
  </si>
  <si>
    <t>1922-06-09</t>
  </si>
  <si>
    <t>1953-04-25</t>
  </si>
  <si>
    <t>1918-11-10</t>
  </si>
  <si>
    <t>1936-09-19</t>
  </si>
  <si>
    <t>1918-09-15</t>
  </si>
  <si>
    <t>1915-01-11</t>
  </si>
  <si>
    <t>1943-03-12</t>
  </si>
  <si>
    <t>1938-12-07</t>
  </si>
  <si>
    <t>1924-02-25</t>
  </si>
  <si>
    <t>1916-06-12</t>
  </si>
  <si>
    <t>1926-01-02</t>
  </si>
  <si>
    <t>1933-12-15</t>
  </si>
  <si>
    <t>1968-07-12</t>
  </si>
  <si>
    <t>1912-12-03</t>
  </si>
  <si>
    <t>1937-07-18</t>
  </si>
  <si>
    <t>1942-05-05</t>
  </si>
  <si>
    <t>1923-05-21</t>
  </si>
  <si>
    <t>1936-06-22</t>
  </si>
  <si>
    <t>1944-12-28</t>
  </si>
  <si>
    <t>1948-04-08</t>
  </si>
  <si>
    <t>1911-12-16</t>
  </si>
  <si>
    <t>1924-12-23</t>
  </si>
  <si>
    <t>1911-12-07</t>
  </si>
  <si>
    <t>1950-07-15</t>
  </si>
  <si>
    <t>1938-01-02</t>
  </si>
  <si>
    <t>1942-04-05</t>
  </si>
  <si>
    <t>1933-11-05</t>
  </si>
  <si>
    <t>1960-01-17</t>
  </si>
  <si>
    <t>1914-08-25</t>
  </si>
  <si>
    <t>1925-12-23</t>
  </si>
  <si>
    <t>1934-03-18</t>
  </si>
  <si>
    <t>1943-12-03</t>
  </si>
  <si>
    <t>1923-09-21</t>
  </si>
  <si>
    <t>1936-10-12</t>
  </si>
  <si>
    <t>1943-02-19</t>
  </si>
  <si>
    <t>1922-07-28</t>
  </si>
  <si>
    <t>1926-05-10</t>
  </si>
  <si>
    <t>1931-11-27</t>
  </si>
  <si>
    <t>1927-02-13</t>
  </si>
  <si>
    <t>1919-04-01</t>
  </si>
  <si>
    <t>1933-12-31</t>
  </si>
  <si>
    <t>1941-12-14</t>
  </si>
  <si>
    <t>1914-03-04</t>
  </si>
  <si>
    <t>1945-05-16</t>
  </si>
  <si>
    <t>1944-11-04</t>
  </si>
  <si>
    <t>1918-01-07</t>
  </si>
  <si>
    <t>1916-09-15</t>
  </si>
  <si>
    <t>1910-06-17</t>
  </si>
  <si>
    <t>1950-07-24</t>
  </si>
  <si>
    <t>1938-05-18</t>
  </si>
  <si>
    <t>1945-03-18</t>
  </si>
  <si>
    <t>1961-03-03</t>
  </si>
  <si>
    <t>1914-07-31</t>
  </si>
  <si>
    <t>1915-08-28</t>
  </si>
  <si>
    <t>1927-09-30</t>
  </si>
  <si>
    <t>1916-06-19</t>
  </si>
  <si>
    <t>1938-10-14</t>
  </si>
  <si>
    <t>1955-12-27</t>
  </si>
  <si>
    <t>1930-06-15</t>
  </si>
  <si>
    <t>1946-09-04</t>
  </si>
  <si>
    <t>1941-10-03</t>
  </si>
  <si>
    <t>1933-03-11</t>
  </si>
  <si>
    <t>1946-03-29</t>
  </si>
  <si>
    <t>1924-09-16</t>
  </si>
  <si>
    <t>1921-06-18</t>
  </si>
  <si>
    <t>1923-10-23</t>
  </si>
  <si>
    <t>1939-11-20</t>
  </si>
  <si>
    <t>1950-01-06</t>
  </si>
  <si>
    <t>1926-09-08</t>
  </si>
  <si>
    <t>1920-11-03</t>
  </si>
  <si>
    <t>1927-06-12</t>
  </si>
  <si>
    <t>1936-05-21</t>
  </si>
  <si>
    <t>1916-02-02</t>
  </si>
  <si>
    <t>1935-06-06</t>
  </si>
  <si>
    <t>1914-09-14</t>
  </si>
  <si>
    <t>1934-08-18</t>
  </si>
  <si>
    <t>1915-05-20</t>
  </si>
  <si>
    <t>1950-03-14</t>
  </si>
  <si>
    <t>1918-05-06</t>
  </si>
  <si>
    <t>1932-01-07</t>
  </si>
  <si>
    <t>1926-05-25</t>
  </si>
  <si>
    <t>1937-06-20</t>
  </si>
  <si>
    <t>1924-07-17</t>
  </si>
  <si>
    <t>1949-06-10</t>
  </si>
  <si>
    <t>1939-03-18</t>
  </si>
  <si>
    <t>1953-04-17</t>
  </si>
  <si>
    <t>1960-05-23</t>
  </si>
  <si>
    <t>1950-02-01</t>
  </si>
  <si>
    <t>1939-10-14</t>
  </si>
  <si>
    <t>1917-06-10</t>
  </si>
  <si>
    <t>1925-05-16</t>
  </si>
  <si>
    <t>1919-07-31</t>
  </si>
  <si>
    <t>1918-08-15</t>
  </si>
  <si>
    <t>1922-05-17</t>
  </si>
  <si>
    <t>1918-03-25</t>
  </si>
  <si>
    <t>1924-07-25</t>
  </si>
  <si>
    <t>1925-04-11</t>
  </si>
  <si>
    <t>1932-01-10</t>
  </si>
  <si>
    <t>1959-06-06</t>
  </si>
  <si>
    <t>1942-02-09</t>
  </si>
  <si>
    <t>1947-01-11</t>
  </si>
  <si>
    <t>1927-02-07</t>
  </si>
  <si>
    <t>1933-12-23</t>
  </si>
  <si>
    <t>1935-08-21</t>
  </si>
  <si>
    <t>1914-10-06</t>
  </si>
  <si>
    <t>1916-04-08</t>
  </si>
  <si>
    <t>1945-01-04</t>
  </si>
  <si>
    <t>1913-12-14</t>
  </si>
  <si>
    <t>1950-04-21</t>
  </si>
  <si>
    <t>1945-05-30</t>
  </si>
  <si>
    <t>1944-09-09</t>
  </si>
  <si>
    <t>1948-08-10</t>
  </si>
  <si>
    <t>1943-11-13</t>
  </si>
  <si>
    <t>1913-07-31</t>
  </si>
  <si>
    <t>1972-03-28</t>
  </si>
  <si>
    <t>1938-07-13</t>
  </si>
  <si>
    <t>1915-06-04</t>
  </si>
  <si>
    <t>1942-07-22</t>
  </si>
  <si>
    <t>1920-03-17</t>
  </si>
  <si>
    <t>1916-07-17</t>
  </si>
  <si>
    <t>1956-04-26</t>
  </si>
  <si>
    <t>1952-09-02</t>
  </si>
  <si>
    <t>1945-01-01</t>
  </si>
  <si>
    <t>1932-05-12</t>
  </si>
  <si>
    <t>1936-09-22</t>
  </si>
  <si>
    <t>1931-10-05</t>
  </si>
  <si>
    <t>1920-10-11</t>
  </si>
  <si>
    <t>1916-02-09</t>
  </si>
  <si>
    <t>1923-08-12</t>
  </si>
  <si>
    <t>1923-04-08</t>
  </si>
  <si>
    <t>1918-03-20</t>
  </si>
  <si>
    <t>1948-03-18</t>
  </si>
  <si>
    <t>1914-01-06</t>
  </si>
  <si>
    <t>1910-10-18</t>
  </si>
  <si>
    <t>1958-09-21</t>
  </si>
  <si>
    <t>1936-11-15</t>
  </si>
  <si>
    <t>1932-06-14</t>
  </si>
  <si>
    <t>1924-01-04</t>
  </si>
  <si>
    <t>1923-09-20</t>
  </si>
  <si>
    <t>1928-02-13</t>
  </si>
  <si>
    <t>1962-11-26</t>
  </si>
  <si>
    <t>1930-12-25</t>
  </si>
  <si>
    <t>1913-12-12</t>
  </si>
  <si>
    <t>1912-02-07</t>
  </si>
  <si>
    <t>1913-04-18</t>
  </si>
  <si>
    <t>1914-12-08</t>
  </si>
  <si>
    <t>1929-10-10</t>
  </si>
  <si>
    <t>1927-09-14</t>
  </si>
  <si>
    <t>1922-09-05</t>
  </si>
  <si>
    <t>1937-11-29</t>
  </si>
  <si>
    <t>1937-01-18</t>
  </si>
  <si>
    <t>1932-04-07</t>
  </si>
  <si>
    <t>1918-02-13</t>
  </si>
  <si>
    <t>1931-06-30</t>
  </si>
  <si>
    <t>1947-07-15</t>
  </si>
  <si>
    <t>1933-01-02</t>
  </si>
  <si>
    <t>1950-04-14</t>
  </si>
  <si>
    <t>1910-12-17</t>
  </si>
  <si>
    <t>1933-04-15</t>
  </si>
  <si>
    <t>1915-02-25</t>
  </si>
  <si>
    <t>1929-12-16</t>
  </si>
  <si>
    <t>1916-02-17</t>
  </si>
  <si>
    <t>1927-04-15</t>
  </si>
  <si>
    <t>1959-06-16</t>
  </si>
  <si>
    <t>1944-07-01</t>
  </si>
  <si>
    <t>1928-10-28</t>
  </si>
  <si>
    <t>1946-04-27</t>
  </si>
  <si>
    <t>1920-10-19</t>
  </si>
  <si>
    <t>1922-10-10</t>
  </si>
  <si>
    <t>1957-10-02</t>
  </si>
  <si>
    <t>1918-09-27</t>
  </si>
  <si>
    <t>1932-07-26</t>
  </si>
  <si>
    <t>1922-08-13</t>
  </si>
  <si>
    <t>1926-07-20</t>
  </si>
  <si>
    <t>1942-07-10</t>
  </si>
  <si>
    <t>1921-11-28</t>
  </si>
  <si>
    <t>1950-12-19</t>
  </si>
  <si>
    <t>1944-02-01</t>
  </si>
  <si>
    <t>1916-11-16</t>
  </si>
  <si>
    <t>1918-09-22</t>
  </si>
  <si>
    <t>1932-05-14</t>
  </si>
  <si>
    <t>1919-09-12</t>
  </si>
  <si>
    <t>1935-10-17</t>
  </si>
  <si>
    <t>1919-01-05</t>
  </si>
  <si>
    <t>1960-09-09</t>
  </si>
  <si>
    <t>1944-06-08</t>
  </si>
  <si>
    <t>1957-12-14</t>
  </si>
  <si>
    <t>1925-09-07</t>
  </si>
  <si>
    <t>1915-12-18</t>
  </si>
  <si>
    <t>1945-10-31</t>
  </si>
  <si>
    <t>1941-01-20</t>
  </si>
  <si>
    <t>1924-04-22</t>
  </si>
  <si>
    <t>1944-07-15</t>
  </si>
  <si>
    <t>1919-10-14</t>
  </si>
  <si>
    <t>1934-09-08</t>
  </si>
  <si>
    <t>1937-08-16</t>
  </si>
  <si>
    <t>1927-02-20</t>
  </si>
  <si>
    <t>1937-02-03</t>
  </si>
  <si>
    <t>1959-04-10</t>
  </si>
  <si>
    <t>1923-04-04</t>
  </si>
  <si>
    <t>1912-01-18</t>
  </si>
  <si>
    <t>1922-05-23</t>
  </si>
  <si>
    <t>1931-03-19</t>
  </si>
  <si>
    <t>1941-10-04</t>
  </si>
  <si>
    <t>1933-03-31</t>
  </si>
  <si>
    <t>1934-02-18</t>
  </si>
  <si>
    <t>1940-06-22</t>
  </si>
  <si>
    <t>1950-07-30</t>
  </si>
  <si>
    <t>1924-09-24</t>
  </si>
  <si>
    <t>1948-07-19</t>
  </si>
  <si>
    <t>1929-11-05</t>
  </si>
  <si>
    <t>1911-05-13</t>
  </si>
  <si>
    <t>1944-11-29</t>
  </si>
  <si>
    <t>1916-05-08</t>
  </si>
  <si>
    <t>1912-10-26</t>
  </si>
  <si>
    <t>1934-12-25</t>
  </si>
  <si>
    <t>1933-09-02</t>
  </si>
  <si>
    <t>1920-06-09</t>
  </si>
  <si>
    <t>1935-06-08</t>
  </si>
  <si>
    <t>1940-12-18</t>
  </si>
  <si>
    <t>1931-08-27</t>
  </si>
  <si>
    <t>1933-12-24</t>
  </si>
  <si>
    <t>1915-04-30</t>
  </si>
  <si>
    <t>1918-03-06</t>
  </si>
  <si>
    <t>1959-02-16</t>
  </si>
  <si>
    <t>1959-01-16</t>
  </si>
  <si>
    <t>1930-06-20</t>
  </si>
  <si>
    <t>1933-05-16</t>
  </si>
  <si>
    <t>1911-10-01</t>
  </si>
  <si>
    <t>1936-05-29</t>
  </si>
  <si>
    <t>1947-08-04</t>
  </si>
  <si>
    <t>1936-08-11</t>
  </si>
  <si>
    <t>1928-09-16</t>
  </si>
  <si>
    <t>1929-12-06</t>
  </si>
  <si>
    <t>1952-03-12</t>
  </si>
  <si>
    <t>1956-05-27</t>
  </si>
  <si>
    <t>1952-04-22</t>
  </si>
  <si>
    <t>1912-09-28</t>
  </si>
  <si>
    <t>1931-05-20</t>
  </si>
  <si>
    <t>1928-10-27</t>
  </si>
  <si>
    <t>1913-07-28</t>
  </si>
  <si>
    <t>1959-12-28</t>
  </si>
  <si>
    <t>1936-02-29</t>
  </si>
  <si>
    <t>1927-03-05</t>
  </si>
  <si>
    <t>1917-08-23</t>
  </si>
  <si>
    <t>1922-03-03</t>
  </si>
  <si>
    <t>1943-12-30</t>
  </si>
  <si>
    <t>1936-08-24</t>
  </si>
  <si>
    <t>1917-03-25</t>
  </si>
  <si>
    <t>1912-04-13</t>
  </si>
  <si>
    <t>1962-07-22</t>
  </si>
  <si>
    <t>1932-02-16</t>
  </si>
  <si>
    <t>1940-12-17</t>
  </si>
  <si>
    <t>1923-12-20</t>
  </si>
  <si>
    <t>1936-11-04</t>
  </si>
  <si>
    <t>1938-10-17</t>
  </si>
  <si>
    <t>1912-07-24</t>
  </si>
  <si>
    <t>1918-11-06</t>
  </si>
  <si>
    <t>1938-10-24</t>
  </si>
  <si>
    <t>1951-03-08</t>
  </si>
  <si>
    <t>1920-01-13</t>
  </si>
  <si>
    <t>1939-12-09</t>
  </si>
  <si>
    <t>1910-06-02</t>
  </si>
  <si>
    <t>1916-04-21</t>
  </si>
  <si>
    <t>1919-10-16</t>
  </si>
  <si>
    <t>1913-05-19</t>
  </si>
  <si>
    <t>1918-12-23</t>
  </si>
  <si>
    <t>1925-05-19</t>
  </si>
  <si>
    <t>1929-07-03</t>
  </si>
  <si>
    <t>1945-12-06</t>
  </si>
  <si>
    <t>1926-03-30</t>
  </si>
  <si>
    <t>1935-12-02</t>
  </si>
  <si>
    <t>1954-04-29</t>
  </si>
  <si>
    <t>1953-11-14</t>
  </si>
  <si>
    <t>1953-12-30</t>
  </si>
  <si>
    <t>1937-04-10</t>
  </si>
  <si>
    <t>1935-03-20</t>
  </si>
  <si>
    <t>1935-09-12</t>
  </si>
  <si>
    <t>1923-06-23</t>
  </si>
  <si>
    <t>1938-01-28</t>
  </si>
  <si>
    <t>1925-08-17</t>
  </si>
  <si>
    <t>1933-05-07</t>
  </si>
  <si>
    <t>1911-09-16</t>
  </si>
  <si>
    <t>1923-06-05</t>
  </si>
  <si>
    <t>1922-01-29</t>
  </si>
  <si>
    <t>1940-07-29</t>
  </si>
  <si>
    <t>1944-09-08</t>
  </si>
  <si>
    <t>1919-01-10</t>
  </si>
  <si>
    <t>1946-06-06</t>
  </si>
  <si>
    <t>1930-08-17</t>
  </si>
  <si>
    <t>1915-06-15</t>
  </si>
  <si>
    <t>1916-08-23</t>
  </si>
  <si>
    <t>1946-01-20</t>
  </si>
  <si>
    <t>1914-04-02</t>
  </si>
  <si>
    <t>1913-05-08</t>
  </si>
  <si>
    <t>1939-04-02</t>
  </si>
  <si>
    <t>1939-05-24</t>
  </si>
  <si>
    <t>1913-04-27</t>
  </si>
  <si>
    <t>1919-06-04</t>
  </si>
  <si>
    <t>1955-05-04</t>
  </si>
  <si>
    <t>1932-05-15</t>
  </si>
  <si>
    <t>1939-04-22</t>
  </si>
  <si>
    <t>1926-12-17</t>
  </si>
  <si>
    <t>1927-07-10</t>
  </si>
  <si>
    <t>1921-02-13</t>
  </si>
  <si>
    <t>1932-04-25</t>
  </si>
  <si>
    <t>1941-06-30</t>
  </si>
  <si>
    <t>1928-08-18</t>
  </si>
  <si>
    <t>1923-06-02</t>
  </si>
  <si>
    <t>1940-11-21</t>
  </si>
  <si>
    <t>1941-05-27</t>
  </si>
  <si>
    <t>1940-04-26</t>
  </si>
  <si>
    <t>1951-11-30</t>
  </si>
  <si>
    <t>1937-09-12</t>
  </si>
  <si>
    <t>1949-08-26</t>
  </si>
  <si>
    <t>1929-01-12</t>
  </si>
  <si>
    <t>1915-02-24</t>
  </si>
  <si>
    <t>1918-09-01</t>
  </si>
  <si>
    <t>1933-06-09</t>
  </si>
  <si>
    <t>1956-12-13</t>
  </si>
  <si>
    <t>1924-03-15</t>
  </si>
  <si>
    <t>1941-11-28</t>
  </si>
  <si>
    <t>1957-02-06</t>
  </si>
  <si>
    <t>1927-03-13</t>
  </si>
  <si>
    <t>1951-12-07</t>
  </si>
  <si>
    <t>1942-01-18</t>
  </si>
  <si>
    <t>1929-03-31</t>
  </si>
  <si>
    <t>1933-05-02</t>
  </si>
  <si>
    <t>1921-01-19</t>
  </si>
  <si>
    <t>1935-11-20</t>
  </si>
  <si>
    <t>1935-08-12</t>
  </si>
  <si>
    <t>1942-03-09</t>
  </si>
  <si>
    <t>1945-03-20</t>
  </si>
  <si>
    <t>1929-02-28</t>
  </si>
  <si>
    <t>1912-06-17</t>
  </si>
  <si>
    <t>1939-07-28</t>
  </si>
  <si>
    <t>1956-08-28</t>
  </si>
  <si>
    <t>1919-11-07</t>
  </si>
  <si>
    <t>1947-02-03</t>
  </si>
  <si>
    <t>1920-12-09</t>
  </si>
  <si>
    <t>1924-01-05</t>
  </si>
  <si>
    <t>1922-02-27</t>
  </si>
  <si>
    <t>1933-11-07</t>
  </si>
  <si>
    <t>1924-05-02</t>
  </si>
  <si>
    <t>1919-10-19</t>
  </si>
  <si>
    <t>1946-12-16</t>
  </si>
  <si>
    <t>1944-03-14</t>
  </si>
  <si>
    <t>1947-11-22</t>
  </si>
  <si>
    <t>1914-05-27</t>
  </si>
  <si>
    <t>1929-01-19</t>
  </si>
  <si>
    <t>1951-12-28</t>
  </si>
  <si>
    <t>1953-10-30</t>
  </si>
  <si>
    <t>1946-03-23</t>
  </si>
  <si>
    <t>1911-09-08</t>
  </si>
  <si>
    <t>1915-10-19</t>
  </si>
  <si>
    <t>1935-09-01</t>
  </si>
  <si>
    <t>1942-11-15</t>
  </si>
  <si>
    <t>1943-04-06</t>
  </si>
  <si>
    <t>1932-08-17</t>
  </si>
  <si>
    <t>1944-05-26</t>
  </si>
  <si>
    <t>1927-01-23</t>
  </si>
  <si>
    <t>1919-08-08</t>
  </si>
  <si>
    <t>1911-10-22</t>
  </si>
  <si>
    <t>1940-07-12</t>
  </si>
  <si>
    <t>1920-10-09</t>
  </si>
  <si>
    <t>1929-08-28</t>
  </si>
  <si>
    <t>1915-08-11</t>
  </si>
  <si>
    <t>1922-10-17</t>
  </si>
  <si>
    <t>1933-10-29</t>
  </si>
  <si>
    <t>1942-11-23</t>
  </si>
  <si>
    <t>1945-04-29</t>
  </si>
  <si>
    <t>1925-03-19</t>
  </si>
  <si>
    <t>1938-11-04</t>
  </si>
  <si>
    <t>1946-09-07</t>
  </si>
  <si>
    <t>1912-02-04</t>
  </si>
  <si>
    <t>1948-12-24</t>
  </si>
  <si>
    <t>1941-12-05</t>
  </si>
  <si>
    <t>1920-09-08</t>
  </si>
  <si>
    <t>1917-12-27</t>
  </si>
  <si>
    <t>1927-02-11</t>
  </si>
  <si>
    <t>1946-02-12</t>
  </si>
  <si>
    <t>1950-08-23</t>
  </si>
  <si>
    <t>1915-09-13</t>
  </si>
  <si>
    <t>1928-08-01</t>
  </si>
  <si>
    <t>1931-05-18</t>
  </si>
  <si>
    <t>1954-10-26</t>
  </si>
  <si>
    <t>1911-07-29</t>
  </si>
  <si>
    <t>1937-10-17</t>
  </si>
  <si>
    <t>1920-08-10</t>
  </si>
  <si>
    <t>1952-06-05</t>
  </si>
  <si>
    <t>1926-06-05</t>
  </si>
  <si>
    <t>1927-08-08</t>
  </si>
  <si>
    <t>1944-01-27</t>
  </si>
  <si>
    <t>1946-03-26</t>
  </si>
  <si>
    <t>1915-12-25</t>
  </si>
  <si>
    <t>1931-07-13</t>
  </si>
  <si>
    <t>1939-01-15</t>
  </si>
  <si>
    <t>1921-04-18</t>
  </si>
  <si>
    <t>1944-10-11</t>
  </si>
  <si>
    <t>1935-11-28</t>
  </si>
  <si>
    <t>1936-06-18</t>
  </si>
  <si>
    <t>1922-09-26</t>
  </si>
  <si>
    <t>1926-12-02</t>
  </si>
  <si>
    <t>1935-05-01</t>
  </si>
  <si>
    <t>1957-09-27</t>
  </si>
  <si>
    <t>1915-06-30</t>
  </si>
  <si>
    <t>1911-01-08</t>
  </si>
  <si>
    <t>1925-01-23</t>
  </si>
  <si>
    <t>1953-05-27</t>
  </si>
  <si>
    <t>1920-12-31</t>
  </si>
  <si>
    <t>1932-05-08</t>
  </si>
  <si>
    <t>1925-12-11</t>
  </si>
  <si>
    <t>1939-09-30</t>
  </si>
  <si>
    <t>1950-08-10</t>
  </si>
  <si>
    <t>1947-10-20</t>
  </si>
  <si>
    <t>1946-05-03</t>
  </si>
  <si>
    <t>1940-10-09</t>
  </si>
  <si>
    <t>1927-11-01</t>
  </si>
  <si>
    <t>1919-03-13</t>
  </si>
  <si>
    <t>1932-10-29</t>
  </si>
  <si>
    <t>1934-12-10</t>
  </si>
  <si>
    <t>1930-06-09</t>
  </si>
  <si>
    <t>1918-06-22</t>
  </si>
  <si>
    <t>1944-03-04</t>
  </si>
  <si>
    <t>1955-01-14</t>
  </si>
  <si>
    <t>1918-04-29</t>
  </si>
  <si>
    <t>1928-03-07</t>
  </si>
  <si>
    <t>1931-03-17</t>
  </si>
  <si>
    <t>1915-01-17</t>
  </si>
  <si>
    <t>1917-03-11</t>
  </si>
  <si>
    <t>1923-01-15</t>
  </si>
  <si>
    <t>1927-10-11</t>
  </si>
  <si>
    <t>1951-03-12</t>
  </si>
  <si>
    <t>1949-10-26</t>
  </si>
  <si>
    <t>1922-01-30</t>
  </si>
  <si>
    <t>1938-11-16</t>
  </si>
  <si>
    <t>1938-10-03</t>
  </si>
  <si>
    <t>1931-09-21</t>
  </si>
  <si>
    <t>1944-06-16</t>
  </si>
  <si>
    <t>1931-01-20</t>
  </si>
  <si>
    <t>1925-11-09</t>
  </si>
  <si>
    <t>1957-03-07</t>
  </si>
  <si>
    <t>1930-08-31</t>
  </si>
  <si>
    <t>1947-02-09</t>
  </si>
  <si>
    <t>1939-08-02</t>
  </si>
  <si>
    <t>1960-02-11</t>
  </si>
  <si>
    <t>1914-11-06</t>
  </si>
  <si>
    <t>1953-04-11</t>
  </si>
  <si>
    <t>1941-03-29</t>
  </si>
  <si>
    <t>1944-12-22</t>
  </si>
  <si>
    <t>1926-05-31</t>
  </si>
  <si>
    <t>1946-11-05</t>
  </si>
  <si>
    <t>1937-12-31</t>
  </si>
  <si>
    <t>1942-01-16</t>
  </si>
  <si>
    <t>1964-04-20</t>
  </si>
  <si>
    <t>1914-10-21</t>
  </si>
  <si>
    <t>1960-04-30</t>
  </si>
  <si>
    <t>1928-07-25</t>
  </si>
  <si>
    <t>1934-07-09</t>
  </si>
  <si>
    <t>1936-03-22</t>
  </si>
  <si>
    <t>1935-09-07</t>
  </si>
  <si>
    <t>1952-11-11</t>
  </si>
  <si>
    <t>1927-06-24</t>
  </si>
  <si>
    <t>1969-08-24</t>
  </si>
  <si>
    <t>1933-01-19</t>
  </si>
  <si>
    <t>1937-02-05</t>
  </si>
  <si>
    <t>1955-12-25</t>
  </si>
  <si>
    <t>1932-08-03</t>
  </si>
  <si>
    <t>1922-10-21</t>
  </si>
  <si>
    <t>1916-10-14</t>
  </si>
  <si>
    <t>1926-01-05</t>
  </si>
  <si>
    <t>1938-10-16</t>
  </si>
  <si>
    <t>1915-02-21</t>
  </si>
  <si>
    <t>1953-02-14</t>
  </si>
  <si>
    <t>1943-11-28</t>
  </si>
  <si>
    <t>1930-04-19</t>
  </si>
  <si>
    <t>1962-02-25</t>
  </si>
  <si>
    <t>1932-02-11</t>
  </si>
  <si>
    <t>1936-02-03</t>
  </si>
  <si>
    <t>1956-05-06</t>
  </si>
  <si>
    <t>1956-01-04</t>
  </si>
  <si>
    <t>1914-05-07</t>
  </si>
  <si>
    <t>1958-01-05</t>
  </si>
  <si>
    <t>1945-05-22</t>
  </si>
  <si>
    <t>1914-05-14</t>
  </si>
  <si>
    <t>1933-11-09</t>
  </si>
  <si>
    <t>1935-11-30</t>
  </si>
  <si>
    <t>1958-03-19</t>
  </si>
  <si>
    <t>1925-04-24</t>
  </si>
  <si>
    <t>1953-07-25</t>
  </si>
  <si>
    <t>1929-02-22</t>
  </si>
  <si>
    <t>1971-09-24</t>
  </si>
  <si>
    <t>1939-01-05</t>
  </si>
  <si>
    <t>1930-04-27</t>
  </si>
  <si>
    <t>1967-02-09</t>
  </si>
  <si>
    <t>1937-03-08</t>
  </si>
  <si>
    <t>1956-08-11</t>
  </si>
  <si>
    <t>1945-04-23</t>
  </si>
  <si>
    <t>1947-07-13</t>
  </si>
  <si>
    <t>1927-12-29</t>
  </si>
  <si>
    <t>1974-05-09</t>
  </si>
  <si>
    <t>1932-04-23</t>
  </si>
  <si>
    <t>1947-12-13</t>
  </si>
  <si>
    <t>1958-01-21</t>
  </si>
  <si>
    <t>1920-09-30</t>
  </si>
  <si>
    <t>1928-03-28</t>
  </si>
  <si>
    <t>1918-12-31</t>
  </si>
  <si>
    <t>1931-12-04</t>
  </si>
  <si>
    <t>1919-08-05</t>
  </si>
  <si>
    <t>1921-02-17</t>
  </si>
  <si>
    <t>1961-03-01</t>
  </si>
  <si>
    <t>1916-06-04</t>
  </si>
  <si>
    <t>1956-06-17</t>
  </si>
  <si>
    <t>1918-09-08</t>
  </si>
  <si>
    <t>1921-01-26</t>
  </si>
  <si>
    <t>1939-03-13</t>
  </si>
  <si>
    <t>1970-12-16</t>
  </si>
  <si>
    <t>1926-01-22</t>
  </si>
  <si>
    <t>1935-09-24</t>
  </si>
  <si>
    <t>1949-11-14</t>
  </si>
  <si>
    <t>1922-05-29</t>
  </si>
  <si>
    <t>1957-09-22</t>
  </si>
  <si>
    <t>1929-10-05</t>
  </si>
  <si>
    <t>1949-01-29</t>
  </si>
  <si>
    <t>1941-07-07</t>
  </si>
  <si>
    <t>1939-02-01</t>
  </si>
  <si>
    <t>1922-08-27</t>
  </si>
  <si>
    <t>1945-04-08</t>
  </si>
  <si>
    <t>1982-04-12</t>
  </si>
  <si>
    <t>1923-05-23</t>
  </si>
  <si>
    <t>1927-02-23</t>
  </si>
  <si>
    <t>1942-10-05</t>
  </si>
  <si>
    <t>1914-07-05</t>
  </si>
  <si>
    <t>1965-12-20</t>
  </si>
  <si>
    <t>1932-03-30</t>
  </si>
  <si>
    <t>1926-04-07</t>
  </si>
  <si>
    <t>1953-06-28</t>
  </si>
  <si>
    <t>1957-10-29</t>
  </si>
  <si>
    <t>1941-07-02</t>
  </si>
  <si>
    <t>1962-01-02</t>
  </si>
  <si>
    <t>1916-07-13</t>
  </si>
  <si>
    <t>1929-03-29</t>
  </si>
  <si>
    <t>1929-01-26</t>
  </si>
  <si>
    <t>1943-12-22</t>
  </si>
  <si>
    <t>1939-10-27</t>
  </si>
  <si>
    <t>1917-06-20</t>
  </si>
  <si>
    <t>1916-05-11</t>
  </si>
  <si>
    <t>1966-04-09</t>
  </si>
  <si>
    <t>1937-05-17</t>
  </si>
  <si>
    <t>1933-11-03</t>
  </si>
  <si>
    <t>1922-12-22</t>
  </si>
  <si>
    <t>1945-09-15</t>
  </si>
  <si>
    <t>1916-03-10</t>
  </si>
  <si>
    <t>1956-04-25</t>
  </si>
  <si>
    <t>1949-01-12</t>
  </si>
  <si>
    <t>1956-04-03</t>
  </si>
  <si>
    <t>1956-03-14</t>
  </si>
  <si>
    <t>1972-04-26</t>
  </si>
  <si>
    <t>1921-07-30</t>
  </si>
  <si>
    <t>1934-08-13</t>
  </si>
  <si>
    <t>1952-06-16</t>
  </si>
  <si>
    <t>1945-12-01</t>
  </si>
  <si>
    <t>1966-01-01</t>
  </si>
  <si>
    <t>1951-09-11</t>
  </si>
  <si>
    <t>1932-09-15</t>
  </si>
  <si>
    <t>1927-12-08</t>
  </si>
  <si>
    <t>1956-02-28</t>
  </si>
  <si>
    <t>1916-10-10</t>
  </si>
  <si>
    <t>1933-01-09</t>
  </si>
  <si>
    <t>1961-12-07</t>
  </si>
  <si>
    <t>1945-01-24</t>
  </si>
  <si>
    <t>1924-08-26</t>
  </si>
  <si>
    <t>1928-09-02</t>
  </si>
  <si>
    <t>1944-12-26</t>
  </si>
  <si>
    <t>1937-07-29</t>
  </si>
  <si>
    <t>1937-06-14</t>
  </si>
  <si>
    <t>1937-01-13</t>
  </si>
  <si>
    <t>1949-01-09</t>
  </si>
  <si>
    <t>1926-08-23</t>
  </si>
  <si>
    <t>1958-02-12</t>
  </si>
  <si>
    <t>1953-02-09</t>
  </si>
  <si>
    <t>1943-01-29</t>
  </si>
  <si>
    <t>1928-03-11</t>
  </si>
  <si>
    <t>1927-01-03</t>
  </si>
  <si>
    <t>1945-05-12</t>
  </si>
  <si>
    <t>1938-04-21</t>
  </si>
  <si>
    <t>1939-04-14</t>
  </si>
  <si>
    <t>1922-03-15</t>
  </si>
  <si>
    <t>1922-11-05</t>
  </si>
  <si>
    <t>1918-10-19</t>
  </si>
  <si>
    <t>1935-04-21</t>
  </si>
  <si>
    <t>1946-08-13</t>
  </si>
  <si>
    <t>1931-04-06</t>
  </si>
  <si>
    <t>1922-02-05</t>
  </si>
  <si>
    <t>1957-11-04</t>
  </si>
  <si>
    <t>1934-05-11</t>
  </si>
  <si>
    <t>1918-10-28</t>
  </si>
  <si>
    <t>1935-10-18</t>
  </si>
  <si>
    <t>1956-06-30</t>
  </si>
  <si>
    <t>1949-05-20</t>
  </si>
  <si>
    <t>1944-04-03</t>
  </si>
  <si>
    <t>1919-12-11</t>
  </si>
  <si>
    <t>1931-07-18</t>
  </si>
  <si>
    <t>1932-05-05</t>
  </si>
  <si>
    <t>1966-12-17</t>
  </si>
  <si>
    <t>1924-07-23</t>
  </si>
  <si>
    <t>1941-07-11</t>
  </si>
  <si>
    <t>1942-04-20</t>
  </si>
  <si>
    <t>1941-07-27</t>
  </si>
  <si>
    <t>1954-10-28</t>
  </si>
  <si>
    <t>1964-08-29</t>
  </si>
  <si>
    <t>1944-07-13</t>
  </si>
  <si>
    <t>1946-05-07</t>
  </si>
  <si>
    <t>1956-06-10</t>
  </si>
  <si>
    <t>1955-01-07</t>
  </si>
  <si>
    <t>1927-07-05</t>
  </si>
  <si>
    <t>1955-05-15</t>
  </si>
  <si>
    <t>1950-07-03</t>
  </si>
  <si>
    <t>1942-10-02</t>
  </si>
  <si>
    <t>1929-11-23</t>
  </si>
  <si>
    <t>1937-12-30</t>
  </si>
  <si>
    <t>1962-04-29</t>
  </si>
  <si>
    <t>1957-02-08</t>
  </si>
  <si>
    <t>1960-02-20</t>
  </si>
  <si>
    <t>1963-03-09</t>
  </si>
  <si>
    <t>1928-11-08</t>
  </si>
  <si>
    <t>1921-11-23</t>
  </si>
  <si>
    <t>1931-08-18</t>
  </si>
  <si>
    <t>1931-11-25</t>
  </si>
  <si>
    <t>1933-03-22</t>
  </si>
  <si>
    <t>1932-04-30</t>
  </si>
  <si>
    <t>1941-10-07</t>
  </si>
  <si>
    <t>1933-09-26</t>
  </si>
  <si>
    <t>1921-07-20</t>
  </si>
  <si>
    <t>1960-01-27</t>
  </si>
  <si>
    <t>1921-08-11</t>
  </si>
  <si>
    <t>1938-06-05</t>
  </si>
  <si>
    <t>1929-03-07</t>
  </si>
  <si>
    <t>1924-05-24</t>
  </si>
  <si>
    <t>1918-11-03</t>
  </si>
  <si>
    <t>1919-06-11</t>
  </si>
  <si>
    <t>1939-01-08</t>
  </si>
  <si>
    <t>1962-05-17</t>
  </si>
  <si>
    <t>1928-07-06</t>
  </si>
  <si>
    <t>1952-12-13</t>
  </si>
  <si>
    <t>1914-10-24</t>
  </si>
  <si>
    <t>1970-06-15</t>
  </si>
  <si>
    <t>1932-10-03</t>
  </si>
  <si>
    <t>1936-02-04</t>
  </si>
  <si>
    <t>1935-04-01</t>
  </si>
  <si>
    <t>1950-10-05</t>
  </si>
  <si>
    <t>1943-01-28</t>
  </si>
  <si>
    <t>1934-12-04</t>
  </si>
  <si>
    <t>1918-07-26</t>
  </si>
  <si>
    <t>1949-12-21</t>
  </si>
  <si>
    <t>1956-07-12</t>
  </si>
  <si>
    <t>1949-12-09</t>
  </si>
  <si>
    <t>1947-02-16</t>
  </si>
  <si>
    <t>1964-05-23</t>
  </si>
  <si>
    <t>1939-11-10</t>
  </si>
  <si>
    <t>1928-08-12</t>
  </si>
  <si>
    <t>1949-12-18</t>
  </si>
  <si>
    <t>1953-02-18</t>
  </si>
  <si>
    <t>1933-11-22</t>
  </si>
  <si>
    <t>1945-10-15</t>
  </si>
  <si>
    <t>1952-12-25</t>
  </si>
  <si>
    <t>1938-01-03</t>
  </si>
  <si>
    <t>1940-09-03</t>
  </si>
  <si>
    <t>1943-06-23</t>
  </si>
  <si>
    <t>1955-10-05</t>
  </si>
  <si>
    <t>1931-04-18</t>
  </si>
  <si>
    <t>1949-08-23</t>
  </si>
  <si>
    <t>1938-09-11</t>
  </si>
  <si>
    <t>1958-06-13</t>
  </si>
  <si>
    <t>1943-08-31</t>
  </si>
  <si>
    <t>1947-12-12</t>
  </si>
  <si>
    <t>1968-10-29</t>
  </si>
  <si>
    <t>1953-06-14</t>
  </si>
  <si>
    <t>1954-02-13</t>
  </si>
  <si>
    <t>1927-01-26</t>
  </si>
  <si>
    <t>1923-05-06</t>
  </si>
  <si>
    <t>1960-08-06</t>
  </si>
  <si>
    <t>1948-09-27</t>
  </si>
  <si>
    <t>1940-09-01</t>
  </si>
  <si>
    <t>1931-03-05</t>
  </si>
  <si>
    <t>1944-06-24</t>
  </si>
  <si>
    <t>1935-09-11</t>
  </si>
  <si>
    <t>1951-08-11</t>
  </si>
  <si>
    <t>1957-04-12</t>
  </si>
  <si>
    <t>1928-01-31</t>
  </si>
  <si>
    <t>1949-01-17</t>
  </si>
  <si>
    <t>1944-08-17</t>
  </si>
  <si>
    <t>1956-02-22</t>
  </si>
  <si>
    <t>1934-09-27</t>
  </si>
  <si>
    <t>1938-01-17</t>
  </si>
  <si>
    <t>1971-02-10</t>
  </si>
  <si>
    <t>1952-11-29</t>
  </si>
  <si>
    <t>1960-05-05</t>
  </si>
  <si>
    <t>1933-05-03</t>
  </si>
  <si>
    <t>1945-05-14</t>
  </si>
  <si>
    <t>1928-02-08</t>
  </si>
  <si>
    <t>1975-11-10</t>
  </si>
  <si>
    <t>1925-12-06</t>
  </si>
  <si>
    <t>1935-05-10</t>
  </si>
  <si>
    <t>1923-12-19</t>
  </si>
  <si>
    <t>1942-11-12</t>
  </si>
  <si>
    <t>1964-01-09</t>
  </si>
  <si>
    <t>1928-03-31</t>
  </si>
  <si>
    <t>1950-05-08</t>
  </si>
  <si>
    <t>1933-06-01</t>
  </si>
  <si>
    <t>1957-08-20</t>
  </si>
  <si>
    <t>1939-03-05</t>
  </si>
  <si>
    <t>1932-03-20</t>
  </si>
  <si>
    <t>1968-11-16</t>
  </si>
  <si>
    <t>1954-01-13</t>
  </si>
  <si>
    <t>1960-08-24</t>
  </si>
  <si>
    <t>1947-03-02</t>
  </si>
  <si>
    <t>1931-01-19</t>
  </si>
  <si>
    <t>1950-03-30</t>
  </si>
  <si>
    <t>1938-01-31</t>
  </si>
  <si>
    <t>1930-01-29</t>
  </si>
  <si>
    <t>1942-06-03</t>
  </si>
  <si>
    <t>1930-02-28</t>
  </si>
  <si>
    <t>1957-02-05</t>
  </si>
  <si>
    <t>1940-07-22</t>
  </si>
  <si>
    <t>1927-07-06</t>
  </si>
  <si>
    <t>1935-01-01</t>
  </si>
  <si>
    <t>1958-03-03</t>
  </si>
  <si>
    <t>1961-12-11</t>
  </si>
  <si>
    <t>1959-12-05</t>
  </si>
  <si>
    <t>1937-01-05</t>
  </si>
  <si>
    <t>1947-04-21</t>
  </si>
  <si>
    <t>1935-03-12</t>
  </si>
  <si>
    <t>1932-01-30</t>
  </si>
  <si>
    <t>1932-07-11</t>
  </si>
  <si>
    <t>1941-06-03</t>
  </si>
  <si>
    <t>1947-05-01</t>
  </si>
  <si>
    <t>1930-10-27</t>
  </si>
  <si>
    <t>1966-09-07</t>
  </si>
  <si>
    <t>1955-02-27</t>
  </si>
  <si>
    <t>1959-07-04</t>
  </si>
  <si>
    <t>1944-03-18</t>
  </si>
  <si>
    <t>1927-12-10</t>
  </si>
  <si>
    <t>1969-10-14</t>
  </si>
  <si>
    <t>1946-01-04</t>
  </si>
  <si>
    <t>1936-02-02</t>
  </si>
  <si>
    <t>1934-12-03</t>
  </si>
  <si>
    <t>1945-12-28</t>
  </si>
  <si>
    <t>1963-07-01</t>
  </si>
  <si>
    <t>1951-11-27</t>
  </si>
  <si>
    <t>1921-12-22</t>
  </si>
  <si>
    <t>1954-03-05</t>
  </si>
  <si>
    <t>1954-03-18</t>
  </si>
  <si>
    <t>1953-08-26</t>
  </si>
  <si>
    <t>1964-09-13</t>
  </si>
  <si>
    <t>1932-07-03</t>
  </si>
  <si>
    <t>1940-02-02</t>
  </si>
  <si>
    <t>1921-01-10</t>
  </si>
  <si>
    <t>1947-11-29</t>
  </si>
  <si>
    <t>1955-01-12</t>
  </si>
  <si>
    <t>1970-10-10</t>
  </si>
  <si>
    <t>1927-01-18</t>
  </si>
  <si>
    <t>1942-07-02</t>
  </si>
  <si>
    <t>1938-08-03</t>
  </si>
  <si>
    <t>1959-04-13</t>
  </si>
  <si>
    <t>1970-05-26</t>
  </si>
  <si>
    <t>1946-11-08</t>
  </si>
  <si>
    <t>1973-04-26</t>
  </si>
  <si>
    <t>1948-09-06</t>
  </si>
  <si>
    <t>1940-01-22</t>
  </si>
  <si>
    <t>1936-07-28</t>
  </si>
  <si>
    <t>1931-05-15</t>
  </si>
  <si>
    <t>1951-02-05</t>
  </si>
  <si>
    <t>1922-05-09</t>
  </si>
  <si>
    <t>1975-09-15</t>
  </si>
  <si>
    <t>1973-10-21</t>
  </si>
  <si>
    <t>1935-03-18</t>
  </si>
  <si>
    <t>1970-03-11</t>
  </si>
  <si>
    <t>1942-12-16</t>
  </si>
  <si>
    <t>1935-10-31</t>
  </si>
  <si>
    <t>1971-04-26</t>
  </si>
  <si>
    <t>1970-11-14</t>
  </si>
  <si>
    <t>1943-04-04</t>
  </si>
  <si>
    <t>1959-07-27</t>
  </si>
  <si>
    <t>1943-06-19</t>
  </si>
  <si>
    <t>1942-02-18</t>
  </si>
  <si>
    <t>1965-06-01</t>
  </si>
  <si>
    <t>1949-10-21</t>
  </si>
  <si>
    <t>1934-12-16</t>
  </si>
  <si>
    <t>1944-05-22</t>
  </si>
  <si>
    <t>1944-02-29</t>
  </si>
  <si>
    <t>1968-06-01</t>
  </si>
  <si>
    <t>1968-08-20</t>
  </si>
  <si>
    <t>1941-02-02</t>
  </si>
  <si>
    <t>1968-10-31</t>
  </si>
  <si>
    <t>1925-07-15</t>
  </si>
  <si>
    <t>1962-09-25</t>
  </si>
  <si>
    <t>1933-06-23</t>
  </si>
  <si>
    <t>1940-01-11</t>
  </si>
  <si>
    <t>1953-06-18</t>
  </si>
  <si>
    <t>1973-04-09</t>
  </si>
  <si>
    <t>1930-01-14</t>
  </si>
  <si>
    <t>1969-10-04</t>
  </si>
  <si>
    <t>1945-10-29</t>
  </si>
  <si>
    <t>1955-10-14</t>
  </si>
  <si>
    <t>1964-01-12</t>
  </si>
  <si>
    <t>1973-02-25</t>
  </si>
  <si>
    <t>1944-08-10</t>
  </si>
  <si>
    <t>1938-10-29</t>
  </si>
  <si>
    <t>1937-01-20</t>
  </si>
  <si>
    <t>1938-01-24</t>
  </si>
  <si>
    <t>1947-12-25</t>
  </si>
  <si>
    <t>1963-02-08</t>
  </si>
  <si>
    <t>1929-02-20</t>
  </si>
  <si>
    <t>1934-04-05</t>
  </si>
  <si>
    <t>1949-01-06</t>
  </si>
  <si>
    <t>1939-01-28</t>
  </si>
  <si>
    <t>1945-10-24</t>
  </si>
  <si>
    <t>1959-03-28</t>
  </si>
  <si>
    <t>1939-11-11</t>
  </si>
  <si>
    <t>1949-02-10</t>
  </si>
  <si>
    <t>1941-06-12</t>
  </si>
  <si>
    <t>1950-03-25</t>
  </si>
  <si>
    <t>1937-10-08</t>
  </si>
  <si>
    <t>1945-12-19</t>
  </si>
  <si>
    <t>1956-07-24</t>
  </si>
  <si>
    <t>1956-03-24</t>
  </si>
  <si>
    <t>1957-03-26</t>
  </si>
  <si>
    <t>1985-12-30</t>
  </si>
  <si>
    <t>1931-11-14</t>
  </si>
  <si>
    <t>1937-08-03</t>
  </si>
  <si>
    <t>1938-03-23</t>
  </si>
  <si>
    <t>1937-08-23</t>
  </si>
  <si>
    <t>1936-07-04</t>
  </si>
  <si>
    <t>1935-02-15</t>
  </si>
  <si>
    <t>1930-11-22</t>
  </si>
  <si>
    <t>1942-02-16</t>
  </si>
  <si>
    <t>1953-03-19</t>
  </si>
  <si>
    <t>1953-02-17</t>
  </si>
  <si>
    <t>1967-01-02</t>
  </si>
  <si>
    <t>1961-03-30</t>
  </si>
  <si>
    <t>1948-03-26</t>
  </si>
  <si>
    <t>1947-10-11</t>
  </si>
  <si>
    <t>1931-05-03</t>
  </si>
  <si>
    <t>1959-12-07</t>
  </si>
  <si>
    <t>1938-02-07</t>
  </si>
  <si>
    <t>1970-08-05</t>
  </si>
  <si>
    <t>1936-06-28</t>
  </si>
  <si>
    <t>1932-11-18</t>
  </si>
  <si>
    <t>1943-10-10</t>
  </si>
  <si>
    <t>1932-05-01</t>
  </si>
  <si>
    <t>1931-11-22</t>
  </si>
  <si>
    <t>1926-10-05</t>
  </si>
  <si>
    <t>1941-08-17</t>
  </si>
  <si>
    <t>1956-09-06</t>
  </si>
  <si>
    <t>1950-11-23</t>
  </si>
  <si>
    <t>1927-05-19</t>
  </si>
  <si>
    <t>1947-12-08</t>
  </si>
  <si>
    <t>1992-09-06</t>
  </si>
  <si>
    <t>1949-04-07</t>
  </si>
  <si>
    <t>1944-07-07</t>
  </si>
  <si>
    <t>1945-11-22</t>
  </si>
  <si>
    <t>1953-05-24</t>
  </si>
  <si>
    <t>1952-04-10</t>
  </si>
  <si>
    <t>1966-06-04</t>
  </si>
  <si>
    <t>1926-10-14</t>
  </si>
  <si>
    <t>1921-07-16</t>
  </si>
  <si>
    <t>1946-01-28</t>
  </si>
  <si>
    <t>1935-04-03</t>
  </si>
  <si>
    <t>1961-03-21</t>
  </si>
  <si>
    <t>1967-11-12</t>
  </si>
  <si>
    <t>1926-12-11</t>
  </si>
  <si>
    <t>1968-03-16</t>
  </si>
  <si>
    <t>1952-11-06</t>
  </si>
  <si>
    <t>1938-03-15</t>
  </si>
  <si>
    <t>1928-11-16</t>
  </si>
  <si>
    <t>1967-08-11</t>
  </si>
  <si>
    <t>1922-09-04</t>
  </si>
  <si>
    <t>1941-10-21</t>
  </si>
  <si>
    <t>1939-04-07</t>
  </si>
  <si>
    <t>1949-10-16</t>
  </si>
  <si>
    <t>1956-01-13</t>
  </si>
  <si>
    <t>1936-06-01</t>
  </si>
  <si>
    <t>1953-12-28</t>
  </si>
  <si>
    <t>1936-03-01</t>
  </si>
  <si>
    <t>1935-11-24</t>
  </si>
  <si>
    <t>1952-02-20</t>
  </si>
  <si>
    <t>1956-11-22</t>
  </si>
  <si>
    <t>1935-01-26</t>
  </si>
  <si>
    <t>1926-12-08</t>
  </si>
  <si>
    <t>1948-01-14</t>
  </si>
  <si>
    <t>1938-05-11</t>
  </si>
  <si>
    <t>1931-04-16</t>
  </si>
  <si>
    <t>1923-12-29</t>
  </si>
  <si>
    <t>1947-01-05</t>
  </si>
  <si>
    <t>1923-07-02</t>
  </si>
  <si>
    <t>1942-11-08</t>
  </si>
  <si>
    <t>1958-01-01</t>
  </si>
  <si>
    <t>1934-09-10</t>
  </si>
  <si>
    <t>1953-08-17</t>
  </si>
  <si>
    <t>1920-11-17</t>
  </si>
  <si>
    <t>1966-11-09</t>
  </si>
  <si>
    <t>1957-03-27</t>
  </si>
  <si>
    <t>1938-04-19</t>
  </si>
  <si>
    <t>1933-04-20</t>
  </si>
  <si>
    <t>1934-03-01</t>
  </si>
  <si>
    <t>1925-04-01</t>
  </si>
  <si>
    <t>1958-12-16</t>
  </si>
  <si>
    <t>1929-05-24</t>
  </si>
  <si>
    <t>1952-12-19</t>
  </si>
  <si>
    <t>1952-10-11</t>
  </si>
  <si>
    <t>1952-11-03</t>
  </si>
  <si>
    <t>1938-05-19</t>
  </si>
  <si>
    <t>1930-04-17</t>
  </si>
  <si>
    <t>1957-09-04</t>
  </si>
  <si>
    <t>1970-08-14</t>
  </si>
  <si>
    <t>1936-11-25</t>
  </si>
  <si>
    <t>1955-03-29</t>
  </si>
  <si>
    <t>1929-09-10</t>
  </si>
  <si>
    <t>1926-05-16</t>
  </si>
  <si>
    <t>1962-06-27</t>
  </si>
  <si>
    <t>1950-05-28</t>
  </si>
  <si>
    <t>1936-02-05</t>
  </si>
  <si>
    <t>1963-09-04</t>
  </si>
  <si>
    <t>1959-07-17</t>
  </si>
  <si>
    <t>1922-12-01</t>
  </si>
  <si>
    <t>1943-11-30</t>
  </si>
  <si>
    <t>1953-03-28</t>
  </si>
  <si>
    <t>1967-06-20</t>
  </si>
  <si>
    <t>1936-10-17</t>
  </si>
  <si>
    <t>1964-07-29</t>
  </si>
  <si>
    <t>1940-04-10</t>
  </si>
  <si>
    <t>1959-12-31</t>
  </si>
  <si>
    <t>1950-11-14</t>
  </si>
  <si>
    <t>1961-04-22</t>
  </si>
  <si>
    <t>1951-12-05</t>
  </si>
  <si>
    <t>1938-06-15</t>
  </si>
  <si>
    <t>1928-06-30</t>
  </si>
  <si>
    <t>1930-02-09</t>
  </si>
  <si>
    <t>1926-10-06</t>
  </si>
  <si>
    <t>1966-06-26</t>
  </si>
  <si>
    <t>1971-10-12</t>
  </si>
  <si>
    <t>1973-07-03</t>
  </si>
  <si>
    <t>1933-03-03</t>
  </si>
  <si>
    <t>1966-09-21</t>
  </si>
  <si>
    <t>1957-08-26</t>
  </si>
  <si>
    <t>1953-02-19</t>
  </si>
  <si>
    <t>1959-11-28</t>
  </si>
  <si>
    <t>1948-08-26</t>
  </si>
  <si>
    <t>1949-11-13</t>
  </si>
  <si>
    <t>1931-08-28</t>
  </si>
  <si>
    <t>1928-05-24</t>
  </si>
  <si>
    <t>1932-01-05</t>
  </si>
  <si>
    <t>1938-09-02</t>
  </si>
  <si>
    <t>1965-01-22</t>
  </si>
  <si>
    <t>1942-01-05</t>
  </si>
  <si>
    <t>1970-11-02</t>
  </si>
  <si>
    <t>1958-10-22</t>
  </si>
  <si>
    <t>1951-08-22</t>
  </si>
  <si>
    <t>1947-11-20</t>
  </si>
  <si>
    <t>1930-04-23</t>
  </si>
  <si>
    <t>1953-01-29</t>
  </si>
  <si>
    <t>1947-12-19</t>
  </si>
  <si>
    <t>1942-09-17</t>
  </si>
  <si>
    <t>1936-02-13</t>
  </si>
  <si>
    <t>1968-05-06</t>
  </si>
  <si>
    <t>1971-01-06</t>
  </si>
  <si>
    <t>1947-01-29</t>
  </si>
  <si>
    <t>1937-10-10</t>
  </si>
  <si>
    <t>1962-05-22</t>
  </si>
  <si>
    <t>1930-01-27</t>
  </si>
  <si>
    <t>1955-04-06</t>
  </si>
  <si>
    <t>1949-03-14</t>
  </si>
  <si>
    <t>1964-02-24</t>
  </si>
  <si>
    <t>1936-02-11</t>
  </si>
  <si>
    <t>1950-02-03</t>
  </si>
  <si>
    <t>1953-09-20</t>
  </si>
  <si>
    <t>1931-07-24</t>
  </si>
  <si>
    <t>1937-02-21</t>
  </si>
  <si>
    <t>1974-01-17</t>
  </si>
  <si>
    <t>1946-03-18</t>
  </si>
  <si>
    <t>1934-07-04</t>
  </si>
  <si>
    <t>1930-03-14</t>
  </si>
  <si>
    <t>1957-03-10</t>
  </si>
  <si>
    <t>1938-02-21</t>
  </si>
  <si>
    <t>1944-03-10</t>
  </si>
  <si>
    <t>1940-07-26</t>
  </si>
  <si>
    <t>1921-07-02</t>
  </si>
  <si>
    <t>1948-10-12</t>
  </si>
  <si>
    <t>1953-11-09</t>
  </si>
  <si>
    <t>1952-08-24</t>
  </si>
  <si>
    <t>1938-05-27</t>
  </si>
  <si>
    <t>1963-08-25</t>
  </si>
  <si>
    <t>1961-03-02</t>
  </si>
  <si>
    <t>1947-08-14</t>
  </si>
  <si>
    <t>1925-04-25</t>
  </si>
  <si>
    <t>1963-01-14</t>
  </si>
  <si>
    <t>1928-08-06</t>
  </si>
  <si>
    <t>1953-01-24</t>
  </si>
  <si>
    <t>1952-12-20</t>
  </si>
  <si>
    <t>1925-12-05</t>
  </si>
  <si>
    <t>1939-03-26</t>
  </si>
  <si>
    <t>1960-05-10</t>
  </si>
  <si>
    <t>1961-06-29</t>
  </si>
  <si>
    <t>1961-05-31</t>
  </si>
  <si>
    <t>1976-03-17</t>
  </si>
  <si>
    <t>1925-12-26</t>
  </si>
  <si>
    <t>1936-03-10</t>
  </si>
  <si>
    <t>1922-09-07</t>
  </si>
  <si>
    <t>1927-02-06</t>
  </si>
  <si>
    <t>1930-11-01</t>
  </si>
  <si>
    <t>1949-01-22</t>
  </si>
  <si>
    <t>1935-09-21</t>
  </si>
  <si>
    <t>1935-12-25</t>
  </si>
  <si>
    <t>1954-10-20</t>
  </si>
  <si>
    <t>1962-11-27</t>
  </si>
  <si>
    <t>1948-01-22</t>
  </si>
  <si>
    <t>1941-02-18</t>
  </si>
  <si>
    <t>1924-05-27</t>
  </si>
  <si>
    <t>1935-07-08</t>
  </si>
  <si>
    <t>1934-03-12</t>
  </si>
  <si>
    <t>1932-03-10</t>
  </si>
  <si>
    <t>1932-10-15</t>
  </si>
  <si>
    <t>1971-03-07</t>
  </si>
  <si>
    <t>1947-09-21</t>
  </si>
  <si>
    <t>1957-09-11</t>
  </si>
  <si>
    <t>1947-05-26</t>
  </si>
  <si>
    <t>1976-03-06</t>
  </si>
  <si>
    <t>1952-07-30</t>
  </si>
  <si>
    <t>1926-11-29</t>
  </si>
  <si>
    <t>1954-07-20</t>
  </si>
  <si>
    <t>1932-03-03</t>
  </si>
  <si>
    <t>1974-10-29</t>
  </si>
  <si>
    <t>1952-10-30</t>
  </si>
  <si>
    <t>1957-02-09</t>
  </si>
  <si>
    <t>1930-03-29</t>
  </si>
  <si>
    <t>1958-05-26</t>
  </si>
  <si>
    <t>1950-12-31</t>
  </si>
  <si>
    <t>1950-05-24</t>
  </si>
  <si>
    <t>1941-02-05</t>
  </si>
  <si>
    <t>1933-11-24</t>
  </si>
  <si>
    <t>1929-02-26</t>
  </si>
  <si>
    <t>1928-08-23</t>
  </si>
  <si>
    <t>1945-08-07</t>
  </si>
  <si>
    <t>1973-06-18</t>
  </si>
  <si>
    <t>1956-02-03</t>
  </si>
  <si>
    <t>1959-10-29</t>
  </si>
  <si>
    <t>1929-08-11</t>
  </si>
  <si>
    <t>1965-08-22</t>
  </si>
  <si>
    <t>1949-03-09</t>
  </si>
  <si>
    <t>1978-12-11</t>
  </si>
  <si>
    <t>1951-02-19</t>
  </si>
  <si>
    <t>1937-09-11</t>
  </si>
  <si>
    <t>1972-04-24</t>
  </si>
  <si>
    <t>1970-12-11</t>
  </si>
  <si>
    <t>1930-07-06</t>
  </si>
  <si>
    <t>1952-06-09</t>
  </si>
  <si>
    <t>1938-06-21</t>
  </si>
  <si>
    <t>1974-12-06</t>
  </si>
  <si>
    <t>1945-01-15</t>
  </si>
  <si>
    <t>1957-10-07</t>
  </si>
  <si>
    <t>1927-05-02</t>
  </si>
  <si>
    <t>1971-05-07</t>
  </si>
  <si>
    <t>1948-05-08</t>
  </si>
  <si>
    <t>1957-03-14</t>
  </si>
  <si>
    <t>1964-02-03</t>
  </si>
  <si>
    <t>1944-09-28</t>
  </si>
  <si>
    <t>1969-04-24</t>
  </si>
  <si>
    <t>1953-12-03</t>
  </si>
  <si>
    <t>1970-09-13</t>
  </si>
  <si>
    <t>1983-12-25</t>
  </si>
  <si>
    <t>1947-03-06</t>
  </si>
  <si>
    <t>1936-10-01</t>
  </si>
  <si>
    <t>1946-02-21</t>
  </si>
  <si>
    <t>1934-01-15</t>
  </si>
  <si>
    <t>1945-10-02</t>
  </si>
  <si>
    <t>1953-03-01</t>
  </si>
  <si>
    <t>1956-03-01</t>
  </si>
  <si>
    <t>1939-01-11</t>
  </si>
  <si>
    <t>1930-04-02</t>
  </si>
  <si>
    <t>1935-06-24</t>
  </si>
  <si>
    <t>1929-04-23</t>
  </si>
  <si>
    <t>1973-02-15</t>
  </si>
  <si>
    <t>1927-03-19</t>
  </si>
  <si>
    <t>1955-11-04</t>
  </si>
  <si>
    <t>1933-10-17</t>
  </si>
  <si>
    <t>1935-12-07</t>
  </si>
  <si>
    <t>1931-06-10</t>
  </si>
  <si>
    <t>1929-05-29</t>
  </si>
  <si>
    <t>1945-07-10</t>
  </si>
  <si>
    <t>1979-09-03</t>
  </si>
  <si>
    <t>1957-06-04</t>
  </si>
  <si>
    <t>1948-04-27</t>
  </si>
  <si>
    <t>1942-09-29</t>
  </si>
  <si>
    <t>1947-02-24</t>
  </si>
  <si>
    <t>1956-11-15</t>
  </si>
  <si>
    <t>1937-08-05</t>
  </si>
  <si>
    <t>1959-10-14</t>
  </si>
  <si>
    <t>1950-05-07</t>
  </si>
  <si>
    <t>1951-12-12</t>
  </si>
  <si>
    <t>1956-06-09</t>
  </si>
  <si>
    <t>1945-02-23</t>
  </si>
  <si>
    <t>1950-09-14</t>
  </si>
  <si>
    <t>1943-11-27</t>
  </si>
  <si>
    <t>1973-09-10</t>
  </si>
  <si>
    <t>1940-05-30</t>
  </si>
  <si>
    <t>1939-05-15</t>
  </si>
  <si>
    <t>1944-08-01</t>
  </si>
  <si>
    <t>1936-05-24</t>
  </si>
  <si>
    <t>1936-08-20</t>
  </si>
  <si>
    <t>1963-05-22</t>
  </si>
  <si>
    <t>1960-11-16</t>
  </si>
  <si>
    <t>1935-05-08</t>
  </si>
  <si>
    <t>1961-04-27</t>
  </si>
  <si>
    <t>1968-05-27</t>
  </si>
  <si>
    <t>1957-09-07</t>
  </si>
  <si>
    <t>1938-08-06</t>
  </si>
  <si>
    <t>1978-01-08</t>
  </si>
  <si>
    <t>1983-04-10</t>
  </si>
  <si>
    <t>1961-11-11</t>
  </si>
  <si>
    <t>1957-02-12</t>
  </si>
  <si>
    <t>1965-06-18</t>
  </si>
  <si>
    <t>1949-10-24</t>
  </si>
  <si>
    <t>1962-04-28</t>
  </si>
  <si>
    <t>1977-10-25</t>
  </si>
  <si>
    <t>1944-02-27</t>
  </si>
  <si>
    <t>1963-11-27</t>
  </si>
  <si>
    <t>1932-07-10</t>
  </si>
  <si>
    <t>1954-07-02</t>
  </si>
  <si>
    <t>1941-02-27</t>
  </si>
  <si>
    <t>1960-09-17</t>
  </si>
  <si>
    <t>1925-11-19</t>
  </si>
  <si>
    <t>1943-08-18</t>
  </si>
  <si>
    <t>1954-09-29</t>
  </si>
  <si>
    <t>1937-10-30</t>
  </si>
  <si>
    <t>1938-09-22</t>
  </si>
  <si>
    <t>1975-12-14</t>
  </si>
  <si>
    <t>1949-08-17</t>
  </si>
  <si>
    <t>1946-12-08</t>
  </si>
  <si>
    <t>1945-08-27</t>
  </si>
  <si>
    <t>1950-10-25</t>
  </si>
  <si>
    <t>1959-10-15</t>
  </si>
  <si>
    <t>1944-10-18</t>
  </si>
  <si>
    <t>1951-05-21</t>
  </si>
  <si>
    <t>1972-01-24</t>
  </si>
  <si>
    <t>1964-03-24</t>
  </si>
  <si>
    <t>1958-10-14</t>
  </si>
  <si>
    <t>1940-05-14</t>
  </si>
  <si>
    <t>1927-03-16</t>
  </si>
  <si>
    <t>1944-03-11</t>
  </si>
  <si>
    <t>1956-08-18</t>
  </si>
  <si>
    <t>1957-06-27</t>
  </si>
  <si>
    <t>1955-01-10</t>
  </si>
  <si>
    <t>1959-10-12</t>
  </si>
  <si>
    <t>1955-04-03</t>
  </si>
  <si>
    <t>1942-10-30</t>
  </si>
  <si>
    <t>1926-10-21</t>
  </si>
  <si>
    <t>1938-02-04</t>
  </si>
  <si>
    <t>1924-11-06</t>
  </si>
  <si>
    <t>1971-10-30</t>
  </si>
  <si>
    <t>1938-06-16</t>
  </si>
  <si>
    <t>1930-06-19</t>
  </si>
  <si>
    <t>1955-07-12</t>
  </si>
  <si>
    <t>1974-03-24</t>
  </si>
  <si>
    <t>1962-01-14</t>
  </si>
  <si>
    <t>1970-10-17</t>
  </si>
  <si>
    <t>1965-04-26</t>
  </si>
  <si>
    <t>1942-07-23</t>
  </si>
  <si>
    <t>1940-11-22</t>
  </si>
  <si>
    <t>1950-04-07</t>
  </si>
  <si>
    <t>1966-10-07</t>
  </si>
  <si>
    <t>1942-03-16</t>
  </si>
  <si>
    <t>1937-11-02</t>
  </si>
  <si>
    <t>1955-01-03</t>
  </si>
  <si>
    <t>1943-11-10</t>
  </si>
  <si>
    <t>1955-10-30</t>
  </si>
  <si>
    <t>1937-05-29</t>
  </si>
  <si>
    <t>1929-09-18</t>
  </si>
  <si>
    <t>1935-09-04</t>
  </si>
  <si>
    <t>1929-02-19</t>
  </si>
  <si>
    <t>1935-01-14</t>
  </si>
  <si>
    <t>1962-09-14</t>
  </si>
  <si>
    <t>1939-03-29</t>
  </si>
  <si>
    <t>1959-02-19</t>
  </si>
  <si>
    <t>1966-08-17</t>
  </si>
  <si>
    <t>1958-03-31</t>
  </si>
  <si>
    <t>1927-07-31</t>
  </si>
  <si>
    <t>1941-10-18</t>
  </si>
  <si>
    <t>1943-11-18</t>
  </si>
  <si>
    <t>1942-01-24</t>
  </si>
  <si>
    <t>1957-07-14</t>
  </si>
  <si>
    <t>1933-08-03</t>
  </si>
  <si>
    <t>1936-08-08</t>
  </si>
  <si>
    <t>1956-11-03</t>
  </si>
  <si>
    <t>1949-06-17</t>
  </si>
  <si>
    <t>1961-05-09</t>
  </si>
  <si>
    <t>1928-03-10</t>
  </si>
  <si>
    <t>1925-10-18</t>
  </si>
  <si>
    <t>1941-07-24</t>
  </si>
  <si>
    <t>1947-02-04</t>
  </si>
  <si>
    <t>1970-08-24</t>
  </si>
  <si>
    <t>1954-01-18</t>
  </si>
  <si>
    <t>1951-04-03</t>
  </si>
  <si>
    <t>1933-03-08</t>
  </si>
  <si>
    <t>1940-05-23</t>
  </si>
  <si>
    <t>1955-09-20</t>
  </si>
  <si>
    <t>1951-08-14</t>
  </si>
  <si>
    <t>1979-08-09</t>
  </si>
  <si>
    <t>1944-02-12</t>
  </si>
  <si>
    <t>1938-06-01</t>
  </si>
  <si>
    <t>1930-03-01</t>
  </si>
  <si>
    <t>1944-05-05</t>
  </si>
  <si>
    <t>1934-01-18</t>
  </si>
  <si>
    <t>1961-10-08</t>
  </si>
  <si>
    <t>1966-10-22</t>
  </si>
  <si>
    <t>1937-03-27</t>
  </si>
  <si>
    <t>1946-03-22</t>
  </si>
  <si>
    <t>1936-04-05</t>
  </si>
  <si>
    <t>1970-01-10</t>
  </si>
  <si>
    <t>1934-02-12</t>
  </si>
  <si>
    <t>1956-11-25</t>
  </si>
  <si>
    <t>1939-12-13</t>
  </si>
  <si>
    <t>1953-12-06</t>
  </si>
  <si>
    <t>1944-12-04</t>
  </si>
  <si>
    <t>1935-02-11</t>
  </si>
  <si>
    <t>1965-11-17</t>
  </si>
  <si>
    <t>1943-03-09</t>
  </si>
  <si>
    <t>1948-09-17</t>
  </si>
  <si>
    <t>1959-04-19</t>
  </si>
  <si>
    <t>1956-04-08</t>
  </si>
  <si>
    <t>1951-09-16</t>
  </si>
  <si>
    <t>1955-01-05</t>
  </si>
  <si>
    <t>1968-05-31</t>
  </si>
  <si>
    <t>1975-04-25</t>
  </si>
  <si>
    <t>1971-07-07</t>
  </si>
  <si>
    <t>1955-04-18</t>
  </si>
  <si>
    <t>1962-04-07</t>
  </si>
  <si>
    <t>1964-05-19</t>
  </si>
  <si>
    <t>1928-08-13</t>
  </si>
  <si>
    <t>1948-08-11</t>
  </si>
  <si>
    <t>1982-07-21</t>
  </si>
  <si>
    <t>1944-02-10</t>
  </si>
  <si>
    <t>1982-10-30</t>
  </si>
  <si>
    <t>1948-01-15</t>
  </si>
  <si>
    <t>1942-07-15</t>
  </si>
  <si>
    <t>1949-08-25</t>
  </si>
  <si>
    <t>1965-04-22</t>
  </si>
  <si>
    <t>1956-07-21</t>
  </si>
  <si>
    <t>1948-05-16</t>
  </si>
  <si>
    <t>1942-06-13</t>
  </si>
  <si>
    <t>1966-09-30</t>
  </si>
  <si>
    <t>1977-08-21</t>
  </si>
  <si>
    <t>1967-11-19</t>
  </si>
  <si>
    <t>1958-10-10</t>
  </si>
  <si>
    <t>1949-06-15</t>
  </si>
  <si>
    <t>1951-07-04</t>
  </si>
  <si>
    <t>1949-06-07</t>
  </si>
  <si>
    <t>1945-05-10</t>
  </si>
  <si>
    <t>1944-04-14</t>
  </si>
  <si>
    <t>1946-02-11</t>
  </si>
  <si>
    <t>1962-04-21</t>
  </si>
  <si>
    <t>1969-02-05</t>
  </si>
  <si>
    <t>1948-12-03</t>
  </si>
  <si>
    <t>1958-01-08</t>
  </si>
  <si>
    <t>1975-05-24</t>
  </si>
  <si>
    <t>1966-10-30</t>
  </si>
  <si>
    <t>1967-10-10</t>
  </si>
  <si>
    <t>1954-10-12</t>
  </si>
  <si>
    <t>1956-04-12</t>
  </si>
  <si>
    <t>1951-06-19</t>
  </si>
  <si>
    <t>1944-03-15</t>
  </si>
  <si>
    <t>1963-02-28</t>
  </si>
  <si>
    <t>1956-03-02</t>
  </si>
  <si>
    <t>1981-12-26</t>
  </si>
  <si>
    <t>1928-12-26</t>
  </si>
  <si>
    <t>1951-12-16</t>
  </si>
  <si>
    <t>1967-12-09</t>
  </si>
  <si>
    <t>1955-05-25</t>
  </si>
  <si>
    <t>1953-09-09</t>
  </si>
  <si>
    <t>1952-11-04</t>
  </si>
  <si>
    <t>1943-10-03</t>
  </si>
  <si>
    <t>1950-10-07</t>
  </si>
  <si>
    <t>1954-02-10</t>
  </si>
  <si>
    <t>1961-08-09</t>
  </si>
  <si>
    <t>1955-08-30</t>
  </si>
  <si>
    <t>1929-06-07</t>
  </si>
  <si>
    <t>1949-09-27</t>
  </si>
  <si>
    <t>1966-12-24</t>
  </si>
  <si>
    <t>1987-07-05</t>
  </si>
  <si>
    <t>1941-11-16</t>
  </si>
  <si>
    <t>1967-12-08</t>
  </si>
  <si>
    <t>1968-05-11</t>
  </si>
  <si>
    <t>1939-09-14</t>
  </si>
  <si>
    <t>1941-01-18</t>
  </si>
  <si>
    <t>1948-12-28</t>
  </si>
  <si>
    <t>1940-10-02</t>
  </si>
  <si>
    <t>1959-12-11</t>
  </si>
  <si>
    <t>1981-09-13</t>
  </si>
  <si>
    <t>1966-06-09</t>
  </si>
  <si>
    <t>1968-02-21</t>
  </si>
  <si>
    <t>1941-03-04</t>
  </si>
  <si>
    <t>1974-02-10</t>
  </si>
  <si>
    <t>1966-02-28</t>
  </si>
  <si>
    <t>1942-06-11</t>
  </si>
  <si>
    <t>1954-06-19</t>
  </si>
  <si>
    <t>1975-04-22</t>
  </si>
  <si>
    <t>1972-02-02</t>
  </si>
  <si>
    <t>1956-06-27</t>
  </si>
  <si>
    <t>1959-09-27</t>
  </si>
  <si>
    <t>1946-01-02</t>
  </si>
  <si>
    <t>1980-05-15</t>
  </si>
  <si>
    <t>1936-11-16</t>
  </si>
  <si>
    <t>1943-11-24</t>
  </si>
  <si>
    <t>1942-03-12</t>
  </si>
  <si>
    <t>1941-12-04</t>
  </si>
  <si>
    <t>1942-01-21</t>
  </si>
  <si>
    <t>1954-11-01</t>
  </si>
  <si>
    <t>1957-03-25</t>
  </si>
  <si>
    <t>1960-11-28</t>
  </si>
  <si>
    <t>1951-03-10</t>
  </si>
  <si>
    <t>1966-07-09</t>
  </si>
  <si>
    <t>1975-01-10</t>
  </si>
  <si>
    <t>1963-08-27</t>
  </si>
  <si>
    <t>1950-07-23</t>
  </si>
  <si>
    <t>1965-05-12</t>
  </si>
  <si>
    <t>1952-01-06</t>
  </si>
  <si>
    <t>1930-10-18</t>
  </si>
  <si>
    <t>1961-09-19</t>
  </si>
  <si>
    <t>1951-12-14</t>
  </si>
  <si>
    <t>1947-07-27</t>
  </si>
  <si>
    <t>1961-08-27</t>
  </si>
  <si>
    <t>1955-08-06</t>
  </si>
  <si>
    <t>1958-10-28</t>
  </si>
  <si>
    <t>1958-07-12</t>
  </si>
  <si>
    <t>1943-03-31</t>
  </si>
  <si>
    <t>1966-12-18</t>
  </si>
  <si>
    <t>1963-12-28</t>
  </si>
  <si>
    <t>1935-09-10</t>
  </si>
  <si>
    <t>1970-12-05</t>
  </si>
  <si>
    <t>1965-05-17</t>
  </si>
  <si>
    <t>1954-11-13</t>
  </si>
  <si>
    <t>1948-07-13</t>
  </si>
  <si>
    <t>1939-07-11</t>
  </si>
  <si>
    <t>1956-03-19</t>
  </si>
  <si>
    <t>1935-04-15</t>
  </si>
  <si>
    <t>1950-01-16</t>
  </si>
  <si>
    <t>1958-08-06</t>
  </si>
  <si>
    <t>1939-08-22</t>
  </si>
  <si>
    <t>1967-06-24</t>
  </si>
  <si>
    <t>1959-03-09</t>
  </si>
  <si>
    <t>1947-11-17</t>
  </si>
  <si>
    <t>1945-05-21</t>
  </si>
  <si>
    <t>1950-03-16</t>
  </si>
  <si>
    <t>1975-02-28</t>
  </si>
  <si>
    <t>1969-02-08</t>
  </si>
  <si>
    <t>1957-11-08</t>
  </si>
  <si>
    <t>1931-09-05</t>
  </si>
  <si>
    <t>1940-03-18</t>
  </si>
  <si>
    <t>1954-03-21</t>
  </si>
  <si>
    <t>1980-11-18</t>
  </si>
  <si>
    <t>1963-04-30</t>
  </si>
  <si>
    <t>1976-11-01</t>
  </si>
  <si>
    <t>1968-02-22</t>
  </si>
  <si>
    <t>1952-11-01</t>
  </si>
  <si>
    <t>1951-11-01</t>
  </si>
  <si>
    <t>1964-01-06</t>
  </si>
  <si>
    <t>1964-04-22</t>
  </si>
  <si>
    <t>1948-10-04</t>
  </si>
  <si>
    <t>1966-04-16</t>
  </si>
  <si>
    <t>1960-04-18</t>
  </si>
  <si>
    <t>1983-10-10</t>
  </si>
  <si>
    <t>1957-10-09</t>
  </si>
  <si>
    <t>1953-12-07</t>
  </si>
  <si>
    <t>1971-11-12</t>
  </si>
  <si>
    <t>1945-07-16</t>
  </si>
  <si>
    <t>1961-02-11</t>
  </si>
  <si>
    <t>1952-07-13</t>
  </si>
  <si>
    <t>1930-08-08</t>
  </si>
  <si>
    <t>1943-05-28</t>
  </si>
  <si>
    <t>1942-04-29</t>
  </si>
  <si>
    <t>1952-01-29</t>
  </si>
  <si>
    <t>1932-03-27</t>
  </si>
  <si>
    <t>1960-07-07</t>
  </si>
  <si>
    <t>1983-10-16</t>
  </si>
  <si>
    <t>1966-04-14</t>
  </si>
  <si>
    <t>1941-12-10</t>
  </si>
  <si>
    <t>1961-03-07</t>
  </si>
  <si>
    <t>1931-04-30</t>
  </si>
  <si>
    <t>1961-10-09</t>
  </si>
  <si>
    <t>1962-10-25</t>
  </si>
  <si>
    <t>1959-01-19</t>
  </si>
  <si>
    <t>1973-08-07</t>
  </si>
  <si>
    <t>1953-09-26</t>
  </si>
  <si>
    <t>1962-12-08</t>
  </si>
  <si>
    <t>1957-11-18</t>
  </si>
  <si>
    <t>1973-01-20</t>
  </si>
  <si>
    <t>1952-03-09</t>
  </si>
  <si>
    <t>1929-11-28</t>
  </si>
  <si>
    <t>1930-06-29</t>
  </si>
  <si>
    <t>1948-11-10</t>
  </si>
  <si>
    <t>1935-06-13</t>
  </si>
  <si>
    <t>1974-06-12</t>
  </si>
  <si>
    <t>1973-02-23</t>
  </si>
  <si>
    <t>1944-09-10</t>
  </si>
  <si>
    <t>1943-06-24</t>
  </si>
  <si>
    <t>1934-02-20</t>
  </si>
  <si>
    <t>1961-11-27</t>
  </si>
  <si>
    <t>1957-04-05</t>
  </si>
  <si>
    <t>1966-12-25</t>
  </si>
  <si>
    <t>1948-01-20</t>
  </si>
  <si>
    <t>1930-01-31</t>
  </si>
  <si>
    <t>1988-11-11</t>
  </si>
  <si>
    <t>1985-07-31</t>
  </si>
  <si>
    <t>1980-12-09</t>
  </si>
  <si>
    <t>1940-12-14</t>
  </si>
  <si>
    <t>1947-06-10</t>
  </si>
  <si>
    <t>1969-04-17</t>
  </si>
  <si>
    <t>1948-03-05</t>
  </si>
  <si>
    <t>1972-09-01</t>
  </si>
  <si>
    <t>1975-10-15</t>
  </si>
  <si>
    <t>1942-10-23</t>
  </si>
  <si>
    <t>1934-05-08</t>
  </si>
  <si>
    <t>1958-02-21</t>
  </si>
  <si>
    <t>1932-08-01</t>
  </si>
  <si>
    <t>1949-09-12</t>
  </si>
  <si>
    <t>1956-12-05</t>
  </si>
  <si>
    <t>1974-02-01</t>
  </si>
  <si>
    <t>1966-11-21</t>
  </si>
  <si>
    <t>1961-06-19</t>
  </si>
  <si>
    <t>1935-03-10</t>
  </si>
  <si>
    <t>1942-04-14</t>
  </si>
  <si>
    <t>1961-05-01</t>
  </si>
  <si>
    <t>1942-04-25</t>
  </si>
  <si>
    <t>1953-11-27</t>
  </si>
  <si>
    <t>1954-02-20</t>
  </si>
  <si>
    <t>1951-10-25</t>
  </si>
  <si>
    <t>1948-08-19</t>
  </si>
  <si>
    <t>1939-11-23</t>
  </si>
  <si>
    <t>1938-08-30</t>
  </si>
  <si>
    <t>1964-02-23</t>
  </si>
  <si>
    <t>1960-10-13</t>
  </si>
  <si>
    <t>1944-08-28</t>
  </si>
  <si>
    <t>1956-09-29</t>
  </si>
  <si>
    <t>1936-11-18</t>
  </si>
  <si>
    <t>1943-11-23</t>
  </si>
  <si>
    <t>1976-03-25</t>
  </si>
  <si>
    <t>1984-09-11</t>
  </si>
  <si>
    <t>1939-12-08</t>
  </si>
  <si>
    <t>1943-08-07</t>
  </si>
  <si>
    <t>1956-04-06</t>
  </si>
  <si>
    <t>1961-10-14</t>
  </si>
  <si>
    <t>1955-03-26</t>
  </si>
  <si>
    <t>1977-04-02</t>
  </si>
  <si>
    <t>1958-03-14</t>
  </si>
  <si>
    <t>1986-12-12</t>
  </si>
  <si>
    <t>1952-11-26</t>
  </si>
  <si>
    <t>1934-07-31</t>
  </si>
  <si>
    <t>1931-01-14</t>
  </si>
  <si>
    <t>1964-07-10</t>
  </si>
  <si>
    <t>1958-03-21</t>
  </si>
  <si>
    <t>1965-05-29</t>
  </si>
  <si>
    <t>1951-07-10</t>
  </si>
  <si>
    <t>1944-04-22</t>
  </si>
  <si>
    <t>1954-01-05</t>
  </si>
  <si>
    <t>1967-02-28</t>
  </si>
  <si>
    <t>1948-10-20</t>
  </si>
  <si>
    <t>1933-08-31</t>
  </si>
  <si>
    <t>1950-01-22</t>
  </si>
  <si>
    <t>1955-08-04</t>
  </si>
  <si>
    <t>1959-09-10</t>
  </si>
  <si>
    <t>1953-11-25</t>
  </si>
  <si>
    <t>1937-08-11</t>
  </si>
  <si>
    <t>1965-04-04</t>
  </si>
  <si>
    <t>1938-08-24</t>
  </si>
  <si>
    <t>1964-10-09</t>
  </si>
  <si>
    <t>1971-06-19</t>
  </si>
  <si>
    <t>1946-04-22</t>
  </si>
  <si>
    <t>1944-12-18</t>
  </si>
  <si>
    <t>1958-10-13</t>
  </si>
  <si>
    <t>1956-02-09</t>
  </si>
  <si>
    <t>1949-09-10</t>
  </si>
  <si>
    <t>1959-06-04</t>
  </si>
  <si>
    <t>1961-05-28</t>
  </si>
  <si>
    <t>1989-07-15</t>
  </si>
  <si>
    <t>1943-03-11</t>
  </si>
  <si>
    <t>1972-01-01</t>
  </si>
  <si>
    <t>1965-11-22</t>
  </si>
  <si>
    <t>1965-07-20</t>
  </si>
  <si>
    <t>1997-10-14</t>
  </si>
  <si>
    <t>1942-10-20</t>
  </si>
  <si>
    <t>1955-11-29</t>
  </si>
  <si>
    <t>1970-06-06</t>
  </si>
  <si>
    <t>1965-10-16</t>
  </si>
  <si>
    <t>1952-03-16</t>
  </si>
  <si>
    <t>1948-07-24</t>
  </si>
  <si>
    <t>1944-12-24</t>
  </si>
  <si>
    <t>1945-02-19</t>
  </si>
  <si>
    <t>1965-10-31</t>
  </si>
  <si>
    <t>1937-03-09</t>
  </si>
  <si>
    <t>1955-08-22</t>
  </si>
  <si>
    <t>1975-06-01</t>
  </si>
  <si>
    <t>1956-12-07</t>
  </si>
  <si>
    <t>1996-04-10</t>
  </si>
  <si>
    <t>1947-04-19</t>
  </si>
  <si>
    <t>1946-10-09</t>
  </si>
  <si>
    <t>1987-01-24</t>
  </si>
  <si>
    <t>1940-05-02</t>
  </si>
  <si>
    <t>1971-07-14</t>
  </si>
  <si>
    <t>1946-01-14</t>
  </si>
  <si>
    <t>1940-11-10</t>
  </si>
  <si>
    <t>1940-09-10</t>
  </si>
  <si>
    <t>1950-04-20</t>
  </si>
  <si>
    <t>1966-11-03</t>
  </si>
  <si>
    <t>1956-05-05</t>
  </si>
  <si>
    <t>1975-06-10</t>
  </si>
  <si>
    <t>1977-01-08</t>
  </si>
  <si>
    <t>1942-10-06</t>
  </si>
  <si>
    <t>1957-07-19</t>
  </si>
  <si>
    <t>1941-07-26</t>
  </si>
  <si>
    <t>1936-12-02</t>
  </si>
  <si>
    <t>1934-01-24</t>
  </si>
  <si>
    <t>1935-08-28</t>
  </si>
  <si>
    <t>1954-02-07</t>
  </si>
  <si>
    <t>1941-02-22</t>
  </si>
  <si>
    <t>1975-02-20</t>
  </si>
  <si>
    <t>1951-03-24</t>
  </si>
  <si>
    <t>1954-05-25</t>
  </si>
  <si>
    <t>1956-05-22</t>
  </si>
  <si>
    <t>1943-08-13</t>
  </si>
  <si>
    <t>1985-11-10</t>
  </si>
  <si>
    <t>1973-11-05</t>
  </si>
  <si>
    <t>1952-09-19</t>
  </si>
  <si>
    <t>1993-06-14</t>
  </si>
  <si>
    <t>1967-05-13</t>
  </si>
  <si>
    <t>1965-12-18</t>
  </si>
  <si>
    <t>1967-01-30</t>
  </si>
  <si>
    <t>1941-01-30</t>
  </si>
  <si>
    <t>1937-12-09</t>
  </si>
  <si>
    <t>1970-12-31</t>
  </si>
  <si>
    <t>1966-01-14</t>
  </si>
  <si>
    <t>1969-10-02</t>
  </si>
  <si>
    <t>1958-04-08</t>
  </si>
  <si>
    <t>1949-06-02</t>
  </si>
  <si>
    <t>1944-05-18</t>
  </si>
  <si>
    <t>1957-11-05</t>
  </si>
  <si>
    <t>1957-01-03</t>
  </si>
  <si>
    <t>1949-01-04</t>
  </si>
  <si>
    <t>1936-06-25</t>
  </si>
  <si>
    <t>1944-07-10</t>
  </si>
  <si>
    <t>1942-10-14</t>
  </si>
  <si>
    <t>1986-06-20</t>
  </si>
  <si>
    <t>1950-01-26</t>
  </si>
  <si>
    <t>1947-02-13</t>
  </si>
  <si>
    <t>1941-03-16</t>
  </si>
  <si>
    <t>1975-10-07</t>
  </si>
  <si>
    <t>1942-02-19</t>
  </si>
  <si>
    <t>1969-10-01</t>
  </si>
  <si>
    <t>1944-12-31</t>
  </si>
  <si>
    <t>1950-11-09</t>
  </si>
  <si>
    <t>1982-09-28</t>
  </si>
  <si>
    <t>1976-07-05</t>
  </si>
  <si>
    <t>1944-04-09</t>
  </si>
  <si>
    <t>1949-11-28</t>
  </si>
  <si>
    <t>1973-12-16</t>
  </si>
  <si>
    <t>1944-08-15</t>
  </si>
  <si>
    <t>1967-09-25</t>
  </si>
  <si>
    <t>1960-01-04</t>
  </si>
  <si>
    <t>1955-02-28</t>
  </si>
  <si>
    <t>1963-04-01</t>
  </si>
  <si>
    <t>1980-02-05</t>
  </si>
  <si>
    <t>1948-05-23</t>
  </si>
  <si>
    <t>1950-05-16</t>
  </si>
  <si>
    <t>1975-02-14</t>
  </si>
  <si>
    <t>1961-03-28</t>
  </si>
  <si>
    <t>1953-04-20</t>
  </si>
  <si>
    <t>1946-04-02</t>
  </si>
  <si>
    <t>1959-10-16</t>
  </si>
  <si>
    <t>1986-06-29</t>
  </si>
  <si>
    <t>1969-07-16</t>
  </si>
  <si>
    <t>1956-10-28</t>
  </si>
  <si>
    <t>1963-01-24</t>
  </si>
  <si>
    <t>1987-07-03</t>
  </si>
  <si>
    <t>1970-04-12</t>
  </si>
  <si>
    <t>1954-11-15</t>
  </si>
  <si>
    <t>1967-04-05</t>
  </si>
  <si>
    <t>1974-03-03</t>
  </si>
  <si>
    <t>1982-07-25</t>
  </si>
  <si>
    <t>1977-05-27</t>
  </si>
  <si>
    <t>1948-08-06</t>
  </si>
  <si>
    <t>1965-04-08</t>
  </si>
  <si>
    <t>1979-04-20</t>
  </si>
  <si>
    <t>1933-06-21</t>
  </si>
  <si>
    <t>1951-05-12</t>
  </si>
  <si>
    <t>1993-10-30</t>
  </si>
  <si>
    <t>1965-11-28</t>
  </si>
  <si>
    <t>1981-01-01</t>
  </si>
  <si>
    <t>1968-12-30</t>
  </si>
  <si>
    <t>1944-01-14</t>
  </si>
  <si>
    <t>1940-07-20</t>
  </si>
  <si>
    <t>1973-03-13</t>
  </si>
  <si>
    <t>1940-01-28</t>
  </si>
  <si>
    <t>1946-04-24</t>
  </si>
  <si>
    <t>1967-11-18</t>
  </si>
  <si>
    <t>1942-11-13</t>
  </si>
  <si>
    <t>1975-08-21</t>
  </si>
  <si>
    <t>1960-08-26</t>
  </si>
  <si>
    <t>1947-11-27</t>
  </si>
  <si>
    <t>1944-06-26</t>
  </si>
  <si>
    <t>1967-03-27</t>
  </si>
  <si>
    <t>1953-06-17</t>
  </si>
  <si>
    <t>1945-05-19</t>
  </si>
  <si>
    <t>1963-01-11</t>
  </si>
  <si>
    <t>1951-09-18</t>
  </si>
  <si>
    <t>1940-06-09</t>
  </si>
  <si>
    <t>1948-12-21</t>
  </si>
  <si>
    <t>1975-04-08</t>
  </si>
  <si>
    <t>1961-05-11</t>
  </si>
  <si>
    <t>1950-04-12</t>
  </si>
  <si>
    <t>1956-06-21</t>
  </si>
  <si>
    <t>1954-10-19</t>
  </si>
  <si>
    <t>1971-01-14</t>
  </si>
  <si>
    <t>1966-05-06</t>
  </si>
  <si>
    <t>1961-09-08</t>
  </si>
  <si>
    <t>1960-01-16</t>
  </si>
  <si>
    <t>1969-10-05</t>
  </si>
  <si>
    <t>1958-01-09</t>
  </si>
  <si>
    <t>1946-04-14</t>
  </si>
  <si>
    <t>1956-04-01</t>
  </si>
  <si>
    <t>1982-10-18</t>
  </si>
  <si>
    <t>1945-03-06</t>
  </si>
  <si>
    <t>1970-09-18</t>
  </si>
  <si>
    <t>1979-12-26</t>
  </si>
  <si>
    <t>1934-09-24</t>
  </si>
  <si>
    <t>1986-11-15</t>
  </si>
  <si>
    <t>1991-11-07</t>
  </si>
  <si>
    <t>1946-08-29</t>
  </si>
  <si>
    <t>1991-04-08</t>
  </si>
  <si>
    <t>1963-01-16</t>
  </si>
  <si>
    <t>1941-12-15</t>
  </si>
  <si>
    <t>1965-07-05</t>
  </si>
  <si>
    <t>1966-09-02</t>
  </si>
  <si>
    <t>1950-07-31</t>
  </si>
  <si>
    <t>1976-01-22</t>
  </si>
  <si>
    <t>1948-06-05</t>
  </si>
  <si>
    <t>1946-09-22</t>
  </si>
  <si>
    <t>1958-05-20</t>
  </si>
  <si>
    <t>1986-12-05</t>
  </si>
  <si>
    <t>1957-06-22</t>
  </si>
  <si>
    <t>1974-07-30</t>
  </si>
  <si>
    <t>1962-09-01</t>
  </si>
  <si>
    <t>1981-09-16</t>
  </si>
  <si>
    <t>1978-01-27</t>
  </si>
  <si>
    <t>1989-08-05</t>
  </si>
  <si>
    <t>1957-08-07</t>
  </si>
  <si>
    <t>1948-02-25</t>
  </si>
  <si>
    <t>1938-02-17</t>
  </si>
  <si>
    <t>1976-09-01</t>
  </si>
  <si>
    <t>1965-07-13</t>
  </si>
  <si>
    <t>1988-12-15</t>
  </si>
  <si>
    <t>1950-04-17</t>
  </si>
  <si>
    <t>1954-05-31</t>
  </si>
  <si>
    <t>1967-02-21</t>
  </si>
  <si>
    <t>1965-06-19</t>
  </si>
  <si>
    <t>1991-07-12</t>
  </si>
  <si>
    <t>1964-07-11</t>
  </si>
  <si>
    <t>1946-03-20</t>
  </si>
  <si>
    <t>1957-01-11</t>
  </si>
  <si>
    <t>1933-08-01</t>
  </si>
  <si>
    <t>1980-12-19</t>
  </si>
  <si>
    <t>1944-07-18</t>
  </si>
  <si>
    <t>1991-06-18</t>
  </si>
  <si>
    <t>1944-06-20</t>
  </si>
  <si>
    <t>1982-01-03</t>
  </si>
  <si>
    <t>1961-06-18</t>
  </si>
  <si>
    <t>1952-08-31</t>
  </si>
  <si>
    <t>1958-03-01</t>
  </si>
  <si>
    <t>1960-05-24</t>
  </si>
  <si>
    <t>1975-03-24</t>
  </si>
  <si>
    <t>1972-10-06</t>
  </si>
  <si>
    <t>1965-02-01</t>
  </si>
  <si>
    <t>1974-11-24</t>
  </si>
  <si>
    <t>1939-10-20</t>
  </si>
  <si>
    <t>1991-09-18</t>
  </si>
  <si>
    <t>1949-03-15</t>
  </si>
  <si>
    <t>1963-09-11</t>
  </si>
  <si>
    <t>1964-03-14</t>
  </si>
  <si>
    <t>1956-03-18</t>
  </si>
  <si>
    <t>1982-08-06</t>
  </si>
  <si>
    <t>1940-04-09</t>
  </si>
  <si>
    <t>1957-01-20</t>
  </si>
  <si>
    <t>1941-11-24</t>
  </si>
  <si>
    <t>1989-10-19</t>
  </si>
  <si>
    <t>1969-04-08</t>
  </si>
  <si>
    <t>1940-06-10</t>
  </si>
  <si>
    <t>1936-01-26</t>
  </si>
  <si>
    <t>1944-08-29</t>
  </si>
  <si>
    <t>2006-05-04</t>
  </si>
  <si>
    <t>1982-09-17</t>
  </si>
  <si>
    <t>1983-05-15</t>
  </si>
  <si>
    <t>1942-02-07</t>
  </si>
  <si>
    <t>1977-06-08</t>
  </si>
  <si>
    <t>1965-03-10</t>
  </si>
  <si>
    <t>1960-11-15</t>
  </si>
  <si>
    <t>1941-08-06</t>
  </si>
  <si>
    <t>1960-07-23</t>
  </si>
  <si>
    <t>1975-11-08</t>
  </si>
  <si>
    <t>1939-05-19</t>
  </si>
  <si>
    <t>1964-06-21</t>
  </si>
  <si>
    <t>1987-06-29</t>
  </si>
  <si>
    <t>1971-10-25</t>
  </si>
  <si>
    <t>1945-07-02</t>
  </si>
  <si>
    <t>1944-11-16</t>
  </si>
  <si>
    <t>1957-03-20</t>
  </si>
  <si>
    <t>1968-06-24</t>
  </si>
  <si>
    <t>1977-02-01</t>
  </si>
  <si>
    <t>1947-07-17</t>
  </si>
  <si>
    <t>1968-08-30</t>
  </si>
  <si>
    <t>1961-01-22</t>
  </si>
  <si>
    <t>1957-07-15</t>
  </si>
  <si>
    <t>1967-11-27</t>
  </si>
  <si>
    <t>1980-11-05</t>
  </si>
  <si>
    <t>1957-01-06</t>
  </si>
  <si>
    <t>1947-01-03</t>
  </si>
  <si>
    <t>1978-03-04</t>
  </si>
  <si>
    <t>1978-02-19</t>
  </si>
  <si>
    <t>1957-11-21</t>
  </si>
  <si>
    <t>1963-06-28</t>
  </si>
  <si>
    <t>1958-12-03</t>
  </si>
  <si>
    <t>1969-01-29</t>
  </si>
  <si>
    <t>1970-01-31</t>
  </si>
  <si>
    <t>1970-03-16</t>
  </si>
  <si>
    <t>1956-01-11</t>
  </si>
  <si>
    <t>1973-09-20</t>
  </si>
  <si>
    <t>1958-04-11</t>
  </si>
  <si>
    <t>1954-07-10</t>
  </si>
  <si>
    <t>1955-11-28</t>
  </si>
  <si>
    <t>1994-03-27</t>
  </si>
  <si>
    <t>1976-10-31</t>
  </si>
  <si>
    <t>1960-07-11</t>
  </si>
  <si>
    <t>1975-02-27</t>
  </si>
  <si>
    <t>1985-04-28</t>
  </si>
  <si>
    <t>1946-11-17</t>
  </si>
  <si>
    <t>1999-03-17</t>
  </si>
  <si>
    <t>1937-02-28</t>
  </si>
  <si>
    <t>1938-01-27</t>
  </si>
  <si>
    <t>1957-08-22</t>
  </si>
  <si>
    <t>1988-11-19</t>
  </si>
  <si>
    <t>1916-01-04</t>
  </si>
  <si>
    <t>1898-04-16</t>
  </si>
  <si>
    <t>1900-10-03</t>
  </si>
  <si>
    <t>1912-03-10</t>
  </si>
  <si>
    <t>1890-07-05</t>
  </si>
  <si>
    <t>1917-10-27</t>
  </si>
  <si>
    <t>1917-03-26</t>
  </si>
  <si>
    <t>1918-06-12</t>
  </si>
  <si>
    <t>1906-04-18</t>
  </si>
  <si>
    <t>1903-04-05</t>
  </si>
  <si>
    <t>1888-09-21</t>
  </si>
  <si>
    <t>1915-03-10</t>
  </si>
  <si>
    <t>1912-02-12</t>
  </si>
  <si>
    <t>1886-07-28</t>
  </si>
  <si>
    <t>1907-12-08</t>
  </si>
  <si>
    <t>1886-11-11</t>
  </si>
  <si>
    <t>1889-08-28</t>
  </si>
  <si>
    <t>1916-07-22</t>
  </si>
  <si>
    <t>1906-05-20</t>
  </si>
  <si>
    <t>1902-06-19</t>
  </si>
  <si>
    <t>1882-12-06</t>
  </si>
  <si>
    <t>1896-04-28</t>
  </si>
  <si>
    <t>1888-03-02</t>
  </si>
  <si>
    <t>1940-04-17</t>
  </si>
  <si>
    <t>1921-01-21</t>
  </si>
  <si>
    <t>1906-02-28</t>
  </si>
  <si>
    <t>1902-08-29</t>
  </si>
  <si>
    <t>1912-01-27</t>
  </si>
  <si>
    <t>1918-07-01</t>
  </si>
  <si>
    <t>1895-02-22</t>
  </si>
  <si>
    <t>1912-03-16</t>
  </si>
  <si>
    <t>1890-01-01</t>
  </si>
  <si>
    <t>1893-07-21</t>
  </si>
  <si>
    <t>1891-06-13</t>
  </si>
  <si>
    <t>1899-12-25</t>
  </si>
  <si>
    <t>1901-05-22</t>
  </si>
  <si>
    <t>1889-10-15</t>
  </si>
  <si>
    <t>1914-02-27</t>
  </si>
  <si>
    <t>1922-07-01</t>
  </si>
  <si>
    <t>1903-04-07</t>
  </si>
  <si>
    <t>1887-03-12</t>
  </si>
  <si>
    <t>1902-08-25</t>
  </si>
  <si>
    <t>1894-06-25</t>
  </si>
  <si>
    <t>1907-03-11</t>
  </si>
  <si>
    <t>1904-11-04</t>
  </si>
  <si>
    <t>1906-01-17</t>
  </si>
  <si>
    <t>1916-05-02</t>
  </si>
  <si>
    <t>1907-09-10</t>
  </si>
  <si>
    <t>1909-05-28</t>
  </si>
  <si>
    <t>1900-01-19</t>
  </si>
  <si>
    <t>1915-12-06</t>
  </si>
  <si>
    <t>1904-01-23</t>
  </si>
  <si>
    <t>1929-11-24</t>
  </si>
  <si>
    <t>1920-10-10</t>
  </si>
  <si>
    <t>1917-10-09</t>
  </si>
  <si>
    <t>1913-04-07</t>
  </si>
  <si>
    <t>1906-02-10</t>
  </si>
  <si>
    <t>1908-04-14</t>
  </si>
  <si>
    <t>1916-02-20</t>
  </si>
  <si>
    <t>1884-02-21</t>
  </si>
  <si>
    <t>1896-01-11</t>
  </si>
  <si>
    <t>1892-02-18</t>
  </si>
  <si>
    <t>1907-11-08</t>
  </si>
  <si>
    <t>1907-09-09</t>
  </si>
  <si>
    <t>1893-07-26</t>
  </si>
  <si>
    <t>1910-10-21</t>
  </si>
  <si>
    <t>1896-06-20</t>
  </si>
  <si>
    <t>1919-10-30</t>
  </si>
  <si>
    <t>1897-11-22</t>
  </si>
  <si>
    <t>1897-11-16</t>
  </si>
  <si>
    <t>1888-12-02</t>
  </si>
  <si>
    <t>1921-04-15</t>
  </si>
  <si>
    <t>1895-02-21</t>
  </si>
  <si>
    <t>1890-08-06</t>
  </si>
  <si>
    <t>1891-06-21</t>
  </si>
  <si>
    <t>1917-02-03</t>
  </si>
  <si>
    <t>1885-06-15</t>
  </si>
  <si>
    <t>1928-07-10</t>
  </si>
  <si>
    <t>1906-09-01</t>
  </si>
  <si>
    <t>1906-08-31</t>
  </si>
  <si>
    <t>1931-11-23</t>
  </si>
  <si>
    <t>1931-06-22</t>
  </si>
  <si>
    <t>1915-07-25</t>
  </si>
  <si>
    <t>1910-02-26</t>
  </si>
  <si>
    <t>1899-02-16</t>
  </si>
  <si>
    <t>1915-12-20</t>
  </si>
  <si>
    <t>1886-10-10</t>
  </si>
  <si>
    <t>1893-12-16</t>
  </si>
  <si>
    <t>1909-07-21</t>
  </si>
  <si>
    <t>1896-01-18</t>
  </si>
  <si>
    <t>1905-03-22</t>
  </si>
  <si>
    <t>1904-02-14</t>
  </si>
  <si>
    <t>1910-01-23</t>
  </si>
  <si>
    <t>1902-10-29</t>
  </si>
  <si>
    <t>1891-12-22</t>
  </si>
  <si>
    <t>1915-01-21</t>
  </si>
  <si>
    <t>1889-08-10</t>
  </si>
  <si>
    <t>1882-12-31</t>
  </si>
  <si>
    <t>1894-08-01</t>
  </si>
  <si>
    <t>1907-05-10</t>
  </si>
  <si>
    <t>1936-08-30</t>
  </si>
  <si>
    <t>1905-02-02</t>
  </si>
  <si>
    <t>1892-02-08</t>
  </si>
  <si>
    <t>1904-08-17</t>
  </si>
  <si>
    <t>1905-09-13</t>
  </si>
  <si>
    <t>1888-08-27</t>
  </si>
  <si>
    <t>1885-07-06</t>
  </si>
  <si>
    <t>1891-05-04</t>
  </si>
  <si>
    <t>1892-03-24</t>
  </si>
  <si>
    <t>1902-11-10</t>
  </si>
  <si>
    <t>1895-09-12</t>
  </si>
  <si>
    <t>1892-01-25</t>
  </si>
  <si>
    <t>1896-12-20</t>
  </si>
  <si>
    <t>1900-10-13</t>
  </si>
  <si>
    <t>1893-11-27</t>
  </si>
  <si>
    <t>1900-06-10</t>
  </si>
  <si>
    <t>1908-08-28</t>
  </si>
  <si>
    <t>1897-07-30</t>
  </si>
  <si>
    <t>1914-10-27</t>
  </si>
  <si>
    <t>1924-04-14</t>
  </si>
  <si>
    <t>1899-02-17</t>
  </si>
  <si>
    <t>1912-12-05</t>
  </si>
  <si>
    <t>1908-04-11</t>
  </si>
  <si>
    <t>1920-05-05</t>
  </si>
  <si>
    <t>1893-02-11</t>
  </si>
  <si>
    <t>1898-07-27</t>
  </si>
  <si>
    <t>1892-05-26</t>
  </si>
  <si>
    <t>1893-01-17</t>
  </si>
  <si>
    <t>1903-06-09</t>
  </si>
  <si>
    <t>1911-11-12</t>
  </si>
  <si>
    <t>1903-11-03</t>
  </si>
  <si>
    <t>1893-07-07</t>
  </si>
  <si>
    <t>1917-01-05</t>
  </si>
  <si>
    <t>1914-01-05</t>
  </si>
  <si>
    <t>1898-08-05</t>
  </si>
  <si>
    <t>1898-03-22</t>
  </si>
  <si>
    <t>1899-12-03</t>
  </si>
  <si>
    <t>1925-12-21</t>
  </si>
  <si>
    <t>1907-04-16</t>
  </si>
  <si>
    <t>1899-12-20</t>
  </si>
  <si>
    <t>1915-10-10</t>
  </si>
  <si>
    <t>1901-07-31</t>
  </si>
  <si>
    <t>1930-03-26</t>
  </si>
  <si>
    <t>1898-12-28</t>
  </si>
  <si>
    <t>1916-11-10</t>
  </si>
  <si>
    <t>1893-05-23</t>
  </si>
  <si>
    <t>1896-11-19</t>
  </si>
  <si>
    <t>1916-03-26</t>
  </si>
  <si>
    <t>1896-10-15</t>
  </si>
  <si>
    <t>1906-05-17</t>
  </si>
  <si>
    <t>1895-04-02</t>
  </si>
  <si>
    <t>1898-11-17</t>
  </si>
  <si>
    <t>1894-11-10</t>
  </si>
  <si>
    <t>1895-03-28</t>
  </si>
  <si>
    <t>1900-01-05</t>
  </si>
  <si>
    <t>1911-06-07</t>
  </si>
  <si>
    <t>1911-07-27</t>
  </si>
  <si>
    <t>1898-11-26</t>
  </si>
  <si>
    <t>1886-12-23</t>
  </si>
  <si>
    <t>1905-02-03</t>
  </si>
  <si>
    <t>1926-12-30</t>
  </si>
  <si>
    <t>1911-10-15</t>
  </si>
  <si>
    <t>1920-03-11</t>
  </si>
  <si>
    <t>1919-11-16</t>
  </si>
  <si>
    <t>1915-11-28</t>
  </si>
  <si>
    <t>1915-02-05</t>
  </si>
  <si>
    <t>1902-03-26</t>
  </si>
  <si>
    <t>1919-01-03</t>
  </si>
  <si>
    <t>1909-09-22</t>
  </si>
  <si>
    <t>1905-03-23</t>
  </si>
  <si>
    <t>1904-03-03</t>
  </si>
  <si>
    <t>1903-01-28</t>
  </si>
  <si>
    <t>1895-02-20</t>
  </si>
  <si>
    <t>1898-11-21</t>
  </si>
  <si>
    <t>1907-08-28</t>
  </si>
  <si>
    <t>1898-02-11</t>
  </si>
  <si>
    <t>1923-01-13</t>
  </si>
  <si>
    <t>1897-08-31</t>
  </si>
  <si>
    <t>1888-02-13</t>
  </si>
  <si>
    <t>1927-04-08</t>
  </si>
  <si>
    <t>1911-05-05</t>
  </si>
  <si>
    <t>1894-10-06</t>
  </si>
  <si>
    <t>1906-03-08</t>
  </si>
  <si>
    <t>1897-02-02</t>
  </si>
  <si>
    <t>1891-09-02</t>
  </si>
  <si>
    <t>1882-10-04</t>
  </si>
  <si>
    <t>1896-07-23</t>
  </si>
  <si>
    <t>1898-05-03</t>
  </si>
  <si>
    <t>1908-11-20</t>
  </si>
  <si>
    <t>1916-04-29</t>
  </si>
  <si>
    <t>1896-01-23</t>
  </si>
  <si>
    <t>1912-09-04</t>
  </si>
  <si>
    <t>1900-11-29</t>
  </si>
  <si>
    <t>1899-01-28</t>
  </si>
  <si>
    <t>1900-12-28</t>
  </si>
  <si>
    <t>1922-01-14</t>
  </si>
  <si>
    <t>1905-08-01</t>
  </si>
  <si>
    <t>1914-02-08</t>
  </si>
  <si>
    <t>1903-07-15</t>
  </si>
  <si>
    <t>1919-02-13</t>
  </si>
  <si>
    <t>1894-02-15</t>
  </si>
  <si>
    <t>1890-05-14</t>
  </si>
  <si>
    <t>1910-02-18</t>
  </si>
  <si>
    <t>1900-01-16</t>
  </si>
  <si>
    <t>1913-06-26</t>
  </si>
  <si>
    <t>1886-01-19</t>
  </si>
  <si>
    <t>1891-05-03</t>
  </si>
  <si>
    <t>1904-08-10</t>
  </si>
  <si>
    <t>1922-07-12</t>
  </si>
  <si>
    <t>1912-08-06</t>
  </si>
  <si>
    <t>1905-01-27</t>
  </si>
  <si>
    <t>1912-08-17</t>
  </si>
  <si>
    <t>1923-04-26</t>
  </si>
  <si>
    <t>1889-12-19</t>
  </si>
  <si>
    <t>1905-09-06</t>
  </si>
  <si>
    <t>1915-11-12</t>
  </si>
  <si>
    <t>1895-05-31</t>
  </si>
  <si>
    <t>1909-03-27</t>
  </si>
  <si>
    <t>1889-12-26</t>
  </si>
  <si>
    <t>1910-07-07</t>
  </si>
  <si>
    <t>1910-01-24</t>
  </si>
  <si>
    <t>1911-07-25</t>
  </si>
  <si>
    <t>1913-11-22</t>
  </si>
  <si>
    <t>1902-07-16</t>
  </si>
  <si>
    <t>1894-02-21</t>
  </si>
  <si>
    <t>1892-05-27</t>
  </si>
  <si>
    <t>1898-02-14</t>
  </si>
  <si>
    <t>1911-03-12</t>
  </si>
  <si>
    <t>1888-02-04</t>
  </si>
  <si>
    <t>1887-02-27</t>
  </si>
  <si>
    <t>1897-06-08</t>
  </si>
  <si>
    <t>1900-12-09</t>
  </si>
  <si>
    <t>1911-03-03</t>
  </si>
  <si>
    <t>1913-03-23</t>
  </si>
  <si>
    <t>1888-04-21</t>
  </si>
  <si>
    <t>1902-06-02</t>
  </si>
  <si>
    <t>1907-04-07</t>
  </si>
  <si>
    <t>1893-03-17</t>
  </si>
  <si>
    <t>1892-06-06</t>
  </si>
  <si>
    <t>1889-05-21</t>
  </si>
  <si>
    <t>1927-11-08</t>
  </si>
  <si>
    <t>1901-02-09</t>
  </si>
  <si>
    <t>1900-09-06</t>
  </si>
  <si>
    <t>1893-03-14</t>
  </si>
  <si>
    <t>1899-04-06</t>
  </si>
  <si>
    <t>1887-06-20</t>
  </si>
  <si>
    <t>1885-12-18</t>
  </si>
  <si>
    <t>1893-10-13</t>
  </si>
  <si>
    <t>1889-07-18</t>
  </si>
  <si>
    <t>1899-04-01</t>
  </si>
  <si>
    <t>1915-01-18</t>
  </si>
  <si>
    <t>1905-06-09</t>
  </si>
  <si>
    <t>1889-02-08</t>
  </si>
  <si>
    <t>1912-06-10</t>
  </si>
  <si>
    <t>1903-07-05</t>
  </si>
  <si>
    <t>1888-03-24</t>
  </si>
  <si>
    <t>1888-06-03</t>
  </si>
  <si>
    <t>1899-09-24</t>
  </si>
  <si>
    <t>1896-12-14</t>
  </si>
  <si>
    <t>1905-06-01</t>
  </si>
  <si>
    <t>1902-02-07</t>
  </si>
  <si>
    <t>1889-09-10</t>
  </si>
  <si>
    <t>1890-07-26</t>
  </si>
  <si>
    <t>1896-11-13</t>
  </si>
  <si>
    <t>1912-01-09</t>
  </si>
  <si>
    <t>1887-05-26</t>
  </si>
  <si>
    <t>1891-09-19</t>
  </si>
  <si>
    <t>1902-07-01</t>
  </si>
  <si>
    <t>1910-07-11</t>
  </si>
  <si>
    <t>1890-01-28</t>
  </si>
  <si>
    <t>1910-03-16</t>
  </si>
  <si>
    <t>1889-09-24</t>
  </si>
  <si>
    <t>1909-09-01</t>
  </si>
  <si>
    <t>1883-10-03</t>
  </si>
  <si>
    <t>1882-06-06</t>
  </si>
  <si>
    <t>1897-04-16</t>
  </si>
  <si>
    <t>1910-07-20</t>
  </si>
  <si>
    <t>1913-01-15</t>
  </si>
  <si>
    <t>1916-02-01</t>
  </si>
  <si>
    <t>1892-02-13</t>
  </si>
  <si>
    <t>1886-07-20</t>
  </si>
  <si>
    <t>1905-11-15</t>
  </si>
  <si>
    <t>1914-01-15</t>
  </si>
  <si>
    <t>1906-11-30</t>
  </si>
  <si>
    <t>1884-07-23</t>
  </si>
  <si>
    <t>1883-11-28</t>
  </si>
  <si>
    <t>1901-02-01</t>
  </si>
  <si>
    <t>1920-12-07</t>
  </si>
  <si>
    <t>1909-04-16</t>
  </si>
  <si>
    <t>1913-03-20</t>
  </si>
  <si>
    <t>1883-12-26</t>
  </si>
  <si>
    <t>1922-05-02</t>
  </si>
  <si>
    <t>1896-10-19</t>
  </si>
  <si>
    <t>1906-07-01</t>
  </si>
  <si>
    <t>1907-10-11</t>
  </si>
  <si>
    <t>1905-07-15</t>
  </si>
  <si>
    <t>1930-01-19</t>
  </si>
  <si>
    <t>1909-07-11</t>
  </si>
  <si>
    <t>1883-12-18</t>
  </si>
  <si>
    <t>1881-11-23</t>
  </si>
  <si>
    <t>1900-12-06</t>
  </si>
  <si>
    <t>1891-01-20</t>
  </si>
  <si>
    <t>1918-05-11</t>
  </si>
  <si>
    <t>1907-12-16</t>
  </si>
  <si>
    <t>1929-12-20</t>
  </si>
  <si>
    <t>1884-02-26</t>
  </si>
  <si>
    <t>1894-12-07</t>
  </si>
  <si>
    <t>1888-07-13</t>
  </si>
  <si>
    <t>1885-03-12</t>
  </si>
  <si>
    <t>1897-04-23</t>
  </si>
  <si>
    <t>1885-02-26</t>
  </si>
  <si>
    <t>1923-12-17</t>
  </si>
  <si>
    <t>1896-12-10</t>
  </si>
  <si>
    <t>1887-05-07</t>
  </si>
  <si>
    <t>1882-01-18</t>
  </si>
  <si>
    <t>1942-12-09</t>
  </si>
  <si>
    <t>1907-08-19</t>
  </si>
  <si>
    <t>1912-11-30</t>
  </si>
  <si>
    <t>1915-12-26</t>
  </si>
  <si>
    <t>1885-12-09</t>
  </si>
  <si>
    <t>1884-04-22</t>
  </si>
  <si>
    <t>1885-01-29</t>
  </si>
  <si>
    <t>1920-08-01</t>
  </si>
  <si>
    <t>1892-12-23</t>
  </si>
  <si>
    <t>1885-07-20</t>
  </si>
  <si>
    <t>1890-12-01</t>
  </si>
  <si>
    <t>1894-08-16</t>
  </si>
  <si>
    <t>1915-03-16</t>
  </si>
  <si>
    <t>1894-10-23</t>
  </si>
  <si>
    <t>1885-01-06</t>
  </si>
  <si>
    <t>1891-03-16</t>
  </si>
  <si>
    <t>1896-08-22</t>
  </si>
  <si>
    <t>1907-02-28</t>
  </si>
  <si>
    <t>1909-03-04</t>
  </si>
  <si>
    <t>1939-03-27</t>
  </si>
  <si>
    <t>1893-04-22</t>
  </si>
  <si>
    <t>1897-12-07</t>
  </si>
  <si>
    <t>1910-09-02</t>
  </si>
  <si>
    <t>1897-04-12</t>
  </si>
  <si>
    <t>1922-01-22</t>
  </si>
  <si>
    <t>1886-08-20</t>
  </si>
  <si>
    <t>1889-09-09</t>
  </si>
  <si>
    <t>1888-05-15</t>
  </si>
  <si>
    <t>1900-02-20</t>
  </si>
  <si>
    <t>1900-08-05</t>
  </si>
  <si>
    <t>1901-11-11</t>
  </si>
  <si>
    <t>1889-02-09</t>
  </si>
  <si>
    <t>1909-12-20</t>
  </si>
  <si>
    <t>1891-12-27</t>
  </si>
  <si>
    <t>1885-09-12</t>
  </si>
  <si>
    <t>1918-04-26</t>
  </si>
  <si>
    <t>1905-05-20</t>
  </si>
  <si>
    <t>1890-10-20</t>
  </si>
  <si>
    <t>1896-08-30</t>
  </si>
  <si>
    <t>1902-03-10</t>
  </si>
  <si>
    <t>1906-11-25</t>
  </si>
  <si>
    <t>2000-01-01</t>
  </si>
  <si>
    <t>1886-10-15</t>
  </si>
  <si>
    <t>1899-05-21</t>
  </si>
  <si>
    <t>1910-09-15</t>
  </si>
  <si>
    <t>1910-12-23</t>
  </si>
  <si>
    <t>1907-03-20</t>
  </si>
  <si>
    <t>1921-03-30</t>
  </si>
  <si>
    <t>1885-07-13</t>
  </si>
  <si>
    <t>1887-05-05</t>
  </si>
  <si>
    <t>1884-01-25</t>
  </si>
  <si>
    <t>1900-03-14</t>
  </si>
  <si>
    <t>1886-09-20</t>
  </si>
  <si>
    <t>1885-11-20</t>
  </si>
  <si>
    <t>1886-03-20</t>
  </si>
  <si>
    <t>1883-03-04</t>
  </si>
  <si>
    <t>1889-05-18</t>
  </si>
  <si>
    <t>1898-06-15</t>
  </si>
  <si>
    <t>1889-12-11</t>
  </si>
  <si>
    <t>1885-09-16</t>
  </si>
  <si>
    <t>1897-11-01</t>
  </si>
  <si>
    <t>1890-01-09</t>
  </si>
  <si>
    <t>1896-05-26</t>
  </si>
  <si>
    <t>1891-06-04</t>
  </si>
  <si>
    <t>1885-05-04</t>
  </si>
  <si>
    <t>1899-04-27</t>
  </si>
  <si>
    <t>1906-08-14</t>
  </si>
  <si>
    <t>1896-07-20</t>
  </si>
  <si>
    <t>1884-04-13</t>
  </si>
  <si>
    <t>1883-07-20</t>
  </si>
  <si>
    <t>1888-09-13</t>
  </si>
  <si>
    <t>1884-12-15</t>
  </si>
  <si>
    <t>1881-12-08</t>
  </si>
  <si>
    <t>1895-01-11</t>
  </si>
  <si>
    <t>1883-02-12</t>
  </si>
  <si>
    <t>1891-01-14</t>
  </si>
  <si>
    <t>1900-03-12</t>
  </si>
  <si>
    <t>1893-11-04</t>
  </si>
  <si>
    <t>1890-03-04</t>
  </si>
  <si>
    <t>1893-11-23</t>
  </si>
  <si>
    <t>1883-10-28</t>
  </si>
  <si>
    <t>1885-06-23</t>
  </si>
  <si>
    <t>1886-08-31</t>
  </si>
  <si>
    <t>1881-12-26</t>
  </si>
  <si>
    <t>1899-10-16</t>
  </si>
  <si>
    <t>1891-10-25</t>
  </si>
  <si>
    <t>1915-07-15</t>
  </si>
  <si>
    <t>1902-09-25</t>
  </si>
  <si>
    <t>1892-07-21</t>
  </si>
  <si>
    <t>1887-09-08</t>
  </si>
  <si>
    <t>1887-07-23</t>
  </si>
  <si>
    <t>1885-11-03</t>
  </si>
  <si>
    <t>1911-07-10</t>
  </si>
  <si>
    <t>1890-04-06</t>
  </si>
  <si>
    <t>1903-11-10</t>
  </si>
  <si>
    <t>1887-02-20</t>
  </si>
  <si>
    <t>1882-09-11</t>
  </si>
  <si>
    <t>1898-10-14</t>
  </si>
  <si>
    <t>1894-01-26</t>
  </si>
  <si>
    <t>1913-09-19</t>
  </si>
  <si>
    <t>1885-10-23</t>
  </si>
  <si>
    <t>1926-07-05</t>
  </si>
  <si>
    <t>1908-05-31</t>
  </si>
  <si>
    <t>1914-02-15</t>
  </si>
  <si>
    <t>1894-12-23</t>
  </si>
  <si>
    <t>1899-11-23</t>
  </si>
  <si>
    <t>1884-11-11</t>
  </si>
  <si>
    <t>1885-09-06</t>
  </si>
  <si>
    <t>1916-03-04</t>
  </si>
  <si>
    <t>1905-09-15</t>
  </si>
  <si>
    <t>1883-11-04</t>
  </si>
  <si>
    <t>1887-10-01</t>
  </si>
  <si>
    <t>1904-03-13</t>
  </si>
  <si>
    <t>1900-02-19</t>
  </si>
  <si>
    <t>1902-12-24</t>
  </si>
  <si>
    <t>1892-08-14</t>
  </si>
  <si>
    <t>1918-03-08</t>
  </si>
  <si>
    <t>1910-01-04</t>
  </si>
  <si>
    <t>1887-02-01</t>
  </si>
  <si>
    <t>1921-10-15</t>
  </si>
  <si>
    <t>1906-02-04</t>
  </si>
  <si>
    <t>1929-02-08</t>
  </si>
  <si>
    <t>1916-03-02</t>
  </si>
  <si>
    <t>1903-04-09</t>
  </si>
  <si>
    <t>1908-05-30</t>
  </si>
  <si>
    <t>1907-06-11</t>
  </si>
  <si>
    <t>1919-07-29</t>
  </si>
  <si>
    <t>1899-12-18</t>
  </si>
  <si>
    <t>1894-09-24</t>
  </si>
  <si>
    <t>1903-08-23</t>
  </si>
  <si>
    <t>1913-05-18</t>
  </si>
  <si>
    <t>1906-11-19</t>
  </si>
  <si>
    <t>1919-11-30</t>
  </si>
  <si>
    <t>1891-10-13</t>
  </si>
  <si>
    <t>1904-10-21</t>
  </si>
  <si>
    <t>1923-07-12</t>
  </si>
  <si>
    <t>1883-01-21</t>
  </si>
  <si>
    <t>1893-01-12</t>
  </si>
  <si>
    <t>1908-05-09</t>
  </si>
  <si>
    <t>1898-12-24</t>
  </si>
  <si>
    <t>1897-11-10</t>
  </si>
  <si>
    <t>1886-01-17</t>
  </si>
  <si>
    <t>1909-12-13</t>
  </si>
  <si>
    <t>1912-09-09</t>
  </si>
  <si>
    <t>1900-11-03</t>
  </si>
  <si>
    <t>1888-07-17</t>
  </si>
  <si>
    <t>1909-02-28</t>
  </si>
  <si>
    <t>1890-03-20</t>
  </si>
  <si>
    <t>1911-02-01</t>
  </si>
  <si>
    <t>1914-02-18</t>
  </si>
  <si>
    <t>1912-01-29</t>
  </si>
  <si>
    <t>1887-11-13</t>
  </si>
  <si>
    <t>1889-02-11</t>
  </si>
  <si>
    <t>1899-11-12</t>
  </si>
  <si>
    <t>1906-11-10</t>
  </si>
  <si>
    <t>1893-12-30</t>
  </si>
  <si>
    <t>1886-12-01</t>
  </si>
  <si>
    <t>1906-07-23</t>
  </si>
  <si>
    <t>1902-11-22</t>
  </si>
  <si>
    <t>1882-04-20</t>
  </si>
  <si>
    <t>1898-10-18</t>
  </si>
  <si>
    <t>1882-11-24</t>
  </si>
  <si>
    <t>1908-04-10</t>
  </si>
  <si>
    <t>1891-03-14</t>
  </si>
  <si>
    <t>1902-01-04</t>
  </si>
  <si>
    <t>1884-01-27</t>
  </si>
  <si>
    <t>1902-05-08</t>
  </si>
  <si>
    <t>1950-05-03</t>
  </si>
  <si>
    <t>1891-02-21</t>
  </si>
  <si>
    <t>1908-08-14</t>
  </si>
  <si>
    <t>1889-11-09</t>
  </si>
  <si>
    <t>1936-03-12</t>
  </si>
  <si>
    <t>1908-10-22</t>
  </si>
  <si>
    <t>1908-06-07</t>
  </si>
  <si>
    <t>1892-04-26</t>
  </si>
  <si>
    <t>1882-10-24</t>
  </si>
  <si>
    <t>1891-08-27</t>
  </si>
  <si>
    <t>1883-01-10</t>
  </si>
  <si>
    <t>1908-08-02</t>
  </si>
  <si>
    <t>1921-09-02</t>
  </si>
  <si>
    <t>1905-09-24</t>
  </si>
  <si>
    <t>1933-09-30</t>
  </si>
  <si>
    <t>1902-10-02</t>
  </si>
  <si>
    <t>1933-05-25</t>
  </si>
  <si>
    <t>1926-08-29</t>
  </si>
  <si>
    <t>1912-02-14</t>
  </si>
  <si>
    <t>1884-04-11</t>
  </si>
  <si>
    <t>1908-01-09</t>
  </si>
  <si>
    <t>1910-01-03</t>
  </si>
  <si>
    <t>1921-12-19</t>
  </si>
  <si>
    <t>1901-07-14</t>
  </si>
  <si>
    <t>1887-09-24</t>
  </si>
  <si>
    <t>1918-10-23</t>
  </si>
  <si>
    <t>1909-02-22</t>
  </si>
  <si>
    <t>1890-02-12</t>
  </si>
  <si>
    <t>1901-06-22</t>
  </si>
  <si>
    <t>1920-08-11</t>
  </si>
  <si>
    <t>1910-09-07</t>
  </si>
  <si>
    <t>1887-09-16</t>
  </si>
  <si>
    <t>1892-11-12</t>
  </si>
  <si>
    <t>1892-05-14</t>
  </si>
  <si>
    <t>1908-08-08</t>
  </si>
  <si>
    <t>1897-07-11</t>
  </si>
  <si>
    <t>1909-05-30</t>
  </si>
  <si>
    <t>1936-06-20</t>
  </si>
  <si>
    <t>1909-12-04</t>
  </si>
  <si>
    <t>1903-05-19</t>
  </si>
  <si>
    <t>1898-07-07</t>
  </si>
  <si>
    <t>1908-09-13</t>
  </si>
  <si>
    <t>1912-07-30</t>
  </si>
  <si>
    <t>1907-08-10</t>
  </si>
  <si>
    <t>1910-04-21</t>
  </si>
  <si>
    <t>1895-05-18</t>
  </si>
  <si>
    <t>1912-08-12</t>
  </si>
  <si>
    <t>1900-07-08</t>
  </si>
  <si>
    <t>1891-06-17</t>
  </si>
  <si>
    <t>1895-02-17</t>
  </si>
  <si>
    <t>1908-03-26</t>
  </si>
  <si>
    <t>1904-04-01</t>
  </si>
  <si>
    <t>1914-12-13</t>
  </si>
  <si>
    <t>1901-09-11</t>
  </si>
  <si>
    <t>1891-12-15</t>
  </si>
  <si>
    <t>1888-01-18</t>
  </si>
  <si>
    <t>1910-12-11</t>
  </si>
  <si>
    <t>1921-01-15</t>
  </si>
  <si>
    <t>1894-02-04</t>
  </si>
  <si>
    <t>1910-02-20</t>
  </si>
  <si>
    <t>1911-02-03</t>
  </si>
  <si>
    <t>1914-06-10</t>
  </si>
  <si>
    <t>1908-03-10</t>
  </si>
  <si>
    <t>1887-02-10</t>
  </si>
  <si>
    <t>1917-04-10</t>
  </si>
  <si>
    <t>1924-08-04</t>
  </si>
  <si>
    <t>1911-08-03</t>
  </si>
  <si>
    <t>1896-08-13</t>
  </si>
  <si>
    <t>1913-11-14</t>
  </si>
  <si>
    <t>1890-08-20</t>
  </si>
  <si>
    <t>1907-01-20</t>
  </si>
  <si>
    <t>1904-08-28</t>
  </si>
  <si>
    <t>1885-05-23</t>
  </si>
  <si>
    <t>1887-02-09</t>
  </si>
  <si>
    <t>1902-07-26</t>
  </si>
  <si>
    <t>1899-04-09</t>
  </si>
  <si>
    <t>1888-11-22</t>
  </si>
  <si>
    <t>1906-02-09</t>
  </si>
  <si>
    <t>1903-02-14</t>
  </si>
  <si>
    <t>1901-09-25</t>
  </si>
  <si>
    <t>1904-03-11</t>
  </si>
  <si>
    <t>1911-02-02</t>
  </si>
  <si>
    <t>1918-01-01</t>
  </si>
  <si>
    <t>1887-10-09</t>
  </si>
  <si>
    <t>1907-03-28</t>
  </si>
  <si>
    <t>1900-02-26</t>
  </si>
  <si>
    <t>1903-02-13</t>
  </si>
  <si>
    <t>1916-11-04</t>
  </si>
  <si>
    <t>1915-08-31</t>
  </si>
  <si>
    <t>1904-03-09</t>
  </si>
  <si>
    <t>1890-03-01</t>
  </si>
  <si>
    <t>1914-05-06</t>
  </si>
  <si>
    <t>1903-05-26</t>
  </si>
  <si>
    <t>1898-09-30</t>
  </si>
  <si>
    <t>1919-12-25</t>
  </si>
  <si>
    <t>1898-01-06</t>
  </si>
  <si>
    <t>1911-01-29</t>
  </si>
  <si>
    <t>1920-03-15</t>
  </si>
  <si>
    <t>1893-01-18</t>
  </si>
  <si>
    <t>1899-03-30</t>
  </si>
  <si>
    <t>1901-03-21</t>
  </si>
  <si>
    <t>1909-08-21</t>
  </si>
  <si>
    <t>1898-05-21</t>
  </si>
  <si>
    <t>1903-05-17</t>
  </si>
  <si>
    <t>1908-02-05</t>
  </si>
  <si>
    <t>1886-05-25</t>
  </si>
  <si>
    <t>1912-11-06</t>
  </si>
  <si>
    <t>1927-01-07</t>
  </si>
  <si>
    <t>1911-02-18</t>
  </si>
  <si>
    <t>1897-10-29</t>
  </si>
  <si>
    <t>1888-03-28</t>
  </si>
  <si>
    <t>1895-05-03</t>
  </si>
  <si>
    <t>1919-03-19</t>
  </si>
  <si>
    <t>1891-03-23</t>
  </si>
  <si>
    <t>1927-05-14</t>
  </si>
  <si>
    <t>1937-12-14</t>
  </si>
  <si>
    <t>1897-03-21</t>
  </si>
  <si>
    <t>1928-04-18</t>
  </si>
  <si>
    <t>1931-03-14</t>
  </si>
  <si>
    <t>1907-09-25</t>
  </si>
  <si>
    <t>1918-04-14</t>
  </si>
  <si>
    <t>1929-03-16</t>
  </si>
  <si>
    <t>1888-02-03</t>
  </si>
  <si>
    <t>1905-06-28</t>
  </si>
  <si>
    <t>1909-02-10</t>
  </si>
  <si>
    <t>1911-08-27</t>
  </si>
  <si>
    <t>1910-02-03</t>
  </si>
  <si>
    <t>1929-09-24</t>
  </si>
  <si>
    <t>1899-02-12</t>
  </si>
  <si>
    <t>1912-07-31</t>
  </si>
  <si>
    <t>1899-06-09</t>
  </si>
  <si>
    <t>1895-10-05</t>
  </si>
  <si>
    <t>1918-09-09</t>
  </si>
  <si>
    <t>1907-08-22</t>
  </si>
  <si>
    <t>1917-01-20</t>
  </si>
  <si>
    <t>1926-03-17</t>
  </si>
  <si>
    <t>1915-05-09</t>
  </si>
  <si>
    <t>1887-01-19</t>
  </si>
  <si>
    <t>1922-08-28</t>
  </si>
  <si>
    <t>1899-12-15</t>
  </si>
  <si>
    <t>1920-11-20</t>
  </si>
  <si>
    <t>1894-04-26</t>
  </si>
  <si>
    <t>1914-02-25</t>
  </si>
  <si>
    <t>1915-10-13</t>
  </si>
  <si>
    <t>1916-01-05</t>
  </si>
  <si>
    <t>1897-01-18</t>
  </si>
  <si>
    <t>1921-03-02</t>
  </si>
  <si>
    <t>1909-06-25</t>
  </si>
  <si>
    <t>1914-04-28</t>
  </si>
  <si>
    <t>1915-10-26</t>
  </si>
  <si>
    <t>1909-08-20</t>
  </si>
  <si>
    <t>1905-07-19</t>
  </si>
  <si>
    <t>1930-01-28</t>
  </si>
  <si>
    <t>1896-06-01</t>
  </si>
  <si>
    <t>1901-01-16</t>
  </si>
  <si>
    <t>1901-08-11</t>
  </si>
  <si>
    <t>1902-01-03</t>
  </si>
  <si>
    <t>1931-11-06</t>
  </si>
  <si>
    <t>1924-06-19</t>
  </si>
  <si>
    <t>1898-06-16</t>
  </si>
  <si>
    <t>1917-11-18</t>
  </si>
  <si>
    <t>1907-02-14</t>
  </si>
  <si>
    <t>1890-04-11</t>
  </si>
  <si>
    <t>1916-11-26</t>
  </si>
  <si>
    <t>1916-05-07</t>
  </si>
  <si>
    <t>1901-12-27</t>
  </si>
  <si>
    <t>1919-11-29</t>
  </si>
  <si>
    <t>1888-06-08</t>
  </si>
  <si>
    <t>1886-10-24</t>
  </si>
  <si>
    <t>1894-02-17</t>
  </si>
  <si>
    <t>1887-10-12</t>
  </si>
  <si>
    <t>1921-11-21</t>
  </si>
  <si>
    <t>1930-05-28</t>
  </si>
  <si>
    <t>1900-01-08</t>
  </si>
  <si>
    <t>1896-02-11</t>
  </si>
  <si>
    <t>1914-08-02</t>
  </si>
  <si>
    <t>1898-12-01</t>
  </si>
  <si>
    <t>1905-11-26</t>
  </si>
  <si>
    <t>1910-02-23</t>
  </si>
  <si>
    <t>1902-02-11</t>
  </si>
  <si>
    <t>1903-04-19</t>
  </si>
  <si>
    <t>1887-10-26</t>
  </si>
  <si>
    <t>1903-12-05</t>
  </si>
  <si>
    <t>1911-01-15</t>
  </si>
  <si>
    <t>1906-03-23</t>
  </si>
  <si>
    <t>1907-11-12</t>
  </si>
  <si>
    <t>1914-07-01</t>
  </si>
  <si>
    <t>1912-11-03</t>
  </si>
  <si>
    <t>1921-08-01</t>
  </si>
  <si>
    <t>1909-07-17</t>
  </si>
  <si>
    <t>1918-07-28</t>
  </si>
  <si>
    <t>1898-09-25</t>
  </si>
  <si>
    <t>1909-02-02</t>
  </si>
  <si>
    <t>1911-02-22</t>
  </si>
  <si>
    <t>1897-10-24</t>
  </si>
  <si>
    <t>1908-08-05</t>
  </si>
  <si>
    <t>1905-08-29</t>
  </si>
  <si>
    <t>1902-03-29</t>
  </si>
  <si>
    <t>1909-11-15</t>
  </si>
  <si>
    <t>1907-01-13</t>
  </si>
  <si>
    <t>1927-10-02</t>
  </si>
  <si>
    <t>1902-06-30</t>
  </si>
  <si>
    <t>1890-07-29</t>
  </si>
  <si>
    <t>1886-08-07</t>
  </si>
  <si>
    <t>1886-01-27</t>
  </si>
  <si>
    <t>1908-07-10</t>
  </si>
  <si>
    <t>1893-05-28</t>
  </si>
  <si>
    <t>1918-07-24</t>
  </si>
  <si>
    <t>1893-02-08</t>
  </si>
  <si>
    <t>1894-12-12</t>
  </si>
  <si>
    <t>1889-11-02</t>
  </si>
  <si>
    <t>1910-04-29</t>
  </si>
  <si>
    <t>1895-07-12</t>
  </si>
  <si>
    <t>1928-11-26</t>
  </si>
  <si>
    <t>1898-10-19</t>
  </si>
  <si>
    <t>1905-04-10</t>
  </si>
  <si>
    <t>1907-05-25</t>
  </si>
  <si>
    <t>1907-01-08</t>
  </si>
  <si>
    <t>1902-05-25</t>
  </si>
  <si>
    <t>1894-09-06</t>
  </si>
  <si>
    <t>1929-11-06</t>
  </si>
  <si>
    <t>1903-04-24</t>
  </si>
  <si>
    <t>1895-04-30</t>
  </si>
  <si>
    <t>1911-09-27</t>
  </si>
  <si>
    <t>1905-04-26</t>
  </si>
  <si>
    <t>1907-12-31</t>
  </si>
  <si>
    <t>1900-07-02</t>
  </si>
  <si>
    <t>1894-04-04</t>
  </si>
  <si>
    <t>1893-11-10</t>
  </si>
  <si>
    <t>1901-10-19</t>
  </si>
  <si>
    <t>1912-12-23</t>
  </si>
  <si>
    <t>1934-05-26</t>
  </si>
  <si>
    <t>1914-09-08</t>
  </si>
  <si>
    <t>1916-11-05</t>
  </si>
  <si>
    <t>1907-10-27</t>
  </si>
  <si>
    <t>1914-07-06</t>
  </si>
  <si>
    <t>1925-08-23</t>
  </si>
  <si>
    <t>1891-10-01</t>
  </si>
  <si>
    <t>1912-10-07</t>
  </si>
  <si>
    <t>1929-05-25</t>
  </si>
  <si>
    <t>1908-02-08</t>
  </si>
  <si>
    <t>1929-02-05</t>
  </si>
  <si>
    <t>1888-01-27</t>
  </si>
  <si>
    <t>1915-01-15</t>
  </si>
  <si>
    <t>1933-09-18</t>
  </si>
  <si>
    <t>1921-02-23</t>
  </si>
  <si>
    <t>1919-01-01</t>
  </si>
  <si>
    <t>1922-10-01</t>
  </si>
  <si>
    <t>1894-03-02</t>
  </si>
  <si>
    <t>1906-06-28</t>
  </si>
  <si>
    <t>1933-02-02</t>
  </si>
  <si>
    <t>1893-05-26</t>
  </si>
  <si>
    <t>1901-02-19</t>
  </si>
  <si>
    <t>1909-04-05</t>
  </si>
  <si>
    <t>1911-08-01</t>
  </si>
  <si>
    <t>1910-04-07</t>
  </si>
  <si>
    <t>1890-02-08</t>
  </si>
  <si>
    <t>1926-07-08</t>
  </si>
  <si>
    <t>1915-11-18</t>
  </si>
  <si>
    <t>1888-07-20</t>
  </si>
  <si>
    <t>1886-02-27</t>
  </si>
  <si>
    <t>1922-12-09</t>
  </si>
  <si>
    <t>1928-04-01</t>
  </si>
  <si>
    <t>1918-12-30</t>
  </si>
  <si>
    <t>1893-02-10</t>
  </si>
  <si>
    <t>1912-04-28</t>
  </si>
  <si>
    <t>1900-04-10</t>
  </si>
  <si>
    <t>1889-12-18</t>
  </si>
  <si>
    <t>1926-06-13</t>
  </si>
  <si>
    <t>1932-03-05</t>
  </si>
  <si>
    <t>1907-04-21</t>
  </si>
  <si>
    <t>1902-01-02</t>
  </si>
  <si>
    <t>1887-12-05</t>
  </si>
  <si>
    <t>1891-05-18</t>
  </si>
  <si>
    <t>1909-02-19</t>
  </si>
  <si>
    <t>1906-04-11</t>
  </si>
  <si>
    <t>1886-12-31</t>
  </si>
  <si>
    <t>1887-12-21</t>
  </si>
  <si>
    <t>1921-12-14</t>
  </si>
  <si>
    <t>1923-01-07</t>
  </si>
  <si>
    <t>1928-02-22</t>
  </si>
  <si>
    <t>1914-09-04</t>
  </si>
  <si>
    <t>1915-02-27</t>
  </si>
  <si>
    <t>1897-04-05</t>
  </si>
  <si>
    <t>1909-02-20</t>
  </si>
  <si>
    <t>1906-10-24</t>
  </si>
  <si>
    <t>1912-02-05</t>
  </si>
  <si>
    <t>1908-04-26</t>
  </si>
  <si>
    <t>1900-02-07</t>
  </si>
  <si>
    <t>1918-09-28</t>
  </si>
  <si>
    <t>1933-12-09</t>
  </si>
  <si>
    <t>1898-10-15</t>
  </si>
  <si>
    <t>1906-05-04</t>
  </si>
  <si>
    <t>1901-01-05</t>
  </si>
  <si>
    <t>1899-05-31</t>
  </si>
  <si>
    <t>1898-08-02</t>
  </si>
  <si>
    <t>1887-02-23</t>
  </si>
  <si>
    <t>1913-07-01</t>
  </si>
  <si>
    <t>1888-05-30</t>
  </si>
  <si>
    <t>1887-09-18</t>
  </si>
  <si>
    <t>1916-10-27</t>
  </si>
  <si>
    <t>1904-03-07</t>
  </si>
  <si>
    <t>1911-07-22</t>
  </si>
  <si>
    <t>1913-11-10</t>
  </si>
  <si>
    <t>1892-10-06</t>
  </si>
  <si>
    <t>1910-08-19</t>
  </si>
  <si>
    <t>1923-07-23</t>
  </si>
  <si>
    <t>1941-01-07</t>
  </si>
  <si>
    <t>1909-08-08</t>
  </si>
  <si>
    <t>1919-02-26</t>
  </si>
  <si>
    <t>1906-01-19</t>
  </si>
  <si>
    <t>1909-06-13</t>
  </si>
  <si>
    <t>1897-08-08</t>
  </si>
  <si>
    <t>1893-01-24</t>
  </si>
  <si>
    <t>1888-05-07</t>
  </si>
  <si>
    <t>1932-04-02</t>
  </si>
  <si>
    <t>1918-08-11</t>
  </si>
  <si>
    <t>1901-07-08</t>
  </si>
  <si>
    <t>1899-01-04</t>
  </si>
  <si>
    <t>1914-07-20</t>
  </si>
  <si>
    <t>1944-04-11</t>
  </si>
  <si>
    <t>1898-01-17</t>
  </si>
  <si>
    <t>1901-07-01</t>
  </si>
  <si>
    <t>1914-06-20</t>
  </si>
  <si>
    <t>1921-05-09</t>
  </si>
  <si>
    <t>1902-07-06</t>
  </si>
  <si>
    <t>1902-06-13</t>
  </si>
  <si>
    <t>1925-08-19</t>
  </si>
  <si>
    <t>1888-03-04</t>
  </si>
  <si>
    <t>1916-11-01</t>
  </si>
  <si>
    <t>1900-05-26</t>
  </si>
  <si>
    <t>1934-10-15</t>
  </si>
  <si>
    <t>1926-06-26</t>
  </si>
  <si>
    <t>1928-02-20</t>
  </si>
  <si>
    <t>1897-08-07</t>
  </si>
  <si>
    <t>1925-09-29</t>
  </si>
  <si>
    <t>1911-09-03</t>
  </si>
  <si>
    <t>1920-01-06</t>
  </si>
  <si>
    <t>1891-11-14</t>
  </si>
  <si>
    <t>1894-07-11</t>
  </si>
  <si>
    <t>1910-08-14</t>
  </si>
  <si>
    <t>1889-06-18</t>
  </si>
  <si>
    <t>1889-08-03</t>
  </si>
  <si>
    <t>1932-05-07</t>
  </si>
  <si>
    <t>1891-09-30</t>
  </si>
  <si>
    <t>1921-12-29</t>
  </si>
  <si>
    <t>1891-11-05</t>
  </si>
  <si>
    <t>1896-01-02</t>
  </si>
  <si>
    <t>1906-11-24</t>
  </si>
  <si>
    <t>1909-01-01</t>
  </si>
  <si>
    <t>1901-06-30</t>
  </si>
  <si>
    <t>1908-12-27</t>
  </si>
  <si>
    <t>1895-02-05</t>
  </si>
  <si>
    <t>1908-07-13</t>
  </si>
  <si>
    <t>1900-08-22</t>
  </si>
  <si>
    <t>1898-04-30</t>
  </si>
  <si>
    <t>1890-02-05</t>
  </si>
  <si>
    <t>1899-01-19</t>
  </si>
  <si>
    <t>1924-01-24</t>
  </si>
  <si>
    <t>1898-11-28</t>
  </si>
  <si>
    <t>1922-05-28</t>
  </si>
  <si>
    <t>1895-02-03</t>
  </si>
  <si>
    <t>1910-02-07</t>
  </si>
  <si>
    <t>1936-11-17</t>
  </si>
  <si>
    <t>1893-07-01</t>
  </si>
  <si>
    <t>1928-09-18</t>
  </si>
  <si>
    <t>1927-02-01</t>
  </si>
  <si>
    <t>1922-10-22</t>
  </si>
  <si>
    <t>1924-02-16</t>
  </si>
  <si>
    <t>1901-11-12</t>
  </si>
  <si>
    <t>1919-04-09</t>
  </si>
  <si>
    <t>1911-12-23</t>
  </si>
  <si>
    <t>1899-07-23</t>
  </si>
  <si>
    <t>1908-04-25</t>
  </si>
  <si>
    <t>1898-07-26</t>
  </si>
  <si>
    <t>1891-02-14</t>
  </si>
  <si>
    <t>1891-07-20</t>
  </si>
  <si>
    <t>1912-12-06</t>
  </si>
  <si>
    <t>1892-04-12</t>
  </si>
  <si>
    <t>1915-05-18</t>
  </si>
  <si>
    <t>1891-12-04</t>
  </si>
  <si>
    <t>1914-01-30</t>
  </si>
  <si>
    <t>1893-03-24</t>
  </si>
  <si>
    <t>1922-09-02</t>
  </si>
  <si>
    <t>1915-06-12</t>
  </si>
  <si>
    <t>1933-10-12</t>
  </si>
  <si>
    <t>1927-01-13</t>
  </si>
  <si>
    <t>1914-02-09</t>
  </si>
  <si>
    <t>1932-03-16</t>
  </si>
  <si>
    <t>1925-03-05</t>
  </si>
  <si>
    <t>1907-10-15</t>
  </si>
  <si>
    <t>1920-02-04</t>
  </si>
  <si>
    <t>1907-12-15</t>
  </si>
  <si>
    <t>1917-11-09</t>
  </si>
  <si>
    <t>1926-02-15</t>
  </si>
  <si>
    <t>1901-12-25</t>
  </si>
  <si>
    <t>1897-12-06</t>
  </si>
  <si>
    <t>1892-01-16</t>
  </si>
  <si>
    <t>1905-08-06</t>
  </si>
  <si>
    <t>1903-06-25</t>
  </si>
  <si>
    <t>1927-12-16</t>
  </si>
  <si>
    <t>1891-10-16</t>
  </si>
  <si>
    <t>1933-02-25</t>
  </si>
  <si>
    <t>1907-11-20</t>
  </si>
  <si>
    <t>1899-03-19</t>
  </si>
  <si>
    <t>1899-09-19</t>
  </si>
  <si>
    <t>1932-03-31</t>
  </si>
  <si>
    <t>1927-05-31</t>
  </si>
  <si>
    <t>1897-02-07</t>
  </si>
  <si>
    <t>1925-09-24</t>
  </si>
  <si>
    <t>1908-12-03</t>
  </si>
  <si>
    <t>1902-01-18</t>
  </si>
  <si>
    <t>1891-12-19</t>
  </si>
  <si>
    <t>1903-08-07</t>
  </si>
  <si>
    <t>1894-05-04</t>
  </si>
  <si>
    <t>1916-02-21</t>
  </si>
  <si>
    <t>1924-05-03</t>
  </si>
  <si>
    <t>1903-01-26</t>
  </si>
  <si>
    <t>1908-12-23</t>
  </si>
  <si>
    <t>1925-02-27</t>
  </si>
  <si>
    <t>1907-04-09</t>
  </si>
  <si>
    <t>1918-11-27</t>
  </si>
  <si>
    <t>1894-10-02</t>
  </si>
  <si>
    <t>1919-11-08</t>
  </si>
  <si>
    <t>1914-05-26</t>
  </si>
  <si>
    <t>1914-05-29</t>
  </si>
  <si>
    <t>1947-07-09</t>
  </si>
  <si>
    <t>1900-08-02</t>
  </si>
  <si>
    <t>1926-10-16</t>
  </si>
  <si>
    <t>1903-06-13</t>
  </si>
  <si>
    <t>1909-10-20</t>
  </si>
  <si>
    <t>1912-10-22</t>
  </si>
  <si>
    <t>1907-10-07</t>
  </si>
  <si>
    <t>1901-06-25</t>
  </si>
  <si>
    <t>1908-08-25</t>
  </si>
  <si>
    <t>1914-04-07</t>
  </si>
  <si>
    <t>1919-04-19</t>
  </si>
  <si>
    <t>1906-03-05</t>
  </si>
  <si>
    <t>1916-01-01</t>
  </si>
  <si>
    <t>1939-02-08</t>
  </si>
  <si>
    <t>1896-04-21</t>
  </si>
  <si>
    <t>1891-04-15</t>
  </si>
  <si>
    <t>1900-07-28</t>
  </si>
  <si>
    <t>1899-06-17</t>
  </si>
  <si>
    <t>1922-11-16</t>
  </si>
  <si>
    <t>1918-02-12</t>
  </si>
  <si>
    <t>1927-06-15</t>
  </si>
  <si>
    <t>1900-01-14</t>
  </si>
  <si>
    <t>1915-05-15</t>
  </si>
  <si>
    <t>1895-08-20</t>
  </si>
  <si>
    <t>1906-10-22</t>
  </si>
  <si>
    <t>1894-10-29</t>
  </si>
  <si>
    <t>1906-08-18</t>
  </si>
  <si>
    <t>1920-01-24</t>
  </si>
  <si>
    <t>1926-05-12</t>
  </si>
  <si>
    <t>1896-03-30</t>
  </si>
  <si>
    <t>1907-09-11</t>
  </si>
  <si>
    <t>1907-01-24</t>
  </si>
  <si>
    <t>1919-12-04</t>
  </si>
  <si>
    <t>1917-01-07</t>
  </si>
  <si>
    <t>1896-04-17</t>
  </si>
  <si>
    <t>1897-12-26</t>
  </si>
  <si>
    <t>1932-11-03</t>
  </si>
  <si>
    <t>1898-05-17</t>
  </si>
  <si>
    <t>1914-12-15</t>
  </si>
  <si>
    <t>1926-12-22</t>
  </si>
  <si>
    <t>1914-11-16</t>
  </si>
  <si>
    <t>1889-12-30</t>
  </si>
  <si>
    <t>1906-07-12</t>
  </si>
  <si>
    <t>1916-08-16</t>
  </si>
  <si>
    <t>1918-04-11</t>
  </si>
  <si>
    <t>1914-05-30</t>
  </si>
  <si>
    <t>1910-07-08</t>
  </si>
  <si>
    <t>1909-09-05</t>
  </si>
  <si>
    <t>1898-04-26</t>
  </si>
  <si>
    <t>1918-07-10</t>
  </si>
  <si>
    <t>1912-05-28</t>
  </si>
  <si>
    <t>1903-10-17</t>
  </si>
  <si>
    <t>1915-12-03</t>
  </si>
  <si>
    <t>1918-12-10</t>
  </si>
  <si>
    <t>1937-09-05</t>
  </si>
  <si>
    <t>1896-08-02</t>
  </si>
  <si>
    <t>1909-04-06</t>
  </si>
  <si>
    <t>1900-01-10</t>
  </si>
  <si>
    <t>1902-02-18</t>
  </si>
  <si>
    <t>1910-08-10</t>
  </si>
  <si>
    <t>1896-04-02</t>
  </si>
  <si>
    <t>1896-07-22</t>
  </si>
  <si>
    <t>1896-01-07</t>
  </si>
  <si>
    <t>1919-02-23</t>
  </si>
  <si>
    <t>1941-10-27</t>
  </si>
  <si>
    <t>1926-04-27</t>
  </si>
  <si>
    <t>1928-12-17</t>
  </si>
  <si>
    <t>1899-05-09</t>
  </si>
  <si>
    <t>1897-01-07</t>
  </si>
  <si>
    <t>1915-06-10</t>
  </si>
  <si>
    <t>1914-11-21</t>
  </si>
  <si>
    <t>1911-01-23</t>
  </si>
  <si>
    <t>1893-09-02</t>
  </si>
  <si>
    <t>1930-04-09</t>
  </si>
  <si>
    <t>1914-05-21</t>
  </si>
  <si>
    <t>1920-06-16</t>
  </si>
  <si>
    <t>1890-06-27</t>
  </si>
  <si>
    <t>1896-02-22</t>
  </si>
  <si>
    <t>1902-04-14</t>
  </si>
  <si>
    <t>1900-06-14</t>
  </si>
  <si>
    <t>1890-09-15</t>
  </si>
  <si>
    <t>1923-01-30</t>
  </si>
  <si>
    <t>1907-11-09</t>
  </si>
  <si>
    <t>1921-10-08</t>
  </si>
  <si>
    <t>1927-03-07</t>
  </si>
  <si>
    <t>1922-03-11</t>
  </si>
  <si>
    <t>1897-08-26</t>
  </si>
  <si>
    <t>1904-07-01</t>
  </si>
  <si>
    <t>1926-01-23</t>
  </si>
  <si>
    <t>1945-01-25</t>
  </si>
  <si>
    <t>1914-04-23</t>
  </si>
  <si>
    <t>1925-05-06</t>
  </si>
  <si>
    <t>1909-09-23</t>
  </si>
  <si>
    <t>1911-10-10</t>
  </si>
  <si>
    <t>1918-09-23</t>
  </si>
  <si>
    <t>1918-10-10</t>
  </si>
  <si>
    <t>1913-01-25</t>
  </si>
  <si>
    <t>1919-09-07</t>
  </si>
  <si>
    <t>1923-08-07</t>
  </si>
  <si>
    <t>1902-08-05</t>
  </si>
  <si>
    <t>1914-07-16</t>
  </si>
  <si>
    <t>1932-03-02</t>
  </si>
  <si>
    <t>1914-10-03</t>
  </si>
  <si>
    <t>1895-01-05</t>
  </si>
  <si>
    <t>1902-04-15</t>
  </si>
  <si>
    <t>1911-09-04</t>
  </si>
  <si>
    <t>1903-11-13</t>
  </si>
  <si>
    <t>1925-08-15</t>
  </si>
  <si>
    <t>1913-02-02</t>
  </si>
  <si>
    <t>1895-08-08</t>
  </si>
  <si>
    <t>1916-11-20</t>
  </si>
  <si>
    <t>1917-07-07</t>
  </si>
  <si>
    <t>1918-05-08</t>
  </si>
  <si>
    <t>1897-03-11</t>
  </si>
  <si>
    <t>1895-12-07</t>
  </si>
  <si>
    <t>1931-04-03</t>
  </si>
  <si>
    <t>1901-02-13</t>
  </si>
  <si>
    <t>1893-07-13</t>
  </si>
  <si>
    <t>1918-03-09</t>
  </si>
  <si>
    <t>1933-11-11</t>
  </si>
  <si>
    <t>1912-10-11</t>
  </si>
  <si>
    <t>1893-01-29</t>
  </si>
  <si>
    <t>1917-04-18</t>
  </si>
  <si>
    <t>1914-05-19</t>
  </si>
  <si>
    <t>1914-01-21</t>
  </si>
  <si>
    <t>1917-04-26</t>
  </si>
  <si>
    <t>1929-07-15</t>
  </si>
  <si>
    <t>1895-07-15</t>
  </si>
  <si>
    <t>1930-09-20</t>
  </si>
  <si>
    <t>1892-06-28</t>
  </si>
  <si>
    <t>1910-08-29</t>
  </si>
  <si>
    <t>1904-07-19</t>
  </si>
  <si>
    <t>1900-05-27</t>
  </si>
  <si>
    <t>1899-03-22</t>
  </si>
  <si>
    <t>1905-01-19</t>
  </si>
  <si>
    <t>1921-11-03</t>
  </si>
  <si>
    <t>1902-12-28</t>
  </si>
  <si>
    <t>1924-04-30</t>
  </si>
  <si>
    <t>1912-03-18</t>
  </si>
  <si>
    <t>1892-01-28</t>
  </si>
  <si>
    <t>1914-08-24</t>
  </si>
  <si>
    <t>1910-03-21</t>
  </si>
  <si>
    <t>1907-10-30</t>
  </si>
  <si>
    <t>1899-02-15</t>
  </si>
  <si>
    <t>1897-10-16</t>
  </si>
  <si>
    <t>1898-03-25</t>
  </si>
  <si>
    <t>1917-12-26</t>
  </si>
  <si>
    <t>1911-11-25</t>
  </si>
  <si>
    <t>1898-11-27</t>
  </si>
  <si>
    <t>1917-04-02</t>
  </si>
  <si>
    <t>1892-07-29</t>
  </si>
  <si>
    <t>1896-11-06</t>
  </si>
  <si>
    <t>1909-11-12</t>
  </si>
  <si>
    <t>1901-08-16</t>
  </si>
  <si>
    <t>1926-07-28</t>
  </si>
  <si>
    <t>1899-06-26</t>
  </si>
  <si>
    <t>1937-12-04</t>
  </si>
  <si>
    <t>1903-09-23</t>
  </si>
  <si>
    <t>1894-12-01</t>
  </si>
  <si>
    <t>1927-03-25</t>
  </si>
  <si>
    <t>1900-02-04</t>
  </si>
  <si>
    <t>1902-03-14</t>
  </si>
  <si>
    <t>1901-03-15</t>
  </si>
  <si>
    <t>1895-12-08</t>
  </si>
  <si>
    <t>1903-03-25</t>
  </si>
  <si>
    <t>1940-03-10</t>
  </si>
  <si>
    <t>1898-07-17</t>
  </si>
  <si>
    <t>1926-04-28</t>
  </si>
  <si>
    <t>1909-10-04</t>
  </si>
  <si>
    <t>1916-11-03</t>
  </si>
  <si>
    <t>1929-12-24</t>
  </si>
  <si>
    <t>1921-11-09</t>
  </si>
  <si>
    <t>1923-04-20</t>
  </si>
  <si>
    <t>1905-09-23</t>
  </si>
  <si>
    <t>1931-01-07</t>
  </si>
  <si>
    <t>1936-04-24</t>
  </si>
  <si>
    <t>1897-02-10</t>
  </si>
  <si>
    <t>1926-05-06</t>
  </si>
  <si>
    <t>1906-08-26</t>
  </si>
  <si>
    <t>1906-12-29</t>
  </si>
  <si>
    <t>1905-12-26</t>
  </si>
  <si>
    <t>1927-07-22</t>
  </si>
  <si>
    <t>1902-02-01</t>
  </si>
  <si>
    <t>1913-08-18</t>
  </si>
  <si>
    <t>1913-01-20</t>
  </si>
  <si>
    <t>1919-10-25</t>
  </si>
  <si>
    <t>1915-06-23</t>
  </si>
  <si>
    <t>1908-06-27</t>
  </si>
  <si>
    <t>1893-09-05</t>
  </si>
  <si>
    <t>1907-01-15</t>
  </si>
  <si>
    <t>1897-07-07</t>
  </si>
  <si>
    <t>1916-06-14</t>
  </si>
  <si>
    <t>1902-11-16</t>
  </si>
  <si>
    <t>1906-03-10</t>
  </si>
  <si>
    <t>1900-07-26</t>
  </si>
  <si>
    <t>1901-10-21</t>
  </si>
  <si>
    <t>1905-08-18</t>
  </si>
  <si>
    <t>1906-06-30</t>
  </si>
  <si>
    <t>1922-12-27</t>
  </si>
  <si>
    <t>1904-11-08</t>
  </si>
  <si>
    <t>1896-09-10</t>
  </si>
  <si>
    <t>1911-12-21</t>
  </si>
  <si>
    <t>1943-02-13</t>
  </si>
  <si>
    <t>1911-10-12</t>
  </si>
  <si>
    <t>1928-10-25</t>
  </si>
  <si>
    <t>1931-06-08</t>
  </si>
  <si>
    <t>1930-05-12</t>
  </si>
  <si>
    <t>1925-03-25</t>
  </si>
  <si>
    <t>1935-07-17</t>
  </si>
  <si>
    <t>1928-07-07</t>
  </si>
  <si>
    <t>1936-10-04</t>
  </si>
  <si>
    <t>1922-01-20</t>
  </si>
  <si>
    <t>1912-05-19</t>
  </si>
  <si>
    <t>1898-11-08</t>
  </si>
  <si>
    <t>1915-10-27</t>
  </si>
  <si>
    <t>1929-02-16</t>
  </si>
  <si>
    <t>1907-05-24</t>
  </si>
  <si>
    <t>1940-02-05</t>
  </si>
  <si>
    <t>1904-03-19</t>
  </si>
  <si>
    <t>1910-03-24</t>
  </si>
  <si>
    <t>1902-11-13</t>
  </si>
  <si>
    <t>1927-01-17</t>
  </si>
  <si>
    <t>1894-06-24</t>
  </si>
  <si>
    <t>1909-04-20</t>
  </si>
  <si>
    <t>1894-08-06</t>
  </si>
  <si>
    <t>1936-11-21</t>
  </si>
  <si>
    <t>1905-09-21</t>
  </si>
  <si>
    <t>1947-07-04</t>
  </si>
  <si>
    <t>1896-01-12</t>
  </si>
  <si>
    <t>1920-12-12</t>
  </si>
  <si>
    <t>1909-05-05</t>
  </si>
  <si>
    <t>1905-07-10</t>
  </si>
  <si>
    <t>1917-09-08</t>
  </si>
  <si>
    <t>1928-12-21</t>
  </si>
  <si>
    <t>1936-04-28</t>
  </si>
  <si>
    <t>1914-07-08</t>
  </si>
  <si>
    <t>1922-11-07</t>
  </si>
  <si>
    <t>1906-03-01</t>
  </si>
  <si>
    <t>1911-04-07</t>
  </si>
  <si>
    <t>1934-12-06</t>
  </si>
  <si>
    <t>1925-04-05</t>
  </si>
  <si>
    <t>1918-10-25</t>
  </si>
  <si>
    <t>1918-04-21</t>
  </si>
  <si>
    <t>1908-12-09</t>
  </si>
  <si>
    <t>1933-11-08</t>
  </si>
  <si>
    <t>1936-08-14</t>
  </si>
  <si>
    <t>1918-06-30</t>
  </si>
  <si>
    <t>1910-07-21</t>
  </si>
  <si>
    <t>1914-04-01</t>
  </si>
  <si>
    <t>1894-02-02</t>
  </si>
  <si>
    <t>1909-03-15</t>
  </si>
  <si>
    <t>1899-11-28</t>
  </si>
  <si>
    <t>1908-08-23</t>
  </si>
  <si>
    <t>1926-01-28</t>
  </si>
  <si>
    <t>1920-09-20</t>
  </si>
  <si>
    <t>1931-12-29</t>
  </si>
  <si>
    <t>1906-10-04</t>
  </si>
  <si>
    <t>1917-07-16</t>
  </si>
  <si>
    <t>1904-04-21</t>
  </si>
  <si>
    <t>1926-12-18</t>
  </si>
  <si>
    <t>1902-04-02</t>
  </si>
  <si>
    <t>1917-05-14</t>
  </si>
  <si>
    <t>1909-04-09</t>
  </si>
  <si>
    <t>1901-08-04</t>
  </si>
  <si>
    <t>1935-10-03</t>
  </si>
  <si>
    <t>1907-05-07</t>
  </si>
  <si>
    <t>1896-10-03</t>
  </si>
  <si>
    <t>1934-02-17</t>
  </si>
  <si>
    <t>1924-02-21</t>
  </si>
  <si>
    <t>1902-03-19</t>
  </si>
  <si>
    <t>1920-01-27</t>
  </si>
  <si>
    <t>1923-03-19</t>
  </si>
  <si>
    <t>1941-11-11</t>
  </si>
  <si>
    <t>1904-04-16</t>
  </si>
  <si>
    <t>1926-11-04</t>
  </si>
  <si>
    <t>1897-12-11</t>
  </si>
  <si>
    <t>1911-05-31</t>
  </si>
  <si>
    <t>1939-06-28</t>
  </si>
  <si>
    <t>1896-10-31</t>
  </si>
  <si>
    <t>1905-04-27</t>
  </si>
  <si>
    <t>1895-01-24</t>
  </si>
  <si>
    <t>1907-12-23</t>
  </si>
  <si>
    <t>1916-01-13</t>
  </si>
  <si>
    <t>1931-02-26</t>
  </si>
  <si>
    <t>1943-11-20</t>
  </si>
  <si>
    <t>1940-08-21</t>
  </si>
  <si>
    <t>1915-10-21</t>
  </si>
  <si>
    <t>1900-01-21</t>
  </si>
  <si>
    <t>1917-12-02</t>
  </si>
  <si>
    <t>1905-06-05</t>
  </si>
  <si>
    <t>1895-12-28</t>
  </si>
  <si>
    <t>1912-08-24</t>
  </si>
  <si>
    <t>1921-01-29</t>
  </si>
  <si>
    <t>1937-06-18</t>
  </si>
  <si>
    <t>1939-04-27</t>
  </si>
  <si>
    <t>1923-04-19</t>
  </si>
  <si>
    <t>1904-09-09</t>
  </si>
  <si>
    <t>1937-11-05</t>
  </si>
  <si>
    <t>1902-01-28</t>
  </si>
  <si>
    <t>1898-01-22</t>
  </si>
  <si>
    <t>1936-03-24</t>
  </si>
  <si>
    <t>1898-07-22</t>
  </si>
  <si>
    <t>1934-02-24</t>
  </si>
  <si>
    <t>1904-11-24</t>
  </si>
  <si>
    <t>1924-08-19</t>
  </si>
  <si>
    <t>1955-01-15</t>
  </si>
  <si>
    <t>1939-04-21</t>
  </si>
  <si>
    <t>1912-07-06</t>
  </si>
  <si>
    <t>1930-03-22</t>
  </si>
  <si>
    <t>1909-05-23</t>
  </si>
  <si>
    <t>1931-06-19</t>
  </si>
  <si>
    <t>1933-09-15</t>
  </si>
  <si>
    <t>1924-05-15</t>
  </si>
  <si>
    <t>1917-07-21</t>
  </si>
  <si>
    <t>1919-06-10</t>
  </si>
  <si>
    <t>1914-11-12</t>
  </si>
  <si>
    <t>1923-08-05</t>
  </si>
  <si>
    <t>1909-08-04</t>
  </si>
  <si>
    <t>1904-07-20</t>
  </si>
  <si>
    <t>1928-04-12</t>
  </si>
  <si>
    <t>1907-01-21</t>
  </si>
  <si>
    <t>1904-08-18</t>
  </si>
  <si>
    <t>1896-11-12</t>
  </si>
  <si>
    <t>1919-07-10</t>
  </si>
  <si>
    <t>1904-09-03</t>
  </si>
  <si>
    <t>1928-11-21</t>
  </si>
  <si>
    <t>1940-02-28</t>
  </si>
  <si>
    <t>1896-12-12</t>
  </si>
  <si>
    <t>1925-11-16</t>
  </si>
  <si>
    <t>1896-11-22</t>
  </si>
  <si>
    <t>1915-04-19</t>
  </si>
  <si>
    <t>1922-06-26</t>
  </si>
  <si>
    <t>1944-03-25</t>
  </si>
  <si>
    <t>1930-01-25</t>
  </si>
  <si>
    <t>1898-09-19</t>
  </si>
  <si>
    <t>1931-03-21</t>
  </si>
  <si>
    <t>1901-04-11</t>
  </si>
  <si>
    <t>1919-01-22</t>
  </si>
  <si>
    <t>1935-02-13</t>
  </si>
  <si>
    <t>1943-12-10</t>
  </si>
  <si>
    <t>1931-11-18</t>
  </si>
  <si>
    <t>1900-03-28</t>
  </si>
  <si>
    <t>1925-01-02</t>
  </si>
  <si>
    <t>1928-10-22</t>
  </si>
  <si>
    <t>1906-04-15</t>
  </si>
  <si>
    <t>1903-10-07</t>
  </si>
  <si>
    <t>1931-05-28</t>
  </si>
  <si>
    <t>1903-03-17</t>
  </si>
  <si>
    <t>1932-03-23</t>
  </si>
  <si>
    <t>1903-05-29</t>
  </si>
  <si>
    <t>1915-08-25</t>
  </si>
  <si>
    <t>1917-04-28</t>
  </si>
  <si>
    <t>1902-01-01</t>
  </si>
  <si>
    <t>1930-02-03</t>
  </si>
  <si>
    <t>1911-01-07</t>
  </si>
  <si>
    <t>1924-10-16</t>
  </si>
  <si>
    <t>1940-08-27</t>
  </si>
  <si>
    <t>1937-03-18</t>
  </si>
  <si>
    <t>1902-05-24</t>
  </si>
  <si>
    <t>1913-08-23</t>
  </si>
  <si>
    <t>1920-11-12</t>
  </si>
  <si>
    <t>1911-03-23</t>
  </si>
  <si>
    <t>1898-09-09</t>
  </si>
  <si>
    <t>1932-10-20</t>
  </si>
  <si>
    <t>1942-04-30</t>
  </si>
  <si>
    <t>1905-03-14</t>
  </si>
  <si>
    <t>1916-01-06</t>
  </si>
  <si>
    <t>1930-04-18</t>
  </si>
  <si>
    <t>1932-11-07</t>
  </si>
  <si>
    <t>1917-02-04</t>
  </si>
  <si>
    <t>1917-10-11</t>
  </si>
  <si>
    <t>1905-05-08</t>
  </si>
  <si>
    <t>1937-09-30</t>
  </si>
  <si>
    <t>1908-09-10</t>
  </si>
  <si>
    <t>1912-08-01</t>
  </si>
  <si>
    <t>1914-10-12</t>
  </si>
  <si>
    <t>1906-06-05</t>
  </si>
  <si>
    <t>1901-06-19</t>
  </si>
  <si>
    <t>1927-06-01</t>
  </si>
  <si>
    <t>1921-12-01</t>
  </si>
  <si>
    <t>1906-04-30</t>
  </si>
  <si>
    <t>1930-06-26</t>
  </si>
  <si>
    <t>1914-04-13</t>
  </si>
  <si>
    <t>1930-04-21</t>
  </si>
  <si>
    <t>1904-02-28</t>
  </si>
  <si>
    <t>1914-03-25</t>
  </si>
  <si>
    <t>1912-02-29</t>
  </si>
  <si>
    <t>1916-01-24</t>
  </si>
  <si>
    <t>1915-04-28</t>
  </si>
  <si>
    <t>1900-03-20</t>
  </si>
  <si>
    <t>1927-10-14</t>
  </si>
  <si>
    <t>1932-10-23</t>
  </si>
  <si>
    <t>1919-08-31</t>
  </si>
  <si>
    <t>1937-03-03</t>
  </si>
  <si>
    <t>1937-02-01</t>
  </si>
  <si>
    <t>1942-11-17</t>
  </si>
  <si>
    <t>1902-10-05</t>
  </si>
  <si>
    <t>1902-07-22</t>
  </si>
  <si>
    <t>1900-11-12</t>
  </si>
  <si>
    <t>1910-07-15</t>
  </si>
  <si>
    <t>1930-05-27</t>
  </si>
  <si>
    <t>1919-07-01</t>
  </si>
  <si>
    <t>1917-12-25</t>
  </si>
  <si>
    <t>1924-03-12</t>
  </si>
  <si>
    <t>1940-01-14</t>
  </si>
  <si>
    <t>1909-12-12</t>
  </si>
  <si>
    <t>1942-11-27</t>
  </si>
  <si>
    <t>1917-07-31</t>
  </si>
  <si>
    <t>1938-06-06</t>
  </si>
  <si>
    <t>1939-09-11</t>
  </si>
  <si>
    <t>1926-10-26</t>
  </si>
  <si>
    <t>1922-12-21</t>
  </si>
  <si>
    <t>1932-11-02</t>
  </si>
  <si>
    <t>1928-06-16</t>
  </si>
  <si>
    <t>1906-08-03</t>
  </si>
  <si>
    <t>1929-05-04</t>
  </si>
  <si>
    <t>1900-12-17</t>
  </si>
  <si>
    <t>1913-10-29</t>
  </si>
  <si>
    <t>1903-10-30</t>
  </si>
  <si>
    <t>1904-08-07</t>
  </si>
  <si>
    <t>1925-07-18</t>
  </si>
  <si>
    <t>1923-12-08</t>
  </si>
  <si>
    <t>1956-11-11</t>
  </si>
  <si>
    <t>1913-12-29</t>
  </si>
  <si>
    <t>1927-10-18</t>
  </si>
  <si>
    <t>1932-07-19</t>
  </si>
  <si>
    <t>1921-09-12</t>
  </si>
  <si>
    <t>1904-01-02</t>
  </si>
  <si>
    <t>1917-08-30</t>
  </si>
  <si>
    <t>1916-04-15</t>
  </si>
  <si>
    <t>1919-06-25</t>
  </si>
  <si>
    <t>1927-03-21</t>
  </si>
  <si>
    <t>1921-11-01</t>
  </si>
  <si>
    <t>1913-08-01</t>
  </si>
  <si>
    <t>1942-05-20</t>
  </si>
  <si>
    <t>1919-11-06</t>
  </si>
  <si>
    <t>1916-12-23</t>
  </si>
  <si>
    <t>1904-10-02</t>
  </si>
  <si>
    <t>1940-03-30</t>
  </si>
  <si>
    <t>1907-06-01</t>
  </si>
  <si>
    <t>1933-03-07</t>
  </si>
  <si>
    <t>1946-02-27</t>
  </si>
  <si>
    <t>1909-03-16</t>
  </si>
  <si>
    <t>1934-11-05</t>
  </si>
  <si>
    <t>1934-11-30</t>
  </si>
  <si>
    <t>1919-08-24</t>
  </si>
  <si>
    <t>1934-11-28</t>
  </si>
  <si>
    <t>1934-09-23</t>
  </si>
  <si>
    <t>1923-08-08</t>
  </si>
  <si>
    <t>1916-09-27</t>
  </si>
  <si>
    <t>1952-08-02</t>
  </si>
  <si>
    <t>1928-04-14</t>
  </si>
  <si>
    <t>1900-12-11</t>
  </si>
  <si>
    <t>1914-09-20</t>
  </si>
  <si>
    <t>1916-02-18</t>
  </si>
  <si>
    <t>1899-05-03</t>
  </si>
  <si>
    <t>1913-09-17</t>
  </si>
  <si>
    <t>1919-10-27</t>
  </si>
  <si>
    <t>1944-02-15</t>
  </si>
  <si>
    <t>1905-02-10</t>
  </si>
  <si>
    <t>1909-09-29</t>
  </si>
  <si>
    <t>1953-02-20</t>
  </si>
  <si>
    <t>1941-06-17</t>
  </si>
  <si>
    <t>1938-12-21</t>
  </si>
  <si>
    <t>1924-08-24</t>
  </si>
  <si>
    <t>1907-10-26</t>
  </si>
  <si>
    <t>1914-01-29</t>
  </si>
  <si>
    <t>1946-01-11</t>
  </si>
  <si>
    <t>1900-03-31</t>
  </si>
  <si>
    <t>1914-08-07</t>
  </si>
  <si>
    <t>1920-11-07</t>
  </si>
  <si>
    <t>1929-04-12</t>
  </si>
  <si>
    <t>1907-02-25</t>
  </si>
  <si>
    <t>1932-02-28</t>
  </si>
  <si>
    <t>1954-09-27</t>
  </si>
  <si>
    <t>1923-09-23</t>
  </si>
  <si>
    <t>1935-09-08</t>
  </si>
  <si>
    <t>1956-11-16</t>
  </si>
  <si>
    <t>1923-05-27</t>
  </si>
  <si>
    <t>1933-12-14</t>
  </si>
  <si>
    <t>1927-04-18</t>
  </si>
  <si>
    <t>1928-11-15</t>
  </si>
  <si>
    <t>1931-09-28</t>
  </si>
  <si>
    <t>1945-04-04</t>
  </si>
  <si>
    <t>1921-12-31</t>
  </si>
  <si>
    <t>1923-08-14</t>
  </si>
  <si>
    <t>1930-12-28</t>
  </si>
  <si>
    <t>1939-02-27</t>
  </si>
  <si>
    <t>1965-09-13</t>
  </si>
  <si>
    <t>1909-03-29</t>
  </si>
  <si>
    <t>1934-10-06</t>
  </si>
  <si>
    <t>1924-11-20</t>
  </si>
  <si>
    <t>1910-04-30</t>
  </si>
  <si>
    <t>1910-07-04</t>
  </si>
  <si>
    <t>1936-05-16</t>
  </si>
  <si>
    <t>1934-11-19</t>
  </si>
  <si>
    <t>1933-06-10</t>
  </si>
  <si>
    <t>1918-11-11</t>
  </si>
  <si>
    <t>1909-05-03</t>
  </si>
  <si>
    <t>1935-12-01</t>
  </si>
  <si>
    <t>1909-10-29</t>
  </si>
  <si>
    <t>1957-04-27</t>
  </si>
  <si>
    <t>1911-02-05</t>
  </si>
  <si>
    <t>1937-04-06</t>
  </si>
  <si>
    <t>1941-08-14</t>
  </si>
  <si>
    <t>1932-06-10</t>
  </si>
  <si>
    <t>1916-11-07</t>
  </si>
  <si>
    <t>1928-09-13</t>
  </si>
  <si>
    <t>1931-10-01</t>
  </si>
  <si>
    <t>1922-04-15</t>
  </si>
  <si>
    <t>1907-07-19</t>
  </si>
  <si>
    <t>1917-08-07</t>
  </si>
  <si>
    <t>1932-10-22</t>
  </si>
  <si>
    <t>1930-06-07</t>
  </si>
  <si>
    <t>1926-08-10</t>
  </si>
  <si>
    <t>1930-04-11</t>
  </si>
  <si>
    <t>1924-02-15</t>
  </si>
  <si>
    <t>1914-03-23</t>
  </si>
  <si>
    <t>1909-09-03</t>
  </si>
  <si>
    <t>1906-02-20</t>
  </si>
  <si>
    <t>1925-04-08</t>
  </si>
  <si>
    <t>1916-04-07</t>
  </si>
  <si>
    <t>1905-12-15</t>
  </si>
  <si>
    <t>1924-02-13</t>
  </si>
  <si>
    <t>1916-01-09</t>
  </si>
  <si>
    <t>1936-03-25</t>
  </si>
  <si>
    <t>1930-07-05</t>
  </si>
  <si>
    <t>1915-07-03</t>
  </si>
  <si>
    <t>1935-06-19</t>
  </si>
  <si>
    <t>1942-01-14</t>
  </si>
  <si>
    <t>1910-07-25</t>
  </si>
  <si>
    <t>1914-10-19</t>
  </si>
  <si>
    <t>1938-04-17</t>
  </si>
  <si>
    <t>1934-03-30</t>
  </si>
  <si>
    <t>1923-11-08</t>
  </si>
  <si>
    <t>1902-12-10</t>
  </si>
  <si>
    <t>1911-09-19</t>
  </si>
  <si>
    <t>1922-12-12</t>
  </si>
  <si>
    <t>1905-03-10</t>
  </si>
  <si>
    <t>1940-10-01</t>
  </si>
  <si>
    <t>1941-10-26</t>
  </si>
  <si>
    <t>1948-09-02</t>
  </si>
  <si>
    <t>1949-05-14</t>
  </si>
  <si>
    <t>1923-03-03</t>
  </si>
  <si>
    <t>1906-06-07</t>
  </si>
  <si>
    <t>1922-05-25</t>
  </si>
  <si>
    <t>1934-02-04</t>
  </si>
  <si>
    <t>1949-05-07</t>
  </si>
  <si>
    <t>1907-05-06</t>
  </si>
  <si>
    <t>1936-07-02</t>
  </si>
  <si>
    <t>1902-05-11</t>
  </si>
  <si>
    <t>1915-01-26</t>
  </si>
  <si>
    <t>1923-02-11</t>
  </si>
  <si>
    <t>1908-08-27</t>
  </si>
  <si>
    <t>1931-08-31</t>
  </si>
  <si>
    <t>1904-08-04</t>
  </si>
  <si>
    <t>1914-04-18</t>
  </si>
  <si>
    <t>1917-01-31</t>
  </si>
  <si>
    <t>1909-01-24</t>
  </si>
  <si>
    <t>1920-12-21</t>
  </si>
  <si>
    <t>1929-10-02</t>
  </si>
  <si>
    <t>1914-01-19</t>
  </si>
  <si>
    <t>1958-06-30</t>
  </si>
  <si>
    <t>1913-01-31</t>
  </si>
  <si>
    <t>1923-05-15</t>
  </si>
  <si>
    <t>1913-07-22</t>
  </si>
  <si>
    <t>1903-04-01</t>
  </si>
  <si>
    <t>1916-07-25</t>
  </si>
  <si>
    <t>1908-05-18</t>
  </si>
  <si>
    <t>1905-12-29</t>
  </si>
  <si>
    <t>1933-10-15</t>
  </si>
  <si>
    <t>1923-04-18</t>
  </si>
  <si>
    <t>1914-08-30</t>
  </si>
  <si>
    <t>1931-11-02</t>
  </si>
  <si>
    <t>1958-07-27</t>
  </si>
  <si>
    <t>1921-02-04</t>
  </si>
  <si>
    <t>1904-12-08</t>
  </si>
  <si>
    <t>1913-05-29</t>
  </si>
  <si>
    <t>1916-12-16</t>
  </si>
  <si>
    <t>1907-02-08</t>
  </si>
  <si>
    <t>1957-04-21</t>
  </si>
  <si>
    <t>1936-09-27</t>
  </si>
  <si>
    <t>1915-04-08</t>
  </si>
  <si>
    <t>1919-09-11</t>
  </si>
  <si>
    <t>1925-09-11</t>
  </si>
  <si>
    <t>1918-07-25</t>
  </si>
  <si>
    <t>1912-10-16</t>
  </si>
  <si>
    <t>1928-06-05</t>
  </si>
  <si>
    <t>1911-02-11</t>
  </si>
  <si>
    <t>1917-09-04</t>
  </si>
  <si>
    <t>1912-04-01</t>
  </si>
  <si>
    <t>1933-06-19</t>
  </si>
  <si>
    <t>1939-06-11</t>
  </si>
  <si>
    <t>1917-02-18</t>
  </si>
  <si>
    <t>1922-07-19</t>
  </si>
  <si>
    <t>1939-09-06</t>
  </si>
  <si>
    <t>1938-05-25</t>
  </si>
  <si>
    <t>1939-04-08</t>
  </si>
  <si>
    <t>1924-09-08</t>
  </si>
  <si>
    <t>1939-07-06</t>
  </si>
  <si>
    <t>1917-09-23</t>
  </si>
  <si>
    <t>1926-07-27</t>
  </si>
  <si>
    <t>1939-02-13</t>
  </si>
  <si>
    <t>1932-05-06</t>
  </si>
  <si>
    <t>1917-03-14</t>
  </si>
  <si>
    <t>1918-12-03</t>
  </si>
  <si>
    <t>1917-05-22</t>
  </si>
  <si>
    <t>1930-10-01</t>
  </si>
  <si>
    <t>1920-02-06</t>
  </si>
  <si>
    <t>1919-02-15</t>
  </si>
  <si>
    <t>1933-06-12</t>
  </si>
  <si>
    <t>1936-02-22</t>
  </si>
  <si>
    <t>1916-03-25</t>
  </si>
  <si>
    <t>1945-09-14</t>
  </si>
  <si>
    <t>1917-01-10</t>
  </si>
  <si>
    <t>1953-08-11</t>
  </si>
  <si>
    <t>1914-07-02</t>
  </si>
  <si>
    <t>1915-03-23</t>
  </si>
  <si>
    <t>1915-04-15</t>
  </si>
  <si>
    <t>1933-02-23</t>
  </si>
  <si>
    <t>1939-09-09</t>
  </si>
  <si>
    <t>1918-04-12</t>
  </si>
  <si>
    <t>1925-05-30</t>
  </si>
  <si>
    <t>1912-03-03</t>
  </si>
  <si>
    <t>1907-06-23</t>
  </si>
  <si>
    <t>1944-11-14</t>
  </si>
  <si>
    <t>1930-05-23</t>
  </si>
  <si>
    <t>1924-10-26</t>
  </si>
  <si>
    <t>1914-12-27</t>
  </si>
  <si>
    <t>1911-01-20</t>
  </si>
  <si>
    <t>1932-01-13</t>
  </si>
  <si>
    <t>1934-01-16</t>
  </si>
  <si>
    <t>1952-10-05</t>
  </si>
  <si>
    <t>1934-06-09</t>
  </si>
  <si>
    <t>1960-02-24</t>
  </si>
  <si>
    <t>1945-10-10</t>
  </si>
  <si>
    <t>1946-10-05</t>
  </si>
  <si>
    <t>1956-03-17</t>
  </si>
  <si>
    <t>1942-04-17</t>
  </si>
  <si>
    <t>1975-11-06</t>
  </si>
  <si>
    <t>1951-07-23</t>
  </si>
  <si>
    <t>1952-12-31</t>
  </si>
  <si>
    <t>1942-02-03</t>
  </si>
  <si>
    <t>1925-07-17</t>
  </si>
  <si>
    <t>1921-05-24</t>
  </si>
  <si>
    <t>1907-03-18</t>
  </si>
  <si>
    <t>1911-02-23</t>
  </si>
  <si>
    <t>1924-02-17</t>
  </si>
  <si>
    <t>1919-12-31</t>
  </si>
  <si>
    <t>1940-05-18</t>
  </si>
  <si>
    <t>1939-02-10</t>
  </si>
  <si>
    <t>1958-03-23</t>
  </si>
  <si>
    <t>1918-10-13</t>
  </si>
  <si>
    <t>1923-05-14</t>
  </si>
  <si>
    <t>1916-05-27</t>
  </si>
  <si>
    <t>1920-02-26</t>
  </si>
  <si>
    <t>1955-03-23</t>
  </si>
  <si>
    <t>1934-07-21</t>
  </si>
  <si>
    <t>1921-09-06</t>
  </si>
  <si>
    <t>1944-10-10</t>
  </si>
  <si>
    <t>1935-10-05</t>
  </si>
  <si>
    <t>1909-01-25</t>
  </si>
  <si>
    <t>1908-06-18</t>
  </si>
  <si>
    <t>1915-01-09</t>
  </si>
  <si>
    <t>1929-03-09</t>
  </si>
  <si>
    <t>1913-05-07</t>
  </si>
  <si>
    <t>1934-01-12</t>
  </si>
  <si>
    <t>1921-03-03</t>
  </si>
  <si>
    <t>1907-01-06</t>
  </si>
  <si>
    <t>1907-10-19</t>
  </si>
  <si>
    <t>1936-09-01</t>
  </si>
  <si>
    <t>1934-10-30</t>
  </si>
  <si>
    <t>1946-01-13</t>
  </si>
  <si>
    <t>1914-01-18</t>
  </si>
  <si>
    <t>1913-03-08</t>
  </si>
  <si>
    <t>1941-10-12</t>
  </si>
  <si>
    <t>1952-05-18</t>
  </si>
  <si>
    <t>1949-10-29</t>
  </si>
  <si>
    <t>1919-07-19</t>
  </si>
  <si>
    <t>1913-03-18</t>
  </si>
  <si>
    <t>1955-07-04</t>
  </si>
  <si>
    <t>1957-12-19</t>
  </si>
  <si>
    <t>1947-12-21</t>
  </si>
  <si>
    <t>1959-12-09</t>
  </si>
  <si>
    <t>1944-01-31</t>
  </si>
  <si>
    <t>1950-01-18</t>
  </si>
  <si>
    <t>1951-08-21</t>
  </si>
  <si>
    <t>1907-05-31</t>
  </si>
  <si>
    <t>1883-03-23</t>
  </si>
  <si>
    <t>1890-12-31</t>
  </si>
  <si>
    <t>1912-05-16</t>
  </si>
  <si>
    <t>1905-03-26</t>
  </si>
  <si>
    <t>1926-05-09</t>
  </si>
  <si>
    <t>1974-12-28</t>
  </si>
  <si>
    <t>1888-07-21</t>
  </si>
  <si>
    <t>1929-04-25</t>
  </si>
  <si>
    <t>1905-09-19</t>
  </si>
  <si>
    <t>1908-01-22</t>
  </si>
  <si>
    <t>1892-01-09</t>
  </si>
  <si>
    <t>1897-01-13</t>
  </si>
  <si>
    <t>1896-10-26</t>
  </si>
  <si>
    <t>1948-09-14</t>
  </si>
  <si>
    <t>1956-06-06</t>
  </si>
  <si>
    <t>1903-03-24</t>
  </si>
  <si>
    <t>1912-11-27</t>
  </si>
  <si>
    <t>1886-03-08</t>
  </si>
  <si>
    <t>1895-12-05</t>
  </si>
  <si>
    <t>1898-11-14</t>
  </si>
  <si>
    <t>1941-01-28</t>
  </si>
  <si>
    <t>1904-04-28</t>
  </si>
  <si>
    <t>1931-04-29</t>
  </si>
  <si>
    <t>1948-12-12</t>
  </si>
  <si>
    <t>1943-12-29</t>
  </si>
  <si>
    <t>1905-11-10</t>
  </si>
  <si>
    <t>1927-04-04</t>
  </si>
  <si>
    <t>1948-10-19</t>
  </si>
  <si>
    <t>1967-07-16</t>
  </si>
  <si>
    <t>1964-09-14</t>
  </si>
  <si>
    <t>1956-09-15</t>
  </si>
  <si>
    <t>1965-01-28</t>
  </si>
  <si>
    <t>1951-03-07</t>
  </si>
  <si>
    <t>1942-12-24</t>
  </si>
  <si>
    <t>1964-02-10</t>
  </si>
  <si>
    <t>1977-01-04</t>
  </si>
  <si>
    <t>1963-06-05</t>
  </si>
  <si>
    <t>1923-09-07</t>
  </si>
  <si>
    <t>1942-02-22</t>
  </si>
  <si>
    <t>1958-12-18</t>
  </si>
  <si>
    <t>1978-10-18</t>
  </si>
  <si>
    <t>1940-08-18</t>
  </si>
  <si>
    <t>1970-02-06</t>
  </si>
  <si>
    <t>1953-06-10</t>
  </si>
  <si>
    <t>1970-11-09</t>
  </si>
  <si>
    <t>1921-09-30</t>
  </si>
  <si>
    <t>1894-05-06</t>
  </si>
  <si>
    <t>1905-02-08</t>
  </si>
  <si>
    <t>1940-12-03</t>
  </si>
  <si>
    <t>1940-02-27</t>
  </si>
  <si>
    <t>1900-09-05</t>
  </si>
  <si>
    <t>1889-03-13</t>
  </si>
  <si>
    <t>1909-07-08</t>
  </si>
  <si>
    <t>1892-03-04</t>
  </si>
  <si>
    <t>1905-06-04</t>
  </si>
  <si>
    <t>1882-10-07</t>
  </si>
  <si>
    <t>1883-01-05</t>
  </si>
  <si>
    <t>1883-05-25</t>
  </si>
  <si>
    <t>1883-11-14</t>
  </si>
  <si>
    <t>1884-11-23</t>
  </si>
  <si>
    <t>1885-01-19</t>
  </si>
  <si>
    <t>1887-02-15</t>
  </si>
  <si>
    <t>1888-02-06</t>
  </si>
  <si>
    <t>1895-11-24</t>
  </si>
  <si>
    <t>1897-01-10</t>
  </si>
  <si>
    <t>1899-03-16</t>
  </si>
  <si>
    <t>1886-02-18</t>
  </si>
  <si>
    <t>1886-04-17</t>
  </si>
  <si>
    <t>1896-12-28</t>
  </si>
  <si>
    <t>1898-01-12</t>
  </si>
  <si>
    <t>1900-07-20</t>
  </si>
  <si>
    <t>1900-11-04</t>
  </si>
  <si>
    <t>1882-04-08</t>
  </si>
  <si>
    <t>1884-01-30</t>
  </si>
  <si>
    <t>1890-10-12</t>
  </si>
  <si>
    <t>1897-02-22</t>
  </si>
  <si>
    <t>1899-06-15</t>
  </si>
  <si>
    <t>1888-07-05</t>
  </si>
  <si>
    <t>1888-11-24</t>
  </si>
  <si>
    <t>1889-03-16</t>
  </si>
  <si>
    <t>1889-10-22</t>
  </si>
  <si>
    <t>1891-02-27</t>
  </si>
  <si>
    <t>1891-08-21</t>
  </si>
  <si>
    <t>1903-09-01</t>
  </si>
  <si>
    <t>1904-09-02</t>
  </si>
  <si>
    <t>1909-05-31</t>
  </si>
  <si>
    <t>1886-06-12</t>
  </si>
  <si>
    <t>1893-12-20</t>
  </si>
  <si>
    <t>1896-06-08</t>
  </si>
  <si>
    <t>1910-11-22</t>
  </si>
  <si>
    <t>1915-08-29</t>
  </si>
  <si>
    <t>1882-06-15</t>
  </si>
  <si>
    <t>1904-11-13</t>
  </si>
  <si>
    <t>1889-12-24</t>
  </si>
  <si>
    <t>1891-06-09</t>
  </si>
  <si>
    <t>1892-08-06</t>
  </si>
  <si>
    <t>1885-10-06</t>
  </si>
  <si>
    <t>1892-11-26</t>
  </si>
  <si>
    <t>1883-12-13</t>
  </si>
  <si>
    <t>1886-02-04</t>
  </si>
  <si>
    <t>1894-01-13</t>
  </si>
  <si>
    <t>1893-02-12</t>
  </si>
  <si>
    <t>1900-10-15</t>
  </si>
  <si>
    <t>1883-01-11</t>
  </si>
  <si>
    <t>1889-01-08</t>
  </si>
  <si>
    <t>1882-06-21</t>
  </si>
  <si>
    <t>1890-02-04</t>
  </si>
  <si>
    <t>1887-01-30</t>
  </si>
  <si>
    <t>1903-01-13</t>
  </si>
  <si>
    <t>1892-01-30</t>
  </si>
  <si>
    <t>1896-01-29</t>
  </si>
  <si>
    <t>1884-06-06</t>
  </si>
  <si>
    <t>1885-03-13</t>
  </si>
  <si>
    <t>1890-06-03</t>
  </si>
  <si>
    <t>1891-01-07</t>
  </si>
  <si>
    <t>1887-12-16</t>
  </si>
  <si>
    <t>1890-12-30</t>
  </si>
  <si>
    <t>1900-04-02</t>
  </si>
  <si>
    <t>1882-03-13</t>
  </si>
  <si>
    <t>1893-04-08</t>
  </si>
  <si>
    <t>1896-02-20</t>
  </si>
  <si>
    <t>1899-12-11</t>
  </si>
  <si>
    <t>1890-08-31</t>
  </si>
  <si>
    <t>1891-01-06</t>
  </si>
  <si>
    <t>1890-04-14</t>
  </si>
  <si>
    <t>1885-04-10</t>
  </si>
  <si>
    <t>1893-06-10</t>
  </si>
  <si>
    <t>1885-08-30</t>
  </si>
  <si>
    <t>1888-02-08</t>
  </si>
  <si>
    <t>1890-06-09</t>
  </si>
  <si>
    <t>1883-07-27</t>
  </si>
  <si>
    <t>1897-04-08</t>
  </si>
  <si>
    <t>1884-04-30</t>
  </si>
  <si>
    <t>1888-02-02</t>
  </si>
  <si>
    <t>1901-01-19</t>
  </si>
  <si>
    <t>1922-04-08</t>
  </si>
  <si>
    <t>1882-02-12</t>
  </si>
  <si>
    <t>1902-02-17</t>
  </si>
  <si>
    <t>1884-11-29</t>
  </si>
  <si>
    <t>1896-04-14</t>
  </si>
  <si>
    <t>1887-06-12</t>
  </si>
  <si>
    <t>1902-02-25</t>
  </si>
  <si>
    <t>1890-12-11</t>
  </si>
  <si>
    <t>1882-12-10</t>
  </si>
  <si>
    <t>1892-10-14</t>
  </si>
  <si>
    <t>1893-08-10</t>
  </si>
  <si>
    <t>1896-06-07</t>
  </si>
  <si>
    <t>1884-10-14</t>
  </si>
  <si>
    <t>1900-02-14</t>
  </si>
  <si>
    <t>1884-12-13</t>
  </si>
  <si>
    <t>1890-11-28</t>
  </si>
  <si>
    <t>1894-03-14</t>
  </si>
  <si>
    <t>1884-10-16</t>
  </si>
  <si>
    <t>1888-12-21</t>
  </si>
  <si>
    <t>1902-11-27</t>
  </si>
  <si>
    <t>1891-12-01</t>
  </si>
  <si>
    <t>1910-05-18</t>
  </si>
  <si>
    <t>1893-03-09</t>
  </si>
  <si>
    <t>1886-06-11</t>
  </si>
  <si>
    <t>1901-03-09</t>
  </si>
  <si>
    <t>1908-01-25</t>
  </si>
  <si>
    <t>1891-08-22</t>
  </si>
  <si>
    <t>1883-10-12</t>
  </si>
  <si>
    <t>1891-01-25</t>
  </si>
  <si>
    <t>1893-10-09</t>
  </si>
  <si>
    <t>1899-12-22</t>
  </si>
  <si>
    <t>1904-03-12</t>
  </si>
  <si>
    <t>1894-05-27</t>
  </si>
  <si>
    <t>1883-06-23</t>
  </si>
  <si>
    <t>1910-03-09</t>
  </si>
  <si>
    <t>1890-08-26</t>
  </si>
  <si>
    <t>1896-12-18</t>
  </si>
  <si>
    <t>1919-01-18</t>
  </si>
  <si>
    <t>1889-05-10</t>
  </si>
  <si>
    <t>1889-09-17</t>
  </si>
  <si>
    <t>1896-11-26</t>
  </si>
  <si>
    <t>1887-08-17</t>
  </si>
  <si>
    <t>1900-08-27</t>
  </si>
  <si>
    <t>1886-12-17</t>
  </si>
  <si>
    <t>1884-05-11</t>
  </si>
  <si>
    <t>1884-09-29</t>
  </si>
  <si>
    <t>1896-08-08</t>
  </si>
  <si>
    <t>1894-10-27</t>
  </si>
  <si>
    <t>1882-01-01</t>
  </si>
  <si>
    <t>1885-05-22</t>
  </si>
  <si>
    <t>1891-01-10</t>
  </si>
  <si>
    <t>1886-01-06</t>
  </si>
  <si>
    <t>1891-12-29</t>
  </si>
  <si>
    <t>1891-04-02</t>
  </si>
  <si>
    <t>1905-09-16</t>
  </si>
  <si>
    <t>1894-01-29</t>
  </si>
  <si>
    <t>1899-06-20</t>
  </si>
  <si>
    <t>1883-05-05</t>
  </si>
  <si>
    <t>1894-11-24</t>
  </si>
  <si>
    <t>1886-02-13</t>
  </si>
  <si>
    <t>1898-02-01</t>
  </si>
  <si>
    <t>1888-02-27</t>
  </si>
  <si>
    <t>1903-04-14</t>
  </si>
  <si>
    <t>1885-06-29</t>
  </si>
  <si>
    <t>1890-02-26</t>
  </si>
  <si>
    <t>1883-07-10</t>
  </si>
  <si>
    <t>1886-12-27</t>
  </si>
  <si>
    <t>1888-10-13</t>
  </si>
  <si>
    <t>1898-01-01</t>
  </si>
  <si>
    <t>1898-04-15</t>
  </si>
  <si>
    <t>1895-02-28</t>
  </si>
  <si>
    <t>1882-09-23</t>
  </si>
  <si>
    <t>1882-02-04</t>
  </si>
  <si>
    <t>1912-11-11</t>
  </si>
  <si>
    <t>1886-10-02</t>
  </si>
  <si>
    <t>1905-10-30</t>
  </si>
  <si>
    <t>1899-07-22</t>
  </si>
  <si>
    <t>1883-04-01</t>
  </si>
  <si>
    <t>1885-06-10</t>
  </si>
  <si>
    <t>1890-01-06</t>
  </si>
  <si>
    <t>1882-11-08</t>
  </si>
  <si>
    <t>1883-11-12</t>
  </si>
  <si>
    <t>1886-06-16</t>
  </si>
  <si>
    <t>1884-05-27</t>
  </si>
  <si>
    <t>1892-01-18</t>
  </si>
  <si>
    <t>1892-05-18</t>
  </si>
  <si>
    <t>1893-09-29</t>
  </si>
  <si>
    <t>1887-05-22</t>
  </si>
  <si>
    <t>1891-08-08</t>
  </si>
  <si>
    <t>1892-03-21</t>
  </si>
  <si>
    <t>1900-12-23</t>
  </si>
  <si>
    <t>1897-01-22</t>
  </si>
  <si>
    <t>1912-10-27</t>
  </si>
  <si>
    <t>1914-07-29</t>
  </si>
  <si>
    <t>1920-03-20</t>
  </si>
  <si>
    <t>1881-06-07</t>
  </si>
  <si>
    <t>1894-04-29</t>
  </si>
  <si>
    <t>1895-01-13</t>
  </si>
  <si>
    <t>1900-02-21</t>
  </si>
  <si>
    <t>1885-03-25</t>
  </si>
  <si>
    <t>1891-06-28</t>
  </si>
  <si>
    <t>1909-08-25</t>
  </si>
  <si>
    <t>1893-12-19</t>
  </si>
  <si>
    <t>1898-12-02</t>
  </si>
  <si>
    <t>1892-12-26</t>
  </si>
  <si>
    <t>1880-05-21</t>
  </si>
  <si>
    <t>1898-07-06</t>
  </si>
  <si>
    <t>1884-11-13</t>
  </si>
  <si>
    <t>1882-11-06</t>
  </si>
  <si>
    <t>1883-03-28</t>
  </si>
  <si>
    <t>1888-05-08</t>
  </si>
  <si>
    <t>1896-06-18</t>
  </si>
  <si>
    <t>1903-09-27</t>
  </si>
  <si>
    <t>1895-04-07</t>
  </si>
  <si>
    <t>1885-04-01</t>
  </si>
  <si>
    <t>1905-07-27</t>
  </si>
  <si>
    <t>1886-07-21</t>
  </si>
  <si>
    <t>1925-02-02</t>
  </si>
  <si>
    <t>1884-11-14</t>
  </si>
  <si>
    <t>1886-05-04</t>
  </si>
  <si>
    <t>1900-11-13</t>
  </si>
  <si>
    <t>1889-03-24</t>
  </si>
  <si>
    <t>1909-10-18</t>
  </si>
  <si>
    <t>1883-08-17</t>
  </si>
  <si>
    <t>1887-03-20</t>
  </si>
  <si>
    <t>1888-07-16</t>
  </si>
  <si>
    <t>1889-09-28</t>
  </si>
  <si>
    <t>1895-04-06</t>
  </si>
  <si>
    <t>1920-08-19</t>
  </si>
  <si>
    <t>1913-02-04</t>
  </si>
  <si>
    <t>1892-06-25</t>
  </si>
  <si>
    <t>1882-01-19</t>
  </si>
  <si>
    <t>1894-01-25</t>
  </si>
  <si>
    <t>1890-05-02</t>
  </si>
  <si>
    <t>1896-01-28</t>
  </si>
  <si>
    <t>1887-09-12</t>
  </si>
  <si>
    <t>1886-05-07</t>
  </si>
  <si>
    <t>1892-12-13</t>
  </si>
  <si>
    <t>1899-07-10</t>
  </si>
  <si>
    <t>1903-03-14</t>
  </si>
  <si>
    <t>1883-06-18</t>
  </si>
  <si>
    <t>1910-10-06</t>
  </si>
  <si>
    <t>1890-04-16</t>
  </si>
  <si>
    <t>1914-08-03</t>
  </si>
  <si>
    <t>1883-08-23</t>
  </si>
  <si>
    <t>1912-01-23</t>
  </si>
  <si>
    <t>1887-03-24</t>
  </si>
  <si>
    <t>1909-03-12</t>
  </si>
  <si>
    <t>1883-09-13</t>
  </si>
  <si>
    <t>1904-01-26</t>
  </si>
  <si>
    <t>1884-05-12</t>
  </si>
  <si>
    <t>1898-01-20</t>
  </si>
  <si>
    <t>1897-05-04</t>
  </si>
  <si>
    <t>1885-01-30</t>
  </si>
  <si>
    <t>1886-01-25</t>
  </si>
  <si>
    <t>1904-10-23</t>
  </si>
  <si>
    <t>1892-10-25</t>
  </si>
  <si>
    <t>1893-12-11</t>
  </si>
  <si>
    <t>1904-10-18</t>
  </si>
  <si>
    <t>1910-04-24</t>
  </si>
  <si>
    <t>1889-04-19</t>
  </si>
  <si>
    <t>1883-05-03</t>
  </si>
  <si>
    <t>1896-07-07</t>
  </si>
  <si>
    <t>1923-08-25</t>
  </si>
  <si>
    <t>1896-05-30</t>
  </si>
  <si>
    <t>1889-06-01</t>
  </si>
  <si>
    <t>1897-08-09</t>
  </si>
  <si>
    <t>1896-03-23</t>
  </si>
  <si>
    <t>1890-12-23</t>
  </si>
  <si>
    <t>1920-03-01</t>
  </si>
  <si>
    <t>1917-04-05</t>
  </si>
  <si>
    <t>1896-01-06</t>
  </si>
  <si>
    <t>1890-07-13</t>
  </si>
  <si>
    <t>1888-07-12</t>
  </si>
  <si>
    <t>1892-09-23</t>
  </si>
  <si>
    <t>1893-04-28</t>
  </si>
  <si>
    <t>1918-02-06</t>
  </si>
  <si>
    <t>1897-11-23</t>
  </si>
  <si>
    <t>1899-05-18</t>
  </si>
  <si>
    <t>1901-05-12</t>
  </si>
  <si>
    <t>1892-03-12</t>
  </si>
  <si>
    <t>1888-07-22</t>
  </si>
  <si>
    <t>1908-11-06</t>
  </si>
  <si>
    <t>1891-04-08</t>
  </si>
  <si>
    <t>1906-03-04</t>
  </si>
  <si>
    <t>1894-12-13</t>
  </si>
  <si>
    <t>1896-10-23</t>
  </si>
  <si>
    <t>1907-12-07</t>
  </si>
  <si>
    <t>1988-01-11</t>
  </si>
  <si>
    <t>1893-12-14</t>
  </si>
  <si>
    <t>1915-09-21</t>
  </si>
  <si>
    <t>1892-07-20</t>
  </si>
  <si>
    <t>1891-01-19</t>
  </si>
  <si>
    <t>1915-02-06</t>
  </si>
  <si>
    <t>1916-03-12</t>
  </si>
  <si>
    <t>1895-12-06</t>
  </si>
  <si>
    <t>1908-01-28</t>
  </si>
  <si>
    <t>1914-09-01</t>
  </si>
  <si>
    <t>1918-03-16</t>
  </si>
  <si>
    <t>1890-03-22</t>
  </si>
  <si>
    <t>1893-04-13</t>
  </si>
  <si>
    <t>1892-02-23</t>
  </si>
  <si>
    <t>1916-10-01</t>
  </si>
  <si>
    <t>1917-10-22</t>
  </si>
  <si>
    <t>1894-02-19</t>
  </si>
  <si>
    <t>1899-08-05</t>
  </si>
  <si>
    <t>1891-03-18</t>
  </si>
  <si>
    <t>1895-06-24</t>
  </si>
  <si>
    <t>1901-01-03</t>
  </si>
  <si>
    <t>1886-03-30</t>
  </si>
  <si>
    <t>1889-02-17</t>
  </si>
  <si>
    <t>1896-07-17</t>
  </si>
  <si>
    <t>1901-03-11</t>
  </si>
  <si>
    <t>1904-12-12</t>
  </si>
  <si>
    <t>1927-09-20</t>
  </si>
  <si>
    <t>1895-04-20</t>
  </si>
  <si>
    <t>1892-02-19</t>
  </si>
  <si>
    <t>1894-12-29</t>
  </si>
  <si>
    <t>1907-05-01</t>
  </si>
  <si>
    <t>1901-05-30</t>
  </si>
  <si>
    <t>1917-02-10</t>
  </si>
  <si>
    <t>1889-10-07</t>
  </si>
  <si>
    <t>1899-12-24</t>
  </si>
  <si>
    <t>1910-05-11</t>
  </si>
  <si>
    <t>1900-06-04</t>
  </si>
  <si>
    <t>1894-12-10</t>
  </si>
  <si>
    <t>1897-05-01</t>
  </si>
  <si>
    <t>1915-09-22</t>
  </si>
  <si>
    <t>1892-01-17</t>
  </si>
  <si>
    <t>1913-09-30</t>
  </si>
  <si>
    <t>1891-02-07</t>
  </si>
  <si>
    <t>1893-04-11</t>
  </si>
  <si>
    <t>1902-05-21</t>
  </si>
  <si>
    <t>1901-04-03</t>
  </si>
  <si>
    <t>1897-05-08</t>
  </si>
  <si>
    <t>1896-07-08</t>
  </si>
  <si>
    <t>1902-12-25</t>
  </si>
  <si>
    <t>1902-07-03</t>
  </si>
  <si>
    <t>1915-09-24</t>
  </si>
  <si>
    <t>1889-04-24</t>
  </si>
  <si>
    <t>1896-01-04</t>
  </si>
  <si>
    <t>1921-01-02</t>
  </si>
  <si>
    <t>1905-10-13</t>
  </si>
  <si>
    <t>1910-01-13</t>
  </si>
  <si>
    <t>1899-08-20</t>
  </si>
  <si>
    <t>1924-02-05</t>
  </si>
  <si>
    <t>1892-05-29</t>
  </si>
  <si>
    <t>1910-07-29</t>
  </si>
  <si>
    <t>1895-12-16</t>
  </si>
  <si>
    <t>1922-06-29</t>
  </si>
  <si>
    <t>1897-07-18</t>
  </si>
  <si>
    <t>1901-04-20</t>
  </si>
  <si>
    <t>1900-02-03</t>
  </si>
  <si>
    <t>1915-03-14</t>
  </si>
  <si>
    <t>1920-07-20</t>
  </si>
  <si>
    <t>1891-05-30</t>
  </si>
  <si>
    <t>1896-08-28</t>
  </si>
  <si>
    <t>1908-10-16</t>
  </si>
  <si>
    <t>1921-06-16</t>
  </si>
  <si>
    <t>1914-01-22</t>
  </si>
  <si>
    <t>1906-12-02</t>
  </si>
  <si>
    <t>1912-05-01</t>
  </si>
  <si>
    <t>1906-03-30</t>
  </si>
  <si>
    <t>1906-06-27</t>
  </si>
  <si>
    <t>1907-02-13</t>
  </si>
  <si>
    <t>1923-12-21</t>
  </si>
  <si>
    <t>1900-03-27</t>
  </si>
  <si>
    <t>1904-01-08</t>
  </si>
  <si>
    <t>1896-02-23</t>
  </si>
  <si>
    <t>1900-07-16</t>
  </si>
  <si>
    <t>1904-03-16</t>
  </si>
  <si>
    <t>1894-07-26</t>
  </si>
  <si>
    <t>1919-06-17</t>
  </si>
  <si>
    <t>1927-08-26</t>
  </si>
  <si>
    <t>1908-12-14</t>
  </si>
  <si>
    <t>1911-08-24</t>
  </si>
  <si>
    <t>1916-03-21</t>
  </si>
  <si>
    <t>1898-05-30</t>
  </si>
  <si>
    <t>1914-01-24</t>
  </si>
  <si>
    <t>1904-07-02</t>
  </si>
  <si>
    <t>1901-10-20</t>
  </si>
  <si>
    <t>1894-11-05</t>
  </si>
  <si>
    <t>1915-01-08</t>
  </si>
  <si>
    <t>1920-10-25</t>
  </si>
  <si>
    <t>1901-11-17</t>
  </si>
  <si>
    <t>1912-05-22</t>
  </si>
  <si>
    <t>1917-12-30</t>
  </si>
  <si>
    <t>1899-08-02</t>
  </si>
  <si>
    <t>1935-03-11</t>
  </si>
  <si>
    <t>1923-11-16</t>
  </si>
  <si>
    <t>1895-05-28</t>
  </si>
  <si>
    <t>1921-03-26</t>
  </si>
  <si>
    <t>1907-07-08</t>
  </si>
  <si>
    <t>1914-09-24</t>
  </si>
  <si>
    <t>1895-07-11</t>
  </si>
  <si>
    <t>1899-07-09</t>
  </si>
  <si>
    <t>1899-10-15</t>
  </si>
  <si>
    <t>1913-07-05</t>
  </si>
  <si>
    <t>1899-09-16</t>
  </si>
  <si>
    <t>1908-04-13</t>
  </si>
  <si>
    <t>1911-07-06</t>
  </si>
  <si>
    <t>1912-04-23</t>
  </si>
  <si>
    <t>1931-02-14</t>
  </si>
  <si>
    <t>1906-03-12</t>
  </si>
  <si>
    <t>1900-04-29</t>
  </si>
  <si>
    <t>1915-06-11</t>
  </si>
  <si>
    <t>1912-04-25</t>
  </si>
  <si>
    <t>1915-02-02</t>
  </si>
  <si>
    <t>1932-01-19</t>
  </si>
  <si>
    <t>1908-02-27</t>
  </si>
  <si>
    <t>1904-02-13</t>
  </si>
  <si>
    <t>1915-10-07</t>
  </si>
  <si>
    <t>1926-12-21</t>
  </si>
  <si>
    <t>1922-09-15</t>
  </si>
  <si>
    <t>1913-12-15</t>
  </si>
  <si>
    <t>1899-09-26</t>
  </si>
  <si>
    <t>1909-11-03</t>
  </si>
  <si>
    <t>1904-10-26</t>
  </si>
  <si>
    <t>1933-01-22</t>
  </si>
  <si>
    <t>1908-03-24</t>
  </si>
  <si>
    <t>1917-02-22</t>
  </si>
  <si>
    <t>1925-03-17</t>
  </si>
  <si>
    <t>1918-01-27</t>
  </si>
  <si>
    <t>1919-04-13</t>
  </si>
  <si>
    <t>1923-02-06</t>
  </si>
  <si>
    <t>1902-03-27</t>
  </si>
  <si>
    <t>1930-03-07</t>
  </si>
  <si>
    <t>1922-04-29</t>
  </si>
  <si>
    <t>1917-03-10</t>
  </si>
  <si>
    <t>1915-08-12</t>
  </si>
  <si>
    <t>1918-10-09</t>
  </si>
  <si>
    <t>1914-02-12</t>
  </si>
  <si>
    <t>1912-11-24</t>
  </si>
  <si>
    <t>1916-04-16</t>
  </si>
  <si>
    <t>1928-05-13</t>
  </si>
  <si>
    <t>1919-01-09</t>
  </si>
  <si>
    <t>1901-01-11</t>
  </si>
  <si>
    <t>1907-05-14</t>
  </si>
  <si>
    <t>1909-07-28</t>
  </si>
  <si>
    <t>1914-12-23</t>
  </si>
  <si>
    <t>1922-12-19</t>
  </si>
  <si>
    <t>1908-07-02</t>
  </si>
  <si>
    <t>1912-04-20</t>
  </si>
  <si>
    <t>1926-03-10</t>
  </si>
  <si>
    <t>1911-10-20</t>
  </si>
  <si>
    <t>1916-03-22</t>
  </si>
  <si>
    <t>1903-08-16</t>
  </si>
  <si>
    <t>1926-02-17</t>
  </si>
  <si>
    <t>1904-12-25</t>
  </si>
  <si>
    <t>1941-01-09</t>
  </si>
  <si>
    <t>1925-04-02</t>
  </si>
  <si>
    <t>1900-06-21</t>
  </si>
  <si>
    <t>1905-03-27</t>
  </si>
  <si>
    <t>1920-03-04</t>
  </si>
  <si>
    <t>1927-09-28</t>
  </si>
  <si>
    <t>1913-03-13</t>
  </si>
  <si>
    <t>1901-08-08</t>
  </si>
  <si>
    <t>1914-03-28</t>
  </si>
  <si>
    <t>1916-04-25</t>
  </si>
  <si>
    <t>1907-06-17</t>
  </si>
  <si>
    <t>1913-04-25</t>
  </si>
  <si>
    <t>1912-11-14</t>
  </si>
  <si>
    <t>1913-04-28</t>
  </si>
  <si>
    <t>1903-10-04</t>
  </si>
  <si>
    <t>1912-03-14</t>
  </si>
  <si>
    <t>1915-11-23</t>
  </si>
  <si>
    <t>1927-11-07</t>
  </si>
  <si>
    <t>1903-07-27</t>
  </si>
  <si>
    <t>1902-07-14</t>
  </si>
  <si>
    <t>1917-07-30</t>
  </si>
  <si>
    <t>1943-01-31</t>
  </si>
  <si>
    <t>1905-10-03</t>
  </si>
  <si>
    <t>1920-07-16</t>
  </si>
  <si>
    <t>1917-11-11</t>
  </si>
  <si>
    <t>1930-09-24</t>
  </si>
  <si>
    <t>1939-10-17</t>
  </si>
  <si>
    <t>1909-03-07</t>
  </si>
  <si>
    <t>1926-10-02</t>
  </si>
  <si>
    <t>1928-05-05</t>
  </si>
  <si>
    <t>1932-01-09</t>
  </si>
  <si>
    <t>1915-05-28</t>
  </si>
  <si>
    <t>1920-03-23</t>
  </si>
  <si>
    <t>1934-04-16</t>
  </si>
  <si>
    <t>1934-11-20</t>
  </si>
  <si>
    <t>1912-10-01</t>
  </si>
  <si>
    <t>1936-03-06</t>
  </si>
  <si>
    <t>1912-03-23</t>
  </si>
  <si>
    <t>1925-09-18</t>
  </si>
  <si>
    <t>1905-12-24</t>
  </si>
  <si>
    <t>1924-12-27</t>
  </si>
  <si>
    <t>1918-01-22</t>
  </si>
  <si>
    <t>1926-10-27</t>
  </si>
  <si>
    <t>1921-09-03</t>
  </si>
  <si>
    <t>1931-08-09</t>
  </si>
  <si>
    <t>1914-10-22</t>
  </si>
  <si>
    <t>1931-03-26</t>
  </si>
  <si>
    <t>1919-09-18</t>
  </si>
  <si>
    <t>1925-11-15</t>
  </si>
  <si>
    <t>1940-09-23</t>
  </si>
  <si>
    <t>1922-11-15</t>
  </si>
  <si>
    <t>1918-07-12</t>
  </si>
  <si>
    <t>1931-04-14</t>
  </si>
  <si>
    <t>1937-09-07</t>
  </si>
  <si>
    <t>1923-10-27</t>
  </si>
  <si>
    <t>1925-04-16</t>
  </si>
  <si>
    <t>1907-10-01</t>
  </si>
  <si>
    <t>1930-07-07</t>
  </si>
  <si>
    <t>1928-06-08</t>
  </si>
  <si>
    <t>1943-09-28</t>
  </si>
  <si>
    <t>1932-03-09</t>
  </si>
  <si>
    <t>1932-11-01</t>
  </si>
  <si>
    <t>1923-09-06</t>
  </si>
  <si>
    <t>1923-09-16</t>
  </si>
  <si>
    <t>1929-06-13</t>
  </si>
  <si>
    <t>1922-09-01</t>
  </si>
  <si>
    <t>1923-09-30</t>
  </si>
  <si>
    <t>1942-10-18</t>
  </si>
  <si>
    <t>1914-04-25</t>
  </si>
  <si>
    <t>1918-06-09</t>
  </si>
  <si>
    <t>1927-10-13</t>
  </si>
  <si>
    <t>1919-06-26</t>
  </si>
  <si>
    <t>1911-10-05</t>
  </si>
  <si>
    <t>1913-05-17</t>
  </si>
  <si>
    <t>1942-02-04</t>
  </si>
  <si>
    <t>1931-08-24</t>
  </si>
  <si>
    <t>1942-02-21</t>
  </si>
  <si>
    <t>1929-06-27</t>
  </si>
  <si>
    <t>1925-02-25</t>
  </si>
  <si>
    <t>1932-03-08</t>
  </si>
  <si>
    <t>1931-04-26</t>
  </si>
  <si>
    <t>1926-02-10</t>
  </si>
  <si>
    <t>1915-02-28</t>
  </si>
  <si>
    <t>1918-12-24</t>
  </si>
  <si>
    <t>1914-02-05</t>
  </si>
  <si>
    <t>1937-08-18</t>
  </si>
  <si>
    <t>1935-12-20</t>
  </si>
  <si>
    <t>1917-02-26</t>
  </si>
  <si>
    <t>1945-11-21</t>
  </si>
  <si>
    <t>1932-07-25</t>
  </si>
  <si>
    <t>1932-09-22</t>
  </si>
  <si>
    <t>1936-11-14</t>
  </si>
  <si>
    <t>1930-06-30</t>
  </si>
  <si>
    <t>1917-07-29</t>
  </si>
  <si>
    <t>1927-07-13</t>
  </si>
  <si>
    <t>1943-12-02</t>
  </si>
  <si>
    <t>1926-01-11</t>
  </si>
  <si>
    <t>1954-12-25</t>
  </si>
  <si>
    <t>1925-02-12</t>
  </si>
  <si>
    <t>1932-09-10</t>
  </si>
  <si>
    <t>1930-06-08</t>
  </si>
  <si>
    <t>1932-04-15</t>
  </si>
  <si>
    <t>1966-03-31</t>
  </si>
  <si>
    <t>1935-05-17</t>
  </si>
  <si>
    <t>1938-09-15</t>
  </si>
  <si>
    <t>1941-10-30</t>
  </si>
  <si>
    <t>1928-05-29</t>
  </si>
  <si>
    <t>1927-12-20</t>
  </si>
  <si>
    <t>1936-04-18</t>
  </si>
  <si>
    <t>1938-12-01</t>
  </si>
  <si>
    <t>1952-10-21</t>
  </si>
  <si>
    <t>1940-03-11</t>
  </si>
  <si>
    <t>1937-12-12</t>
  </si>
  <si>
    <t>1949-03-11</t>
  </si>
  <si>
    <t>1941-08-08</t>
  </si>
  <si>
    <t>1944-08-26</t>
  </si>
  <si>
    <t>1922-10-07</t>
  </si>
  <si>
    <t>1928-10-02</t>
  </si>
  <si>
    <t>1924-03-22</t>
  </si>
  <si>
    <t>1952-02-18</t>
  </si>
  <si>
    <t>1922-11-23</t>
  </si>
  <si>
    <t>1931-01-10</t>
  </si>
  <si>
    <t>1936-09-07</t>
  </si>
  <si>
    <t>1929-08-03</t>
  </si>
  <si>
    <t>1935-02-17</t>
  </si>
  <si>
    <t>1942-02-28</t>
  </si>
  <si>
    <t>1945-11-13</t>
  </si>
  <si>
    <t>1936-06-03</t>
  </si>
  <si>
    <t>1940-04-23</t>
  </si>
  <si>
    <t>1931-05-09</t>
  </si>
  <si>
    <t>1935-04-17</t>
  </si>
  <si>
    <t>1924-01-21</t>
  </si>
  <si>
    <t>1931-12-21</t>
  </si>
  <si>
    <t>1945-01-16</t>
  </si>
  <si>
    <t>1938-07-05</t>
  </si>
  <si>
    <t>1938-12-27</t>
  </si>
  <si>
    <t>1935-08-26</t>
  </si>
  <si>
    <t>1931-11-13</t>
  </si>
  <si>
    <t>1937-12-21</t>
  </si>
  <si>
    <t>1940-12-01</t>
  </si>
  <si>
    <t>1940-12-22</t>
  </si>
  <si>
    <t>1936-09-11</t>
  </si>
  <si>
    <t>1943-08-17</t>
  </si>
  <si>
    <t>1941-06-19</t>
  </si>
  <si>
    <t>1934-10-12</t>
  </si>
  <si>
    <t>1936-08-01</t>
  </si>
  <si>
    <t>1932-12-30</t>
  </si>
  <si>
    <t>1940-07-27</t>
  </si>
  <si>
    <t>1954-05-15</t>
  </si>
  <si>
    <t>1933-12-18</t>
  </si>
  <si>
    <t>1936-10-31</t>
  </si>
  <si>
    <t>1935-04-07</t>
  </si>
  <si>
    <t>1943-12-27</t>
  </si>
  <si>
    <t>1947-11-18</t>
  </si>
  <si>
    <t>1920-09-19</t>
  </si>
  <si>
    <t>1924-03-27</t>
  </si>
  <si>
    <t>1927-08-06</t>
  </si>
  <si>
    <t>1929-03-26</t>
  </si>
  <si>
    <t>1932-03-14</t>
  </si>
  <si>
    <t>1937-07-26</t>
  </si>
  <si>
    <t>1947-04-20</t>
  </si>
  <si>
    <t>1921-03-12</t>
  </si>
  <si>
    <t>1925-02-18</t>
  </si>
  <si>
    <t>1931-02-18</t>
  </si>
  <si>
    <t>1947-01-20</t>
  </si>
  <si>
    <t>1933-12-08</t>
  </si>
  <si>
    <t>1939-03-21</t>
  </si>
  <si>
    <t>1925-11-14</t>
  </si>
  <si>
    <t>1925-02-28</t>
  </si>
  <si>
    <t>1940-02-15</t>
  </si>
  <si>
    <t>1933-04-28</t>
  </si>
  <si>
    <t>1954-05-12</t>
  </si>
  <si>
    <t>1941-05-01</t>
  </si>
  <si>
    <t>1921-11-30</t>
  </si>
  <si>
    <t>1923-05-11</t>
  </si>
  <si>
    <t>1942-12-10</t>
  </si>
  <si>
    <t>1948-07-17</t>
  </si>
  <si>
    <t>1952-02-27</t>
  </si>
  <si>
    <t>1944-04-12</t>
  </si>
  <si>
    <t>1937-06-09</t>
  </si>
  <si>
    <t>1930-07-31</t>
  </si>
  <si>
    <t>1937-07-03</t>
  </si>
  <si>
    <t>1936-09-03</t>
  </si>
  <si>
    <t>1924-09-21</t>
  </si>
  <si>
    <t>1951-08-19</t>
  </si>
  <si>
    <t>1958-05-28</t>
  </si>
  <si>
    <t>1926-09-26</t>
  </si>
  <si>
    <t>1928-02-04</t>
  </si>
  <si>
    <t>1951-10-16</t>
  </si>
  <si>
    <t>1945-12-27</t>
  </si>
  <si>
    <t>1945-08-11</t>
  </si>
  <si>
    <t>1933-03-16</t>
  </si>
  <si>
    <t>1936-10-27</t>
  </si>
  <si>
    <t>1933-07-12</t>
  </si>
  <si>
    <t>1953-06-15</t>
  </si>
  <si>
    <t>1934-07-25</t>
  </si>
  <si>
    <t>1959-09-20</t>
  </si>
  <si>
    <t>1928-08-03</t>
  </si>
  <si>
    <t>1938-09-01</t>
  </si>
  <si>
    <t>1936-07-13</t>
  </si>
  <si>
    <t>1951-03-26</t>
  </si>
  <si>
    <t>1943-12-11</t>
  </si>
  <si>
    <t>1934-10-21</t>
  </si>
  <si>
    <t>1962-08-20</t>
  </si>
  <si>
    <t>1943-02-04</t>
  </si>
  <si>
    <t>1926-11-18</t>
  </si>
  <si>
    <t>1955-01-13</t>
  </si>
  <si>
    <t>1947-02-06</t>
  </si>
  <si>
    <t>1947-06-05</t>
  </si>
  <si>
    <t>1951-10-06</t>
  </si>
  <si>
    <t>1938-01-19</t>
  </si>
  <si>
    <t>1957-05-25</t>
  </si>
  <si>
    <t>1953-05-02</t>
  </si>
  <si>
    <t>1929-07-23</t>
  </si>
  <si>
    <t>1938-08-29</t>
  </si>
  <si>
    <t>1962-07-25</t>
  </si>
  <si>
    <t>1940-01-21</t>
  </si>
  <si>
    <t>1945-07-30</t>
  </si>
  <si>
    <t>1950-11-13</t>
  </si>
  <si>
    <t>1932-10-25</t>
  </si>
  <si>
    <t>1931-02-27</t>
  </si>
  <si>
    <t>1936-05-30</t>
  </si>
  <si>
    <t>1964-07-17</t>
  </si>
  <si>
    <t>1937-05-27</t>
  </si>
  <si>
    <t>1942-03-30</t>
  </si>
  <si>
    <t>1945-08-01</t>
  </si>
  <si>
    <t>1950-10-02</t>
  </si>
  <si>
    <t>1948-06-14</t>
  </si>
  <si>
    <t>1933-10-13</t>
  </si>
  <si>
    <t>1962-05-26</t>
  </si>
  <si>
    <t>1943-12-26</t>
  </si>
  <si>
    <t>1962-04-01</t>
  </si>
  <si>
    <t>1949-07-16</t>
  </si>
  <si>
    <t>1954-12-17</t>
  </si>
  <si>
    <t>1942-11-22</t>
  </si>
  <si>
    <t>1952-01-23</t>
  </si>
  <si>
    <t>1938-04-24</t>
  </si>
  <si>
    <t>1959-11-03</t>
  </si>
  <si>
    <t>1947-08-01</t>
  </si>
  <si>
    <t>1949-02-04</t>
  </si>
  <si>
    <t>1962-08-31</t>
  </si>
  <si>
    <t>1946-04-06</t>
  </si>
  <si>
    <t>1965-06-30</t>
  </si>
  <si>
    <t>1944-10-02</t>
  </si>
  <si>
    <t>1946-11-29</t>
  </si>
  <si>
    <t>1941-11-22</t>
  </si>
  <si>
    <t>1942-11-19</t>
  </si>
  <si>
    <t>1962-01-20</t>
  </si>
  <si>
    <t>1966-05-28</t>
  </si>
  <si>
    <t>1942-05-02</t>
  </si>
  <si>
    <t>1961-12-29</t>
  </si>
  <si>
    <t>1943-04-01</t>
  </si>
  <si>
    <t>1965-10-20</t>
  </si>
  <si>
    <t>1945-09-12</t>
  </si>
  <si>
    <t>1946-11-11</t>
  </si>
  <si>
    <t>1954-01-11</t>
  </si>
  <si>
    <t>1940-02-04</t>
  </si>
  <si>
    <t>1948-02-24</t>
  </si>
  <si>
    <t>1965-12-15</t>
  </si>
  <si>
    <t>1960-08-05</t>
  </si>
  <si>
    <t>1937-07-14</t>
  </si>
  <si>
    <t>1985-02-24</t>
  </si>
  <si>
    <t>1936-07-06</t>
  </si>
  <si>
    <t>1938-02-24</t>
  </si>
  <si>
    <t>1957-07-26</t>
  </si>
  <si>
    <t>1943-12-20</t>
  </si>
  <si>
    <t>1955-11-24</t>
  </si>
  <si>
    <t>1944-01-07</t>
  </si>
  <si>
    <t>1937-08-07</t>
  </si>
  <si>
    <t>1961-02-07</t>
  </si>
  <si>
    <t>1934-07-15</t>
  </si>
  <si>
    <t>1960-03-08</t>
  </si>
  <si>
    <t>1963-09-22</t>
  </si>
  <si>
    <t>1945-03-11</t>
  </si>
  <si>
    <t>1950-10-17</t>
  </si>
  <si>
    <t>1967-02-26</t>
  </si>
  <si>
    <t>1940-01-05</t>
  </si>
  <si>
    <t>1968-07-22</t>
  </si>
  <si>
    <t>1944-03-22</t>
  </si>
  <si>
    <t>1947-03-14</t>
  </si>
  <si>
    <t>1939-09-17</t>
  </si>
  <si>
    <t>1944-04-18</t>
  </si>
  <si>
    <t>1934-08-16</t>
  </si>
  <si>
    <t>1983-01-11</t>
  </si>
  <si>
    <t>1966-06-13</t>
  </si>
  <si>
    <t>1951-08-06</t>
  </si>
  <si>
    <t>1956-09-25</t>
  </si>
  <si>
    <t>1958-05-15</t>
  </si>
  <si>
    <t>1945-08-19</t>
  </si>
  <si>
    <t>1962-03-24</t>
  </si>
  <si>
    <t>1944-02-23</t>
  </si>
  <si>
    <t>1970-04-07</t>
  </si>
  <si>
    <t>1965-02-26</t>
  </si>
  <si>
    <t>1969-12-27</t>
  </si>
  <si>
    <t>1941-03-01</t>
  </si>
  <si>
    <t>1942-02-26</t>
  </si>
  <si>
    <t>1961-03-27</t>
  </si>
  <si>
    <t>1946-02-15</t>
  </si>
  <si>
    <t>1949-02-14</t>
  </si>
  <si>
    <t>1956-08-27</t>
  </si>
  <si>
    <t>1956-07-04</t>
  </si>
  <si>
    <t>1957-12-21</t>
  </si>
  <si>
    <t>1961-03-24</t>
  </si>
  <si>
    <t>1946-03-24</t>
  </si>
  <si>
    <t>1956-11-02</t>
  </si>
  <si>
    <t>1962-12-17</t>
  </si>
  <si>
    <t>1941-01-08</t>
  </si>
  <si>
    <t>1944-10-17</t>
  </si>
  <si>
    <t>1974-12-10</t>
  </si>
  <si>
    <t>1964-08-15</t>
  </si>
  <si>
    <t>1951-02-20</t>
  </si>
  <si>
    <t>1963-02-07</t>
  </si>
  <si>
    <t>1961-05-21</t>
  </si>
  <si>
    <t>1968-09-03</t>
  </si>
  <si>
    <t>1973-11-06</t>
  </si>
  <si>
    <t>1954-01-01</t>
  </si>
  <si>
    <t>1948-02-02</t>
  </si>
  <si>
    <t>1994-12-13</t>
  </si>
  <si>
    <t>1953-10-31</t>
  </si>
  <si>
    <t>1943-09-22</t>
  </si>
  <si>
    <t>1959-08-15</t>
  </si>
  <si>
    <t>1971-12-12</t>
  </si>
  <si>
    <t>1965-02-24</t>
  </si>
  <si>
    <t>1944-03-09</t>
  </si>
  <si>
    <t>1956-05-24</t>
  </si>
  <si>
    <t>1966-03-09</t>
  </si>
  <si>
    <t>1951-04-05</t>
  </si>
  <si>
    <t>1948-08-01</t>
  </si>
  <si>
    <t>1960-07-13</t>
  </si>
  <si>
    <t>1956-04-16</t>
  </si>
  <si>
    <t>1974-05-15</t>
  </si>
  <si>
    <t>1949-02-24</t>
  </si>
  <si>
    <t>1964-02-20</t>
  </si>
  <si>
    <t>1956-09-16</t>
  </si>
  <si>
    <t>1974-01-03</t>
  </si>
  <si>
    <t>1963-02-13</t>
  </si>
  <si>
    <t>1972-03-11</t>
  </si>
  <si>
    <t>1942-11-05</t>
  </si>
  <si>
    <t>1960-05-07</t>
  </si>
  <si>
    <t>Corse</t>
  </si>
  <si>
    <t>Sarthe</t>
  </si>
  <si>
    <t>Orne</t>
  </si>
  <si>
    <t>Loiret</t>
  </si>
  <si>
    <t>Ardennes</t>
  </si>
  <si>
    <t>Aude</t>
  </si>
  <si>
    <t>Morbihan</t>
  </si>
  <si>
    <t>Tarn</t>
  </si>
  <si>
    <t>La Réunion</t>
  </si>
  <si>
    <t>Côtes-du-Nord</t>
  </si>
  <si>
    <t>Rhône</t>
  </si>
  <si>
    <t>Cantal</t>
  </si>
  <si>
    <t>Aveyron</t>
  </si>
  <si>
    <t>Pas-de-Calais</t>
  </si>
  <si>
    <t>Seine</t>
  </si>
  <si>
    <t>Basses-Pyrénées</t>
  </si>
  <si>
    <t>Eure-et-Loir</t>
  </si>
  <si>
    <t>Vendée</t>
  </si>
  <si>
    <t>Doubs</t>
  </si>
  <si>
    <t>Lot</t>
  </si>
  <si>
    <t>Indre</t>
  </si>
  <si>
    <t>Seine-et-Oise</t>
  </si>
  <si>
    <t>Haute-Vienne</t>
  </si>
  <si>
    <t>Seine-Inférieure</t>
  </si>
  <si>
    <t>Creuse</t>
  </si>
  <si>
    <t>Maine-et-Loire</t>
  </si>
  <si>
    <t>Hautes-Alpes</t>
  </si>
  <si>
    <t>Vienne</t>
  </si>
  <si>
    <t>Etablissements français de l’Inde</t>
  </si>
  <si>
    <t>Mayenne</t>
  </si>
  <si>
    <t>Manche</t>
  </si>
  <si>
    <t>Ain</t>
  </si>
  <si>
    <t>Gironde</t>
  </si>
  <si>
    <t>Savoie</t>
  </si>
  <si>
    <t>Oise</t>
  </si>
  <si>
    <t>Bouches-du-Rhône</t>
  </si>
  <si>
    <t>Ardèche</t>
  </si>
  <si>
    <t>Eure</t>
  </si>
  <si>
    <t>Haute-Loire</t>
  </si>
  <si>
    <t>Saône-et-Loire</t>
  </si>
  <si>
    <t>Landes</t>
  </si>
  <si>
    <t>Cher</t>
  </si>
  <si>
    <t>Loire</t>
  </si>
  <si>
    <t>Ille-et-Vilaine</t>
  </si>
  <si>
    <t>Allier</t>
  </si>
  <si>
    <t>Anciens départements d'Algérie</t>
  </si>
  <si>
    <t>Pyrénées-Orientales</t>
  </si>
  <si>
    <t>Côte-d'Or</t>
  </si>
  <si>
    <t>Gers</t>
  </si>
  <si>
    <t>Lozère</t>
  </si>
  <si>
    <t>Puy-de-Dôme</t>
  </si>
  <si>
    <t>Isère</t>
  </si>
  <si>
    <t>Meurthe-et-Moselle</t>
  </si>
  <si>
    <t>Indre-et-Loire</t>
  </si>
  <si>
    <t>Calvados</t>
  </si>
  <si>
    <t>Dordogne</t>
  </si>
  <si>
    <t>Finistère</t>
  </si>
  <si>
    <t>Somme</t>
  </si>
  <si>
    <t>Nord</t>
  </si>
  <si>
    <t>Gard</t>
  </si>
  <si>
    <t>Aisne</t>
  </si>
  <si>
    <t>Haute-Garonne</t>
  </si>
  <si>
    <t>Vosges</t>
  </si>
  <si>
    <t>Haute-Savoie</t>
  </si>
  <si>
    <t>Ariège</t>
  </si>
  <si>
    <t>Corrèze</t>
  </si>
  <si>
    <t>Deux-Sèvres</t>
  </si>
  <si>
    <t>Haute-Marne</t>
  </si>
  <si>
    <t>Loire-Inférieure</t>
  </si>
  <si>
    <t>Alpes-Maritimes</t>
  </si>
  <si>
    <t>Marne</t>
  </si>
  <si>
    <t>Seine-et-Marne</t>
  </si>
  <si>
    <t>Hautes-Pyrénées</t>
  </si>
  <si>
    <t>Guadeloupe</t>
  </si>
  <si>
    <t>Guyane</t>
  </si>
  <si>
    <t>Meuse</t>
  </si>
  <si>
    <t>Charente</t>
  </si>
  <si>
    <t>Nièvre</t>
  </si>
  <si>
    <t>Basses-Alpes</t>
  </si>
  <si>
    <t>Yonne</t>
  </si>
  <si>
    <t>Martinique</t>
  </si>
  <si>
    <t>Haute-Saône</t>
  </si>
  <si>
    <t>Charente-Inférieure</t>
  </si>
  <si>
    <t>Cochinchine française</t>
  </si>
  <si>
    <t>Loir-et-Cher</t>
  </si>
  <si>
    <t>Territoire-de-Belfort</t>
  </si>
  <si>
    <t>Jura</t>
  </si>
  <si>
    <t>Var</t>
  </si>
  <si>
    <t>Lot-et-Garonne</t>
  </si>
  <si>
    <t>Drôme</t>
  </si>
  <si>
    <t>Tarn-et-Garonne</t>
  </si>
  <si>
    <t>Sénégal</t>
  </si>
  <si>
    <t>Vaucluse</t>
  </si>
  <si>
    <t>Bas-Rhin</t>
  </si>
  <si>
    <t>Haut-Rhin</t>
  </si>
  <si>
    <t>Moselle</t>
  </si>
  <si>
    <t>Ministre de l'Instruction publique et des Beaux-Arts</t>
  </si>
  <si>
    <t>Président du Conseil</t>
  </si>
  <si>
    <t>Ministre de la Marine</t>
  </si>
  <si>
    <t>Sous-secrétaire d’État aux Finances</t>
  </si>
  <si>
    <t>Ministre du Travail et de la Prévoyance sociale</t>
  </si>
  <si>
    <t>Ministre de l'Agriculture</t>
  </si>
  <si>
    <t>Ministre de la Guerre</t>
  </si>
  <si>
    <t>Ministre de l'Intérieur</t>
  </si>
  <si>
    <t>Ministre du Commerce, Industrie, Postes et Télégraphes</t>
  </si>
  <si>
    <t>Sous-secrétaire d'État à la Marine, chargé de la Marine marchande</t>
  </si>
  <si>
    <t>Sous-secrétaire d’État à l’Intérieur</t>
  </si>
  <si>
    <t>Ministre des Affaires étrangères</t>
  </si>
  <si>
    <t>Ministre des Travaux publics</t>
  </si>
  <si>
    <t>Ministre de la Justice</t>
  </si>
  <si>
    <t>Ministre des Colonies</t>
  </si>
  <si>
    <t>Ministre des Finances</t>
  </si>
  <si>
    <t>Sous-secrétaire d’État aux Beaux-Arts</t>
  </si>
  <si>
    <t>Sous-secrétaire d’État à l'Intérieur</t>
  </si>
  <si>
    <t>Ministre du Commerce</t>
  </si>
  <si>
    <t>Sous-secrétaire d’État à la Marine de Guerre</t>
  </si>
  <si>
    <t>Ministres d'État</t>
  </si>
  <si>
    <t>Ministre de l'Air</t>
  </si>
  <si>
    <t>Ministre de la Défense nationale et de la Guerre</t>
  </si>
  <si>
    <t>Vice-président du Conseil</t>
  </si>
  <si>
    <t>Sous-secrétaire d’État à la Santé publique chargé de l'Éducation Physique</t>
  </si>
  <si>
    <t>Sous-secrétaire d’État à la présidence du Conseil</t>
  </si>
  <si>
    <t>Ministre d'État</t>
  </si>
  <si>
    <t>Ministre des Postes, Télégraphes et Téléphones</t>
  </si>
  <si>
    <t>Sous-secrétaire d’État à l'Éducation nationale chargé de l'Enseignement technique</t>
  </si>
  <si>
    <t>Sous-secrétaire d’État à la Santé publique chargé de l'Organisation des Loisirs et des Sports</t>
  </si>
  <si>
    <t>Sous-secrétaire d'État aux Mines, à l'Électricité et aux Combustibles liquides</t>
  </si>
  <si>
    <t>Ministre de l'Économie nationale</t>
  </si>
  <si>
    <t>Sous-secrétaire d’État aux Travaux publics chargé de la Marine marchande</t>
  </si>
  <si>
    <t>Sous-secrétaire d'État aux Affaires étrangères</t>
  </si>
  <si>
    <t>Ministre de l'Éducation nationale</t>
  </si>
  <si>
    <t>Ministre du Travail</t>
  </si>
  <si>
    <t>Sous-secrétaire d’État à l'Agriculture</t>
  </si>
  <si>
    <t>Ministre des Pensions</t>
  </si>
  <si>
    <t>Ministre de la Santé publique</t>
  </si>
  <si>
    <t>Sous-secrétaire d’État à l'Éducation nationale</t>
  </si>
  <si>
    <t>Sous-secrétaire d’État à l'Éducation nationale chargé de la Recherche scientifique</t>
  </si>
  <si>
    <t>Sous-secrétaire d'État à la Recherche scientifique</t>
  </si>
  <si>
    <t>Sous-secrétaire d’État à la Santé publique chargé de la Protection de l'Enfance</t>
  </si>
  <si>
    <t>Ministre de la Coordination des Services à la Présidence du Conseil</t>
  </si>
  <si>
    <t>Sous-secrétaire d’État à la Marine militaire</t>
  </si>
  <si>
    <t>Ministre du Trésor</t>
  </si>
  <si>
    <t>Ministre de la Marine militaire</t>
  </si>
  <si>
    <t>Ministre d’État</t>
  </si>
  <si>
    <t>Sous-secrétaire d’État à la Présidence du Conseil</t>
  </si>
  <si>
    <t>Ministre de la Propagande</t>
  </si>
  <si>
    <t>Sous-secrétaire d’État à l’Éducation nationale chargé l’Éducation physique, des Sports et des Loisirs</t>
  </si>
  <si>
    <t>Sous-secrétaire d’État au Commerce</t>
  </si>
  <si>
    <t>Sous-secrétaire d’État au Trésor</t>
  </si>
  <si>
    <t>Ministre d’État, chargé des Affaires d’Afrique du Nord</t>
  </si>
  <si>
    <t>Sous-secrétaire d’État au Travail</t>
  </si>
  <si>
    <t>Sous-secrétaire d’État à la Marine marchande</t>
  </si>
  <si>
    <t>Sous-secrétaire d’État à l’Éducation nationale chargé de la Recherche scientifique</t>
  </si>
  <si>
    <t>Ministre de la Marine marchande</t>
  </si>
  <si>
    <t>Sous-secrétaire d’État à la Présidence du Conseil et à l’Intérieur</t>
  </si>
  <si>
    <t>Ministre du Commerce et de l’Industrie</t>
  </si>
  <si>
    <t>Ministres d’État</t>
  </si>
  <si>
    <t>Ministre de la Santé publique et de l’Éducation physique</t>
  </si>
  <si>
    <t>Ministre de l’Intérieur</t>
  </si>
  <si>
    <t>Président du Conseil des ministres</t>
  </si>
  <si>
    <t>Ministre du Commerce, de l'Industrie</t>
  </si>
  <si>
    <t>Ministre de l'Instruction publique et des Beaux-Arts et des Cultes</t>
  </si>
  <si>
    <t>Ministre de l'Intérieur et des Cultes</t>
  </si>
  <si>
    <t>Sous-secrétaire d'État à la Marine</t>
  </si>
  <si>
    <t>Sous-secrétaire d'État aux Beaux-Arts</t>
  </si>
  <si>
    <t>Ministre des Travaux publics, des Postes et Télégraphes</t>
  </si>
  <si>
    <t>Sous-secrétaire d'État à la Guerre</t>
  </si>
  <si>
    <t>Sous-secrétaire d'État aux Finances</t>
  </si>
  <si>
    <t>Ministre de l’Agriculture</t>
  </si>
  <si>
    <t>Sous-secrétaire d’État à la Présidence du Conseil et aux Affaires étrangères</t>
  </si>
  <si>
    <t>Sous-secrétaire d’État à la vice-présidence du Conseil et aux Finances, chargé du Budget</t>
  </si>
  <si>
    <t>Ministre du Travail, de l’Hygiène, de l’Assistance et de la Prévoyance sociale</t>
  </si>
  <si>
    <t>Sous-secrétaire d’État à la vice-présidence du Conseil et aux Finances, chargé des Régions libérées</t>
  </si>
  <si>
    <t>Sous-secrétaire d’État aux Travaux publics, chargé de l’Aéronautique et aux Transports aériens</t>
  </si>
  <si>
    <t>Ministre de l’Instruction publique et des Beaux-Arts</t>
  </si>
  <si>
    <t>Sous-secrétaire d’État à la Guerre</t>
  </si>
  <si>
    <t>Sous-secrétaire d’État à la vice-présidence du Conseil et aux Finances, chargé des Finances</t>
  </si>
  <si>
    <t>Sous-secrétaire d’État à l’Instruction publique et aux Beaux-Arts, chargé de l'Enseignement technique et des Beaux-Arts</t>
  </si>
  <si>
    <t>Sous-secrétaire d’État aux Travaux publics, chargé aux Ports, à la Marine marchande et aux Pêches</t>
  </si>
  <si>
    <t>Haut-Commissaire au Logement</t>
  </si>
  <si>
    <t>Ministre du Commerce et de l'Industrie</t>
  </si>
  <si>
    <t>Sous-secrétaire d’État à l'Instruction publique et aux Beaux-Arts chargé de l'enseignement technique et des Beaux-Arts</t>
  </si>
  <si>
    <t>Sous-secrétaire d’État au Commerce et à l'Industrie chargé des Postes, Télégraphes et des Téléphones</t>
  </si>
  <si>
    <t>Ministre du Travail, de l'Hygiène, de l'Assistance et des Prévoyances Sociales</t>
  </si>
  <si>
    <t>Sous-secrétaire d’État au Travail, à l'Hygiène à l'Assistance et aux Prévoyances Sociales</t>
  </si>
  <si>
    <t>Sous-secrétaire d’État à l'Instruction publique et aux Beaux-Arts chargé de l'éducation physique</t>
  </si>
  <si>
    <t>Président du Conseil et ministre de l'Intérieur et des Cultes</t>
  </si>
  <si>
    <t>Ministre de l'Instruction publique</t>
  </si>
  <si>
    <t>Sous-secrétaire d'État aux Postes et télégraphes</t>
  </si>
  <si>
    <t>Sous-secrétaire d'État à la Guerre chargé de l'aéronautique militaire</t>
  </si>
  <si>
    <t>Sous-secrétaire d’État à l'Instruction publique, des Beaux-Arts et Inventions intéressant la défense nationale</t>
  </si>
  <si>
    <t>Sous-secrétaire d’État de la Guerre chargé du service de santé militaire</t>
  </si>
  <si>
    <t>Sous-secrétaire d’État à la Marine</t>
  </si>
  <si>
    <t>Sous-secrétaire d’État de la Guerre chargé du Ravitaillement et de l'intendance militaire</t>
  </si>
  <si>
    <t>Vice-président du conseil</t>
  </si>
  <si>
    <t>Sous-secrétaire d’État à la Guerre chargé de l'Artillerie et des munitions</t>
  </si>
  <si>
    <t>Sous-secrétaire d'État à l'Administration générale de l'armée</t>
  </si>
  <si>
    <t>Sous-secrétaire d’État aux Inventions intéressant la Défense nationale</t>
  </si>
  <si>
    <t>Ministre du Commerce, Travail, Agriculture, Industrie, Postes et Télégraphes</t>
  </si>
  <si>
    <t>Sous-secrétaire d’État à la Présidence du Conseil et aux Affaires étrangères, chargé du blocus</t>
  </si>
  <si>
    <t>Sous-secrétaire d’État à l'Instruction publique et aux Beaux-Arts</t>
  </si>
  <si>
    <t>Sous-secrétaire d’État au Service de Santé militaire</t>
  </si>
  <si>
    <t>Ministre des Travaux publics, des Transports et du Ravitaillement</t>
  </si>
  <si>
    <t>Sous-secrétaire d’État aux Fabrications de guerre</t>
  </si>
  <si>
    <t>Sous-secrétaire d’État aux Administrations financières</t>
  </si>
  <si>
    <t>Sous-secrétaire d’État au Travail et à la Prévoyance Sociale</t>
  </si>
  <si>
    <t>Ministre de la Justice, de l'Instruction publique et des Beaux-Arts</t>
  </si>
  <si>
    <t>Ministre de l'Armement et des Fabrications de guerre</t>
  </si>
  <si>
    <t>Sous-secrétaire d’État aux Transports</t>
  </si>
  <si>
    <t>Commissaire général des troupes noires</t>
  </si>
  <si>
    <t>Sous-secrétaire d’État aux Travaux publics chargé de l’Aéronautique et des Transports aériens</t>
  </si>
  <si>
    <t>Sous-secrétaire d’État aux Travaux publics chargé des Postes, Télégraphes et Téléphones</t>
  </si>
  <si>
    <t>Ministre des Régions libérées</t>
  </si>
  <si>
    <t>Sous-secrétaire d’État aux Régions libérées</t>
  </si>
  <si>
    <t>Ministre des Pensions, Primes et Allocations de guerre</t>
  </si>
  <si>
    <t>Sous-secrétaire d’État à l’Agriculture</t>
  </si>
  <si>
    <t>Sous-secrétaire d’État aux Travaux publics chargé des Ports, de la Marine marchande et de la Pêche</t>
  </si>
  <si>
    <t>Sous-secrétaire d’État à l’Instruction et aux Beaux-Arts chargé de l’Enseignement technique</t>
  </si>
  <si>
    <t>Ministre de l’Hygiène, de l’Assistance et des Prévoyances sociales</t>
  </si>
  <si>
    <t>Haut-Commissaire à la Guerre</t>
  </si>
  <si>
    <t>Sous-secrétaire d’État à l’Instruction publique et aux Beaux-Arts, chargé de l'Enseignement technique</t>
  </si>
  <si>
    <t>Sous-secrétaire d’État aux Finances chargé des Régions libérées</t>
  </si>
  <si>
    <t>Sous-secrétaire d’État aux Finances chargé du Budget</t>
  </si>
  <si>
    <t>Sous-secrétaire d’État à la Présidence du Conseil et aux Affaires étrangères, chargé de la Présidence du Conseil</t>
  </si>
  <si>
    <t>Haut-Commissaire en Syrie et au Liban</t>
  </si>
  <si>
    <t>Ministre de l'Instruction publique, des Beaux-arts</t>
  </si>
  <si>
    <t>Ministre des Postes et Télégraphes</t>
  </si>
  <si>
    <t>Sous-secrétaire d'État à l'Instruction publique, aux Beaux-Arts et aux Cultes</t>
  </si>
  <si>
    <t>Sous-secrétaire d'État à la Marine et aux Colonies</t>
  </si>
  <si>
    <t>Sous-secrétaire d'État</t>
  </si>
  <si>
    <t>Ministre de la Marine et des Colonies</t>
  </si>
  <si>
    <t>Ministre de l'Instruction publique, des Beaux-Arts</t>
  </si>
  <si>
    <t>Sous-secrétaire d'État aux Postes et Télégraphes</t>
  </si>
  <si>
    <t>Sous-secrétaire d'État à l'Intérieur</t>
  </si>
  <si>
    <t>Sous-secrétaire d'État à l'Intérieur et aux Cultes</t>
  </si>
  <si>
    <t>Ministre du Commerce, de l'Industrie et des Colonies</t>
  </si>
  <si>
    <t>Ministre de l'Instruction publique, des Beaux-Arts et des Cultes</t>
  </si>
  <si>
    <t>Sous-secrétaire d’État aux Colonies</t>
  </si>
  <si>
    <t>Ministre des Postes, Télégraphes et des Téléphones</t>
  </si>
  <si>
    <t>Ministre du Budget</t>
  </si>
  <si>
    <t>Sous-secrétaire d’État à l'Éducation physique</t>
  </si>
  <si>
    <t>Sous-secrétaire d’État à l'Enseignement technique</t>
  </si>
  <si>
    <t>Sous-secrétaire d’État à l'Hygiène</t>
  </si>
  <si>
    <t>Sous-secrétaire d’État aux Travaux publics</t>
  </si>
  <si>
    <t>Sous-secrétaire d’État à la Présidence du Conseil et à l’Intérieur chargé de l’Intérieur</t>
  </si>
  <si>
    <t>Sous-secrétaire d’État à l’Éducation nationale chargé de l’Éducation physique</t>
  </si>
  <si>
    <t>Sous-secrétaire d’État à la Présidence du Conseil et à l’Intérieur chargé de la Présidence du conseil</t>
  </si>
  <si>
    <t>Sous-secrétaire d’État à la Présidence du Conseil et à l’Intérieur chargé de l'Économie nationale</t>
  </si>
  <si>
    <t>Sous-secrétaire d’État aux Affaires étrangères</t>
  </si>
  <si>
    <t>Ministre du Travail et de la Prévoyance Sociale</t>
  </si>
  <si>
    <t>Sous-secrétaire d’État à l’Air</t>
  </si>
  <si>
    <t>Sous-secrétaire d’État à l’Éducation nationale chargé de l’Enseignement technique</t>
  </si>
  <si>
    <t>Sous-secrétaire d’État à la Santé publique chargé de l'Organisation des Sports, des Loisirs et de l’Éducation physique</t>
  </si>
  <si>
    <t>Sous-secrétaire d'État aux Travaux publics</t>
  </si>
  <si>
    <t>Sous-secrétaire d’État à l’Éducation nationale chargé l’Éducation physique</t>
  </si>
  <si>
    <t>Sous-secrétaire d’État au Service des Étrangers et de l’Immigration</t>
  </si>
  <si>
    <t>Ministre de l'Instruction publique, des Beaux-Arts et Cultes</t>
  </si>
  <si>
    <t>Sous-secrétaire d'État à l'Intérieur et à la présidence du Conseil</t>
  </si>
  <si>
    <t>Sous-secrétaire d'État aux Effectifs militaires et aux Pensions</t>
  </si>
  <si>
    <t>Ministre de l'Agriculture et du Ravitaillement</t>
  </si>
  <si>
    <t>Sous-secrétaire d’État à la Marine de guerre</t>
  </si>
  <si>
    <t>Sous-secrétaire d’État aux Travaux publics et aux Transports</t>
  </si>
  <si>
    <t>Ministre du Commerce, de l'Industrie, des P.T.T. et de la Marine marchande</t>
  </si>
  <si>
    <t>Sous-secrétaire d’État à l'Aéronautique militaire et maritime</t>
  </si>
  <si>
    <t>Sous-secrétaire d’État à la Justice militaire</t>
  </si>
  <si>
    <t>Sous-secrétaire d’État à la Présidence du Conseil et à la Guerre</t>
  </si>
  <si>
    <t>Ministre du Blocus des Régions libérées</t>
  </si>
  <si>
    <t>Ministre de la Reconstitution</t>
  </si>
  <si>
    <t>Sous-secrétaire d’État à la Liquidation des stocks</t>
  </si>
  <si>
    <t>Commissaire général aux Affaires de guerre franco-américaines</t>
  </si>
  <si>
    <t>Ministre du Blocus et des Régions libérées</t>
  </si>
  <si>
    <t>Sous-secrétaire d’État aux Transports Maritimes et à la Marine Marchande</t>
  </si>
  <si>
    <t>Commissaire général aux Essences et Combustibles</t>
  </si>
  <si>
    <t>Ministre des Travaux publics et du Transport</t>
  </si>
  <si>
    <t>Sous-secrétaire d’État à la Démobilisation</t>
  </si>
  <si>
    <t>Sous-secrétaire d'État au Commerce et à l'Industrie</t>
  </si>
  <si>
    <t>Sous-secrétaire d'État au Ravitaillement</t>
  </si>
  <si>
    <t>Sous-secrétaire d’État aux Postes et Télégraphes</t>
  </si>
  <si>
    <t>Ministre du Commerce, de l’Industrie, des Postes et Télégraphes</t>
  </si>
  <si>
    <t>Sous-secrétaire d’État à l’Éducation nationale</t>
  </si>
  <si>
    <t>Sous-secrétaire d’État à la Présidence du Conseil et à la Guerre chargé de la Guerre</t>
  </si>
  <si>
    <t>Sous-secrétaire d’État à la Présidence du Conseil et à la Guerre chargé de la Présidence du conseil</t>
  </si>
  <si>
    <t>Sous-secrétaire d’État à la Présidence du Conseil et à la Guerre chargé de l'Économie nationale</t>
  </si>
  <si>
    <t>Sous-secrétaire d’État à l’Éducation nationale chargé des Beaux-Arts</t>
  </si>
  <si>
    <t>Sous-secrétaire d’État à la France d’Outre-mer</t>
  </si>
  <si>
    <t>Ministre de la Guerre et de la défense nationale</t>
  </si>
  <si>
    <t>Sous-secrétaire d’État à la Présidence du Conseil et aux Affaires étrangères chargé des Affaires étrangères</t>
  </si>
  <si>
    <t>Sous-secrétaire d’État à la Présidence du Conseil et aux Affaires étrangères chargé de la Présidence du conseil</t>
  </si>
  <si>
    <t>Sous-secrétaire d’État à la Présidence du Conseil et aux Affaires étrangères chargé de l'Économie nationale et du Touris</t>
  </si>
  <si>
    <t>Ministre de la France d’Outre-mer</t>
  </si>
  <si>
    <t>Ministre des Anciens Combattants et des Pensionnés</t>
  </si>
  <si>
    <t>Vice-président du Conseil et Coordination des Services</t>
  </si>
  <si>
    <t>Ministre de la Guerre et de la Défense nationale</t>
  </si>
  <si>
    <t>Commissaire général à l'Information</t>
  </si>
  <si>
    <t>Sous-secrétaire d’État chargé des Affaires étrangères</t>
  </si>
  <si>
    <t>Vice-président du Conseil et Coordination des services</t>
  </si>
  <si>
    <t>Sous-secrétaire d’État chargé de la Défense nationale et de la Guerre</t>
  </si>
  <si>
    <t>Ministre du Blocus</t>
  </si>
  <si>
    <t>Commissaire général à l'Économie</t>
  </si>
  <si>
    <t>Ministre de l’Armement</t>
  </si>
  <si>
    <t>Sous-secrétaire d'État aux Colonies</t>
  </si>
  <si>
    <t>Sous-secrétaire d'État à l'Instruction publique et aux Beaux-Arts</t>
  </si>
  <si>
    <t>Ministre de l'Instruction publique et Beaux-Arts</t>
  </si>
  <si>
    <t>Sous-secrétaire d'État à la Justice et aux Cultes</t>
  </si>
  <si>
    <t>Garde des Sceaux, ministre de la Justice et des Cultes</t>
  </si>
  <si>
    <t>Sous-secrétaire d’État à l'Instruction publique</t>
  </si>
  <si>
    <t>Sous-secrétaire d’État à l'Instruction publique et des Beaux-Arts, chargé des Beaux-Arts</t>
  </si>
  <si>
    <t>Ministre du Commerce et de l'Industrie et des Postes et Télégraphes</t>
  </si>
  <si>
    <t>Sous-secrétaire d'État à la Marine marchande</t>
  </si>
  <si>
    <t>Garde des Sceaux, ministre de la Justice</t>
  </si>
  <si>
    <t>Sous-secrétaire d'État à la Justice</t>
  </si>
  <si>
    <t>Sous-secrétaire d'État au ministère du Commerce, de l'Industrie, aux Postes et Télégraphes</t>
  </si>
  <si>
    <t>Sous-secrétaire d'État à la Présidence du Conseil, à l'Intérieur et aux Cultes</t>
  </si>
  <si>
    <t>Ministre de la Justice et des Cultes</t>
  </si>
  <si>
    <t>Ministre du Travail et de l'Hygiène</t>
  </si>
  <si>
    <t>Ministre de l'Instruction publique, des Beaux-Arts et de l'Enseignement technique</t>
  </si>
  <si>
    <t>Ministre de la Guerre et des Pensions</t>
  </si>
  <si>
    <t>Ministre des Travaux publics, des Ports et de la Marine marchande</t>
  </si>
  <si>
    <t>Ministre du Commerce, de l'Industrie, des Postes et des Télégraphes</t>
  </si>
  <si>
    <t>Ministre de l'Instruction publique et des Cultes</t>
  </si>
  <si>
    <t>Sous-secrétaire d'État à l'Agriculture</t>
  </si>
  <si>
    <t>Sous-secrétaire d'État au Commerce et aux Colonies</t>
  </si>
  <si>
    <t>Ministre des Arts</t>
  </si>
  <si>
    <t>Ministre de la Justice et Garde des Sceaux</t>
  </si>
  <si>
    <t>Sous-secrétaire d'État à l'Instruction publique et aux Cultes</t>
  </si>
  <si>
    <t>Commissaire général à la Guerre</t>
  </si>
  <si>
    <t>Sous-secrétaire d’État à l’Aéronautique et aux Transports aériens</t>
  </si>
  <si>
    <t>Sous-secrétaire d’État aux Ports, à la Marine marchande et aux Pêches</t>
  </si>
  <si>
    <t>Sous-secrétaire d’État aux Travaux publics chargé des Ports, de la Marine Marchande et de la Pêche</t>
  </si>
  <si>
    <t>Sous-secrétaire d’État aux Travaux publics chargé de l'Aéronautique et des Transports Aériens</t>
  </si>
  <si>
    <t>Sous-secrétaire d'État aux Régions Libérées</t>
  </si>
  <si>
    <t>Sous-secrétaire d’État aux Travaux Publics chargé du Tourisme</t>
  </si>
  <si>
    <t>Sous-secrétaire d’État chargé de la présidence du Conseil</t>
  </si>
  <si>
    <t>Sous-secrétaire d’État à l'Éducation nationale chargé de l'Éducation physique</t>
  </si>
  <si>
    <t>Sous-secrétaire d’État aux Travaux Publics</t>
  </si>
  <si>
    <t>Sous-secrétaire d’État à l'Éducation nationale chargé des Beaux-Arts</t>
  </si>
  <si>
    <t>Sous-secrétaire d’État à la présidence du Conseil chargé des Affaires Étrangères</t>
  </si>
  <si>
    <t>Sous-secrétaire d’État à la présidence du Conseil chargé de l'Économie nationale</t>
  </si>
  <si>
    <t>Sous-secrétaire d’État à l'Air</t>
  </si>
  <si>
    <t>Sous-secrétaire d’État à l'Économie nationale et à la Présidence du Conseil</t>
  </si>
  <si>
    <t>Sous-secrétaire d’État au Commerce et à l'Industrie</t>
  </si>
  <si>
    <t>Sous-secrétaire d’État aux Travaux publics chargé des Travaux publics et du Tourisme</t>
  </si>
  <si>
    <t>Sous-secrétaire d’État à l'Instruction publique chargé de l'Éducation physique</t>
  </si>
  <si>
    <t>Sous-secrétaire d’État à l'Instruction publique chargé des Beaux-Arts</t>
  </si>
  <si>
    <t>Sous-secrétaire d’État à l'Instruction publique chargé de l'Enseignement technique</t>
  </si>
  <si>
    <t>Sous-secrétaire d'État à l'Économie nationale</t>
  </si>
  <si>
    <t>Sous-secrétaire d’État à la présidence du conseil de l'intérieur chargé de l'Économie Nationale et de la présidence du c</t>
  </si>
  <si>
    <t>Sous-secrétaire d'État aux Ports, à la Marine marchande et aux Pêches</t>
  </si>
  <si>
    <t>Sous-secrétaire d'État aux Mines et Forces hydrauliques</t>
  </si>
  <si>
    <t>Ministre de l'Hygiène, de l'Assistance et de la Prévoyance sociale</t>
  </si>
  <si>
    <t>Commissaire général aux Troupes Noires</t>
  </si>
  <si>
    <t>Commissaire général aux Essences et Pétrole</t>
  </si>
  <si>
    <t>Ministre des Pensions, des Primes et des Allocations de guerre</t>
  </si>
  <si>
    <t>Sous-secrétaire d'État à la présidence du Conseil et aux Affaires étrangères</t>
  </si>
  <si>
    <t>Sous-secrétaire d'État aux Régions libérées</t>
  </si>
  <si>
    <t>Sous-secrétaire d'État à l'Aéronautique et aux Transports aériens</t>
  </si>
  <si>
    <t>Sous-secrétaire d'État à l'Enseignement Technique</t>
  </si>
  <si>
    <t>Sous-secrétaire d’État aux Mines et Forces Hydrauliques</t>
  </si>
  <si>
    <t>Ministre de l’Hygiène, de l’Assistance et de la Prévoyance sociale</t>
  </si>
  <si>
    <t>Commissaire général aux Troupes noires</t>
  </si>
  <si>
    <t>Sous-secrétaire d’État au Ravitaillement</t>
  </si>
  <si>
    <t>Sous-secrétaire d’État à l’Enseignement technique</t>
  </si>
  <si>
    <t>Sous-secrétaire d’État au Conseil et aux Affaires étrangères</t>
  </si>
  <si>
    <t>Sous-secrétaire d’État aux Régions Libérées</t>
  </si>
  <si>
    <t>Ministre des Régions Libérées</t>
  </si>
  <si>
    <t>Ministre d'État, membre du comité de Guerre</t>
  </si>
  <si>
    <t>Ministre du Commerce, de l'Industrie et P.T.T.</t>
  </si>
  <si>
    <t>Sous-secrétaire d’État au Blocus</t>
  </si>
  <si>
    <t>Sous-secrétaire d’État aux Transports maritimes et à la Marine marchande</t>
  </si>
  <si>
    <t>Sous-secrétaire d’État au Commerce, Industrie et P.T.T.</t>
  </si>
  <si>
    <t>Sous-secrétaire d'État à l'Administration de l'armée</t>
  </si>
  <si>
    <t>Sous-secrétaire d'État au Travail et à la Prévoyance sociale</t>
  </si>
  <si>
    <t>Ministre du Ravitaillement</t>
  </si>
  <si>
    <t>Sous-secrétaire d'État à l'Enseignement technique et aux Beaux-Arts</t>
  </si>
  <si>
    <t>Sous-secrétaire d’État à l'Enseignement technique et Professionnel, Enseignements postscolaires, Éducation physique et Préparation militaire</t>
  </si>
  <si>
    <t>Haut-Commissaire à l’Aéronautique et aux Transports aériens</t>
  </si>
  <si>
    <t>Sous-secrétaire d’État à la Présidence du Conseil et aux Affaires étrangères chargé des Affaires Étrangères</t>
  </si>
  <si>
    <t>Sous-secrétaire d’État à la Présidence du Conseil et aux Affaires étrangères chargé de l'Économie nationale</t>
  </si>
  <si>
    <t>Sous-secrétaire d’État au Travail et à la Prévoyance sociale</t>
  </si>
  <si>
    <t>Ministre du Travail et de la Santé publique</t>
  </si>
  <si>
    <t>Ministre des Travaux publics et de l’Information</t>
  </si>
  <si>
    <t>Sous-secrétaire d’État aux Réfugiés</t>
  </si>
  <si>
    <t>Ministre des Anciens Combattants et de la Famille française</t>
  </si>
  <si>
    <t>Ministre de la Défense nationale</t>
  </si>
  <si>
    <t>Ministre de la Marine marchande et militaire</t>
  </si>
  <si>
    <t>Ministre des Finances et du Commerce</t>
  </si>
  <si>
    <t>Ministre des Travaux publics, des Postes et des Télégraphes</t>
  </si>
  <si>
    <t>Secrétaire d'État aux Beaux-Arts</t>
  </si>
  <si>
    <t>Secrétaire général de la Présidence</t>
  </si>
  <si>
    <t>Sous-secrétaire d’État à la présidence du Conseil et aux Affaires étrangères, chargé de la présidence du conseil</t>
  </si>
  <si>
    <t>Sous-secrétaire d’État aux Travaux publics chargé des P.T.T.</t>
  </si>
  <si>
    <t>Commissaire général à la Guerre chargé de l’Éducation physique et de la Préparation militaire</t>
  </si>
  <si>
    <t>Sous-secrétaire d’État chargé des Ports, de la Marine marchande et de la Pêche</t>
  </si>
  <si>
    <t>Sous-secrétaire d’État à l’Instruction publique et aux Beaux-Arts, chargé de l’enseignement technique</t>
  </si>
  <si>
    <t>Ministre du Commerce, de l’Industrie, des Postes et des Télégraphes</t>
  </si>
  <si>
    <t>Ministre du Travail et de l’Hygiène</t>
  </si>
  <si>
    <t>Ministre de l’Instruction publique, des Beaux-Arts et de l’Enseignement technique</t>
  </si>
  <si>
    <t>Ministre du Commerce, de l'Industrie, des Postes et des Télégraphes et de l'aéronautique</t>
  </si>
  <si>
    <t>Ministre du Travail et de l'Hygiène et de l'Assistance et de la Prévoyance sociale</t>
  </si>
  <si>
    <t>Sous-secrétaire d’État au Travail, à l'Hygiène, à l'Assistance et aux Prévoyances Sociales</t>
  </si>
  <si>
    <t>Sous-secrétaire d’État à l’Armement</t>
  </si>
  <si>
    <t>Sous-secrétaire d’État à l’Information</t>
  </si>
  <si>
    <t>Ministre de l’Information</t>
  </si>
  <si>
    <t>Ministre des Travaux publics et des Transmissions</t>
  </si>
  <si>
    <t>Ministre des Postes, Télégraphes, Téléphones et Transmissions</t>
  </si>
  <si>
    <t>Ministre de la Famille française et de la Santé publique</t>
  </si>
  <si>
    <t>Sous-secrétaire d’État à la Vice-présidence du Conseil</t>
  </si>
  <si>
    <t>Président du Conseil et ministre des Affaires étrangères</t>
  </si>
  <si>
    <t>Ministre des Anciens Combattants et des Pensions</t>
  </si>
  <si>
    <t>Ministre de l'Information</t>
  </si>
  <si>
    <t>Sous-secrétaire d’État à l’Économie nationale</t>
  </si>
  <si>
    <t>Sous-secrétaire d’État au Commerce et à l’Industrie</t>
  </si>
  <si>
    <t>Sous-secrétaire d’État aux Fabricants de l’Air</t>
  </si>
  <si>
    <t>Ministre du Commerce, Postes et Télégraphes</t>
  </si>
  <si>
    <t>Sous-secrétaire d’État à la Présidence du Conseil et au Blocus</t>
  </si>
  <si>
    <t>Haut-commissaire auprès du Gouvernement britannique pour le règlement des affaires maritimes interalliées</t>
  </si>
  <si>
    <t>Haut-commissaire aux États-Unis</t>
  </si>
  <si>
    <t>Ministre du Ravitaillement général et des Transports maritimes</t>
  </si>
  <si>
    <t>Sous-secrétaire d’État à l'Aéronautique militaire</t>
  </si>
  <si>
    <t>Sous-secrétaire d'État aux Finances et à la présidence du Conseil</t>
  </si>
  <si>
    <t>Président du Conseil et ministre des Finances</t>
  </si>
  <si>
    <t>Sous-secrétaire d’État à la Présidence du Conseil et à la Marine chargé de l'Économie nationale</t>
  </si>
  <si>
    <t>Sous-secrétaire d’État à la Présidence du Conseil et à la Marine chargé de la Présidence du conseil</t>
  </si>
  <si>
    <t>Ministre du Commerce, du Travail et de l’Industrie</t>
  </si>
  <si>
    <t>Sous-secrétaire d’État aux Travaux publics et au Tourisme</t>
  </si>
  <si>
    <t>Ministre du Travail, de l'Hygiène et de la Prévoyance Sociale</t>
  </si>
  <si>
    <t>Ministre de l'Économie nationale, du Commerce et de l'Industrie</t>
  </si>
  <si>
    <t>Sous-secrétaire d’État à l'Économie nationale, au Commerce et à l'Industrie</t>
  </si>
  <si>
    <t>Sous-secrétaire d’État au Travail, à l'Hygiène, à l'Assistance et à la Prévoyance Sociale</t>
  </si>
  <si>
    <t>Sous-secrétaire d’État au Budget</t>
  </si>
  <si>
    <t>Sous-secrétaire d’État à l'Économie Nationale</t>
  </si>
  <si>
    <t>Haut-commissaire au Tourisme</t>
  </si>
  <si>
    <t>Ministre des Pensions et des Régions libérées</t>
  </si>
  <si>
    <t>Sous-secrétaire d’État aux Travaux publics et à la Marine marchande</t>
  </si>
  <si>
    <t>Ministre des Travaux publics et de la Marine marchande</t>
  </si>
  <si>
    <t>Sous-secrétaire d’État à la présidence du conseil</t>
  </si>
  <si>
    <t>Ministre du Commerce, des Postes, Télégraphes et des Téléphones</t>
  </si>
  <si>
    <t>Sous-secrétaire d’État à la Défense nationale</t>
  </si>
  <si>
    <t>Sous-secrétaire d’État à la présidence du Conseil et aux Affaires étrangères</t>
  </si>
  <si>
    <t>Sous-secrétaire d’État de la Guerre chargé de l'Aéronautique militaire</t>
  </si>
  <si>
    <t>Sous-secrétaire d’État de la Guerre chargé du Service de Santé militaire</t>
  </si>
  <si>
    <t>Ministre sans portefeuille</t>
  </si>
  <si>
    <t>Sous-secrétaire d’État à la Guerre chargé de l'Artillerie et de l'équipement militaire</t>
  </si>
  <si>
    <t>Ministre du Commerce, de l'Industrie, des Postes et Télégraphes</t>
  </si>
  <si>
    <t>Inamovible</t>
  </si>
  <si>
    <t>Territoire de Belfort</t>
  </si>
  <si>
    <t>Gauche radicale</t>
  </si>
  <si>
    <t>Gauche démocratique</t>
  </si>
  <si>
    <t>Républicain progressiste</t>
  </si>
  <si>
    <t>Parti socialiste</t>
  </si>
  <si>
    <t>Républicains radicaux-socialistes</t>
  </si>
  <si>
    <t>Républicain socialiste</t>
  </si>
  <si>
    <t>Députés indépendants</t>
  </si>
  <si>
    <t>Droites</t>
  </si>
  <si>
    <t>Non inscrit</t>
  </si>
  <si>
    <t>Action libérale</t>
  </si>
  <si>
    <t>Républicain</t>
  </si>
  <si>
    <t>Républicains de gauche</t>
  </si>
  <si>
    <t>Parti républicain radical et radical socialiste</t>
  </si>
  <si>
    <t>Fédération républicaine</t>
  </si>
  <si>
    <t>Union républicaine radicale et socialiste</t>
  </si>
  <si>
    <t>Entente républicaine démocratique</t>
  </si>
  <si>
    <t>Gauche républicaine démocratique</t>
  </si>
  <si>
    <t>Parti radical et radical socialiste</t>
  </si>
  <si>
    <t>Action républicaine et sociale</t>
  </si>
  <si>
    <t>Indépendants</t>
  </si>
  <si>
    <t>Parti socialiste - Communiste</t>
  </si>
  <si>
    <t>Union républicaine démocratique</t>
  </si>
  <si>
    <t>Radical et radical-socialiste</t>
  </si>
  <si>
    <t>Communiste</t>
  </si>
  <si>
    <t>Républicain socialiste et socialiste français</t>
  </si>
  <si>
    <t>Démocrates</t>
  </si>
  <si>
    <t>Union socialiste-communiste</t>
  </si>
  <si>
    <t>Républicain radical et radical-socialiste</t>
  </si>
  <si>
    <t>Action démocratique et sociale</t>
  </si>
  <si>
    <t>Démocrates populaires</t>
  </si>
  <si>
    <t>Indépendants de gauche</t>
  </si>
  <si>
    <t>Gauche sociale et radicale</t>
  </si>
  <si>
    <t>Parti républicain socialiste et socialiste français</t>
  </si>
  <si>
    <t>Gauche indépendante</t>
  </si>
  <si>
    <t>Indépendants d'action économique, sociale et paysanne</t>
  </si>
  <si>
    <t>Parti socialiste de France</t>
  </si>
  <si>
    <t>Républicain et social</t>
  </si>
  <si>
    <t>Députés du centre républicain</t>
  </si>
  <si>
    <t>Parti socialiste français</t>
  </si>
  <si>
    <t>Parti républicain socialiste</t>
  </si>
  <si>
    <t>Démocrate populaire</t>
  </si>
  <si>
    <t>Unité ouvrière</t>
  </si>
  <si>
    <t>Républicains du centre</t>
  </si>
  <si>
    <t>Fédération républicaine de France</t>
  </si>
  <si>
    <t>Républicains indépendants et d'action sociale</t>
  </si>
  <si>
    <t>Socialiste</t>
  </si>
  <si>
    <t>Alliance des républicains de gauche et des radicaux indépendants</t>
  </si>
  <si>
    <t>Union socialiste et républicaine</t>
  </si>
  <si>
    <t>Gauche démocratique et radicale indépendante</t>
  </si>
  <si>
    <t>Parti de la Jeune République</t>
  </si>
  <si>
    <t>Indépendants d'action populaire</t>
  </si>
  <si>
    <t>Indépendants d'union républicaine et nationale</t>
  </si>
  <si>
    <t>Indépendants républicains</t>
  </si>
  <si>
    <t>Agraire indépendant</t>
  </si>
  <si>
    <t>Parti frontiste</t>
  </si>
  <si>
    <t>Extrême-gauche</t>
  </si>
  <si>
    <t>Union démocratique</t>
  </si>
  <si>
    <t>Centre gauche</t>
  </si>
  <si>
    <t>Union républicaine</t>
  </si>
  <si>
    <t>Union des Droites</t>
  </si>
  <si>
    <t>Gauche républicaine</t>
  </si>
  <si>
    <t>Opportuniste</t>
  </si>
  <si>
    <t>Union des gauches</t>
  </si>
  <si>
    <t>Appel au peuple</t>
  </si>
  <si>
    <t>Extreme-gauche</t>
  </si>
  <si>
    <t>Extrème-droite</t>
  </si>
  <si>
    <t>Extrême gauche</t>
  </si>
  <si>
    <t>Union conservatrice</t>
  </si>
  <si>
    <t>Groupe Centre gauche</t>
  </si>
  <si>
    <t>Extrême-droite</t>
  </si>
  <si>
    <t>Républicain radical</t>
  </si>
  <si>
    <t>Union des Gauches</t>
  </si>
  <si>
    <t>Gauche</t>
  </si>
  <si>
    <t>Radical</t>
  </si>
  <si>
    <t>Centre droit</t>
  </si>
  <si>
    <t>Républicain indépendant</t>
  </si>
  <si>
    <t>Radical-socialiste</t>
  </si>
  <si>
    <t>Républicain modéré</t>
  </si>
  <si>
    <t>Républicains progressistes</t>
  </si>
  <si>
    <t>Ouvrier socialiste</t>
  </si>
  <si>
    <t>Républicain radical-socialiste</t>
  </si>
  <si>
    <t>Gauche progressiste</t>
  </si>
  <si>
    <t>Ralliés</t>
  </si>
  <si>
    <t>Républicains modérés</t>
  </si>
  <si>
    <t>Socialistes parlementaires</t>
  </si>
  <si>
    <t>Républicains de Gouvernement</t>
  </si>
  <si>
    <t>Droite républicaine</t>
  </si>
  <si>
    <t>Socialistes révisionnistes</t>
  </si>
  <si>
    <t>Gauche radicale-socialiste</t>
  </si>
  <si>
    <t>Gauche démocratique radicale et radicale socialiste</t>
  </si>
  <si>
    <t>Républicain progressiste indépendant</t>
  </si>
  <si>
    <t>Républicains indépendants</t>
  </si>
  <si>
    <t>Républicains</t>
  </si>
  <si>
    <t>Républicain radical socialiste</t>
  </si>
  <si>
    <t>Républicains nationalistes</t>
  </si>
  <si>
    <t>Alliance républicaine</t>
  </si>
  <si>
    <t>Socialistes révolutionnaires</t>
  </si>
  <si>
    <t>Républicains radicaux</t>
  </si>
  <si>
    <t>Conservateur</t>
  </si>
  <si>
    <t>Socialistes indépendants</t>
  </si>
  <si>
    <t>Socialiste révolutionnaire</t>
  </si>
  <si>
    <t>Conservateurs</t>
  </si>
  <si>
    <t>Républicain démocratique</t>
  </si>
  <si>
    <t>Défense nationale</t>
  </si>
  <si>
    <t>Union progressiste</t>
  </si>
  <si>
    <t>Revendications ouvrières</t>
  </si>
  <si>
    <t>Radical-nationaliste</t>
  </si>
  <si>
    <t>Républicains radicaux progressistes</t>
  </si>
  <si>
    <t>Droite monarchique</t>
  </si>
  <si>
    <t>Républicain radical indépendant</t>
  </si>
  <si>
    <t>Républicains progressistes (7 juin 1906)</t>
  </si>
  <si>
    <t>Sucrier</t>
  </si>
  <si>
    <t>Alliance démocratique</t>
  </si>
  <si>
    <t>Parti socialiste unifié</t>
  </si>
  <si>
    <t>Socialistes unifiés</t>
  </si>
  <si>
    <t>Progessiste</t>
  </si>
  <si>
    <t>Progressiste</t>
  </si>
  <si>
    <t>1910-01-01</t>
  </si>
  <si>
    <t>1910-05-08</t>
  </si>
  <si>
    <t>1910-05-24</t>
  </si>
  <si>
    <t>1910-07-17</t>
  </si>
  <si>
    <t>1910-08-07</t>
  </si>
  <si>
    <t>1910-08-28</t>
  </si>
  <si>
    <t>1910-09-25</t>
  </si>
  <si>
    <t>1910-12-25</t>
  </si>
  <si>
    <t>1911-04-16</t>
  </si>
  <si>
    <t>1911-05-07</t>
  </si>
  <si>
    <t>1911-06-18</t>
  </si>
  <si>
    <t>1911-07-09</t>
  </si>
  <si>
    <t>1911-09-17</t>
  </si>
  <si>
    <t>1911-10-26</t>
  </si>
  <si>
    <t>1911-11-10</t>
  </si>
  <si>
    <t>1912-02-25</t>
  </si>
  <si>
    <t>1912-03-17</t>
  </si>
  <si>
    <t>1912-03-24</t>
  </si>
  <si>
    <t>1912-03-31</t>
  </si>
  <si>
    <t>1912-04-07</t>
  </si>
  <si>
    <t>1912-04-14</t>
  </si>
  <si>
    <t>1912-05-05</t>
  </si>
  <si>
    <t>1912-07-21</t>
  </si>
  <si>
    <t>1912-08-11</t>
  </si>
  <si>
    <t>1912-08-18</t>
  </si>
  <si>
    <t>1912-10-13</t>
  </si>
  <si>
    <t>1912-12-08</t>
  </si>
  <si>
    <t>1912-12-15</t>
  </si>
  <si>
    <t>1913-01-19</t>
  </si>
  <si>
    <t>1913-04-13</t>
  </si>
  <si>
    <t>1913-05-04</t>
  </si>
  <si>
    <t>1913-06-01</t>
  </si>
  <si>
    <t>1913-06-15</t>
  </si>
  <si>
    <t>1913-07-06</t>
  </si>
  <si>
    <t>1913-07-20</t>
  </si>
  <si>
    <t>1913-08-06</t>
  </si>
  <si>
    <t>1913-08-24</t>
  </si>
  <si>
    <t>1913-08-31</t>
  </si>
  <si>
    <t>1913-09-14</t>
  </si>
  <si>
    <t>1913-10-19</t>
  </si>
  <si>
    <t>1913-11-23</t>
  </si>
  <si>
    <t>1914-04-26</t>
  </si>
  <si>
    <t>1914-05-10</t>
  </si>
  <si>
    <t>1914-08-09</t>
  </si>
  <si>
    <t>1919-12-14</t>
  </si>
  <si>
    <t>1920-03-28</t>
  </si>
  <si>
    <t>1920-12-19</t>
  </si>
  <si>
    <t>1921-02-27</t>
  </si>
  <si>
    <t>1921-03-13</t>
  </si>
  <si>
    <t>1921-05-01</t>
  </si>
  <si>
    <t>1921-05-08</t>
  </si>
  <si>
    <t>1921-05-15</t>
  </si>
  <si>
    <t>1923-06-10</t>
  </si>
  <si>
    <t>1923-07-08</t>
  </si>
  <si>
    <t>1924-05-11</t>
  </si>
  <si>
    <t>1924-05-25</t>
  </si>
  <si>
    <t>1924-08-10</t>
  </si>
  <si>
    <t>1924-08-17</t>
  </si>
  <si>
    <t>1925-01-18</t>
  </si>
  <si>
    <t>1925-06-14</t>
  </si>
  <si>
    <t>1925-10-04</t>
  </si>
  <si>
    <t>1926-02-14</t>
  </si>
  <si>
    <t>1926-02-26</t>
  </si>
  <si>
    <t>1926-02-28</t>
  </si>
  <si>
    <t>1926-03-28</t>
  </si>
  <si>
    <t>1926-11-28</t>
  </si>
  <si>
    <t>1926-12-12</t>
  </si>
  <si>
    <t>1927-02-22</t>
  </si>
  <si>
    <t>1927-02-27</t>
  </si>
  <si>
    <t>1928-04-22</t>
  </si>
  <si>
    <t>1928-04-29</t>
  </si>
  <si>
    <t>1928-10-07</t>
  </si>
  <si>
    <t>1928-10-14</t>
  </si>
  <si>
    <t>1928-12-02</t>
  </si>
  <si>
    <t>1928-12-19</t>
  </si>
  <si>
    <t>1929-01-13</t>
  </si>
  <si>
    <t>1929-01-27</t>
  </si>
  <si>
    <t>1929-02-03</t>
  </si>
  <si>
    <t>1929-02-24</t>
  </si>
  <si>
    <t>1929-03-24</t>
  </si>
  <si>
    <t>1929-04-14</t>
  </si>
  <si>
    <t>1929-04-21</t>
  </si>
  <si>
    <t>1929-12-08</t>
  </si>
  <si>
    <t>1930-02-23</t>
  </si>
  <si>
    <t>1930-03-30</t>
  </si>
  <si>
    <t>1930-03-31</t>
  </si>
  <si>
    <t>1930-04-06</t>
  </si>
  <si>
    <t>1930-04-13</t>
  </si>
  <si>
    <t>1930-05-04</t>
  </si>
  <si>
    <t>1930-07-20</t>
  </si>
  <si>
    <t>1930-10-05</t>
  </si>
  <si>
    <t>1930-10-19</t>
  </si>
  <si>
    <t>1930-10-26</t>
  </si>
  <si>
    <t>1931-02-01</t>
  </si>
  <si>
    <t>1931-02-15</t>
  </si>
  <si>
    <t>1931-03-22</t>
  </si>
  <si>
    <t>1931-03-29</t>
  </si>
  <si>
    <t>1931-04-12</t>
  </si>
  <si>
    <t>1931-04-19</t>
  </si>
  <si>
    <t>1931-06-18</t>
  </si>
  <si>
    <t>1931-07-19</t>
  </si>
  <si>
    <t>1931-10-04</t>
  </si>
  <si>
    <t>1931-11-29</t>
  </si>
  <si>
    <t>1932-05-10</t>
  </si>
  <si>
    <t>1932-06-26</t>
  </si>
  <si>
    <t>1932-11-20</t>
  </si>
  <si>
    <t>1933-04-02</t>
  </si>
  <si>
    <t>1933-04-09</t>
  </si>
  <si>
    <t>1933-04-16</t>
  </si>
  <si>
    <t>1933-04-23</t>
  </si>
  <si>
    <t>1933-06-11</t>
  </si>
  <si>
    <t>1933-06-18</t>
  </si>
  <si>
    <t>1933-08-20</t>
  </si>
  <si>
    <t>1933-09-03</t>
  </si>
  <si>
    <t>1934-01-28</t>
  </si>
  <si>
    <t>1934-03-11</t>
  </si>
  <si>
    <t>1934-03-25</t>
  </si>
  <si>
    <t>1934-04-08</t>
  </si>
  <si>
    <t>1934-04-29</t>
  </si>
  <si>
    <t>1934-05-06</t>
  </si>
  <si>
    <t>1934-05-22</t>
  </si>
  <si>
    <t>1934-06-03</t>
  </si>
  <si>
    <t>1934-07-29</t>
  </si>
  <si>
    <t>1934-09-30</t>
  </si>
  <si>
    <t>1934-11-04</t>
  </si>
  <si>
    <t>1935-02-24</t>
  </si>
  <si>
    <t>1935-03-17</t>
  </si>
  <si>
    <t>1935-03-24</t>
  </si>
  <si>
    <t>1935-03-31</t>
  </si>
  <si>
    <t>1935-06-23</t>
  </si>
  <si>
    <t>1935-06-30</t>
  </si>
  <si>
    <t>1935-08-11</t>
  </si>
  <si>
    <t>1935-10-06</t>
  </si>
  <si>
    <t>1935-11-03</t>
  </si>
  <si>
    <t>1936-01-19</t>
  </si>
  <si>
    <t>1936-04-26</t>
  </si>
  <si>
    <t>1881-09-04</t>
  </si>
  <si>
    <t>1881-09-18</t>
  </si>
  <si>
    <t>1881-10-02</t>
  </si>
  <si>
    <t>1881-12-04</t>
  </si>
  <si>
    <t>1881-12-18</t>
  </si>
  <si>
    <t>1882-01-29</t>
  </si>
  <si>
    <t>1882-02-13</t>
  </si>
  <si>
    <t>1882-02-26</t>
  </si>
  <si>
    <t>1882-03-06</t>
  </si>
  <si>
    <t>1882-04-30</t>
  </si>
  <si>
    <t>1882-05-14</t>
  </si>
  <si>
    <t>1882-05-15</t>
  </si>
  <si>
    <t>1882-06-11</t>
  </si>
  <si>
    <t>1882-06-26</t>
  </si>
  <si>
    <t>1882-07-02</t>
  </si>
  <si>
    <t>1882-09-03</t>
  </si>
  <si>
    <t>1882-10-22</t>
  </si>
  <si>
    <t>1882-11-27</t>
  </si>
  <si>
    <t>1882-12-17</t>
  </si>
  <si>
    <t>1883-01-14</t>
  </si>
  <si>
    <t>1883-02-04</t>
  </si>
  <si>
    <t>1883-02-18</t>
  </si>
  <si>
    <t>1883-03-18</t>
  </si>
  <si>
    <t>1883-03-20</t>
  </si>
  <si>
    <t>1883-04-15</t>
  </si>
  <si>
    <t>1883-04-22</t>
  </si>
  <si>
    <t>1883-05-06</t>
  </si>
  <si>
    <t>1883-05-20</t>
  </si>
  <si>
    <t>1883-06-24</t>
  </si>
  <si>
    <t>1883-09-09</t>
  </si>
  <si>
    <t>1883-09-23</t>
  </si>
  <si>
    <t>1883-09-30</t>
  </si>
  <si>
    <t>1883-11-25</t>
  </si>
  <si>
    <t>1884-01-20</t>
  </si>
  <si>
    <t>1884-02-24</t>
  </si>
  <si>
    <t>1884-03-23</t>
  </si>
  <si>
    <t>1884-04-02</t>
  </si>
  <si>
    <t>1884-04-06</t>
  </si>
  <si>
    <t>1884-05-25</t>
  </si>
  <si>
    <t>1884-06-08</t>
  </si>
  <si>
    <t>1884-07-06</t>
  </si>
  <si>
    <t>1884-07-20</t>
  </si>
  <si>
    <t>1884-09-14</t>
  </si>
  <si>
    <t>1884-11-05</t>
  </si>
  <si>
    <t>1885-01-18</t>
  </si>
  <si>
    <t>1885-03-15</t>
  </si>
  <si>
    <t>1885-04-05</t>
  </si>
  <si>
    <t>1885-10-18</t>
  </si>
  <si>
    <t>1885-10-25</t>
  </si>
  <si>
    <t>1885-12-06</t>
  </si>
  <si>
    <t>1885-12-13</t>
  </si>
  <si>
    <t>1885-12-20</t>
  </si>
  <si>
    <t>1885-12-27</t>
  </si>
  <si>
    <t>1886-02-14</t>
  </si>
  <si>
    <t>1886-02-28</t>
  </si>
  <si>
    <t>1886-03-14</t>
  </si>
  <si>
    <t>1886-04-11</t>
  </si>
  <si>
    <t>1886-04-18</t>
  </si>
  <si>
    <t>1886-05-02</t>
  </si>
  <si>
    <t>1886-05-23</t>
  </si>
  <si>
    <t>1886-11-21</t>
  </si>
  <si>
    <t>1887-01-01</t>
  </si>
  <si>
    <t>1887-01-23</t>
  </si>
  <si>
    <t>1887-04-17</t>
  </si>
  <si>
    <t>1887-05-02</t>
  </si>
  <si>
    <t>1887-05-15</t>
  </si>
  <si>
    <t>1887-06-06</t>
  </si>
  <si>
    <t>1887-07-17</t>
  </si>
  <si>
    <t>1887-07-31</t>
  </si>
  <si>
    <t>1887-10-16</t>
  </si>
  <si>
    <t>1887-11-27</t>
  </si>
  <si>
    <t>1888-01-29</t>
  </si>
  <si>
    <t>1888-03-11</t>
  </si>
  <si>
    <t>1888-03-25</t>
  </si>
  <si>
    <t>1888-04-09</t>
  </si>
  <si>
    <t>1888-04-15</t>
  </si>
  <si>
    <t>1888-04-23</t>
  </si>
  <si>
    <t>1888-04-29</t>
  </si>
  <si>
    <t>1888-05-14</t>
  </si>
  <si>
    <t>1888-07-08</t>
  </si>
  <si>
    <t>1888-08-19</t>
  </si>
  <si>
    <t>1888-11-25</t>
  </si>
  <si>
    <t>1888-12-09</t>
  </si>
  <si>
    <t>1889-01-06</t>
  </si>
  <si>
    <t>1889-09-22</t>
  </si>
  <si>
    <t>1889-10-06</t>
  </si>
  <si>
    <t>1889-12-01</t>
  </si>
  <si>
    <t>1889-12-12</t>
  </si>
  <si>
    <t>1890-01-12</t>
  </si>
  <si>
    <t>1890-01-26</t>
  </si>
  <si>
    <t>1890-02-09</t>
  </si>
  <si>
    <t>1890-02-16</t>
  </si>
  <si>
    <t>1890-03-02</t>
  </si>
  <si>
    <t>1890-03-09</t>
  </si>
  <si>
    <t>1890-03-23</t>
  </si>
  <si>
    <t>1890-03-30</t>
  </si>
  <si>
    <t>1890-04-13</t>
  </si>
  <si>
    <t>1890-04-27</t>
  </si>
  <si>
    <t>1890-05-04</t>
  </si>
  <si>
    <t>1890-05-11</t>
  </si>
  <si>
    <t>1890-05-12</t>
  </si>
  <si>
    <t>1890-05-25</t>
  </si>
  <si>
    <t>1890-07-06</t>
  </si>
  <si>
    <t>1890-07-20</t>
  </si>
  <si>
    <t>1890-08-10</t>
  </si>
  <si>
    <t>1890-08-17</t>
  </si>
  <si>
    <t>1890-10-19</t>
  </si>
  <si>
    <t>1891-03-07</t>
  </si>
  <si>
    <t>1891-03-09</t>
  </si>
  <si>
    <t>1891-04-19</t>
  </si>
  <si>
    <t>1891-05-31</t>
  </si>
  <si>
    <t>1891-07-12</t>
  </si>
  <si>
    <t>1891-08-09</t>
  </si>
  <si>
    <t>1891-11-22</t>
  </si>
  <si>
    <t>1891-12-06</t>
  </si>
  <si>
    <t>1891-12-20</t>
  </si>
  <si>
    <t>1891-12-21</t>
  </si>
  <si>
    <t>1892-02-14</t>
  </si>
  <si>
    <t>1892-03-06</t>
  </si>
  <si>
    <t>1892-03-27</t>
  </si>
  <si>
    <t>1892-04-10</t>
  </si>
  <si>
    <t>1892-06-19</t>
  </si>
  <si>
    <t>1892-07-10</t>
  </si>
  <si>
    <t>1892-09-11</t>
  </si>
  <si>
    <t>1892-09-25</t>
  </si>
  <si>
    <t>1892-10-23</t>
  </si>
  <si>
    <t>1892-11-13</t>
  </si>
  <si>
    <t>1892-12-18</t>
  </si>
  <si>
    <t>1893-01-22</t>
  </si>
  <si>
    <t>1893-03-26</t>
  </si>
  <si>
    <t>1893-04-16</t>
  </si>
  <si>
    <t>1893-04-20</t>
  </si>
  <si>
    <t>1893-04-23</t>
  </si>
  <si>
    <t>1893-08-20</t>
  </si>
  <si>
    <t>1893-09-03</t>
  </si>
  <si>
    <t>1893-12-17</t>
  </si>
  <si>
    <t>1893-12-31</t>
  </si>
  <si>
    <t>1894-01-21</t>
  </si>
  <si>
    <t>1894-02-18</t>
  </si>
  <si>
    <t>1894-03-18</t>
  </si>
  <si>
    <t>1894-05-20</t>
  </si>
  <si>
    <t>1894-06-03</t>
  </si>
  <si>
    <t>1894-07-01</t>
  </si>
  <si>
    <t>1894-07-08</t>
  </si>
  <si>
    <t>1894-08-19</t>
  </si>
  <si>
    <t>1894-09-23</t>
  </si>
  <si>
    <t>1894-10-07</t>
  </si>
  <si>
    <t>1895-01-06</t>
  </si>
  <si>
    <t>1895-02-18</t>
  </si>
  <si>
    <t>1895-03-03</t>
  </si>
  <si>
    <t>1895-03-10</t>
  </si>
  <si>
    <t>1895-03-17</t>
  </si>
  <si>
    <t>1895-03-31</t>
  </si>
  <si>
    <t>1895-04-28</t>
  </si>
  <si>
    <t>1895-05-05</t>
  </si>
  <si>
    <t>1895-05-19</t>
  </si>
  <si>
    <t>1895-05-26</t>
  </si>
  <si>
    <t>1895-08-11</t>
  </si>
  <si>
    <t>1895-09-29</t>
  </si>
  <si>
    <t>1895-10-17</t>
  </si>
  <si>
    <t>1895-10-27</t>
  </si>
  <si>
    <t>1895-11-03</t>
  </si>
  <si>
    <t>1896-01-16</t>
  </si>
  <si>
    <t>1896-02-04</t>
  </si>
  <si>
    <t>1896-02-09</t>
  </si>
  <si>
    <t>1896-05-31</t>
  </si>
  <si>
    <t>1896-06-21</t>
  </si>
  <si>
    <t>1896-06-28</t>
  </si>
  <si>
    <t>1896-10-11</t>
  </si>
  <si>
    <t>1896-11-08</t>
  </si>
  <si>
    <t>1896-12-13</t>
  </si>
  <si>
    <t>1897-01-01</t>
  </si>
  <si>
    <t>1897-01-24</t>
  </si>
  <si>
    <t>1897-02-21</t>
  </si>
  <si>
    <t>1897-02-28</t>
  </si>
  <si>
    <t>1897-03-07</t>
  </si>
  <si>
    <t>1897-03-14</t>
  </si>
  <si>
    <t>1897-04-11</t>
  </si>
  <si>
    <t>1897-04-25</t>
  </si>
  <si>
    <t>1897-05-30</t>
  </si>
  <si>
    <t>1897-06-13</t>
  </si>
  <si>
    <t>1897-08-01</t>
  </si>
  <si>
    <t>1897-08-29</t>
  </si>
  <si>
    <t>1897-10-10</t>
  </si>
  <si>
    <t>1897-10-17</t>
  </si>
  <si>
    <t>1898-01-16</t>
  </si>
  <si>
    <t>1898-05-08</t>
  </si>
  <si>
    <t>1898-05-22</t>
  </si>
  <si>
    <t>1898-09-18</t>
  </si>
  <si>
    <t>1898-10-02</t>
  </si>
  <si>
    <t>1898-10-30</t>
  </si>
  <si>
    <t>1898-12-25</t>
  </si>
  <si>
    <t>1899-01-22</t>
  </si>
  <si>
    <t>1899-01-29</t>
  </si>
  <si>
    <t>1899-02-20</t>
  </si>
  <si>
    <t>1899-02-26</t>
  </si>
  <si>
    <t>1899-03-12</t>
  </si>
  <si>
    <t>1899-04-23</t>
  </si>
  <si>
    <t>1899-05-28</t>
  </si>
  <si>
    <t>1899-07-02</t>
  </si>
  <si>
    <t>1900-01-02</t>
  </si>
  <si>
    <t>1900-02-28</t>
  </si>
  <si>
    <t>1900-03-03</t>
  </si>
  <si>
    <t>1900-03-11</t>
  </si>
  <si>
    <t>1900-03-18</t>
  </si>
  <si>
    <t>1900-03-25</t>
  </si>
  <si>
    <t>1900-04-22</t>
  </si>
  <si>
    <t>1900-06-03</t>
  </si>
  <si>
    <t>1900-06-18</t>
  </si>
  <si>
    <t>1900-06-24</t>
  </si>
  <si>
    <t>1900-07-22</t>
  </si>
  <si>
    <t>1900-09-16</t>
  </si>
  <si>
    <t>1900-12-02</t>
  </si>
  <si>
    <t>1900-12-16</t>
  </si>
  <si>
    <t>1901-01-20</t>
  </si>
  <si>
    <t>1901-01-27</t>
  </si>
  <si>
    <t>1901-02-03</t>
  </si>
  <si>
    <t>1901-02-10</t>
  </si>
  <si>
    <t>1901-02-17</t>
  </si>
  <si>
    <t>1901-03-03</t>
  </si>
  <si>
    <t>1901-03-31</t>
  </si>
  <si>
    <t>1901-04-04</t>
  </si>
  <si>
    <t>1901-05-19</t>
  </si>
  <si>
    <t>1901-05-26</t>
  </si>
  <si>
    <t>1901-07-28</t>
  </si>
  <si>
    <t>1901-08-18</t>
  </si>
  <si>
    <t>1901-09-15</t>
  </si>
  <si>
    <t>1901-10-27</t>
  </si>
  <si>
    <t>1901-12-01</t>
  </si>
  <si>
    <t>1902-04-27</t>
  </si>
  <si>
    <t>1902-07-27</t>
  </si>
  <si>
    <t>1902-08-03</t>
  </si>
  <si>
    <t>1902-08-10</t>
  </si>
  <si>
    <t>1902-09-07</t>
  </si>
  <si>
    <t>1902-09-28</t>
  </si>
  <si>
    <t>1903-01-11</t>
  </si>
  <si>
    <t>1903-01-25</t>
  </si>
  <si>
    <t>1903-02-08</t>
  </si>
  <si>
    <t>1903-02-15</t>
  </si>
  <si>
    <t>1903-02-22</t>
  </si>
  <si>
    <t>1903-03-01</t>
  </si>
  <si>
    <t>1903-03-22</t>
  </si>
  <si>
    <t>1903-05-10</t>
  </si>
  <si>
    <t>1903-05-24</t>
  </si>
  <si>
    <t>1903-05-31</t>
  </si>
  <si>
    <t>1903-06-07</t>
  </si>
  <si>
    <t>1903-06-21</t>
  </si>
  <si>
    <t>1903-07-12</t>
  </si>
  <si>
    <t>1903-08-02</t>
  </si>
  <si>
    <t>1903-10-18</t>
  </si>
  <si>
    <t>1903-11-29</t>
  </si>
  <si>
    <t>1903-12-20</t>
  </si>
  <si>
    <t>1903-12-27</t>
  </si>
  <si>
    <t>1904-04-10</t>
  </si>
  <si>
    <t>1904-04-24</t>
  </si>
  <si>
    <t>1904-06-26</t>
  </si>
  <si>
    <t>1904-07-24</t>
  </si>
  <si>
    <t>1904-10-09</t>
  </si>
  <si>
    <t>1904-11-06</t>
  </si>
  <si>
    <t>1904-12-18</t>
  </si>
  <si>
    <t>1905-01-08</t>
  </si>
  <si>
    <t>1905-01-22</t>
  </si>
  <si>
    <t>1905-02-12</t>
  </si>
  <si>
    <t>1905-02-19</t>
  </si>
  <si>
    <t>1905-03-05</t>
  </si>
  <si>
    <t>1905-03-19</t>
  </si>
  <si>
    <t>1905-05-14</t>
  </si>
  <si>
    <t>1905-05-21</t>
  </si>
  <si>
    <t>1905-06-11</t>
  </si>
  <si>
    <t>1905-08-13</t>
  </si>
  <si>
    <t>1905-10-01</t>
  </si>
  <si>
    <t>1905-10-08</t>
  </si>
  <si>
    <t>1905-10-22</t>
  </si>
  <si>
    <t>1905-10-29</t>
  </si>
  <si>
    <t>1905-11-13</t>
  </si>
  <si>
    <t>1905-12-03</t>
  </si>
  <si>
    <t>1905-12-10</t>
  </si>
  <si>
    <t>1905-12-17</t>
  </si>
  <si>
    <t>1905-12-31</t>
  </si>
  <si>
    <t>1906-01-01</t>
  </si>
  <si>
    <t>1906-05-06</t>
  </si>
  <si>
    <t>1906-05-27</t>
  </si>
  <si>
    <t>1906-07-08</t>
  </si>
  <si>
    <t>1906-07-15</t>
  </si>
  <si>
    <t>1906-07-29</t>
  </si>
  <si>
    <t>1906-09-30</t>
  </si>
  <si>
    <t>1906-10-21</t>
  </si>
  <si>
    <t>1906-10-28</t>
  </si>
  <si>
    <t>1906-11-11</t>
  </si>
  <si>
    <t>1907-01-27</t>
  </si>
  <si>
    <t>1907-03-03</t>
  </si>
  <si>
    <t>1907-03-24</t>
  </si>
  <si>
    <t>1907-04-28</t>
  </si>
  <si>
    <t>1907-07-07</t>
  </si>
  <si>
    <t>1907-09-15</t>
  </si>
  <si>
    <t>1907-11-10</t>
  </si>
  <si>
    <t>1907-11-24</t>
  </si>
  <si>
    <t>1908-01-12</t>
  </si>
  <si>
    <t>1908-01-19</t>
  </si>
  <si>
    <t>1908-02-23</t>
  </si>
  <si>
    <t>1908-03-01</t>
  </si>
  <si>
    <t>1908-03-08</t>
  </si>
  <si>
    <t>1908-03-22</t>
  </si>
  <si>
    <t>1908-04-12</t>
  </si>
  <si>
    <t>1908-10-11</t>
  </si>
  <si>
    <t>1908-11-13</t>
  </si>
  <si>
    <t>1909-02-07</t>
  </si>
  <si>
    <t>1909-02-21</t>
  </si>
  <si>
    <t>1909-03-14</t>
  </si>
  <si>
    <t>1909-03-21</t>
  </si>
  <si>
    <t>1909-03-28</t>
  </si>
  <si>
    <t>1909-03-31</t>
  </si>
  <si>
    <t>1909-04-04</t>
  </si>
  <si>
    <t>1909-04-11</t>
  </si>
  <si>
    <t>1909-04-25</t>
  </si>
  <si>
    <t>1909-05-02</t>
  </si>
  <si>
    <t>1909-05-16</t>
  </si>
  <si>
    <t>1909-06-27</t>
  </si>
  <si>
    <t>1909-07-25</t>
  </si>
  <si>
    <t>1909-09-21</t>
  </si>
  <si>
    <t>1909-10-17</t>
  </si>
  <si>
    <t>1909-11-07</t>
  </si>
  <si>
    <t>1909-12-19</t>
  </si>
  <si>
    <t>1875-12-10</t>
  </si>
  <si>
    <t>1875-12-11</t>
  </si>
  <si>
    <t>1875-12-13</t>
  </si>
  <si>
    <t>1875-12-15</t>
  </si>
  <si>
    <t>1875-12-16</t>
  </si>
  <si>
    <t>1875-12-17</t>
  </si>
  <si>
    <t>1875-12-21</t>
  </si>
  <si>
    <t>1876-01-30</t>
  </si>
  <si>
    <t>1876-01-31</t>
  </si>
  <si>
    <t>1876-02-27</t>
  </si>
  <si>
    <t>1876-03-19</t>
  </si>
  <si>
    <t>1876-03-26</t>
  </si>
  <si>
    <t>1876-06-11</t>
  </si>
  <si>
    <t>1876-06-16</t>
  </si>
  <si>
    <t>1876-11-19</t>
  </si>
  <si>
    <t>1876-11-24</t>
  </si>
  <si>
    <t>1876-12-17</t>
  </si>
  <si>
    <t>1877-03-10</t>
  </si>
  <si>
    <t>1877-11-15</t>
  </si>
  <si>
    <t>1877-11-24</t>
  </si>
  <si>
    <t>1877-12-02</t>
  </si>
  <si>
    <t>1878-02-19</t>
  </si>
  <si>
    <t>1878-11-15</t>
  </si>
  <si>
    <t>1879-02-16</t>
  </si>
  <si>
    <t>1879-05-27</t>
  </si>
  <si>
    <t>1879-06-22</t>
  </si>
  <si>
    <t>1879-11-09</t>
  </si>
  <si>
    <t>1880-03-06</t>
  </si>
  <si>
    <t>1880-03-07</t>
  </si>
  <si>
    <t>1880-03-14</t>
  </si>
  <si>
    <t>1880-05-09</t>
  </si>
  <si>
    <t>1880-06-13</t>
  </si>
  <si>
    <t>1880-08-15</t>
  </si>
  <si>
    <t>1880-10-10</t>
  </si>
  <si>
    <t>1880-11-25</t>
  </si>
  <si>
    <t>1880-12-26</t>
  </si>
  <si>
    <t>1881-05-21</t>
  </si>
  <si>
    <t>1881-06-23</t>
  </si>
  <si>
    <t>1881-07-07</t>
  </si>
  <si>
    <t>1881-07-16</t>
  </si>
  <si>
    <t>1881-11-29</t>
  </si>
  <si>
    <t>1882-01-04</t>
  </si>
  <si>
    <t>1882-01-16</t>
  </si>
  <si>
    <t>1882-03-26</t>
  </si>
  <si>
    <t>1882-05-20</t>
  </si>
  <si>
    <t>1882-07-09</t>
  </si>
  <si>
    <t>1882-07-10</t>
  </si>
  <si>
    <t>1882-09-07</t>
  </si>
  <si>
    <t>1882-11-05</t>
  </si>
  <si>
    <t>1882-12-07</t>
  </si>
  <si>
    <t>1883-01-04</t>
  </si>
  <si>
    <t>1883-01-07</t>
  </si>
  <si>
    <t>1883-03-08</t>
  </si>
  <si>
    <t>1883-06-10</t>
  </si>
  <si>
    <t>1883-11-18</t>
  </si>
  <si>
    <t>1884-02-28</t>
  </si>
  <si>
    <t>1884-06-24</t>
  </si>
  <si>
    <t>1885-01-20</t>
  </si>
  <si>
    <t>1885-03-01</t>
  </si>
  <si>
    <t>1885-06-21</t>
  </si>
  <si>
    <t>1885-08-09</t>
  </si>
  <si>
    <t>1885-08-23</t>
  </si>
  <si>
    <t>1885-09-27</t>
  </si>
  <si>
    <t>1885-11-29</t>
  </si>
  <si>
    <t>1886-01-31</t>
  </si>
  <si>
    <t>1886-03-28</t>
  </si>
  <si>
    <t>1886-04-04</t>
  </si>
  <si>
    <t>1886-06-27</t>
  </si>
  <si>
    <t>1886-07-11</t>
  </si>
  <si>
    <t>1886-07-25</t>
  </si>
  <si>
    <t>1886-08-29</t>
  </si>
  <si>
    <t>1886-10-17</t>
  </si>
  <si>
    <t>1887-01-02</t>
  </si>
  <si>
    <t>1887-03-13</t>
  </si>
  <si>
    <t>1887-05-01</t>
  </si>
  <si>
    <t>1887-06-26</t>
  </si>
  <si>
    <t>1887-08-14</t>
  </si>
  <si>
    <t>1888-01-20</t>
  </si>
  <si>
    <t>1888-04-22</t>
  </si>
  <si>
    <t>1888-05-01</t>
  </si>
  <si>
    <t>1888-06-21</t>
  </si>
  <si>
    <t>1888-08-12</t>
  </si>
  <si>
    <t>1888-09-30</t>
  </si>
  <si>
    <t>1888-10-21</t>
  </si>
  <si>
    <t>1889-01-13</t>
  </si>
  <si>
    <t>1889-01-27</t>
  </si>
  <si>
    <t>1889-03-17</t>
  </si>
  <si>
    <t>1889-03-31</t>
  </si>
  <si>
    <t>1889-05-12</t>
  </si>
  <si>
    <t>1889-05-26</t>
  </si>
  <si>
    <t>1889-06-16</t>
  </si>
  <si>
    <t>1889-08-18</t>
  </si>
  <si>
    <t>1889-11-17</t>
  </si>
  <si>
    <t>1889-12-29</t>
  </si>
  <si>
    <t>1890-01-19</t>
  </si>
  <si>
    <t>1890-02-02</t>
  </si>
  <si>
    <t>1890-06-01</t>
  </si>
  <si>
    <t>1890-06-08</t>
  </si>
  <si>
    <t>1890-06-15</t>
  </si>
  <si>
    <t>1890-07-27</t>
  </si>
  <si>
    <t>1890-09-28</t>
  </si>
  <si>
    <t>1891-02-04</t>
  </si>
  <si>
    <t>1891-02-15</t>
  </si>
  <si>
    <t>1891-03-10</t>
  </si>
  <si>
    <t>1891-03-15</t>
  </si>
  <si>
    <t>1891-07-19</t>
  </si>
  <si>
    <t>1891-08-02</t>
  </si>
  <si>
    <t>1891-08-30</t>
  </si>
  <si>
    <t>1891-10-18</t>
  </si>
  <si>
    <t>1891-11-29</t>
  </si>
  <si>
    <t>1892-02-21</t>
  </si>
  <si>
    <t>1892-03-13</t>
  </si>
  <si>
    <t>1892-03-20</t>
  </si>
  <si>
    <t>1892-04-24</t>
  </si>
  <si>
    <t>1892-05-15</t>
  </si>
  <si>
    <t>1892-08-21</t>
  </si>
  <si>
    <t>1892-09-18</t>
  </si>
  <si>
    <t>1892-10-09</t>
  </si>
  <si>
    <t>1892-10-18</t>
  </si>
  <si>
    <t>1893-01-08</t>
  </si>
  <si>
    <t>1893-03-19</t>
  </si>
  <si>
    <t>1893-05-21</t>
  </si>
  <si>
    <t>1893-06-11</t>
  </si>
  <si>
    <t>1893-07-02</t>
  </si>
  <si>
    <t>1893-07-23</t>
  </si>
  <si>
    <t>1893-08-13</t>
  </si>
  <si>
    <t>1893-09-10</t>
  </si>
  <si>
    <t>1894-01-27</t>
  </si>
  <si>
    <t>1894-02-25</t>
  </si>
  <si>
    <t>1894-04-01</t>
  </si>
  <si>
    <t>1894-07-22</t>
  </si>
  <si>
    <t>1894-11-11</t>
  </si>
  <si>
    <t>1894-12-30</t>
  </si>
  <si>
    <t>1895-01-20</t>
  </si>
  <si>
    <t>1895-02-10</t>
  </si>
  <si>
    <t>1895-02-24</t>
  </si>
  <si>
    <t>1895-03-24</t>
  </si>
  <si>
    <t>1895-04-21</t>
  </si>
  <si>
    <t>1895-06-23</t>
  </si>
  <si>
    <t>1895-06-30</t>
  </si>
  <si>
    <t>1895-07-07</t>
  </si>
  <si>
    <t>1895-08-18</t>
  </si>
  <si>
    <t>1895-10-06</t>
  </si>
  <si>
    <t>1895-11-17</t>
  </si>
  <si>
    <t>1896-02-16</t>
  </si>
  <si>
    <t>1896-03-22</t>
  </si>
  <si>
    <t>1896-04-12</t>
  </si>
  <si>
    <t>1896-04-19</t>
  </si>
  <si>
    <t>1896-08-09</t>
  </si>
  <si>
    <t>1896-09-06</t>
  </si>
  <si>
    <t>1896-09-13</t>
  </si>
  <si>
    <t>1897-04-04</t>
  </si>
  <si>
    <t>1897-05-02</t>
  </si>
  <si>
    <t>1897-07-04</t>
  </si>
  <si>
    <t>1897-10-31</t>
  </si>
  <si>
    <t>1898-01-09</t>
  </si>
  <si>
    <t>1898-02-06</t>
  </si>
  <si>
    <t>1898-02-27</t>
  </si>
  <si>
    <t>1898-03-20</t>
  </si>
  <si>
    <t>1898-03-27</t>
  </si>
  <si>
    <t>1898-07-24</t>
  </si>
  <si>
    <t>1898-08-14</t>
  </si>
  <si>
    <t>1898-10-09</t>
  </si>
  <si>
    <t>1898-11-20</t>
  </si>
  <si>
    <t>1898-12-18</t>
  </si>
  <si>
    <t>1899-01-12</t>
  </si>
  <si>
    <t>1899-07-13</t>
  </si>
  <si>
    <t>1899-09-10</t>
  </si>
  <si>
    <t>1900-01-26</t>
  </si>
  <si>
    <t>1900-04-08</t>
  </si>
  <si>
    <t>1900-07-29</t>
  </si>
  <si>
    <t>1900-08-26</t>
  </si>
  <si>
    <t>1900-10-07</t>
  </si>
  <si>
    <t>1900-10-28</t>
  </si>
  <si>
    <t>1900-11-25</t>
  </si>
  <si>
    <t>1901-01-06</t>
  </si>
  <si>
    <t>1901-01-13</t>
  </si>
  <si>
    <t>1901-02-24</t>
  </si>
  <si>
    <t>1901-04-14</t>
  </si>
  <si>
    <t>1901-04-28</t>
  </si>
  <si>
    <t>1901-06-09</t>
  </si>
  <si>
    <t>1901-07-07</t>
  </si>
  <si>
    <t>1901-10-06</t>
  </si>
  <si>
    <t>1901-11-03</t>
  </si>
  <si>
    <t>1902-02-16</t>
  </si>
  <si>
    <t>1902-04-06</t>
  </si>
  <si>
    <t>1902-06-22</t>
  </si>
  <si>
    <t>1902-09-14</t>
  </si>
  <si>
    <t>1903-01-07</t>
  </si>
  <si>
    <t>1903-03-15</t>
  </si>
  <si>
    <t>1903-04-26</t>
  </si>
  <si>
    <t>1903-07-26</t>
  </si>
  <si>
    <t>1903-08-30</t>
  </si>
  <si>
    <t>1903-10-25</t>
  </si>
  <si>
    <t>1903-11-08</t>
  </si>
  <si>
    <t>1903-12-06</t>
  </si>
  <si>
    <t>1904-01-10</t>
  </si>
  <si>
    <t>1904-02-07</t>
  </si>
  <si>
    <t>1904-03-27</t>
  </si>
  <si>
    <t>1904-05-15</t>
  </si>
  <si>
    <t>1904-05-22</t>
  </si>
  <si>
    <t>1904-09-11</t>
  </si>
  <si>
    <t>1904-09-18</t>
  </si>
  <si>
    <t>1905-01-15</t>
  </si>
  <si>
    <t>1905-04-02</t>
  </si>
  <si>
    <t>1905-04-09</t>
  </si>
  <si>
    <t>1905-06-18</t>
  </si>
  <si>
    <t>1905-08-20</t>
  </si>
  <si>
    <t>1905-08-27</t>
  </si>
  <si>
    <t>1906-01-14</t>
  </si>
  <si>
    <t>1906-03-11</t>
  </si>
  <si>
    <t>1906-03-25</t>
  </si>
  <si>
    <t>1906-04-08</t>
  </si>
  <si>
    <t>1906-06-10</t>
  </si>
  <si>
    <t>1906-06-17</t>
  </si>
  <si>
    <t>1906-09-09</t>
  </si>
  <si>
    <t>1907-01-07</t>
  </si>
  <si>
    <t>1907-02-03</t>
  </si>
  <si>
    <t>1907-02-17</t>
  </si>
  <si>
    <t>1907-05-26</t>
  </si>
  <si>
    <t>1907-08-18</t>
  </si>
  <si>
    <t>1907-08-25</t>
  </si>
  <si>
    <t>1907-10-06</t>
  </si>
  <si>
    <t>1907-10-20</t>
  </si>
  <si>
    <t>1908-02-09</t>
  </si>
  <si>
    <t>1908-06-21</t>
  </si>
  <si>
    <t>1909-01-06</t>
  </si>
  <si>
    <t>1909-01-30</t>
  </si>
  <si>
    <t>1909-06-06</t>
  </si>
  <si>
    <t>1909-08-29</t>
  </si>
  <si>
    <t>1910-01-16</t>
  </si>
  <si>
    <t>1910-02-27</t>
  </si>
  <si>
    <t>1910-03-06</t>
  </si>
  <si>
    <t>1910-06-05</t>
  </si>
  <si>
    <t>1910-06-19</t>
  </si>
  <si>
    <t>1910-07-03</t>
  </si>
  <si>
    <t>1910-10-02</t>
  </si>
  <si>
    <t>1911-03-05</t>
  </si>
  <si>
    <t>1911-03-19</t>
  </si>
  <si>
    <t>1911-04-30</t>
  </si>
  <si>
    <t>1911-07-30</t>
  </si>
  <si>
    <t>1912-04-21</t>
  </si>
  <si>
    <t>1912-06-16</t>
  </si>
  <si>
    <t>1912-07-07</t>
  </si>
  <si>
    <t>1912-07-28</t>
  </si>
  <si>
    <t>1912-10-20</t>
  </si>
  <si>
    <t>1913-02-16</t>
  </si>
  <si>
    <t>1913-04-06</t>
  </si>
  <si>
    <t>1913-06-29</t>
  </si>
  <si>
    <t>1913-07-13</t>
  </si>
  <si>
    <t>1913-09-21</t>
  </si>
  <si>
    <t>1914-03-29</t>
  </si>
  <si>
    <t>1914-04-05</t>
  </si>
  <si>
    <t>1914-06-21</t>
  </si>
  <si>
    <t>1914-06-28</t>
  </si>
  <si>
    <t>1920-02-11</t>
  </si>
  <si>
    <t>1920-04-11</t>
  </si>
  <si>
    <t>1920-09-05</t>
  </si>
  <si>
    <t>1920-11-11</t>
  </si>
  <si>
    <t>1921-01-06</t>
  </si>
  <si>
    <t>1921-06-12</t>
  </si>
  <si>
    <t>1921-07-17</t>
  </si>
  <si>
    <t>1921-12-04</t>
  </si>
  <si>
    <t>1922-02-26</t>
  </si>
  <si>
    <t>1922-03-26</t>
  </si>
  <si>
    <t>1922-07-09</t>
  </si>
  <si>
    <t>1922-07-16</t>
  </si>
  <si>
    <t>1922-09-10</t>
  </si>
  <si>
    <t>1922-10-15</t>
  </si>
  <si>
    <t>1922-11-19</t>
  </si>
  <si>
    <t>1922-12-10</t>
  </si>
  <si>
    <t>1922-12-17</t>
  </si>
  <si>
    <t>1923-01-28</t>
  </si>
  <si>
    <t>1923-03-04</t>
  </si>
  <si>
    <t>1923-03-25</t>
  </si>
  <si>
    <t>1923-06-22</t>
  </si>
  <si>
    <t>1923-07-01</t>
  </si>
  <si>
    <t>1924-03-02</t>
  </si>
  <si>
    <t>1924-03-09</t>
  </si>
  <si>
    <t>1924-04-13</t>
  </si>
  <si>
    <t>1924-04-27</t>
  </si>
  <si>
    <t>1924-05-04</t>
  </si>
  <si>
    <t>1924-05-18</t>
  </si>
  <si>
    <t>1924-06-22</t>
  </si>
  <si>
    <t>1924-06-29</t>
  </si>
  <si>
    <t>1924-08-03</t>
  </si>
  <si>
    <t>1924-08-31</t>
  </si>
  <si>
    <t>1924-10-12</t>
  </si>
  <si>
    <t>1924-12-14</t>
  </si>
  <si>
    <t>1925-03-22</t>
  </si>
  <si>
    <t>1925-04-19</t>
  </si>
  <si>
    <t>1925-04-26</t>
  </si>
  <si>
    <t>1925-06-21</t>
  </si>
  <si>
    <t>1925-06-28</t>
  </si>
  <si>
    <t>1925-07-12</t>
  </si>
  <si>
    <t>1925-11-08</t>
  </si>
  <si>
    <t>1925-12-20</t>
  </si>
  <si>
    <t>1926-03-14</t>
  </si>
  <si>
    <t>1926-04-18</t>
  </si>
  <si>
    <t>1926-05-30</t>
  </si>
  <si>
    <t>1926-07-18</t>
  </si>
  <si>
    <t>1927-01-06</t>
  </si>
  <si>
    <t>1927-01-08</t>
  </si>
  <si>
    <t>1927-05-08</t>
  </si>
  <si>
    <t>1927-05-29</t>
  </si>
  <si>
    <t>1927-08-28</t>
  </si>
  <si>
    <t>1927-09-25</t>
  </si>
  <si>
    <t>1927-10-30</t>
  </si>
  <si>
    <t>1927-11-09</t>
  </si>
  <si>
    <t>1927-12-18</t>
  </si>
  <si>
    <t>1928-01-22</t>
  </si>
  <si>
    <t>1928-05-06</t>
  </si>
  <si>
    <t>1928-07-08</t>
  </si>
  <si>
    <t>1928-08-19</t>
  </si>
  <si>
    <t>1928-11-04</t>
  </si>
  <si>
    <t>1928-12-09</t>
  </si>
  <si>
    <t>1928-12-16</t>
  </si>
  <si>
    <t>1929-01-06</t>
  </si>
  <si>
    <t>1929-02-10</t>
  </si>
  <si>
    <t>1929-04-07</t>
  </si>
  <si>
    <t>1929-08-25</t>
  </si>
  <si>
    <t>1929-10-27</t>
  </si>
  <si>
    <t>1930-02-02</t>
  </si>
  <si>
    <t>1930-03-23</t>
  </si>
  <si>
    <t>1930-05-11</t>
  </si>
  <si>
    <t>1930-07-27</t>
  </si>
  <si>
    <t>1930-08-10</t>
  </si>
  <si>
    <t>1930-11-16</t>
  </si>
  <si>
    <t>1930-12-21</t>
  </si>
  <si>
    <t>1931-01-31</t>
  </si>
  <si>
    <t>1931-02-22</t>
  </si>
  <si>
    <t>1931-05-31</t>
  </si>
  <si>
    <t>1931-07-05</t>
  </si>
  <si>
    <t>1931-09-06</t>
  </si>
  <si>
    <t>1931-10-11</t>
  </si>
  <si>
    <t>1931-11-08</t>
  </si>
  <si>
    <t>1932-01-03</t>
  </si>
  <si>
    <t>1932-02-07</t>
  </si>
  <si>
    <t>1932-03-06</t>
  </si>
  <si>
    <t>1932-04-03</t>
  </si>
  <si>
    <t>1932-06-12</t>
  </si>
  <si>
    <t>1933-01-08</t>
  </si>
  <si>
    <t>1933-01-10</t>
  </si>
  <si>
    <t>1933-03-26</t>
  </si>
  <si>
    <t>1933-07-23</t>
  </si>
  <si>
    <t>1933-07-30</t>
  </si>
  <si>
    <t>1933-10-01</t>
  </si>
  <si>
    <t>1934-01-14</t>
  </si>
  <si>
    <t>1934-01-21</t>
  </si>
  <si>
    <t>1934-05-13</t>
  </si>
  <si>
    <t>1934-12-02</t>
  </si>
  <si>
    <t>1934-12-09</t>
  </si>
  <si>
    <t>1934-12-23</t>
  </si>
  <si>
    <t>1935-01-06</t>
  </si>
  <si>
    <t>1935-01-13</t>
  </si>
  <si>
    <t>1935-04-14</t>
  </si>
  <si>
    <t>1935-04-28</t>
  </si>
  <si>
    <t>1935-09-15</t>
  </si>
  <si>
    <t>1935-11-17</t>
  </si>
  <si>
    <t>1935-12-08</t>
  </si>
  <si>
    <t>1935-12-22</t>
  </si>
  <si>
    <t>1936-01-14</t>
  </si>
  <si>
    <t>1936-01-25</t>
  </si>
  <si>
    <t>1936-02-16</t>
  </si>
  <si>
    <t>1936-02-23</t>
  </si>
  <si>
    <t>1936-10-25</t>
  </si>
  <si>
    <t>1936-11-08</t>
  </si>
  <si>
    <t>1936-11-22</t>
  </si>
  <si>
    <t>1936-11-29</t>
  </si>
  <si>
    <t>1936-12-20</t>
  </si>
  <si>
    <t>1937-01-10</t>
  </si>
  <si>
    <t>1937-01-24</t>
  </si>
  <si>
    <t>1937-02-07</t>
  </si>
  <si>
    <t>1937-04-25</t>
  </si>
  <si>
    <t>1937-07-04</t>
  </si>
  <si>
    <t>1937-07-25</t>
  </si>
  <si>
    <t>1937-08-08</t>
  </si>
  <si>
    <t>1937-10-03</t>
  </si>
  <si>
    <t>1937-11-07</t>
  </si>
  <si>
    <t>1937-11-21</t>
  </si>
  <si>
    <t>1938-01-30</t>
  </si>
  <si>
    <t>1938-03-20</t>
  </si>
  <si>
    <t>1938-03-27</t>
  </si>
  <si>
    <t>1938-05-15</t>
  </si>
  <si>
    <t>1938-07-03</t>
  </si>
  <si>
    <t>1938-10-09</t>
  </si>
  <si>
    <t>1938-10-30</t>
  </si>
  <si>
    <t>1939-01-10</t>
  </si>
  <si>
    <t>1939-05-07</t>
  </si>
  <si>
    <t>1939-07-02</t>
  </si>
  <si>
    <t>1939-07-09</t>
  </si>
  <si>
    <t>1912-01-30</t>
  </si>
  <si>
    <t>1912-01-16</t>
  </si>
  <si>
    <t>1911-04-12</t>
  </si>
  <si>
    <t>1913-08-13</t>
  </si>
  <si>
    <t>1912-01-19</t>
  </si>
  <si>
    <t>1913-05-20</t>
  </si>
  <si>
    <t>1912-02-08</t>
  </si>
  <si>
    <t>1912-02-06</t>
  </si>
  <si>
    <t>1913-02-01</t>
  </si>
  <si>
    <t>1914-03-27</t>
  </si>
  <si>
    <t>1913-07-19</t>
  </si>
  <si>
    <t>1914-02-07</t>
  </si>
  <si>
    <t>1910-12-09</t>
  </si>
  <si>
    <t>1914-01-01</t>
  </si>
  <si>
    <t>1919-10-18</t>
  </si>
  <si>
    <t>1914-07-03</t>
  </si>
  <si>
    <t>1919-08-09</t>
  </si>
  <si>
    <t>1914-07-07</t>
  </si>
  <si>
    <t>1924-01-15</t>
  </si>
  <si>
    <t>1922-10-24</t>
  </si>
  <si>
    <t>1920-01-22</t>
  </si>
  <si>
    <t>1921-02-09</t>
  </si>
  <si>
    <t>1921-02-15</t>
  </si>
  <si>
    <t>1924-01-30</t>
  </si>
  <si>
    <t>1921-01-20</t>
  </si>
  <si>
    <t>1923-11-27</t>
  </si>
  <si>
    <t>1922-05-20</t>
  </si>
  <si>
    <t>1921-03-22</t>
  </si>
  <si>
    <t>1921-01-01</t>
  </si>
  <si>
    <t>1920-11-10</t>
  </si>
  <si>
    <t>1924-04-08</t>
  </si>
  <si>
    <t>1921-07-08</t>
  </si>
  <si>
    <t>1921-12-08</t>
  </si>
  <si>
    <t>1921-10-27</t>
  </si>
  <si>
    <t>1919-12-19</t>
  </si>
  <si>
    <t>1921-02-01</t>
  </si>
  <si>
    <t>1927-01-25</t>
  </si>
  <si>
    <t>1924-12-24</t>
  </si>
  <si>
    <t>1927-01-27</t>
  </si>
  <si>
    <t>1927-07-12</t>
  </si>
  <si>
    <t>1926-03-26</t>
  </si>
  <si>
    <t>1926-06-04</t>
  </si>
  <si>
    <t>1927-01-01</t>
  </si>
  <si>
    <t>1926-01-14</t>
  </si>
  <si>
    <t>1925-01-01</t>
  </si>
  <si>
    <t>1925-07-11</t>
  </si>
  <si>
    <t>1928-03-12</t>
  </si>
  <si>
    <t>1927-02-17</t>
  </si>
  <si>
    <t>1932-02-03</t>
  </si>
  <si>
    <t>1931-02-07</t>
  </si>
  <si>
    <t>1930-02-10</t>
  </si>
  <si>
    <t>1931-12-01</t>
  </si>
  <si>
    <t>1932-01-06</t>
  </si>
  <si>
    <t>1930-01-17</t>
  </si>
  <si>
    <t>1931-12-14</t>
  </si>
  <si>
    <t>1929-12-02</t>
  </si>
  <si>
    <t>1929-08-24</t>
  </si>
  <si>
    <t>1930-02-11</t>
  </si>
  <si>
    <t>1930-01-24</t>
  </si>
  <si>
    <t>1930-01-30</t>
  </si>
  <si>
    <t>1931-12-10</t>
  </si>
  <si>
    <t>1930-11-25</t>
  </si>
  <si>
    <t>1929-01-11</t>
  </si>
  <si>
    <t>1932-02-23</t>
  </si>
  <si>
    <t>1930-11-20</t>
  </si>
  <si>
    <t>1928-07-05</t>
  </si>
  <si>
    <t>1935-12-10</t>
  </si>
  <si>
    <t>1935-01-24</t>
  </si>
  <si>
    <t>1935-03-21</t>
  </si>
  <si>
    <t>1936-01-30</t>
  </si>
  <si>
    <t>1933-02-10</t>
  </si>
  <si>
    <t>1936-01-31</t>
  </si>
  <si>
    <t>1933-04-05</t>
  </si>
  <si>
    <t>1934-11-22</t>
  </si>
  <si>
    <t>1934-01-23</t>
  </si>
  <si>
    <t>1933-01-20</t>
  </si>
  <si>
    <t>1933-02-03</t>
  </si>
  <si>
    <t>1935-01-20</t>
  </si>
  <si>
    <t>1936-02-10</t>
  </si>
  <si>
    <t>1932-11-17</t>
  </si>
  <si>
    <t>1935-11-13</t>
  </si>
  <si>
    <t>1936-01-16</t>
  </si>
  <si>
    <t>1935-10-22</t>
  </si>
  <si>
    <t>1933-11-16</t>
  </si>
  <si>
    <t>1933-01-27</t>
  </si>
  <si>
    <t>1942-05-31</t>
  </si>
  <si>
    <t>1939-12-30</t>
  </si>
  <si>
    <t>1939-01-26</t>
  </si>
  <si>
    <t>1941-11-19</t>
  </si>
  <si>
    <t>1939-03-14</t>
  </si>
  <si>
    <t>1939-02-07</t>
  </si>
  <si>
    <t>1937-01-22</t>
  </si>
  <si>
    <t>1936-12-15</t>
  </si>
  <si>
    <t>1940-12-27</t>
  </si>
  <si>
    <t>1939-07-08</t>
  </si>
  <si>
    <t>1885-10-14</t>
  </si>
  <si>
    <t>1881-12-03</t>
  </si>
  <si>
    <t>1883-06-22</t>
  </si>
  <si>
    <t>1881-11-24</t>
  </si>
  <si>
    <t>1885-02-05</t>
  </si>
  <si>
    <t>1885-05-16</t>
  </si>
  <si>
    <t>1883-02-01</t>
  </si>
  <si>
    <t>1885-02-28</t>
  </si>
  <si>
    <t>1882-01-14</t>
  </si>
  <si>
    <t>1881-12-06</t>
  </si>
  <si>
    <t>1882-03-27</t>
  </si>
  <si>
    <t>1885-02-10</t>
  </si>
  <si>
    <t>1883-03-19</t>
  </si>
  <si>
    <t>1885-02-12</t>
  </si>
  <si>
    <t>1882-05-16</t>
  </si>
  <si>
    <t>1882-06-07</t>
  </si>
  <si>
    <t>1885-02-03</t>
  </si>
  <si>
    <t>1885-02-09</t>
  </si>
  <si>
    <t>1885-02-07</t>
  </si>
  <si>
    <t>1885-02-02</t>
  </si>
  <si>
    <t>1881-12-10</t>
  </si>
  <si>
    <t>1885-03-02</t>
  </si>
  <si>
    <t>1881-11-28</t>
  </si>
  <si>
    <t>1883-02-08</t>
  </si>
  <si>
    <t>1884-03-03</t>
  </si>
  <si>
    <t>1882-11-09</t>
  </si>
  <si>
    <t>1885-01-13</t>
  </si>
  <si>
    <t>1883-04-26</t>
  </si>
  <si>
    <t>1885-01-31</t>
  </si>
  <si>
    <t>1882-01-12</t>
  </si>
  <si>
    <t>1889-10-14</t>
  </si>
  <si>
    <t>1882-03-18</t>
  </si>
  <si>
    <t>1885-11-21</t>
  </si>
  <si>
    <t>1889-06-17</t>
  </si>
  <si>
    <t>1885-12-15</t>
  </si>
  <si>
    <t>1885-12-19</t>
  </si>
  <si>
    <t>1885-12-14</t>
  </si>
  <si>
    <t>1889-04-11</t>
  </si>
  <si>
    <t>1885-11-12</t>
  </si>
  <si>
    <t>1888-10-25</t>
  </si>
  <si>
    <t>1888-01-16</t>
  </si>
  <si>
    <t>1888-01-19</t>
  </si>
  <si>
    <t>1885-12-05</t>
  </si>
  <si>
    <t>1887-12-03</t>
  </si>
  <si>
    <t>1888-02-25</t>
  </si>
  <si>
    <t>1888-01-17</t>
  </si>
  <si>
    <t>1888-01-14</t>
  </si>
  <si>
    <t>1888-01-10</t>
  </si>
  <si>
    <t>1888-10-09</t>
  </si>
  <si>
    <t>1886-02-08</t>
  </si>
  <si>
    <t>1887-12-17</t>
  </si>
  <si>
    <t>1888-11-05</t>
  </si>
  <si>
    <t>1889-11-10</t>
  </si>
  <si>
    <t>1889-11-26</t>
  </si>
  <si>
    <t>1891-02-28</t>
  </si>
  <si>
    <t>1890-01-21</t>
  </si>
  <si>
    <t>1892-10-22</t>
  </si>
  <si>
    <t>1893-06-22</t>
  </si>
  <si>
    <t>1889-11-25</t>
  </si>
  <si>
    <t>1889-11-30</t>
  </si>
  <si>
    <t>1890-06-19</t>
  </si>
  <si>
    <t>1893-06-24</t>
  </si>
  <si>
    <t>1890-05-31</t>
  </si>
  <si>
    <t>1893-02-15</t>
  </si>
  <si>
    <t>1890-03-28</t>
  </si>
  <si>
    <t>1890-03-06</t>
  </si>
  <si>
    <t>1890-02-01</t>
  </si>
  <si>
    <t>1892-05-21</t>
  </si>
  <si>
    <t>1892-01-21</t>
  </si>
  <si>
    <t>1889-12-05</t>
  </si>
  <si>
    <t>1891-01-17</t>
  </si>
  <si>
    <t>1890-01-23</t>
  </si>
  <si>
    <t>1893-04-25</t>
  </si>
  <si>
    <t>1891-04-20</t>
  </si>
  <si>
    <t>1889-12-17</t>
  </si>
  <si>
    <t>1889-12-07</t>
  </si>
  <si>
    <t>1889-12-16</t>
  </si>
  <si>
    <t>1893-06-01</t>
  </si>
  <si>
    <t>1890-03-25</t>
  </si>
  <si>
    <t>1897-02-20</t>
  </si>
  <si>
    <t>1896-11-05</t>
  </si>
  <si>
    <t>1894-01-15</t>
  </si>
  <si>
    <t>1894-04-30</t>
  </si>
  <si>
    <t>1895-10-25</t>
  </si>
  <si>
    <t>1894-06-26</t>
  </si>
  <si>
    <t>1895-11-04</t>
  </si>
  <si>
    <t>1893-09-13</t>
  </si>
  <si>
    <t>1897-01-16</t>
  </si>
  <si>
    <t>1898-02-16</t>
  </si>
  <si>
    <t>1895-01-17</t>
  </si>
  <si>
    <t>1894-01-20</t>
  </si>
  <si>
    <t>1896-03-25</t>
  </si>
  <si>
    <t>1894-03-15</t>
  </si>
  <si>
    <t>1895-10-22</t>
  </si>
  <si>
    <t>1898-04-05</t>
  </si>
  <si>
    <t>1896-03-03</t>
  </si>
  <si>
    <t>1894-05-10</t>
  </si>
  <si>
    <t>1895-12-19</t>
  </si>
  <si>
    <t>1897-10-21</t>
  </si>
  <si>
    <t>1894-02-26</t>
  </si>
  <si>
    <t>1897-01-19</t>
  </si>
  <si>
    <t>1898-02-19</t>
  </si>
  <si>
    <t>1895-03-30</t>
  </si>
  <si>
    <t>1895-11-25</t>
  </si>
  <si>
    <t>1897-05-31</t>
  </si>
  <si>
    <t>1900-01-04</t>
  </si>
  <si>
    <t>1898-07-13</t>
  </si>
  <si>
    <t>1900-02-15</t>
  </si>
  <si>
    <t>1899-05-15</t>
  </si>
  <si>
    <t>1900-02-09</t>
  </si>
  <si>
    <t>1901-12-02</t>
  </si>
  <si>
    <t>1899-07-25</t>
  </si>
  <si>
    <t>1898-09-06</t>
  </si>
  <si>
    <t>1900-11-15</t>
  </si>
  <si>
    <t>1898-12-05</t>
  </si>
  <si>
    <t>1900-01-18</t>
  </si>
  <si>
    <t>1900-02-05</t>
  </si>
  <si>
    <t>1900-02-08</t>
  </si>
  <si>
    <t>1901-02-04</t>
  </si>
  <si>
    <t>1899-11-20</t>
  </si>
  <si>
    <t>1901-01-21</t>
  </si>
  <si>
    <t>1898-07-09</t>
  </si>
  <si>
    <t>1903-01-01</t>
  </si>
  <si>
    <t>1898-12-06</t>
  </si>
  <si>
    <t>1900-06-29</t>
  </si>
  <si>
    <t>1899-02-19</t>
  </si>
  <si>
    <t>1898-11-07</t>
  </si>
  <si>
    <t>1901-03-12</t>
  </si>
  <si>
    <t>1904-11-03</t>
  </si>
  <si>
    <t>1903-10-20</t>
  </si>
  <si>
    <t>1906-01-11</t>
  </si>
  <si>
    <t>1903-03-31</t>
  </si>
  <si>
    <t>1905-11-03</t>
  </si>
  <si>
    <t>1902-07-09</t>
  </si>
  <si>
    <t>1906-01-18</t>
  </si>
  <si>
    <t>1906-01-22</t>
  </si>
  <si>
    <t>1905-06-16</t>
  </si>
  <si>
    <t>1903-03-28</t>
  </si>
  <si>
    <t>1902-11-14</t>
  </si>
  <si>
    <t>1903-05-27</t>
  </si>
  <si>
    <t>1903-03-13</t>
  </si>
  <si>
    <t>1904-11-22</t>
  </si>
  <si>
    <t>1904-11-25</t>
  </si>
  <si>
    <t>1902-11-24</t>
  </si>
  <si>
    <t>1903-01-31</t>
  </si>
  <si>
    <t>1903-01-17</t>
  </si>
  <si>
    <t>1903-01-23</t>
  </si>
  <si>
    <t>1905-07-13</t>
  </si>
  <si>
    <t>1903-01-27</t>
  </si>
  <si>
    <t>1903-11-06</t>
  </si>
  <si>
    <t>1905-10-10</t>
  </si>
  <si>
    <t>1903-02-26</t>
  </si>
  <si>
    <t>1903-12-14</t>
  </si>
  <si>
    <t>1903-01-21</t>
  </si>
  <si>
    <t>1906-01-23</t>
  </si>
  <si>
    <t>1903-09-19</t>
  </si>
  <si>
    <t>1905-01-01</t>
  </si>
  <si>
    <t>1904-12-19</t>
  </si>
  <si>
    <t>1905-07-03</t>
  </si>
  <si>
    <t>1905-03-11</t>
  </si>
  <si>
    <t>1904-05-07</t>
  </si>
  <si>
    <t>1906-02-12</t>
  </si>
  <si>
    <t>1909-01-21</t>
  </si>
  <si>
    <t>1908-02-13</t>
  </si>
  <si>
    <t>1907-07-11</t>
  </si>
  <si>
    <t>1909-12-21</t>
  </si>
  <si>
    <t>1909-01-18</t>
  </si>
  <si>
    <t>1909-01-22</t>
  </si>
  <si>
    <t>1907-10-25</t>
  </si>
  <si>
    <t>1909-02-01</t>
  </si>
  <si>
    <t>1909-04-02</t>
  </si>
  <si>
    <t>1908-01-30</t>
  </si>
  <si>
    <t>1909-02-04</t>
  </si>
  <si>
    <t>1909-01-26</t>
  </si>
  <si>
    <t>1907-12-17</t>
  </si>
  <si>
    <t>1909-01-19</t>
  </si>
  <si>
    <t>1907-11-11</t>
  </si>
  <si>
    <t>1907-12-27</t>
  </si>
  <si>
    <t>1886-04-16</t>
  </si>
  <si>
    <t>1884-08-12</t>
  </si>
  <si>
    <t>1912-12-27</t>
  </si>
  <si>
    <t>1885-01-24</t>
  </si>
  <si>
    <t>1882-01-07</t>
  </si>
  <si>
    <t>1882-06-23</t>
  </si>
  <si>
    <t>1884-04-03</t>
  </si>
  <si>
    <t>1882-08-17</t>
  </si>
  <si>
    <t>1884-06-23</t>
  </si>
  <si>
    <t>1945-10-21</t>
  </si>
  <si>
    <t>1888-01-04</t>
  </si>
  <si>
    <t>1884-11-25</t>
  </si>
  <si>
    <t>1891-01-03</t>
  </si>
  <si>
    <t>1882-01-27</t>
  </si>
  <si>
    <t>1884-12-10</t>
  </si>
  <si>
    <t>1886-12-16</t>
  </si>
  <si>
    <t>1884-02-09</t>
  </si>
  <si>
    <t>1882-02-25</t>
  </si>
  <si>
    <t>1894-06-02</t>
  </si>
  <si>
    <t>1903-06-04</t>
  </si>
  <si>
    <t>1890-05-21</t>
  </si>
  <si>
    <t>1894-01-06</t>
  </si>
  <si>
    <t>1909-01-02</t>
  </si>
  <si>
    <t>1894-02-03</t>
  </si>
  <si>
    <t>1906-01-06</t>
  </si>
  <si>
    <t>1889-02-21</t>
  </si>
  <si>
    <t>1913-07-12</t>
  </si>
  <si>
    <t>1900-01-30</t>
  </si>
  <si>
    <t>1892-01-26</t>
  </si>
  <si>
    <t>1900-01-25</t>
  </si>
  <si>
    <t>1897-06-09</t>
  </si>
  <si>
    <t>1895-12-10</t>
  </si>
  <si>
    <t>1903-11-07</t>
  </si>
  <si>
    <t>1893-11-14</t>
  </si>
  <si>
    <t>1903-01-03</t>
  </si>
  <si>
    <t>1900-01-06</t>
  </si>
  <si>
    <t>1899-01-11</t>
  </si>
  <si>
    <t>1912-01-06</t>
  </si>
  <si>
    <t>1904-10-22</t>
  </si>
  <si>
    <t>1897-02-09</t>
  </si>
  <si>
    <t>1898-02-21</t>
  </si>
  <si>
    <t>1903-05-23</t>
  </si>
  <si>
    <t>1920-01-10</t>
  </si>
  <si>
    <t>1905-06-03</t>
  </si>
  <si>
    <t>1902-06-20</t>
  </si>
  <si>
    <t>1905-09-22</t>
  </si>
  <si>
    <t>1903-02-17</t>
  </si>
  <si>
    <t>1907-11-29</t>
  </si>
  <si>
    <t>1909-01-29</t>
  </si>
  <si>
    <t>1906-06-06</t>
  </si>
  <si>
    <t>1910-10-20</t>
  </si>
  <si>
    <t>1908-08-15</t>
  </si>
  <si>
    <t>1919-12-23</t>
  </si>
  <si>
    <t>1919-10-20</t>
  </si>
  <si>
    <t>1916-11-21</t>
  </si>
  <si>
    <t>1910-10-01</t>
  </si>
  <si>
    <t>1916-05-14</t>
  </si>
  <si>
    <t>1914-04-24</t>
  </si>
  <si>
    <t>1914-10-09</t>
  </si>
  <si>
    <t>1921-01-08</t>
  </si>
  <si>
    <t>1921-01-05</t>
  </si>
  <si>
    <t>1924-07-30</t>
  </si>
  <si>
    <t>1930-05-10</t>
  </si>
  <si>
    <t>1924-04-26</t>
  </si>
  <si>
    <t>1930-01-13</t>
  </si>
  <si>
    <t>1925-09-06</t>
  </si>
  <si>
    <t>1929-10-19</t>
  </si>
  <si>
    <t>1924-01-17</t>
  </si>
  <si>
    <t>1923-06-28</t>
  </si>
  <si>
    <t>1924-04-10</t>
  </si>
  <si>
    <t>1927-05-07</t>
  </si>
  <si>
    <t>1939-01-09</t>
  </si>
  <si>
    <t>1924-03-06</t>
  </si>
  <si>
    <t>1927-01-05</t>
  </si>
  <si>
    <t>1928-09-15</t>
  </si>
  <si>
    <t>1925-05-25</t>
  </si>
  <si>
    <t>1927-10-29</t>
  </si>
  <si>
    <t>1935-06-18</t>
  </si>
  <si>
    <t>1936-01-13</t>
  </si>
  <si>
    <t>1934-05-15</t>
  </si>
  <si>
    <t>1929-10-26</t>
  </si>
  <si>
    <t>1935-10-19</t>
  </si>
  <si>
    <t>1930-02-13</t>
  </si>
  <si>
    <t>1941-12-31</t>
  </si>
  <si>
    <t>1935-06-17</t>
  </si>
  <si>
    <t>1940-02-29</t>
  </si>
  <si>
    <t>1944-11-01</t>
  </si>
  <si>
    <t>1943-07-01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</si>
</sst>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57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148</v>
      </c>
      <c r="C2" t="s">
        <v>151</v>
      </c>
      <c r="D2" t="s">
        <v>280</v>
      </c>
      <c r="E2" t="s">
        <v>409</v>
      </c>
      <c r="F2">
        <f>HYPERLINK("https://www.wikidata.org/wiki/Q33369535", "Q33369535")</f>
        <v>0</v>
      </c>
      <c r="G2" t="s">
        <v>494</v>
      </c>
      <c r="H2" t="s">
        <v>5259</v>
      </c>
      <c r="I2" t="s">
        <v>6495</v>
      </c>
      <c r="J2" t="s">
        <v>11246</v>
      </c>
      <c r="K2" t="s">
        <v>15646</v>
      </c>
      <c r="L2">
        <f>HYPERLINK("https://www2.assemblee-nationale.fr/sycomore/fiche/(num_dept)/42", "42")</f>
        <v>0</v>
      </c>
      <c r="N2">
        <f>HYPERLINK("https://www.wikidata.org/wiki/Q15973188", "Q15973188")</f>
        <v>0</v>
      </c>
      <c r="O2" t="s">
        <v>19955</v>
      </c>
      <c r="P2" t="s">
        <v>20401</v>
      </c>
      <c r="Q2" t="s">
        <v>20518</v>
      </c>
      <c r="R2" t="s">
        <v>409</v>
      </c>
      <c r="S2">
        <v>1611</v>
      </c>
    </row>
    <row r="3" spans="1:19">
      <c r="A3" t="s">
        <v>19</v>
      </c>
      <c r="B3" t="s">
        <v>148</v>
      </c>
      <c r="C3" t="s">
        <v>151</v>
      </c>
      <c r="D3" t="s">
        <v>280</v>
      </c>
      <c r="E3" t="s">
        <v>409</v>
      </c>
      <c r="F3">
        <f>HYPERLINK("https://www.wikidata.org/wiki/Q33369535", "Q33369535")</f>
        <v>0</v>
      </c>
      <c r="G3" t="s">
        <v>495</v>
      </c>
      <c r="H3" t="s">
        <v>5260</v>
      </c>
      <c r="I3" t="s">
        <v>7642</v>
      </c>
      <c r="J3" t="s">
        <v>11247</v>
      </c>
      <c r="K3" t="s">
        <v>15647</v>
      </c>
      <c r="L3">
        <f>HYPERLINK("https://www2.assemblee-nationale.fr/sycomore/fiche/(num_dept)/61", "61")</f>
        <v>0</v>
      </c>
      <c r="M3">
        <f>HYPERLINK("https://www.senat.fr/senateur-3eme-republique/ajam_pierre1240r3.html", "ajam_pierre1240r3")</f>
        <v>0</v>
      </c>
      <c r="N3">
        <f>HYPERLINK("https://www.wikidata.org/wiki/Q3383653", "Q3383653")</f>
        <v>0</v>
      </c>
      <c r="O3" t="s">
        <v>19956</v>
      </c>
      <c r="P3" t="s">
        <v>20402</v>
      </c>
      <c r="Q3" t="s">
        <v>20518</v>
      </c>
      <c r="R3" t="s">
        <v>409</v>
      </c>
      <c r="S3">
        <v>1611</v>
      </c>
    </row>
    <row r="4" spans="1:19">
      <c r="A4" t="s">
        <v>19</v>
      </c>
      <c r="B4" t="s">
        <v>148</v>
      </c>
      <c r="C4" t="s">
        <v>151</v>
      </c>
      <c r="D4" t="s">
        <v>280</v>
      </c>
      <c r="E4" t="s">
        <v>409</v>
      </c>
      <c r="F4">
        <f>HYPERLINK("https://www.wikidata.org/wiki/Q33369535", "Q33369535")</f>
        <v>0</v>
      </c>
      <c r="G4" t="s">
        <v>496</v>
      </c>
      <c r="H4" t="s">
        <v>5261</v>
      </c>
      <c r="I4" t="s">
        <v>9367</v>
      </c>
      <c r="J4" t="s">
        <v>11248</v>
      </c>
      <c r="K4" t="s">
        <v>15648</v>
      </c>
      <c r="L4">
        <f>HYPERLINK("https://www2.assemblee-nationale.fr/sycomore/fiche/(num_dept)/39", "39")</f>
        <v>0</v>
      </c>
      <c r="N4">
        <f>HYPERLINK("https://www.wikidata.org/wiki/Q15973142", "Q15973142")</f>
        <v>0</v>
      </c>
      <c r="O4" t="s">
        <v>19957</v>
      </c>
      <c r="P4" t="s">
        <v>20403</v>
      </c>
      <c r="Q4" t="s">
        <v>19426</v>
      </c>
      <c r="R4" t="s">
        <v>15648</v>
      </c>
      <c r="S4">
        <v>1351</v>
      </c>
    </row>
    <row r="5" spans="1:19">
      <c r="A5" t="s">
        <v>19</v>
      </c>
      <c r="B5" t="s">
        <v>148</v>
      </c>
      <c r="C5" t="s">
        <v>151</v>
      </c>
      <c r="D5" t="s">
        <v>280</v>
      </c>
      <c r="E5" t="s">
        <v>409</v>
      </c>
      <c r="F5">
        <f>HYPERLINK("https://www.wikidata.org/wiki/Q33369535", "Q33369535")</f>
        <v>0</v>
      </c>
      <c r="G5" t="s">
        <v>497</v>
      </c>
      <c r="H5" t="s">
        <v>5262</v>
      </c>
      <c r="I5" t="s">
        <v>9368</v>
      </c>
      <c r="J5" t="s">
        <v>11249</v>
      </c>
      <c r="K5" t="s">
        <v>15649</v>
      </c>
      <c r="L5">
        <f>HYPERLINK("https://www2.assemblee-nationale.fr/sycomore/fiche/(num_dept)/67", "67")</f>
        <v>0</v>
      </c>
      <c r="M5">
        <f>HYPERLINK("https://www.senat.fr/senateur-3eme-republique/alasseur_gustave0506r3.html", "alasseur_gustave0506r3")</f>
        <v>0</v>
      </c>
      <c r="N5">
        <f>HYPERLINK("https://www.wikidata.org/wiki/Q3121099", "Q3121099")</f>
        <v>0</v>
      </c>
      <c r="O5" t="s">
        <v>19958</v>
      </c>
      <c r="P5" t="s">
        <v>20401</v>
      </c>
      <c r="Q5" t="s">
        <v>19426</v>
      </c>
      <c r="R5" t="s">
        <v>409</v>
      </c>
      <c r="S5">
        <v>1498</v>
      </c>
    </row>
    <row r="6" spans="1:19">
      <c r="A6" t="s">
        <v>19</v>
      </c>
      <c r="B6" t="s">
        <v>148</v>
      </c>
      <c r="C6" t="s">
        <v>151</v>
      </c>
      <c r="D6" t="s">
        <v>280</v>
      </c>
      <c r="E6" t="s">
        <v>409</v>
      </c>
      <c r="F6">
        <f>HYPERLINK("https://www.wikidata.org/wiki/Q33369535", "Q33369535")</f>
        <v>0</v>
      </c>
      <c r="G6" t="s">
        <v>498</v>
      </c>
      <c r="H6" t="s">
        <v>5263</v>
      </c>
      <c r="I6" t="s">
        <v>9369</v>
      </c>
      <c r="J6" t="s">
        <v>11250</v>
      </c>
      <c r="K6" t="s">
        <v>15650</v>
      </c>
      <c r="L6">
        <f>HYPERLINK("https://www2.assemblee-nationale.fr/sycomore/fiche/(num_dept)/72", "72")</f>
        <v>0</v>
      </c>
      <c r="N6">
        <f>HYPERLINK("https://www.wikidata.org/wiki/Q3099819", "Q3099819")</f>
        <v>0</v>
      </c>
      <c r="O6" t="s">
        <v>19959</v>
      </c>
      <c r="P6" t="s">
        <v>20404</v>
      </c>
      <c r="Q6" t="s">
        <v>19426</v>
      </c>
      <c r="R6" t="s">
        <v>409</v>
      </c>
      <c r="S6">
        <v>1498</v>
      </c>
    </row>
    <row r="7" spans="1:19">
      <c r="A7" t="s">
        <v>19</v>
      </c>
      <c r="B7" t="s">
        <v>148</v>
      </c>
      <c r="C7" t="s">
        <v>151</v>
      </c>
      <c r="D7" t="s">
        <v>280</v>
      </c>
      <c r="E7" t="s">
        <v>409</v>
      </c>
      <c r="F7">
        <f>HYPERLINK("https://www.wikidata.org/wiki/Q33369535", "Q33369535")</f>
        <v>0</v>
      </c>
      <c r="G7" t="s">
        <v>499</v>
      </c>
      <c r="H7" t="s">
        <v>5264</v>
      </c>
      <c r="I7" t="s">
        <v>9370</v>
      </c>
      <c r="J7" t="s">
        <v>11251</v>
      </c>
      <c r="K7" t="s">
        <v>15651</v>
      </c>
      <c r="L7">
        <f>HYPERLINK("https://www2.assemblee-nationale.fr/sycomore/fiche/(num_dept)/80", "80")</f>
        <v>0</v>
      </c>
      <c r="N7">
        <f>HYPERLINK("https://www.wikidata.org/wiki/Q12948740", "Q12948740")</f>
        <v>0</v>
      </c>
      <c r="O7" t="s">
        <v>19960</v>
      </c>
      <c r="P7" t="s">
        <v>20404</v>
      </c>
      <c r="Q7" t="s">
        <v>19426</v>
      </c>
      <c r="R7" t="s">
        <v>409</v>
      </c>
      <c r="S7">
        <v>1498</v>
      </c>
    </row>
    <row r="8" spans="1:19">
      <c r="A8" t="s">
        <v>19</v>
      </c>
      <c r="B8" t="s">
        <v>148</v>
      </c>
      <c r="C8" t="s">
        <v>151</v>
      </c>
      <c r="D8" t="s">
        <v>280</v>
      </c>
      <c r="E8" t="s">
        <v>409</v>
      </c>
      <c r="F8">
        <f>HYPERLINK("https://www.wikidata.org/wiki/Q33369535", "Q33369535")</f>
        <v>0</v>
      </c>
      <c r="G8" t="s">
        <v>500</v>
      </c>
      <c r="H8" t="s">
        <v>5265</v>
      </c>
      <c r="I8" t="s">
        <v>9371</v>
      </c>
      <c r="J8" t="s">
        <v>11252</v>
      </c>
      <c r="K8" t="s">
        <v>15652</v>
      </c>
      <c r="L8">
        <f>HYPERLINK("https://www2.assemblee-nationale.fr/sycomore/fiche/(num_dept)/84", "84")</f>
        <v>0</v>
      </c>
      <c r="M8">
        <f>HYPERLINK("https://www.senat.fr/senateur-3eme-republique/brard_mathurin0917r3.html", "brard_mathurin0917r3")</f>
        <v>0</v>
      </c>
      <c r="N8">
        <f>HYPERLINK("https://www.wikidata.org/wiki/Q2834988", "Q2834988")</f>
        <v>0</v>
      </c>
      <c r="O8" t="s">
        <v>19961</v>
      </c>
      <c r="P8" t="s">
        <v>20405</v>
      </c>
      <c r="Q8" t="s">
        <v>19426</v>
      </c>
      <c r="R8" t="s">
        <v>409</v>
      </c>
      <c r="S8">
        <v>1498</v>
      </c>
    </row>
    <row r="9" spans="1:19">
      <c r="A9" t="s">
        <v>19</v>
      </c>
      <c r="B9" t="s">
        <v>148</v>
      </c>
      <c r="C9" t="s">
        <v>151</v>
      </c>
      <c r="D9" t="s">
        <v>280</v>
      </c>
      <c r="E9" t="s">
        <v>409</v>
      </c>
      <c r="F9">
        <f>HYPERLINK("https://www.wikidata.org/wiki/Q33369535", "Q33369535")</f>
        <v>0</v>
      </c>
      <c r="G9" t="s">
        <v>501</v>
      </c>
      <c r="H9" t="s">
        <v>5266</v>
      </c>
      <c r="I9" t="s">
        <v>9372</v>
      </c>
      <c r="J9" t="s">
        <v>11253</v>
      </c>
      <c r="K9" t="s">
        <v>15653</v>
      </c>
      <c r="L9">
        <f>HYPERLINK("https://www2.assemblee-nationale.fr/sycomore/fiche/(num_dept)/137", "137")</f>
        <v>0</v>
      </c>
      <c r="M9">
        <f>HYPERLINK("https://www.senat.fr/senateur-3eme-republique/andrieu_edouard1688r3.html", "andrieu_edouard1688r3")</f>
        <v>0</v>
      </c>
      <c r="N9">
        <f>HYPERLINK("https://www.wikidata.org/wiki/Q3579721", "Q3579721")</f>
        <v>0</v>
      </c>
      <c r="O9" t="s">
        <v>19962</v>
      </c>
      <c r="P9" t="s">
        <v>20405</v>
      </c>
      <c r="Q9" t="s">
        <v>19426</v>
      </c>
      <c r="R9" t="s">
        <v>409</v>
      </c>
      <c r="S9">
        <v>1498</v>
      </c>
    </row>
    <row r="10" spans="1:19">
      <c r="A10" t="s">
        <v>19</v>
      </c>
      <c r="B10" t="s">
        <v>148</v>
      </c>
      <c r="C10" t="s">
        <v>151</v>
      </c>
      <c r="D10" t="s">
        <v>280</v>
      </c>
      <c r="E10" t="s">
        <v>409</v>
      </c>
      <c r="F10">
        <f>HYPERLINK("https://www.wikidata.org/wiki/Q33369535", "Q33369535")</f>
        <v>0</v>
      </c>
      <c r="G10" t="s">
        <v>502</v>
      </c>
      <c r="H10" t="s">
        <v>5267</v>
      </c>
      <c r="I10" t="s">
        <v>9373</v>
      </c>
      <c r="J10" t="s">
        <v>11254</v>
      </c>
      <c r="K10" t="s">
        <v>15654</v>
      </c>
      <c r="L10">
        <f>HYPERLINK("https://www2.assemblee-nationale.fr/sycomore/fiche/(num_dept)/180", "180")</f>
        <v>0</v>
      </c>
      <c r="N10">
        <f>HYPERLINK("https://www.wikidata.org/wiki/Q2871524", "Q2871524")</f>
        <v>0</v>
      </c>
      <c r="O10" t="s">
        <v>19963</v>
      </c>
      <c r="P10" t="s">
        <v>20403</v>
      </c>
      <c r="Q10" t="s">
        <v>19426</v>
      </c>
      <c r="R10" t="s">
        <v>409</v>
      </c>
      <c r="S10">
        <v>1498</v>
      </c>
    </row>
    <row r="11" spans="1:19">
      <c r="A11" t="s">
        <v>19</v>
      </c>
      <c r="B11" t="s">
        <v>148</v>
      </c>
      <c r="C11" t="s">
        <v>151</v>
      </c>
      <c r="D11" t="s">
        <v>280</v>
      </c>
      <c r="E11" t="s">
        <v>409</v>
      </c>
      <c r="F11">
        <f>HYPERLINK("https://www.wikidata.org/wiki/Q33369535", "Q33369535")</f>
        <v>0</v>
      </c>
      <c r="G11" t="s">
        <v>503</v>
      </c>
      <c r="H11" t="s">
        <v>5268</v>
      </c>
      <c r="I11" t="s">
        <v>6495</v>
      </c>
      <c r="J11" t="s">
        <v>11255</v>
      </c>
      <c r="K11" t="s">
        <v>15655</v>
      </c>
      <c r="L11">
        <f>HYPERLINK("https://www2.assemblee-nationale.fr/sycomore/fiche/(num_dept)/195", "195")</f>
        <v>0</v>
      </c>
      <c r="N11">
        <f>HYPERLINK("https://www.wikidata.org/wiki/Q3261103", "Q3261103")</f>
        <v>0</v>
      </c>
      <c r="O11" t="s">
        <v>19964</v>
      </c>
      <c r="P11" t="s">
        <v>20401</v>
      </c>
      <c r="Q11" t="s">
        <v>19426</v>
      </c>
      <c r="R11" t="s">
        <v>409</v>
      </c>
      <c r="S11">
        <v>1498</v>
      </c>
    </row>
    <row r="12" spans="1:19">
      <c r="A12" t="s">
        <v>19</v>
      </c>
      <c r="B12" t="s">
        <v>148</v>
      </c>
      <c r="C12" t="s">
        <v>151</v>
      </c>
      <c r="D12" t="s">
        <v>280</v>
      </c>
      <c r="E12" t="s">
        <v>409</v>
      </c>
      <c r="F12">
        <f>HYPERLINK("https://www.wikidata.org/wiki/Q33369535", "Q33369535")</f>
        <v>0</v>
      </c>
      <c r="G12" t="s">
        <v>504</v>
      </c>
      <c r="H12" t="s">
        <v>5269</v>
      </c>
      <c r="I12" t="s">
        <v>9374</v>
      </c>
      <c r="J12" t="s">
        <v>11256</v>
      </c>
      <c r="K12" t="s">
        <v>15656</v>
      </c>
      <c r="L12">
        <f>HYPERLINK("https://www2.assemblee-nationale.fr/sycomore/fiche/(num_dept)/261", "261")</f>
        <v>0</v>
      </c>
      <c r="N12">
        <f>HYPERLINK("https://www.wikidata.org/wiki/Q653621", "Q653621")</f>
        <v>0</v>
      </c>
      <c r="O12" t="s">
        <v>19965</v>
      </c>
      <c r="P12" t="s">
        <v>20406</v>
      </c>
      <c r="Q12" t="s">
        <v>19426</v>
      </c>
      <c r="R12" t="s">
        <v>409</v>
      </c>
      <c r="S12">
        <v>1498</v>
      </c>
    </row>
    <row r="13" spans="1:19">
      <c r="A13" t="s">
        <v>19</v>
      </c>
      <c r="B13" t="s">
        <v>148</v>
      </c>
      <c r="C13" t="s">
        <v>151</v>
      </c>
      <c r="D13" t="s">
        <v>280</v>
      </c>
      <c r="E13" t="s">
        <v>409</v>
      </c>
      <c r="F13">
        <f>HYPERLINK("https://www.wikidata.org/wiki/Q33369535", "Q33369535")</f>
        <v>0</v>
      </c>
      <c r="G13" t="s">
        <v>505</v>
      </c>
      <c r="H13" t="s">
        <v>5270</v>
      </c>
      <c r="I13" t="s">
        <v>9375</v>
      </c>
      <c r="J13" t="s">
        <v>11257</v>
      </c>
      <c r="K13" t="s">
        <v>15657</v>
      </c>
      <c r="L13">
        <f>HYPERLINK("https://www2.assemblee-nationale.fr/sycomore/fiche/(num_dept)/305", "305")</f>
        <v>0</v>
      </c>
      <c r="N13">
        <f>HYPERLINK("https://www.wikidata.org/wiki/Q3579728", "Q3579728")</f>
        <v>0</v>
      </c>
      <c r="O13" t="s">
        <v>19965</v>
      </c>
      <c r="P13" t="s">
        <v>20403</v>
      </c>
      <c r="Q13" t="s">
        <v>19426</v>
      </c>
      <c r="R13" t="s">
        <v>15657</v>
      </c>
      <c r="S13">
        <v>1158</v>
      </c>
    </row>
    <row r="14" spans="1:19">
      <c r="A14" t="s">
        <v>19</v>
      </c>
      <c r="B14" t="s">
        <v>148</v>
      </c>
      <c r="C14" t="s">
        <v>151</v>
      </c>
      <c r="D14" t="s">
        <v>280</v>
      </c>
      <c r="E14" t="s">
        <v>409</v>
      </c>
      <c r="F14">
        <f>HYPERLINK("https://www.wikidata.org/wiki/Q33369535", "Q33369535")</f>
        <v>0</v>
      </c>
      <c r="G14" t="s">
        <v>506</v>
      </c>
      <c r="H14" t="s">
        <v>5271</v>
      </c>
      <c r="I14" t="s">
        <v>9376</v>
      </c>
      <c r="J14" t="s">
        <v>11258</v>
      </c>
      <c r="K14" t="s">
        <v>15658</v>
      </c>
      <c r="L14">
        <f>HYPERLINK("https://www2.assemblee-nationale.fr/sycomore/fiche/(num_dept)/326", "326")</f>
        <v>0</v>
      </c>
      <c r="N14">
        <f>HYPERLINK("https://www.wikidata.org/wiki/Q15973431", "Q15973431")</f>
        <v>0</v>
      </c>
      <c r="O14" t="s">
        <v>19966</v>
      </c>
      <c r="P14" t="s">
        <v>20405</v>
      </c>
      <c r="Q14" t="s">
        <v>19426</v>
      </c>
      <c r="R14" t="s">
        <v>409</v>
      </c>
      <c r="S14">
        <v>1498</v>
      </c>
    </row>
    <row r="15" spans="1:19">
      <c r="A15" t="s">
        <v>19</v>
      </c>
      <c r="B15" t="s">
        <v>148</v>
      </c>
      <c r="C15" t="s">
        <v>151</v>
      </c>
      <c r="D15" t="s">
        <v>280</v>
      </c>
      <c r="E15" t="s">
        <v>409</v>
      </c>
      <c r="F15">
        <f>HYPERLINK("https://www.wikidata.org/wiki/Q33369535", "Q33369535")</f>
        <v>0</v>
      </c>
      <c r="G15" t="s">
        <v>507</v>
      </c>
      <c r="H15" t="s">
        <v>5272</v>
      </c>
      <c r="I15" t="s">
        <v>9377</v>
      </c>
      <c r="J15" t="s">
        <v>11259</v>
      </c>
      <c r="K15" t="s">
        <v>15659</v>
      </c>
      <c r="L15">
        <f>HYPERLINK("https://www2.assemblee-nationale.fr/sycomore/fiche/(num_dept)/348", "348")</f>
        <v>0</v>
      </c>
      <c r="N15">
        <f>HYPERLINK("https://www.wikidata.org/wiki/Q15973419", "Q15973419")</f>
        <v>0</v>
      </c>
      <c r="O15" t="s">
        <v>19967</v>
      </c>
      <c r="P15" t="s">
        <v>20401</v>
      </c>
      <c r="Q15" t="s">
        <v>19426</v>
      </c>
      <c r="R15" t="s">
        <v>409</v>
      </c>
      <c r="S15">
        <v>1498</v>
      </c>
    </row>
    <row r="16" spans="1:19">
      <c r="A16" t="s">
        <v>19</v>
      </c>
      <c r="B16" t="s">
        <v>148</v>
      </c>
      <c r="C16" t="s">
        <v>151</v>
      </c>
      <c r="D16" t="s">
        <v>280</v>
      </c>
      <c r="E16" t="s">
        <v>409</v>
      </c>
      <c r="F16">
        <f>HYPERLINK("https://www.wikidata.org/wiki/Q33369535", "Q33369535")</f>
        <v>0</v>
      </c>
      <c r="G16" t="s">
        <v>508</v>
      </c>
      <c r="H16" t="s">
        <v>5273</v>
      </c>
      <c r="I16" t="s">
        <v>9378</v>
      </c>
      <c r="J16" t="s">
        <v>11260</v>
      </c>
      <c r="K16" t="s">
        <v>15660</v>
      </c>
      <c r="L16">
        <f>HYPERLINK("https://www2.assemblee-nationale.fr/sycomore/fiche/(num_dept)/362", "362")</f>
        <v>0</v>
      </c>
      <c r="N16">
        <f>HYPERLINK("https://www.wikidata.org/wiki/Q2834951", "Q2834951")</f>
        <v>0</v>
      </c>
      <c r="O16" t="s">
        <v>19957</v>
      </c>
      <c r="P16" t="s">
        <v>20403</v>
      </c>
      <c r="Q16" t="s">
        <v>19426</v>
      </c>
      <c r="R16" t="s">
        <v>409</v>
      </c>
      <c r="S16">
        <v>1498</v>
      </c>
    </row>
    <row r="17" spans="1:19">
      <c r="A17" t="s">
        <v>19</v>
      </c>
      <c r="B17" t="s">
        <v>148</v>
      </c>
      <c r="C17" t="s">
        <v>151</v>
      </c>
      <c r="D17" t="s">
        <v>280</v>
      </c>
      <c r="E17" t="s">
        <v>409</v>
      </c>
      <c r="F17">
        <f>HYPERLINK("https://www.wikidata.org/wiki/Q33369535", "Q33369535")</f>
        <v>0</v>
      </c>
      <c r="G17" t="s">
        <v>509</v>
      </c>
      <c r="H17" t="s">
        <v>5274</v>
      </c>
      <c r="I17" t="s">
        <v>9379</v>
      </c>
      <c r="J17" t="s">
        <v>11261</v>
      </c>
      <c r="K17" t="s">
        <v>15661</v>
      </c>
      <c r="L17">
        <f>HYPERLINK("https://www2.assemblee-nationale.fr/sycomore/fiche/(num_dept)/366", "366")</f>
        <v>0</v>
      </c>
      <c r="N17">
        <f>HYPERLINK("https://www.wikidata.org/wiki/Q15973491", "Q15973491")</f>
        <v>0</v>
      </c>
      <c r="O17" t="s">
        <v>19968</v>
      </c>
      <c r="P17" t="s">
        <v>20401</v>
      </c>
      <c r="Q17" t="s">
        <v>19426</v>
      </c>
      <c r="R17" t="s">
        <v>409</v>
      </c>
      <c r="S17">
        <v>1498</v>
      </c>
    </row>
    <row r="18" spans="1:19">
      <c r="A18" t="s">
        <v>19</v>
      </c>
      <c r="B18" t="s">
        <v>148</v>
      </c>
      <c r="C18" t="s">
        <v>151</v>
      </c>
      <c r="D18" t="s">
        <v>280</v>
      </c>
      <c r="E18" t="s">
        <v>409</v>
      </c>
      <c r="F18">
        <f>HYPERLINK("https://www.wikidata.org/wiki/Q33369535", "Q33369535")</f>
        <v>0</v>
      </c>
      <c r="G18" t="s">
        <v>510</v>
      </c>
      <c r="H18" t="s">
        <v>5275</v>
      </c>
      <c r="I18" t="s">
        <v>9380</v>
      </c>
      <c r="J18" t="s">
        <v>11262</v>
      </c>
      <c r="K18" t="s">
        <v>15662</v>
      </c>
      <c r="L18">
        <f>HYPERLINK("https://www2.assemblee-nationale.fr/sycomore/fiche/(num_dept)/434", "434")</f>
        <v>0</v>
      </c>
      <c r="N18">
        <f>HYPERLINK("https://www.wikidata.org/wiki/Q314957", "Q314957")</f>
        <v>0</v>
      </c>
      <c r="O18" t="s">
        <v>19969</v>
      </c>
      <c r="P18" t="s">
        <v>20407</v>
      </c>
      <c r="Q18" t="s">
        <v>19426</v>
      </c>
      <c r="R18" t="s">
        <v>409</v>
      </c>
      <c r="S18">
        <v>1498</v>
      </c>
    </row>
    <row r="19" spans="1:19">
      <c r="A19" t="s">
        <v>19</v>
      </c>
      <c r="B19" t="s">
        <v>148</v>
      </c>
      <c r="C19" t="s">
        <v>151</v>
      </c>
      <c r="D19" t="s">
        <v>280</v>
      </c>
      <c r="E19" t="s">
        <v>409</v>
      </c>
      <c r="F19">
        <f>HYPERLINK("https://www.wikidata.org/wiki/Q33369535", "Q33369535")</f>
        <v>0</v>
      </c>
      <c r="G19" t="s">
        <v>511</v>
      </c>
      <c r="H19" t="s">
        <v>5276</v>
      </c>
      <c r="I19" t="s">
        <v>9375</v>
      </c>
      <c r="J19" t="s">
        <v>11263</v>
      </c>
      <c r="K19" t="s">
        <v>15663</v>
      </c>
      <c r="L19">
        <f>HYPERLINK("https://www2.assemblee-nationale.fr/sycomore/fiche/(num_dept)/442", "442")</f>
        <v>0</v>
      </c>
      <c r="N19">
        <f>HYPERLINK("https://www.wikidata.org/wiki/Q3579735", "Q3579735")</f>
        <v>0</v>
      </c>
      <c r="O19" t="s">
        <v>7411</v>
      </c>
      <c r="P19" t="s">
        <v>20404</v>
      </c>
      <c r="Q19" t="s">
        <v>19426</v>
      </c>
      <c r="R19" t="s">
        <v>409</v>
      </c>
      <c r="S19">
        <v>1498</v>
      </c>
    </row>
    <row r="20" spans="1:19">
      <c r="A20" t="s">
        <v>19</v>
      </c>
      <c r="B20" t="s">
        <v>148</v>
      </c>
      <c r="C20" t="s">
        <v>151</v>
      </c>
      <c r="D20" t="s">
        <v>280</v>
      </c>
      <c r="E20" t="s">
        <v>409</v>
      </c>
      <c r="F20">
        <f>HYPERLINK("https://www.wikidata.org/wiki/Q33369535", "Q33369535")</f>
        <v>0</v>
      </c>
      <c r="G20" t="s">
        <v>512</v>
      </c>
      <c r="H20" t="s">
        <v>5277</v>
      </c>
      <c r="I20" t="s">
        <v>6495</v>
      </c>
      <c r="J20" t="s">
        <v>11264</v>
      </c>
      <c r="K20" t="s">
        <v>15664</v>
      </c>
      <c r="L20">
        <f>HYPERLINK("https://www2.assemblee-nationale.fr/sycomore/fiche/(num_dept)/451", "451")</f>
        <v>0</v>
      </c>
      <c r="M20">
        <f>HYPERLINK("https://www.senat.fr/senateur-3eme-republique/barthou_louis1071r3.html", "barthou_louis1071r3")</f>
        <v>0</v>
      </c>
      <c r="N20">
        <f>HYPERLINK("https://www.wikidata.org/wiki/Q271887", "Q271887")</f>
        <v>0</v>
      </c>
      <c r="O20" t="s">
        <v>19970</v>
      </c>
      <c r="P20" t="s">
        <v>20401</v>
      </c>
      <c r="Q20" t="s">
        <v>19426</v>
      </c>
      <c r="R20" t="s">
        <v>409</v>
      </c>
      <c r="S20">
        <v>1498</v>
      </c>
    </row>
    <row r="21" spans="1:19">
      <c r="A21" t="s">
        <v>19</v>
      </c>
      <c r="B21" t="s">
        <v>148</v>
      </c>
      <c r="C21" t="s">
        <v>151</v>
      </c>
      <c r="D21" t="s">
        <v>280</v>
      </c>
      <c r="E21" t="s">
        <v>409</v>
      </c>
      <c r="F21">
        <f>HYPERLINK("https://www.wikidata.org/wiki/Q33369535", "Q33369535")</f>
        <v>0</v>
      </c>
      <c r="G21" t="s">
        <v>513</v>
      </c>
      <c r="H21" t="s">
        <v>5278</v>
      </c>
      <c r="I21" t="s">
        <v>9381</v>
      </c>
      <c r="J21" t="s">
        <v>11265</v>
      </c>
      <c r="K21" t="s">
        <v>15665</v>
      </c>
      <c r="L21">
        <f>HYPERLINK("https://www2.assemblee-nationale.fr/sycomore/fiche/(num_dept)/462", "462")</f>
        <v>0</v>
      </c>
      <c r="N21">
        <f>HYPERLINK("https://www.wikidata.org/wiki/Q3588329", "Q3588329")</f>
        <v>0</v>
      </c>
      <c r="O21" t="s">
        <v>19968</v>
      </c>
      <c r="P21" t="s">
        <v>20404</v>
      </c>
      <c r="Q21" t="s">
        <v>19426</v>
      </c>
      <c r="R21" t="s">
        <v>409</v>
      </c>
      <c r="S21">
        <v>1498</v>
      </c>
    </row>
    <row r="22" spans="1:19">
      <c r="A22" t="s">
        <v>19</v>
      </c>
      <c r="B22" t="s">
        <v>148</v>
      </c>
      <c r="C22" t="s">
        <v>151</v>
      </c>
      <c r="D22" t="s">
        <v>280</v>
      </c>
      <c r="E22" t="s">
        <v>409</v>
      </c>
      <c r="F22">
        <f>HYPERLINK("https://www.wikidata.org/wiki/Q33369535", "Q33369535")</f>
        <v>0</v>
      </c>
      <c r="G22" t="s">
        <v>514</v>
      </c>
      <c r="H22" t="s">
        <v>5279</v>
      </c>
      <c r="I22" t="s">
        <v>9382</v>
      </c>
      <c r="J22" t="s">
        <v>11266</v>
      </c>
      <c r="K22" t="s">
        <v>15666</v>
      </c>
      <c r="L22">
        <f>HYPERLINK("https://www2.assemblee-nationale.fr/sycomore/fiche/(num_dept)/488", "488")</f>
        <v>0</v>
      </c>
      <c r="M22">
        <f>HYPERLINK("https://www.senat.fr/senateur-3eme-republique/baudet_charles0578r3.html", "baudet_charles0578r3")</f>
        <v>0</v>
      </c>
      <c r="N22">
        <f>HYPERLINK("https://www.wikidata.org/wiki/Q2958489", "Q2958489")</f>
        <v>0</v>
      </c>
      <c r="O22" t="s">
        <v>19964</v>
      </c>
      <c r="P22" t="s">
        <v>20401</v>
      </c>
      <c r="Q22" t="s">
        <v>19426</v>
      </c>
      <c r="R22" t="s">
        <v>409</v>
      </c>
      <c r="S22">
        <v>1498</v>
      </c>
    </row>
    <row r="23" spans="1:19">
      <c r="A23" t="s">
        <v>19</v>
      </c>
      <c r="B23" t="s">
        <v>148</v>
      </c>
      <c r="C23" t="s">
        <v>151</v>
      </c>
      <c r="D23" t="s">
        <v>280</v>
      </c>
      <c r="E23" t="s">
        <v>409</v>
      </c>
      <c r="F23">
        <f>HYPERLINK("https://www.wikidata.org/wiki/Q33369535", "Q33369535")</f>
        <v>0</v>
      </c>
      <c r="G23" t="s">
        <v>515</v>
      </c>
      <c r="H23" t="s">
        <v>5279</v>
      </c>
      <c r="I23" t="s">
        <v>9383</v>
      </c>
      <c r="J23" t="s">
        <v>11267</v>
      </c>
      <c r="K23" t="s">
        <v>15667</v>
      </c>
      <c r="L23">
        <f>HYPERLINK("https://www2.assemblee-nationale.fr/sycomore/fiche/(num_dept)/489", "489")</f>
        <v>0</v>
      </c>
      <c r="M23">
        <f>HYPERLINK("https://www.senat.fr/senateur-3eme-republique/baudet_louis0776r3.html", "baudet_louis0776r3")</f>
        <v>0</v>
      </c>
      <c r="N23">
        <f>HYPERLINK("https://www.wikidata.org/wiki/Q3261189", "Q3261189")</f>
        <v>0</v>
      </c>
      <c r="O23" t="s">
        <v>19971</v>
      </c>
      <c r="P23" t="s">
        <v>20402</v>
      </c>
      <c r="Q23" t="s">
        <v>19426</v>
      </c>
      <c r="R23" t="s">
        <v>21368</v>
      </c>
      <c r="S23">
        <v>646</v>
      </c>
    </row>
    <row r="24" spans="1:19">
      <c r="A24" t="s">
        <v>19</v>
      </c>
      <c r="B24" t="s">
        <v>148</v>
      </c>
      <c r="C24" t="s">
        <v>151</v>
      </c>
      <c r="D24" t="s">
        <v>280</v>
      </c>
      <c r="E24" t="s">
        <v>409</v>
      </c>
      <c r="F24">
        <f>HYPERLINK("https://www.wikidata.org/wiki/Q33369535", "Q33369535")</f>
        <v>0</v>
      </c>
      <c r="G24" t="s">
        <v>516</v>
      </c>
      <c r="H24" t="s">
        <v>5280</v>
      </c>
      <c r="I24" t="s">
        <v>9384</v>
      </c>
      <c r="J24" t="s">
        <v>11268</v>
      </c>
      <c r="K24" t="s">
        <v>15668</v>
      </c>
      <c r="L24">
        <f>HYPERLINK("https://www2.assemblee-nationale.fr/sycomore/fiche/(num_dept)/501", "501")</f>
        <v>0</v>
      </c>
      <c r="N24">
        <f>HYPERLINK("https://www.wikidata.org/wiki/Q2861911", "Q2861911")</f>
        <v>0</v>
      </c>
      <c r="O24" t="s">
        <v>19972</v>
      </c>
      <c r="P24" t="s">
        <v>20408</v>
      </c>
      <c r="Q24" t="s">
        <v>19426</v>
      </c>
      <c r="R24" t="s">
        <v>409</v>
      </c>
      <c r="S24">
        <v>1498</v>
      </c>
    </row>
    <row r="25" spans="1:19">
      <c r="A25" t="s">
        <v>19</v>
      </c>
      <c r="B25" t="s">
        <v>148</v>
      </c>
      <c r="C25" t="s">
        <v>151</v>
      </c>
      <c r="D25" t="s">
        <v>280</v>
      </c>
      <c r="E25" t="s">
        <v>409</v>
      </c>
      <c r="F25">
        <f>HYPERLINK("https://www.wikidata.org/wiki/Q33369535", "Q33369535")</f>
        <v>0</v>
      </c>
      <c r="G25" t="s">
        <v>517</v>
      </c>
      <c r="H25" t="s">
        <v>5281</v>
      </c>
      <c r="I25" t="s">
        <v>9385</v>
      </c>
      <c r="J25" t="s">
        <v>11269</v>
      </c>
      <c r="K25" t="s">
        <v>15669</v>
      </c>
      <c r="L25">
        <f>HYPERLINK("https://www2.assemblee-nationale.fr/sycomore/fiche/(num_dept)/538", "538")</f>
        <v>0</v>
      </c>
      <c r="N25">
        <f>HYPERLINK("https://www.wikidata.org/wiki/Q2958509", "Q2958509")</f>
        <v>0</v>
      </c>
      <c r="O25" t="s">
        <v>19973</v>
      </c>
      <c r="P25" t="s">
        <v>20405</v>
      </c>
      <c r="Q25" t="s">
        <v>19426</v>
      </c>
      <c r="R25" t="s">
        <v>409</v>
      </c>
      <c r="S25">
        <v>1498</v>
      </c>
    </row>
    <row r="26" spans="1:19">
      <c r="A26" t="s">
        <v>19</v>
      </c>
      <c r="B26" t="s">
        <v>148</v>
      </c>
      <c r="C26" t="s">
        <v>151</v>
      </c>
      <c r="D26" t="s">
        <v>280</v>
      </c>
      <c r="E26" t="s">
        <v>409</v>
      </c>
      <c r="F26">
        <f>HYPERLINK("https://www.wikidata.org/wiki/Q33369535", "Q33369535")</f>
        <v>0</v>
      </c>
      <c r="G26" t="s">
        <v>518</v>
      </c>
      <c r="H26" t="s">
        <v>5282</v>
      </c>
      <c r="I26" t="s">
        <v>9386</v>
      </c>
      <c r="J26" t="s">
        <v>11270</v>
      </c>
      <c r="K26" t="s">
        <v>15670</v>
      </c>
      <c r="L26">
        <f>HYPERLINK("https://www2.assemblee-nationale.fr/sycomore/fiche/(num_dept)/540", "540")</f>
        <v>0</v>
      </c>
      <c r="N26">
        <f>HYPERLINK("https://www.wikidata.org/wiki/Q3370596", "Q3370596")</f>
        <v>0</v>
      </c>
      <c r="O26" t="s">
        <v>19969</v>
      </c>
      <c r="P26" t="s">
        <v>20403</v>
      </c>
      <c r="Q26" t="s">
        <v>19426</v>
      </c>
      <c r="R26" t="s">
        <v>409</v>
      </c>
      <c r="S26">
        <v>1498</v>
      </c>
    </row>
    <row r="27" spans="1:19">
      <c r="A27" t="s">
        <v>19</v>
      </c>
      <c r="B27" t="s">
        <v>148</v>
      </c>
      <c r="C27" t="s">
        <v>151</v>
      </c>
      <c r="D27" t="s">
        <v>280</v>
      </c>
      <c r="E27" t="s">
        <v>409</v>
      </c>
      <c r="F27">
        <f>HYPERLINK("https://www.wikidata.org/wiki/Q33369535", "Q33369535")</f>
        <v>0</v>
      </c>
      <c r="G27" t="s">
        <v>519</v>
      </c>
      <c r="H27" t="s">
        <v>5283</v>
      </c>
      <c r="I27" t="s">
        <v>9387</v>
      </c>
      <c r="J27" t="s">
        <v>11271</v>
      </c>
      <c r="K27" t="s">
        <v>15671</v>
      </c>
      <c r="L27">
        <f>HYPERLINK("https://www2.assemblee-nationale.fr/sycomore/fiche/(num_dept)/548", "548")</f>
        <v>0</v>
      </c>
      <c r="N27">
        <f>HYPERLINK("https://www.wikidata.org/wiki/Q16025560", "Q16025560")</f>
        <v>0</v>
      </c>
      <c r="O27" t="s">
        <v>19974</v>
      </c>
      <c r="P27" t="s">
        <v>20405</v>
      </c>
      <c r="Q27" t="s">
        <v>19426</v>
      </c>
      <c r="R27" t="s">
        <v>409</v>
      </c>
      <c r="S27">
        <v>1498</v>
      </c>
    </row>
    <row r="28" spans="1:19">
      <c r="A28" t="s">
        <v>19</v>
      </c>
      <c r="B28" t="s">
        <v>148</v>
      </c>
      <c r="C28" t="s">
        <v>151</v>
      </c>
      <c r="D28" t="s">
        <v>280</v>
      </c>
      <c r="E28" t="s">
        <v>409</v>
      </c>
      <c r="F28">
        <f>HYPERLINK("https://www.wikidata.org/wiki/Q33369535", "Q33369535")</f>
        <v>0</v>
      </c>
      <c r="G28" t="s">
        <v>520</v>
      </c>
      <c r="H28" t="s">
        <v>5284</v>
      </c>
      <c r="I28" t="s">
        <v>9388</v>
      </c>
      <c r="J28" t="s">
        <v>11272</v>
      </c>
      <c r="K28" t="s">
        <v>15672</v>
      </c>
      <c r="L28">
        <f>HYPERLINK("https://www2.assemblee-nationale.fr/sycomore/fiche/(num_dept)/608", "608")</f>
        <v>0</v>
      </c>
      <c r="M28">
        <f>HYPERLINK("https://www.senat.fr/senateur-3eme-republique/benazet_paul_louis0281r3.html", "benazet_paul_louis0281r3")</f>
        <v>0</v>
      </c>
      <c r="N28">
        <f>HYPERLINK("https://www.wikidata.org/wiki/Q3370779", "Q3370779")</f>
        <v>0</v>
      </c>
      <c r="O28" t="s">
        <v>19975</v>
      </c>
      <c r="P28" t="s">
        <v>20401</v>
      </c>
      <c r="Q28" t="s">
        <v>19426</v>
      </c>
      <c r="R28" t="s">
        <v>409</v>
      </c>
      <c r="S28">
        <v>1498</v>
      </c>
    </row>
    <row r="29" spans="1:19">
      <c r="A29" t="s">
        <v>19</v>
      </c>
      <c r="B29" t="s">
        <v>148</v>
      </c>
      <c r="C29" t="s">
        <v>151</v>
      </c>
      <c r="D29" t="s">
        <v>280</v>
      </c>
      <c r="E29" t="s">
        <v>409</v>
      </c>
      <c r="F29">
        <f>HYPERLINK("https://www.wikidata.org/wiki/Q33369535", "Q33369535")</f>
        <v>0</v>
      </c>
      <c r="G29" t="s">
        <v>521</v>
      </c>
      <c r="H29" t="s">
        <v>5285</v>
      </c>
      <c r="I29" t="s">
        <v>9389</v>
      </c>
      <c r="J29" t="s">
        <v>11273</v>
      </c>
      <c r="K29" t="s">
        <v>15673</v>
      </c>
      <c r="L29">
        <f>HYPERLINK("https://www2.assemblee-nationale.fr/sycomore/fiche/(num_dept)/613", "613")</f>
        <v>0</v>
      </c>
      <c r="M29">
        <f>HYPERLINK("https://www.senat.fr/senateur-3eme-republique/bender_emile1125r3.html", "bender_emile1125r3")</f>
        <v>0</v>
      </c>
      <c r="N29">
        <f>HYPERLINK("https://www.wikidata.org/wiki/Q3588335", "Q3588335")</f>
        <v>0</v>
      </c>
      <c r="O29" t="s">
        <v>19965</v>
      </c>
      <c r="P29" t="s">
        <v>20405</v>
      </c>
      <c r="Q29" t="s">
        <v>19426</v>
      </c>
      <c r="R29" t="s">
        <v>409</v>
      </c>
      <c r="S29">
        <v>1498</v>
      </c>
    </row>
    <row r="30" spans="1:19">
      <c r="A30" t="s">
        <v>19</v>
      </c>
      <c r="B30" t="s">
        <v>148</v>
      </c>
      <c r="C30" t="s">
        <v>151</v>
      </c>
      <c r="D30" t="s">
        <v>280</v>
      </c>
      <c r="E30" t="s">
        <v>409</v>
      </c>
      <c r="F30">
        <f>HYPERLINK("https://www.wikidata.org/wiki/Q33369535", "Q33369535")</f>
        <v>0</v>
      </c>
      <c r="G30" t="s">
        <v>522</v>
      </c>
      <c r="H30" t="s">
        <v>5286</v>
      </c>
      <c r="I30" t="s">
        <v>9390</v>
      </c>
      <c r="J30" t="s">
        <v>11274</v>
      </c>
      <c r="K30" t="s">
        <v>15674</v>
      </c>
      <c r="L30">
        <f>HYPERLINK("https://www2.assemblee-nationale.fr/sycomore/fiche/(num_dept)/650", "650")</f>
        <v>0</v>
      </c>
      <c r="M30">
        <f>HYPERLINK("https://www.senat.fr/senateur-3eme-republique/berard_leon1053r3.html", "berard_leon1053r3")</f>
        <v>0</v>
      </c>
      <c r="N30">
        <f>HYPERLINK("https://www.wikidata.org/wiki/Q716823", "Q716823")</f>
        <v>0</v>
      </c>
      <c r="O30" t="s">
        <v>19970</v>
      </c>
      <c r="P30" t="s">
        <v>20402</v>
      </c>
      <c r="Q30" t="s">
        <v>19426</v>
      </c>
      <c r="R30" t="s">
        <v>409</v>
      </c>
      <c r="S30">
        <v>1498</v>
      </c>
    </row>
    <row r="31" spans="1:19">
      <c r="A31" t="s">
        <v>19</v>
      </c>
      <c r="B31" t="s">
        <v>148</v>
      </c>
      <c r="C31" t="s">
        <v>151</v>
      </c>
      <c r="D31" t="s">
        <v>280</v>
      </c>
      <c r="E31" t="s">
        <v>409</v>
      </c>
      <c r="F31">
        <f>HYPERLINK("https://www.wikidata.org/wiki/Q33369535", "Q33369535")</f>
        <v>0</v>
      </c>
      <c r="G31" t="s">
        <v>523</v>
      </c>
      <c r="H31" t="s">
        <v>5287</v>
      </c>
      <c r="I31" t="s">
        <v>9391</v>
      </c>
      <c r="J31" t="s">
        <v>11275</v>
      </c>
      <c r="K31" t="s">
        <v>15675</v>
      </c>
      <c r="L31">
        <f>HYPERLINK("https://www2.assemblee-nationale.fr/sycomore/fiche/(num_dept)/676", "676")</f>
        <v>0</v>
      </c>
      <c r="N31">
        <f>HYPERLINK("https://www.wikidata.org/wiki/Q15973656", "Q15973656")</f>
        <v>0</v>
      </c>
      <c r="O31" t="s">
        <v>19965</v>
      </c>
      <c r="P31" t="s">
        <v>20405</v>
      </c>
      <c r="Q31" t="s">
        <v>19426</v>
      </c>
      <c r="R31" t="s">
        <v>409</v>
      </c>
      <c r="S31">
        <v>1498</v>
      </c>
    </row>
    <row r="32" spans="1:19">
      <c r="A32" t="s">
        <v>19</v>
      </c>
      <c r="B32" t="s">
        <v>148</v>
      </c>
      <c r="C32" t="s">
        <v>151</v>
      </c>
      <c r="D32" t="s">
        <v>280</v>
      </c>
      <c r="E32" t="s">
        <v>409</v>
      </c>
      <c r="F32">
        <f>HYPERLINK("https://www.wikidata.org/wiki/Q33369535", "Q33369535")</f>
        <v>0</v>
      </c>
      <c r="G32" t="s">
        <v>524</v>
      </c>
      <c r="H32" t="s">
        <v>5288</v>
      </c>
      <c r="I32" t="s">
        <v>9392</v>
      </c>
      <c r="J32" t="s">
        <v>11276</v>
      </c>
      <c r="K32" t="s">
        <v>15676</v>
      </c>
      <c r="L32">
        <f>HYPERLINK("https://www2.assemblee-nationale.fr/sycomore/fiche/(num_dept)/715", "715")</f>
        <v>0</v>
      </c>
      <c r="N32">
        <f>HYPERLINK("https://www.wikidata.org/wiki/Q3102282", "Q3102282")</f>
        <v>0</v>
      </c>
      <c r="O32" t="s">
        <v>19969</v>
      </c>
      <c r="P32" t="s">
        <v>20407</v>
      </c>
      <c r="Q32" t="s">
        <v>19426</v>
      </c>
      <c r="R32" t="s">
        <v>409</v>
      </c>
      <c r="S32">
        <v>1498</v>
      </c>
    </row>
    <row r="33" spans="1:19">
      <c r="A33" t="s">
        <v>19</v>
      </c>
      <c r="B33" t="s">
        <v>148</v>
      </c>
      <c r="C33" t="s">
        <v>151</v>
      </c>
      <c r="D33" t="s">
        <v>280</v>
      </c>
      <c r="E33" t="s">
        <v>409</v>
      </c>
      <c r="F33">
        <f>HYPERLINK("https://www.wikidata.org/wiki/Q33369535", "Q33369535")</f>
        <v>0</v>
      </c>
      <c r="G33" t="s">
        <v>525</v>
      </c>
      <c r="H33" t="s">
        <v>5289</v>
      </c>
      <c r="I33" t="s">
        <v>7642</v>
      </c>
      <c r="J33" t="s">
        <v>11277</v>
      </c>
      <c r="K33" t="s">
        <v>15677</v>
      </c>
      <c r="L33">
        <f>HYPERLINK("https://www2.assemblee-nationale.fr/sycomore/fiche/(num_dept)/720", "720")</f>
        <v>0</v>
      </c>
      <c r="N33">
        <f>HYPERLINK("https://www.wikidata.org/wiki/Q3300415", "Q3300415")</f>
        <v>0</v>
      </c>
      <c r="O33" t="s">
        <v>19976</v>
      </c>
      <c r="P33" t="s">
        <v>20405</v>
      </c>
      <c r="Q33" t="s">
        <v>19426</v>
      </c>
      <c r="R33" t="s">
        <v>15677</v>
      </c>
      <c r="S33">
        <v>391</v>
      </c>
    </row>
    <row r="34" spans="1:19">
      <c r="A34" t="s">
        <v>19</v>
      </c>
      <c r="B34" t="s">
        <v>148</v>
      </c>
      <c r="C34" t="s">
        <v>151</v>
      </c>
      <c r="D34" t="s">
        <v>280</v>
      </c>
      <c r="E34" t="s">
        <v>409</v>
      </c>
      <c r="F34">
        <f>HYPERLINK("https://www.wikidata.org/wiki/Q33369535", "Q33369535")</f>
        <v>0</v>
      </c>
      <c r="G34" t="s">
        <v>526</v>
      </c>
      <c r="H34" t="s">
        <v>5290</v>
      </c>
      <c r="I34" t="s">
        <v>5528</v>
      </c>
      <c r="J34" t="s">
        <v>11278</v>
      </c>
      <c r="K34" t="s">
        <v>15678</v>
      </c>
      <c r="L34">
        <f>HYPERLINK("https://www2.assemblee-nationale.fr/sycomore/fiche/(num_dept)/768", "768")</f>
        <v>0</v>
      </c>
      <c r="M34">
        <f>HYPERLINK("https://www.senat.fr/senateur-3eme-republique/betoulle_leon1788r3.html", "betoulle_leon1788r3")</f>
        <v>0</v>
      </c>
      <c r="N34">
        <f>HYPERLINK("https://www.wikidata.org/wiki/Q3270743", "Q3270743")</f>
        <v>0</v>
      </c>
      <c r="O34" t="s">
        <v>19977</v>
      </c>
      <c r="P34" t="s">
        <v>20404</v>
      </c>
      <c r="Q34" t="s">
        <v>19426</v>
      </c>
      <c r="R34" t="s">
        <v>409</v>
      </c>
      <c r="S34">
        <v>1498</v>
      </c>
    </row>
    <row r="35" spans="1:19">
      <c r="A35" t="s">
        <v>19</v>
      </c>
      <c r="B35" t="s">
        <v>148</v>
      </c>
      <c r="C35" t="s">
        <v>151</v>
      </c>
      <c r="D35" t="s">
        <v>280</v>
      </c>
      <c r="E35" t="s">
        <v>409</v>
      </c>
      <c r="F35">
        <f>HYPERLINK("https://www.wikidata.org/wiki/Q33369535", "Q33369535")</f>
        <v>0</v>
      </c>
      <c r="G35" t="s">
        <v>527</v>
      </c>
      <c r="H35" t="s">
        <v>5291</v>
      </c>
      <c r="I35" t="s">
        <v>9393</v>
      </c>
      <c r="J35" t="s">
        <v>11279</v>
      </c>
      <c r="K35" t="s">
        <v>15679</v>
      </c>
      <c r="L35">
        <f>HYPERLINK("https://www2.assemblee-nationale.fr/sycomore/fiche/(num_dept)/789", "789")</f>
        <v>0</v>
      </c>
      <c r="N35">
        <f>HYPERLINK("https://www.wikidata.org/wiki/Q2844627", "Q2844627")</f>
        <v>0</v>
      </c>
      <c r="O35" t="s">
        <v>19969</v>
      </c>
      <c r="P35" t="s">
        <v>20403</v>
      </c>
      <c r="Q35" t="s">
        <v>19426</v>
      </c>
      <c r="R35" t="s">
        <v>409</v>
      </c>
      <c r="S35">
        <v>1498</v>
      </c>
    </row>
    <row r="36" spans="1:19">
      <c r="A36" t="s">
        <v>19</v>
      </c>
      <c r="B36" t="s">
        <v>148</v>
      </c>
      <c r="C36" t="s">
        <v>151</v>
      </c>
      <c r="D36" t="s">
        <v>280</v>
      </c>
      <c r="E36" t="s">
        <v>409</v>
      </c>
      <c r="F36">
        <f>HYPERLINK("https://www.wikidata.org/wiki/Q33369535", "Q33369535")</f>
        <v>0</v>
      </c>
      <c r="G36" t="s">
        <v>528</v>
      </c>
      <c r="H36" t="s">
        <v>5292</v>
      </c>
      <c r="I36" t="s">
        <v>9388</v>
      </c>
      <c r="J36" t="s">
        <v>11280</v>
      </c>
      <c r="K36" t="s">
        <v>15680</v>
      </c>
      <c r="L36">
        <f>HYPERLINK("https://www2.assemblee-nationale.fr/sycomore/fiche/(num_dept)/799", "799")</f>
        <v>0</v>
      </c>
      <c r="M36">
        <f>HYPERLINK("https://www.senat.fr/senateur-3eme-republique/bignon_paul1577r3.html", "bignon_paul1577r3")</f>
        <v>0</v>
      </c>
      <c r="N36">
        <f>HYPERLINK("https://www.wikidata.org/wiki/Q3370646", "Q3370646")</f>
        <v>0</v>
      </c>
      <c r="O36" t="s">
        <v>19978</v>
      </c>
      <c r="P36" t="s">
        <v>20402</v>
      </c>
      <c r="Q36" t="s">
        <v>19426</v>
      </c>
      <c r="R36" t="s">
        <v>409</v>
      </c>
      <c r="S36">
        <v>1498</v>
      </c>
    </row>
    <row r="37" spans="1:19">
      <c r="A37" t="s">
        <v>19</v>
      </c>
      <c r="B37" t="s">
        <v>148</v>
      </c>
      <c r="C37" t="s">
        <v>151</v>
      </c>
      <c r="D37" t="s">
        <v>280</v>
      </c>
      <c r="E37" t="s">
        <v>409</v>
      </c>
      <c r="F37">
        <f>HYPERLINK("https://www.wikidata.org/wiki/Q33369535", "Q33369535")</f>
        <v>0</v>
      </c>
      <c r="G37" t="s">
        <v>529</v>
      </c>
      <c r="H37" t="s">
        <v>5293</v>
      </c>
      <c r="I37" t="s">
        <v>9394</v>
      </c>
      <c r="J37" t="s">
        <v>11281</v>
      </c>
      <c r="K37" t="s">
        <v>15681</v>
      </c>
      <c r="L37">
        <f>HYPERLINK("https://www2.assemblee-nationale.fr/sycomore/fiche/(num_dept)/817", "817")</f>
        <v>0</v>
      </c>
      <c r="N37">
        <f>HYPERLINK("https://www.wikidata.org/wiki/Q3300423", "Q3300423")</f>
        <v>0</v>
      </c>
      <c r="O37" t="s">
        <v>19969</v>
      </c>
      <c r="P37" t="s">
        <v>20407</v>
      </c>
      <c r="Q37" t="s">
        <v>19426</v>
      </c>
      <c r="R37" t="s">
        <v>409</v>
      </c>
      <c r="S37">
        <v>1498</v>
      </c>
    </row>
    <row r="38" spans="1:19">
      <c r="A38" t="s">
        <v>19</v>
      </c>
      <c r="B38" t="s">
        <v>148</v>
      </c>
      <c r="C38" t="s">
        <v>151</v>
      </c>
      <c r="D38" t="s">
        <v>280</v>
      </c>
      <c r="E38" t="s">
        <v>409</v>
      </c>
      <c r="F38">
        <f>HYPERLINK("https://www.wikidata.org/wiki/Q33369535", "Q33369535")</f>
        <v>0</v>
      </c>
      <c r="G38" t="s">
        <v>530</v>
      </c>
      <c r="H38" t="s">
        <v>5294</v>
      </c>
      <c r="I38" t="s">
        <v>6166</v>
      </c>
      <c r="J38" t="s">
        <v>11282</v>
      </c>
      <c r="K38" t="s">
        <v>15682</v>
      </c>
      <c r="L38">
        <f>HYPERLINK("https://www2.assemblee-nationale.fr/sycomore/fiche/(num_dept)/818", "818")</f>
        <v>0</v>
      </c>
      <c r="M38">
        <f>HYPERLINK("https://www.senat.fr/senateur-3eme-republique/binet_francois0648r3.html", "binet_francois0648r3")</f>
        <v>0</v>
      </c>
      <c r="N38">
        <f>HYPERLINK("https://www.wikidata.org/wiki/Q15973693", "Q15973693")</f>
        <v>0</v>
      </c>
      <c r="O38" t="s">
        <v>19979</v>
      </c>
      <c r="P38" t="s">
        <v>20405</v>
      </c>
      <c r="Q38" t="s">
        <v>19426</v>
      </c>
      <c r="R38" t="s">
        <v>409</v>
      </c>
      <c r="S38">
        <v>1498</v>
      </c>
    </row>
    <row r="39" spans="1:19">
      <c r="A39" t="s">
        <v>19</v>
      </c>
      <c r="B39" t="s">
        <v>148</v>
      </c>
      <c r="C39" t="s">
        <v>151</v>
      </c>
      <c r="D39" t="s">
        <v>280</v>
      </c>
      <c r="E39" t="s">
        <v>409</v>
      </c>
      <c r="F39">
        <f>HYPERLINK("https://www.wikidata.org/wiki/Q33369535", "Q33369535")</f>
        <v>0</v>
      </c>
      <c r="G39" t="s">
        <v>531</v>
      </c>
      <c r="H39" t="s">
        <v>5295</v>
      </c>
      <c r="I39" t="s">
        <v>9395</v>
      </c>
      <c r="J39" t="s">
        <v>11283</v>
      </c>
      <c r="K39" t="s">
        <v>15683</v>
      </c>
      <c r="L39">
        <f>HYPERLINK("https://www2.assemblee-nationale.fr/sycomore/fiche/(num_dept)/836", "836")</f>
        <v>0</v>
      </c>
      <c r="N39">
        <f>HYPERLINK("https://www.wikidata.org/wiki/Q8322001", "Q8322001")</f>
        <v>0</v>
      </c>
      <c r="O39" t="s">
        <v>19980</v>
      </c>
      <c r="P39" t="s">
        <v>20408</v>
      </c>
      <c r="Q39" t="s">
        <v>19426</v>
      </c>
      <c r="R39" t="s">
        <v>409</v>
      </c>
      <c r="S39">
        <v>1498</v>
      </c>
    </row>
    <row r="40" spans="1:19">
      <c r="A40" t="s">
        <v>19</v>
      </c>
      <c r="B40" t="s">
        <v>148</v>
      </c>
      <c r="C40" t="s">
        <v>151</v>
      </c>
      <c r="D40" t="s">
        <v>280</v>
      </c>
      <c r="E40" t="s">
        <v>409</v>
      </c>
      <c r="F40">
        <f>HYPERLINK("https://www.wikidata.org/wiki/Q33369535", "Q33369535")</f>
        <v>0</v>
      </c>
      <c r="G40" t="s">
        <v>532</v>
      </c>
      <c r="H40" t="s">
        <v>5296</v>
      </c>
      <c r="I40" t="s">
        <v>9396</v>
      </c>
      <c r="J40" t="s">
        <v>11284</v>
      </c>
      <c r="K40" t="s">
        <v>15684</v>
      </c>
      <c r="L40">
        <f>HYPERLINK("https://www2.assemblee-nationale.fr/sycomore/fiche/(num_dept)/845", "845")</f>
        <v>0</v>
      </c>
      <c r="M40">
        <f>HYPERLINK("https://www.senat.fr/senateur-3eme-republique/blanc_antoine0084r3.html", "blanc_antoine0084r3")</f>
        <v>0</v>
      </c>
      <c r="N40">
        <f>HYPERLINK("https://www.wikidata.org/wiki/Q2853682", "Q2853682")</f>
        <v>0</v>
      </c>
      <c r="O40" t="s">
        <v>19981</v>
      </c>
      <c r="P40" t="s">
        <v>20402</v>
      </c>
      <c r="Q40" t="s">
        <v>19426</v>
      </c>
      <c r="R40" t="s">
        <v>21369</v>
      </c>
      <c r="S40">
        <v>632</v>
      </c>
    </row>
    <row r="41" spans="1:19">
      <c r="A41" t="s">
        <v>19</v>
      </c>
      <c r="B41" t="s">
        <v>148</v>
      </c>
      <c r="C41" t="s">
        <v>151</v>
      </c>
      <c r="D41" t="s">
        <v>280</v>
      </c>
      <c r="E41" t="s">
        <v>409</v>
      </c>
      <c r="F41">
        <f>HYPERLINK("https://www.wikidata.org/wiki/Q33369535", "Q33369535")</f>
        <v>0</v>
      </c>
      <c r="G41" t="s">
        <v>533</v>
      </c>
      <c r="H41" t="s">
        <v>5297</v>
      </c>
      <c r="I41" t="s">
        <v>9397</v>
      </c>
      <c r="J41" t="s">
        <v>11285</v>
      </c>
      <c r="K41" t="s">
        <v>15685</v>
      </c>
      <c r="L41">
        <f>HYPERLINK("https://www2.assemblee-nationale.fr/sycomore/fiche/(num_dept)/853", "853")</f>
        <v>0</v>
      </c>
      <c r="N41">
        <f>HYPERLINK("https://www.wikidata.org/wiki/Q15973727", "Q15973727")</f>
        <v>0</v>
      </c>
      <c r="O41" t="s">
        <v>19982</v>
      </c>
      <c r="P41" t="s">
        <v>20402</v>
      </c>
      <c r="Q41" t="s">
        <v>19426</v>
      </c>
      <c r="R41" t="s">
        <v>15685</v>
      </c>
      <c r="S41">
        <v>774</v>
      </c>
    </row>
    <row r="42" spans="1:19">
      <c r="A42" t="s">
        <v>19</v>
      </c>
      <c r="B42" t="s">
        <v>148</v>
      </c>
      <c r="C42" t="s">
        <v>151</v>
      </c>
      <c r="D42" t="s">
        <v>280</v>
      </c>
      <c r="E42" t="s">
        <v>409</v>
      </c>
      <c r="F42">
        <f>HYPERLINK("https://www.wikidata.org/wiki/Q33369535", "Q33369535")</f>
        <v>0</v>
      </c>
      <c r="G42" t="s">
        <v>534</v>
      </c>
      <c r="H42" t="s">
        <v>5298</v>
      </c>
      <c r="I42" t="s">
        <v>9388</v>
      </c>
      <c r="J42" t="s">
        <v>11286</v>
      </c>
      <c r="K42" t="s">
        <v>15686</v>
      </c>
      <c r="L42">
        <f>HYPERLINK("https://www2.assemblee-nationale.fr/sycomore/fiche/(num_dept)/882", "882")</f>
        <v>0</v>
      </c>
      <c r="M42">
        <f>HYPERLINK("https://www.senat.fr/senateur-3eme-republique/bluysen_paul1835r3.html", "bluysen_paul1835r3")</f>
        <v>0</v>
      </c>
      <c r="N42">
        <f>HYPERLINK("https://www.wikidata.org/wiki/Q20027761", "Q20027761")</f>
        <v>0</v>
      </c>
      <c r="O42" t="s">
        <v>19983</v>
      </c>
      <c r="P42" t="s">
        <v>20401</v>
      </c>
      <c r="Q42" t="s">
        <v>19426</v>
      </c>
      <c r="R42" t="s">
        <v>409</v>
      </c>
      <c r="S42">
        <v>1498</v>
      </c>
    </row>
    <row r="43" spans="1:19">
      <c r="A43" t="s">
        <v>19</v>
      </c>
      <c r="B43" t="s">
        <v>148</v>
      </c>
      <c r="C43" t="s">
        <v>151</v>
      </c>
      <c r="D43" t="s">
        <v>280</v>
      </c>
      <c r="E43" t="s">
        <v>409</v>
      </c>
      <c r="F43">
        <f>HYPERLINK("https://www.wikidata.org/wiki/Q33369535", "Q33369535")</f>
        <v>0</v>
      </c>
      <c r="G43" t="s">
        <v>535</v>
      </c>
      <c r="H43" t="s">
        <v>5299</v>
      </c>
      <c r="I43" t="s">
        <v>9398</v>
      </c>
      <c r="J43" t="s">
        <v>11287</v>
      </c>
      <c r="K43" t="s">
        <v>15687</v>
      </c>
      <c r="L43">
        <f>HYPERLINK("https://www2.assemblee-nationale.fr/sycomore/fiche/(num_dept)/908", "908")</f>
        <v>0</v>
      </c>
      <c r="M43">
        <f>HYPERLINK("https://www.senat.fr/senateur-3eme-republique/boissel_victor0963r3.html", "boissel_victor0963r3")</f>
        <v>0</v>
      </c>
      <c r="N43">
        <f>HYPERLINK("https://www.wikidata.org/wiki/Q3557166", "Q3557166")</f>
        <v>0</v>
      </c>
      <c r="O43" t="s">
        <v>19984</v>
      </c>
      <c r="P43" t="s">
        <v>20402</v>
      </c>
      <c r="Q43" t="s">
        <v>19426</v>
      </c>
      <c r="R43" t="s">
        <v>409</v>
      </c>
      <c r="S43">
        <v>1498</v>
      </c>
    </row>
    <row r="44" spans="1:19">
      <c r="A44" t="s">
        <v>19</v>
      </c>
      <c r="B44" t="s">
        <v>148</v>
      </c>
      <c r="C44" t="s">
        <v>151</v>
      </c>
      <c r="D44" t="s">
        <v>280</v>
      </c>
      <c r="E44" t="s">
        <v>409</v>
      </c>
      <c r="F44">
        <f>HYPERLINK("https://www.wikidata.org/wiki/Q33369535", "Q33369535")</f>
        <v>0</v>
      </c>
      <c r="G44" t="s">
        <v>536</v>
      </c>
      <c r="H44" t="s">
        <v>5300</v>
      </c>
      <c r="I44" t="s">
        <v>9389</v>
      </c>
      <c r="J44" t="s">
        <v>11288</v>
      </c>
      <c r="K44" t="s">
        <v>15688</v>
      </c>
      <c r="L44">
        <f>HYPERLINK("https://www2.assemblee-nationale.fr/sycomore/fiche/(num_dept)/909", "909")</f>
        <v>0</v>
      </c>
      <c r="N44">
        <f>HYPERLINK("https://www.wikidata.org/wiki/Q3588362", "Q3588362")</f>
        <v>0</v>
      </c>
      <c r="O44" t="s">
        <v>19985</v>
      </c>
      <c r="P44" t="s">
        <v>20402</v>
      </c>
      <c r="Q44" t="s">
        <v>19426</v>
      </c>
      <c r="R44" t="s">
        <v>409</v>
      </c>
      <c r="S44">
        <v>1498</v>
      </c>
    </row>
    <row r="45" spans="1:19">
      <c r="A45" t="s">
        <v>19</v>
      </c>
      <c r="B45" t="s">
        <v>148</v>
      </c>
      <c r="C45" t="s">
        <v>151</v>
      </c>
      <c r="D45" t="s">
        <v>280</v>
      </c>
      <c r="E45" t="s">
        <v>409</v>
      </c>
      <c r="F45">
        <f>HYPERLINK("https://www.wikidata.org/wiki/Q33369535", "Q33369535")</f>
        <v>0</v>
      </c>
      <c r="G45" t="s">
        <v>537</v>
      </c>
      <c r="H45" t="s">
        <v>5301</v>
      </c>
      <c r="I45" t="s">
        <v>9399</v>
      </c>
      <c r="J45" t="s">
        <v>11289</v>
      </c>
      <c r="K45" t="s">
        <v>15689</v>
      </c>
      <c r="L45">
        <f>HYPERLINK("https://www2.assemblee-nationale.fr/sycomore/fiche/(num_dept)/918", "918")</f>
        <v>0</v>
      </c>
      <c r="M45">
        <f>HYPERLINK("https://www.senat.fr/senateur-3eme-republique/bollet_donat0013r3.html", "bollet_donat0013r3")</f>
        <v>0</v>
      </c>
      <c r="N45">
        <f>HYPERLINK("https://www.wikidata.org/wiki/Q3036181", "Q3036181")</f>
        <v>0</v>
      </c>
      <c r="O45" t="s">
        <v>19986</v>
      </c>
      <c r="P45" t="s">
        <v>20401</v>
      </c>
      <c r="Q45" t="s">
        <v>19426</v>
      </c>
      <c r="R45" t="s">
        <v>21369</v>
      </c>
      <c r="S45">
        <v>632</v>
      </c>
    </row>
    <row r="46" spans="1:19">
      <c r="A46" t="s">
        <v>19</v>
      </c>
      <c r="B46" t="s">
        <v>148</v>
      </c>
      <c r="C46" t="s">
        <v>151</v>
      </c>
      <c r="D46" t="s">
        <v>280</v>
      </c>
      <c r="E46" t="s">
        <v>409</v>
      </c>
      <c r="F46">
        <f>HYPERLINK("https://www.wikidata.org/wiki/Q33369535", "Q33369535")</f>
        <v>0</v>
      </c>
      <c r="G46" t="s">
        <v>538</v>
      </c>
      <c r="H46" t="s">
        <v>5302</v>
      </c>
      <c r="I46" t="s">
        <v>5592</v>
      </c>
      <c r="J46" t="s">
        <v>11290</v>
      </c>
      <c r="K46" t="s">
        <v>15690</v>
      </c>
      <c r="L46">
        <f>HYPERLINK("https://www2.assemblee-nationale.fr/sycomore/fiche/(num_dept)/955", "955")</f>
        <v>0</v>
      </c>
      <c r="M46">
        <f>HYPERLINK("https://www.senat.fr/senateur-3eme-republique/bonnevay_laurent1123r3.html", "bonnevay_laurent1123r3")</f>
        <v>0</v>
      </c>
      <c r="N46">
        <f>HYPERLINK("https://www.wikidata.org/wiki/Q3219051", "Q3219051")</f>
        <v>0</v>
      </c>
      <c r="O46" t="s">
        <v>19965</v>
      </c>
      <c r="P46" t="s">
        <v>20403</v>
      </c>
      <c r="Q46" t="s">
        <v>19426</v>
      </c>
      <c r="R46" t="s">
        <v>409</v>
      </c>
      <c r="S46">
        <v>1498</v>
      </c>
    </row>
    <row r="47" spans="1:19">
      <c r="A47" t="s">
        <v>19</v>
      </c>
      <c r="B47" t="s">
        <v>148</v>
      </c>
      <c r="C47" t="s">
        <v>151</v>
      </c>
      <c r="D47" t="s">
        <v>280</v>
      </c>
      <c r="E47" t="s">
        <v>409</v>
      </c>
      <c r="F47">
        <f>HYPERLINK("https://www.wikidata.org/wiki/Q33369535", "Q33369535")</f>
        <v>0</v>
      </c>
      <c r="G47" t="s">
        <v>539</v>
      </c>
      <c r="H47" t="s">
        <v>5303</v>
      </c>
      <c r="I47" t="s">
        <v>9400</v>
      </c>
      <c r="J47" t="s">
        <v>11291</v>
      </c>
      <c r="K47" t="s">
        <v>15691</v>
      </c>
      <c r="L47">
        <f>HYPERLINK("https://www2.assemblee-nationale.fr/sycomore/fiche/(num_dept)/969", "969")</f>
        <v>0</v>
      </c>
      <c r="N47">
        <f>HYPERLINK("https://www.wikidata.org/wiki/Q15973769", "Q15973769")</f>
        <v>0</v>
      </c>
      <c r="O47" t="s">
        <v>19987</v>
      </c>
      <c r="P47" t="s">
        <v>20401</v>
      </c>
      <c r="Q47" t="s">
        <v>19426</v>
      </c>
      <c r="R47" t="s">
        <v>409</v>
      </c>
      <c r="S47">
        <v>1498</v>
      </c>
    </row>
    <row r="48" spans="1:19">
      <c r="A48" t="s">
        <v>19</v>
      </c>
      <c r="B48" t="s">
        <v>148</v>
      </c>
      <c r="C48" t="s">
        <v>151</v>
      </c>
      <c r="D48" t="s">
        <v>280</v>
      </c>
      <c r="E48" t="s">
        <v>409</v>
      </c>
      <c r="F48">
        <f>HYPERLINK("https://www.wikidata.org/wiki/Q33369535", "Q33369535")</f>
        <v>0</v>
      </c>
      <c r="G48" t="s">
        <v>540</v>
      </c>
      <c r="H48" t="s">
        <v>5304</v>
      </c>
      <c r="I48" t="s">
        <v>9401</v>
      </c>
      <c r="J48" t="s">
        <v>11292</v>
      </c>
      <c r="K48" t="s">
        <v>15692</v>
      </c>
      <c r="L48">
        <f>HYPERLINK("https://www2.assemblee-nationale.fr/sycomore/fiche/(num_dept)/985", "985")</f>
        <v>0</v>
      </c>
      <c r="M48">
        <f>HYPERLINK("https://www.senat.fr/senateur-3eme-republique/borrel_antoine1303r3.html", "borrel_antoine1303r3")</f>
        <v>0</v>
      </c>
      <c r="N48">
        <f>HYPERLINK("https://www.wikidata.org/wiki/Q2853712", "Q2853712")</f>
        <v>0</v>
      </c>
      <c r="O48" t="s">
        <v>19988</v>
      </c>
      <c r="P48" t="s">
        <v>20406</v>
      </c>
      <c r="Q48" t="s">
        <v>19426</v>
      </c>
      <c r="R48" t="s">
        <v>409</v>
      </c>
      <c r="S48">
        <v>1498</v>
      </c>
    </row>
    <row r="49" spans="1:19">
      <c r="A49" t="s">
        <v>19</v>
      </c>
      <c r="B49" t="s">
        <v>148</v>
      </c>
      <c r="C49" t="s">
        <v>151</v>
      </c>
      <c r="D49" t="s">
        <v>280</v>
      </c>
      <c r="E49" t="s">
        <v>409</v>
      </c>
      <c r="F49">
        <f>HYPERLINK("https://www.wikidata.org/wiki/Q33369535", "Q33369535")</f>
        <v>0</v>
      </c>
      <c r="G49" t="s">
        <v>541</v>
      </c>
      <c r="H49" t="s">
        <v>5305</v>
      </c>
      <c r="I49" t="s">
        <v>9402</v>
      </c>
      <c r="J49" t="s">
        <v>11293</v>
      </c>
      <c r="K49" t="s">
        <v>15693</v>
      </c>
      <c r="L49">
        <f>HYPERLINK("https://www2.assemblee-nationale.fr/sycomore/fiche/(num_dept)/1016", "1016")</f>
        <v>0</v>
      </c>
      <c r="M49">
        <f>HYPERLINK("https://www.senat.fr/senateur-3eme-republique/bouctot_georges1611r3.html", "bouctot_georges1611r3")</f>
        <v>0</v>
      </c>
      <c r="N49">
        <f>HYPERLINK("https://www.wikidata.org/wiki/Q3102338", "Q3102338")</f>
        <v>0</v>
      </c>
      <c r="O49" t="s">
        <v>19978</v>
      </c>
      <c r="P49" t="s">
        <v>20402</v>
      </c>
      <c r="Q49" t="s">
        <v>19426</v>
      </c>
      <c r="R49" t="s">
        <v>409</v>
      </c>
      <c r="S49">
        <v>1498</v>
      </c>
    </row>
    <row r="50" spans="1:19">
      <c r="A50" t="s">
        <v>19</v>
      </c>
      <c r="B50" t="s">
        <v>148</v>
      </c>
      <c r="C50" t="s">
        <v>151</v>
      </c>
      <c r="D50" t="s">
        <v>280</v>
      </c>
      <c r="E50" t="s">
        <v>409</v>
      </c>
      <c r="F50">
        <f>HYPERLINK("https://www.wikidata.org/wiki/Q33369535", "Q33369535")</f>
        <v>0</v>
      </c>
      <c r="G50" t="s">
        <v>542</v>
      </c>
      <c r="H50" t="s">
        <v>5306</v>
      </c>
      <c r="I50" t="s">
        <v>9403</v>
      </c>
      <c r="J50" t="s">
        <v>11294</v>
      </c>
      <c r="K50" t="s">
        <v>15694</v>
      </c>
      <c r="L50">
        <f>HYPERLINK("https://www2.assemblee-nationale.fr/sycomore/fiche/(num_dept)/1028", "1028")</f>
        <v>0</v>
      </c>
      <c r="N50">
        <f>HYPERLINK("https://www.wikidata.org/wiki/Q3092384", "Q3092384")</f>
        <v>0</v>
      </c>
      <c r="O50" t="s">
        <v>19989</v>
      </c>
      <c r="P50" t="s">
        <v>20405</v>
      </c>
      <c r="Q50" t="s">
        <v>19426</v>
      </c>
      <c r="R50" t="s">
        <v>409</v>
      </c>
      <c r="S50">
        <v>1498</v>
      </c>
    </row>
    <row r="51" spans="1:19">
      <c r="A51" t="s">
        <v>19</v>
      </c>
      <c r="B51" t="s">
        <v>148</v>
      </c>
      <c r="C51" t="s">
        <v>151</v>
      </c>
      <c r="D51" t="s">
        <v>280</v>
      </c>
      <c r="E51" t="s">
        <v>409</v>
      </c>
      <c r="F51">
        <f>HYPERLINK("https://www.wikidata.org/wiki/Q33369535", "Q33369535")</f>
        <v>0</v>
      </c>
      <c r="G51" t="s">
        <v>543</v>
      </c>
      <c r="H51" t="s">
        <v>5307</v>
      </c>
      <c r="I51" t="s">
        <v>9404</v>
      </c>
      <c r="J51" t="s">
        <v>11295</v>
      </c>
      <c r="K51" t="s">
        <v>15695</v>
      </c>
      <c r="L51">
        <f>HYPERLINK("https://www2.assemblee-nationale.fr/sycomore/fiche/(num_dept)/1029", "1029")</f>
        <v>0</v>
      </c>
      <c r="N51">
        <f>HYPERLINK("https://www.wikidata.org/wiki/Q766157", "Q766157")</f>
        <v>0</v>
      </c>
      <c r="O51" t="s">
        <v>19990</v>
      </c>
      <c r="P51" t="s">
        <v>20403</v>
      </c>
      <c r="Q51" t="s">
        <v>19426</v>
      </c>
      <c r="R51" t="s">
        <v>409</v>
      </c>
      <c r="S51">
        <v>1498</v>
      </c>
    </row>
    <row r="52" spans="1:19">
      <c r="A52" t="s">
        <v>19</v>
      </c>
      <c r="B52" t="s">
        <v>148</v>
      </c>
      <c r="C52" t="s">
        <v>151</v>
      </c>
      <c r="D52" t="s">
        <v>280</v>
      </c>
      <c r="E52" t="s">
        <v>409</v>
      </c>
      <c r="F52">
        <f>HYPERLINK("https://www.wikidata.org/wiki/Q33369535", "Q33369535")</f>
        <v>0</v>
      </c>
      <c r="G52" t="s">
        <v>544</v>
      </c>
      <c r="H52" t="s">
        <v>5308</v>
      </c>
      <c r="I52" t="s">
        <v>9376</v>
      </c>
      <c r="J52" t="s">
        <v>11296</v>
      </c>
      <c r="K52" t="s">
        <v>15696</v>
      </c>
      <c r="L52">
        <f>HYPERLINK("https://www2.assemblee-nationale.fr/sycomore/fiche/(num_dept)/1030", "1030")</f>
        <v>0</v>
      </c>
      <c r="M52">
        <f>HYPERLINK("https://www.senat.fr/senateur-3eme-republique/bougere_ferdinand1163r3.html", "bougere_ferdinand1163r3")</f>
        <v>0</v>
      </c>
      <c r="N52">
        <f>HYPERLINK("https://www.wikidata.org/wiki/Q8299130", "Q8299130")</f>
        <v>0</v>
      </c>
      <c r="O52" t="s">
        <v>19980</v>
      </c>
      <c r="P52" t="s">
        <v>20407</v>
      </c>
      <c r="Q52" t="s">
        <v>19426</v>
      </c>
      <c r="R52" t="s">
        <v>409</v>
      </c>
      <c r="S52">
        <v>1498</v>
      </c>
    </row>
    <row r="53" spans="1:19">
      <c r="A53" t="s">
        <v>19</v>
      </c>
      <c r="B53" t="s">
        <v>148</v>
      </c>
      <c r="C53" t="s">
        <v>151</v>
      </c>
      <c r="D53" t="s">
        <v>280</v>
      </c>
      <c r="E53" t="s">
        <v>409</v>
      </c>
      <c r="F53">
        <f>HYPERLINK("https://www.wikidata.org/wiki/Q33369535", "Q33369535")</f>
        <v>0</v>
      </c>
      <c r="G53" t="s">
        <v>545</v>
      </c>
      <c r="H53" t="s">
        <v>5308</v>
      </c>
      <c r="I53" t="s">
        <v>5592</v>
      </c>
      <c r="J53" t="s">
        <v>11297</v>
      </c>
      <c r="K53" t="s">
        <v>15697</v>
      </c>
      <c r="L53">
        <f>HYPERLINK("https://www2.assemblee-nationale.fr/sycomore/fiche/(num_dept)/1031", "1031")</f>
        <v>0</v>
      </c>
      <c r="N53">
        <f>HYPERLINK("https://www.wikidata.org/wiki/Q8299131", "Q8299131")</f>
        <v>0</v>
      </c>
      <c r="O53" t="s">
        <v>19980</v>
      </c>
      <c r="P53" t="s">
        <v>20408</v>
      </c>
      <c r="Q53" t="s">
        <v>19426</v>
      </c>
      <c r="R53" t="s">
        <v>409</v>
      </c>
      <c r="S53">
        <v>1498</v>
      </c>
    </row>
    <row r="54" spans="1:19">
      <c r="A54" t="s">
        <v>19</v>
      </c>
      <c r="B54" t="s">
        <v>148</v>
      </c>
      <c r="C54" t="s">
        <v>151</v>
      </c>
      <c r="D54" t="s">
        <v>280</v>
      </c>
      <c r="E54" t="s">
        <v>409</v>
      </c>
      <c r="F54">
        <f>HYPERLINK("https://www.wikidata.org/wiki/Q33369535", "Q33369535")</f>
        <v>0</v>
      </c>
      <c r="G54" t="s">
        <v>546</v>
      </c>
      <c r="H54" t="s">
        <v>5309</v>
      </c>
      <c r="I54" t="s">
        <v>9405</v>
      </c>
      <c r="J54" t="s">
        <v>11298</v>
      </c>
      <c r="K54" t="s">
        <v>15698</v>
      </c>
      <c r="L54">
        <f>HYPERLINK("https://www2.assemblee-nationale.fr/sycomore/fiche/(num_dept)/1076", "1076")</f>
        <v>0</v>
      </c>
      <c r="N54">
        <f>HYPERLINK("https://www.wikidata.org/wiki/Q3587968", "Q3587968")</f>
        <v>0</v>
      </c>
      <c r="O54" t="s">
        <v>19991</v>
      </c>
      <c r="P54" t="s">
        <v>20405</v>
      </c>
      <c r="Q54" t="s">
        <v>19426</v>
      </c>
      <c r="R54" t="s">
        <v>409</v>
      </c>
      <c r="S54">
        <v>1498</v>
      </c>
    </row>
    <row r="55" spans="1:19">
      <c r="A55" t="s">
        <v>19</v>
      </c>
      <c r="B55" t="s">
        <v>148</v>
      </c>
      <c r="C55" t="s">
        <v>151</v>
      </c>
      <c r="D55" t="s">
        <v>280</v>
      </c>
      <c r="E55" t="s">
        <v>409</v>
      </c>
      <c r="F55">
        <f>HYPERLINK("https://www.wikidata.org/wiki/Q33369535", "Q33369535")</f>
        <v>0</v>
      </c>
      <c r="G55" t="s">
        <v>547</v>
      </c>
      <c r="H55" t="s">
        <v>5310</v>
      </c>
      <c r="I55" t="s">
        <v>9406</v>
      </c>
      <c r="J55" t="s">
        <v>11299</v>
      </c>
      <c r="K55" t="s">
        <v>15699</v>
      </c>
      <c r="L55">
        <f>HYPERLINK("https://www2.assemblee-nationale.fr/sycomore/fiche/(num_dept)/1107", "1107")</f>
        <v>0</v>
      </c>
      <c r="N55">
        <f>HYPERLINK("https://www.wikidata.org/wiki/Q2958427", "Q2958427")</f>
        <v>0</v>
      </c>
      <c r="O55" t="s">
        <v>19992</v>
      </c>
      <c r="P55" t="s">
        <v>20403</v>
      </c>
      <c r="Q55" t="s">
        <v>19426</v>
      </c>
      <c r="R55" t="s">
        <v>409</v>
      </c>
      <c r="S55">
        <v>1498</v>
      </c>
    </row>
    <row r="56" spans="1:19">
      <c r="A56" t="s">
        <v>19</v>
      </c>
      <c r="B56" t="s">
        <v>148</v>
      </c>
      <c r="C56" t="s">
        <v>151</v>
      </c>
      <c r="D56" t="s">
        <v>280</v>
      </c>
      <c r="E56" t="s">
        <v>409</v>
      </c>
      <c r="F56">
        <f>HYPERLINK("https://www.wikidata.org/wiki/Q33369535", "Q33369535")</f>
        <v>0</v>
      </c>
      <c r="G56" t="s">
        <v>548</v>
      </c>
      <c r="H56" t="s">
        <v>5311</v>
      </c>
      <c r="I56" t="s">
        <v>9407</v>
      </c>
      <c r="J56" t="s">
        <v>11300</v>
      </c>
      <c r="K56" t="s">
        <v>15700</v>
      </c>
      <c r="L56">
        <f>HYPERLINK("https://www2.assemblee-nationale.fr/sycomore/fiche/(num_dept)/1123", "1123")</f>
        <v>0</v>
      </c>
      <c r="N56">
        <f>HYPERLINK("https://www.wikidata.org/wiki/Q15973931", "Q15973931")</f>
        <v>0</v>
      </c>
      <c r="O56" t="s">
        <v>19993</v>
      </c>
      <c r="P56" t="s">
        <v>20401</v>
      </c>
      <c r="Q56" t="s">
        <v>19426</v>
      </c>
      <c r="R56" t="s">
        <v>409</v>
      </c>
      <c r="S56">
        <v>1498</v>
      </c>
    </row>
    <row r="57" spans="1:19">
      <c r="A57" t="s">
        <v>19</v>
      </c>
      <c r="B57" t="s">
        <v>148</v>
      </c>
      <c r="C57" t="s">
        <v>151</v>
      </c>
      <c r="D57" t="s">
        <v>280</v>
      </c>
      <c r="E57" t="s">
        <v>409</v>
      </c>
      <c r="F57">
        <f>HYPERLINK("https://www.wikidata.org/wiki/Q33369535", "Q33369535")</f>
        <v>0</v>
      </c>
      <c r="G57" t="s">
        <v>549</v>
      </c>
      <c r="H57" t="s">
        <v>5312</v>
      </c>
      <c r="I57" t="s">
        <v>6200</v>
      </c>
      <c r="J57" t="s">
        <v>11301</v>
      </c>
      <c r="K57" t="s">
        <v>15701</v>
      </c>
      <c r="L57">
        <f>HYPERLINK("https://www2.assemblee-nationale.fr/sycomore/fiche/(num_dept)/1138", "1138")</f>
        <v>0</v>
      </c>
      <c r="M57">
        <f>HYPERLINK("https://www.senat.fr/senateur-3eme-republique/bouveri_jean1220r3.html", "bouveri_jean1220r3")</f>
        <v>0</v>
      </c>
      <c r="N57">
        <f>HYPERLINK("https://www.wikidata.org/wiki/Q3170948", "Q3170948")</f>
        <v>0</v>
      </c>
      <c r="O57" t="s">
        <v>19994</v>
      </c>
      <c r="P57" t="s">
        <v>20404</v>
      </c>
      <c r="Q57" t="s">
        <v>19426</v>
      </c>
      <c r="R57" t="s">
        <v>409</v>
      </c>
      <c r="S57">
        <v>1498</v>
      </c>
    </row>
    <row r="58" spans="1:19">
      <c r="A58" t="s">
        <v>19</v>
      </c>
      <c r="B58" t="s">
        <v>148</v>
      </c>
      <c r="C58" t="s">
        <v>151</v>
      </c>
      <c r="D58" t="s">
        <v>280</v>
      </c>
      <c r="E58" t="s">
        <v>409</v>
      </c>
      <c r="F58">
        <f>HYPERLINK("https://www.wikidata.org/wiki/Q33369535", "Q33369535")</f>
        <v>0</v>
      </c>
      <c r="G58" t="s">
        <v>550</v>
      </c>
      <c r="H58" t="s">
        <v>5313</v>
      </c>
      <c r="I58" t="s">
        <v>9408</v>
      </c>
      <c r="J58" t="s">
        <v>11302</v>
      </c>
      <c r="K58" t="s">
        <v>15702</v>
      </c>
      <c r="L58">
        <f>HYPERLINK("https://www2.assemblee-nationale.fr/sycomore/fiche/(num_dept)/1147", "1147")</f>
        <v>0</v>
      </c>
      <c r="N58">
        <f>HYPERLINK("https://www.wikidata.org/wiki/Q3270443", "Q3270443")</f>
        <v>0</v>
      </c>
      <c r="O58" t="s">
        <v>19995</v>
      </c>
      <c r="P58" t="s">
        <v>20405</v>
      </c>
      <c r="Q58" t="s">
        <v>19426</v>
      </c>
      <c r="R58" t="s">
        <v>409</v>
      </c>
      <c r="S58">
        <v>1498</v>
      </c>
    </row>
    <row r="59" spans="1:19">
      <c r="A59" t="s">
        <v>19</v>
      </c>
      <c r="B59" t="s">
        <v>148</v>
      </c>
      <c r="C59" t="s">
        <v>151</v>
      </c>
      <c r="D59" t="s">
        <v>280</v>
      </c>
      <c r="E59" t="s">
        <v>409</v>
      </c>
      <c r="F59">
        <f>HYPERLINK("https://www.wikidata.org/wiki/Q33369535", "Q33369535")</f>
        <v>0</v>
      </c>
      <c r="G59" t="s">
        <v>551</v>
      </c>
      <c r="H59" t="s">
        <v>5314</v>
      </c>
      <c r="I59" t="s">
        <v>9409</v>
      </c>
      <c r="J59" t="s">
        <v>11285</v>
      </c>
      <c r="K59" t="s">
        <v>15703</v>
      </c>
      <c r="L59">
        <f>HYPERLINK("https://www2.assemblee-nationale.fr/sycomore/fiche/(num_dept)/1162", "1162")</f>
        <v>0</v>
      </c>
      <c r="N59">
        <f>HYPERLINK("https://www.wikidata.org/wiki/Q15973942", "Q15973942")</f>
        <v>0</v>
      </c>
      <c r="O59" t="s">
        <v>19986</v>
      </c>
      <c r="P59" t="s">
        <v>20401</v>
      </c>
      <c r="Q59" t="s">
        <v>19426</v>
      </c>
      <c r="R59" t="s">
        <v>409</v>
      </c>
      <c r="S59">
        <v>1498</v>
      </c>
    </row>
    <row r="60" spans="1:19">
      <c r="A60" t="s">
        <v>19</v>
      </c>
      <c r="B60" t="s">
        <v>148</v>
      </c>
      <c r="C60" t="s">
        <v>151</v>
      </c>
      <c r="D60" t="s">
        <v>280</v>
      </c>
      <c r="E60" t="s">
        <v>409</v>
      </c>
      <c r="F60">
        <f>HYPERLINK("https://www.wikidata.org/wiki/Q33369535", "Q33369535")</f>
        <v>0</v>
      </c>
      <c r="G60" t="s">
        <v>552</v>
      </c>
      <c r="H60" t="s">
        <v>5315</v>
      </c>
      <c r="I60" t="s">
        <v>9410</v>
      </c>
      <c r="J60" t="s">
        <v>11303</v>
      </c>
      <c r="K60" t="s">
        <v>15704</v>
      </c>
      <c r="L60">
        <f>HYPERLINK("https://www2.assemblee-nationale.fr/sycomore/fiche/(num_dept)/1203", "1203")</f>
        <v>0</v>
      </c>
      <c r="M60">
        <f>HYPERLINK("https://www.senat.fr/senateur-3eme-republique/breton_jules0441r3.html", "breton_jules0441r3")</f>
        <v>0</v>
      </c>
      <c r="N60">
        <f>HYPERLINK("https://www.wikidata.org/wiki/Q3188368", "Q3188368")</f>
        <v>0</v>
      </c>
      <c r="O60" t="s">
        <v>19996</v>
      </c>
      <c r="P60" t="s">
        <v>20406</v>
      </c>
      <c r="Q60" t="s">
        <v>19426</v>
      </c>
      <c r="R60" t="s">
        <v>409</v>
      </c>
      <c r="S60">
        <v>1498</v>
      </c>
    </row>
    <row r="61" spans="1:19">
      <c r="A61" t="s">
        <v>19</v>
      </c>
      <c r="B61" t="s">
        <v>148</v>
      </c>
      <c r="C61" t="s">
        <v>151</v>
      </c>
      <c r="D61" t="s">
        <v>280</v>
      </c>
      <c r="E61" t="s">
        <v>409</v>
      </c>
      <c r="F61">
        <f>HYPERLINK("https://www.wikidata.org/wiki/Q33369535", "Q33369535")</f>
        <v>0</v>
      </c>
      <c r="G61" t="s">
        <v>553</v>
      </c>
      <c r="H61" t="s">
        <v>5316</v>
      </c>
      <c r="I61" t="s">
        <v>9411</v>
      </c>
      <c r="J61" t="s">
        <v>11304</v>
      </c>
      <c r="K61" t="s">
        <v>15705</v>
      </c>
      <c r="L61">
        <f>HYPERLINK("https://www2.assemblee-nationale.fr/sycomore/fiche/(num_dept)/1211", "1211")</f>
        <v>0</v>
      </c>
      <c r="N61">
        <f>HYPERLINK("https://www.wikidata.org/wiki/Q179888", "Q179888")</f>
        <v>0</v>
      </c>
      <c r="O61" t="s">
        <v>19997</v>
      </c>
      <c r="P61" t="s">
        <v>20406</v>
      </c>
      <c r="Q61" t="s">
        <v>19426</v>
      </c>
      <c r="R61" t="s">
        <v>409</v>
      </c>
      <c r="S61">
        <v>1498</v>
      </c>
    </row>
    <row r="62" spans="1:19">
      <c r="A62" t="s">
        <v>19</v>
      </c>
      <c r="B62" t="s">
        <v>148</v>
      </c>
      <c r="C62" t="s">
        <v>151</v>
      </c>
      <c r="D62" t="s">
        <v>280</v>
      </c>
      <c r="E62" t="s">
        <v>409</v>
      </c>
      <c r="F62">
        <f>HYPERLINK("https://www.wikidata.org/wiki/Q33369535", "Q33369535")</f>
        <v>0</v>
      </c>
      <c r="G62" t="s">
        <v>554</v>
      </c>
      <c r="H62" t="s">
        <v>5317</v>
      </c>
      <c r="I62" t="s">
        <v>9412</v>
      </c>
      <c r="J62" t="s">
        <v>11305</v>
      </c>
      <c r="K62" t="s">
        <v>15706</v>
      </c>
      <c r="L62">
        <f>HYPERLINK("https://www2.assemblee-nationale.fr/sycomore/fiche/(num_dept)/1220", "1220")</f>
        <v>0</v>
      </c>
      <c r="N62">
        <f>HYPERLINK("https://www.wikidata.org/wiki/Q3426418", "Q3426418")</f>
        <v>0</v>
      </c>
      <c r="O62" t="s">
        <v>19998</v>
      </c>
      <c r="P62" t="s">
        <v>20403</v>
      </c>
      <c r="Q62" t="s">
        <v>19426</v>
      </c>
      <c r="R62" t="s">
        <v>409</v>
      </c>
      <c r="S62">
        <v>1498</v>
      </c>
    </row>
    <row r="63" spans="1:19">
      <c r="A63" t="s">
        <v>19</v>
      </c>
      <c r="B63" t="s">
        <v>148</v>
      </c>
      <c r="C63" t="s">
        <v>151</v>
      </c>
      <c r="D63" t="s">
        <v>280</v>
      </c>
      <c r="E63" t="s">
        <v>409</v>
      </c>
      <c r="F63">
        <f>HYPERLINK("https://www.wikidata.org/wiki/Q33369535", "Q33369535")</f>
        <v>0</v>
      </c>
      <c r="G63" t="s">
        <v>555</v>
      </c>
      <c r="H63" t="s">
        <v>5318</v>
      </c>
      <c r="I63" t="s">
        <v>6860</v>
      </c>
      <c r="J63" t="s">
        <v>11306</v>
      </c>
      <c r="K63" t="s">
        <v>15707</v>
      </c>
      <c r="L63">
        <f>HYPERLINK("https://www2.assemblee-nationale.fr/sycomore/fiche/(num_dept)/1242", "1242")</f>
        <v>0</v>
      </c>
      <c r="N63">
        <f>HYPERLINK("https://www.wikidata.org/wiki/Q3384198", "Q3384198")</f>
        <v>0</v>
      </c>
      <c r="O63" t="s">
        <v>19999</v>
      </c>
      <c r="P63" t="s">
        <v>20404</v>
      </c>
      <c r="Q63" t="s">
        <v>19426</v>
      </c>
      <c r="R63" t="s">
        <v>409</v>
      </c>
      <c r="S63">
        <v>1498</v>
      </c>
    </row>
    <row r="64" spans="1:19">
      <c r="A64" t="s">
        <v>19</v>
      </c>
      <c r="B64" t="s">
        <v>148</v>
      </c>
      <c r="C64" t="s">
        <v>151</v>
      </c>
      <c r="D64" t="s">
        <v>280</v>
      </c>
      <c r="E64" t="s">
        <v>409</v>
      </c>
      <c r="F64">
        <f>HYPERLINK("https://www.wikidata.org/wiki/Q33369535", "Q33369535")</f>
        <v>0</v>
      </c>
      <c r="G64" t="s">
        <v>556</v>
      </c>
      <c r="H64" t="s">
        <v>5319</v>
      </c>
      <c r="I64" t="s">
        <v>9413</v>
      </c>
      <c r="J64" t="s">
        <v>11307</v>
      </c>
      <c r="K64" t="s">
        <v>15708</v>
      </c>
      <c r="L64">
        <f>HYPERLINK("https://www2.assemblee-nationale.fr/sycomore/fiche/(num_dept)/1258", "1258")</f>
        <v>0</v>
      </c>
      <c r="N64">
        <f>HYPERLINK("https://www.wikidata.org/wiki/Q15996056", "Q15996056")</f>
        <v>0</v>
      </c>
      <c r="O64" t="s">
        <v>20000</v>
      </c>
      <c r="P64" t="s">
        <v>20405</v>
      </c>
      <c r="Q64" t="s">
        <v>19426</v>
      </c>
      <c r="R64" t="s">
        <v>409</v>
      </c>
      <c r="S64">
        <v>1498</v>
      </c>
    </row>
    <row r="65" spans="1:19">
      <c r="A65" t="s">
        <v>19</v>
      </c>
      <c r="B65" t="s">
        <v>148</v>
      </c>
      <c r="C65" t="s">
        <v>151</v>
      </c>
      <c r="D65" t="s">
        <v>280</v>
      </c>
      <c r="E65" t="s">
        <v>409</v>
      </c>
      <c r="F65">
        <f>HYPERLINK("https://www.wikidata.org/wiki/Q33369535", "Q33369535")</f>
        <v>0</v>
      </c>
      <c r="G65" t="s">
        <v>557</v>
      </c>
      <c r="H65" t="s">
        <v>5320</v>
      </c>
      <c r="I65" t="s">
        <v>9414</v>
      </c>
      <c r="J65" t="s">
        <v>11308</v>
      </c>
      <c r="K65" t="s">
        <v>15709</v>
      </c>
      <c r="L65">
        <f>HYPERLINK("https://www2.assemblee-nationale.fr/sycomore/fiche/(num_dept)/1260", "1260")</f>
        <v>0</v>
      </c>
      <c r="N65">
        <f>HYPERLINK("https://www.wikidata.org/wiki/Q3052603", "Q3052603")</f>
        <v>0</v>
      </c>
      <c r="O65" t="s">
        <v>20001</v>
      </c>
      <c r="P65" t="s">
        <v>20402</v>
      </c>
      <c r="Q65" t="s">
        <v>19426</v>
      </c>
      <c r="R65" t="s">
        <v>409</v>
      </c>
      <c r="S65">
        <v>1498</v>
      </c>
    </row>
    <row r="66" spans="1:19">
      <c r="A66" t="s">
        <v>19</v>
      </c>
      <c r="B66" t="s">
        <v>148</v>
      </c>
      <c r="C66" t="s">
        <v>151</v>
      </c>
      <c r="D66" t="s">
        <v>280</v>
      </c>
      <c r="E66" t="s">
        <v>409</v>
      </c>
      <c r="F66">
        <f>HYPERLINK("https://www.wikidata.org/wiki/Q33369535", "Q33369535")</f>
        <v>0</v>
      </c>
      <c r="G66" t="s">
        <v>558</v>
      </c>
      <c r="H66" t="s">
        <v>5321</v>
      </c>
      <c r="I66" t="s">
        <v>9415</v>
      </c>
      <c r="J66" t="s">
        <v>11309</v>
      </c>
      <c r="K66" t="s">
        <v>15710</v>
      </c>
      <c r="L66">
        <f>HYPERLINK("https://www2.assemblee-nationale.fr/sycomore/fiche/(num_dept)/1325", "1325")</f>
        <v>0</v>
      </c>
      <c r="N66">
        <f>HYPERLINK("https://www.wikidata.org/wiki/Q15974084", "Q15974084")</f>
        <v>0</v>
      </c>
      <c r="O66" t="s">
        <v>19969</v>
      </c>
      <c r="P66" t="s">
        <v>20405</v>
      </c>
      <c r="Q66" t="s">
        <v>19426</v>
      </c>
      <c r="R66" t="s">
        <v>409</v>
      </c>
      <c r="S66">
        <v>1498</v>
      </c>
    </row>
    <row r="67" spans="1:19">
      <c r="A67" t="s">
        <v>19</v>
      </c>
      <c r="B67" t="s">
        <v>148</v>
      </c>
      <c r="C67" t="s">
        <v>151</v>
      </c>
      <c r="D67" t="s">
        <v>280</v>
      </c>
      <c r="E67" t="s">
        <v>409</v>
      </c>
      <c r="F67">
        <f>HYPERLINK("https://www.wikidata.org/wiki/Q33369535", "Q33369535")</f>
        <v>0</v>
      </c>
      <c r="G67" t="s">
        <v>559</v>
      </c>
      <c r="H67" t="s">
        <v>5322</v>
      </c>
      <c r="I67" t="s">
        <v>5948</v>
      </c>
      <c r="J67" t="s">
        <v>11310</v>
      </c>
      <c r="K67" t="s">
        <v>15711</v>
      </c>
      <c r="L67">
        <f>HYPERLINK("https://www2.assemblee-nationale.fr/sycomore/fiche/(num_dept)/1347", "1347")</f>
        <v>0</v>
      </c>
      <c r="N67">
        <f>HYPERLINK("https://www.wikidata.org/wiki/Q822341", "Q822341")</f>
        <v>0</v>
      </c>
      <c r="O67" t="s">
        <v>19990</v>
      </c>
      <c r="P67" t="s">
        <v>20404</v>
      </c>
      <c r="Q67" t="s">
        <v>19426</v>
      </c>
      <c r="R67" t="s">
        <v>409</v>
      </c>
      <c r="S67">
        <v>1498</v>
      </c>
    </row>
    <row r="68" spans="1:19">
      <c r="A68" t="s">
        <v>19</v>
      </c>
      <c r="B68" t="s">
        <v>148</v>
      </c>
      <c r="C68" t="s">
        <v>151</v>
      </c>
      <c r="D68" t="s">
        <v>280</v>
      </c>
      <c r="E68" t="s">
        <v>409</v>
      </c>
      <c r="F68">
        <f>HYPERLINK("https://www.wikidata.org/wiki/Q33369535", "Q33369535")</f>
        <v>0</v>
      </c>
      <c r="G68" t="s">
        <v>560</v>
      </c>
      <c r="H68" t="s">
        <v>5323</v>
      </c>
      <c r="I68" t="s">
        <v>9407</v>
      </c>
      <c r="J68" t="s">
        <v>11311</v>
      </c>
      <c r="K68" t="s">
        <v>15712</v>
      </c>
      <c r="L68">
        <f>HYPERLINK("https://www2.assemblee-nationale.fr/sycomore/fiche/(num_dept)/1366", "1366")</f>
        <v>0</v>
      </c>
      <c r="M68">
        <f>HYPERLINK("https://www.senat.fr/senateur-3eme-republique/caillaux_joseph1254r3.html", "caillaux_joseph1254r3")</f>
        <v>0</v>
      </c>
      <c r="N68">
        <f>HYPERLINK("https://www.wikidata.org/wiki/Q450463", "Q450463")</f>
        <v>0</v>
      </c>
      <c r="O68" t="s">
        <v>19956</v>
      </c>
      <c r="P68" t="s">
        <v>20401</v>
      </c>
      <c r="Q68" t="s">
        <v>19426</v>
      </c>
      <c r="R68" t="s">
        <v>409</v>
      </c>
      <c r="S68">
        <v>1498</v>
      </c>
    </row>
    <row r="69" spans="1:19">
      <c r="A69" t="s">
        <v>19</v>
      </c>
      <c r="B69" t="s">
        <v>148</v>
      </c>
      <c r="C69" t="s">
        <v>151</v>
      </c>
      <c r="D69" t="s">
        <v>280</v>
      </c>
      <c r="E69" t="s">
        <v>409</v>
      </c>
      <c r="F69">
        <f>HYPERLINK("https://www.wikidata.org/wiki/Q33369535", "Q33369535")</f>
        <v>0</v>
      </c>
      <c r="G69" t="s">
        <v>561</v>
      </c>
      <c r="H69" t="s">
        <v>5324</v>
      </c>
      <c r="I69" t="s">
        <v>9416</v>
      </c>
      <c r="J69" t="s">
        <v>11312</v>
      </c>
      <c r="K69" t="s">
        <v>15713</v>
      </c>
      <c r="L69">
        <f>HYPERLINK("https://www2.assemblee-nationale.fr/sycomore/fiche/(num_dept)/1408", "1408")</f>
        <v>0</v>
      </c>
      <c r="N69">
        <f>HYPERLINK("https://www.wikidata.org/wiki/Q15974169", "Q15974169")</f>
        <v>0</v>
      </c>
      <c r="O69" t="s">
        <v>20002</v>
      </c>
      <c r="P69" t="s">
        <v>20406</v>
      </c>
      <c r="Q69" t="s">
        <v>19426</v>
      </c>
      <c r="R69" t="s">
        <v>409</v>
      </c>
      <c r="S69">
        <v>1498</v>
      </c>
    </row>
    <row r="70" spans="1:19">
      <c r="A70" t="s">
        <v>19</v>
      </c>
      <c r="B70" t="s">
        <v>148</v>
      </c>
      <c r="C70" t="s">
        <v>151</v>
      </c>
      <c r="D70" t="s">
        <v>280</v>
      </c>
      <c r="E70" t="s">
        <v>409</v>
      </c>
      <c r="F70">
        <f>HYPERLINK("https://www.wikidata.org/wiki/Q33369535", "Q33369535")</f>
        <v>0</v>
      </c>
      <c r="G70" t="s">
        <v>562</v>
      </c>
      <c r="H70" t="s">
        <v>5325</v>
      </c>
      <c r="I70" t="s">
        <v>9417</v>
      </c>
      <c r="J70" t="s">
        <v>11313</v>
      </c>
      <c r="K70" t="s">
        <v>15714</v>
      </c>
      <c r="L70">
        <f>HYPERLINK("https://www2.assemblee-nationale.fr/sycomore/fiche/(num_dept)/1451", "1451")</f>
        <v>0</v>
      </c>
      <c r="N70">
        <f>HYPERLINK("https://www.wikidata.org/wiki/Q8322772", "Q8322772")</f>
        <v>0</v>
      </c>
      <c r="O70" t="s">
        <v>19976</v>
      </c>
      <c r="P70" t="s">
        <v>20402</v>
      </c>
      <c r="Q70" t="s">
        <v>19426</v>
      </c>
      <c r="R70" t="s">
        <v>409</v>
      </c>
      <c r="S70">
        <v>1498</v>
      </c>
    </row>
    <row r="71" spans="1:19">
      <c r="A71" t="s">
        <v>19</v>
      </c>
      <c r="B71" t="s">
        <v>148</v>
      </c>
      <c r="C71" t="s">
        <v>151</v>
      </c>
      <c r="D71" t="s">
        <v>280</v>
      </c>
      <c r="E71" t="s">
        <v>409</v>
      </c>
      <c r="F71">
        <f>HYPERLINK("https://www.wikidata.org/wiki/Q33369535", "Q33369535")</f>
        <v>0</v>
      </c>
      <c r="G71" t="s">
        <v>563</v>
      </c>
      <c r="H71" t="s">
        <v>5326</v>
      </c>
      <c r="I71" t="s">
        <v>9418</v>
      </c>
      <c r="J71" t="s">
        <v>11314</v>
      </c>
      <c r="K71" t="s">
        <v>15715</v>
      </c>
      <c r="L71">
        <f>HYPERLINK("https://www2.assemblee-nationale.fr/sycomore/fiche/(num_dept)/1555", "1555")</f>
        <v>0</v>
      </c>
      <c r="N71">
        <f>HYPERLINK("https://www.wikidata.org/wiki/Q15974261", "Q15974261")</f>
        <v>0</v>
      </c>
      <c r="O71" t="s">
        <v>19987</v>
      </c>
      <c r="P71" t="s">
        <v>20402</v>
      </c>
      <c r="Q71" t="s">
        <v>19426</v>
      </c>
      <c r="R71" t="s">
        <v>409</v>
      </c>
      <c r="S71">
        <v>1498</v>
      </c>
    </row>
    <row r="72" spans="1:19">
      <c r="A72" t="s">
        <v>19</v>
      </c>
      <c r="B72" t="s">
        <v>148</v>
      </c>
      <c r="C72" t="s">
        <v>151</v>
      </c>
      <c r="D72" t="s">
        <v>280</v>
      </c>
      <c r="E72" t="s">
        <v>409</v>
      </c>
      <c r="F72">
        <f>HYPERLINK("https://www.wikidata.org/wiki/Q33369535", "Q33369535")</f>
        <v>0</v>
      </c>
      <c r="G72" t="s">
        <v>564</v>
      </c>
      <c r="H72" t="s">
        <v>5327</v>
      </c>
      <c r="I72" t="s">
        <v>5574</v>
      </c>
      <c r="J72" t="s">
        <v>11315</v>
      </c>
      <c r="K72" t="s">
        <v>15716</v>
      </c>
      <c r="L72">
        <f>HYPERLINK("https://www2.assemblee-nationale.fr/sycomore/fiche/(num_dept)/1565", "1565")</f>
        <v>0</v>
      </c>
      <c r="N72">
        <f>HYPERLINK("https://www.wikidata.org/wiki/Q15974262", "Q15974262")</f>
        <v>0</v>
      </c>
      <c r="O72" t="s">
        <v>20003</v>
      </c>
      <c r="P72" t="s">
        <v>20405</v>
      </c>
      <c r="Q72" t="s">
        <v>19426</v>
      </c>
      <c r="R72" t="s">
        <v>409</v>
      </c>
      <c r="S72">
        <v>1498</v>
      </c>
    </row>
    <row r="73" spans="1:19">
      <c r="A73" t="s">
        <v>19</v>
      </c>
      <c r="B73" t="s">
        <v>148</v>
      </c>
      <c r="C73" t="s">
        <v>151</v>
      </c>
      <c r="D73" t="s">
        <v>280</v>
      </c>
      <c r="E73" t="s">
        <v>409</v>
      </c>
      <c r="F73">
        <f>HYPERLINK("https://www.wikidata.org/wiki/Q33369535", "Q33369535")</f>
        <v>0</v>
      </c>
      <c r="G73" t="s">
        <v>565</v>
      </c>
      <c r="H73" t="s">
        <v>5328</v>
      </c>
      <c r="I73" t="s">
        <v>6860</v>
      </c>
      <c r="J73" t="s">
        <v>11316</v>
      </c>
      <c r="K73" t="s">
        <v>15717</v>
      </c>
      <c r="L73">
        <f>HYPERLINK("https://www2.assemblee-nationale.fr/sycomore/fiche/(num_dept)/1623", "1623")</f>
        <v>0</v>
      </c>
      <c r="M73">
        <f>HYPERLINK("https://www.senat.fr/senateur-3eme-republique/de_chambrun_pierre0856r3.html", "de_chambrun_pierre0856r3")</f>
        <v>0</v>
      </c>
      <c r="N73">
        <f>HYPERLINK("https://www.wikidata.org/wiki/Q3042196", "Q3042196")</f>
        <v>0</v>
      </c>
      <c r="O73" t="s">
        <v>20004</v>
      </c>
      <c r="P73" t="s">
        <v>20403</v>
      </c>
      <c r="Q73" t="s">
        <v>19426</v>
      </c>
      <c r="R73" t="s">
        <v>409</v>
      </c>
      <c r="S73">
        <v>1498</v>
      </c>
    </row>
    <row r="74" spans="1:19">
      <c r="A74" t="s">
        <v>19</v>
      </c>
      <c r="B74" t="s">
        <v>148</v>
      </c>
      <c r="C74" t="s">
        <v>151</v>
      </c>
      <c r="D74" t="s">
        <v>280</v>
      </c>
      <c r="E74" t="s">
        <v>409</v>
      </c>
      <c r="F74">
        <f>HYPERLINK("https://www.wikidata.org/wiki/Q33369535", "Q33369535")</f>
        <v>0</v>
      </c>
      <c r="G74" t="s">
        <v>566</v>
      </c>
      <c r="H74" t="s">
        <v>5329</v>
      </c>
      <c r="I74" t="s">
        <v>9419</v>
      </c>
      <c r="J74" t="s">
        <v>11317</v>
      </c>
      <c r="K74" t="s">
        <v>15718</v>
      </c>
      <c r="L74">
        <f>HYPERLINK("https://www2.assemblee-nationale.fr/sycomore/fiche/(num_dept)/1624", "1624")</f>
        <v>0</v>
      </c>
      <c r="N74">
        <f>HYPERLINK("https://www.wikidata.org/wiki/Q3345786", "Q3345786")</f>
        <v>0</v>
      </c>
      <c r="O74" t="s">
        <v>20005</v>
      </c>
      <c r="P74" t="s">
        <v>20405</v>
      </c>
      <c r="Q74" t="s">
        <v>19426</v>
      </c>
      <c r="R74" t="s">
        <v>15718</v>
      </c>
      <c r="S74">
        <v>354</v>
      </c>
    </row>
    <row r="75" spans="1:19">
      <c r="A75" t="s">
        <v>19</v>
      </c>
      <c r="B75" t="s">
        <v>148</v>
      </c>
      <c r="C75" t="s">
        <v>151</v>
      </c>
      <c r="D75" t="s">
        <v>280</v>
      </c>
      <c r="E75" t="s">
        <v>409</v>
      </c>
      <c r="F75">
        <f>HYPERLINK("https://www.wikidata.org/wiki/Q33369535", "Q33369535")</f>
        <v>0</v>
      </c>
      <c r="G75" t="s">
        <v>567</v>
      </c>
      <c r="H75" t="s">
        <v>5330</v>
      </c>
      <c r="I75" t="s">
        <v>9420</v>
      </c>
      <c r="J75" t="s">
        <v>11318</v>
      </c>
      <c r="K75" t="s">
        <v>15719</v>
      </c>
      <c r="L75">
        <f>HYPERLINK("https://www2.assemblee-nationale.fr/sycomore/fiche/(num_dept)/1640", "1640")</f>
        <v>0</v>
      </c>
      <c r="N75">
        <f>HYPERLINK("https://www.wikidata.org/wiki/Q15974297", "Q15974297")</f>
        <v>0</v>
      </c>
      <c r="O75" t="s">
        <v>20006</v>
      </c>
      <c r="P75" t="s">
        <v>20405</v>
      </c>
      <c r="Q75" t="s">
        <v>19426</v>
      </c>
      <c r="R75" t="s">
        <v>409</v>
      </c>
      <c r="S75">
        <v>1498</v>
      </c>
    </row>
    <row r="76" spans="1:19">
      <c r="A76" t="s">
        <v>19</v>
      </c>
      <c r="B76" t="s">
        <v>148</v>
      </c>
      <c r="C76" t="s">
        <v>151</v>
      </c>
      <c r="D76" t="s">
        <v>280</v>
      </c>
      <c r="E76" t="s">
        <v>409</v>
      </c>
      <c r="F76">
        <f>HYPERLINK("https://www.wikidata.org/wiki/Q33369535", "Q33369535")</f>
        <v>0</v>
      </c>
      <c r="G76" t="s">
        <v>568</v>
      </c>
      <c r="H76" t="s">
        <v>5331</v>
      </c>
      <c r="I76" t="s">
        <v>9421</v>
      </c>
      <c r="J76" t="s">
        <v>11319</v>
      </c>
      <c r="K76" t="s">
        <v>15720</v>
      </c>
      <c r="L76">
        <f>HYPERLINK("https://www2.assemblee-nationale.fr/sycomore/fiche/(num_dept)/1650", "1650")</f>
        <v>0</v>
      </c>
      <c r="M76">
        <f>HYPERLINK("https://www.senat.fr/senateur-3eme-republique/chapuis_gustave0947r3.html", "chapuis_gustave0947r3")</f>
        <v>0</v>
      </c>
      <c r="N76">
        <f>HYPERLINK("https://www.wikidata.org/wiki/Q3121135", "Q3121135")</f>
        <v>0</v>
      </c>
      <c r="O76" t="s">
        <v>20007</v>
      </c>
      <c r="P76" t="s">
        <v>20401</v>
      </c>
      <c r="Q76" t="s">
        <v>19426</v>
      </c>
      <c r="R76" t="s">
        <v>21370</v>
      </c>
      <c r="S76">
        <v>353</v>
      </c>
    </row>
    <row r="77" spans="1:19">
      <c r="A77" t="s">
        <v>19</v>
      </c>
      <c r="B77" t="s">
        <v>148</v>
      </c>
      <c r="C77" t="s">
        <v>151</v>
      </c>
      <c r="D77" t="s">
        <v>280</v>
      </c>
      <c r="E77" t="s">
        <v>409</v>
      </c>
      <c r="F77">
        <f>HYPERLINK("https://www.wikidata.org/wiki/Q33369535", "Q33369535")</f>
        <v>0</v>
      </c>
      <c r="G77" t="s">
        <v>569</v>
      </c>
      <c r="H77" t="s">
        <v>5332</v>
      </c>
      <c r="I77" t="s">
        <v>9422</v>
      </c>
      <c r="J77" t="s">
        <v>11320</v>
      </c>
      <c r="K77" t="s">
        <v>15721</v>
      </c>
      <c r="L77">
        <f>HYPERLINK("https://www2.assemblee-nationale.fr/sycomore/fiche/(num_dept)/1693", "1693")</f>
        <v>0</v>
      </c>
      <c r="M77">
        <f>HYPERLINK("https://www.senat.fr/senateur-3eme-republique/chassaing_eugene0995r3.html", "chassaing_eugene0995r3")</f>
        <v>0</v>
      </c>
      <c r="N77">
        <f>HYPERLINK("https://www.wikidata.org/wiki/Q3059770", "Q3059770")</f>
        <v>0</v>
      </c>
      <c r="O77" t="s">
        <v>20005</v>
      </c>
      <c r="P77" t="s">
        <v>20405</v>
      </c>
      <c r="Q77" t="s">
        <v>19426</v>
      </c>
      <c r="R77" t="s">
        <v>409</v>
      </c>
      <c r="S77">
        <v>1498</v>
      </c>
    </row>
    <row r="78" spans="1:19">
      <c r="A78" t="s">
        <v>19</v>
      </c>
      <c r="B78" t="s">
        <v>148</v>
      </c>
      <c r="C78" t="s">
        <v>151</v>
      </c>
      <c r="D78" t="s">
        <v>280</v>
      </c>
      <c r="E78" t="s">
        <v>409</v>
      </c>
      <c r="F78">
        <f>HYPERLINK("https://www.wikidata.org/wiki/Q33369535", "Q33369535")</f>
        <v>0</v>
      </c>
      <c r="G78" t="s">
        <v>570</v>
      </c>
      <c r="H78" t="s">
        <v>5333</v>
      </c>
      <c r="I78" t="s">
        <v>9423</v>
      </c>
      <c r="J78" t="s">
        <v>11321</v>
      </c>
      <c r="K78" t="s">
        <v>15722</v>
      </c>
      <c r="L78">
        <f>HYPERLINK("https://www2.assemblee-nationale.fr/sycomore/fiche/(num_dept)/1701", "1701")</f>
        <v>0</v>
      </c>
      <c r="M78">
        <f>HYPERLINK("https://www.senat.fr/senateur-3eme-republique/chastenet_de_castaing_guillaume0201r3.html", "chastenet_de_castaing_guillaume0201r3")</f>
        <v>0</v>
      </c>
      <c r="N78">
        <f>HYPERLINK("https://www.wikidata.org/wiki/Q3119745", "Q3119745")</f>
        <v>0</v>
      </c>
      <c r="O78" t="s">
        <v>19987</v>
      </c>
      <c r="P78" t="s">
        <v>20402</v>
      </c>
      <c r="Q78" t="s">
        <v>19426</v>
      </c>
      <c r="R78" t="s">
        <v>19412</v>
      </c>
      <c r="S78">
        <v>639</v>
      </c>
    </row>
    <row r="79" spans="1:19">
      <c r="A79" t="s">
        <v>19</v>
      </c>
      <c r="B79" t="s">
        <v>148</v>
      </c>
      <c r="C79" t="s">
        <v>151</v>
      </c>
      <c r="D79" t="s">
        <v>280</v>
      </c>
      <c r="E79" t="s">
        <v>409</v>
      </c>
      <c r="F79">
        <f>HYPERLINK("https://www.wikidata.org/wiki/Q33369535", "Q33369535")</f>
        <v>0</v>
      </c>
      <c r="G79" t="s">
        <v>571</v>
      </c>
      <c r="H79" t="s">
        <v>5334</v>
      </c>
      <c r="I79" t="s">
        <v>9424</v>
      </c>
      <c r="J79" t="s">
        <v>11322</v>
      </c>
      <c r="K79" t="s">
        <v>15723</v>
      </c>
      <c r="L79">
        <f>HYPERLINK("https://www2.assemblee-nationale.fr/sycomore/fiche/(num_dept)/1710", "1710")</f>
        <v>0</v>
      </c>
      <c r="N79">
        <f>HYPERLINK("https://www.wikidata.org/wiki/Q16798442", "Q16798442")</f>
        <v>0</v>
      </c>
      <c r="O79" t="s">
        <v>19995</v>
      </c>
      <c r="P79" t="s">
        <v>20401</v>
      </c>
      <c r="Q79" t="s">
        <v>19426</v>
      </c>
      <c r="R79" t="s">
        <v>409</v>
      </c>
      <c r="S79">
        <v>1498</v>
      </c>
    </row>
    <row r="80" spans="1:19">
      <c r="A80" t="s">
        <v>19</v>
      </c>
      <c r="B80" t="s">
        <v>148</v>
      </c>
      <c r="C80" t="s">
        <v>151</v>
      </c>
      <c r="D80" t="s">
        <v>280</v>
      </c>
      <c r="E80" t="s">
        <v>409</v>
      </c>
      <c r="F80">
        <f>HYPERLINK("https://www.wikidata.org/wiki/Q33369535", "Q33369535")</f>
        <v>0</v>
      </c>
      <c r="G80" t="s">
        <v>572</v>
      </c>
      <c r="H80" t="s">
        <v>5335</v>
      </c>
      <c r="I80" t="s">
        <v>9425</v>
      </c>
      <c r="J80" t="s">
        <v>11323</v>
      </c>
      <c r="K80" t="s">
        <v>15724</v>
      </c>
      <c r="L80">
        <f>HYPERLINK("https://www2.assemblee-nationale.fr/sycomore/fiche/(num_dept)/1713", "1713")</f>
        <v>0</v>
      </c>
      <c r="N80">
        <f>HYPERLINK("https://www.wikidata.org/wiki/Q3171275", "Q3171275")</f>
        <v>0</v>
      </c>
      <c r="O80" t="s">
        <v>19984</v>
      </c>
      <c r="P80" t="s">
        <v>20401</v>
      </c>
      <c r="Q80" t="s">
        <v>19426</v>
      </c>
      <c r="R80" t="s">
        <v>409</v>
      </c>
      <c r="S80">
        <v>1498</v>
      </c>
    </row>
    <row r="81" spans="1:19">
      <c r="A81" t="s">
        <v>19</v>
      </c>
      <c r="B81" t="s">
        <v>148</v>
      </c>
      <c r="C81" t="s">
        <v>151</v>
      </c>
      <c r="D81" t="s">
        <v>280</v>
      </c>
      <c r="E81" t="s">
        <v>409</v>
      </c>
      <c r="F81">
        <f>HYPERLINK("https://www.wikidata.org/wiki/Q33369535", "Q33369535")</f>
        <v>0</v>
      </c>
      <c r="G81" t="s">
        <v>573</v>
      </c>
      <c r="H81" t="s">
        <v>5336</v>
      </c>
      <c r="I81" t="s">
        <v>9385</v>
      </c>
      <c r="J81" t="s">
        <v>11324</v>
      </c>
      <c r="K81" t="s">
        <v>15725</v>
      </c>
      <c r="L81">
        <f>HYPERLINK("https://www2.assemblee-nationale.fr/sycomore/fiche/(num_dept)/1716", "1716")</f>
        <v>0</v>
      </c>
      <c r="M81">
        <f>HYPERLINK("https://www.senat.fr/senateur-3eme-republique/chaumet_jean0195r3.html", "chaumet_jean0195r3")</f>
        <v>0</v>
      </c>
      <c r="N81">
        <f>HYPERLINK("https://www.wikidata.org/wiki/Q2958718", "Q2958718")</f>
        <v>0</v>
      </c>
      <c r="O81" t="s">
        <v>19987</v>
      </c>
      <c r="P81" t="s">
        <v>20402</v>
      </c>
      <c r="Q81" t="s">
        <v>19426</v>
      </c>
      <c r="R81" t="s">
        <v>409</v>
      </c>
      <c r="S81">
        <v>1498</v>
      </c>
    </row>
    <row r="82" spans="1:19">
      <c r="A82" t="s">
        <v>19</v>
      </c>
      <c r="B82" t="s">
        <v>148</v>
      </c>
      <c r="C82" t="s">
        <v>151</v>
      </c>
      <c r="D82" t="s">
        <v>280</v>
      </c>
      <c r="E82" t="s">
        <v>409</v>
      </c>
      <c r="F82">
        <f>HYPERLINK("https://www.wikidata.org/wiki/Q33369535", "Q33369535")</f>
        <v>0</v>
      </c>
      <c r="G82" t="s">
        <v>574</v>
      </c>
      <c r="H82" t="s">
        <v>5337</v>
      </c>
      <c r="I82" t="s">
        <v>9426</v>
      </c>
      <c r="J82" t="s">
        <v>11325</v>
      </c>
      <c r="K82" t="s">
        <v>15726</v>
      </c>
      <c r="L82">
        <f>HYPERLINK("https://www2.assemblee-nationale.fr/sycomore/fiche/(num_dept)/1725", "1725")</f>
        <v>0</v>
      </c>
      <c r="M82">
        <f>HYPERLINK("https://www.senat.fr/senateur-3eme-republique/chautemps_alphonse0309r3.html", "chautemps_alphonse0309r3")</f>
        <v>0</v>
      </c>
      <c r="N82">
        <f>HYPERLINK("https://www.wikidata.org/wiki/Q2839734", "Q2839734")</f>
        <v>0</v>
      </c>
      <c r="O82" t="s">
        <v>20008</v>
      </c>
      <c r="P82" t="s">
        <v>20401</v>
      </c>
      <c r="Q82" t="s">
        <v>19426</v>
      </c>
      <c r="R82" t="s">
        <v>409</v>
      </c>
      <c r="S82">
        <v>1498</v>
      </c>
    </row>
    <row r="83" spans="1:19">
      <c r="A83" t="s">
        <v>19</v>
      </c>
      <c r="B83" t="s">
        <v>148</v>
      </c>
      <c r="C83" t="s">
        <v>151</v>
      </c>
      <c r="D83" t="s">
        <v>280</v>
      </c>
      <c r="E83" t="s">
        <v>409</v>
      </c>
      <c r="F83">
        <f>HYPERLINK("https://www.wikidata.org/wiki/Q33369535", "Q33369535")</f>
        <v>0</v>
      </c>
      <c r="G83" t="s">
        <v>575</v>
      </c>
      <c r="H83" t="s">
        <v>5337</v>
      </c>
      <c r="I83" t="s">
        <v>9427</v>
      </c>
      <c r="J83" t="s">
        <v>11326</v>
      </c>
      <c r="K83" t="s">
        <v>15727</v>
      </c>
      <c r="L83">
        <f>HYPERLINK("https://www2.assemblee-nationale.fr/sycomore/fiche/(num_dept)/1728", "1728")</f>
        <v>0</v>
      </c>
      <c r="N83">
        <f>HYPERLINK("https://www.wikidata.org/wiki/Q8323100", "Q8323100")</f>
        <v>0</v>
      </c>
      <c r="O83" t="s">
        <v>19988</v>
      </c>
      <c r="P83" t="s">
        <v>20405</v>
      </c>
      <c r="Q83" t="s">
        <v>19426</v>
      </c>
      <c r="R83" t="s">
        <v>409</v>
      </c>
      <c r="S83">
        <v>1498</v>
      </c>
    </row>
    <row r="84" spans="1:19">
      <c r="A84" t="s">
        <v>19</v>
      </c>
      <c r="B84" t="s">
        <v>148</v>
      </c>
      <c r="C84" t="s">
        <v>151</v>
      </c>
      <c r="D84" t="s">
        <v>280</v>
      </c>
      <c r="E84" t="s">
        <v>409</v>
      </c>
      <c r="F84">
        <f>HYPERLINK("https://www.wikidata.org/wiki/Q33369535", "Q33369535")</f>
        <v>0</v>
      </c>
      <c r="G84" t="s">
        <v>576</v>
      </c>
      <c r="H84" t="s">
        <v>5338</v>
      </c>
      <c r="I84" t="s">
        <v>6478</v>
      </c>
      <c r="J84" t="s">
        <v>11327</v>
      </c>
      <c r="K84" t="s">
        <v>15728</v>
      </c>
      <c r="L84">
        <f>HYPERLINK("https://www2.assemblee-nationale.fr/sycomore/fiche/(num_dept)/1768", "1768")</f>
        <v>0</v>
      </c>
      <c r="M84">
        <f>HYPERLINK("https://www.senat.fr/senateur-3eme-republique/cheron_henry0337r3.html", "cheron_henry0337r3")</f>
        <v>0</v>
      </c>
      <c r="N84">
        <f>HYPERLINK("https://www.wikidata.org/wiki/Q3132698", "Q3132698")</f>
        <v>0</v>
      </c>
      <c r="O84" t="s">
        <v>20009</v>
      </c>
      <c r="P84" t="s">
        <v>20401</v>
      </c>
      <c r="Q84" t="s">
        <v>19426</v>
      </c>
      <c r="R84" t="s">
        <v>20552</v>
      </c>
      <c r="S84">
        <v>1183</v>
      </c>
    </row>
    <row r="85" spans="1:19">
      <c r="A85" t="s">
        <v>19</v>
      </c>
      <c r="B85" t="s">
        <v>148</v>
      </c>
      <c r="C85" t="s">
        <v>151</v>
      </c>
      <c r="D85" t="s">
        <v>280</v>
      </c>
      <c r="E85" t="s">
        <v>409</v>
      </c>
      <c r="F85">
        <f>HYPERLINK("https://www.wikidata.org/wiki/Q33369535", "Q33369535")</f>
        <v>0</v>
      </c>
      <c r="G85" t="s">
        <v>577</v>
      </c>
      <c r="H85" t="s">
        <v>5339</v>
      </c>
      <c r="I85" t="s">
        <v>9428</v>
      </c>
      <c r="J85" t="s">
        <v>11328</v>
      </c>
      <c r="K85" t="s">
        <v>15729</v>
      </c>
      <c r="L85">
        <f>HYPERLINK("https://www2.assemblee-nationale.fr/sycomore/fiche/(num_dept)/1822", "1822")</f>
        <v>0</v>
      </c>
      <c r="N85">
        <f>HYPERLINK("https://www.wikidata.org/wiki/Q2835023", "Q2835023")</f>
        <v>0</v>
      </c>
      <c r="O85" t="s">
        <v>19967</v>
      </c>
      <c r="P85" t="s">
        <v>20408</v>
      </c>
      <c r="Q85" t="s">
        <v>19426</v>
      </c>
      <c r="R85" t="s">
        <v>409</v>
      </c>
      <c r="S85">
        <v>1498</v>
      </c>
    </row>
    <row r="86" spans="1:19">
      <c r="A86" t="s">
        <v>19</v>
      </c>
      <c r="B86" t="s">
        <v>148</v>
      </c>
      <c r="C86" t="s">
        <v>151</v>
      </c>
      <c r="D86" t="s">
        <v>280</v>
      </c>
      <c r="E86" t="s">
        <v>409</v>
      </c>
      <c r="F86">
        <f>HYPERLINK("https://www.wikidata.org/wiki/Q33369535", "Q33369535")</f>
        <v>0</v>
      </c>
      <c r="G86" t="s">
        <v>578</v>
      </c>
      <c r="H86" t="s">
        <v>5340</v>
      </c>
      <c r="I86" t="s">
        <v>9429</v>
      </c>
      <c r="J86" t="s">
        <v>11329</v>
      </c>
      <c r="K86" t="s">
        <v>15730</v>
      </c>
      <c r="L86">
        <f>HYPERLINK("https://www2.assemblee-nationale.fr/sycomore/fiche/(num_dept)/1831", "1831")</f>
        <v>0</v>
      </c>
      <c r="N86">
        <f>HYPERLINK("https://www.wikidata.org/wiki/Q16025454", "Q16025454")</f>
        <v>0</v>
      </c>
      <c r="O86" t="s">
        <v>20010</v>
      </c>
      <c r="P86" t="s">
        <v>20402</v>
      </c>
      <c r="Q86" t="s">
        <v>19426</v>
      </c>
      <c r="R86" t="s">
        <v>409</v>
      </c>
      <c r="S86">
        <v>1498</v>
      </c>
    </row>
    <row r="87" spans="1:19">
      <c r="A87" t="s">
        <v>19</v>
      </c>
      <c r="B87" t="s">
        <v>148</v>
      </c>
      <c r="C87" t="s">
        <v>151</v>
      </c>
      <c r="D87" t="s">
        <v>280</v>
      </c>
      <c r="E87" t="s">
        <v>409</v>
      </c>
      <c r="F87">
        <f>HYPERLINK("https://www.wikidata.org/wiki/Q33369535", "Q33369535")</f>
        <v>0</v>
      </c>
      <c r="G87" t="s">
        <v>579</v>
      </c>
      <c r="H87" t="s">
        <v>5341</v>
      </c>
      <c r="I87" t="s">
        <v>5394</v>
      </c>
      <c r="J87" t="s">
        <v>11330</v>
      </c>
      <c r="K87" t="s">
        <v>15731</v>
      </c>
      <c r="L87">
        <f>HYPERLINK("https://www2.assemblee-nationale.fr/sycomore/fiche/(num_dept)/1849", "1849")</f>
        <v>0</v>
      </c>
      <c r="M87">
        <f>HYPERLINK("https://www.senat.fr/senateur-3eme-republique/clementel_etienne1006r3.html", "clementel_etienne1006r3")</f>
        <v>0</v>
      </c>
      <c r="N87">
        <f>HYPERLINK("https://www.wikidata.org/wiki/Q3592114", "Q3592114")</f>
        <v>0</v>
      </c>
      <c r="O87" t="s">
        <v>20005</v>
      </c>
      <c r="P87" t="s">
        <v>20401</v>
      </c>
      <c r="Q87" t="s">
        <v>19426</v>
      </c>
      <c r="R87" t="s">
        <v>409</v>
      </c>
      <c r="S87">
        <v>1498</v>
      </c>
    </row>
    <row r="88" spans="1:19">
      <c r="A88" t="s">
        <v>19</v>
      </c>
      <c r="B88" t="s">
        <v>148</v>
      </c>
      <c r="C88" t="s">
        <v>151</v>
      </c>
      <c r="D88" t="s">
        <v>280</v>
      </c>
      <c r="E88" t="s">
        <v>409</v>
      </c>
      <c r="F88">
        <f>HYPERLINK("https://www.wikidata.org/wiki/Q33369535", "Q33369535")</f>
        <v>0</v>
      </c>
      <c r="G88" t="s">
        <v>580</v>
      </c>
      <c r="H88" t="s">
        <v>5342</v>
      </c>
      <c r="I88" t="s">
        <v>9430</v>
      </c>
      <c r="J88" t="s">
        <v>11331</v>
      </c>
      <c r="K88" t="s">
        <v>15732</v>
      </c>
      <c r="L88">
        <f>HYPERLINK("https://www2.assemblee-nationale.fr/sycomore/fiche/(num_dept)/1859", "1859")</f>
        <v>0</v>
      </c>
      <c r="N88">
        <f>HYPERLINK("https://www.wikidata.org/wiki/Q3588422", "Q3588422")</f>
        <v>0</v>
      </c>
      <c r="O88" t="s">
        <v>20011</v>
      </c>
      <c r="P88" t="s">
        <v>20402</v>
      </c>
      <c r="Q88" t="s">
        <v>19426</v>
      </c>
      <c r="R88" t="s">
        <v>409</v>
      </c>
      <c r="S88">
        <v>1498</v>
      </c>
    </row>
    <row r="89" spans="1:19">
      <c r="A89" t="s">
        <v>19</v>
      </c>
      <c r="B89" t="s">
        <v>148</v>
      </c>
      <c r="C89" t="s">
        <v>151</v>
      </c>
      <c r="D89" t="s">
        <v>280</v>
      </c>
      <c r="E89" t="s">
        <v>409</v>
      </c>
      <c r="F89">
        <f>HYPERLINK("https://www.wikidata.org/wiki/Q33369535", "Q33369535")</f>
        <v>0</v>
      </c>
      <c r="G89" t="s">
        <v>581</v>
      </c>
      <c r="H89" t="s">
        <v>5343</v>
      </c>
      <c r="I89" t="s">
        <v>9431</v>
      </c>
      <c r="J89" t="s">
        <v>11332</v>
      </c>
      <c r="K89" t="s">
        <v>15733</v>
      </c>
      <c r="L89">
        <f>HYPERLINK("https://www2.assemblee-nationale.fr/sycomore/fiche/(num_dept)/1865", "1865")</f>
        <v>0</v>
      </c>
      <c r="N89">
        <f>HYPERLINK("https://www.wikidata.org/wiki/Q16025465", "Q16025465")</f>
        <v>0</v>
      </c>
      <c r="O89" t="s">
        <v>20012</v>
      </c>
      <c r="P89" t="s">
        <v>20409</v>
      </c>
      <c r="Q89" t="s">
        <v>19426</v>
      </c>
      <c r="R89" t="s">
        <v>15733</v>
      </c>
      <c r="S89">
        <v>73</v>
      </c>
    </row>
    <row r="90" spans="1:19">
      <c r="A90" t="s">
        <v>19</v>
      </c>
      <c r="B90" t="s">
        <v>148</v>
      </c>
      <c r="C90" t="s">
        <v>151</v>
      </c>
      <c r="D90" t="s">
        <v>280</v>
      </c>
      <c r="E90" t="s">
        <v>409</v>
      </c>
      <c r="F90">
        <f>HYPERLINK("https://www.wikidata.org/wiki/Q33369535", "Q33369535")</f>
        <v>0</v>
      </c>
      <c r="G90" t="s">
        <v>582</v>
      </c>
      <c r="H90" t="s">
        <v>5344</v>
      </c>
      <c r="I90" t="s">
        <v>6175</v>
      </c>
      <c r="J90" t="s">
        <v>11333</v>
      </c>
      <c r="K90" t="s">
        <v>15734</v>
      </c>
      <c r="L90">
        <f>HYPERLINK("https://www2.assemblee-nationale.fr/sycomore/fiche/(num_dept)/1869", "1869")</f>
        <v>0</v>
      </c>
      <c r="N90">
        <f>HYPERLINK("https://www.wikidata.org/wiki/Q2599226", "Q2599226")</f>
        <v>0</v>
      </c>
      <c r="O90" t="s">
        <v>19958</v>
      </c>
      <c r="P90" t="s">
        <v>20401</v>
      </c>
      <c r="Q90" t="s">
        <v>19426</v>
      </c>
      <c r="R90" t="s">
        <v>409</v>
      </c>
      <c r="S90">
        <v>1498</v>
      </c>
    </row>
    <row r="91" spans="1:19">
      <c r="A91" t="s">
        <v>19</v>
      </c>
      <c r="B91" t="s">
        <v>148</v>
      </c>
      <c r="C91" t="s">
        <v>151</v>
      </c>
      <c r="D91" t="s">
        <v>280</v>
      </c>
      <c r="E91" t="s">
        <v>409</v>
      </c>
      <c r="F91">
        <f>HYPERLINK("https://www.wikidata.org/wiki/Q33369535", "Q33369535")</f>
        <v>0</v>
      </c>
      <c r="G91" t="s">
        <v>583</v>
      </c>
      <c r="H91" t="s">
        <v>5345</v>
      </c>
      <c r="I91" t="s">
        <v>9432</v>
      </c>
      <c r="J91" t="s">
        <v>11334</v>
      </c>
      <c r="K91" t="s">
        <v>15735</v>
      </c>
      <c r="L91">
        <f>HYPERLINK("https://www2.assemblee-nationale.fr/sycomore/fiche/(num_dept)/1874", "1874")</f>
        <v>0</v>
      </c>
      <c r="N91">
        <f>HYPERLINK("https://www.wikidata.org/wiki/Q3023401", "Q3023401")</f>
        <v>0</v>
      </c>
      <c r="O91" t="s">
        <v>19969</v>
      </c>
      <c r="P91" t="s">
        <v>20408</v>
      </c>
      <c r="Q91" t="s">
        <v>19426</v>
      </c>
      <c r="R91" t="s">
        <v>409</v>
      </c>
      <c r="S91">
        <v>1498</v>
      </c>
    </row>
    <row r="92" spans="1:19">
      <c r="A92" t="s">
        <v>19</v>
      </c>
      <c r="B92" t="s">
        <v>148</v>
      </c>
      <c r="C92" t="s">
        <v>151</v>
      </c>
      <c r="D92" t="s">
        <v>280</v>
      </c>
      <c r="E92" t="s">
        <v>409</v>
      </c>
      <c r="F92">
        <f>HYPERLINK("https://www.wikidata.org/wiki/Q33369535", "Q33369535")</f>
        <v>0</v>
      </c>
      <c r="G92" t="s">
        <v>584</v>
      </c>
      <c r="H92" t="s">
        <v>5345</v>
      </c>
      <c r="I92" t="s">
        <v>9433</v>
      </c>
      <c r="J92" t="s">
        <v>11335</v>
      </c>
      <c r="K92" t="s">
        <v>15736</v>
      </c>
      <c r="L92">
        <f>HYPERLINK("https://www2.assemblee-nationale.fr/sycomore/fiche/(num_dept)/1875", "1875")</f>
        <v>0</v>
      </c>
      <c r="N92">
        <f>HYPERLINK("https://www.wikidata.org/wiki/Q3132702", "Q3132702")</f>
        <v>0</v>
      </c>
      <c r="O92" t="s">
        <v>20013</v>
      </c>
      <c r="P92" t="s">
        <v>20410</v>
      </c>
      <c r="Q92" t="s">
        <v>19426</v>
      </c>
      <c r="R92" t="s">
        <v>409</v>
      </c>
      <c r="S92">
        <v>1498</v>
      </c>
    </row>
    <row r="93" spans="1:19">
      <c r="A93" t="s">
        <v>19</v>
      </c>
      <c r="B93" t="s">
        <v>148</v>
      </c>
      <c r="C93" t="s">
        <v>151</v>
      </c>
      <c r="D93" t="s">
        <v>280</v>
      </c>
      <c r="E93" t="s">
        <v>409</v>
      </c>
      <c r="F93">
        <f>HYPERLINK("https://www.wikidata.org/wiki/Q33369535", "Q33369535")</f>
        <v>0</v>
      </c>
      <c r="G93" t="s">
        <v>585</v>
      </c>
      <c r="H93" t="s">
        <v>5346</v>
      </c>
      <c r="I93" t="s">
        <v>9434</v>
      </c>
      <c r="J93" t="s">
        <v>11336</v>
      </c>
      <c r="K93" t="s">
        <v>15737</v>
      </c>
      <c r="L93">
        <f>HYPERLINK("https://www2.assemblee-nationale.fr/sycomore/fiche/(num_dept)/1897", "1897")</f>
        <v>0</v>
      </c>
      <c r="M93">
        <f>HYPERLINK("https://www.senat.fr/senateur-3eme-republique/colin_maurice0839r3.html", "colin_maurice0839r3")</f>
        <v>0</v>
      </c>
      <c r="N93">
        <f>HYPERLINK("https://www.wikidata.org/wiki/Q16938256", "Q16938256")</f>
        <v>0</v>
      </c>
      <c r="O93" t="s">
        <v>20000</v>
      </c>
      <c r="P93" t="s">
        <v>20402</v>
      </c>
      <c r="Q93" t="s">
        <v>19426</v>
      </c>
      <c r="R93" t="s">
        <v>400</v>
      </c>
      <c r="S93">
        <v>623</v>
      </c>
    </row>
    <row r="94" spans="1:19">
      <c r="A94" t="s">
        <v>19</v>
      </c>
      <c r="B94" t="s">
        <v>148</v>
      </c>
      <c r="C94" t="s">
        <v>151</v>
      </c>
      <c r="D94" t="s">
        <v>280</v>
      </c>
      <c r="E94" t="s">
        <v>409</v>
      </c>
      <c r="F94">
        <f>HYPERLINK("https://www.wikidata.org/wiki/Q33369535", "Q33369535")</f>
        <v>0</v>
      </c>
      <c r="G94" t="s">
        <v>586</v>
      </c>
      <c r="H94" t="s">
        <v>5347</v>
      </c>
      <c r="I94" t="s">
        <v>9435</v>
      </c>
      <c r="J94" t="s">
        <v>11337</v>
      </c>
      <c r="K94" t="s">
        <v>15738</v>
      </c>
      <c r="L94">
        <f>HYPERLINK("https://www2.assemblee-nationale.fr/sycomore/fiche/(num_dept)/1926", "1926")</f>
        <v>0</v>
      </c>
      <c r="N94">
        <f>HYPERLINK("https://www.wikidata.org/wiki/Q16025476", "Q16025476")</f>
        <v>0</v>
      </c>
      <c r="O94" t="s">
        <v>19987</v>
      </c>
      <c r="P94" t="s">
        <v>20401</v>
      </c>
      <c r="Q94" t="s">
        <v>19426</v>
      </c>
      <c r="R94" t="s">
        <v>409</v>
      </c>
      <c r="S94">
        <v>1498</v>
      </c>
    </row>
    <row r="95" spans="1:19">
      <c r="A95" t="s">
        <v>19</v>
      </c>
      <c r="B95" t="s">
        <v>148</v>
      </c>
      <c r="C95" t="s">
        <v>151</v>
      </c>
      <c r="D95" t="s">
        <v>280</v>
      </c>
      <c r="E95" t="s">
        <v>409</v>
      </c>
      <c r="F95">
        <f>HYPERLINK("https://www.wikidata.org/wiki/Q33369535", "Q33369535")</f>
        <v>0</v>
      </c>
      <c r="G95" t="s">
        <v>587</v>
      </c>
      <c r="H95" t="s">
        <v>5348</v>
      </c>
      <c r="I95" t="s">
        <v>9436</v>
      </c>
      <c r="J95" t="s">
        <v>11338</v>
      </c>
      <c r="K95" t="s">
        <v>15739</v>
      </c>
      <c r="L95">
        <f>HYPERLINK("https://www2.assemblee-nationale.fr/sycomore/fiche/(num_dept)/1934", "1934")</f>
        <v>0</v>
      </c>
      <c r="N95">
        <f>HYPERLINK("https://www.wikidata.org/wiki/Q2825487", "Q2825487")</f>
        <v>0</v>
      </c>
      <c r="O95" t="s">
        <v>20014</v>
      </c>
      <c r="P95" t="s">
        <v>20404</v>
      </c>
      <c r="Q95" t="s">
        <v>19426</v>
      </c>
      <c r="R95" t="s">
        <v>409</v>
      </c>
      <c r="S95">
        <v>1498</v>
      </c>
    </row>
    <row r="96" spans="1:19">
      <c r="A96" t="s">
        <v>19</v>
      </c>
      <c r="B96" t="s">
        <v>148</v>
      </c>
      <c r="C96" t="s">
        <v>151</v>
      </c>
      <c r="D96" t="s">
        <v>280</v>
      </c>
      <c r="E96" t="s">
        <v>409</v>
      </c>
      <c r="F96">
        <f>HYPERLINK("https://www.wikidata.org/wiki/Q33369535", "Q33369535")</f>
        <v>0</v>
      </c>
      <c r="G96" t="s">
        <v>588</v>
      </c>
      <c r="H96" t="s">
        <v>5349</v>
      </c>
      <c r="I96" t="s">
        <v>9437</v>
      </c>
      <c r="J96" t="s">
        <v>11339</v>
      </c>
      <c r="K96" t="s">
        <v>15740</v>
      </c>
      <c r="L96">
        <f>HYPERLINK("https://www2.assemblee-nationale.fr/sycomore/fiche/(num_dept)/1947", "1947")</f>
        <v>0</v>
      </c>
      <c r="N96">
        <f>HYPERLINK("https://www.wikidata.org/wiki/Q3588426", "Q3588426")</f>
        <v>0</v>
      </c>
      <c r="O96" t="s">
        <v>19987</v>
      </c>
      <c r="P96" t="s">
        <v>20402</v>
      </c>
      <c r="Q96" t="s">
        <v>19426</v>
      </c>
      <c r="R96" t="s">
        <v>409</v>
      </c>
      <c r="S96">
        <v>1498</v>
      </c>
    </row>
    <row r="97" spans="1:19">
      <c r="A97" t="s">
        <v>19</v>
      </c>
      <c r="B97" t="s">
        <v>148</v>
      </c>
      <c r="C97" t="s">
        <v>151</v>
      </c>
      <c r="D97" t="s">
        <v>280</v>
      </c>
      <c r="E97" t="s">
        <v>409</v>
      </c>
      <c r="F97">
        <f>HYPERLINK("https://www.wikidata.org/wiki/Q33369535", "Q33369535")</f>
        <v>0</v>
      </c>
      <c r="G97" t="s">
        <v>589</v>
      </c>
      <c r="H97" t="s">
        <v>5350</v>
      </c>
      <c r="I97" t="s">
        <v>9438</v>
      </c>
      <c r="J97" t="s">
        <v>11340</v>
      </c>
      <c r="K97" t="s">
        <v>15741</v>
      </c>
      <c r="L97">
        <f>HYPERLINK("https://www2.assemblee-nationale.fr/sycomore/fiche/(num_dept)/1979", "1979")</f>
        <v>0</v>
      </c>
      <c r="M97">
        <f>HYPERLINK("https://www.senat.fr/senateur-3eme-republique/cornudet_des_chaumettes_honore1635r3.html", "cornudet_des_chaumettes_honore1635r3")</f>
        <v>0</v>
      </c>
      <c r="N97">
        <f>HYPERLINK("https://www.wikidata.org/wiki/Q3140215", "Q3140215")</f>
        <v>0</v>
      </c>
      <c r="O97" t="s">
        <v>19976</v>
      </c>
      <c r="Q97" t="s">
        <v>19426</v>
      </c>
      <c r="R97" t="s">
        <v>409</v>
      </c>
      <c r="S97">
        <v>1498</v>
      </c>
    </row>
    <row r="98" spans="1:19">
      <c r="A98" t="s">
        <v>19</v>
      </c>
      <c r="B98" t="s">
        <v>148</v>
      </c>
      <c r="C98" t="s">
        <v>151</v>
      </c>
      <c r="D98" t="s">
        <v>280</v>
      </c>
      <c r="E98" t="s">
        <v>409</v>
      </c>
      <c r="F98">
        <f>HYPERLINK("https://www.wikidata.org/wiki/Q33369535", "Q33369535")</f>
        <v>0</v>
      </c>
      <c r="G98" t="s">
        <v>590</v>
      </c>
      <c r="H98" t="s">
        <v>5351</v>
      </c>
      <c r="I98" t="s">
        <v>9439</v>
      </c>
      <c r="J98" t="s">
        <v>11341</v>
      </c>
      <c r="K98" t="s">
        <v>15742</v>
      </c>
      <c r="L98">
        <f>HYPERLINK("https://www2.assemblee-nationale.fr/sycomore/fiche/(num_dept)/1989", "1989")</f>
        <v>0</v>
      </c>
      <c r="M98">
        <f>HYPERLINK("https://www.senat.fr/senateur-3eme-republique/cosnier_henri0280r3.html", "cosnier_henri0280r3")</f>
        <v>0</v>
      </c>
      <c r="N98">
        <f>HYPERLINK("https://www.wikidata.org/wiki/Q3130887", "Q3130887")</f>
        <v>0</v>
      </c>
      <c r="O98" t="s">
        <v>19975</v>
      </c>
      <c r="P98" t="s">
        <v>20405</v>
      </c>
      <c r="Q98" t="s">
        <v>19426</v>
      </c>
      <c r="R98" t="s">
        <v>409</v>
      </c>
      <c r="S98">
        <v>1498</v>
      </c>
    </row>
    <row r="99" spans="1:19">
      <c r="A99" t="s">
        <v>19</v>
      </c>
      <c r="B99" t="s">
        <v>148</v>
      </c>
      <c r="C99" t="s">
        <v>151</v>
      </c>
      <c r="D99" t="s">
        <v>280</v>
      </c>
      <c r="E99" t="s">
        <v>409</v>
      </c>
      <c r="F99">
        <f>HYPERLINK("https://www.wikidata.org/wiki/Q33369535", "Q33369535")</f>
        <v>0</v>
      </c>
      <c r="G99" t="s">
        <v>591</v>
      </c>
      <c r="H99" t="s">
        <v>5352</v>
      </c>
      <c r="I99" t="s">
        <v>9440</v>
      </c>
      <c r="J99" t="s">
        <v>11342</v>
      </c>
      <c r="K99" t="s">
        <v>15743</v>
      </c>
      <c r="L99">
        <f>HYPERLINK("https://www2.assemblee-nationale.fr/sycomore/fiche/(num_dept)/2013", "2013")</f>
        <v>0</v>
      </c>
      <c r="N99">
        <f>HYPERLINK("https://www.wikidata.org/wiki/Q8332247", "Q8332247")</f>
        <v>0</v>
      </c>
      <c r="O99" t="s">
        <v>20015</v>
      </c>
      <c r="P99" t="s">
        <v>20405</v>
      </c>
      <c r="Q99" t="s">
        <v>19426</v>
      </c>
      <c r="R99" t="s">
        <v>409</v>
      </c>
      <c r="S99">
        <v>1498</v>
      </c>
    </row>
    <row r="100" spans="1:19">
      <c r="A100" t="s">
        <v>19</v>
      </c>
      <c r="B100" t="s">
        <v>148</v>
      </c>
      <c r="C100" t="s">
        <v>151</v>
      </c>
      <c r="D100" t="s">
        <v>280</v>
      </c>
      <c r="E100" t="s">
        <v>409</v>
      </c>
      <c r="F100">
        <f>HYPERLINK("https://www.wikidata.org/wiki/Q33369535", "Q33369535")</f>
        <v>0</v>
      </c>
      <c r="G100" t="s">
        <v>592</v>
      </c>
      <c r="H100" t="s">
        <v>5353</v>
      </c>
      <c r="I100" t="s">
        <v>9441</v>
      </c>
      <c r="J100" t="s">
        <v>11343</v>
      </c>
      <c r="K100" t="s">
        <v>15744</v>
      </c>
      <c r="L100">
        <f>HYPERLINK("https://www2.assemblee-nationale.fr/sycomore/fiche/(num_dept)/2048", "2048")</f>
        <v>0</v>
      </c>
      <c r="N100">
        <f>HYPERLINK("https://www.wikidata.org/wiki/Q16025498", "Q16025498")</f>
        <v>0</v>
      </c>
      <c r="O100" t="s">
        <v>19969</v>
      </c>
      <c r="P100" t="s">
        <v>20406</v>
      </c>
      <c r="Q100" t="s">
        <v>19426</v>
      </c>
      <c r="R100" t="s">
        <v>21371</v>
      </c>
      <c r="S100">
        <v>1207</v>
      </c>
    </row>
    <row r="101" spans="1:19">
      <c r="A101" t="s">
        <v>19</v>
      </c>
      <c r="B101" t="s">
        <v>148</v>
      </c>
      <c r="C101" t="s">
        <v>151</v>
      </c>
      <c r="D101" t="s">
        <v>280</v>
      </c>
      <c r="E101" t="s">
        <v>409</v>
      </c>
      <c r="F101">
        <f>HYPERLINK("https://www.wikidata.org/wiki/Q33369535", "Q33369535")</f>
        <v>0</v>
      </c>
      <c r="G101" t="s">
        <v>593</v>
      </c>
      <c r="H101" t="s">
        <v>5354</v>
      </c>
      <c r="I101" t="s">
        <v>9442</v>
      </c>
      <c r="J101" t="s">
        <v>11344</v>
      </c>
      <c r="K101" t="s">
        <v>15745</v>
      </c>
      <c r="L101">
        <f>HYPERLINK("https://www2.assemblee-nationale.fr/sycomore/fiche/(num_dept)/2066", "2066")</f>
        <v>0</v>
      </c>
      <c r="N101">
        <f>HYPERLINK("https://www.wikidata.org/wiki/Q16025503", "Q16025503")</f>
        <v>0</v>
      </c>
      <c r="O101" t="s">
        <v>19986</v>
      </c>
      <c r="P101" t="s">
        <v>20401</v>
      </c>
      <c r="Q101" t="s">
        <v>19426</v>
      </c>
      <c r="R101" t="s">
        <v>409</v>
      </c>
      <c r="S101">
        <v>1498</v>
      </c>
    </row>
    <row r="102" spans="1:19">
      <c r="A102" t="s">
        <v>19</v>
      </c>
      <c r="B102" t="s">
        <v>148</v>
      </c>
      <c r="C102" t="s">
        <v>151</v>
      </c>
      <c r="D102" t="s">
        <v>280</v>
      </c>
      <c r="E102" t="s">
        <v>409</v>
      </c>
      <c r="F102">
        <f>HYPERLINK("https://www.wikidata.org/wiki/Q33369535", "Q33369535")</f>
        <v>0</v>
      </c>
      <c r="G102" t="s">
        <v>594</v>
      </c>
      <c r="H102" t="s">
        <v>5355</v>
      </c>
      <c r="I102" t="s">
        <v>6200</v>
      </c>
      <c r="J102" t="s">
        <v>11345</v>
      </c>
      <c r="K102" t="s">
        <v>15746</v>
      </c>
      <c r="L102">
        <f>HYPERLINK("https://www2.assemblee-nationale.fr/sycomore/fiche/(num_dept)/2080", "2080")</f>
        <v>0</v>
      </c>
      <c r="M102">
        <f>HYPERLINK("https://www.senat.fr/senateur-3eme-republique/cruppi_jean0109r3.html", "cruppi_jean0109r3")</f>
        <v>0</v>
      </c>
      <c r="N102">
        <f>HYPERLINK("https://www.wikidata.org/wiki/Q730383", "Q730383")</f>
        <v>0</v>
      </c>
      <c r="O102" t="s">
        <v>20016</v>
      </c>
      <c r="P102" t="s">
        <v>20401</v>
      </c>
      <c r="Q102" t="s">
        <v>19426</v>
      </c>
      <c r="R102" t="s">
        <v>409</v>
      </c>
      <c r="S102">
        <v>1498</v>
      </c>
    </row>
    <row r="103" spans="1:19">
      <c r="A103" t="s">
        <v>19</v>
      </c>
      <c r="B103" t="s">
        <v>148</v>
      </c>
      <c r="C103" t="s">
        <v>151</v>
      </c>
      <c r="D103" t="s">
        <v>280</v>
      </c>
      <c r="E103" t="s">
        <v>409</v>
      </c>
      <c r="F103">
        <f>HYPERLINK("https://www.wikidata.org/wiki/Q33369535", "Q33369535")</f>
        <v>0</v>
      </c>
      <c r="G103" t="s">
        <v>595</v>
      </c>
      <c r="H103" t="s">
        <v>5356</v>
      </c>
      <c r="I103" t="s">
        <v>9388</v>
      </c>
      <c r="J103" t="s">
        <v>11346</v>
      </c>
      <c r="K103" t="s">
        <v>15747</v>
      </c>
      <c r="L103">
        <f>HYPERLINK("https://www2.assemblee-nationale.fr/sycomore/fiche/(num_dept)/2086", "2086")</f>
        <v>0</v>
      </c>
      <c r="N103">
        <f>HYPERLINK("https://www.wikidata.org/wiki/Q3370963", "Q3370963")</f>
        <v>0</v>
      </c>
      <c r="O103" t="s">
        <v>20017</v>
      </c>
      <c r="P103" t="s">
        <v>20401</v>
      </c>
      <c r="Q103" t="s">
        <v>19426</v>
      </c>
      <c r="R103" t="s">
        <v>409</v>
      </c>
      <c r="S103">
        <v>1498</v>
      </c>
    </row>
    <row r="104" spans="1:19">
      <c r="A104" t="s">
        <v>19</v>
      </c>
      <c r="B104" t="s">
        <v>148</v>
      </c>
      <c r="C104" t="s">
        <v>151</v>
      </c>
      <c r="D104" t="s">
        <v>280</v>
      </c>
      <c r="E104" t="s">
        <v>409</v>
      </c>
      <c r="F104">
        <f>HYPERLINK("https://www.wikidata.org/wiki/Q33369535", "Q33369535")</f>
        <v>0</v>
      </c>
      <c r="G104" t="s">
        <v>596</v>
      </c>
      <c r="H104" t="s">
        <v>5357</v>
      </c>
      <c r="I104" t="s">
        <v>9443</v>
      </c>
      <c r="J104" t="s">
        <v>11347</v>
      </c>
      <c r="K104" t="s">
        <v>15748</v>
      </c>
      <c r="L104">
        <f>HYPERLINK("https://www2.assemblee-nationale.fr/sycomore/fiche/(num_dept)/2091", "2091")</f>
        <v>0</v>
      </c>
      <c r="M104">
        <f>HYPERLINK("https://www.senat.fr/senateur-3eme-republique/cuttoli_paul0695r3.html", "cuttoli_paul0695r3")</f>
        <v>0</v>
      </c>
      <c r="N104">
        <f>HYPERLINK("https://www.wikidata.org/wiki/Q3370965", "Q3370965")</f>
        <v>0</v>
      </c>
      <c r="O104" t="s">
        <v>20000</v>
      </c>
      <c r="P104" t="s">
        <v>20405</v>
      </c>
      <c r="Q104" t="s">
        <v>19426</v>
      </c>
      <c r="R104" t="s">
        <v>409</v>
      </c>
      <c r="S104">
        <v>1498</v>
      </c>
    </row>
    <row r="105" spans="1:19">
      <c r="A105" t="s">
        <v>19</v>
      </c>
      <c r="B105" t="s">
        <v>148</v>
      </c>
      <c r="C105" t="s">
        <v>151</v>
      </c>
      <c r="D105" t="s">
        <v>280</v>
      </c>
      <c r="E105" t="s">
        <v>409</v>
      </c>
      <c r="F105">
        <f>HYPERLINK("https://www.wikidata.org/wiki/Q33369535", "Q33369535")</f>
        <v>0</v>
      </c>
      <c r="G105" t="s">
        <v>597</v>
      </c>
      <c r="H105" t="s">
        <v>5358</v>
      </c>
      <c r="I105" t="s">
        <v>6584</v>
      </c>
      <c r="J105" t="s">
        <v>11348</v>
      </c>
      <c r="K105" t="s">
        <v>15749</v>
      </c>
      <c r="L105">
        <f>HYPERLINK("https://www2.assemblee-nationale.fr/sycomore/fiche/(num_dept)/2110", "2110")</f>
        <v>0</v>
      </c>
      <c r="N105">
        <f>HYPERLINK("https://www.wikidata.org/wiki/Q2831073", "Q2831073")</f>
        <v>0</v>
      </c>
      <c r="O105" t="s">
        <v>19976</v>
      </c>
      <c r="P105" t="s">
        <v>20405</v>
      </c>
      <c r="Q105" t="s">
        <v>19426</v>
      </c>
      <c r="R105" t="s">
        <v>409</v>
      </c>
      <c r="S105">
        <v>1498</v>
      </c>
    </row>
    <row r="106" spans="1:19">
      <c r="A106" t="s">
        <v>19</v>
      </c>
      <c r="B106" t="s">
        <v>148</v>
      </c>
      <c r="C106" t="s">
        <v>151</v>
      </c>
      <c r="D106" t="s">
        <v>280</v>
      </c>
      <c r="E106" t="s">
        <v>409</v>
      </c>
      <c r="F106">
        <f>HYPERLINK("https://www.wikidata.org/wiki/Q33369535", "Q33369535")</f>
        <v>0</v>
      </c>
      <c r="G106" t="s">
        <v>598</v>
      </c>
      <c r="H106" t="s">
        <v>5359</v>
      </c>
      <c r="I106" t="s">
        <v>9444</v>
      </c>
      <c r="J106" t="s">
        <v>11349</v>
      </c>
      <c r="K106" t="s">
        <v>15750</v>
      </c>
      <c r="L106">
        <f>HYPERLINK("https://www2.assemblee-nationale.fr/sycomore/fiche/(num_dept)/2127", "2127")</f>
        <v>0</v>
      </c>
      <c r="N106">
        <f>HYPERLINK("https://www.wikidata.org/wiki/Q16025516", "Q16025516")</f>
        <v>0</v>
      </c>
      <c r="O106" t="s">
        <v>20013</v>
      </c>
      <c r="P106" t="s">
        <v>20410</v>
      </c>
      <c r="Q106" t="s">
        <v>19426</v>
      </c>
      <c r="R106" t="s">
        <v>409</v>
      </c>
      <c r="S106">
        <v>1498</v>
      </c>
    </row>
    <row r="107" spans="1:19">
      <c r="A107" t="s">
        <v>19</v>
      </c>
      <c r="B107" t="s">
        <v>148</v>
      </c>
      <c r="C107" t="s">
        <v>151</v>
      </c>
      <c r="D107" t="s">
        <v>280</v>
      </c>
      <c r="E107" t="s">
        <v>409</v>
      </c>
      <c r="F107">
        <f>HYPERLINK("https://www.wikidata.org/wiki/Q33369535", "Q33369535")</f>
        <v>0</v>
      </c>
      <c r="G107" t="s">
        <v>599</v>
      </c>
      <c r="H107" t="s">
        <v>5360</v>
      </c>
      <c r="I107" t="s">
        <v>9445</v>
      </c>
      <c r="J107" t="s">
        <v>11350</v>
      </c>
      <c r="K107" t="s">
        <v>15751</v>
      </c>
      <c r="L107">
        <f>HYPERLINK("https://www2.assemblee-nationale.fr/sycomore/fiche/(num_dept)/2132", "2132")</f>
        <v>0</v>
      </c>
      <c r="N107">
        <f>HYPERLINK("https://www.wikidata.org/wiki/Q2825149", "Q2825149")</f>
        <v>0</v>
      </c>
      <c r="O107" t="s">
        <v>19957</v>
      </c>
      <c r="P107" t="s">
        <v>20402</v>
      </c>
      <c r="Q107" t="s">
        <v>19426</v>
      </c>
      <c r="R107" t="s">
        <v>409</v>
      </c>
      <c r="S107">
        <v>1498</v>
      </c>
    </row>
    <row r="108" spans="1:19">
      <c r="A108" t="s">
        <v>19</v>
      </c>
      <c r="B108" t="s">
        <v>148</v>
      </c>
      <c r="C108" t="s">
        <v>151</v>
      </c>
      <c r="D108" t="s">
        <v>280</v>
      </c>
      <c r="E108" t="s">
        <v>409</v>
      </c>
      <c r="F108">
        <f>HYPERLINK("https://www.wikidata.org/wiki/Q33369535", "Q33369535")</f>
        <v>0</v>
      </c>
      <c r="G108" t="s">
        <v>600</v>
      </c>
      <c r="H108" t="s">
        <v>5361</v>
      </c>
      <c r="I108" t="s">
        <v>9446</v>
      </c>
      <c r="J108" t="s">
        <v>11351</v>
      </c>
      <c r="K108" t="s">
        <v>15752</v>
      </c>
      <c r="L108">
        <f>HYPERLINK("https://www2.assemblee-nationale.fr/sycomore/fiche/(num_dept)/2171", "2171")</f>
        <v>0</v>
      </c>
      <c r="M108">
        <f>HYPERLINK("https://www.senat.fr/senateur-3eme-republique/david_fernand1309r3.html", "david_fernand1309r3")</f>
        <v>0</v>
      </c>
      <c r="N108">
        <f>HYPERLINK("https://www.wikidata.org/wiki/Q3069115", "Q3069115")</f>
        <v>0</v>
      </c>
      <c r="O108" t="s">
        <v>20018</v>
      </c>
      <c r="P108" t="s">
        <v>20401</v>
      </c>
      <c r="Q108" t="s">
        <v>19426</v>
      </c>
      <c r="R108" t="s">
        <v>409</v>
      </c>
      <c r="S108">
        <v>1498</v>
      </c>
    </row>
    <row r="109" spans="1:19">
      <c r="A109" t="s">
        <v>19</v>
      </c>
      <c r="B109" t="s">
        <v>148</v>
      </c>
      <c r="C109" t="s">
        <v>151</v>
      </c>
      <c r="D109" t="s">
        <v>280</v>
      </c>
      <c r="E109" t="s">
        <v>409</v>
      </c>
      <c r="F109">
        <f>HYPERLINK("https://www.wikidata.org/wiki/Q33369535", "Q33369535")</f>
        <v>0</v>
      </c>
      <c r="G109" t="s">
        <v>601</v>
      </c>
      <c r="H109" t="s">
        <v>5361</v>
      </c>
      <c r="I109" t="s">
        <v>6759</v>
      </c>
      <c r="J109" t="s">
        <v>11352</v>
      </c>
      <c r="K109" t="s">
        <v>15753</v>
      </c>
      <c r="L109">
        <f>HYPERLINK("https://www2.assemblee-nationale.fr/sycomore/fiche/(num_dept)/2176", "2176")</f>
        <v>0</v>
      </c>
      <c r="N109">
        <f>HYPERLINK("https://www.wikidata.org/wiki/Q2311094", "Q2311094")</f>
        <v>0</v>
      </c>
      <c r="O109" t="s">
        <v>20010</v>
      </c>
      <c r="P109" t="s">
        <v>20402</v>
      </c>
      <c r="Q109" t="s">
        <v>19426</v>
      </c>
      <c r="R109" t="s">
        <v>409</v>
      </c>
      <c r="S109">
        <v>1498</v>
      </c>
    </row>
    <row r="110" spans="1:19">
      <c r="A110" t="s">
        <v>19</v>
      </c>
      <c r="B110" t="s">
        <v>148</v>
      </c>
      <c r="C110" t="s">
        <v>151</v>
      </c>
      <c r="D110" t="s">
        <v>280</v>
      </c>
      <c r="E110" t="s">
        <v>409</v>
      </c>
      <c r="F110">
        <f>HYPERLINK("https://www.wikidata.org/wiki/Q33369535", "Q33369535")</f>
        <v>0</v>
      </c>
      <c r="G110" t="s">
        <v>602</v>
      </c>
      <c r="H110" t="s">
        <v>5362</v>
      </c>
      <c r="I110" t="s">
        <v>6158</v>
      </c>
      <c r="J110" t="s">
        <v>11353</v>
      </c>
      <c r="K110" t="s">
        <v>15754</v>
      </c>
      <c r="L110">
        <f>HYPERLINK("https://www2.assemblee-nationale.fr/sycomore/fiche/(num_dept)/2217", "2217")</f>
        <v>0</v>
      </c>
      <c r="N110">
        <f>HYPERLINK("https://www.wikidata.org/wiki/Q16025535", "Q16025535")</f>
        <v>0</v>
      </c>
      <c r="O110" t="s">
        <v>20013</v>
      </c>
      <c r="P110" t="s">
        <v>20405</v>
      </c>
      <c r="Q110" t="s">
        <v>19426</v>
      </c>
      <c r="R110" t="s">
        <v>409</v>
      </c>
      <c r="S110">
        <v>1498</v>
      </c>
    </row>
    <row r="111" spans="1:19">
      <c r="A111" t="s">
        <v>19</v>
      </c>
      <c r="B111" t="s">
        <v>148</v>
      </c>
      <c r="C111" t="s">
        <v>151</v>
      </c>
      <c r="D111" t="s">
        <v>280</v>
      </c>
      <c r="E111" t="s">
        <v>409</v>
      </c>
      <c r="F111">
        <f>HYPERLINK("https://www.wikidata.org/wiki/Q33369535", "Q33369535")</f>
        <v>0</v>
      </c>
      <c r="G111" t="s">
        <v>603</v>
      </c>
      <c r="H111" t="s">
        <v>5363</v>
      </c>
      <c r="I111" t="s">
        <v>9447</v>
      </c>
      <c r="J111" t="s">
        <v>11354</v>
      </c>
      <c r="K111" t="s">
        <v>15755</v>
      </c>
      <c r="L111">
        <f>HYPERLINK("https://www2.assemblee-nationale.fr/sycomore/fiche/(num_dept)/2240", "2240")</f>
        <v>0</v>
      </c>
      <c r="N111">
        <f>HYPERLINK("https://www.wikidata.org/wiki/Q11954687", "Q11954687")</f>
        <v>0</v>
      </c>
      <c r="O111" t="s">
        <v>19969</v>
      </c>
      <c r="P111" t="s">
        <v>20404</v>
      </c>
      <c r="Q111" t="s">
        <v>19426</v>
      </c>
      <c r="R111" t="s">
        <v>409</v>
      </c>
      <c r="S111">
        <v>1498</v>
      </c>
    </row>
    <row r="112" spans="1:19">
      <c r="A112" t="s">
        <v>19</v>
      </c>
      <c r="B112" t="s">
        <v>148</v>
      </c>
      <c r="C112" t="s">
        <v>151</v>
      </c>
      <c r="D112" t="s">
        <v>280</v>
      </c>
      <c r="E112" t="s">
        <v>409</v>
      </c>
      <c r="F112">
        <f>HYPERLINK("https://www.wikidata.org/wiki/Q33369535", "Q33369535")</f>
        <v>0</v>
      </c>
      <c r="G112" t="s">
        <v>604</v>
      </c>
      <c r="H112" t="s">
        <v>5364</v>
      </c>
      <c r="I112" t="s">
        <v>9448</v>
      </c>
      <c r="J112" t="s">
        <v>11355</v>
      </c>
      <c r="K112" t="s">
        <v>15756</v>
      </c>
      <c r="L112">
        <f>HYPERLINK("https://www2.assemblee-nationale.fr/sycomore/fiche/(num_dept)/2246", "2246")</f>
        <v>0</v>
      </c>
      <c r="N112">
        <f>HYPERLINK("https://www.wikidata.org/wiki/Q3184823", "Q3184823")</f>
        <v>0</v>
      </c>
      <c r="O112" t="s">
        <v>19988</v>
      </c>
      <c r="P112" t="s">
        <v>20403</v>
      </c>
      <c r="Q112" t="s">
        <v>19426</v>
      </c>
      <c r="R112" t="s">
        <v>409</v>
      </c>
      <c r="S112">
        <v>1498</v>
      </c>
    </row>
    <row r="113" spans="1:19">
      <c r="A113" t="s">
        <v>19</v>
      </c>
      <c r="B113" t="s">
        <v>148</v>
      </c>
      <c r="C113" t="s">
        <v>151</v>
      </c>
      <c r="D113" t="s">
        <v>280</v>
      </c>
      <c r="E113" t="s">
        <v>409</v>
      </c>
      <c r="F113">
        <f>HYPERLINK("https://www.wikidata.org/wiki/Q33369535", "Q33369535")</f>
        <v>0</v>
      </c>
      <c r="G113" t="s">
        <v>605</v>
      </c>
      <c r="H113" t="s">
        <v>5365</v>
      </c>
      <c r="I113" t="s">
        <v>9449</v>
      </c>
      <c r="J113" t="s">
        <v>11356</v>
      </c>
      <c r="K113" t="s">
        <v>15757</v>
      </c>
      <c r="L113">
        <f>HYPERLINK("https://www2.assemblee-nationale.fr/sycomore/fiche/(num_dept)/2249", "2249")</f>
        <v>0</v>
      </c>
      <c r="N113">
        <f>HYPERLINK("https://www.wikidata.org/wiki/Q3188520", "Q3188520")</f>
        <v>0</v>
      </c>
      <c r="O113" t="s">
        <v>20009</v>
      </c>
      <c r="P113" t="s">
        <v>20410</v>
      </c>
      <c r="Q113" t="s">
        <v>19426</v>
      </c>
      <c r="R113" t="s">
        <v>409</v>
      </c>
      <c r="S113">
        <v>1498</v>
      </c>
    </row>
    <row r="114" spans="1:19">
      <c r="A114" t="s">
        <v>19</v>
      </c>
      <c r="B114" t="s">
        <v>148</v>
      </c>
      <c r="C114" t="s">
        <v>151</v>
      </c>
      <c r="D114" t="s">
        <v>280</v>
      </c>
      <c r="E114" t="s">
        <v>409</v>
      </c>
      <c r="F114">
        <f>HYPERLINK("https://www.wikidata.org/wiki/Q33369535", "Q33369535")</f>
        <v>0</v>
      </c>
      <c r="G114" t="s">
        <v>606</v>
      </c>
      <c r="H114" t="s">
        <v>5366</v>
      </c>
      <c r="I114" t="s">
        <v>9449</v>
      </c>
      <c r="J114" t="s">
        <v>11357</v>
      </c>
      <c r="K114" t="s">
        <v>15758</v>
      </c>
      <c r="L114">
        <f>HYPERLINK("https://www2.assemblee-nationale.fr/sycomore/fiche/(num_dept)/2254", "2254")</f>
        <v>0</v>
      </c>
      <c r="M114">
        <f>HYPERLINK("https://www.senat.fr/senateur-3eme-republique/delahaye_jules1154r3.html", "delahaye_jules1154r3")</f>
        <v>0</v>
      </c>
      <c r="N114">
        <f>HYPERLINK("https://www.wikidata.org/wiki/Q3188522", "Q3188522")</f>
        <v>0</v>
      </c>
      <c r="O114" t="s">
        <v>19980</v>
      </c>
      <c r="P114" t="s">
        <v>20408</v>
      </c>
      <c r="Q114" t="s">
        <v>19426</v>
      </c>
      <c r="R114" t="s">
        <v>409</v>
      </c>
      <c r="S114">
        <v>1498</v>
      </c>
    </row>
    <row r="115" spans="1:19">
      <c r="A115" t="s">
        <v>19</v>
      </c>
      <c r="B115" t="s">
        <v>148</v>
      </c>
      <c r="C115" t="s">
        <v>151</v>
      </c>
      <c r="D115" t="s">
        <v>280</v>
      </c>
      <c r="E115" t="s">
        <v>409</v>
      </c>
      <c r="F115">
        <f>HYPERLINK("https://www.wikidata.org/wiki/Q33369535", "Q33369535")</f>
        <v>0</v>
      </c>
      <c r="G115" t="s">
        <v>607</v>
      </c>
      <c r="H115" t="s">
        <v>5367</v>
      </c>
      <c r="I115" t="s">
        <v>9450</v>
      </c>
      <c r="J115" t="s">
        <v>11358</v>
      </c>
      <c r="K115" t="s">
        <v>15759</v>
      </c>
      <c r="L115">
        <f>HYPERLINK("https://www2.assemblee-nationale.fr/sycomore/fiche/(num_dept)/2261", "2261")</f>
        <v>0</v>
      </c>
      <c r="N115">
        <f>HYPERLINK("https://www.wikidata.org/wiki/Q8323934", "Q8323934")</f>
        <v>0</v>
      </c>
      <c r="O115" t="s">
        <v>8449</v>
      </c>
      <c r="P115" t="s">
        <v>20403</v>
      </c>
      <c r="Q115" t="s">
        <v>19426</v>
      </c>
      <c r="R115" t="s">
        <v>409</v>
      </c>
      <c r="S115">
        <v>1498</v>
      </c>
    </row>
    <row r="116" spans="1:19">
      <c r="A116" t="s">
        <v>19</v>
      </c>
      <c r="B116" t="s">
        <v>148</v>
      </c>
      <c r="C116" t="s">
        <v>151</v>
      </c>
      <c r="D116" t="s">
        <v>280</v>
      </c>
      <c r="E116" t="s">
        <v>409</v>
      </c>
      <c r="F116">
        <f>HYPERLINK("https://www.wikidata.org/wiki/Q33369535", "Q33369535")</f>
        <v>0</v>
      </c>
      <c r="G116" t="s">
        <v>608</v>
      </c>
      <c r="H116" t="s">
        <v>5368</v>
      </c>
      <c r="I116" t="s">
        <v>9451</v>
      </c>
      <c r="J116" t="s">
        <v>11359</v>
      </c>
      <c r="K116" t="s">
        <v>15760</v>
      </c>
      <c r="L116">
        <f>HYPERLINK("https://www2.assemblee-nationale.fr/sycomore/fiche/(num_dept)/2283", "2283")</f>
        <v>0</v>
      </c>
      <c r="N116">
        <f>HYPERLINK("https://www.wikidata.org/wiki/Q503827", "Q503827")</f>
        <v>0</v>
      </c>
      <c r="O116" t="s">
        <v>20019</v>
      </c>
      <c r="P116" t="s">
        <v>20401</v>
      </c>
      <c r="Q116" t="s">
        <v>19426</v>
      </c>
      <c r="R116" t="s">
        <v>409</v>
      </c>
      <c r="S116">
        <v>1498</v>
      </c>
    </row>
    <row r="117" spans="1:19">
      <c r="A117" t="s">
        <v>19</v>
      </c>
      <c r="B117" t="s">
        <v>148</v>
      </c>
      <c r="C117" t="s">
        <v>151</v>
      </c>
      <c r="D117" t="s">
        <v>280</v>
      </c>
      <c r="E117" t="s">
        <v>409</v>
      </c>
      <c r="F117">
        <f>HYPERLINK("https://www.wikidata.org/wiki/Q33369535", "Q33369535")</f>
        <v>0</v>
      </c>
      <c r="G117" t="s">
        <v>609</v>
      </c>
      <c r="H117" t="s">
        <v>5369</v>
      </c>
      <c r="I117" t="s">
        <v>9401</v>
      </c>
      <c r="J117" t="s">
        <v>11360</v>
      </c>
      <c r="K117" t="s">
        <v>15761</v>
      </c>
      <c r="L117">
        <f>HYPERLINK("https://www2.assemblee-nationale.fr/sycomore/fiche/(num_dept)/2289", "2289")</f>
        <v>0</v>
      </c>
      <c r="N117">
        <f>HYPERLINK("https://www.wikidata.org/wiki/Q16025548", "Q16025548")</f>
        <v>0</v>
      </c>
      <c r="O117" t="s">
        <v>19988</v>
      </c>
      <c r="P117" t="s">
        <v>20405</v>
      </c>
      <c r="Q117" t="s">
        <v>19426</v>
      </c>
      <c r="R117" t="s">
        <v>409</v>
      </c>
      <c r="S117">
        <v>1498</v>
      </c>
    </row>
    <row r="118" spans="1:19">
      <c r="A118" t="s">
        <v>19</v>
      </c>
      <c r="B118" t="s">
        <v>148</v>
      </c>
      <c r="C118" t="s">
        <v>151</v>
      </c>
      <c r="D118" t="s">
        <v>280</v>
      </c>
      <c r="E118" t="s">
        <v>409</v>
      </c>
      <c r="F118">
        <f>HYPERLINK("https://www.wikidata.org/wiki/Q33369535", "Q33369535")</f>
        <v>0</v>
      </c>
      <c r="G118" t="s">
        <v>610</v>
      </c>
      <c r="H118" t="s">
        <v>5370</v>
      </c>
      <c r="I118" t="s">
        <v>6166</v>
      </c>
      <c r="J118" t="s">
        <v>11361</v>
      </c>
      <c r="K118" t="s">
        <v>15762</v>
      </c>
      <c r="L118">
        <f>HYPERLINK("https://www2.assemblee-nationale.fr/sycomore/fiche/(num_dept)/2292", "2292")</f>
        <v>0</v>
      </c>
      <c r="N118">
        <f>HYPERLINK("https://www.wikidata.org/wiki/Q16025549", "Q16025549")</f>
        <v>0</v>
      </c>
      <c r="O118" t="s">
        <v>19968</v>
      </c>
      <c r="P118" t="s">
        <v>20402</v>
      </c>
      <c r="Q118" t="s">
        <v>19426</v>
      </c>
      <c r="R118" t="s">
        <v>409</v>
      </c>
      <c r="S118">
        <v>1498</v>
      </c>
    </row>
    <row r="119" spans="1:19">
      <c r="A119" t="s">
        <v>19</v>
      </c>
      <c r="B119" t="s">
        <v>148</v>
      </c>
      <c r="C119" t="s">
        <v>151</v>
      </c>
      <c r="D119" t="s">
        <v>280</v>
      </c>
      <c r="E119" t="s">
        <v>409</v>
      </c>
      <c r="F119">
        <f>HYPERLINK("https://www.wikidata.org/wiki/Q33369535", "Q33369535")</f>
        <v>0</v>
      </c>
      <c r="G119" t="s">
        <v>611</v>
      </c>
      <c r="H119" t="s">
        <v>5371</v>
      </c>
      <c r="I119" t="s">
        <v>9452</v>
      </c>
      <c r="J119" t="s">
        <v>11362</v>
      </c>
      <c r="K119" t="s">
        <v>15763</v>
      </c>
      <c r="L119">
        <f>HYPERLINK("https://www2.assemblee-nationale.fr/sycomore/fiche/(num_dept)/2311", "2311")</f>
        <v>0</v>
      </c>
      <c r="N119">
        <f>HYPERLINK("https://www.wikidata.org/wiki/Q16025554", "Q16025554")</f>
        <v>0</v>
      </c>
      <c r="O119" t="s">
        <v>20020</v>
      </c>
      <c r="P119" t="s">
        <v>20405</v>
      </c>
      <c r="Q119" t="s">
        <v>19426</v>
      </c>
      <c r="R119" t="s">
        <v>409</v>
      </c>
      <c r="S119">
        <v>1498</v>
      </c>
    </row>
    <row r="120" spans="1:19">
      <c r="A120" t="s">
        <v>19</v>
      </c>
      <c r="B120" t="s">
        <v>148</v>
      </c>
      <c r="C120" t="s">
        <v>151</v>
      </c>
      <c r="D120" t="s">
        <v>280</v>
      </c>
      <c r="E120" t="s">
        <v>409</v>
      </c>
      <c r="F120">
        <f>HYPERLINK("https://www.wikidata.org/wiki/Q33369535", "Q33369535")</f>
        <v>0</v>
      </c>
      <c r="G120" t="s">
        <v>612</v>
      </c>
      <c r="H120" t="s">
        <v>5372</v>
      </c>
      <c r="I120" t="s">
        <v>6495</v>
      </c>
      <c r="J120" t="s">
        <v>11363</v>
      </c>
      <c r="K120" t="s">
        <v>15764</v>
      </c>
      <c r="L120">
        <f>HYPERLINK("https://www2.assemblee-nationale.fr/sycomore/fiche/(num_dept)/2362", "2362")</f>
        <v>0</v>
      </c>
      <c r="M120">
        <f>HYPERLINK("https://www.senat.fr/senateur-3eme-republique/demellier_louis1641r3.html", "demellier_louis1641r3")</f>
        <v>0</v>
      </c>
      <c r="N120">
        <f>HYPERLINK("https://www.wikidata.org/wiki/Q3261694", "Q3261694")</f>
        <v>0</v>
      </c>
      <c r="O120" t="s">
        <v>20021</v>
      </c>
      <c r="P120" t="s">
        <v>20401</v>
      </c>
      <c r="Q120" t="s">
        <v>19426</v>
      </c>
      <c r="R120" t="s">
        <v>409</v>
      </c>
      <c r="S120">
        <v>1498</v>
      </c>
    </row>
    <row r="121" spans="1:19">
      <c r="A121" t="s">
        <v>19</v>
      </c>
      <c r="B121" t="s">
        <v>148</v>
      </c>
      <c r="C121" t="s">
        <v>151</v>
      </c>
      <c r="D121" t="s">
        <v>280</v>
      </c>
      <c r="E121" t="s">
        <v>409</v>
      </c>
      <c r="F121">
        <f>HYPERLINK("https://www.wikidata.org/wiki/Q33369535", "Q33369535")</f>
        <v>0</v>
      </c>
      <c r="G121" t="s">
        <v>613</v>
      </c>
      <c r="H121" t="s">
        <v>5373</v>
      </c>
      <c r="I121" t="s">
        <v>9388</v>
      </c>
      <c r="J121" t="s">
        <v>11364</v>
      </c>
      <c r="K121" t="s">
        <v>15765</v>
      </c>
      <c r="L121">
        <f>HYPERLINK("https://www2.assemblee-nationale.fr/sycomore/fiche/(num_dept)/2425", "2425")</f>
        <v>0</v>
      </c>
      <c r="M121">
        <f>HYPERLINK("https://www.senat.fr/senateur-3eme-republique/deschanel_paul0768r3.html", "deschanel_paul0768r3")</f>
        <v>0</v>
      </c>
      <c r="N121">
        <f>HYPERLINK("https://www.wikidata.org/wiki/Q309995", "Q309995")</f>
        <v>0</v>
      </c>
      <c r="O121" t="s">
        <v>19971</v>
      </c>
      <c r="P121" t="s">
        <v>20402</v>
      </c>
      <c r="Q121" t="s">
        <v>19426</v>
      </c>
      <c r="R121" t="s">
        <v>409</v>
      </c>
      <c r="S121">
        <v>1498</v>
      </c>
    </row>
    <row r="122" spans="1:19">
      <c r="A122" t="s">
        <v>19</v>
      </c>
      <c r="B122" t="s">
        <v>148</v>
      </c>
      <c r="C122" t="s">
        <v>151</v>
      </c>
      <c r="D122" t="s">
        <v>280</v>
      </c>
      <c r="E122" t="s">
        <v>409</v>
      </c>
      <c r="F122">
        <f>HYPERLINK("https://www.wikidata.org/wiki/Q33369535", "Q33369535")</f>
        <v>0</v>
      </c>
      <c r="G122" t="s">
        <v>614</v>
      </c>
      <c r="H122" t="s">
        <v>5374</v>
      </c>
      <c r="I122" t="s">
        <v>9453</v>
      </c>
      <c r="J122" t="s">
        <v>11365</v>
      </c>
      <c r="K122" t="s">
        <v>15766</v>
      </c>
      <c r="L122">
        <f>HYPERLINK("https://www2.assemblee-nationale.fr/sycomore/fiche/(num_dept)/2457", "2457")</f>
        <v>0</v>
      </c>
      <c r="N122">
        <f>HYPERLINK("https://www.wikidata.org/wiki/Q2865038", "Q2865038")</f>
        <v>0</v>
      </c>
      <c r="O122" t="s">
        <v>20022</v>
      </c>
      <c r="P122" t="s">
        <v>20401</v>
      </c>
      <c r="Q122" t="s">
        <v>19426</v>
      </c>
      <c r="R122" t="s">
        <v>409</v>
      </c>
      <c r="S122">
        <v>1498</v>
      </c>
    </row>
    <row r="123" spans="1:19">
      <c r="A123" t="s">
        <v>19</v>
      </c>
      <c r="B123" t="s">
        <v>148</v>
      </c>
      <c r="C123" t="s">
        <v>151</v>
      </c>
      <c r="D123" t="s">
        <v>280</v>
      </c>
      <c r="E123" t="s">
        <v>409</v>
      </c>
      <c r="F123">
        <f>HYPERLINK("https://www.wikidata.org/wiki/Q33369535", "Q33369535")</f>
        <v>0</v>
      </c>
      <c r="G123" t="s">
        <v>615</v>
      </c>
      <c r="H123" t="s">
        <v>5375</v>
      </c>
      <c r="I123" t="s">
        <v>9454</v>
      </c>
      <c r="J123" t="s">
        <v>11354</v>
      </c>
      <c r="K123" t="s">
        <v>15767</v>
      </c>
      <c r="L123">
        <f>HYPERLINK("https://www2.assemblee-nationale.fr/sycomore/fiche/(num_dept)/2482", "2482")</f>
        <v>0</v>
      </c>
      <c r="M123">
        <f>HYPERLINK("https://www.senat.fr/senateur-3eme-republique/devins_louis0521r3.html", "devins_louis0521r3")</f>
        <v>0</v>
      </c>
      <c r="N123">
        <f>HYPERLINK("https://www.wikidata.org/wiki/Q3261724", "Q3261724")</f>
        <v>0</v>
      </c>
      <c r="O123" t="s">
        <v>19993</v>
      </c>
      <c r="P123" t="s">
        <v>20401</v>
      </c>
      <c r="Q123" t="s">
        <v>19426</v>
      </c>
      <c r="R123" t="s">
        <v>21223</v>
      </c>
      <c r="S123">
        <v>1029</v>
      </c>
    </row>
    <row r="124" spans="1:19">
      <c r="A124" t="s">
        <v>19</v>
      </c>
      <c r="B124" t="s">
        <v>148</v>
      </c>
      <c r="C124" t="s">
        <v>151</v>
      </c>
      <c r="D124" t="s">
        <v>280</v>
      </c>
      <c r="E124" t="s">
        <v>409</v>
      </c>
      <c r="F124">
        <f>HYPERLINK("https://www.wikidata.org/wiki/Q33369535", "Q33369535")</f>
        <v>0</v>
      </c>
      <c r="G124" t="s">
        <v>616</v>
      </c>
      <c r="H124" t="s">
        <v>5376</v>
      </c>
      <c r="I124" t="s">
        <v>6584</v>
      </c>
      <c r="J124" t="s">
        <v>11366</v>
      </c>
      <c r="K124" t="s">
        <v>15768</v>
      </c>
      <c r="L124">
        <f>HYPERLINK("https://www2.assemblee-nationale.fr/sycomore/fiche/(num_dept)/2521", "2521")</f>
        <v>0</v>
      </c>
      <c r="M124">
        <f>HYPERLINK("https://www.senat.fr/senateur-3eme-republique/de_dion_albert1292r3.html", "de_dion_albert1292r3")</f>
        <v>0</v>
      </c>
      <c r="N124">
        <f>HYPERLINK("https://www.wikidata.org/wiki/Q971548", "Q971548")</f>
        <v>0</v>
      </c>
      <c r="O124" t="s">
        <v>20023</v>
      </c>
      <c r="P124" t="s">
        <v>20407</v>
      </c>
      <c r="Q124" t="s">
        <v>19426</v>
      </c>
      <c r="R124" t="s">
        <v>409</v>
      </c>
      <c r="S124">
        <v>1498</v>
      </c>
    </row>
    <row r="125" spans="1:19">
      <c r="A125" t="s">
        <v>19</v>
      </c>
      <c r="B125" t="s">
        <v>148</v>
      </c>
      <c r="C125" t="s">
        <v>151</v>
      </c>
      <c r="D125" t="s">
        <v>280</v>
      </c>
      <c r="E125" t="s">
        <v>409</v>
      </c>
      <c r="F125">
        <f>HYPERLINK("https://www.wikidata.org/wiki/Q33369535", "Q33369535")</f>
        <v>0</v>
      </c>
      <c r="G125" t="s">
        <v>617</v>
      </c>
      <c r="H125" t="s">
        <v>5377</v>
      </c>
      <c r="I125" t="s">
        <v>9455</v>
      </c>
      <c r="J125" t="s">
        <v>11367</v>
      </c>
      <c r="K125" t="s">
        <v>15769</v>
      </c>
      <c r="L125">
        <f>HYPERLINK("https://www2.assemblee-nationale.fr/sycomore/fiche/(num_dept)/2522", "2522")</f>
        <v>0</v>
      </c>
      <c r="N125">
        <f>HYPERLINK("https://www.wikidata.org/wiki/Q3265475", "Q3265475")</f>
        <v>0</v>
      </c>
      <c r="O125" t="s">
        <v>19985</v>
      </c>
      <c r="P125" t="s">
        <v>20403</v>
      </c>
      <c r="Q125" t="s">
        <v>19426</v>
      </c>
      <c r="R125" t="s">
        <v>409</v>
      </c>
      <c r="S125">
        <v>1498</v>
      </c>
    </row>
    <row r="126" spans="1:19">
      <c r="A126" t="s">
        <v>19</v>
      </c>
      <c r="B126" t="s">
        <v>148</v>
      </c>
      <c r="C126" t="s">
        <v>151</v>
      </c>
      <c r="D126" t="s">
        <v>280</v>
      </c>
      <c r="E126" t="s">
        <v>409</v>
      </c>
      <c r="F126">
        <f>HYPERLINK("https://www.wikidata.org/wiki/Q33369535", "Q33369535")</f>
        <v>0</v>
      </c>
      <c r="G126" t="s">
        <v>618</v>
      </c>
      <c r="H126" t="s">
        <v>5378</v>
      </c>
      <c r="I126" t="s">
        <v>9456</v>
      </c>
      <c r="J126" t="s">
        <v>11368</v>
      </c>
      <c r="K126" t="s">
        <v>15770</v>
      </c>
      <c r="L126">
        <f>HYPERLINK("https://www2.assemblee-nationale.fr/sycomore/fiche/(num_dept)/2524", "2524")</f>
        <v>0</v>
      </c>
      <c r="N126">
        <f>HYPERLINK("https://www.wikidata.org/wiki/Q16025600", "Q16025600")</f>
        <v>0</v>
      </c>
      <c r="O126" t="s">
        <v>20021</v>
      </c>
      <c r="P126" t="s">
        <v>20402</v>
      </c>
      <c r="Q126" t="s">
        <v>19426</v>
      </c>
      <c r="R126" t="s">
        <v>409</v>
      </c>
      <c r="S126">
        <v>1498</v>
      </c>
    </row>
    <row r="127" spans="1:19">
      <c r="A127" t="s">
        <v>19</v>
      </c>
      <c r="B127" t="s">
        <v>148</v>
      </c>
      <c r="C127" t="s">
        <v>151</v>
      </c>
      <c r="D127" t="s">
        <v>280</v>
      </c>
      <c r="E127" t="s">
        <v>409</v>
      </c>
      <c r="F127">
        <f>HYPERLINK("https://www.wikidata.org/wiki/Q33369535", "Q33369535")</f>
        <v>0</v>
      </c>
      <c r="G127" t="s">
        <v>619</v>
      </c>
      <c r="H127" t="s">
        <v>5379</v>
      </c>
      <c r="I127" t="s">
        <v>9457</v>
      </c>
      <c r="J127" t="s">
        <v>11369</v>
      </c>
      <c r="K127" t="s">
        <v>15771</v>
      </c>
      <c r="L127">
        <f>HYPERLINK("https://www2.assemblee-nationale.fr/sycomore/fiche/(num_dept)/2532", "2532")</f>
        <v>0</v>
      </c>
      <c r="N127">
        <f>HYPERLINK("https://www.wikidata.org/wiki/Q15971902", "Q15971902")</f>
        <v>0</v>
      </c>
      <c r="O127" t="s">
        <v>19959</v>
      </c>
      <c r="P127" t="s">
        <v>20404</v>
      </c>
      <c r="Q127" t="s">
        <v>19426</v>
      </c>
      <c r="R127" t="s">
        <v>409</v>
      </c>
      <c r="S127">
        <v>1498</v>
      </c>
    </row>
    <row r="128" spans="1:19">
      <c r="A128" t="s">
        <v>19</v>
      </c>
      <c r="B128" t="s">
        <v>148</v>
      </c>
      <c r="C128" t="s">
        <v>151</v>
      </c>
      <c r="D128" t="s">
        <v>280</v>
      </c>
      <c r="E128" t="s">
        <v>409</v>
      </c>
      <c r="F128">
        <f>HYPERLINK("https://www.wikidata.org/wiki/Q33369535", "Q33369535")</f>
        <v>0</v>
      </c>
      <c r="G128" t="s">
        <v>620</v>
      </c>
      <c r="H128" t="s">
        <v>5380</v>
      </c>
      <c r="I128" t="s">
        <v>9458</v>
      </c>
      <c r="J128" t="s">
        <v>11370</v>
      </c>
      <c r="K128" t="s">
        <v>15772</v>
      </c>
      <c r="L128">
        <f>HYPERLINK("https://www2.assemblee-nationale.fr/sycomore/fiche/(num_dept)/2546", "2546")</f>
        <v>0</v>
      </c>
      <c r="M128">
        <f>HYPERLINK("https://www.senat.fr/senateur-3eme-republique/donadei_alfred0125r3.html", "donadei_alfred0125r3")</f>
        <v>0</v>
      </c>
      <c r="N128">
        <f>HYPERLINK("https://www.wikidata.org/wiki/Q2835074", "Q2835074")</f>
        <v>0</v>
      </c>
      <c r="O128" t="s">
        <v>20024</v>
      </c>
      <c r="P128" t="s">
        <v>20401</v>
      </c>
      <c r="Q128" t="s">
        <v>19426</v>
      </c>
      <c r="R128" t="s">
        <v>409</v>
      </c>
      <c r="S128">
        <v>1498</v>
      </c>
    </row>
    <row r="129" spans="1:19">
      <c r="A129" t="s">
        <v>19</v>
      </c>
      <c r="B129" t="s">
        <v>148</v>
      </c>
      <c r="C129" t="s">
        <v>151</v>
      </c>
      <c r="D129" t="s">
        <v>280</v>
      </c>
      <c r="E129" t="s">
        <v>409</v>
      </c>
      <c r="F129">
        <f>HYPERLINK("https://www.wikidata.org/wiki/Q33369535", "Q33369535")</f>
        <v>0</v>
      </c>
      <c r="G129" t="s">
        <v>621</v>
      </c>
      <c r="H129" t="s">
        <v>5381</v>
      </c>
      <c r="I129" t="s">
        <v>9459</v>
      </c>
      <c r="J129" t="s">
        <v>11371</v>
      </c>
      <c r="K129" t="s">
        <v>15773</v>
      </c>
      <c r="L129">
        <f>HYPERLINK("https://www2.assemblee-nationale.fr/sycomore/fiche/(num_dept)/2585", "2585")</f>
        <v>0</v>
      </c>
      <c r="N129">
        <f>HYPERLINK("https://www.wikidata.org/wiki/Q16025610", "Q16025610")</f>
        <v>0</v>
      </c>
      <c r="O129" t="s">
        <v>20025</v>
      </c>
      <c r="P129" t="s">
        <v>20402</v>
      </c>
      <c r="Q129" t="s">
        <v>19426</v>
      </c>
      <c r="R129" t="s">
        <v>409</v>
      </c>
      <c r="S129">
        <v>1498</v>
      </c>
    </row>
    <row r="130" spans="1:19">
      <c r="A130" t="s">
        <v>19</v>
      </c>
      <c r="B130" t="s">
        <v>148</v>
      </c>
      <c r="C130" t="s">
        <v>151</v>
      </c>
      <c r="D130" t="s">
        <v>280</v>
      </c>
      <c r="E130" t="s">
        <v>409</v>
      </c>
      <c r="F130">
        <f>HYPERLINK("https://www.wikidata.org/wiki/Q33369535", "Q33369535")</f>
        <v>0</v>
      </c>
      <c r="G130" t="s">
        <v>622</v>
      </c>
      <c r="H130" t="s">
        <v>5382</v>
      </c>
      <c r="I130" t="s">
        <v>9389</v>
      </c>
      <c r="J130" t="s">
        <v>11372</v>
      </c>
      <c r="K130" t="s">
        <v>15774</v>
      </c>
      <c r="L130">
        <f>HYPERLINK("https://www2.assemblee-nationale.fr/sycomore/fiche/(num_dept)/2592", "2592")</f>
        <v>0</v>
      </c>
      <c r="N130">
        <f>HYPERLINK("https://www.wikidata.org/wiki/Q275053", "Q275053")</f>
        <v>0</v>
      </c>
      <c r="O130" t="s">
        <v>20007</v>
      </c>
      <c r="P130" t="s">
        <v>20410</v>
      </c>
      <c r="Q130" t="s">
        <v>19426</v>
      </c>
      <c r="R130" t="s">
        <v>409</v>
      </c>
      <c r="S130">
        <v>1498</v>
      </c>
    </row>
    <row r="131" spans="1:19">
      <c r="A131" t="s">
        <v>19</v>
      </c>
      <c r="B131" t="s">
        <v>148</v>
      </c>
      <c r="C131" t="s">
        <v>151</v>
      </c>
      <c r="D131" t="s">
        <v>280</v>
      </c>
      <c r="E131" t="s">
        <v>409</v>
      </c>
      <c r="F131">
        <f>HYPERLINK("https://www.wikidata.org/wiki/Q33369535", "Q33369535")</f>
        <v>0</v>
      </c>
      <c r="G131" t="s">
        <v>623</v>
      </c>
      <c r="H131" t="s">
        <v>5383</v>
      </c>
      <c r="I131" t="s">
        <v>5394</v>
      </c>
      <c r="J131" t="s">
        <v>11373</v>
      </c>
      <c r="K131" t="s">
        <v>15775</v>
      </c>
      <c r="L131">
        <f>HYPERLINK("https://www2.assemblee-nationale.fr/sycomore/fiche/(num_dept)/2685", "2685")</f>
        <v>0</v>
      </c>
      <c r="M131">
        <f>HYPERLINK("https://www.senat.fr/senateur-3eme-republique/dujardin_beaumetz_henri0274r3.html", "dujardin_beaumetz_henri0274r3")</f>
        <v>0</v>
      </c>
      <c r="N131">
        <f>HYPERLINK("https://www.wikidata.org/wiki/Q289596", "Q289596")</f>
        <v>0</v>
      </c>
      <c r="O131" t="s">
        <v>19960</v>
      </c>
      <c r="P131" t="s">
        <v>20401</v>
      </c>
      <c r="Q131" t="s">
        <v>19426</v>
      </c>
      <c r="R131" t="s">
        <v>21372</v>
      </c>
      <c r="S131">
        <v>635</v>
      </c>
    </row>
    <row r="132" spans="1:19">
      <c r="A132" t="s">
        <v>19</v>
      </c>
      <c r="B132" t="s">
        <v>148</v>
      </c>
      <c r="C132" t="s">
        <v>151</v>
      </c>
      <c r="D132" t="s">
        <v>280</v>
      </c>
      <c r="E132" t="s">
        <v>409</v>
      </c>
      <c r="F132">
        <f>HYPERLINK("https://www.wikidata.org/wiki/Q33369535", "Q33369535")</f>
        <v>0</v>
      </c>
      <c r="G132" t="s">
        <v>624</v>
      </c>
      <c r="H132" t="s">
        <v>5384</v>
      </c>
      <c r="I132" t="s">
        <v>5349</v>
      </c>
      <c r="J132" t="s">
        <v>11374</v>
      </c>
      <c r="K132" t="s">
        <v>15776</v>
      </c>
      <c r="L132">
        <f>HYPERLINK("https://www2.assemblee-nationale.fr/sycomore/fiche/(num_dept)/2686", "2686")</f>
        <v>0</v>
      </c>
      <c r="N132">
        <f>HYPERLINK("https://www.wikidata.org/wiki/Q16025633", "Q16025633")</f>
        <v>0</v>
      </c>
      <c r="O132" t="s">
        <v>19995</v>
      </c>
      <c r="P132" t="s">
        <v>20402</v>
      </c>
      <c r="Q132" t="s">
        <v>19426</v>
      </c>
      <c r="R132" t="s">
        <v>15776</v>
      </c>
      <c r="S132">
        <v>366</v>
      </c>
    </row>
    <row r="133" spans="1:19">
      <c r="A133" t="s">
        <v>19</v>
      </c>
      <c r="B133" t="s">
        <v>148</v>
      </c>
      <c r="C133" t="s">
        <v>151</v>
      </c>
      <c r="D133" t="s">
        <v>280</v>
      </c>
      <c r="E133" t="s">
        <v>409</v>
      </c>
      <c r="F133">
        <f>HYPERLINK("https://www.wikidata.org/wiki/Q33369535", "Q33369535")</f>
        <v>0</v>
      </c>
      <c r="G133" t="s">
        <v>625</v>
      </c>
      <c r="H133" t="s">
        <v>5385</v>
      </c>
      <c r="I133" t="s">
        <v>9460</v>
      </c>
      <c r="J133" t="s">
        <v>11375</v>
      </c>
      <c r="K133" t="s">
        <v>15777</v>
      </c>
      <c r="L133">
        <f>HYPERLINK("https://www2.assemblee-nationale.fr/sycomore/fiche/(num_dept)/2699", "2699")</f>
        <v>0</v>
      </c>
      <c r="M133">
        <f>HYPERLINK("https://www.senat.fr/senateur-3eme-republique/dumesnil_jacques1613r3.html", "dumesnil_jacques1613r3")</f>
        <v>0</v>
      </c>
      <c r="N133">
        <f>HYPERLINK("https://www.wikidata.org/wiki/Q3157989", "Q3157989")</f>
        <v>0</v>
      </c>
      <c r="O133" t="s">
        <v>20026</v>
      </c>
      <c r="P133" t="s">
        <v>20405</v>
      </c>
      <c r="Q133" t="s">
        <v>19426</v>
      </c>
      <c r="R133" t="s">
        <v>409</v>
      </c>
      <c r="S133">
        <v>1498</v>
      </c>
    </row>
    <row r="134" spans="1:19">
      <c r="A134" t="s">
        <v>19</v>
      </c>
      <c r="B134" t="s">
        <v>148</v>
      </c>
      <c r="C134" t="s">
        <v>151</v>
      </c>
      <c r="D134" t="s">
        <v>280</v>
      </c>
      <c r="E134" t="s">
        <v>409</v>
      </c>
      <c r="F134">
        <f>HYPERLINK("https://www.wikidata.org/wiki/Q33369535", "Q33369535")</f>
        <v>0</v>
      </c>
      <c r="G134" t="s">
        <v>626</v>
      </c>
      <c r="H134" t="s">
        <v>5386</v>
      </c>
      <c r="I134" t="s">
        <v>9461</v>
      </c>
      <c r="J134" t="s">
        <v>11376</v>
      </c>
      <c r="K134" t="s">
        <v>15778</v>
      </c>
      <c r="L134">
        <f>HYPERLINK("https://www2.assemblee-nationale.fr/sycomore/fiche/(num_dept)/2701", "2701")</f>
        <v>0</v>
      </c>
      <c r="N134">
        <f>HYPERLINK("https://www.wikidata.org/wiki/Q16025639", "Q16025639")</f>
        <v>0</v>
      </c>
      <c r="O134" t="s">
        <v>20013</v>
      </c>
      <c r="P134" t="s">
        <v>20410</v>
      </c>
      <c r="Q134" t="s">
        <v>19426</v>
      </c>
      <c r="R134" t="s">
        <v>409</v>
      </c>
      <c r="S134">
        <v>1498</v>
      </c>
    </row>
    <row r="135" spans="1:19">
      <c r="A135" t="s">
        <v>19</v>
      </c>
      <c r="B135" t="s">
        <v>148</v>
      </c>
      <c r="C135" t="s">
        <v>151</v>
      </c>
      <c r="D135" t="s">
        <v>280</v>
      </c>
      <c r="E135" t="s">
        <v>409</v>
      </c>
      <c r="F135">
        <f>HYPERLINK("https://www.wikidata.org/wiki/Q33369535", "Q33369535")</f>
        <v>0</v>
      </c>
      <c r="G135" t="s">
        <v>627</v>
      </c>
      <c r="H135" t="s">
        <v>5387</v>
      </c>
      <c r="I135" t="s">
        <v>6860</v>
      </c>
      <c r="J135" t="s">
        <v>11377</v>
      </c>
      <c r="K135" t="s">
        <v>15779</v>
      </c>
      <c r="L135">
        <f>HYPERLINK("https://www2.assemblee-nationale.fr/sycomore/fiche/(num_dept)/2743", "2743")</f>
        <v>0</v>
      </c>
      <c r="N135">
        <f>HYPERLINK("https://www.wikidata.org/wiki/Q3384871", "Q3384871")</f>
        <v>0</v>
      </c>
      <c r="O135" t="s">
        <v>19987</v>
      </c>
      <c r="P135" t="s">
        <v>20402</v>
      </c>
      <c r="Q135" t="s">
        <v>19426</v>
      </c>
      <c r="R135" t="s">
        <v>409</v>
      </c>
      <c r="S135">
        <v>1498</v>
      </c>
    </row>
    <row r="136" spans="1:19">
      <c r="A136" t="s">
        <v>19</v>
      </c>
      <c r="B136" t="s">
        <v>148</v>
      </c>
      <c r="C136" t="s">
        <v>151</v>
      </c>
      <c r="D136" t="s">
        <v>280</v>
      </c>
      <c r="E136" t="s">
        <v>409</v>
      </c>
      <c r="F136">
        <f>HYPERLINK("https://www.wikidata.org/wiki/Q33369535", "Q33369535")</f>
        <v>0</v>
      </c>
      <c r="G136" t="s">
        <v>628</v>
      </c>
      <c r="H136" t="s">
        <v>5388</v>
      </c>
      <c r="I136" t="s">
        <v>6200</v>
      </c>
      <c r="J136" t="s">
        <v>11378</v>
      </c>
      <c r="K136" t="s">
        <v>15780</v>
      </c>
      <c r="L136">
        <f>HYPERLINK("https://www2.assemblee-nationale.fr/sycomore/fiche/(num_dept)/2757", "2757")</f>
        <v>0</v>
      </c>
      <c r="M136">
        <f>HYPERLINK("https://www.senat.fr/senateur-3eme-republique/durand_jean0270r3.html", "durand_jean0270r3")</f>
        <v>0</v>
      </c>
      <c r="N136">
        <f>HYPERLINK("https://www.wikidata.org/wiki/Q3171885", "Q3171885")</f>
        <v>0</v>
      </c>
      <c r="O136" t="s">
        <v>19960</v>
      </c>
      <c r="P136" t="s">
        <v>20405</v>
      </c>
      <c r="Q136" t="s">
        <v>19426</v>
      </c>
      <c r="R136" t="s">
        <v>409</v>
      </c>
      <c r="S136">
        <v>1498</v>
      </c>
    </row>
    <row r="137" spans="1:19">
      <c r="A137" t="s">
        <v>19</v>
      </c>
      <c r="B137" t="s">
        <v>148</v>
      </c>
      <c r="C137" t="s">
        <v>151</v>
      </c>
      <c r="D137" t="s">
        <v>280</v>
      </c>
      <c r="E137" t="s">
        <v>409</v>
      </c>
      <c r="F137">
        <f>HYPERLINK("https://www.wikidata.org/wiki/Q33369535", "Q33369535")</f>
        <v>0</v>
      </c>
      <c r="G137" t="s">
        <v>629</v>
      </c>
      <c r="H137" t="s">
        <v>5388</v>
      </c>
      <c r="I137" t="s">
        <v>9462</v>
      </c>
      <c r="J137" t="s">
        <v>11379</v>
      </c>
      <c r="K137" t="s">
        <v>15781</v>
      </c>
      <c r="L137">
        <f>HYPERLINK("https://www2.assemblee-nationale.fr/sycomore/fiche/(num_dept)/2758", "2758")</f>
        <v>0</v>
      </c>
      <c r="N137">
        <f>HYPERLINK("https://www.wikidata.org/wiki/Q16025655", "Q16025655")</f>
        <v>0</v>
      </c>
      <c r="O137" t="s">
        <v>19993</v>
      </c>
      <c r="P137" t="s">
        <v>20403</v>
      </c>
      <c r="Q137" t="s">
        <v>19426</v>
      </c>
      <c r="R137" t="s">
        <v>409</v>
      </c>
      <c r="S137">
        <v>1498</v>
      </c>
    </row>
    <row r="138" spans="1:19">
      <c r="A138" t="s">
        <v>19</v>
      </c>
      <c r="B138" t="s">
        <v>148</v>
      </c>
      <c r="C138" t="s">
        <v>151</v>
      </c>
      <c r="D138" t="s">
        <v>280</v>
      </c>
      <c r="E138" t="s">
        <v>409</v>
      </c>
      <c r="F138">
        <f>HYPERLINK("https://www.wikidata.org/wiki/Q33369535", "Q33369535")</f>
        <v>0</v>
      </c>
      <c r="G138" t="s">
        <v>630</v>
      </c>
      <c r="H138" t="s">
        <v>5389</v>
      </c>
      <c r="I138" t="s">
        <v>9463</v>
      </c>
      <c r="J138" t="s">
        <v>11380</v>
      </c>
      <c r="K138" t="s">
        <v>15782</v>
      </c>
      <c r="L138">
        <f>HYPERLINK("https://www2.assemblee-nationale.fr/sycomore/fiche/(num_dept)/2782", "2782")</f>
        <v>0</v>
      </c>
      <c r="N138">
        <f>HYPERLINK("https://www.wikidata.org/wiki/Q3592311", "Q3592311")</f>
        <v>0</v>
      </c>
      <c r="O138" t="s">
        <v>20012</v>
      </c>
      <c r="P138" t="s">
        <v>20405</v>
      </c>
      <c r="Q138" t="s">
        <v>19426</v>
      </c>
      <c r="R138" t="s">
        <v>409</v>
      </c>
      <c r="S138">
        <v>1498</v>
      </c>
    </row>
    <row r="139" spans="1:19">
      <c r="A139" t="s">
        <v>19</v>
      </c>
      <c r="B139" t="s">
        <v>148</v>
      </c>
      <c r="C139" t="s">
        <v>151</v>
      </c>
      <c r="D139" t="s">
        <v>280</v>
      </c>
      <c r="E139" t="s">
        <v>409</v>
      </c>
      <c r="F139">
        <f>HYPERLINK("https://www.wikidata.org/wiki/Q33369535", "Q33369535")</f>
        <v>0</v>
      </c>
      <c r="G139" t="s">
        <v>631</v>
      </c>
      <c r="H139" t="s">
        <v>5390</v>
      </c>
      <c r="I139" t="s">
        <v>7642</v>
      </c>
      <c r="J139" t="s">
        <v>11381</v>
      </c>
      <c r="K139" t="s">
        <v>15783</v>
      </c>
      <c r="L139">
        <f>HYPERLINK("https://www2.assemblee-nationale.fr/sycomore/fiche/(num_dept)/2795", "2795")</f>
        <v>0</v>
      </c>
      <c r="N139">
        <f>HYPERLINK("https://www.wikidata.org/wiki/Q3300740", "Q3300740")</f>
        <v>0</v>
      </c>
      <c r="O139" t="s">
        <v>19984</v>
      </c>
      <c r="P139" t="s">
        <v>20410</v>
      </c>
      <c r="Q139" t="s">
        <v>19426</v>
      </c>
      <c r="R139" t="s">
        <v>409</v>
      </c>
      <c r="S139">
        <v>1498</v>
      </c>
    </row>
    <row r="140" spans="1:19">
      <c r="A140" t="s">
        <v>19</v>
      </c>
      <c r="B140" t="s">
        <v>148</v>
      </c>
      <c r="C140" t="s">
        <v>151</v>
      </c>
      <c r="D140" t="s">
        <v>280</v>
      </c>
      <c r="E140" t="s">
        <v>409</v>
      </c>
      <c r="F140">
        <f>HYPERLINK("https://www.wikidata.org/wiki/Q33369535", "Q33369535")</f>
        <v>0</v>
      </c>
      <c r="G140" t="s">
        <v>632</v>
      </c>
      <c r="H140" t="s">
        <v>5391</v>
      </c>
      <c r="I140" t="s">
        <v>9464</v>
      </c>
      <c r="J140" t="s">
        <v>11382</v>
      </c>
      <c r="K140" t="s">
        <v>15784</v>
      </c>
      <c r="L140">
        <f>HYPERLINK("https://www2.assemblee-nationale.fr/sycomore/fiche/(num_dept)/2819", "2819")</f>
        <v>0</v>
      </c>
      <c r="N140">
        <f>HYPERLINK("https://www.wikidata.org/wiki/Q16025667", "Q16025667")</f>
        <v>0</v>
      </c>
      <c r="O140" t="s">
        <v>19987</v>
      </c>
      <c r="P140" t="s">
        <v>20407</v>
      </c>
      <c r="Q140" t="s">
        <v>19426</v>
      </c>
      <c r="R140" t="s">
        <v>409</v>
      </c>
      <c r="S140">
        <v>1498</v>
      </c>
    </row>
    <row r="141" spans="1:19">
      <c r="A141" t="s">
        <v>19</v>
      </c>
      <c r="B141" t="s">
        <v>148</v>
      </c>
      <c r="C141" t="s">
        <v>151</v>
      </c>
      <c r="D141" t="s">
        <v>280</v>
      </c>
      <c r="E141" t="s">
        <v>409</v>
      </c>
      <c r="F141">
        <f>HYPERLINK("https://www.wikidata.org/wiki/Q33369535", "Q33369535")</f>
        <v>0</v>
      </c>
      <c r="G141" t="s">
        <v>633</v>
      </c>
      <c r="H141" t="s">
        <v>5392</v>
      </c>
      <c r="I141" t="s">
        <v>9446</v>
      </c>
      <c r="J141" t="s">
        <v>11383</v>
      </c>
      <c r="K141" t="s">
        <v>15785</v>
      </c>
      <c r="L141">
        <f>HYPERLINK("https://www2.assemblee-nationale.fr/sycomore/fiche/(num_dept)/2829", "2829")</f>
        <v>0</v>
      </c>
      <c r="N141">
        <f>HYPERLINK("https://www.wikidata.org/wiki/Q3069139", "Q3069139")</f>
        <v>0</v>
      </c>
      <c r="O141" t="s">
        <v>20009</v>
      </c>
      <c r="P141" t="s">
        <v>20403</v>
      </c>
      <c r="Q141" t="s">
        <v>19426</v>
      </c>
      <c r="R141" t="s">
        <v>409</v>
      </c>
      <c r="S141">
        <v>1498</v>
      </c>
    </row>
    <row r="142" spans="1:19">
      <c r="A142" t="s">
        <v>19</v>
      </c>
      <c r="B142" t="s">
        <v>148</v>
      </c>
      <c r="C142" t="s">
        <v>151</v>
      </c>
      <c r="D142" t="s">
        <v>280</v>
      </c>
      <c r="E142" t="s">
        <v>409</v>
      </c>
      <c r="F142">
        <f>HYPERLINK("https://www.wikidata.org/wiki/Q33369535", "Q33369535")</f>
        <v>0</v>
      </c>
      <c r="G142" t="s">
        <v>634</v>
      </c>
      <c r="H142" t="s">
        <v>5393</v>
      </c>
      <c r="I142" t="s">
        <v>9388</v>
      </c>
      <c r="J142" t="s">
        <v>11384</v>
      </c>
      <c r="K142" t="s">
        <v>15786</v>
      </c>
      <c r="L142">
        <f>HYPERLINK("https://www2.assemblee-nationale.fr/sycomore/fiche/(num_dept)/2844", "2844")</f>
        <v>0</v>
      </c>
      <c r="N142">
        <f>HYPERLINK("https://www.wikidata.org/wiki/Q13089371", "Q13089371")</f>
        <v>0</v>
      </c>
      <c r="O142" t="s">
        <v>19969</v>
      </c>
      <c r="P142" t="s">
        <v>20403</v>
      </c>
      <c r="Q142" t="s">
        <v>19426</v>
      </c>
      <c r="R142" t="s">
        <v>409</v>
      </c>
      <c r="S142">
        <v>1498</v>
      </c>
    </row>
    <row r="143" spans="1:19">
      <c r="A143" t="s">
        <v>19</v>
      </c>
      <c r="B143" t="s">
        <v>148</v>
      </c>
      <c r="C143" t="s">
        <v>151</v>
      </c>
      <c r="D143" t="s">
        <v>280</v>
      </c>
      <c r="E143" t="s">
        <v>409</v>
      </c>
      <c r="F143">
        <f>HYPERLINK("https://www.wikidata.org/wiki/Q33369535", "Q33369535")</f>
        <v>0</v>
      </c>
      <c r="G143" t="s">
        <v>635</v>
      </c>
      <c r="H143" t="s">
        <v>5394</v>
      </c>
      <c r="I143" t="s">
        <v>9465</v>
      </c>
      <c r="J143" t="s">
        <v>11385</v>
      </c>
      <c r="K143" t="s">
        <v>15787</v>
      </c>
      <c r="L143">
        <f>HYPERLINK("https://www2.assemblee-nationale.fr/sycomore/fiche/(num_dept)/2861", "2861")</f>
        <v>0</v>
      </c>
      <c r="M143">
        <f>HYPERLINK("https://www.senat.fr/senateur-3eme-republique/etienne_eugene1824r3.html", "etienne_eugene1824r3")</f>
        <v>0</v>
      </c>
      <c r="N143">
        <f>HYPERLINK("https://www.wikidata.org/wiki/Q2612305", "Q2612305")</f>
        <v>0</v>
      </c>
      <c r="O143" t="s">
        <v>20000</v>
      </c>
      <c r="P143" t="s">
        <v>20402</v>
      </c>
      <c r="Q143" t="s">
        <v>19426</v>
      </c>
      <c r="R143" t="s">
        <v>409</v>
      </c>
      <c r="S143">
        <v>1498</v>
      </c>
    </row>
    <row r="144" spans="1:19">
      <c r="A144" t="s">
        <v>19</v>
      </c>
      <c r="B144" t="s">
        <v>148</v>
      </c>
      <c r="C144" t="s">
        <v>151</v>
      </c>
      <c r="D144" t="s">
        <v>280</v>
      </c>
      <c r="E144" t="s">
        <v>409</v>
      </c>
      <c r="F144">
        <f>HYPERLINK("https://www.wikidata.org/wiki/Q33369535", "Q33369535")</f>
        <v>0</v>
      </c>
      <c r="G144" t="s">
        <v>636</v>
      </c>
      <c r="H144" t="s">
        <v>5395</v>
      </c>
      <c r="I144" t="s">
        <v>9401</v>
      </c>
      <c r="J144" t="s">
        <v>11386</v>
      </c>
      <c r="K144" t="s">
        <v>15788</v>
      </c>
      <c r="L144">
        <f>HYPERLINK("https://www2.assemblee-nationale.fr/sycomore/fiche/(num_dept)/2878", "2878")</f>
        <v>0</v>
      </c>
      <c r="N144">
        <f>HYPERLINK("https://www.wikidata.org/wiki/Q17354514", "Q17354514")</f>
        <v>0</v>
      </c>
      <c r="O144" t="s">
        <v>20005</v>
      </c>
      <c r="P144" t="s">
        <v>20405</v>
      </c>
      <c r="Q144" t="s">
        <v>19426</v>
      </c>
      <c r="R144" t="s">
        <v>409</v>
      </c>
      <c r="S144">
        <v>1498</v>
      </c>
    </row>
    <row r="145" spans="1:19">
      <c r="A145" t="s">
        <v>19</v>
      </c>
      <c r="B145" t="s">
        <v>148</v>
      </c>
      <c r="C145" t="s">
        <v>151</v>
      </c>
      <c r="D145" t="s">
        <v>280</v>
      </c>
      <c r="E145" t="s">
        <v>409</v>
      </c>
      <c r="F145">
        <f>HYPERLINK("https://www.wikidata.org/wiki/Q33369535", "Q33369535")</f>
        <v>0</v>
      </c>
      <c r="G145" t="s">
        <v>637</v>
      </c>
      <c r="H145" t="s">
        <v>5396</v>
      </c>
      <c r="I145" t="s">
        <v>9466</v>
      </c>
      <c r="J145" t="s">
        <v>11387</v>
      </c>
      <c r="K145" t="s">
        <v>15789</v>
      </c>
      <c r="L145">
        <f>HYPERLINK("https://www2.assemblee-nationale.fr/sycomore/fiche/(num_dept)/2892", "2892")</f>
        <v>0</v>
      </c>
      <c r="N145">
        <f>HYPERLINK("https://www.wikidata.org/wiki/Q16025680", "Q16025680")</f>
        <v>0</v>
      </c>
      <c r="O145" t="s">
        <v>19969</v>
      </c>
      <c r="P145" t="s">
        <v>20402</v>
      </c>
      <c r="Q145" t="s">
        <v>19426</v>
      </c>
      <c r="R145" t="s">
        <v>409</v>
      </c>
      <c r="S145">
        <v>1498</v>
      </c>
    </row>
    <row r="146" spans="1:19">
      <c r="A146" t="s">
        <v>19</v>
      </c>
      <c r="B146" t="s">
        <v>148</v>
      </c>
      <c r="C146" t="s">
        <v>151</v>
      </c>
      <c r="D146" t="s">
        <v>280</v>
      </c>
      <c r="E146" t="s">
        <v>409</v>
      </c>
      <c r="F146">
        <f>HYPERLINK("https://www.wikidata.org/wiki/Q33369535", "Q33369535")</f>
        <v>0</v>
      </c>
      <c r="G146" t="s">
        <v>638</v>
      </c>
      <c r="H146" t="s">
        <v>5397</v>
      </c>
      <c r="I146" t="s">
        <v>9389</v>
      </c>
      <c r="J146" t="s">
        <v>11388</v>
      </c>
      <c r="K146" t="s">
        <v>15790</v>
      </c>
      <c r="L146">
        <f>HYPERLINK("https://www2.assemblee-nationale.fr/sycomore/fiche/(num_dept)/2924", "2924")</f>
        <v>0</v>
      </c>
      <c r="N146">
        <f>HYPERLINK("https://www.wikidata.org/wiki/Q8316772", "Q8316772")</f>
        <v>0</v>
      </c>
      <c r="O146" t="s">
        <v>20008</v>
      </c>
      <c r="P146" t="s">
        <v>20404</v>
      </c>
      <c r="Q146" t="s">
        <v>19426</v>
      </c>
      <c r="R146" t="s">
        <v>409</v>
      </c>
      <c r="S146">
        <v>1498</v>
      </c>
    </row>
    <row r="147" spans="1:19">
      <c r="A147" t="s">
        <v>19</v>
      </c>
      <c r="B147" t="s">
        <v>148</v>
      </c>
      <c r="C147" t="s">
        <v>151</v>
      </c>
      <c r="D147" t="s">
        <v>280</v>
      </c>
      <c r="E147" t="s">
        <v>409</v>
      </c>
      <c r="F147">
        <f>HYPERLINK("https://www.wikidata.org/wiki/Q33369535", "Q33369535")</f>
        <v>0</v>
      </c>
      <c r="G147" t="s">
        <v>639</v>
      </c>
      <c r="H147" t="s">
        <v>5398</v>
      </c>
      <c r="I147" t="s">
        <v>9389</v>
      </c>
      <c r="J147" t="s">
        <v>11389</v>
      </c>
      <c r="K147" t="s">
        <v>15791</v>
      </c>
      <c r="L147">
        <f>HYPERLINK("https://www2.assemblee-nationale.fr/sycomore/fiche/(num_dept)/2938", "2938")</f>
        <v>0</v>
      </c>
      <c r="N147">
        <f>HYPERLINK("https://www.wikidata.org/wiki/Q3588494", "Q3588494")</f>
        <v>0</v>
      </c>
      <c r="O147" t="s">
        <v>20018</v>
      </c>
      <c r="P147" t="s">
        <v>20406</v>
      </c>
      <c r="Q147" t="s">
        <v>19426</v>
      </c>
      <c r="R147" t="s">
        <v>409</v>
      </c>
      <c r="S147">
        <v>1498</v>
      </c>
    </row>
    <row r="148" spans="1:19">
      <c r="A148" t="s">
        <v>19</v>
      </c>
      <c r="B148" t="s">
        <v>148</v>
      </c>
      <c r="C148" t="s">
        <v>151</v>
      </c>
      <c r="D148" t="s">
        <v>280</v>
      </c>
      <c r="E148" t="s">
        <v>409</v>
      </c>
      <c r="F148">
        <f>HYPERLINK("https://www.wikidata.org/wiki/Q33369535", "Q33369535")</f>
        <v>0</v>
      </c>
      <c r="G148" t="s">
        <v>640</v>
      </c>
      <c r="H148" t="s">
        <v>5399</v>
      </c>
      <c r="I148" t="s">
        <v>9449</v>
      </c>
      <c r="J148" t="s">
        <v>11390</v>
      </c>
      <c r="K148" t="s">
        <v>15792</v>
      </c>
      <c r="L148">
        <f>HYPERLINK("https://www2.assemblee-nationale.fr/sycomore/fiche/(num_dept)/2945", "2945")</f>
        <v>0</v>
      </c>
      <c r="N148">
        <f>HYPERLINK("https://www.wikidata.org/wiki/Q3188576", "Q3188576")</f>
        <v>0</v>
      </c>
      <c r="O148" t="s">
        <v>20024</v>
      </c>
      <c r="P148" t="s">
        <v>20402</v>
      </c>
      <c r="Q148" t="s">
        <v>19426</v>
      </c>
      <c r="R148" t="s">
        <v>409</v>
      </c>
      <c r="S148">
        <v>1498</v>
      </c>
    </row>
    <row r="149" spans="1:19">
      <c r="A149" t="s">
        <v>19</v>
      </c>
      <c r="B149" t="s">
        <v>148</v>
      </c>
      <c r="C149" t="s">
        <v>151</v>
      </c>
      <c r="D149" t="s">
        <v>280</v>
      </c>
      <c r="E149" t="s">
        <v>409</v>
      </c>
      <c r="F149">
        <f>HYPERLINK("https://www.wikidata.org/wiki/Q33369535", "Q33369535")</f>
        <v>0</v>
      </c>
      <c r="G149" t="s">
        <v>641</v>
      </c>
      <c r="H149" t="s">
        <v>5400</v>
      </c>
      <c r="I149" t="s">
        <v>8494</v>
      </c>
      <c r="J149" t="s">
        <v>11391</v>
      </c>
      <c r="K149" t="s">
        <v>15793</v>
      </c>
      <c r="L149">
        <f>HYPERLINK("https://www2.assemblee-nationale.fr/sycomore/fiche/(num_dept)/2983", "2983")</f>
        <v>0</v>
      </c>
      <c r="N149">
        <f>HYPERLINK("https://www.wikidata.org/wiki/Q2821507", "Q2821507")</f>
        <v>0</v>
      </c>
      <c r="O149" t="s">
        <v>20017</v>
      </c>
      <c r="P149" t="s">
        <v>20401</v>
      </c>
      <c r="Q149" t="s">
        <v>19426</v>
      </c>
      <c r="R149" t="s">
        <v>409</v>
      </c>
      <c r="S149">
        <v>1498</v>
      </c>
    </row>
    <row r="150" spans="1:19">
      <c r="A150" t="s">
        <v>19</v>
      </c>
      <c r="B150" t="s">
        <v>148</v>
      </c>
      <c r="C150" t="s">
        <v>151</v>
      </c>
      <c r="D150" t="s">
        <v>280</v>
      </c>
      <c r="E150" t="s">
        <v>409</v>
      </c>
      <c r="F150">
        <f>HYPERLINK("https://www.wikidata.org/wiki/Q33369535", "Q33369535")</f>
        <v>0</v>
      </c>
      <c r="G150" t="s">
        <v>642</v>
      </c>
      <c r="H150" t="s">
        <v>5401</v>
      </c>
      <c r="I150" t="s">
        <v>9407</v>
      </c>
      <c r="J150" t="s">
        <v>11392</v>
      </c>
      <c r="K150" t="s">
        <v>15794</v>
      </c>
      <c r="L150">
        <f>HYPERLINK("https://www2.assemblee-nationale.fr/sycomore/fiche/(num_dept)/3017", "3017")</f>
        <v>0</v>
      </c>
      <c r="N150">
        <f>HYPERLINK("https://www.wikidata.org/wiki/Q16025704", "Q16025704")</f>
        <v>0</v>
      </c>
      <c r="O150" t="s">
        <v>20027</v>
      </c>
      <c r="P150" t="s">
        <v>20405</v>
      </c>
      <c r="Q150" t="s">
        <v>19426</v>
      </c>
      <c r="R150" t="s">
        <v>409</v>
      </c>
      <c r="S150">
        <v>1498</v>
      </c>
    </row>
    <row r="151" spans="1:19">
      <c r="A151" t="s">
        <v>19</v>
      </c>
      <c r="B151" t="s">
        <v>148</v>
      </c>
      <c r="C151" t="s">
        <v>151</v>
      </c>
      <c r="D151" t="s">
        <v>280</v>
      </c>
      <c r="E151" t="s">
        <v>409</v>
      </c>
      <c r="F151">
        <f>HYPERLINK("https://www.wikidata.org/wiki/Q33369535", "Q33369535")</f>
        <v>0</v>
      </c>
      <c r="G151" t="s">
        <v>643</v>
      </c>
      <c r="H151" t="s">
        <v>5402</v>
      </c>
      <c r="I151" t="s">
        <v>9442</v>
      </c>
      <c r="J151" t="s">
        <v>11393</v>
      </c>
      <c r="K151" t="s">
        <v>15795</v>
      </c>
      <c r="L151">
        <f>HYPERLINK("https://www2.assemblee-nationale.fr/sycomore/fiche/(num_dept)/3021", "3021")</f>
        <v>0</v>
      </c>
      <c r="N151">
        <f>HYPERLINK("https://www.wikidata.org/wiki/Q3056952", "Q3056952")</f>
        <v>0</v>
      </c>
      <c r="O151" t="s">
        <v>20009</v>
      </c>
      <c r="P151" t="s">
        <v>20403</v>
      </c>
      <c r="Q151" t="s">
        <v>19426</v>
      </c>
      <c r="R151" t="s">
        <v>409</v>
      </c>
      <c r="S151">
        <v>1498</v>
      </c>
    </row>
    <row r="152" spans="1:19">
      <c r="A152" t="s">
        <v>19</v>
      </c>
      <c r="B152" t="s">
        <v>148</v>
      </c>
      <c r="C152" t="s">
        <v>151</v>
      </c>
      <c r="D152" t="s">
        <v>280</v>
      </c>
      <c r="E152" t="s">
        <v>409</v>
      </c>
      <c r="F152">
        <f>HYPERLINK("https://www.wikidata.org/wiki/Q33369535", "Q33369535")</f>
        <v>0</v>
      </c>
      <c r="G152" t="s">
        <v>644</v>
      </c>
      <c r="H152" t="s">
        <v>5403</v>
      </c>
      <c r="I152" t="s">
        <v>7642</v>
      </c>
      <c r="J152" t="s">
        <v>11394</v>
      </c>
      <c r="K152" t="s">
        <v>15796</v>
      </c>
      <c r="L152">
        <f>HYPERLINK("https://www2.assemblee-nationale.fr/sycomore/fiche/(num_dept)/3025", "3025")</f>
        <v>0</v>
      </c>
      <c r="M152">
        <f>HYPERLINK("https://www.senat.fr/senateur-3eme-republique/flayelle_maurice1800r3.html", "flayelle_maurice1800r3")</f>
        <v>0</v>
      </c>
      <c r="N152">
        <f>HYPERLINK("https://www.wikidata.org/wiki/Q3300781", "Q3300781")</f>
        <v>0</v>
      </c>
      <c r="O152" t="s">
        <v>20017</v>
      </c>
      <c r="P152" t="s">
        <v>20407</v>
      </c>
      <c r="Q152" t="s">
        <v>19426</v>
      </c>
      <c r="R152" t="s">
        <v>409</v>
      </c>
      <c r="S152">
        <v>1498</v>
      </c>
    </row>
    <row r="153" spans="1:19">
      <c r="A153" t="s">
        <v>19</v>
      </c>
      <c r="B153" t="s">
        <v>148</v>
      </c>
      <c r="C153" t="s">
        <v>151</v>
      </c>
      <c r="D153" t="s">
        <v>280</v>
      </c>
      <c r="E153" t="s">
        <v>409</v>
      </c>
      <c r="F153">
        <f>HYPERLINK("https://www.wikidata.org/wiki/Q33369535", "Q33369535")</f>
        <v>0</v>
      </c>
      <c r="G153" t="s">
        <v>645</v>
      </c>
      <c r="H153" t="s">
        <v>5404</v>
      </c>
      <c r="I153" t="s">
        <v>6478</v>
      </c>
      <c r="J153" t="s">
        <v>11395</v>
      </c>
      <c r="K153" t="s">
        <v>15797</v>
      </c>
      <c r="L153">
        <f>HYPERLINK("https://www2.assemblee-nationale.fr/sycomore/fiche/(num_dept)/3030", "3030")</f>
        <v>0</v>
      </c>
      <c r="M153">
        <f>HYPERLINK("https://www.senat.fr/senateur-3eme-republique/fleury_ravarin_henry1128r3.html", "fleury_ravarin_henry1128r3")</f>
        <v>0</v>
      </c>
      <c r="N153">
        <f>HYPERLINK("https://www.wikidata.org/wiki/Q3132778", "Q3132778")</f>
        <v>0</v>
      </c>
      <c r="O153" t="s">
        <v>19965</v>
      </c>
      <c r="P153" t="s">
        <v>20403</v>
      </c>
      <c r="Q153" t="s">
        <v>19426</v>
      </c>
      <c r="R153" t="s">
        <v>409</v>
      </c>
      <c r="S153">
        <v>1498</v>
      </c>
    </row>
    <row r="154" spans="1:19">
      <c r="A154" t="s">
        <v>19</v>
      </c>
      <c r="B154" t="s">
        <v>148</v>
      </c>
      <c r="C154" t="s">
        <v>151</v>
      </c>
      <c r="D154" t="s">
        <v>280</v>
      </c>
      <c r="E154" t="s">
        <v>409</v>
      </c>
      <c r="F154">
        <f>HYPERLINK("https://www.wikidata.org/wiki/Q33369535", "Q33369535")</f>
        <v>0</v>
      </c>
      <c r="G154" t="s">
        <v>646</v>
      </c>
      <c r="H154" t="s">
        <v>5405</v>
      </c>
      <c r="I154" t="s">
        <v>9467</v>
      </c>
      <c r="J154" t="s">
        <v>11396</v>
      </c>
      <c r="K154" t="s">
        <v>15798</v>
      </c>
      <c r="L154">
        <f>HYPERLINK("https://www2.assemblee-nationale.fr/sycomore/fiche/(num_dept)/3039", "3039")</f>
        <v>0</v>
      </c>
      <c r="N154">
        <f>HYPERLINK("https://www.wikidata.org/wiki/Q3014859", "Q3014859")</f>
        <v>0</v>
      </c>
      <c r="O154" t="s">
        <v>19978</v>
      </c>
      <c r="P154" t="s">
        <v>20402</v>
      </c>
      <c r="Q154" t="s">
        <v>19426</v>
      </c>
      <c r="R154" t="s">
        <v>409</v>
      </c>
      <c r="S154">
        <v>1498</v>
      </c>
    </row>
    <row r="155" spans="1:19">
      <c r="A155" t="s">
        <v>19</v>
      </c>
      <c r="B155" t="s">
        <v>148</v>
      </c>
      <c r="C155" t="s">
        <v>151</v>
      </c>
      <c r="D155" t="s">
        <v>280</v>
      </c>
      <c r="E155" t="s">
        <v>409</v>
      </c>
      <c r="F155">
        <f>HYPERLINK("https://www.wikidata.org/wiki/Q33369535", "Q33369535")</f>
        <v>0</v>
      </c>
      <c r="G155" t="s">
        <v>647</v>
      </c>
      <c r="H155" t="s">
        <v>5406</v>
      </c>
      <c r="I155" t="s">
        <v>6166</v>
      </c>
      <c r="J155" t="s">
        <v>11397</v>
      </c>
      <c r="K155" t="s">
        <v>15799</v>
      </c>
      <c r="L155">
        <f>HYPERLINK("https://www2.assemblee-nationale.fr/sycomore/fiche/(num_dept)/3054", "3054")</f>
        <v>0</v>
      </c>
      <c r="N155">
        <f>HYPERLINK("https://www.wikidata.org/wiki/Q3084624", "Q3084624")</f>
        <v>0</v>
      </c>
      <c r="O155" t="s">
        <v>19961</v>
      </c>
      <c r="P155" t="s">
        <v>20410</v>
      </c>
      <c r="Q155" t="s">
        <v>19426</v>
      </c>
      <c r="R155" t="s">
        <v>409</v>
      </c>
      <c r="S155">
        <v>1498</v>
      </c>
    </row>
    <row r="156" spans="1:19">
      <c r="A156" t="s">
        <v>19</v>
      </c>
      <c r="B156" t="s">
        <v>148</v>
      </c>
      <c r="C156" t="s">
        <v>151</v>
      </c>
      <c r="D156" t="s">
        <v>280</v>
      </c>
      <c r="E156" t="s">
        <v>409</v>
      </c>
      <c r="F156">
        <f>HYPERLINK("https://www.wikidata.org/wiki/Q33369535", "Q33369535")</f>
        <v>0</v>
      </c>
      <c r="G156" t="s">
        <v>648</v>
      </c>
      <c r="H156" t="s">
        <v>5407</v>
      </c>
      <c r="I156" t="s">
        <v>9468</v>
      </c>
      <c r="J156" t="s">
        <v>11398</v>
      </c>
      <c r="K156" t="s">
        <v>15800</v>
      </c>
      <c r="L156">
        <f>HYPERLINK("https://www2.assemblee-nationale.fr/sycomore/fiche/(num_dept)/3072", "3072")</f>
        <v>0</v>
      </c>
      <c r="M156">
        <f>HYPERLINK("https://www.senat.fr/senateur-3eme-republique/foucher_octave0306r3.html", "foucher_octave0306r3")</f>
        <v>0</v>
      </c>
      <c r="N156">
        <f>HYPERLINK("https://www.wikidata.org/wiki/Q3348830", "Q3348830")</f>
        <v>0</v>
      </c>
      <c r="O156" t="s">
        <v>20008</v>
      </c>
      <c r="P156" t="s">
        <v>20405</v>
      </c>
      <c r="Q156" t="s">
        <v>19426</v>
      </c>
      <c r="R156" t="s">
        <v>409</v>
      </c>
      <c r="S156">
        <v>1498</v>
      </c>
    </row>
    <row r="157" spans="1:19">
      <c r="A157" t="s">
        <v>19</v>
      </c>
      <c r="B157" t="s">
        <v>148</v>
      </c>
      <c r="C157" t="s">
        <v>151</v>
      </c>
      <c r="D157" t="s">
        <v>280</v>
      </c>
      <c r="E157" t="s">
        <v>409</v>
      </c>
      <c r="F157">
        <f>HYPERLINK("https://www.wikidata.org/wiki/Q33369535", "Q33369535")</f>
        <v>0</v>
      </c>
      <c r="G157" t="s">
        <v>649</v>
      </c>
      <c r="H157" t="s">
        <v>5408</v>
      </c>
      <c r="I157" t="s">
        <v>9457</v>
      </c>
      <c r="J157" t="s">
        <v>11399</v>
      </c>
      <c r="K157" t="s">
        <v>15801</v>
      </c>
      <c r="L157">
        <f>HYPERLINK("https://www2.assemblee-nationale.fr/sycomore/fiche/(num_dept)/3078", "3078")</f>
        <v>0</v>
      </c>
      <c r="N157">
        <f>HYPERLINK("https://www.wikidata.org/wiki/Q8342835", "Q8342835")</f>
        <v>0</v>
      </c>
      <c r="O157" t="s">
        <v>19975</v>
      </c>
      <c r="P157" t="s">
        <v>20403</v>
      </c>
      <c r="Q157" t="s">
        <v>19426</v>
      </c>
      <c r="R157" t="s">
        <v>409</v>
      </c>
      <c r="S157">
        <v>1498</v>
      </c>
    </row>
    <row r="158" spans="1:19">
      <c r="A158" t="s">
        <v>19</v>
      </c>
      <c r="B158" t="s">
        <v>148</v>
      </c>
      <c r="C158" t="s">
        <v>151</v>
      </c>
      <c r="D158" t="s">
        <v>280</v>
      </c>
      <c r="E158" t="s">
        <v>409</v>
      </c>
      <c r="F158">
        <f>HYPERLINK("https://www.wikidata.org/wiki/Q33369535", "Q33369535")</f>
        <v>0</v>
      </c>
      <c r="G158" t="s">
        <v>650</v>
      </c>
      <c r="H158" t="s">
        <v>5409</v>
      </c>
      <c r="I158" t="s">
        <v>9469</v>
      </c>
      <c r="J158" t="s">
        <v>11400</v>
      </c>
      <c r="K158" t="s">
        <v>15802</v>
      </c>
      <c r="L158">
        <f>HYPERLINK("https://www2.assemblee-nationale.fr/sycomore/fiche/(num_dept)/3084", "3084")</f>
        <v>0</v>
      </c>
      <c r="N158">
        <f>HYPERLINK("https://www.wikidata.org/wiki/Q3261915", "Q3261915")</f>
        <v>0</v>
      </c>
      <c r="O158" t="s">
        <v>19992</v>
      </c>
      <c r="P158" t="s">
        <v>20407</v>
      </c>
      <c r="Q158" t="s">
        <v>19426</v>
      </c>
      <c r="R158" t="s">
        <v>15802</v>
      </c>
      <c r="S158">
        <v>954</v>
      </c>
    </row>
    <row r="159" spans="1:19">
      <c r="A159" t="s">
        <v>19</v>
      </c>
      <c r="B159" t="s">
        <v>148</v>
      </c>
      <c r="C159" t="s">
        <v>151</v>
      </c>
      <c r="D159" t="s">
        <v>280</v>
      </c>
      <c r="E159" t="s">
        <v>409</v>
      </c>
      <c r="F159">
        <f>HYPERLINK("https://www.wikidata.org/wiki/Q33369535", "Q33369535")</f>
        <v>0</v>
      </c>
      <c r="G159" t="s">
        <v>651</v>
      </c>
      <c r="H159" t="s">
        <v>5410</v>
      </c>
      <c r="I159" t="s">
        <v>6759</v>
      </c>
      <c r="J159" t="s">
        <v>11401</v>
      </c>
      <c r="K159" t="s">
        <v>15803</v>
      </c>
      <c r="L159">
        <f>HYPERLINK("https://www2.assemblee-nationale.fr/sycomore/fiche/(num_dept)/3098", "3098")</f>
        <v>0</v>
      </c>
      <c r="N159">
        <f>HYPERLINK("https://www.wikidata.org/wiki/Q37391", "Q37391")</f>
        <v>0</v>
      </c>
      <c r="O159" t="s">
        <v>19989</v>
      </c>
      <c r="P159" t="s">
        <v>20403</v>
      </c>
      <c r="Q159" t="s">
        <v>19426</v>
      </c>
      <c r="R159" t="s">
        <v>409</v>
      </c>
      <c r="S159">
        <v>1498</v>
      </c>
    </row>
    <row r="160" spans="1:19">
      <c r="A160" t="s">
        <v>19</v>
      </c>
      <c r="B160" t="s">
        <v>148</v>
      </c>
      <c r="C160" t="s">
        <v>151</v>
      </c>
      <c r="D160" t="s">
        <v>280</v>
      </c>
      <c r="E160" t="s">
        <v>409</v>
      </c>
      <c r="F160">
        <f>HYPERLINK("https://www.wikidata.org/wiki/Q33369535", "Q33369535")</f>
        <v>0</v>
      </c>
      <c r="G160" t="s">
        <v>652</v>
      </c>
      <c r="H160" t="s">
        <v>5411</v>
      </c>
      <c r="I160" t="s">
        <v>9375</v>
      </c>
      <c r="J160" t="s">
        <v>11402</v>
      </c>
      <c r="K160" t="s">
        <v>15804</v>
      </c>
      <c r="L160">
        <f>HYPERLINK("https://www2.assemblee-nationale.fr/sycomore/fiche/(num_dept)/3194", "3194")</f>
        <v>0</v>
      </c>
      <c r="N160">
        <f>HYPERLINK("https://www.wikidata.org/wiki/Q16025739", "Q16025739")</f>
        <v>0</v>
      </c>
      <c r="O160" t="s">
        <v>19967</v>
      </c>
      <c r="P160" t="s">
        <v>20403</v>
      </c>
      <c r="Q160" t="s">
        <v>19426</v>
      </c>
      <c r="R160" t="s">
        <v>409</v>
      </c>
      <c r="S160">
        <v>1498</v>
      </c>
    </row>
    <row r="161" spans="1:19">
      <c r="A161" t="s">
        <v>19</v>
      </c>
      <c r="B161" t="s">
        <v>148</v>
      </c>
      <c r="C161" t="s">
        <v>151</v>
      </c>
      <c r="D161" t="s">
        <v>280</v>
      </c>
      <c r="E161" t="s">
        <v>409</v>
      </c>
      <c r="F161">
        <f>HYPERLINK("https://www.wikidata.org/wiki/Q33369535", "Q33369535")</f>
        <v>0</v>
      </c>
      <c r="G161" t="s">
        <v>653</v>
      </c>
      <c r="H161" t="s">
        <v>5412</v>
      </c>
      <c r="I161" t="s">
        <v>9470</v>
      </c>
      <c r="J161" t="s">
        <v>11403</v>
      </c>
      <c r="K161" t="s">
        <v>15805</v>
      </c>
      <c r="L161">
        <f>HYPERLINK("https://www2.assemblee-nationale.fr/sycomore/fiche/(num_dept)/3229", "3229")</f>
        <v>0</v>
      </c>
      <c r="N161">
        <f>HYPERLINK("https://www.wikidata.org/wiki/Q8298734", "Q8298734")</f>
        <v>0</v>
      </c>
      <c r="O161" t="s">
        <v>19956</v>
      </c>
      <c r="P161" t="s">
        <v>20407</v>
      </c>
      <c r="Q161" t="s">
        <v>19426</v>
      </c>
      <c r="R161" t="s">
        <v>409</v>
      </c>
      <c r="S161">
        <v>1498</v>
      </c>
    </row>
    <row r="162" spans="1:19">
      <c r="A162" t="s">
        <v>19</v>
      </c>
      <c r="B162" t="s">
        <v>148</v>
      </c>
      <c r="C162" t="s">
        <v>151</v>
      </c>
      <c r="D162" t="s">
        <v>280</v>
      </c>
      <c r="E162" t="s">
        <v>409</v>
      </c>
      <c r="F162">
        <f>HYPERLINK("https://www.wikidata.org/wiki/Q33369535", "Q33369535")</f>
        <v>0</v>
      </c>
      <c r="G162" t="s">
        <v>654</v>
      </c>
      <c r="H162" t="s">
        <v>5413</v>
      </c>
      <c r="I162" t="s">
        <v>9442</v>
      </c>
      <c r="J162" t="s">
        <v>11404</v>
      </c>
      <c r="K162" t="s">
        <v>15806</v>
      </c>
      <c r="L162">
        <f>HYPERLINK("https://www2.assemblee-nationale.fr/sycomore/fiche/(num_dept)/3240", "3240")</f>
        <v>0</v>
      </c>
      <c r="N162">
        <f>HYPERLINK("https://www.wikidata.org/wiki/Q8311015", "Q8311015")</f>
        <v>0</v>
      </c>
      <c r="O162" t="s">
        <v>20015</v>
      </c>
      <c r="P162" t="s">
        <v>20401</v>
      </c>
      <c r="Q162" t="s">
        <v>19426</v>
      </c>
      <c r="R162" t="s">
        <v>409</v>
      </c>
      <c r="S162">
        <v>1498</v>
      </c>
    </row>
    <row r="163" spans="1:19">
      <c r="A163" t="s">
        <v>19</v>
      </c>
      <c r="B163" t="s">
        <v>148</v>
      </c>
      <c r="C163" t="s">
        <v>151</v>
      </c>
      <c r="D163" t="s">
        <v>280</v>
      </c>
      <c r="E163" t="s">
        <v>409</v>
      </c>
      <c r="F163">
        <f>HYPERLINK("https://www.wikidata.org/wiki/Q33369535", "Q33369535")</f>
        <v>0</v>
      </c>
      <c r="G163" t="s">
        <v>655</v>
      </c>
      <c r="H163" t="s">
        <v>5414</v>
      </c>
      <c r="I163" t="s">
        <v>9407</v>
      </c>
      <c r="J163" t="s">
        <v>11405</v>
      </c>
      <c r="K163" t="s">
        <v>15807</v>
      </c>
      <c r="L163">
        <f>HYPERLINK("https://www2.assemblee-nationale.fr/sycomore/fiche/(num_dept)/3247", "3247")</f>
        <v>0</v>
      </c>
      <c r="N163">
        <f>HYPERLINK("https://www.wikidata.org/wiki/Q3184989", "Q3184989")</f>
        <v>0</v>
      </c>
      <c r="O163" t="s">
        <v>19970</v>
      </c>
      <c r="P163" t="s">
        <v>20401</v>
      </c>
      <c r="Q163" t="s">
        <v>19426</v>
      </c>
      <c r="R163" t="s">
        <v>409</v>
      </c>
      <c r="S163">
        <v>1498</v>
      </c>
    </row>
    <row r="164" spans="1:19">
      <c r="A164" t="s">
        <v>19</v>
      </c>
      <c r="B164" t="s">
        <v>148</v>
      </c>
      <c r="C164" t="s">
        <v>151</v>
      </c>
      <c r="D164" t="s">
        <v>280</v>
      </c>
      <c r="E164" t="s">
        <v>409</v>
      </c>
      <c r="F164">
        <f>HYPERLINK("https://www.wikidata.org/wiki/Q33369535", "Q33369535")</f>
        <v>0</v>
      </c>
      <c r="G164" t="s">
        <v>656</v>
      </c>
      <c r="H164" t="s">
        <v>5415</v>
      </c>
      <c r="I164" t="s">
        <v>9471</v>
      </c>
      <c r="J164" t="s">
        <v>11406</v>
      </c>
      <c r="K164" t="s">
        <v>15808</v>
      </c>
      <c r="L164">
        <f>HYPERLINK("https://www2.assemblee-nationale.fr/sycomore/fiche/(num_dept)/3276", "3276")</f>
        <v>0</v>
      </c>
      <c r="N164">
        <f>HYPERLINK("https://www.wikidata.org/wiki/Q3265516", "Q3265516")</f>
        <v>0</v>
      </c>
      <c r="O164" t="s">
        <v>19963</v>
      </c>
      <c r="P164" t="s">
        <v>20401</v>
      </c>
      <c r="Q164" t="s">
        <v>19426</v>
      </c>
      <c r="R164" t="s">
        <v>409</v>
      </c>
      <c r="S164">
        <v>1498</v>
      </c>
    </row>
    <row r="165" spans="1:19">
      <c r="A165" t="s">
        <v>19</v>
      </c>
      <c r="B165" t="s">
        <v>148</v>
      </c>
      <c r="C165" t="s">
        <v>151</v>
      </c>
      <c r="D165" t="s">
        <v>280</v>
      </c>
      <c r="E165" t="s">
        <v>409</v>
      </c>
      <c r="F165">
        <f>HYPERLINK("https://www.wikidata.org/wiki/Q33369535", "Q33369535")</f>
        <v>0</v>
      </c>
      <c r="G165" t="s">
        <v>657</v>
      </c>
      <c r="H165" t="s">
        <v>5416</v>
      </c>
      <c r="I165" t="s">
        <v>9472</v>
      </c>
      <c r="J165" t="s">
        <v>11407</v>
      </c>
      <c r="K165" t="s">
        <v>15809</v>
      </c>
      <c r="L165">
        <f>HYPERLINK("https://www2.assemblee-nationale.fr/sycomore/fiche/(num_dept)/3325", "3325")</f>
        <v>0</v>
      </c>
      <c r="N165">
        <f>HYPERLINK("https://www.wikidata.org/wiki/Q2820867", "Q2820867")</f>
        <v>0</v>
      </c>
      <c r="O165" t="s">
        <v>20011</v>
      </c>
      <c r="P165" t="s">
        <v>20410</v>
      </c>
      <c r="Q165" t="s">
        <v>19426</v>
      </c>
      <c r="R165" t="s">
        <v>15809</v>
      </c>
      <c r="S165">
        <v>601</v>
      </c>
    </row>
    <row r="166" spans="1:19">
      <c r="A166" t="s">
        <v>19</v>
      </c>
      <c r="B166" t="s">
        <v>148</v>
      </c>
      <c r="C166" t="s">
        <v>151</v>
      </c>
      <c r="D166" t="s">
        <v>280</v>
      </c>
      <c r="E166" t="s">
        <v>409</v>
      </c>
      <c r="F166">
        <f>HYPERLINK("https://www.wikidata.org/wiki/Q33369535", "Q33369535")</f>
        <v>0</v>
      </c>
      <c r="G166" t="s">
        <v>658</v>
      </c>
      <c r="H166" t="s">
        <v>5417</v>
      </c>
      <c r="I166" t="s">
        <v>7642</v>
      </c>
      <c r="J166" t="s">
        <v>11408</v>
      </c>
      <c r="K166" t="s">
        <v>15810</v>
      </c>
      <c r="L166">
        <f>HYPERLINK("https://www2.assemblee-nationale.fr/sycomore/fiche/(num_dept)/3362", "3362")</f>
        <v>0</v>
      </c>
      <c r="N166">
        <f>HYPERLINK("https://www.wikidata.org/wiki/Q3300885", "Q3300885")</f>
        <v>0</v>
      </c>
      <c r="O166" t="s">
        <v>20009</v>
      </c>
      <c r="P166" t="s">
        <v>20408</v>
      </c>
      <c r="Q166" t="s">
        <v>19426</v>
      </c>
      <c r="R166" t="s">
        <v>409</v>
      </c>
      <c r="S166">
        <v>1498</v>
      </c>
    </row>
    <row r="167" spans="1:19">
      <c r="A167" t="s">
        <v>19</v>
      </c>
      <c r="B167" t="s">
        <v>148</v>
      </c>
      <c r="C167" t="s">
        <v>151</v>
      </c>
      <c r="D167" t="s">
        <v>280</v>
      </c>
      <c r="E167" t="s">
        <v>409</v>
      </c>
      <c r="F167">
        <f>HYPERLINK("https://www.wikidata.org/wiki/Q33369535", "Q33369535")</f>
        <v>0</v>
      </c>
      <c r="G167" t="s">
        <v>659</v>
      </c>
      <c r="H167" t="s">
        <v>5418</v>
      </c>
      <c r="I167" t="s">
        <v>9473</v>
      </c>
      <c r="J167" t="s">
        <v>11409</v>
      </c>
      <c r="K167" t="s">
        <v>15811</v>
      </c>
      <c r="L167">
        <f>HYPERLINK("https://www2.assemblee-nationale.fr/sycomore/fiche/(num_dept)/3364", "3364")</f>
        <v>0</v>
      </c>
      <c r="N167">
        <f>HYPERLINK("https://www.wikidata.org/wiki/Q2835289", "Q2835289")</f>
        <v>0</v>
      </c>
      <c r="O167" t="s">
        <v>20028</v>
      </c>
      <c r="P167" t="s">
        <v>20406</v>
      </c>
      <c r="Q167" t="s">
        <v>19426</v>
      </c>
      <c r="R167" t="s">
        <v>15811</v>
      </c>
      <c r="S167">
        <v>592</v>
      </c>
    </row>
    <row r="168" spans="1:19">
      <c r="A168" t="s">
        <v>19</v>
      </c>
      <c r="B168" t="s">
        <v>148</v>
      </c>
      <c r="C168" t="s">
        <v>151</v>
      </c>
      <c r="D168" t="s">
        <v>280</v>
      </c>
      <c r="E168" t="s">
        <v>409</v>
      </c>
      <c r="F168">
        <f>HYPERLINK("https://www.wikidata.org/wiki/Q33369535", "Q33369535")</f>
        <v>0</v>
      </c>
      <c r="G168" t="s">
        <v>660</v>
      </c>
      <c r="H168" t="s">
        <v>5419</v>
      </c>
      <c r="I168" t="s">
        <v>9407</v>
      </c>
      <c r="J168" t="s">
        <v>11410</v>
      </c>
      <c r="K168" t="s">
        <v>15812</v>
      </c>
      <c r="L168">
        <f>HYPERLINK("https://www2.assemblee-nationale.fr/sycomore/fiche/(num_dept)/3395", "3395")</f>
        <v>0</v>
      </c>
      <c r="N168">
        <f>HYPERLINK("https://www.wikidata.org/wiki/Q16025769", "Q16025769")</f>
        <v>0</v>
      </c>
      <c r="O168" t="s">
        <v>20016</v>
      </c>
      <c r="P168" t="s">
        <v>20405</v>
      </c>
      <c r="Q168" t="s">
        <v>19426</v>
      </c>
      <c r="R168" t="s">
        <v>409</v>
      </c>
      <c r="S168">
        <v>1498</v>
      </c>
    </row>
    <row r="169" spans="1:19">
      <c r="A169" t="s">
        <v>19</v>
      </c>
      <c r="B169" t="s">
        <v>148</v>
      </c>
      <c r="C169" t="s">
        <v>151</v>
      </c>
      <c r="D169" t="s">
        <v>280</v>
      </c>
      <c r="E169" t="s">
        <v>409</v>
      </c>
      <c r="F169">
        <f>HYPERLINK("https://www.wikidata.org/wiki/Q33369535", "Q33369535")</f>
        <v>0</v>
      </c>
      <c r="G169" t="s">
        <v>661</v>
      </c>
      <c r="H169" t="s">
        <v>5420</v>
      </c>
      <c r="I169" t="s">
        <v>9385</v>
      </c>
      <c r="J169" t="s">
        <v>11411</v>
      </c>
      <c r="K169" t="s">
        <v>15813</v>
      </c>
      <c r="L169">
        <f>HYPERLINK("https://www2.assemblee-nationale.fr/sycomore/fiche/(num_dept)/3418", "3418")</f>
        <v>0</v>
      </c>
      <c r="N169">
        <f>HYPERLINK("https://www.wikidata.org/wiki/Q2959214", "Q2959214")</f>
        <v>0</v>
      </c>
      <c r="O169" t="s">
        <v>20023</v>
      </c>
      <c r="P169" t="s">
        <v>20408</v>
      </c>
      <c r="Q169" t="s">
        <v>19426</v>
      </c>
      <c r="R169" t="s">
        <v>409</v>
      </c>
      <c r="S169">
        <v>1498</v>
      </c>
    </row>
    <row r="170" spans="1:19">
      <c r="A170" t="s">
        <v>19</v>
      </c>
      <c r="B170" t="s">
        <v>148</v>
      </c>
      <c r="C170" t="s">
        <v>151</v>
      </c>
      <c r="D170" t="s">
        <v>280</v>
      </c>
      <c r="E170" t="s">
        <v>409</v>
      </c>
      <c r="F170">
        <f>HYPERLINK("https://www.wikidata.org/wiki/Q33369535", "Q33369535")</f>
        <v>0</v>
      </c>
      <c r="G170" t="s">
        <v>662</v>
      </c>
      <c r="H170" t="s">
        <v>5421</v>
      </c>
      <c r="I170" t="s">
        <v>9474</v>
      </c>
      <c r="J170" t="s">
        <v>11412</v>
      </c>
      <c r="K170" t="s">
        <v>15814</v>
      </c>
      <c r="L170">
        <f>HYPERLINK("https://www2.assemblee-nationale.fr/sycomore/fiche/(num_dept)/3421", "3421")</f>
        <v>0</v>
      </c>
      <c r="N170">
        <f>HYPERLINK("https://www.wikidata.org/wiki/Q16025772", "Q16025772")</f>
        <v>0</v>
      </c>
      <c r="O170" t="s">
        <v>19980</v>
      </c>
      <c r="P170" t="s">
        <v>20401</v>
      </c>
      <c r="Q170" t="s">
        <v>19426</v>
      </c>
      <c r="R170" t="s">
        <v>409</v>
      </c>
      <c r="S170">
        <v>1498</v>
      </c>
    </row>
    <row r="171" spans="1:19">
      <c r="A171" t="s">
        <v>19</v>
      </c>
      <c r="B171" t="s">
        <v>148</v>
      </c>
      <c r="C171" t="s">
        <v>151</v>
      </c>
      <c r="D171" t="s">
        <v>280</v>
      </c>
      <c r="E171" t="s">
        <v>409</v>
      </c>
      <c r="F171">
        <f>HYPERLINK("https://www.wikidata.org/wiki/Q33369535", "Q33369535")</f>
        <v>0</v>
      </c>
      <c r="G171" t="s">
        <v>663</v>
      </c>
      <c r="H171" t="s">
        <v>5422</v>
      </c>
      <c r="I171" t="s">
        <v>9475</v>
      </c>
      <c r="J171" t="s">
        <v>11413</v>
      </c>
      <c r="K171" t="s">
        <v>15815</v>
      </c>
      <c r="L171">
        <f>HYPERLINK("https://www2.assemblee-nationale.fr/sycomore/fiche/(num_dept)/3443", "3443")</f>
        <v>0</v>
      </c>
      <c r="N171">
        <f>HYPERLINK("https://www.wikidata.org/wiki/Q16025783", "Q16025783")</f>
        <v>0</v>
      </c>
      <c r="O171" t="s">
        <v>19973</v>
      </c>
      <c r="P171" t="s">
        <v>20401</v>
      </c>
      <c r="Q171" t="s">
        <v>19426</v>
      </c>
      <c r="R171" t="s">
        <v>409</v>
      </c>
      <c r="S171">
        <v>1498</v>
      </c>
    </row>
    <row r="172" spans="1:19">
      <c r="A172" t="s">
        <v>19</v>
      </c>
      <c r="B172" t="s">
        <v>148</v>
      </c>
      <c r="C172" t="s">
        <v>151</v>
      </c>
      <c r="D172" t="s">
        <v>280</v>
      </c>
      <c r="E172" t="s">
        <v>409</v>
      </c>
      <c r="F172">
        <f>HYPERLINK("https://www.wikidata.org/wiki/Q33369535", "Q33369535")</f>
        <v>0</v>
      </c>
      <c r="G172" t="s">
        <v>664</v>
      </c>
      <c r="H172" t="s">
        <v>5423</v>
      </c>
      <c r="I172" t="s">
        <v>9385</v>
      </c>
      <c r="J172" t="s">
        <v>11414</v>
      </c>
      <c r="K172" t="s">
        <v>15816</v>
      </c>
      <c r="L172">
        <f>HYPERLINK("https://www2.assemblee-nationale.fr/sycomore/fiche/(num_dept)/3477", "3477")</f>
        <v>0</v>
      </c>
      <c r="N172">
        <f>HYPERLINK("https://www.wikidata.org/wiki/Q16025794", "Q16025794")</f>
        <v>0</v>
      </c>
      <c r="O172" t="s">
        <v>20013</v>
      </c>
      <c r="P172" t="s">
        <v>20404</v>
      </c>
      <c r="Q172" t="s">
        <v>19426</v>
      </c>
      <c r="R172" t="s">
        <v>409</v>
      </c>
      <c r="S172">
        <v>1498</v>
      </c>
    </row>
    <row r="173" spans="1:19">
      <c r="A173" t="s">
        <v>19</v>
      </c>
      <c r="B173" t="s">
        <v>148</v>
      </c>
      <c r="C173" t="s">
        <v>151</v>
      </c>
      <c r="D173" t="s">
        <v>280</v>
      </c>
      <c r="E173" t="s">
        <v>409</v>
      </c>
      <c r="F173">
        <f>HYPERLINK("https://www.wikidata.org/wiki/Q33369535", "Q33369535")</f>
        <v>0</v>
      </c>
      <c r="G173" t="s">
        <v>665</v>
      </c>
      <c r="H173" t="s">
        <v>5424</v>
      </c>
      <c r="I173" t="s">
        <v>6860</v>
      </c>
      <c r="J173" t="s">
        <v>11415</v>
      </c>
      <c r="K173" t="s">
        <v>15817</v>
      </c>
      <c r="L173">
        <f>HYPERLINK("https://www2.assemblee-nationale.fr/sycomore/fiche/(num_dept)/3501", "3501")</f>
        <v>0</v>
      </c>
      <c r="N173">
        <f>HYPERLINK("https://www.wikidata.org/wiki/Q3385281", "Q3385281")</f>
        <v>0</v>
      </c>
      <c r="O173" t="s">
        <v>19986</v>
      </c>
      <c r="P173" t="s">
        <v>20401</v>
      </c>
      <c r="Q173" t="s">
        <v>19426</v>
      </c>
      <c r="R173" t="s">
        <v>409</v>
      </c>
      <c r="S173">
        <v>1498</v>
      </c>
    </row>
    <row r="174" spans="1:19">
      <c r="A174" t="s">
        <v>19</v>
      </c>
      <c r="B174" t="s">
        <v>148</v>
      </c>
      <c r="C174" t="s">
        <v>151</v>
      </c>
      <c r="D174" t="s">
        <v>280</v>
      </c>
      <c r="E174" t="s">
        <v>409</v>
      </c>
      <c r="F174">
        <f>HYPERLINK("https://www.wikidata.org/wiki/Q33369535", "Q33369535")</f>
        <v>0</v>
      </c>
      <c r="G174" t="s">
        <v>666</v>
      </c>
      <c r="H174" t="s">
        <v>5425</v>
      </c>
      <c r="I174" t="s">
        <v>9426</v>
      </c>
      <c r="J174" t="s">
        <v>11416</v>
      </c>
      <c r="K174" t="s">
        <v>15818</v>
      </c>
      <c r="L174">
        <f>HYPERLINK("https://www2.assemblee-nationale.fr/sycomore/fiche/(num_dept)/3508", "3508")</f>
        <v>0</v>
      </c>
      <c r="N174">
        <f>HYPERLINK("https://www.wikidata.org/wiki/Q13626920", "Q13626920")</f>
        <v>0</v>
      </c>
      <c r="O174" t="s">
        <v>19965</v>
      </c>
      <c r="P174" t="s">
        <v>20403</v>
      </c>
      <c r="Q174" t="s">
        <v>19426</v>
      </c>
      <c r="R174" t="s">
        <v>409</v>
      </c>
      <c r="S174">
        <v>1498</v>
      </c>
    </row>
    <row r="175" spans="1:19">
      <c r="A175" t="s">
        <v>19</v>
      </c>
      <c r="B175" t="s">
        <v>148</v>
      </c>
      <c r="C175" t="s">
        <v>151</v>
      </c>
      <c r="D175" t="s">
        <v>280</v>
      </c>
      <c r="E175" t="s">
        <v>409</v>
      </c>
      <c r="F175">
        <f>HYPERLINK("https://www.wikidata.org/wiki/Q33369535", "Q33369535")</f>
        <v>0</v>
      </c>
      <c r="G175" t="s">
        <v>667</v>
      </c>
      <c r="H175" t="s">
        <v>5426</v>
      </c>
      <c r="I175" t="s">
        <v>6175</v>
      </c>
      <c r="J175" t="s">
        <v>11417</v>
      </c>
      <c r="K175" t="s">
        <v>15819</v>
      </c>
      <c r="L175">
        <f>HYPERLINK("https://www2.assemblee-nationale.fr/sycomore/fiche/(num_dept)/3541", "3541")</f>
        <v>0</v>
      </c>
      <c r="N175">
        <f>HYPERLINK("https://www.wikidata.org/wiki/Q16025802", "Q16025802")</f>
        <v>0</v>
      </c>
      <c r="O175" t="s">
        <v>20007</v>
      </c>
      <c r="P175" t="s">
        <v>20401</v>
      </c>
      <c r="Q175" t="s">
        <v>19426</v>
      </c>
      <c r="R175" t="s">
        <v>409</v>
      </c>
      <c r="S175">
        <v>1498</v>
      </c>
    </row>
    <row r="176" spans="1:19">
      <c r="A176" t="s">
        <v>19</v>
      </c>
      <c r="B176" t="s">
        <v>148</v>
      </c>
      <c r="C176" t="s">
        <v>151</v>
      </c>
      <c r="D176" t="s">
        <v>280</v>
      </c>
      <c r="E176" t="s">
        <v>409</v>
      </c>
      <c r="F176">
        <f>HYPERLINK("https://www.wikidata.org/wiki/Q33369535", "Q33369535")</f>
        <v>0</v>
      </c>
      <c r="G176" t="s">
        <v>668</v>
      </c>
      <c r="H176" t="s">
        <v>5427</v>
      </c>
      <c r="I176" t="s">
        <v>6175</v>
      </c>
      <c r="J176" t="s">
        <v>11418</v>
      </c>
      <c r="K176" t="s">
        <v>15820</v>
      </c>
      <c r="L176">
        <f>HYPERLINK("https://www2.assemblee-nationale.fr/sycomore/fiche/(num_dept)/3542", "3542")</f>
        <v>0</v>
      </c>
      <c r="M176">
        <f>HYPERLINK("https://www.senat.fr/senateur-3eme-republique/de_grandmaison_georges1070r3.html", "de_grandmaison_georges1070r3")</f>
        <v>0</v>
      </c>
      <c r="N176">
        <f>HYPERLINK("https://www.wikidata.org/wiki/Q3103201", "Q3103201")</f>
        <v>0</v>
      </c>
      <c r="O176" t="s">
        <v>19980</v>
      </c>
      <c r="P176" t="s">
        <v>20403</v>
      </c>
      <c r="Q176" t="s">
        <v>19426</v>
      </c>
      <c r="R176" t="s">
        <v>409</v>
      </c>
      <c r="S176">
        <v>1498</v>
      </c>
    </row>
    <row r="177" spans="1:19">
      <c r="A177" t="s">
        <v>19</v>
      </c>
      <c r="B177" t="s">
        <v>148</v>
      </c>
      <c r="C177" t="s">
        <v>151</v>
      </c>
      <c r="D177" t="s">
        <v>280</v>
      </c>
      <c r="E177" t="s">
        <v>409</v>
      </c>
      <c r="F177">
        <f>HYPERLINK("https://www.wikidata.org/wiki/Q33369535", "Q33369535")</f>
        <v>0</v>
      </c>
      <c r="G177" t="s">
        <v>669</v>
      </c>
      <c r="H177" t="s">
        <v>5428</v>
      </c>
      <c r="I177" t="s">
        <v>6584</v>
      </c>
      <c r="J177" t="s">
        <v>11419</v>
      </c>
      <c r="K177" t="s">
        <v>320</v>
      </c>
      <c r="L177">
        <f>HYPERLINK("https://www2.assemblee-nationale.fr/sycomore/fiche/(num_dept)/3594", "3594")</f>
        <v>0</v>
      </c>
      <c r="N177">
        <f>HYPERLINK("https://www.wikidata.org/wiki/Q3260991", "Q3260991")</f>
        <v>0</v>
      </c>
      <c r="O177" t="s">
        <v>20029</v>
      </c>
      <c r="P177" t="s">
        <v>20406</v>
      </c>
      <c r="Q177" t="s">
        <v>19426</v>
      </c>
      <c r="R177" t="s">
        <v>409</v>
      </c>
      <c r="S177">
        <v>1498</v>
      </c>
    </row>
    <row r="178" spans="1:19">
      <c r="A178" t="s">
        <v>19</v>
      </c>
      <c r="B178" t="s">
        <v>148</v>
      </c>
      <c r="C178" t="s">
        <v>151</v>
      </c>
      <c r="D178" t="s">
        <v>280</v>
      </c>
      <c r="E178" t="s">
        <v>409</v>
      </c>
      <c r="F178">
        <f>HYPERLINK("https://www.wikidata.org/wiki/Q33369535", "Q33369535")</f>
        <v>0</v>
      </c>
      <c r="G178" t="s">
        <v>670</v>
      </c>
      <c r="H178" t="s">
        <v>5429</v>
      </c>
      <c r="I178" t="s">
        <v>9476</v>
      </c>
      <c r="J178" t="s">
        <v>11420</v>
      </c>
      <c r="K178" t="s">
        <v>15821</v>
      </c>
      <c r="L178">
        <f>HYPERLINK("https://www2.assemblee-nationale.fr/sycomore/fiche/(num_dept)/3603", "3603")</f>
        <v>0</v>
      </c>
      <c r="M178">
        <f>HYPERLINK("https://www.senat.fr/senateur-3eme-republique/grosdidier_auguste1025r3.html", "grosdidier_auguste1025r3")</f>
        <v>0</v>
      </c>
      <c r="N178">
        <f>HYPERLINK("https://www.wikidata.org/wiki/Q2871212", "Q2871212")</f>
        <v>0</v>
      </c>
      <c r="O178" t="s">
        <v>20030</v>
      </c>
      <c r="P178" t="s">
        <v>20401</v>
      </c>
      <c r="Q178" t="s">
        <v>19426</v>
      </c>
      <c r="R178" t="s">
        <v>21373</v>
      </c>
      <c r="S178">
        <v>1122</v>
      </c>
    </row>
    <row r="179" spans="1:19">
      <c r="A179" t="s">
        <v>19</v>
      </c>
      <c r="B179" t="s">
        <v>148</v>
      </c>
      <c r="C179" t="s">
        <v>151</v>
      </c>
      <c r="D179" t="s">
        <v>280</v>
      </c>
      <c r="E179" t="s">
        <v>409</v>
      </c>
      <c r="F179">
        <f>HYPERLINK("https://www.wikidata.org/wiki/Q33369535", "Q33369535")</f>
        <v>0</v>
      </c>
      <c r="G179" t="s">
        <v>671</v>
      </c>
      <c r="H179" t="s">
        <v>5430</v>
      </c>
      <c r="I179" t="s">
        <v>9457</v>
      </c>
      <c r="J179" t="s">
        <v>11421</v>
      </c>
      <c r="K179" t="s">
        <v>15822</v>
      </c>
      <c r="L179">
        <f>HYPERLINK("https://www2.assemblee-nationale.fr/sycomore/fiche/(num_dept)/3605", "3605")</f>
        <v>0</v>
      </c>
      <c r="N179">
        <f>HYPERLINK("https://www.wikidata.org/wiki/Q3130359", "Q3130359")</f>
        <v>0</v>
      </c>
      <c r="O179" t="s">
        <v>20013</v>
      </c>
      <c r="P179" t="s">
        <v>20410</v>
      </c>
      <c r="Q179" t="s">
        <v>19426</v>
      </c>
      <c r="R179" t="s">
        <v>409</v>
      </c>
      <c r="S179">
        <v>1498</v>
      </c>
    </row>
    <row r="180" spans="1:19">
      <c r="A180" t="s">
        <v>19</v>
      </c>
      <c r="B180" t="s">
        <v>148</v>
      </c>
      <c r="C180" t="s">
        <v>151</v>
      </c>
      <c r="D180" t="s">
        <v>280</v>
      </c>
      <c r="E180" t="s">
        <v>409</v>
      </c>
      <c r="F180">
        <f>HYPERLINK("https://www.wikidata.org/wiki/Q33369535", "Q33369535")</f>
        <v>0</v>
      </c>
      <c r="G180" t="s">
        <v>672</v>
      </c>
      <c r="H180" t="s">
        <v>5431</v>
      </c>
      <c r="I180" t="s">
        <v>9385</v>
      </c>
      <c r="J180" t="s">
        <v>11422</v>
      </c>
      <c r="K180" t="s">
        <v>15823</v>
      </c>
      <c r="L180">
        <f>HYPERLINK("https://www2.assemblee-nationale.fr/sycomore/fiche/(num_dept)/3634", "3634")</f>
        <v>0</v>
      </c>
      <c r="N180">
        <f>HYPERLINK("https://www.wikidata.org/wiki/Q2959267", "Q2959267")</f>
        <v>0</v>
      </c>
      <c r="O180" t="s">
        <v>19998</v>
      </c>
      <c r="P180" t="s">
        <v>20402</v>
      </c>
      <c r="Q180" t="s">
        <v>19426</v>
      </c>
      <c r="R180" t="s">
        <v>409</v>
      </c>
      <c r="S180">
        <v>1498</v>
      </c>
    </row>
    <row r="181" spans="1:19">
      <c r="A181" t="s">
        <v>19</v>
      </c>
      <c r="B181" t="s">
        <v>148</v>
      </c>
      <c r="C181" t="s">
        <v>151</v>
      </c>
      <c r="D181" t="s">
        <v>280</v>
      </c>
      <c r="E181" t="s">
        <v>409</v>
      </c>
      <c r="F181">
        <f>HYPERLINK("https://www.wikidata.org/wiki/Q33369535", "Q33369535")</f>
        <v>0</v>
      </c>
      <c r="G181" t="s">
        <v>673</v>
      </c>
      <c r="H181" t="s">
        <v>5432</v>
      </c>
      <c r="I181" t="s">
        <v>9449</v>
      </c>
      <c r="J181" t="s">
        <v>11423</v>
      </c>
      <c r="K181" t="s">
        <v>15824</v>
      </c>
      <c r="L181">
        <f>HYPERLINK("https://www2.assemblee-nationale.fr/sycomore/fiche/(num_dept)/3638", "3638")</f>
        <v>0</v>
      </c>
      <c r="N181">
        <f>HYPERLINK("https://www.wikidata.org/wiki/Q379699", "Q379699")</f>
        <v>0</v>
      </c>
      <c r="O181" t="s">
        <v>20013</v>
      </c>
      <c r="P181" t="s">
        <v>20404</v>
      </c>
      <c r="Q181" t="s">
        <v>19426</v>
      </c>
      <c r="R181" t="s">
        <v>409</v>
      </c>
      <c r="S181">
        <v>1498</v>
      </c>
    </row>
    <row r="182" spans="1:19">
      <c r="A182" t="s">
        <v>19</v>
      </c>
      <c r="B182" t="s">
        <v>148</v>
      </c>
      <c r="C182" t="s">
        <v>151</v>
      </c>
      <c r="D182" t="s">
        <v>280</v>
      </c>
      <c r="E182" t="s">
        <v>409</v>
      </c>
      <c r="F182">
        <f>HYPERLINK("https://www.wikidata.org/wiki/Q33369535", "Q33369535")</f>
        <v>0</v>
      </c>
      <c r="G182" t="s">
        <v>674</v>
      </c>
      <c r="H182" t="s">
        <v>5433</v>
      </c>
      <c r="I182" t="s">
        <v>5528</v>
      </c>
      <c r="J182" t="s">
        <v>11424</v>
      </c>
      <c r="K182" t="s">
        <v>15825</v>
      </c>
      <c r="L182">
        <f>HYPERLINK("https://www2.assemblee-nationale.fr/sycomore/fiche/(num_dept)/3654", "3654")</f>
        <v>0</v>
      </c>
      <c r="N182">
        <f>HYPERLINK("https://www.wikidata.org/wiki/Q16025827", "Q16025827")</f>
        <v>0</v>
      </c>
      <c r="O182" t="s">
        <v>19970</v>
      </c>
      <c r="P182" t="s">
        <v>20410</v>
      </c>
      <c r="Q182" t="s">
        <v>19426</v>
      </c>
      <c r="R182" t="s">
        <v>409</v>
      </c>
      <c r="S182">
        <v>1498</v>
      </c>
    </row>
    <row r="183" spans="1:19">
      <c r="A183" t="s">
        <v>19</v>
      </c>
      <c r="B183" t="s">
        <v>148</v>
      </c>
      <c r="C183" t="s">
        <v>151</v>
      </c>
      <c r="D183" t="s">
        <v>280</v>
      </c>
      <c r="E183" t="s">
        <v>409</v>
      </c>
      <c r="F183">
        <f>HYPERLINK("https://www.wikidata.org/wiki/Q33369535", "Q33369535")</f>
        <v>0</v>
      </c>
      <c r="G183" t="s">
        <v>675</v>
      </c>
      <c r="H183" t="s">
        <v>5434</v>
      </c>
      <c r="I183" t="s">
        <v>7911</v>
      </c>
      <c r="J183" t="s">
        <v>11425</v>
      </c>
      <c r="K183" t="s">
        <v>15826</v>
      </c>
      <c r="L183">
        <f>HYPERLINK("https://www2.assemblee-nationale.fr/sycomore/fiche/(num_dept)/3697", "3697")</f>
        <v>0</v>
      </c>
      <c r="N183">
        <f>HYPERLINK("https://www.wikidata.org/wiki/Q2404053", "Q2404053")</f>
        <v>0</v>
      </c>
      <c r="O183" t="s">
        <v>20023</v>
      </c>
      <c r="P183" t="s">
        <v>20405</v>
      </c>
      <c r="Q183" t="s">
        <v>19426</v>
      </c>
      <c r="R183" t="s">
        <v>409</v>
      </c>
      <c r="S183">
        <v>1498</v>
      </c>
    </row>
    <row r="184" spans="1:19">
      <c r="A184" t="s">
        <v>19</v>
      </c>
      <c r="B184" t="s">
        <v>148</v>
      </c>
      <c r="C184" t="s">
        <v>151</v>
      </c>
      <c r="D184" t="s">
        <v>280</v>
      </c>
      <c r="E184" t="s">
        <v>409</v>
      </c>
      <c r="F184">
        <f>HYPERLINK("https://www.wikidata.org/wiki/Q33369535", "Q33369535")</f>
        <v>0</v>
      </c>
      <c r="G184" t="s">
        <v>676</v>
      </c>
      <c r="H184" t="s">
        <v>5435</v>
      </c>
      <c r="I184" t="s">
        <v>9421</v>
      </c>
      <c r="J184" t="s">
        <v>11426</v>
      </c>
      <c r="K184" t="s">
        <v>15827</v>
      </c>
      <c r="L184">
        <f>HYPERLINK("https://www2.assemblee-nationale.fr/sycomore/fiche/(num_dept)/3726", "3726")</f>
        <v>0</v>
      </c>
      <c r="N184">
        <f>HYPERLINK("https://www.wikidata.org/wiki/Q16025836", "Q16025836")</f>
        <v>0</v>
      </c>
      <c r="O184" t="s">
        <v>20025</v>
      </c>
      <c r="P184" t="s">
        <v>20402</v>
      </c>
      <c r="Q184" t="s">
        <v>19426</v>
      </c>
      <c r="R184" t="s">
        <v>409</v>
      </c>
      <c r="S184">
        <v>1498</v>
      </c>
    </row>
    <row r="185" spans="1:19">
      <c r="A185" t="s">
        <v>19</v>
      </c>
      <c r="B185" t="s">
        <v>148</v>
      </c>
      <c r="C185" t="s">
        <v>151</v>
      </c>
      <c r="D185" t="s">
        <v>280</v>
      </c>
      <c r="E185" t="s">
        <v>409</v>
      </c>
      <c r="F185">
        <f>HYPERLINK("https://www.wikidata.org/wiki/Q33369535", "Q33369535")</f>
        <v>0</v>
      </c>
      <c r="G185" t="s">
        <v>677</v>
      </c>
      <c r="H185" t="s">
        <v>5436</v>
      </c>
      <c r="I185" t="s">
        <v>9477</v>
      </c>
      <c r="J185" t="s">
        <v>11427</v>
      </c>
      <c r="K185" t="s">
        <v>15828</v>
      </c>
      <c r="L185">
        <f>HYPERLINK("https://www2.assemblee-nationale.fr/sycomore/fiche/(num_dept)/3731", "3731")</f>
        <v>0</v>
      </c>
      <c r="N185">
        <f>HYPERLINK("https://www.wikidata.org/wiki/Q3301571", "Q3301571")</f>
        <v>0</v>
      </c>
      <c r="O185" t="s">
        <v>19998</v>
      </c>
      <c r="P185" t="s">
        <v>20408</v>
      </c>
      <c r="Q185" t="s">
        <v>19426</v>
      </c>
      <c r="R185" t="s">
        <v>409</v>
      </c>
      <c r="S185">
        <v>1498</v>
      </c>
    </row>
    <row r="186" spans="1:19">
      <c r="A186" t="s">
        <v>19</v>
      </c>
      <c r="B186" t="s">
        <v>148</v>
      </c>
      <c r="C186" t="s">
        <v>151</v>
      </c>
      <c r="D186" t="s">
        <v>280</v>
      </c>
      <c r="E186" t="s">
        <v>409</v>
      </c>
      <c r="F186">
        <f>HYPERLINK("https://www.wikidata.org/wiki/Q33369535", "Q33369535")</f>
        <v>0</v>
      </c>
      <c r="G186" t="s">
        <v>678</v>
      </c>
      <c r="H186" t="s">
        <v>5437</v>
      </c>
      <c r="I186" t="s">
        <v>9442</v>
      </c>
      <c r="J186" t="s">
        <v>11428</v>
      </c>
      <c r="K186" t="s">
        <v>15829</v>
      </c>
      <c r="L186">
        <f>HYPERLINK("https://www2.assemblee-nationale.fr/sycomore/fiche/(num_dept)/3760", "3760")</f>
        <v>0</v>
      </c>
      <c r="M186">
        <f>HYPERLINK("https://www.senat.fr/senateur-3eme-republique/haudos_ernest0650r3.html", "haudos_ernest0650r3")</f>
        <v>0</v>
      </c>
      <c r="N186">
        <f>HYPERLINK("https://www.wikidata.org/wiki/Q3057000", "Q3057000")</f>
        <v>0</v>
      </c>
      <c r="O186" t="s">
        <v>20025</v>
      </c>
      <c r="P186" t="s">
        <v>20405</v>
      </c>
      <c r="Q186" t="s">
        <v>19426</v>
      </c>
      <c r="R186" t="s">
        <v>409</v>
      </c>
      <c r="S186">
        <v>1498</v>
      </c>
    </row>
    <row r="187" spans="1:19">
      <c r="A187" t="s">
        <v>19</v>
      </c>
      <c r="B187" t="s">
        <v>148</v>
      </c>
      <c r="C187" t="s">
        <v>151</v>
      </c>
      <c r="D187" t="s">
        <v>280</v>
      </c>
      <c r="E187" t="s">
        <v>409</v>
      </c>
      <c r="F187">
        <f>HYPERLINK("https://www.wikidata.org/wiki/Q33369535", "Q33369535")</f>
        <v>0</v>
      </c>
      <c r="G187" t="s">
        <v>679</v>
      </c>
      <c r="H187" t="s">
        <v>5438</v>
      </c>
      <c r="I187" t="s">
        <v>6584</v>
      </c>
      <c r="J187" t="s">
        <v>11429</v>
      </c>
      <c r="K187" t="s">
        <v>15830</v>
      </c>
      <c r="L187">
        <f>HYPERLINK("https://www2.assemblee-nationale.fr/sycomore/fiche/(num_dept)/3762", "3762")</f>
        <v>0</v>
      </c>
      <c r="N187">
        <f>HYPERLINK("https://www.wikidata.org/wiki/Q2831231", "Q2831231")</f>
        <v>0</v>
      </c>
      <c r="O187" t="s">
        <v>20015</v>
      </c>
      <c r="P187" t="s">
        <v>20401</v>
      </c>
      <c r="Q187" t="s">
        <v>19426</v>
      </c>
      <c r="R187" t="s">
        <v>409</v>
      </c>
      <c r="S187">
        <v>1498</v>
      </c>
    </row>
    <row r="188" spans="1:19">
      <c r="A188" t="s">
        <v>19</v>
      </c>
      <c r="B188" t="s">
        <v>148</v>
      </c>
      <c r="C188" t="s">
        <v>151</v>
      </c>
      <c r="D188" t="s">
        <v>280</v>
      </c>
      <c r="E188" t="s">
        <v>409</v>
      </c>
      <c r="F188">
        <f>HYPERLINK("https://www.wikidata.org/wiki/Q33369535", "Q33369535")</f>
        <v>0</v>
      </c>
      <c r="G188" t="s">
        <v>680</v>
      </c>
      <c r="H188" t="s">
        <v>5439</v>
      </c>
      <c r="I188" t="s">
        <v>6495</v>
      </c>
      <c r="J188" t="s">
        <v>11430</v>
      </c>
      <c r="K188" t="s">
        <v>15831</v>
      </c>
      <c r="L188">
        <f>HYPERLINK("https://www2.assemblee-nationale.fr/sycomore/fiche/(num_dept)/3790", "3790")</f>
        <v>0</v>
      </c>
      <c r="M188">
        <f>HYPERLINK("https://www.senat.fr/senateur-3eme-republique/hemon_louis0801r3.html", "hemon_louis0801r3")</f>
        <v>0</v>
      </c>
      <c r="N188">
        <f>HYPERLINK("https://www.wikidata.org/wiki/Q3262222", "Q3262222")</f>
        <v>0</v>
      </c>
      <c r="O188" t="s">
        <v>20011</v>
      </c>
      <c r="P188" t="s">
        <v>20403</v>
      </c>
      <c r="Q188" t="s">
        <v>19426</v>
      </c>
      <c r="R188" t="s">
        <v>21374</v>
      </c>
      <c r="S188">
        <v>655</v>
      </c>
    </row>
    <row r="189" spans="1:19">
      <c r="A189" t="s">
        <v>19</v>
      </c>
      <c r="B189" t="s">
        <v>148</v>
      </c>
      <c r="C189" t="s">
        <v>151</v>
      </c>
      <c r="D189" t="s">
        <v>280</v>
      </c>
      <c r="E189" t="s">
        <v>409</v>
      </c>
      <c r="F189">
        <f>HYPERLINK("https://www.wikidata.org/wiki/Q33369535", "Q33369535")</f>
        <v>0</v>
      </c>
      <c r="G189" t="s">
        <v>681</v>
      </c>
      <c r="H189" t="s">
        <v>5440</v>
      </c>
      <c r="I189" t="s">
        <v>9478</v>
      </c>
      <c r="J189" t="s">
        <v>11431</v>
      </c>
      <c r="K189" t="s">
        <v>15832</v>
      </c>
      <c r="L189">
        <f>HYPERLINK("https://www2.assemblee-nationale.fr/sycomore/fiche/(num_dept)/3794", "3794")</f>
        <v>0</v>
      </c>
      <c r="M189">
        <f>HYPERLINK("https://www.senat.fr/senateur-3eme-republique/hennessy_james0392r3.html", "hennessy_james0392r3")</f>
        <v>0</v>
      </c>
      <c r="N189">
        <f>HYPERLINK("https://www.wikidata.org/wiki/Q3161145", "Q3161145")</f>
        <v>0</v>
      </c>
      <c r="O189" t="s">
        <v>20031</v>
      </c>
      <c r="P189" t="s">
        <v>20403</v>
      </c>
      <c r="Q189" t="s">
        <v>19426</v>
      </c>
      <c r="R189" t="s">
        <v>409</v>
      </c>
      <c r="S189">
        <v>1498</v>
      </c>
    </row>
    <row r="190" spans="1:19">
      <c r="A190" t="s">
        <v>19</v>
      </c>
      <c r="B190" t="s">
        <v>148</v>
      </c>
      <c r="C190" t="s">
        <v>151</v>
      </c>
      <c r="D190" t="s">
        <v>280</v>
      </c>
      <c r="E190" t="s">
        <v>409</v>
      </c>
      <c r="F190">
        <f>HYPERLINK("https://www.wikidata.org/wiki/Q33369535", "Q33369535")</f>
        <v>0</v>
      </c>
      <c r="G190" t="s">
        <v>682</v>
      </c>
      <c r="H190" t="s">
        <v>5440</v>
      </c>
      <c r="I190" t="s">
        <v>6200</v>
      </c>
      <c r="J190" t="s">
        <v>11432</v>
      </c>
      <c r="K190" t="s">
        <v>15833</v>
      </c>
      <c r="L190">
        <f>HYPERLINK("https://www2.assemblee-nationale.fr/sycomore/fiche/(num_dept)/3795", "3795")</f>
        <v>0</v>
      </c>
      <c r="N190">
        <f>HYPERLINK("https://www.wikidata.org/wiki/Q554679", "Q554679")</f>
        <v>0</v>
      </c>
      <c r="O190" t="s">
        <v>20031</v>
      </c>
      <c r="P190" t="s">
        <v>20403</v>
      </c>
      <c r="Q190" t="s">
        <v>19426</v>
      </c>
      <c r="R190" t="s">
        <v>409</v>
      </c>
      <c r="S190">
        <v>1498</v>
      </c>
    </row>
    <row r="191" spans="1:19">
      <c r="A191" t="s">
        <v>19</v>
      </c>
      <c r="B191" t="s">
        <v>148</v>
      </c>
      <c r="C191" t="s">
        <v>151</v>
      </c>
      <c r="D191" t="s">
        <v>280</v>
      </c>
      <c r="E191" t="s">
        <v>409</v>
      </c>
      <c r="F191">
        <f>HYPERLINK("https://www.wikidata.org/wiki/Q33369535", "Q33369535")</f>
        <v>0</v>
      </c>
      <c r="G191" t="s">
        <v>683</v>
      </c>
      <c r="H191" t="s">
        <v>5441</v>
      </c>
      <c r="I191" t="s">
        <v>9479</v>
      </c>
      <c r="J191" t="s">
        <v>11433</v>
      </c>
      <c r="K191" t="s">
        <v>15834</v>
      </c>
      <c r="L191">
        <f>HYPERLINK("https://www2.assemblee-nationale.fr/sycomore/fiche/(num_dept)/3809", "3809")</f>
        <v>0</v>
      </c>
      <c r="N191">
        <f>HYPERLINK("https://www.wikidata.org/wiki/Q3552173", "Q3552173")</f>
        <v>0</v>
      </c>
      <c r="O191" t="s">
        <v>19984</v>
      </c>
      <c r="P191" t="s">
        <v>20408</v>
      </c>
      <c r="Q191" t="s">
        <v>19426</v>
      </c>
      <c r="R191" t="s">
        <v>409</v>
      </c>
      <c r="S191">
        <v>1498</v>
      </c>
    </row>
    <row r="192" spans="1:19">
      <c r="A192" t="s">
        <v>19</v>
      </c>
      <c r="B192" t="s">
        <v>148</v>
      </c>
      <c r="C192" t="s">
        <v>151</v>
      </c>
      <c r="D192" t="s">
        <v>280</v>
      </c>
      <c r="E192" t="s">
        <v>409</v>
      </c>
      <c r="F192">
        <f>HYPERLINK("https://www.wikidata.org/wiki/Q33369535", "Q33369535")</f>
        <v>0</v>
      </c>
      <c r="G192" t="s">
        <v>684</v>
      </c>
      <c r="H192" t="s">
        <v>5442</v>
      </c>
      <c r="I192" t="s">
        <v>6759</v>
      </c>
      <c r="J192" t="s">
        <v>11434</v>
      </c>
      <c r="K192" t="s">
        <v>15835</v>
      </c>
      <c r="L192">
        <f>HYPERLINK("https://www2.assemblee-nationale.fr/sycomore/fiche/(num_dept)/3837", "3837")</f>
        <v>0</v>
      </c>
      <c r="N192">
        <f>HYPERLINK("https://www.wikidata.org/wiki/Q3435387", "Q3435387")</f>
        <v>0</v>
      </c>
      <c r="O192" t="s">
        <v>19989</v>
      </c>
      <c r="P192" t="s">
        <v>20407</v>
      </c>
      <c r="Q192" t="s">
        <v>19426</v>
      </c>
      <c r="R192" t="s">
        <v>409</v>
      </c>
      <c r="S192">
        <v>1498</v>
      </c>
    </row>
    <row r="193" spans="1:19">
      <c r="A193" t="s">
        <v>19</v>
      </c>
      <c r="B193" t="s">
        <v>148</v>
      </c>
      <c r="C193" t="s">
        <v>151</v>
      </c>
      <c r="D193" t="s">
        <v>280</v>
      </c>
      <c r="E193" t="s">
        <v>409</v>
      </c>
      <c r="F193">
        <f>HYPERLINK("https://www.wikidata.org/wiki/Q33369535", "Q33369535")</f>
        <v>0</v>
      </c>
      <c r="G193" t="s">
        <v>685</v>
      </c>
      <c r="H193" t="s">
        <v>5443</v>
      </c>
      <c r="I193" t="s">
        <v>6860</v>
      </c>
      <c r="J193" t="s">
        <v>11435</v>
      </c>
      <c r="K193" t="s">
        <v>15836</v>
      </c>
      <c r="L193">
        <f>HYPERLINK("https://www2.assemblee-nationale.fr/sycomore/fiche/(num_dept)/3840", "3840")</f>
        <v>0</v>
      </c>
      <c r="N193">
        <f>HYPERLINK("https://www.wikidata.org/wiki/Q3385454", "Q3385454")</f>
        <v>0</v>
      </c>
      <c r="O193" t="s">
        <v>20032</v>
      </c>
      <c r="P193" t="s">
        <v>20403</v>
      </c>
      <c r="Q193" t="s">
        <v>19426</v>
      </c>
      <c r="R193" t="s">
        <v>15836</v>
      </c>
      <c r="S193">
        <v>54</v>
      </c>
    </row>
    <row r="194" spans="1:19">
      <c r="A194" t="s">
        <v>19</v>
      </c>
      <c r="B194" t="s">
        <v>148</v>
      </c>
      <c r="C194" t="s">
        <v>151</v>
      </c>
      <c r="D194" t="s">
        <v>280</v>
      </c>
      <c r="E194" t="s">
        <v>409</v>
      </c>
      <c r="F194">
        <f>HYPERLINK("https://www.wikidata.org/wiki/Q33369535", "Q33369535")</f>
        <v>0</v>
      </c>
      <c r="G194" t="s">
        <v>686</v>
      </c>
      <c r="H194" t="s">
        <v>5444</v>
      </c>
      <c r="I194" t="s">
        <v>6585</v>
      </c>
      <c r="J194" t="s">
        <v>11436</v>
      </c>
      <c r="K194" t="s">
        <v>15837</v>
      </c>
      <c r="L194">
        <f>HYPERLINK("https://www2.assemblee-nationale.fr/sycomore/fiche/(num_dept)/3859", "3859")</f>
        <v>0</v>
      </c>
      <c r="M194">
        <f>HYPERLINK("https://www.senat.fr/senateur-3eme-republique/honnorat_andre0070r3.html", "honnorat_andre0070r3")</f>
        <v>0</v>
      </c>
      <c r="N194">
        <f>HYPERLINK("https://www.wikidata.org/wiki/Q23762", "Q23762")</f>
        <v>0</v>
      </c>
      <c r="O194" t="s">
        <v>20033</v>
      </c>
      <c r="P194" t="s">
        <v>20401</v>
      </c>
      <c r="Q194" t="s">
        <v>19426</v>
      </c>
      <c r="R194" t="s">
        <v>409</v>
      </c>
      <c r="S194">
        <v>1498</v>
      </c>
    </row>
    <row r="195" spans="1:19">
      <c r="A195" t="s">
        <v>19</v>
      </c>
      <c r="B195" t="s">
        <v>148</v>
      </c>
      <c r="C195" t="s">
        <v>151</v>
      </c>
      <c r="D195" t="s">
        <v>280</v>
      </c>
      <c r="E195" t="s">
        <v>409</v>
      </c>
      <c r="F195">
        <f>HYPERLINK("https://www.wikidata.org/wiki/Q33369535", "Q33369535")</f>
        <v>0</v>
      </c>
      <c r="G195" t="s">
        <v>687</v>
      </c>
      <c r="H195" t="s">
        <v>5445</v>
      </c>
      <c r="I195" t="s">
        <v>9455</v>
      </c>
      <c r="J195" t="s">
        <v>11437</v>
      </c>
      <c r="K195" t="s">
        <v>15838</v>
      </c>
      <c r="L195">
        <f>HYPERLINK("https://www2.assemblee-nationale.fr/sycomore/fiche/(num_dept)/3885", "3885")</f>
        <v>0</v>
      </c>
      <c r="M195">
        <f>HYPERLINK("https://www.senat.fr/senateur-3eme-republique/hubert_lucien0176r3.html", "hubert_lucien0176r3")</f>
        <v>0</v>
      </c>
      <c r="N195">
        <f>HYPERLINK("https://www.wikidata.org/wiki/Q2117075", "Q2117075")</f>
        <v>0</v>
      </c>
      <c r="O195" t="s">
        <v>19959</v>
      </c>
      <c r="P195" t="s">
        <v>20401</v>
      </c>
      <c r="Q195" t="s">
        <v>19426</v>
      </c>
      <c r="R195" t="s">
        <v>21372</v>
      </c>
      <c r="S195">
        <v>635</v>
      </c>
    </row>
    <row r="196" spans="1:19">
      <c r="A196" t="s">
        <v>19</v>
      </c>
      <c r="B196" t="s">
        <v>148</v>
      </c>
      <c r="C196" t="s">
        <v>151</v>
      </c>
      <c r="D196" t="s">
        <v>280</v>
      </c>
      <c r="E196" t="s">
        <v>409</v>
      </c>
      <c r="F196">
        <f>HYPERLINK("https://www.wikidata.org/wiki/Q33369535", "Q33369535")</f>
        <v>0</v>
      </c>
      <c r="G196" t="s">
        <v>688</v>
      </c>
      <c r="H196" t="s">
        <v>5446</v>
      </c>
      <c r="I196" t="s">
        <v>9480</v>
      </c>
      <c r="J196" t="s">
        <v>11438</v>
      </c>
      <c r="K196" t="s">
        <v>15839</v>
      </c>
      <c r="L196">
        <f>HYPERLINK("https://www2.assemblee-nationale.fr/sycomore/fiche/(num_dept)/3936", "3936")</f>
        <v>0</v>
      </c>
      <c r="N196">
        <f>HYPERLINK("https://www.wikidata.org/wiki/Q3263360", "Q3263360")</f>
        <v>0</v>
      </c>
      <c r="O196" t="s">
        <v>19970</v>
      </c>
      <c r="P196" t="s">
        <v>20402</v>
      </c>
      <c r="Q196" t="s">
        <v>19426</v>
      </c>
      <c r="R196" t="s">
        <v>409</v>
      </c>
      <c r="S196">
        <v>1498</v>
      </c>
    </row>
    <row r="197" spans="1:19">
      <c r="A197" t="s">
        <v>19</v>
      </c>
      <c r="B197" t="s">
        <v>148</v>
      </c>
      <c r="C197" t="s">
        <v>151</v>
      </c>
      <c r="D197" t="s">
        <v>280</v>
      </c>
      <c r="E197" t="s">
        <v>409</v>
      </c>
      <c r="F197">
        <f>HYPERLINK("https://www.wikidata.org/wiki/Q33369535", "Q33369535")</f>
        <v>0</v>
      </c>
      <c r="G197" t="s">
        <v>689</v>
      </c>
      <c r="H197" t="s">
        <v>5447</v>
      </c>
      <c r="I197" t="s">
        <v>9388</v>
      </c>
      <c r="J197" t="s">
        <v>11439</v>
      </c>
      <c r="K197" t="s">
        <v>15840</v>
      </c>
      <c r="L197">
        <f>HYPERLINK("https://www2.assemblee-nationale.fr/sycomore/fiche/(num_dept)/3970", "3970")</f>
        <v>0</v>
      </c>
      <c r="M197">
        <f>HYPERLINK("https://www.senat.fr/senateur-3eme-republique/jacquier_paul1310r3.html", "jacquier_paul1310r3")</f>
        <v>0</v>
      </c>
      <c r="N197">
        <f>HYPERLINK("https://www.wikidata.org/wiki/Q3371508", "Q3371508")</f>
        <v>0</v>
      </c>
      <c r="O197" t="s">
        <v>20018</v>
      </c>
      <c r="P197" t="s">
        <v>20401</v>
      </c>
      <c r="Q197" t="s">
        <v>19426</v>
      </c>
      <c r="R197" t="s">
        <v>409</v>
      </c>
      <c r="S197">
        <v>1498</v>
      </c>
    </row>
    <row r="198" spans="1:19">
      <c r="A198" t="s">
        <v>19</v>
      </c>
      <c r="B198" t="s">
        <v>148</v>
      </c>
      <c r="C198" t="s">
        <v>151</v>
      </c>
      <c r="D198" t="s">
        <v>280</v>
      </c>
      <c r="E198" t="s">
        <v>409</v>
      </c>
      <c r="F198">
        <f>HYPERLINK("https://www.wikidata.org/wiki/Q33369535", "Q33369535")</f>
        <v>0</v>
      </c>
      <c r="G198" t="s">
        <v>690</v>
      </c>
      <c r="H198" t="s">
        <v>5448</v>
      </c>
      <c r="I198" t="s">
        <v>6200</v>
      </c>
      <c r="J198" t="s">
        <v>11440</v>
      </c>
      <c r="K198" t="s">
        <v>15841</v>
      </c>
      <c r="L198">
        <f>HYPERLINK("https://www2.assemblee-nationale.fr/sycomore/fiche/(num_dept)/4011", "4011")</f>
        <v>0</v>
      </c>
      <c r="N198">
        <f>HYPERLINK("https://www.wikidata.org/wiki/Q12688", "Q12688")</f>
        <v>0</v>
      </c>
      <c r="O198" t="s">
        <v>19962</v>
      </c>
      <c r="P198" t="s">
        <v>20404</v>
      </c>
      <c r="Q198" t="s">
        <v>19426</v>
      </c>
      <c r="R198" t="s">
        <v>409</v>
      </c>
      <c r="S198">
        <v>1498</v>
      </c>
    </row>
    <row r="199" spans="1:19">
      <c r="A199" t="s">
        <v>19</v>
      </c>
      <c r="B199" t="s">
        <v>148</v>
      </c>
      <c r="C199" t="s">
        <v>151</v>
      </c>
      <c r="D199" t="s">
        <v>280</v>
      </c>
      <c r="E199" t="s">
        <v>409</v>
      </c>
      <c r="F199">
        <f>HYPERLINK("https://www.wikidata.org/wiki/Q33369535", "Q33369535")</f>
        <v>0</v>
      </c>
      <c r="G199" t="s">
        <v>691</v>
      </c>
      <c r="H199" t="s">
        <v>5449</v>
      </c>
      <c r="I199" t="s">
        <v>9481</v>
      </c>
      <c r="J199" t="s">
        <v>11441</v>
      </c>
      <c r="K199" t="s">
        <v>15842</v>
      </c>
      <c r="L199">
        <f>HYPERLINK("https://www2.assemblee-nationale.fr/sycomore/fiche/(num_dept)/4014", "4014")</f>
        <v>0</v>
      </c>
      <c r="N199">
        <f>HYPERLINK("https://www.wikidata.org/wiki/Q3172806", "Q3172806")</f>
        <v>0</v>
      </c>
      <c r="O199" t="s">
        <v>20034</v>
      </c>
      <c r="P199" t="s">
        <v>20405</v>
      </c>
      <c r="Q199" t="s">
        <v>19426</v>
      </c>
      <c r="R199" t="s">
        <v>409</v>
      </c>
      <c r="S199">
        <v>1498</v>
      </c>
    </row>
    <row r="200" spans="1:19">
      <c r="A200" t="s">
        <v>19</v>
      </c>
      <c r="B200" t="s">
        <v>148</v>
      </c>
      <c r="C200" t="s">
        <v>151</v>
      </c>
      <c r="D200" t="s">
        <v>280</v>
      </c>
      <c r="E200" t="s">
        <v>409</v>
      </c>
      <c r="F200">
        <f>HYPERLINK("https://www.wikidata.org/wiki/Q33369535", "Q33369535")</f>
        <v>0</v>
      </c>
      <c r="G200" t="s">
        <v>692</v>
      </c>
      <c r="H200" t="s">
        <v>5450</v>
      </c>
      <c r="I200" t="s">
        <v>9385</v>
      </c>
      <c r="J200" t="s">
        <v>11442</v>
      </c>
      <c r="K200" t="s">
        <v>15843</v>
      </c>
      <c r="L200">
        <f>HYPERLINK("https://www2.assemblee-nationale.fr/sycomore/fiche/(num_dept)/4047", "4047")</f>
        <v>0</v>
      </c>
      <c r="M200">
        <f>HYPERLINK("https://www.senat.fr/senateur-3eme-republique/jonnart_celestin0975r3.html", "jonnart_celestin0975r3")</f>
        <v>0</v>
      </c>
      <c r="N200">
        <f>HYPERLINK("https://www.wikidata.org/wiki/Q212634", "Q212634")</f>
        <v>0</v>
      </c>
      <c r="O200" t="s">
        <v>19968</v>
      </c>
      <c r="P200" t="s">
        <v>20411</v>
      </c>
      <c r="Q200" t="s">
        <v>19426</v>
      </c>
      <c r="R200" t="s">
        <v>409</v>
      </c>
      <c r="S200">
        <v>1498</v>
      </c>
    </row>
    <row r="201" spans="1:19">
      <c r="A201" t="s">
        <v>19</v>
      </c>
      <c r="B201" t="s">
        <v>148</v>
      </c>
      <c r="C201" t="s">
        <v>151</v>
      </c>
      <c r="D201" t="s">
        <v>280</v>
      </c>
      <c r="E201" t="s">
        <v>409</v>
      </c>
      <c r="F201">
        <f>HYPERLINK("https://www.wikidata.org/wiki/Q33369535", "Q33369535")</f>
        <v>0</v>
      </c>
      <c r="G201" t="s">
        <v>693</v>
      </c>
      <c r="H201" t="s">
        <v>5451</v>
      </c>
      <c r="I201" t="s">
        <v>9482</v>
      </c>
      <c r="J201" t="s">
        <v>11443</v>
      </c>
      <c r="K201" t="s">
        <v>15844</v>
      </c>
      <c r="L201">
        <f>HYPERLINK("https://www2.assemblee-nationale.fr/sycomore/fiche/(num_dept)/4055", "4055")</f>
        <v>0</v>
      </c>
      <c r="N201">
        <f>HYPERLINK("https://www.wikidata.org/wiki/Q16025876", "Q16025876")</f>
        <v>0</v>
      </c>
      <c r="O201" t="s">
        <v>20012</v>
      </c>
      <c r="P201" t="s">
        <v>20405</v>
      </c>
      <c r="Q201" t="s">
        <v>19426</v>
      </c>
      <c r="R201" t="s">
        <v>409</v>
      </c>
      <c r="S201">
        <v>1498</v>
      </c>
    </row>
    <row r="202" spans="1:19">
      <c r="A202" t="s">
        <v>19</v>
      </c>
      <c r="B202" t="s">
        <v>148</v>
      </c>
      <c r="C202" t="s">
        <v>151</v>
      </c>
      <c r="D202" t="s">
        <v>280</v>
      </c>
      <c r="E202" t="s">
        <v>409</v>
      </c>
      <c r="F202">
        <f>HYPERLINK("https://www.wikidata.org/wiki/Q33369535", "Q33369535")</f>
        <v>0</v>
      </c>
      <c r="G202" t="s">
        <v>694</v>
      </c>
      <c r="H202" t="s">
        <v>5452</v>
      </c>
      <c r="I202" t="s">
        <v>9483</v>
      </c>
      <c r="J202" t="s">
        <v>11444</v>
      </c>
      <c r="K202" t="s">
        <v>15845</v>
      </c>
      <c r="L202">
        <f>HYPERLINK("https://www2.assemblee-nationale.fr/sycomore/fiche/(num_dept)/4086", "4086")</f>
        <v>0</v>
      </c>
      <c r="M202">
        <f>HYPERLINK("https://www.senat.fr/senateur-3eme-republique/judet_victor0628r3.html", "judet_victor0628r3")</f>
        <v>0</v>
      </c>
      <c r="N202">
        <f>HYPERLINK("https://www.wikidata.org/wiki/Q2398706", "Q2398706")</f>
        <v>0</v>
      </c>
      <c r="O202" t="s">
        <v>19979</v>
      </c>
      <c r="P202" t="s">
        <v>20405</v>
      </c>
      <c r="Q202" t="s">
        <v>19426</v>
      </c>
      <c r="R202" t="s">
        <v>409</v>
      </c>
      <c r="S202">
        <v>1498</v>
      </c>
    </row>
    <row r="203" spans="1:19">
      <c r="A203" t="s">
        <v>19</v>
      </c>
      <c r="B203" t="s">
        <v>148</v>
      </c>
      <c r="C203" t="s">
        <v>151</v>
      </c>
      <c r="D203" t="s">
        <v>280</v>
      </c>
      <c r="E203" t="s">
        <v>409</v>
      </c>
      <c r="F203">
        <f>HYPERLINK("https://www.wikidata.org/wiki/Q33369535", "Q33369535")</f>
        <v>0</v>
      </c>
      <c r="G203" t="s">
        <v>695</v>
      </c>
      <c r="H203" t="s">
        <v>5453</v>
      </c>
      <c r="I203" t="s">
        <v>9421</v>
      </c>
      <c r="J203" t="s">
        <v>11445</v>
      </c>
      <c r="K203" t="s">
        <v>15846</v>
      </c>
      <c r="L203">
        <f>HYPERLINK("https://www2.assemblee-nationale.fr/sycomore/fiche/(num_dept)/4128", "4128")</f>
        <v>0</v>
      </c>
      <c r="M203">
        <f>HYPERLINK("https://www.senat.fr/senateur-3eme-republique/de_kerguezec_gustave0567r3.html", "de_kerguezec_gustave0567r3")</f>
        <v>0</v>
      </c>
      <c r="N203">
        <f>HYPERLINK("https://www.wikidata.org/wiki/Q3121362", "Q3121362")</f>
        <v>0</v>
      </c>
      <c r="O203" t="s">
        <v>19964</v>
      </c>
      <c r="P203" t="s">
        <v>20406</v>
      </c>
      <c r="Q203" t="s">
        <v>19426</v>
      </c>
      <c r="R203" t="s">
        <v>409</v>
      </c>
      <c r="S203">
        <v>1498</v>
      </c>
    </row>
    <row r="204" spans="1:19">
      <c r="A204" t="s">
        <v>19</v>
      </c>
      <c r="B204" t="s">
        <v>148</v>
      </c>
      <c r="C204" t="s">
        <v>151</v>
      </c>
      <c r="D204" t="s">
        <v>280</v>
      </c>
      <c r="E204" t="s">
        <v>409</v>
      </c>
      <c r="F204">
        <f>HYPERLINK("https://www.wikidata.org/wiki/Q33369535", "Q33369535")</f>
        <v>0</v>
      </c>
      <c r="G204" t="s">
        <v>696</v>
      </c>
      <c r="H204" t="s">
        <v>5454</v>
      </c>
      <c r="I204" t="s">
        <v>9484</v>
      </c>
      <c r="J204" t="s">
        <v>11446</v>
      </c>
      <c r="K204" t="s">
        <v>15847</v>
      </c>
      <c r="L204">
        <f>HYPERLINK("https://www2.assemblee-nationale.fr/sycomore/fiche/(num_dept)/4148", "4148")</f>
        <v>0</v>
      </c>
      <c r="M204">
        <f>HYPERLINK("https://www.senat.fr/senateur-3eme-republique/klotz_louis1683r3.html", "klotz_louis1683r3")</f>
        <v>0</v>
      </c>
      <c r="N204">
        <f>HYPERLINK("https://www.wikidata.org/wiki/Q179586", "Q179586")</f>
        <v>0</v>
      </c>
      <c r="O204" t="s">
        <v>20012</v>
      </c>
      <c r="P204" t="s">
        <v>20405</v>
      </c>
      <c r="Q204" t="s">
        <v>19426</v>
      </c>
      <c r="R204" t="s">
        <v>409</v>
      </c>
      <c r="S204">
        <v>1498</v>
      </c>
    </row>
    <row r="205" spans="1:19">
      <c r="A205" t="s">
        <v>19</v>
      </c>
      <c r="B205" t="s">
        <v>148</v>
      </c>
      <c r="C205" t="s">
        <v>151</v>
      </c>
      <c r="D205" t="s">
        <v>280</v>
      </c>
      <c r="E205" t="s">
        <v>409</v>
      </c>
      <c r="F205">
        <f>HYPERLINK("https://www.wikidata.org/wiki/Q33369535", "Q33369535")</f>
        <v>0</v>
      </c>
      <c r="G205" t="s">
        <v>697</v>
      </c>
      <c r="H205" t="s">
        <v>5455</v>
      </c>
      <c r="I205" t="s">
        <v>9485</v>
      </c>
      <c r="J205" t="s">
        <v>11447</v>
      </c>
      <c r="K205" t="s">
        <v>15848</v>
      </c>
      <c r="L205">
        <f>HYPERLINK("https://www2.assemblee-nationale.fr/sycomore/fiche/(num_dept)/4166", "4166")</f>
        <v>0</v>
      </c>
      <c r="N205">
        <f>HYPERLINK("https://www.wikidata.org/wiki/Q3455687", "Q3455687")</f>
        <v>0</v>
      </c>
      <c r="O205" t="s">
        <v>19961</v>
      </c>
      <c r="P205" t="s">
        <v>20410</v>
      </c>
      <c r="Q205" t="s">
        <v>19426</v>
      </c>
      <c r="R205" t="s">
        <v>409</v>
      </c>
      <c r="S205">
        <v>1498</v>
      </c>
    </row>
    <row r="206" spans="1:19">
      <c r="A206" t="s">
        <v>19</v>
      </c>
      <c r="B206" t="s">
        <v>148</v>
      </c>
      <c r="C206" t="s">
        <v>151</v>
      </c>
      <c r="D206" t="s">
        <v>280</v>
      </c>
      <c r="E206" t="s">
        <v>409</v>
      </c>
      <c r="F206">
        <f>HYPERLINK("https://www.wikidata.org/wiki/Q33369535", "Q33369535")</f>
        <v>0</v>
      </c>
      <c r="G206" t="s">
        <v>698</v>
      </c>
      <c r="H206" t="s">
        <v>5456</v>
      </c>
      <c r="I206" t="s">
        <v>9421</v>
      </c>
      <c r="J206" t="s">
        <v>11448</v>
      </c>
      <c r="K206" t="s">
        <v>15849</v>
      </c>
      <c r="L206">
        <f>HYPERLINK("https://www2.assemblee-nationale.fr/sycomore/fiche/(num_dept)/4168", "4168")</f>
        <v>0</v>
      </c>
      <c r="M206">
        <f>HYPERLINK("https://www.senat.fr/senateur-3eme-republique/lhopiteau_gustave0772r3.html", "lhopiteau_gustave0772r3")</f>
        <v>0</v>
      </c>
      <c r="N206">
        <f>HYPERLINK("https://www.wikidata.org/wiki/Q3121244", "Q3121244")</f>
        <v>0</v>
      </c>
      <c r="O206" t="s">
        <v>19971</v>
      </c>
      <c r="P206" t="s">
        <v>20402</v>
      </c>
      <c r="Q206" t="s">
        <v>19426</v>
      </c>
      <c r="R206" t="s">
        <v>21368</v>
      </c>
      <c r="S206">
        <v>646</v>
      </c>
    </row>
    <row r="207" spans="1:19">
      <c r="A207" t="s">
        <v>19</v>
      </c>
      <c r="B207" t="s">
        <v>148</v>
      </c>
      <c r="C207" t="s">
        <v>151</v>
      </c>
      <c r="D207" t="s">
        <v>280</v>
      </c>
      <c r="E207" t="s">
        <v>409</v>
      </c>
      <c r="F207">
        <f>HYPERLINK("https://www.wikidata.org/wiki/Q33369535", "Q33369535")</f>
        <v>0</v>
      </c>
      <c r="G207" t="s">
        <v>699</v>
      </c>
      <c r="H207" t="s">
        <v>5457</v>
      </c>
      <c r="I207" t="s">
        <v>9376</v>
      </c>
      <c r="J207" t="s">
        <v>11449</v>
      </c>
      <c r="K207" t="s">
        <v>15850</v>
      </c>
      <c r="L207">
        <f>HYPERLINK("https://www2.assemblee-nationale.fr/sycomore/fiche/(num_dept)/4171", "4171")</f>
        <v>0</v>
      </c>
      <c r="M207">
        <f>HYPERLINK("https://www.senat.fr/senateur-3eme-republique/de_la_batut_ferdinand0668r3.html", "de_la_batut_ferdinand0668r3")</f>
        <v>0</v>
      </c>
      <c r="N207">
        <f>HYPERLINK("https://www.wikidata.org/wiki/Q3068680", "Q3068680")</f>
        <v>0</v>
      </c>
      <c r="O207" t="s">
        <v>20010</v>
      </c>
      <c r="P207" t="s">
        <v>20402</v>
      </c>
      <c r="Q207" t="s">
        <v>19426</v>
      </c>
      <c r="R207" t="s">
        <v>18582</v>
      </c>
      <c r="S207">
        <v>694</v>
      </c>
    </row>
    <row r="208" spans="1:19">
      <c r="A208" t="s">
        <v>19</v>
      </c>
      <c r="B208" t="s">
        <v>148</v>
      </c>
      <c r="C208" t="s">
        <v>151</v>
      </c>
      <c r="D208" t="s">
        <v>280</v>
      </c>
      <c r="E208" t="s">
        <v>409</v>
      </c>
      <c r="F208">
        <f>HYPERLINK("https://www.wikidata.org/wiki/Q33369535", "Q33369535")</f>
        <v>0</v>
      </c>
      <c r="G208" t="s">
        <v>700</v>
      </c>
      <c r="H208" t="s">
        <v>5458</v>
      </c>
      <c r="I208" t="s">
        <v>9486</v>
      </c>
      <c r="J208" t="s">
        <v>11450</v>
      </c>
      <c r="K208" t="s">
        <v>15851</v>
      </c>
      <c r="L208">
        <f>HYPERLINK("https://www2.assemblee-nationale.fr/sycomore/fiche/(num_dept)/4177", "4177")</f>
        <v>0</v>
      </c>
      <c r="N208">
        <f>HYPERLINK("https://www.wikidata.org/wiki/Q3132286", "Q3132286")</f>
        <v>0</v>
      </c>
      <c r="O208" t="s">
        <v>20023</v>
      </c>
      <c r="P208" t="s">
        <v>20408</v>
      </c>
      <c r="Q208" t="s">
        <v>19426</v>
      </c>
      <c r="R208" t="s">
        <v>409</v>
      </c>
      <c r="S208">
        <v>1498</v>
      </c>
    </row>
    <row r="209" spans="1:19">
      <c r="A209" t="s">
        <v>19</v>
      </c>
      <c r="B209" t="s">
        <v>148</v>
      </c>
      <c r="C209" t="s">
        <v>151</v>
      </c>
      <c r="D209" t="s">
        <v>280</v>
      </c>
      <c r="E209" t="s">
        <v>409</v>
      </c>
      <c r="F209">
        <f>HYPERLINK("https://www.wikidata.org/wiki/Q33369535", "Q33369535")</f>
        <v>0</v>
      </c>
      <c r="G209" t="s">
        <v>701</v>
      </c>
      <c r="H209" t="s">
        <v>5459</v>
      </c>
      <c r="I209" t="s">
        <v>9486</v>
      </c>
      <c r="J209" t="s">
        <v>11451</v>
      </c>
      <c r="K209" t="s">
        <v>15852</v>
      </c>
      <c r="L209">
        <f>HYPERLINK("https://www2.assemblee-nationale.fr/sycomore/fiche/(num_dept)/4184", "4184")</f>
        <v>0</v>
      </c>
      <c r="N209">
        <f>HYPERLINK("https://www.wikidata.org/wiki/Q16025896", "Q16025896")</f>
        <v>0</v>
      </c>
      <c r="O209" t="s">
        <v>20021</v>
      </c>
      <c r="P209" t="s">
        <v>20404</v>
      </c>
      <c r="Q209" t="s">
        <v>19426</v>
      </c>
      <c r="R209" t="s">
        <v>409</v>
      </c>
      <c r="S209">
        <v>1498</v>
      </c>
    </row>
    <row r="210" spans="1:19">
      <c r="A210" t="s">
        <v>19</v>
      </c>
      <c r="B210" t="s">
        <v>148</v>
      </c>
      <c r="C210" t="s">
        <v>151</v>
      </c>
      <c r="D210" t="s">
        <v>280</v>
      </c>
      <c r="E210" t="s">
        <v>409</v>
      </c>
      <c r="F210">
        <f>HYPERLINK("https://www.wikidata.org/wiki/Q33369535", "Q33369535")</f>
        <v>0</v>
      </c>
      <c r="G210" t="s">
        <v>702</v>
      </c>
      <c r="H210" t="s">
        <v>5460</v>
      </c>
      <c r="I210" t="s">
        <v>9487</v>
      </c>
      <c r="J210" t="s">
        <v>11452</v>
      </c>
      <c r="K210" t="s">
        <v>15853</v>
      </c>
      <c r="L210">
        <f>HYPERLINK("https://www2.assemblee-nationale.fr/sycomore/fiche/(num_dept)/4189", "4189")</f>
        <v>0</v>
      </c>
      <c r="N210">
        <f>HYPERLINK("https://www.wikidata.org/wiki/Q3261483", "Q3261483")</f>
        <v>0</v>
      </c>
      <c r="O210" t="s">
        <v>19987</v>
      </c>
      <c r="P210" t="s">
        <v>20402</v>
      </c>
      <c r="Q210" t="s">
        <v>19426</v>
      </c>
      <c r="R210" t="s">
        <v>409</v>
      </c>
      <c r="S210">
        <v>1498</v>
      </c>
    </row>
    <row r="211" spans="1:19">
      <c r="A211" t="s">
        <v>19</v>
      </c>
      <c r="B211" t="s">
        <v>148</v>
      </c>
      <c r="C211" t="s">
        <v>151</v>
      </c>
      <c r="D211" t="s">
        <v>280</v>
      </c>
      <c r="E211" t="s">
        <v>409</v>
      </c>
      <c r="F211">
        <f>HYPERLINK("https://www.wikidata.org/wiki/Q33369535", "Q33369535")</f>
        <v>0</v>
      </c>
      <c r="G211" t="s">
        <v>703</v>
      </c>
      <c r="H211" t="s">
        <v>5461</v>
      </c>
      <c r="I211" t="s">
        <v>9375</v>
      </c>
      <c r="J211" t="s">
        <v>11453</v>
      </c>
      <c r="K211" t="s">
        <v>15854</v>
      </c>
      <c r="L211">
        <f>HYPERLINK("https://www2.assemblee-nationale.fr/sycomore/fiche/(num_dept)/4220", "4220")</f>
        <v>0</v>
      </c>
      <c r="N211">
        <f>HYPERLINK("https://www.wikidata.org/wiki/Q16025910", "Q16025910")</f>
        <v>0</v>
      </c>
      <c r="O211" t="s">
        <v>20020</v>
      </c>
      <c r="P211" t="s">
        <v>20401</v>
      </c>
      <c r="Q211" t="s">
        <v>19426</v>
      </c>
      <c r="R211" t="s">
        <v>409</v>
      </c>
      <c r="S211">
        <v>1498</v>
      </c>
    </row>
    <row r="212" spans="1:19">
      <c r="A212" t="s">
        <v>19</v>
      </c>
      <c r="B212" t="s">
        <v>148</v>
      </c>
      <c r="C212" t="s">
        <v>151</v>
      </c>
      <c r="D212" t="s">
        <v>280</v>
      </c>
      <c r="E212" t="s">
        <v>409</v>
      </c>
      <c r="F212">
        <f>HYPERLINK("https://www.wikidata.org/wiki/Q33369535", "Q33369535")</f>
        <v>0</v>
      </c>
      <c r="G212" t="s">
        <v>704</v>
      </c>
      <c r="H212" t="s">
        <v>5462</v>
      </c>
      <c r="I212" t="s">
        <v>9488</v>
      </c>
      <c r="J212" t="s">
        <v>11454</v>
      </c>
      <c r="K212" t="s">
        <v>15855</v>
      </c>
      <c r="L212">
        <f>HYPERLINK("https://www2.assemblee-nationale.fr/sycomore/fiche/(num_dept)/4224", "4224")</f>
        <v>0</v>
      </c>
      <c r="N212">
        <f>HYPERLINK("https://www.wikidata.org/wiki/Q16025911", "Q16025911")</f>
        <v>0</v>
      </c>
      <c r="O212" t="s">
        <v>19972</v>
      </c>
      <c r="P212" t="s">
        <v>20401</v>
      </c>
      <c r="Q212" t="s">
        <v>19426</v>
      </c>
      <c r="R212" t="s">
        <v>409</v>
      </c>
      <c r="S212">
        <v>1498</v>
      </c>
    </row>
    <row r="213" spans="1:19">
      <c r="A213" t="s">
        <v>19</v>
      </c>
      <c r="B213" t="s">
        <v>148</v>
      </c>
      <c r="C213" t="s">
        <v>151</v>
      </c>
      <c r="D213" t="s">
        <v>280</v>
      </c>
      <c r="E213" t="s">
        <v>409</v>
      </c>
      <c r="F213">
        <f>HYPERLINK("https://www.wikidata.org/wiki/Q33369535", "Q33369535")</f>
        <v>0</v>
      </c>
      <c r="G213" t="s">
        <v>705</v>
      </c>
      <c r="H213" t="s">
        <v>5463</v>
      </c>
      <c r="I213" t="s">
        <v>9489</v>
      </c>
      <c r="J213" t="s">
        <v>11455</v>
      </c>
      <c r="K213" t="s">
        <v>15856</v>
      </c>
      <c r="L213">
        <f>HYPERLINK("https://www2.assemblee-nationale.fr/sycomore/fiche/(num_dept)/4271", "4271")</f>
        <v>0</v>
      </c>
      <c r="N213">
        <f>HYPERLINK("https://www.wikidata.org/wiki/Q3185196", "Q3185196")</f>
        <v>0</v>
      </c>
      <c r="O213" t="s">
        <v>20035</v>
      </c>
      <c r="P213" t="s">
        <v>20404</v>
      </c>
      <c r="Q213" t="s">
        <v>19426</v>
      </c>
      <c r="R213" t="s">
        <v>409</v>
      </c>
      <c r="S213">
        <v>1498</v>
      </c>
    </row>
    <row r="214" spans="1:19">
      <c r="A214" t="s">
        <v>19</v>
      </c>
      <c r="B214" t="s">
        <v>148</v>
      </c>
      <c r="C214" t="s">
        <v>151</v>
      </c>
      <c r="D214" t="s">
        <v>280</v>
      </c>
      <c r="E214" t="s">
        <v>409</v>
      </c>
      <c r="F214">
        <f>HYPERLINK("https://www.wikidata.org/wiki/Q33369535", "Q33369535")</f>
        <v>0</v>
      </c>
      <c r="G214" t="s">
        <v>706</v>
      </c>
      <c r="H214" t="s">
        <v>5464</v>
      </c>
      <c r="I214" t="s">
        <v>9490</v>
      </c>
      <c r="J214" t="s">
        <v>11456</v>
      </c>
      <c r="K214" t="s">
        <v>15857</v>
      </c>
      <c r="L214">
        <f>HYPERLINK("https://www2.assemblee-nationale.fr/sycomore/fiche/(num_dept)/4280", "4280")</f>
        <v>0</v>
      </c>
      <c r="N214">
        <f>HYPERLINK("https://www.wikidata.org/wiki/Q3057030", "Q3057030")</f>
        <v>0</v>
      </c>
      <c r="O214" t="s">
        <v>20024</v>
      </c>
      <c r="P214" t="s">
        <v>20403</v>
      </c>
      <c r="Q214" t="s">
        <v>19426</v>
      </c>
      <c r="R214" t="s">
        <v>409</v>
      </c>
      <c r="S214">
        <v>1498</v>
      </c>
    </row>
    <row r="215" spans="1:19">
      <c r="A215" t="s">
        <v>19</v>
      </c>
      <c r="B215" t="s">
        <v>148</v>
      </c>
      <c r="C215" t="s">
        <v>151</v>
      </c>
      <c r="D215" t="s">
        <v>280</v>
      </c>
      <c r="E215" t="s">
        <v>409</v>
      </c>
      <c r="F215">
        <f>HYPERLINK("https://www.wikidata.org/wiki/Q33369535", "Q33369535")</f>
        <v>0</v>
      </c>
      <c r="G215" t="s">
        <v>707</v>
      </c>
      <c r="H215" t="s">
        <v>5465</v>
      </c>
      <c r="I215" t="s">
        <v>9453</v>
      </c>
      <c r="J215" t="s">
        <v>11457</v>
      </c>
      <c r="K215" t="s">
        <v>15858</v>
      </c>
      <c r="L215">
        <f>HYPERLINK("https://www2.assemblee-nationale.fr/sycomore/fiche/(num_dept)/4312", "4312")</f>
        <v>0</v>
      </c>
      <c r="N215">
        <f>HYPERLINK("https://www.wikidata.org/wiki/Q2865188", "Q2865188")</f>
        <v>0</v>
      </c>
      <c r="O215" t="s">
        <v>19968</v>
      </c>
      <c r="P215" t="s">
        <v>20404</v>
      </c>
      <c r="Q215" t="s">
        <v>19426</v>
      </c>
      <c r="R215" t="s">
        <v>409</v>
      </c>
      <c r="S215">
        <v>1498</v>
      </c>
    </row>
    <row r="216" spans="1:19">
      <c r="A216" t="s">
        <v>19</v>
      </c>
      <c r="B216" t="s">
        <v>148</v>
      </c>
      <c r="C216" t="s">
        <v>151</v>
      </c>
      <c r="D216" t="s">
        <v>280</v>
      </c>
      <c r="E216" t="s">
        <v>409</v>
      </c>
      <c r="F216">
        <f>HYPERLINK("https://www.wikidata.org/wiki/Q33369535", "Q33369535")</f>
        <v>0</v>
      </c>
      <c r="G216" t="s">
        <v>708</v>
      </c>
      <c r="H216" t="s">
        <v>5466</v>
      </c>
      <c r="I216" t="s">
        <v>9442</v>
      </c>
      <c r="J216" t="s">
        <v>11458</v>
      </c>
      <c r="K216" t="s">
        <v>15859</v>
      </c>
      <c r="L216">
        <f>HYPERLINK("https://www2.assemblee-nationale.fr/sycomore/fiche/(num_dept)/4320", "4320")</f>
        <v>0</v>
      </c>
      <c r="M216">
        <f>HYPERLINK("https://www.senat.fr/senateur-3eme-republique/lamy_ernest0911r3.html", "lamy_ernest0911r3")</f>
        <v>0</v>
      </c>
      <c r="N216">
        <f>HYPERLINK("https://www.wikidata.org/wiki/Q3057035", "Q3057035")</f>
        <v>0</v>
      </c>
      <c r="O216" t="s">
        <v>19961</v>
      </c>
      <c r="P216" t="s">
        <v>20410</v>
      </c>
      <c r="Q216" t="s">
        <v>19426</v>
      </c>
      <c r="R216" t="s">
        <v>409</v>
      </c>
      <c r="S216">
        <v>1498</v>
      </c>
    </row>
    <row r="217" spans="1:19">
      <c r="A217" t="s">
        <v>19</v>
      </c>
      <c r="B217" t="s">
        <v>148</v>
      </c>
      <c r="C217" t="s">
        <v>151</v>
      </c>
      <c r="D217" t="s">
        <v>280</v>
      </c>
      <c r="E217" t="s">
        <v>409</v>
      </c>
      <c r="F217">
        <f>HYPERLINK("https://www.wikidata.org/wiki/Q33369535", "Q33369535")</f>
        <v>0</v>
      </c>
      <c r="G217" t="s">
        <v>709</v>
      </c>
      <c r="H217" t="s">
        <v>5467</v>
      </c>
      <c r="I217" t="s">
        <v>9457</v>
      </c>
      <c r="J217" t="s">
        <v>11267</v>
      </c>
      <c r="K217" t="s">
        <v>15860</v>
      </c>
      <c r="L217">
        <f>HYPERLINK("https://www2.assemblee-nationale.fr/sycomore/fiche/(num_dept)/4337", "4337")</f>
        <v>0</v>
      </c>
      <c r="N217">
        <f>HYPERLINK("https://www.wikidata.org/wiki/Q3131419", "Q3131419")</f>
        <v>0</v>
      </c>
      <c r="O217" t="s">
        <v>20009</v>
      </c>
      <c r="P217" t="s">
        <v>20403</v>
      </c>
      <c r="Q217" t="s">
        <v>19426</v>
      </c>
      <c r="R217" t="s">
        <v>409</v>
      </c>
      <c r="S217">
        <v>1498</v>
      </c>
    </row>
    <row r="218" spans="1:19">
      <c r="A218" t="s">
        <v>19</v>
      </c>
      <c r="B218" t="s">
        <v>148</v>
      </c>
      <c r="C218" t="s">
        <v>151</v>
      </c>
      <c r="D218" t="s">
        <v>280</v>
      </c>
      <c r="E218" t="s">
        <v>409</v>
      </c>
      <c r="F218">
        <f>HYPERLINK("https://www.wikidata.org/wiki/Q33369535", "Q33369535")</f>
        <v>0</v>
      </c>
      <c r="G218" t="s">
        <v>710</v>
      </c>
      <c r="H218" t="s">
        <v>5468</v>
      </c>
      <c r="I218" t="s">
        <v>9491</v>
      </c>
      <c r="J218" t="s">
        <v>11459</v>
      </c>
      <c r="K218" t="s">
        <v>15861</v>
      </c>
      <c r="L218">
        <f>HYPERLINK("https://www2.assemblee-nationale.fr/sycomore/fiche/(num_dept)/4339", "4339")</f>
        <v>0</v>
      </c>
      <c r="N218">
        <f>HYPERLINK("https://www.wikidata.org/wiki/Q3370301", "Q3370301")</f>
        <v>0</v>
      </c>
      <c r="O218" t="s">
        <v>19961</v>
      </c>
      <c r="P218" t="s">
        <v>20408</v>
      </c>
      <c r="Q218" t="s">
        <v>19426</v>
      </c>
      <c r="R218" t="s">
        <v>409</v>
      </c>
      <c r="S218">
        <v>1498</v>
      </c>
    </row>
    <row r="219" spans="1:19">
      <c r="A219" t="s">
        <v>19</v>
      </c>
      <c r="B219" t="s">
        <v>148</v>
      </c>
      <c r="C219" t="s">
        <v>151</v>
      </c>
      <c r="D219" t="s">
        <v>280</v>
      </c>
      <c r="E219" t="s">
        <v>409</v>
      </c>
      <c r="F219">
        <f>HYPERLINK("https://www.wikidata.org/wiki/Q33369535", "Q33369535")</f>
        <v>0</v>
      </c>
      <c r="G219" t="s">
        <v>711</v>
      </c>
      <c r="H219" t="s">
        <v>5469</v>
      </c>
      <c r="I219" t="s">
        <v>9492</v>
      </c>
      <c r="J219" t="s">
        <v>11460</v>
      </c>
      <c r="K219" t="s">
        <v>15862</v>
      </c>
      <c r="L219">
        <f>HYPERLINK("https://www2.assemblee-nationale.fr/sycomore/fiche/(num_dept)/4341", "4341")</f>
        <v>0</v>
      </c>
      <c r="N219">
        <f>HYPERLINK("https://www.wikidata.org/wiki/Q2825199", "Q2825199")</f>
        <v>0</v>
      </c>
      <c r="O219" t="s">
        <v>20025</v>
      </c>
      <c r="P219" t="s">
        <v>20403</v>
      </c>
      <c r="Q219" t="s">
        <v>19426</v>
      </c>
      <c r="R219" t="s">
        <v>409</v>
      </c>
      <c r="S219">
        <v>1498</v>
      </c>
    </row>
    <row r="220" spans="1:19">
      <c r="A220" t="s">
        <v>19</v>
      </c>
      <c r="B220" t="s">
        <v>148</v>
      </c>
      <c r="C220" t="s">
        <v>151</v>
      </c>
      <c r="D220" t="s">
        <v>280</v>
      </c>
      <c r="E220" t="s">
        <v>409</v>
      </c>
      <c r="F220">
        <f>HYPERLINK("https://www.wikidata.org/wiki/Q33369535", "Q33369535")</f>
        <v>0</v>
      </c>
      <c r="G220" t="s">
        <v>712</v>
      </c>
      <c r="H220" t="s">
        <v>5470</v>
      </c>
      <c r="I220" t="s">
        <v>9472</v>
      </c>
      <c r="J220" t="s">
        <v>11461</v>
      </c>
      <c r="K220" t="s">
        <v>15863</v>
      </c>
      <c r="L220">
        <f>HYPERLINK("https://www2.assemblee-nationale.fr/sycomore/fiche/(num_dept)/4362", "4362")</f>
        <v>0</v>
      </c>
      <c r="N220">
        <f>HYPERLINK("https://www.wikidata.org/wiki/Q8313321", "Q8313321")</f>
        <v>0</v>
      </c>
      <c r="O220" t="s">
        <v>19956</v>
      </c>
      <c r="P220" t="s">
        <v>20401</v>
      </c>
      <c r="Q220" t="s">
        <v>19426</v>
      </c>
      <c r="R220" t="s">
        <v>409</v>
      </c>
      <c r="S220">
        <v>1498</v>
      </c>
    </row>
    <row r="221" spans="1:19">
      <c r="A221" t="s">
        <v>19</v>
      </c>
      <c r="B221" t="s">
        <v>148</v>
      </c>
      <c r="C221" t="s">
        <v>151</v>
      </c>
      <c r="D221" t="s">
        <v>280</v>
      </c>
      <c r="E221" t="s">
        <v>409</v>
      </c>
      <c r="F221">
        <f>HYPERLINK("https://www.wikidata.org/wiki/Q33369535", "Q33369535")</f>
        <v>0</v>
      </c>
      <c r="G221" t="s">
        <v>713</v>
      </c>
      <c r="H221" t="s">
        <v>5471</v>
      </c>
      <c r="I221" t="s">
        <v>6495</v>
      </c>
      <c r="J221" t="s">
        <v>11462</v>
      </c>
      <c r="K221" t="s">
        <v>15864</v>
      </c>
      <c r="L221">
        <f>HYPERLINK("https://www2.assemblee-nationale.fr/sycomore/fiche/(num_dept)/4810", "4810")</f>
        <v>0</v>
      </c>
      <c r="N221">
        <f>HYPERLINK("https://www.wikidata.org/wiki/Q16026009", "Q16026009")</f>
        <v>0</v>
      </c>
      <c r="O221" t="s">
        <v>20026</v>
      </c>
      <c r="P221" t="s">
        <v>20405</v>
      </c>
      <c r="Q221" t="s">
        <v>19426</v>
      </c>
      <c r="R221" t="s">
        <v>409</v>
      </c>
      <c r="S221">
        <v>1498</v>
      </c>
    </row>
    <row r="222" spans="1:19">
      <c r="A222" t="s">
        <v>19</v>
      </c>
      <c r="B222" t="s">
        <v>148</v>
      </c>
      <c r="C222" t="s">
        <v>151</v>
      </c>
      <c r="D222" t="s">
        <v>280</v>
      </c>
      <c r="E222" t="s">
        <v>409</v>
      </c>
      <c r="F222">
        <f>HYPERLINK("https://www.wikidata.org/wiki/Q33369535", "Q33369535")</f>
        <v>0</v>
      </c>
      <c r="G222" t="s">
        <v>714</v>
      </c>
      <c r="H222" t="s">
        <v>5472</v>
      </c>
      <c r="I222" t="s">
        <v>9493</v>
      </c>
      <c r="J222" t="s">
        <v>11463</v>
      </c>
      <c r="K222" t="s">
        <v>15865</v>
      </c>
      <c r="L222">
        <f>HYPERLINK("https://www2.assemblee-nationale.fr/sycomore/fiche/(num_dept)/4848", "4848")</f>
        <v>0</v>
      </c>
      <c r="N222">
        <f>HYPERLINK("https://www.wikidata.org/wiki/Q3069783", "Q3069783")</f>
        <v>0</v>
      </c>
      <c r="O222" t="s">
        <v>20007</v>
      </c>
      <c r="P222" t="s">
        <v>20410</v>
      </c>
      <c r="Q222" t="s">
        <v>19426</v>
      </c>
      <c r="R222" t="s">
        <v>409</v>
      </c>
      <c r="S222">
        <v>1498</v>
      </c>
    </row>
    <row r="223" spans="1:19">
      <c r="A223" t="s">
        <v>19</v>
      </c>
      <c r="B223" t="s">
        <v>148</v>
      </c>
      <c r="C223" t="s">
        <v>151</v>
      </c>
      <c r="D223" t="s">
        <v>280</v>
      </c>
      <c r="E223" t="s">
        <v>409</v>
      </c>
      <c r="F223">
        <f>HYPERLINK("https://www.wikidata.org/wiki/Q33369535", "Q33369535")</f>
        <v>0</v>
      </c>
      <c r="G223" t="s">
        <v>715</v>
      </c>
      <c r="H223" t="s">
        <v>5473</v>
      </c>
      <c r="I223" t="s">
        <v>9494</v>
      </c>
      <c r="J223" t="s">
        <v>11464</v>
      </c>
      <c r="K223" t="s">
        <v>15866</v>
      </c>
      <c r="L223">
        <f>HYPERLINK("https://www2.assemblee-nationale.fr/sycomore/fiche/(num_dept)/4861", "4861")</f>
        <v>0</v>
      </c>
      <c r="N223">
        <f>HYPERLINK("https://www.wikidata.org/wiki/Q3132399", "Q3132399")</f>
        <v>0</v>
      </c>
      <c r="O223" t="s">
        <v>20012</v>
      </c>
      <c r="P223" t="s">
        <v>20403</v>
      </c>
      <c r="Q223" t="s">
        <v>19426</v>
      </c>
      <c r="R223" t="s">
        <v>409</v>
      </c>
      <c r="S223">
        <v>1498</v>
      </c>
    </row>
    <row r="224" spans="1:19">
      <c r="A224" t="s">
        <v>19</v>
      </c>
      <c r="B224" t="s">
        <v>148</v>
      </c>
      <c r="C224" t="s">
        <v>151</v>
      </c>
      <c r="D224" t="s">
        <v>280</v>
      </c>
      <c r="E224" t="s">
        <v>409</v>
      </c>
      <c r="F224">
        <f>HYPERLINK("https://www.wikidata.org/wiki/Q33369535", "Q33369535")</f>
        <v>0</v>
      </c>
      <c r="G224" t="s">
        <v>716</v>
      </c>
      <c r="H224" t="s">
        <v>5474</v>
      </c>
      <c r="I224" t="s">
        <v>9495</v>
      </c>
      <c r="J224" t="s">
        <v>11465</v>
      </c>
      <c r="K224" t="s">
        <v>15867</v>
      </c>
      <c r="L224">
        <f>HYPERLINK("https://www2.assemblee-nationale.fr/sycomore/fiche/(num_dept)/4868", "4868")</f>
        <v>0</v>
      </c>
      <c r="N224">
        <f>HYPERLINK("https://www.wikidata.org/wiki/Q2862011", "Q2862011")</f>
        <v>0</v>
      </c>
      <c r="O224" t="s">
        <v>19957</v>
      </c>
      <c r="P224" t="s">
        <v>20410</v>
      </c>
      <c r="Q224" t="s">
        <v>19426</v>
      </c>
      <c r="R224" t="s">
        <v>409</v>
      </c>
      <c r="S224">
        <v>1498</v>
      </c>
    </row>
    <row r="225" spans="1:19">
      <c r="A225" t="s">
        <v>19</v>
      </c>
      <c r="B225" t="s">
        <v>148</v>
      </c>
      <c r="C225" t="s">
        <v>151</v>
      </c>
      <c r="D225" t="s">
        <v>280</v>
      </c>
      <c r="E225" t="s">
        <v>409</v>
      </c>
      <c r="F225">
        <f>HYPERLINK("https://www.wikidata.org/wiki/Q33369535", "Q33369535")</f>
        <v>0</v>
      </c>
      <c r="G225" t="s">
        <v>717</v>
      </c>
      <c r="H225" t="s">
        <v>5475</v>
      </c>
      <c r="I225" t="s">
        <v>6585</v>
      </c>
      <c r="J225" t="s">
        <v>11466</v>
      </c>
      <c r="K225" t="s">
        <v>15868</v>
      </c>
      <c r="L225">
        <f>HYPERLINK("https://www2.assemblee-nationale.fr/sycomore/fiche/(num_dept)/4882", "4882")</f>
        <v>0</v>
      </c>
      <c r="N225">
        <f>HYPERLINK("https://www.wikidata.org/wiki/Q318617", "Q318617")</f>
        <v>0</v>
      </c>
      <c r="O225" t="s">
        <v>20030</v>
      </c>
      <c r="P225" t="s">
        <v>20402</v>
      </c>
      <c r="Q225" t="s">
        <v>19426</v>
      </c>
      <c r="R225" t="s">
        <v>409</v>
      </c>
      <c r="S225">
        <v>1498</v>
      </c>
    </row>
    <row r="226" spans="1:19">
      <c r="A226" t="s">
        <v>19</v>
      </c>
      <c r="B226" t="s">
        <v>148</v>
      </c>
      <c r="C226" t="s">
        <v>151</v>
      </c>
      <c r="D226" t="s">
        <v>280</v>
      </c>
      <c r="E226" t="s">
        <v>409</v>
      </c>
      <c r="F226">
        <f>HYPERLINK("https://www.wikidata.org/wiki/Q33369535", "Q33369535")</f>
        <v>0</v>
      </c>
      <c r="G226" t="s">
        <v>718</v>
      </c>
      <c r="H226" t="s">
        <v>5476</v>
      </c>
      <c r="I226" t="s">
        <v>6584</v>
      </c>
      <c r="J226" t="s">
        <v>11467</v>
      </c>
      <c r="K226" t="s">
        <v>15869</v>
      </c>
      <c r="L226">
        <f>HYPERLINK("https://www2.assemblee-nationale.fr/sycomore/fiche/(num_dept)/4896", "4896")</f>
        <v>0</v>
      </c>
      <c r="N226">
        <f>HYPERLINK("https://www.wikidata.org/wiki/Q2831366", "Q2831366")</f>
        <v>0</v>
      </c>
      <c r="O226" t="s">
        <v>19985</v>
      </c>
      <c r="P226" t="s">
        <v>20406</v>
      </c>
      <c r="Q226" t="s">
        <v>19426</v>
      </c>
      <c r="R226" t="s">
        <v>409</v>
      </c>
      <c r="S226">
        <v>1498</v>
      </c>
    </row>
    <row r="227" spans="1:19">
      <c r="A227" t="s">
        <v>19</v>
      </c>
      <c r="B227" t="s">
        <v>148</v>
      </c>
      <c r="C227" t="s">
        <v>151</v>
      </c>
      <c r="D227" t="s">
        <v>280</v>
      </c>
      <c r="E227" t="s">
        <v>409</v>
      </c>
      <c r="F227">
        <f>HYPERLINK("https://www.wikidata.org/wiki/Q33369535", "Q33369535")</f>
        <v>0</v>
      </c>
      <c r="G227" t="s">
        <v>719</v>
      </c>
      <c r="H227" t="s">
        <v>5477</v>
      </c>
      <c r="I227" t="s">
        <v>9496</v>
      </c>
      <c r="J227" t="s">
        <v>11468</v>
      </c>
      <c r="K227" t="s">
        <v>15870</v>
      </c>
      <c r="L227">
        <f>HYPERLINK("https://www2.assemblee-nationale.fr/sycomore/fiche/(num_dept)/4911", "4911")</f>
        <v>0</v>
      </c>
      <c r="N227">
        <f>HYPERLINK("https://www.wikidata.org/wiki/Q16026027", "Q16026027")</f>
        <v>0</v>
      </c>
      <c r="O227" t="s">
        <v>20005</v>
      </c>
      <c r="P227" t="s">
        <v>20405</v>
      </c>
      <c r="Q227" t="s">
        <v>19426</v>
      </c>
      <c r="R227" t="s">
        <v>409</v>
      </c>
      <c r="S227">
        <v>1498</v>
      </c>
    </row>
    <row r="228" spans="1:19">
      <c r="A228" t="s">
        <v>19</v>
      </c>
      <c r="B228" t="s">
        <v>148</v>
      </c>
      <c r="C228" t="s">
        <v>151</v>
      </c>
      <c r="D228" t="s">
        <v>280</v>
      </c>
      <c r="E228" t="s">
        <v>409</v>
      </c>
      <c r="F228">
        <f>HYPERLINK("https://www.wikidata.org/wiki/Q33369535", "Q33369535")</f>
        <v>0</v>
      </c>
      <c r="G228" t="s">
        <v>720</v>
      </c>
      <c r="H228" t="s">
        <v>5478</v>
      </c>
      <c r="I228" t="s">
        <v>5528</v>
      </c>
      <c r="J228" t="s">
        <v>11469</v>
      </c>
      <c r="K228" t="s">
        <v>15871</v>
      </c>
      <c r="L228">
        <f>HYPERLINK("https://www2.assemblee-nationale.fr/sycomore/fiche/(num_dept)/4921", "4921")</f>
        <v>0</v>
      </c>
      <c r="N228">
        <f>HYPERLINK("https://www.wikidata.org/wiki/Q13416934", "Q13416934")</f>
        <v>0</v>
      </c>
      <c r="O228" t="s">
        <v>19960</v>
      </c>
      <c r="P228" t="s">
        <v>20405</v>
      </c>
      <c r="Q228" t="s">
        <v>19426</v>
      </c>
      <c r="R228" t="s">
        <v>409</v>
      </c>
      <c r="S228">
        <v>1498</v>
      </c>
    </row>
    <row r="229" spans="1:19">
      <c r="A229" t="s">
        <v>19</v>
      </c>
      <c r="B229" t="s">
        <v>148</v>
      </c>
      <c r="C229" t="s">
        <v>151</v>
      </c>
      <c r="D229" t="s">
        <v>280</v>
      </c>
      <c r="E229" t="s">
        <v>409</v>
      </c>
      <c r="F229">
        <f>HYPERLINK("https://www.wikidata.org/wiki/Q33369535", "Q33369535")</f>
        <v>0</v>
      </c>
      <c r="G229" t="s">
        <v>721</v>
      </c>
      <c r="H229" t="s">
        <v>5479</v>
      </c>
      <c r="I229" t="s">
        <v>6495</v>
      </c>
      <c r="J229" t="s">
        <v>11470</v>
      </c>
      <c r="K229" t="s">
        <v>15872</v>
      </c>
      <c r="L229">
        <f>HYPERLINK("https://www2.assemblee-nationale.fr/sycomore/fiche/(num_dept)/4940", "4940")</f>
        <v>0</v>
      </c>
      <c r="N229">
        <f>HYPERLINK("https://www.wikidata.org/wiki/Q3262600", "Q3262600")</f>
        <v>0</v>
      </c>
      <c r="O229" t="s">
        <v>19974</v>
      </c>
      <c r="P229" t="s">
        <v>20405</v>
      </c>
      <c r="Q229" t="s">
        <v>19426</v>
      </c>
      <c r="R229" t="s">
        <v>409</v>
      </c>
      <c r="S229">
        <v>1498</v>
      </c>
    </row>
    <row r="230" spans="1:19">
      <c r="A230" t="s">
        <v>19</v>
      </c>
      <c r="B230" t="s">
        <v>148</v>
      </c>
      <c r="C230" t="s">
        <v>151</v>
      </c>
      <c r="D230" t="s">
        <v>280</v>
      </c>
      <c r="E230" t="s">
        <v>409</v>
      </c>
      <c r="F230">
        <f>HYPERLINK("https://www.wikidata.org/wiki/Q33369535", "Q33369535")</f>
        <v>0</v>
      </c>
      <c r="G230" t="s">
        <v>722</v>
      </c>
      <c r="H230" t="s">
        <v>5480</v>
      </c>
      <c r="I230" t="s">
        <v>9465</v>
      </c>
      <c r="J230" t="s">
        <v>11471</v>
      </c>
      <c r="K230" t="s">
        <v>15873</v>
      </c>
      <c r="L230">
        <f>HYPERLINK("https://www2.assemblee-nationale.fr/sycomore/fiche/(num_dept)/4954", "4954")</f>
        <v>0</v>
      </c>
      <c r="M230">
        <f>HYPERLINK("https://www.senat.fr/senateur-3eme-republique/mando_eugene0573r3.html", "mando_eugene0573r3")</f>
        <v>0</v>
      </c>
      <c r="N230">
        <f>HYPERLINK("https://www.wikidata.org/wiki/Q3060013", "Q3060013")</f>
        <v>0</v>
      </c>
      <c r="O230" t="s">
        <v>19964</v>
      </c>
      <c r="P230" t="s">
        <v>20402</v>
      </c>
      <c r="Q230" t="s">
        <v>19426</v>
      </c>
      <c r="R230" t="s">
        <v>409</v>
      </c>
      <c r="S230">
        <v>1498</v>
      </c>
    </row>
    <row r="231" spans="1:19">
      <c r="A231" t="s">
        <v>19</v>
      </c>
      <c r="B231" t="s">
        <v>148</v>
      </c>
      <c r="C231" t="s">
        <v>151</v>
      </c>
      <c r="D231" t="s">
        <v>280</v>
      </c>
      <c r="E231" t="s">
        <v>409</v>
      </c>
      <c r="F231">
        <f>HYPERLINK("https://www.wikidata.org/wiki/Q33369535", "Q33369535")</f>
        <v>0</v>
      </c>
      <c r="G231" t="s">
        <v>723</v>
      </c>
      <c r="H231" t="s">
        <v>5481</v>
      </c>
      <c r="I231" t="s">
        <v>9458</v>
      </c>
      <c r="J231" t="s">
        <v>11472</v>
      </c>
      <c r="K231" t="s">
        <v>15874</v>
      </c>
      <c r="L231">
        <f>HYPERLINK("https://www2.assemblee-nationale.fr/sycomore/fiche/(num_dept)/4991", "4991")</f>
        <v>0</v>
      </c>
      <c r="N231">
        <f>HYPERLINK("https://www.wikidata.org/wiki/Q2835305", "Q2835305")</f>
        <v>0</v>
      </c>
      <c r="O231" t="s">
        <v>20025</v>
      </c>
      <c r="P231" t="s">
        <v>20405</v>
      </c>
      <c r="Q231" t="s">
        <v>19426</v>
      </c>
      <c r="R231" t="s">
        <v>409</v>
      </c>
      <c r="S231">
        <v>1498</v>
      </c>
    </row>
    <row r="232" spans="1:19">
      <c r="A232" t="s">
        <v>19</v>
      </c>
      <c r="B232" t="s">
        <v>148</v>
      </c>
      <c r="C232" t="s">
        <v>151</v>
      </c>
      <c r="D232" t="s">
        <v>280</v>
      </c>
      <c r="E232" t="s">
        <v>409</v>
      </c>
      <c r="F232">
        <f>HYPERLINK("https://www.wikidata.org/wiki/Q33369535", "Q33369535")</f>
        <v>0</v>
      </c>
      <c r="G232" t="s">
        <v>724</v>
      </c>
      <c r="H232" t="s">
        <v>5482</v>
      </c>
      <c r="I232" t="s">
        <v>6495</v>
      </c>
      <c r="J232" t="s">
        <v>11473</v>
      </c>
      <c r="K232" t="s">
        <v>15875</v>
      </c>
      <c r="L232">
        <f>HYPERLINK("https://www2.assemblee-nationale.fr/sycomore/fiche/(num_dept)/5001", "5001")</f>
        <v>0</v>
      </c>
      <c r="N232">
        <f>HYPERLINK("https://www.wikidata.org/wiki/Q1229977", "Q1229977")</f>
        <v>0</v>
      </c>
      <c r="O232" t="s">
        <v>20007</v>
      </c>
      <c r="P232" t="s">
        <v>20403</v>
      </c>
      <c r="Q232" t="s">
        <v>19426</v>
      </c>
      <c r="R232" t="s">
        <v>409</v>
      </c>
      <c r="S232">
        <v>1498</v>
      </c>
    </row>
    <row r="233" spans="1:19">
      <c r="A233" t="s">
        <v>19</v>
      </c>
      <c r="B233" t="s">
        <v>148</v>
      </c>
      <c r="C233" t="s">
        <v>151</v>
      </c>
      <c r="D233" t="s">
        <v>280</v>
      </c>
      <c r="E233" t="s">
        <v>409</v>
      </c>
      <c r="F233">
        <f>HYPERLINK("https://www.wikidata.org/wiki/Q33369535", "Q33369535")</f>
        <v>0</v>
      </c>
      <c r="G233" t="s">
        <v>725</v>
      </c>
      <c r="H233" t="s">
        <v>5483</v>
      </c>
      <c r="I233" t="s">
        <v>9497</v>
      </c>
      <c r="J233" t="s">
        <v>11474</v>
      </c>
      <c r="K233" t="s">
        <v>15876</v>
      </c>
      <c r="L233">
        <f>HYPERLINK("https://www2.assemblee-nationale.fr/sycomore/fiche/(num_dept)/5024", "5024")</f>
        <v>0</v>
      </c>
      <c r="M233">
        <f>HYPERLINK("https://www.senat.fr/senateur-3eme-republique/marrou_baptiste0987r3.html", "marrou_baptiste0987r3")</f>
        <v>0</v>
      </c>
      <c r="N233">
        <f>HYPERLINK("https://www.wikidata.org/wiki/Q2883668", "Q2883668")</f>
        <v>0</v>
      </c>
      <c r="O233" t="s">
        <v>20005</v>
      </c>
      <c r="P233" t="s">
        <v>20405</v>
      </c>
      <c r="Q233" t="s">
        <v>19426</v>
      </c>
      <c r="R233" t="s">
        <v>409</v>
      </c>
      <c r="S233">
        <v>1498</v>
      </c>
    </row>
    <row r="234" spans="1:19">
      <c r="A234" t="s">
        <v>19</v>
      </c>
      <c r="B234" t="s">
        <v>148</v>
      </c>
      <c r="C234" t="s">
        <v>151</v>
      </c>
      <c r="D234" t="s">
        <v>280</v>
      </c>
      <c r="E234" t="s">
        <v>409</v>
      </c>
      <c r="F234">
        <f>HYPERLINK("https://www.wikidata.org/wiki/Q33369535", "Q33369535")</f>
        <v>0</v>
      </c>
      <c r="G234" t="s">
        <v>726</v>
      </c>
      <c r="H234" t="s">
        <v>5484</v>
      </c>
      <c r="I234" t="s">
        <v>9498</v>
      </c>
      <c r="J234" t="s">
        <v>11475</v>
      </c>
      <c r="K234" t="s">
        <v>15877</v>
      </c>
      <c r="L234">
        <f>HYPERLINK("https://www2.assemblee-nationale.fr/sycomore/fiche/(num_dept)/5068", "5068")</f>
        <v>0</v>
      </c>
      <c r="M234">
        <f>HYPERLINK("https://www.senat.fr/senateur-3eme-republique/massabuau_joseph0289r3.html", "massabuau_joseph0289r3")</f>
        <v>0</v>
      </c>
      <c r="N234">
        <f>HYPERLINK("https://www.wikidata.org/wiki/Q3185335", "Q3185335")</f>
        <v>0</v>
      </c>
      <c r="O234" t="s">
        <v>19967</v>
      </c>
      <c r="P234" t="s">
        <v>20410</v>
      </c>
      <c r="Q234" t="s">
        <v>19426</v>
      </c>
      <c r="R234" t="s">
        <v>409</v>
      </c>
      <c r="S234">
        <v>1498</v>
      </c>
    </row>
    <row r="235" spans="1:19">
      <c r="A235" t="s">
        <v>19</v>
      </c>
      <c r="B235" t="s">
        <v>148</v>
      </c>
      <c r="C235" t="s">
        <v>151</v>
      </c>
      <c r="D235" t="s">
        <v>280</v>
      </c>
      <c r="E235" t="s">
        <v>409</v>
      </c>
      <c r="F235">
        <f>HYPERLINK("https://www.wikidata.org/wiki/Q33369535", "Q33369535")</f>
        <v>0</v>
      </c>
      <c r="G235" t="s">
        <v>727</v>
      </c>
      <c r="H235" t="s">
        <v>5485</v>
      </c>
      <c r="I235" t="s">
        <v>9499</v>
      </c>
      <c r="J235" t="s">
        <v>11476</v>
      </c>
      <c r="K235" t="s">
        <v>15878</v>
      </c>
      <c r="L235">
        <f>HYPERLINK("https://www2.assemblee-nationale.fr/sycomore/fiche/(num_dept)/5102", "5102")</f>
        <v>0</v>
      </c>
      <c r="N235">
        <f>HYPERLINK("https://www.wikidata.org/wiki/Q16026067", "Q16026067")</f>
        <v>0</v>
      </c>
      <c r="O235" t="s">
        <v>20017</v>
      </c>
      <c r="P235" t="s">
        <v>20401</v>
      </c>
      <c r="Q235" t="s">
        <v>19426</v>
      </c>
      <c r="R235" t="s">
        <v>409</v>
      </c>
      <c r="S235">
        <v>1498</v>
      </c>
    </row>
    <row r="236" spans="1:19">
      <c r="A236" t="s">
        <v>19</v>
      </c>
      <c r="B236" t="s">
        <v>148</v>
      </c>
      <c r="C236" t="s">
        <v>151</v>
      </c>
      <c r="D236" t="s">
        <v>280</v>
      </c>
      <c r="E236" t="s">
        <v>409</v>
      </c>
      <c r="F236">
        <f>HYPERLINK("https://www.wikidata.org/wiki/Q33369535", "Q33369535")</f>
        <v>0</v>
      </c>
      <c r="G236" t="s">
        <v>728</v>
      </c>
      <c r="H236" t="s">
        <v>5486</v>
      </c>
      <c r="I236" t="s">
        <v>7642</v>
      </c>
      <c r="J236" t="s">
        <v>11477</v>
      </c>
      <c r="K236" t="s">
        <v>15879</v>
      </c>
      <c r="L236">
        <f>HYPERLINK("https://www2.assemblee-nationale.fr/sycomore/fiche/(num_dept)/5121", "5121")</f>
        <v>0</v>
      </c>
      <c r="N236">
        <f>HYPERLINK("https://www.wikidata.org/wiki/Q3301152", "Q3301152")</f>
        <v>0</v>
      </c>
      <c r="O236" t="s">
        <v>19971</v>
      </c>
      <c r="P236" t="s">
        <v>20401</v>
      </c>
      <c r="Q236" t="s">
        <v>19426</v>
      </c>
      <c r="R236" t="s">
        <v>409</v>
      </c>
      <c r="S236">
        <v>1498</v>
      </c>
    </row>
    <row r="237" spans="1:19">
      <c r="A237" t="s">
        <v>19</v>
      </c>
      <c r="B237" t="s">
        <v>148</v>
      </c>
      <c r="C237" t="s">
        <v>151</v>
      </c>
      <c r="D237" t="s">
        <v>280</v>
      </c>
      <c r="E237" t="s">
        <v>409</v>
      </c>
      <c r="F237">
        <f>HYPERLINK("https://www.wikidata.org/wiki/Q33369535", "Q33369535")</f>
        <v>0</v>
      </c>
      <c r="G237" t="s">
        <v>729</v>
      </c>
      <c r="H237" t="s">
        <v>5487</v>
      </c>
      <c r="I237" t="s">
        <v>9500</v>
      </c>
      <c r="J237" t="s">
        <v>11478</v>
      </c>
      <c r="K237" t="s">
        <v>15880</v>
      </c>
      <c r="L237">
        <f>HYPERLINK("https://www2.assemblee-nationale.fr/sycomore/fiche/(num_dept)/5186", "5186")</f>
        <v>0</v>
      </c>
      <c r="N237">
        <f>HYPERLINK("https://www.wikidata.org/wiki/Q15971947", "Q15971947")</f>
        <v>0</v>
      </c>
      <c r="O237" t="s">
        <v>20007</v>
      </c>
      <c r="P237" t="s">
        <v>20401</v>
      </c>
      <c r="Q237" t="s">
        <v>19426</v>
      </c>
      <c r="R237" t="s">
        <v>409</v>
      </c>
      <c r="S237">
        <v>1498</v>
      </c>
    </row>
    <row r="238" spans="1:19">
      <c r="A238" t="s">
        <v>19</v>
      </c>
      <c r="B238" t="s">
        <v>148</v>
      </c>
      <c r="C238" t="s">
        <v>151</v>
      </c>
      <c r="D238" t="s">
        <v>280</v>
      </c>
      <c r="E238" t="s">
        <v>409</v>
      </c>
      <c r="F238">
        <f>HYPERLINK("https://www.wikidata.org/wiki/Q33369535", "Q33369535")</f>
        <v>0</v>
      </c>
      <c r="G238" t="s">
        <v>730</v>
      </c>
      <c r="H238" t="s">
        <v>5488</v>
      </c>
      <c r="I238" t="s">
        <v>6584</v>
      </c>
      <c r="J238" t="s">
        <v>11479</v>
      </c>
      <c r="K238" t="s">
        <v>15881</v>
      </c>
      <c r="L238">
        <f>HYPERLINK("https://www2.assemblee-nationale.fr/sycomore/fiche/(num_dept)/5228", "5228")</f>
        <v>0</v>
      </c>
      <c r="N238">
        <f>HYPERLINK("https://www.wikidata.org/wiki/Q2831425", "Q2831425")</f>
        <v>0</v>
      </c>
      <c r="O238" t="s">
        <v>19973</v>
      </c>
      <c r="P238" t="s">
        <v>20405</v>
      </c>
      <c r="Q238" t="s">
        <v>19426</v>
      </c>
      <c r="R238" t="s">
        <v>409</v>
      </c>
      <c r="S238">
        <v>1498</v>
      </c>
    </row>
    <row r="239" spans="1:19">
      <c r="A239" t="s">
        <v>19</v>
      </c>
      <c r="B239" t="s">
        <v>148</v>
      </c>
      <c r="C239" t="s">
        <v>151</v>
      </c>
      <c r="D239" t="s">
        <v>280</v>
      </c>
      <c r="E239" t="s">
        <v>409</v>
      </c>
      <c r="F239">
        <f>HYPERLINK("https://www.wikidata.org/wiki/Q33369535", "Q33369535")</f>
        <v>0</v>
      </c>
      <c r="G239" t="s">
        <v>731</v>
      </c>
      <c r="H239" t="s">
        <v>5489</v>
      </c>
      <c r="I239" t="s">
        <v>9388</v>
      </c>
      <c r="J239" t="s">
        <v>11480</v>
      </c>
      <c r="K239" t="s">
        <v>15882</v>
      </c>
      <c r="L239">
        <f>HYPERLINK("https://www2.assemblee-nationale.fr/sycomore/fiche/(num_dept)/5235", "5235")</f>
        <v>0</v>
      </c>
      <c r="N239">
        <f>HYPERLINK("https://www.wikidata.org/wiki/Q13089612", "Q13089612")</f>
        <v>0</v>
      </c>
      <c r="O239" t="s">
        <v>8449</v>
      </c>
      <c r="Q239" t="s">
        <v>19426</v>
      </c>
      <c r="R239" t="s">
        <v>409</v>
      </c>
      <c r="S239">
        <v>1498</v>
      </c>
    </row>
    <row r="240" spans="1:19">
      <c r="A240" t="s">
        <v>19</v>
      </c>
      <c r="B240" t="s">
        <v>148</v>
      </c>
      <c r="C240" t="s">
        <v>151</v>
      </c>
      <c r="D240" t="s">
        <v>280</v>
      </c>
      <c r="E240" t="s">
        <v>409</v>
      </c>
      <c r="F240">
        <f>HYPERLINK("https://www.wikidata.org/wiki/Q33369535", "Q33369535")</f>
        <v>0</v>
      </c>
      <c r="G240" t="s">
        <v>732</v>
      </c>
      <c r="H240" t="s">
        <v>5490</v>
      </c>
      <c r="I240" t="s">
        <v>9455</v>
      </c>
      <c r="J240" t="s">
        <v>11481</v>
      </c>
      <c r="K240" t="s">
        <v>15883</v>
      </c>
      <c r="L240">
        <f>HYPERLINK("https://www2.assemblee-nationale.fr/sycomore/fiche/(num_dept)/5286", "5286")</f>
        <v>0</v>
      </c>
      <c r="N240">
        <f>HYPERLINK("https://www.wikidata.org/wiki/Q3265642", "Q3265642")</f>
        <v>0</v>
      </c>
      <c r="O240" t="s">
        <v>19969</v>
      </c>
      <c r="P240" t="s">
        <v>20407</v>
      </c>
      <c r="Q240" t="s">
        <v>19426</v>
      </c>
      <c r="R240" t="s">
        <v>409</v>
      </c>
      <c r="S240">
        <v>1498</v>
      </c>
    </row>
    <row r="241" spans="1:19">
      <c r="A241" t="s">
        <v>19</v>
      </c>
      <c r="B241" t="s">
        <v>148</v>
      </c>
      <c r="C241" t="s">
        <v>151</v>
      </c>
      <c r="D241" t="s">
        <v>280</v>
      </c>
      <c r="E241" t="s">
        <v>409</v>
      </c>
      <c r="F241">
        <f>HYPERLINK("https://www.wikidata.org/wiki/Q33369535", "Q33369535")</f>
        <v>0</v>
      </c>
      <c r="G241" t="s">
        <v>733</v>
      </c>
      <c r="H241" t="s">
        <v>5491</v>
      </c>
      <c r="I241" t="s">
        <v>6158</v>
      </c>
      <c r="J241" t="s">
        <v>11482</v>
      </c>
      <c r="K241" t="s">
        <v>15884</v>
      </c>
      <c r="L241">
        <f>HYPERLINK("https://www2.assemblee-nationale.fr/sycomore/fiche/(num_dept)/5288", "5288")</f>
        <v>0</v>
      </c>
      <c r="N241">
        <f>HYPERLINK("https://www.wikidata.org/wiki/Q8300260", "Q8300260")</f>
        <v>0</v>
      </c>
      <c r="O241" t="s">
        <v>20034</v>
      </c>
      <c r="P241" t="s">
        <v>20405</v>
      </c>
      <c r="Q241" t="s">
        <v>19426</v>
      </c>
      <c r="R241" t="s">
        <v>409</v>
      </c>
      <c r="S241">
        <v>1498</v>
      </c>
    </row>
    <row r="242" spans="1:19">
      <c r="A242" t="s">
        <v>19</v>
      </c>
      <c r="B242" t="s">
        <v>148</v>
      </c>
      <c r="C242" t="s">
        <v>151</v>
      </c>
      <c r="D242" t="s">
        <v>280</v>
      </c>
      <c r="E242" t="s">
        <v>409</v>
      </c>
      <c r="F242">
        <f>HYPERLINK("https://www.wikidata.org/wiki/Q33369535", "Q33369535")</f>
        <v>0</v>
      </c>
      <c r="G242" t="s">
        <v>734</v>
      </c>
      <c r="H242" t="s">
        <v>5492</v>
      </c>
      <c r="I242" t="s">
        <v>6200</v>
      </c>
      <c r="J242" t="s">
        <v>11483</v>
      </c>
      <c r="K242" t="s">
        <v>15885</v>
      </c>
      <c r="L242">
        <f>HYPERLINK("https://www2.assemblee-nationale.fr/sycomore/fiche/(num_dept)/5337", "5337")</f>
        <v>0</v>
      </c>
      <c r="M242">
        <f>HYPERLINK("https://www.senat.fr/senateur-3eme-republique/monestier_clement0859r3.html", "monestier_clement0859r3")</f>
        <v>0</v>
      </c>
      <c r="N242">
        <f>HYPERLINK("https://www.wikidata.org/wiki/Q3173571", "Q3173571")</f>
        <v>0</v>
      </c>
      <c r="O242" t="s">
        <v>20004</v>
      </c>
      <c r="P242" t="s">
        <v>20405</v>
      </c>
      <c r="Q242" t="s">
        <v>19426</v>
      </c>
      <c r="R242" t="s">
        <v>409</v>
      </c>
      <c r="S242">
        <v>1498</v>
      </c>
    </row>
    <row r="243" spans="1:19">
      <c r="A243" t="s">
        <v>19</v>
      </c>
      <c r="B243" t="s">
        <v>148</v>
      </c>
      <c r="C243" t="s">
        <v>151</v>
      </c>
      <c r="D243" t="s">
        <v>280</v>
      </c>
      <c r="E243" t="s">
        <v>409</v>
      </c>
      <c r="F243">
        <f>HYPERLINK("https://www.wikidata.org/wiki/Q33369535", "Q33369535")</f>
        <v>0</v>
      </c>
      <c r="G243" t="s">
        <v>735</v>
      </c>
      <c r="H243" t="s">
        <v>5493</v>
      </c>
      <c r="I243" t="s">
        <v>9426</v>
      </c>
      <c r="J243" t="s">
        <v>11484</v>
      </c>
      <c r="K243" t="s">
        <v>15886</v>
      </c>
      <c r="L243">
        <f>HYPERLINK("https://www2.assemblee-nationale.fr/sycomore/fiche/(num_dept)/5355", "5355")</f>
        <v>0</v>
      </c>
      <c r="N243">
        <f>HYPERLINK("https://www.wikidata.org/wiki/Q16026122", "Q16026122")</f>
        <v>0</v>
      </c>
      <c r="O243" t="s">
        <v>20020</v>
      </c>
      <c r="P243" t="s">
        <v>20405</v>
      </c>
      <c r="Q243" t="s">
        <v>19426</v>
      </c>
      <c r="R243" t="s">
        <v>409</v>
      </c>
      <c r="S243">
        <v>1498</v>
      </c>
    </row>
    <row r="244" spans="1:19">
      <c r="A244" t="s">
        <v>19</v>
      </c>
      <c r="B244" t="s">
        <v>148</v>
      </c>
      <c r="C244" t="s">
        <v>151</v>
      </c>
      <c r="D244" t="s">
        <v>280</v>
      </c>
      <c r="E244" t="s">
        <v>409</v>
      </c>
      <c r="F244">
        <f>HYPERLINK("https://www.wikidata.org/wiki/Q33369535", "Q33369535")</f>
        <v>0</v>
      </c>
      <c r="G244" t="s">
        <v>736</v>
      </c>
      <c r="H244" t="s">
        <v>5494</v>
      </c>
      <c r="I244" t="s">
        <v>9501</v>
      </c>
      <c r="J244" t="s">
        <v>11485</v>
      </c>
      <c r="K244" t="s">
        <v>15887</v>
      </c>
      <c r="L244">
        <f>HYPERLINK("https://www2.assemblee-nationale.fr/sycomore/fiche/(num_dept)/5363", "5363")</f>
        <v>0</v>
      </c>
      <c r="N244">
        <f>HYPERLINK("https://www.wikidata.org/wiki/Q3142134", "Q3142134")</f>
        <v>0</v>
      </c>
      <c r="O244" t="s">
        <v>20023</v>
      </c>
      <c r="P244" t="s">
        <v>20408</v>
      </c>
      <c r="Q244" t="s">
        <v>19426</v>
      </c>
      <c r="R244" t="s">
        <v>409</v>
      </c>
      <c r="S244">
        <v>1498</v>
      </c>
    </row>
    <row r="245" spans="1:19">
      <c r="A245" t="s">
        <v>19</v>
      </c>
      <c r="B245" t="s">
        <v>148</v>
      </c>
      <c r="C245" t="s">
        <v>151</v>
      </c>
      <c r="D245" t="s">
        <v>280</v>
      </c>
      <c r="E245" t="s">
        <v>409</v>
      </c>
      <c r="F245">
        <f>HYPERLINK("https://www.wikidata.org/wiki/Q33369535", "Q33369535")</f>
        <v>0</v>
      </c>
      <c r="G245" t="s">
        <v>737</v>
      </c>
      <c r="H245" t="s">
        <v>5495</v>
      </c>
      <c r="I245" t="s">
        <v>9502</v>
      </c>
      <c r="J245" t="s">
        <v>11486</v>
      </c>
      <c r="K245" t="s">
        <v>15888</v>
      </c>
      <c r="L245">
        <f>HYPERLINK("https://www2.assemblee-nationale.fr/sycomore/fiche/(num_dept)/5390", "5390")</f>
        <v>0</v>
      </c>
      <c r="N245">
        <f>HYPERLINK("https://www.wikidata.org/wiki/Q3580083", "Q3580083")</f>
        <v>0</v>
      </c>
      <c r="O245" t="s">
        <v>19982</v>
      </c>
      <c r="P245" t="s">
        <v>20403</v>
      </c>
      <c r="Q245" t="s">
        <v>19426</v>
      </c>
      <c r="R245" t="s">
        <v>409</v>
      </c>
      <c r="S245">
        <v>1498</v>
      </c>
    </row>
    <row r="246" spans="1:19">
      <c r="A246" t="s">
        <v>19</v>
      </c>
      <c r="B246" t="s">
        <v>148</v>
      </c>
      <c r="C246" t="s">
        <v>151</v>
      </c>
      <c r="D246" t="s">
        <v>280</v>
      </c>
      <c r="E246" t="s">
        <v>409</v>
      </c>
      <c r="F246">
        <f>HYPERLINK("https://www.wikidata.org/wiki/Q33369535", "Q33369535")</f>
        <v>0</v>
      </c>
      <c r="G246" t="s">
        <v>738</v>
      </c>
      <c r="H246" t="s">
        <v>5496</v>
      </c>
      <c r="I246" t="s">
        <v>9503</v>
      </c>
      <c r="J246" t="s">
        <v>11487</v>
      </c>
      <c r="K246" t="s">
        <v>15889</v>
      </c>
      <c r="L246">
        <f>HYPERLINK("https://www2.assemblee-nationale.fr/sycomore/fiche/(num_dept)/5394", "5394")</f>
        <v>0</v>
      </c>
      <c r="M246">
        <f>HYPERLINK("https://www.senat.fr/senateur-3eme-republique/de_monzie_anatole0605r3.html", "de_monzie_anatole0605r3")</f>
        <v>0</v>
      </c>
      <c r="N246">
        <f>HYPERLINK("https://www.wikidata.org/wiki/Q2845619", "Q2845619")</f>
        <v>0</v>
      </c>
      <c r="O246" t="s">
        <v>19974</v>
      </c>
      <c r="Q246" t="s">
        <v>19426</v>
      </c>
      <c r="R246" t="s">
        <v>409</v>
      </c>
      <c r="S246">
        <v>1498</v>
      </c>
    </row>
    <row r="247" spans="1:19">
      <c r="A247" t="s">
        <v>19</v>
      </c>
      <c r="B247" t="s">
        <v>148</v>
      </c>
      <c r="C247" t="s">
        <v>151</v>
      </c>
      <c r="D247" t="s">
        <v>280</v>
      </c>
      <c r="E247" t="s">
        <v>409</v>
      </c>
      <c r="F247">
        <f>HYPERLINK("https://www.wikidata.org/wiki/Q33369535", "Q33369535")</f>
        <v>0</v>
      </c>
      <c r="G247" t="s">
        <v>739</v>
      </c>
      <c r="H247" t="s">
        <v>5497</v>
      </c>
      <c r="I247" t="s">
        <v>9504</v>
      </c>
      <c r="J247" t="s">
        <v>11488</v>
      </c>
      <c r="K247" t="s">
        <v>15890</v>
      </c>
      <c r="L247">
        <f>HYPERLINK("https://www2.assemblee-nationale.fr/sycomore/fiche/(num_dept)/5410", "5410")</f>
        <v>0</v>
      </c>
      <c r="M247">
        <f>HYPERLINK("https://www.senat.fr/senateur-3eme-republique/morel_jean_baptiste1326r3.html", "morel_jean_baptiste1326r3")</f>
        <v>0</v>
      </c>
      <c r="N247">
        <f>HYPERLINK("https://www.wikidata.org/wiki/Q2627978", "Q2627978")</f>
        <v>0</v>
      </c>
      <c r="O247" t="s">
        <v>19997</v>
      </c>
      <c r="P247" t="s">
        <v>20401</v>
      </c>
      <c r="Q247" t="s">
        <v>19426</v>
      </c>
      <c r="R247" t="s">
        <v>21369</v>
      </c>
      <c r="S247">
        <v>632</v>
      </c>
    </row>
    <row r="248" spans="1:19">
      <c r="A248" t="s">
        <v>19</v>
      </c>
      <c r="B248" t="s">
        <v>148</v>
      </c>
      <c r="C248" t="s">
        <v>151</v>
      </c>
      <c r="D248" t="s">
        <v>280</v>
      </c>
      <c r="E248" t="s">
        <v>409</v>
      </c>
      <c r="F248">
        <f>HYPERLINK("https://www.wikidata.org/wiki/Q33369535", "Q33369535")</f>
        <v>0</v>
      </c>
      <c r="G248" t="s">
        <v>740</v>
      </c>
      <c r="H248" t="s">
        <v>5498</v>
      </c>
      <c r="I248" t="s">
        <v>9388</v>
      </c>
      <c r="J248" t="s">
        <v>11489</v>
      </c>
      <c r="K248" t="s">
        <v>15891</v>
      </c>
      <c r="L248">
        <f>HYPERLINK("https://www2.assemblee-nationale.fr/sycomore/fiche/(num_dept)/5413", "5413")</f>
        <v>0</v>
      </c>
      <c r="N248">
        <f>HYPERLINK("https://www.wikidata.org/wiki/Q3371866", "Q3371866")</f>
        <v>0</v>
      </c>
      <c r="O248" t="s">
        <v>20036</v>
      </c>
      <c r="P248" t="s">
        <v>20401</v>
      </c>
      <c r="Q248" t="s">
        <v>19426</v>
      </c>
      <c r="R248" t="s">
        <v>409</v>
      </c>
      <c r="S248">
        <v>1498</v>
      </c>
    </row>
    <row r="249" spans="1:19">
      <c r="A249" t="s">
        <v>19</v>
      </c>
      <c r="B249" t="s">
        <v>148</v>
      </c>
      <c r="C249" t="s">
        <v>151</v>
      </c>
      <c r="D249" t="s">
        <v>280</v>
      </c>
      <c r="E249" t="s">
        <v>409</v>
      </c>
      <c r="F249">
        <f>HYPERLINK("https://www.wikidata.org/wiki/Q33369535", "Q33369535")</f>
        <v>0</v>
      </c>
      <c r="G249" t="s">
        <v>741</v>
      </c>
      <c r="H249" t="s">
        <v>5499</v>
      </c>
      <c r="I249" t="s">
        <v>9476</v>
      </c>
      <c r="J249" t="s">
        <v>11490</v>
      </c>
      <c r="K249" t="s">
        <v>15892</v>
      </c>
      <c r="L249">
        <f>HYPERLINK("https://www2.assemblee-nationale.fr/sycomore/fiche/(num_dept)/5463", "5463")</f>
        <v>0</v>
      </c>
      <c r="M249">
        <f>HYPERLINK("https://www.senat.fr/senateur-3eme-republique/de_moustier_rene0688r3.html", "de_moustier_rene0688r3")</f>
        <v>0</v>
      </c>
      <c r="N249">
        <f>HYPERLINK("https://www.wikidata.org/wiki/Q3427071", "Q3427071")</f>
        <v>0</v>
      </c>
      <c r="O249" t="s">
        <v>19973</v>
      </c>
      <c r="P249" t="s">
        <v>20403</v>
      </c>
      <c r="Q249" t="s">
        <v>19426</v>
      </c>
      <c r="R249" t="s">
        <v>409</v>
      </c>
      <c r="S249">
        <v>1498</v>
      </c>
    </row>
    <row r="250" spans="1:19">
      <c r="A250" t="s">
        <v>19</v>
      </c>
      <c r="B250" t="s">
        <v>148</v>
      </c>
      <c r="C250" t="s">
        <v>151</v>
      </c>
      <c r="D250" t="s">
        <v>280</v>
      </c>
      <c r="E250" t="s">
        <v>409</v>
      </c>
      <c r="F250">
        <f>HYPERLINK("https://www.wikidata.org/wiki/Q33369535", "Q33369535")</f>
        <v>0</v>
      </c>
      <c r="G250" t="s">
        <v>742</v>
      </c>
      <c r="H250" t="s">
        <v>5500</v>
      </c>
      <c r="I250" t="s">
        <v>9505</v>
      </c>
      <c r="J250" t="s">
        <v>11491</v>
      </c>
      <c r="K250" t="s">
        <v>15893</v>
      </c>
      <c r="L250">
        <f>HYPERLINK("https://www2.assemblee-nationale.fr/sycomore/fiche/(num_dept)/5482", "5482")</f>
        <v>0</v>
      </c>
      <c r="N250">
        <f>HYPERLINK("https://www.wikidata.org/wiki/Q2475967", "Q2475967")</f>
        <v>0</v>
      </c>
      <c r="O250" t="s">
        <v>20011</v>
      </c>
      <c r="P250" t="s">
        <v>20410</v>
      </c>
      <c r="Q250" t="s">
        <v>19426</v>
      </c>
      <c r="R250" t="s">
        <v>409</v>
      </c>
      <c r="S250">
        <v>1498</v>
      </c>
    </row>
    <row r="251" spans="1:19">
      <c r="A251" t="s">
        <v>19</v>
      </c>
      <c r="B251" t="s">
        <v>148</v>
      </c>
      <c r="C251" t="s">
        <v>151</v>
      </c>
      <c r="D251" t="s">
        <v>280</v>
      </c>
      <c r="E251" t="s">
        <v>409</v>
      </c>
      <c r="F251">
        <f>HYPERLINK("https://www.wikidata.org/wiki/Q33369535", "Q33369535")</f>
        <v>0</v>
      </c>
      <c r="G251" t="s">
        <v>743</v>
      </c>
      <c r="H251" t="s">
        <v>5501</v>
      </c>
      <c r="I251" t="s">
        <v>9458</v>
      </c>
      <c r="J251" t="s">
        <v>11492</v>
      </c>
      <c r="K251" t="s">
        <v>15894</v>
      </c>
      <c r="L251">
        <f>HYPERLINK("https://www2.assemblee-nationale.fr/sycomore/fiche/(num_dept)/5491", "5491")</f>
        <v>0</v>
      </c>
      <c r="N251">
        <f>HYPERLINK("https://www.wikidata.org/wiki/Q8308367", "Q8308367")</f>
        <v>0</v>
      </c>
      <c r="O251" t="s">
        <v>20002</v>
      </c>
      <c r="P251" t="s">
        <v>20402</v>
      </c>
      <c r="Q251" t="s">
        <v>19426</v>
      </c>
      <c r="R251" t="s">
        <v>409</v>
      </c>
      <c r="S251">
        <v>1498</v>
      </c>
    </row>
    <row r="252" spans="1:19">
      <c r="A252" t="s">
        <v>19</v>
      </c>
      <c r="B252" t="s">
        <v>148</v>
      </c>
      <c r="C252" t="s">
        <v>151</v>
      </c>
      <c r="D252" t="s">
        <v>280</v>
      </c>
      <c r="E252" t="s">
        <v>409</v>
      </c>
      <c r="F252">
        <f>HYPERLINK("https://www.wikidata.org/wiki/Q33369535", "Q33369535")</f>
        <v>0</v>
      </c>
      <c r="G252" t="s">
        <v>744</v>
      </c>
      <c r="H252" t="s">
        <v>5502</v>
      </c>
      <c r="I252" t="s">
        <v>9375</v>
      </c>
      <c r="J252" t="s">
        <v>11493</v>
      </c>
      <c r="K252" t="s">
        <v>15895</v>
      </c>
      <c r="L252">
        <f>HYPERLINK("https://www2.assemblee-nationale.fr/sycomore/fiche/(num_dept)/5529", "5529")</f>
        <v>0</v>
      </c>
      <c r="M252">
        <f>HYPERLINK("https://www.senat.fr/senateur-3eme-republique/neron_edouard0523r3.html", "neron_edouard0523r3")</f>
        <v>0</v>
      </c>
      <c r="N252">
        <f>HYPERLINK("https://www.wikidata.org/wiki/Q3579976", "Q3579976")</f>
        <v>0</v>
      </c>
      <c r="O252" t="s">
        <v>19993</v>
      </c>
      <c r="P252" t="s">
        <v>20403</v>
      </c>
      <c r="Q252" t="s">
        <v>19426</v>
      </c>
      <c r="R252" t="s">
        <v>409</v>
      </c>
      <c r="S252">
        <v>1498</v>
      </c>
    </row>
    <row r="253" spans="1:19">
      <c r="A253" t="s">
        <v>19</v>
      </c>
      <c r="B253" t="s">
        <v>148</v>
      </c>
      <c r="C253" t="s">
        <v>151</v>
      </c>
      <c r="D253" t="s">
        <v>280</v>
      </c>
      <c r="E253" t="s">
        <v>409</v>
      </c>
      <c r="F253">
        <f>HYPERLINK("https://www.wikidata.org/wiki/Q33369535", "Q33369535")</f>
        <v>0</v>
      </c>
      <c r="G253" t="s">
        <v>745</v>
      </c>
      <c r="H253" t="s">
        <v>5503</v>
      </c>
      <c r="I253" t="s">
        <v>9506</v>
      </c>
      <c r="J253" t="s">
        <v>11494</v>
      </c>
      <c r="K253" t="s">
        <v>15896</v>
      </c>
      <c r="L253">
        <f>HYPERLINK("https://www2.assemblee-nationale.fr/sycomore/fiche/(num_dept)/5548", "5548")</f>
        <v>0</v>
      </c>
      <c r="N253">
        <f>HYPERLINK("https://www.wikidata.org/wiki/Q16026195", "Q16026195")</f>
        <v>0</v>
      </c>
      <c r="O253" t="s">
        <v>20037</v>
      </c>
      <c r="P253" t="s">
        <v>20401</v>
      </c>
      <c r="Q253" t="s">
        <v>19426</v>
      </c>
      <c r="R253" t="s">
        <v>15896</v>
      </c>
      <c r="S253">
        <v>1330</v>
      </c>
    </row>
    <row r="254" spans="1:19">
      <c r="A254" t="s">
        <v>19</v>
      </c>
      <c r="B254" t="s">
        <v>148</v>
      </c>
      <c r="C254" t="s">
        <v>151</v>
      </c>
      <c r="D254" t="s">
        <v>280</v>
      </c>
      <c r="E254" t="s">
        <v>409</v>
      </c>
      <c r="F254">
        <f>HYPERLINK("https://www.wikidata.org/wiki/Q33369535", "Q33369535")</f>
        <v>0</v>
      </c>
      <c r="G254" t="s">
        <v>746</v>
      </c>
      <c r="H254" t="s">
        <v>5504</v>
      </c>
      <c r="I254" t="s">
        <v>6584</v>
      </c>
      <c r="J254" t="s">
        <v>11495</v>
      </c>
      <c r="K254" t="s">
        <v>15897</v>
      </c>
      <c r="L254">
        <f>HYPERLINK("https://www2.assemblee-nationale.fr/sycomore/fiche/(num_dept)/5562", "5562")</f>
        <v>0</v>
      </c>
      <c r="N254">
        <f>HYPERLINK("https://www.wikidata.org/wiki/Q16026206", "Q16026206")</f>
        <v>0</v>
      </c>
      <c r="O254" t="s">
        <v>20030</v>
      </c>
      <c r="P254" t="s">
        <v>20401</v>
      </c>
      <c r="Q254" t="s">
        <v>19426</v>
      </c>
      <c r="R254" t="s">
        <v>409</v>
      </c>
      <c r="S254">
        <v>1498</v>
      </c>
    </row>
    <row r="255" spans="1:19">
      <c r="A255" t="s">
        <v>19</v>
      </c>
      <c r="B255" t="s">
        <v>148</v>
      </c>
      <c r="C255" t="s">
        <v>151</v>
      </c>
      <c r="D255" t="s">
        <v>280</v>
      </c>
      <c r="E255" t="s">
        <v>409</v>
      </c>
      <c r="F255">
        <f>HYPERLINK("https://www.wikidata.org/wiki/Q33369535", "Q33369535")</f>
        <v>0</v>
      </c>
      <c r="G255" t="s">
        <v>747</v>
      </c>
      <c r="H255" t="s">
        <v>5505</v>
      </c>
      <c r="I255" t="s">
        <v>9507</v>
      </c>
      <c r="J255" t="s">
        <v>11496</v>
      </c>
      <c r="K255" t="s">
        <v>15898</v>
      </c>
      <c r="L255">
        <f>HYPERLINK("https://www2.assemblee-nationale.fr/sycomore/fiche/(num_dept)/5571", "5571")</f>
        <v>0</v>
      </c>
      <c r="M255">
        <f>HYPERLINK("https://www.senat.fr/senateur-3eme-republique/nogues_louis1080r3.html", "nogues_louis1080r3")</f>
        <v>0</v>
      </c>
      <c r="N255">
        <f>HYPERLINK("https://www.wikidata.org/wiki/Q3262803", "Q3262803")</f>
        <v>0</v>
      </c>
      <c r="O255" t="s">
        <v>20027</v>
      </c>
      <c r="P255" t="s">
        <v>20405</v>
      </c>
      <c r="Q255" t="s">
        <v>19426</v>
      </c>
      <c r="R255" t="s">
        <v>409</v>
      </c>
      <c r="S255">
        <v>1498</v>
      </c>
    </row>
    <row r="256" spans="1:19">
      <c r="A256" t="s">
        <v>19</v>
      </c>
      <c r="B256" t="s">
        <v>148</v>
      </c>
      <c r="C256" t="s">
        <v>151</v>
      </c>
      <c r="D256" t="s">
        <v>280</v>
      </c>
      <c r="E256" t="s">
        <v>409</v>
      </c>
      <c r="F256">
        <f>HYPERLINK("https://www.wikidata.org/wiki/Q33369535", "Q33369535")</f>
        <v>0</v>
      </c>
      <c r="G256" t="s">
        <v>748</v>
      </c>
      <c r="H256" t="s">
        <v>5506</v>
      </c>
      <c r="I256" t="s">
        <v>9407</v>
      </c>
      <c r="J256" t="s">
        <v>11330</v>
      </c>
      <c r="K256" t="s">
        <v>15899</v>
      </c>
      <c r="L256">
        <f>HYPERLINK("https://www2.assemblee-nationale.fr/sycomore/fiche/(num_dept)/5583", "5583")</f>
        <v>0</v>
      </c>
      <c r="M256">
        <f>HYPERLINK("https://www.senat.fr/senateur-3eme-republique/noulens_jean_baptiste0149r3.html", "noulens_jean_baptiste0149r3")</f>
        <v>0</v>
      </c>
      <c r="N256">
        <f>HYPERLINK("https://www.wikidata.org/wiki/Q3185419", "Q3185419")</f>
        <v>0</v>
      </c>
      <c r="O256" t="s">
        <v>20003</v>
      </c>
      <c r="P256" t="s">
        <v>20401</v>
      </c>
      <c r="Q256" t="s">
        <v>19426</v>
      </c>
      <c r="R256" t="s">
        <v>409</v>
      </c>
      <c r="S256">
        <v>1498</v>
      </c>
    </row>
    <row r="257" spans="1:19">
      <c r="A257" t="s">
        <v>19</v>
      </c>
      <c r="B257" t="s">
        <v>148</v>
      </c>
      <c r="C257" t="s">
        <v>151</v>
      </c>
      <c r="D257" t="s">
        <v>280</v>
      </c>
      <c r="E257" t="s">
        <v>409</v>
      </c>
      <c r="F257">
        <f>HYPERLINK("https://www.wikidata.org/wiki/Q33369535", "Q33369535")</f>
        <v>0</v>
      </c>
      <c r="G257" t="s">
        <v>749</v>
      </c>
      <c r="H257" t="s">
        <v>5507</v>
      </c>
      <c r="I257" t="s">
        <v>7642</v>
      </c>
      <c r="J257" t="s">
        <v>11497</v>
      </c>
      <c r="K257" t="s">
        <v>15900</v>
      </c>
      <c r="L257">
        <f>HYPERLINK("https://www2.assemblee-nationale.fr/sycomore/fiche/(num_dept)/5652", "5652")</f>
        <v>0</v>
      </c>
      <c r="N257">
        <f>HYPERLINK("https://www.wikidata.org/wiki/Q16026250", "Q16026250")</f>
        <v>0</v>
      </c>
      <c r="O257" t="s">
        <v>19982</v>
      </c>
      <c r="P257" t="s">
        <v>20410</v>
      </c>
      <c r="Q257" t="s">
        <v>19426</v>
      </c>
      <c r="R257" t="s">
        <v>409</v>
      </c>
      <c r="S257">
        <v>1498</v>
      </c>
    </row>
    <row r="258" spans="1:19">
      <c r="A258" t="s">
        <v>19</v>
      </c>
      <c r="B258" t="s">
        <v>148</v>
      </c>
      <c r="C258" t="s">
        <v>151</v>
      </c>
      <c r="D258" t="s">
        <v>280</v>
      </c>
      <c r="E258" t="s">
        <v>409</v>
      </c>
      <c r="F258">
        <f>HYPERLINK("https://www.wikidata.org/wiki/Q33369535", "Q33369535")</f>
        <v>0</v>
      </c>
      <c r="G258" t="s">
        <v>750</v>
      </c>
      <c r="H258" t="s">
        <v>5508</v>
      </c>
      <c r="I258" t="s">
        <v>9508</v>
      </c>
      <c r="J258" t="s">
        <v>11498</v>
      </c>
      <c r="K258" t="s">
        <v>15901</v>
      </c>
      <c r="L258">
        <f>HYPERLINK("https://www2.assemblee-nationale.fr/sycomore/fiche/(num_dept)/5684", "5684")</f>
        <v>0</v>
      </c>
      <c r="N258">
        <f>HYPERLINK("https://www.wikidata.org/wiki/Q28467317", "Q28467317")</f>
        <v>0</v>
      </c>
      <c r="O258" t="s">
        <v>20038</v>
      </c>
      <c r="P258" t="s">
        <v>20405</v>
      </c>
      <c r="Q258" t="s">
        <v>19426</v>
      </c>
      <c r="R258" t="s">
        <v>409</v>
      </c>
      <c r="S258">
        <v>1498</v>
      </c>
    </row>
    <row r="259" spans="1:19">
      <c r="A259" t="s">
        <v>19</v>
      </c>
      <c r="B259" t="s">
        <v>148</v>
      </c>
      <c r="C259" t="s">
        <v>151</v>
      </c>
      <c r="D259" t="s">
        <v>280</v>
      </c>
      <c r="E259" t="s">
        <v>409</v>
      </c>
      <c r="F259">
        <f>HYPERLINK("https://www.wikidata.org/wiki/Q33369535", "Q33369535")</f>
        <v>0</v>
      </c>
      <c r="G259" t="s">
        <v>751</v>
      </c>
      <c r="H259" t="s">
        <v>5509</v>
      </c>
      <c r="I259" t="s">
        <v>9509</v>
      </c>
      <c r="J259" t="s">
        <v>11499</v>
      </c>
      <c r="K259" t="s">
        <v>15902</v>
      </c>
      <c r="L259">
        <f>HYPERLINK("https://www2.assemblee-nationale.fr/sycomore/fiche/(num_dept)/5702", "5702")</f>
        <v>0</v>
      </c>
      <c r="N259">
        <f>HYPERLINK("https://www.wikidata.org/wiki/Q3262846", "Q3262846")</f>
        <v>0</v>
      </c>
      <c r="O259" t="s">
        <v>19992</v>
      </c>
      <c r="P259" t="s">
        <v>20403</v>
      </c>
      <c r="Q259" t="s">
        <v>19426</v>
      </c>
      <c r="R259" t="s">
        <v>15902</v>
      </c>
      <c r="S259">
        <v>1194</v>
      </c>
    </row>
    <row r="260" spans="1:19">
      <c r="A260" t="s">
        <v>19</v>
      </c>
      <c r="B260" t="s">
        <v>148</v>
      </c>
      <c r="C260" t="s">
        <v>151</v>
      </c>
      <c r="D260" t="s">
        <v>280</v>
      </c>
      <c r="E260" t="s">
        <v>409</v>
      </c>
      <c r="F260">
        <f>HYPERLINK("https://www.wikidata.org/wiki/Q33369535", "Q33369535")</f>
        <v>0</v>
      </c>
      <c r="G260" t="s">
        <v>752</v>
      </c>
      <c r="H260" t="s">
        <v>5510</v>
      </c>
      <c r="I260" t="s">
        <v>9407</v>
      </c>
      <c r="J260" t="s">
        <v>11500</v>
      </c>
      <c r="K260" t="s">
        <v>15903</v>
      </c>
      <c r="L260">
        <f>HYPERLINK("https://www2.assemblee-nationale.fr/sycomore/fiche/(num_dept)/5724", "5724")</f>
        <v>0</v>
      </c>
      <c r="M260">
        <f>HYPERLINK("https://www.senat.fr/senateur-3eme-republique/paul_boncour_joseph0550r4.html", "paul_boncour_joseph0550r4")</f>
        <v>0</v>
      </c>
      <c r="N260">
        <f>HYPERLINK("https://www.wikidata.org/wiki/Q285865", "Q285865")</f>
        <v>0</v>
      </c>
      <c r="O260" t="s">
        <v>20039</v>
      </c>
      <c r="P260" t="s">
        <v>20406</v>
      </c>
      <c r="Q260" t="s">
        <v>19426</v>
      </c>
      <c r="R260" t="s">
        <v>409</v>
      </c>
      <c r="S260">
        <v>1498</v>
      </c>
    </row>
    <row r="261" spans="1:19">
      <c r="A261" t="s">
        <v>19</v>
      </c>
      <c r="B261" t="s">
        <v>148</v>
      </c>
      <c r="C261" t="s">
        <v>151</v>
      </c>
      <c r="D261" t="s">
        <v>280</v>
      </c>
      <c r="E261" t="s">
        <v>409</v>
      </c>
      <c r="F261">
        <f>HYPERLINK("https://www.wikidata.org/wiki/Q33369535", "Q33369535")</f>
        <v>0</v>
      </c>
      <c r="G261" t="s">
        <v>753</v>
      </c>
      <c r="H261" t="s">
        <v>5511</v>
      </c>
      <c r="I261" t="s">
        <v>9510</v>
      </c>
      <c r="J261" t="s">
        <v>11501</v>
      </c>
      <c r="K261" t="s">
        <v>15904</v>
      </c>
      <c r="L261">
        <f>HYPERLINK("https://www2.assemblee-nationale.fr/sycomore/fiche/(num_dept)/5759", "5759")</f>
        <v>0</v>
      </c>
      <c r="M261">
        <f>HYPERLINK("https://www.senat.fr/senateur-3eme-republique/pelisse_paul0240r3.html", "pelisse_paul0240r3")</f>
        <v>0</v>
      </c>
      <c r="N261">
        <f>HYPERLINK("https://www.wikidata.org/wiki/Q3371975", "Q3371975")</f>
        <v>0</v>
      </c>
      <c r="O261" t="s">
        <v>7411</v>
      </c>
      <c r="P261" t="s">
        <v>20405</v>
      </c>
      <c r="Q261" t="s">
        <v>19426</v>
      </c>
      <c r="R261" t="s">
        <v>409</v>
      </c>
      <c r="S261">
        <v>1498</v>
      </c>
    </row>
    <row r="262" spans="1:19">
      <c r="A262" t="s">
        <v>19</v>
      </c>
      <c r="B262" t="s">
        <v>148</v>
      </c>
      <c r="C262" t="s">
        <v>151</v>
      </c>
      <c r="D262" t="s">
        <v>280</v>
      </c>
      <c r="E262" t="s">
        <v>409</v>
      </c>
      <c r="F262">
        <f>HYPERLINK("https://www.wikidata.org/wiki/Q33369535", "Q33369535")</f>
        <v>0</v>
      </c>
      <c r="G262" t="s">
        <v>754</v>
      </c>
      <c r="H262" t="s">
        <v>5512</v>
      </c>
      <c r="I262" t="s">
        <v>9506</v>
      </c>
      <c r="J262" t="s">
        <v>11502</v>
      </c>
      <c r="K262" t="s">
        <v>15905</v>
      </c>
      <c r="L262">
        <f>HYPERLINK("https://www2.assemblee-nationale.fr/sycomore/fiche/(num_dept)/5764", "5764")</f>
        <v>0</v>
      </c>
      <c r="M262">
        <f>HYPERLINK("https://www.senat.fr/senateur-3eme-republique/pelletan_camille0312r3.html", "pelletan_camille0312r3")</f>
        <v>0</v>
      </c>
      <c r="N262">
        <f>HYPERLINK("https://www.wikidata.org/wiki/Q2862434", "Q2862434")</f>
        <v>0</v>
      </c>
      <c r="O262" t="s">
        <v>19990</v>
      </c>
      <c r="P262" t="s">
        <v>20405</v>
      </c>
      <c r="Q262" t="s">
        <v>19426</v>
      </c>
      <c r="R262" t="s">
        <v>21375</v>
      </c>
      <c r="S262">
        <v>653</v>
      </c>
    </row>
    <row r="263" spans="1:19">
      <c r="A263" t="s">
        <v>19</v>
      </c>
      <c r="B263" t="s">
        <v>148</v>
      </c>
      <c r="C263" t="s">
        <v>151</v>
      </c>
      <c r="D263" t="s">
        <v>280</v>
      </c>
      <c r="E263" t="s">
        <v>409</v>
      </c>
      <c r="F263">
        <f>HYPERLINK("https://www.wikidata.org/wiki/Q33369535", "Q33369535")</f>
        <v>0</v>
      </c>
      <c r="G263" t="s">
        <v>755</v>
      </c>
      <c r="H263" t="s">
        <v>5513</v>
      </c>
      <c r="I263" t="s">
        <v>9500</v>
      </c>
      <c r="J263" t="s">
        <v>11503</v>
      </c>
      <c r="K263" t="s">
        <v>15906</v>
      </c>
      <c r="L263">
        <f>HYPERLINK("https://www2.assemblee-nationale.fr/sycomore/fiche/(num_dept)/5779", "5779")</f>
        <v>0</v>
      </c>
      <c r="M263">
        <f>HYPERLINK("https://www.senat.fr/senateur-3eme-republique/peret_raoul1766r3.html", "peret_raoul1766r3")</f>
        <v>0</v>
      </c>
      <c r="N263">
        <f>HYPERLINK("https://www.wikidata.org/wiki/Q3419252", "Q3419252")</f>
        <v>0</v>
      </c>
      <c r="O263" t="s">
        <v>19982</v>
      </c>
      <c r="P263" t="s">
        <v>20401</v>
      </c>
      <c r="Q263" t="s">
        <v>19426</v>
      </c>
      <c r="R263" t="s">
        <v>409</v>
      </c>
      <c r="S263">
        <v>1498</v>
      </c>
    </row>
    <row r="264" spans="1:19">
      <c r="A264" t="s">
        <v>19</v>
      </c>
      <c r="B264" t="s">
        <v>148</v>
      </c>
      <c r="C264" t="s">
        <v>151</v>
      </c>
      <c r="D264" t="s">
        <v>280</v>
      </c>
      <c r="E264" t="s">
        <v>409</v>
      </c>
      <c r="F264">
        <f>HYPERLINK("https://www.wikidata.org/wiki/Q33369535", "Q33369535")</f>
        <v>0</v>
      </c>
      <c r="G264" t="s">
        <v>756</v>
      </c>
      <c r="H264" t="s">
        <v>5514</v>
      </c>
      <c r="I264" t="s">
        <v>9511</v>
      </c>
      <c r="J264" t="s">
        <v>11504</v>
      </c>
      <c r="K264" t="s">
        <v>15907</v>
      </c>
      <c r="L264">
        <f>HYPERLINK("https://www2.assemblee-nationale.fr/sycomore/fiche/(num_dept)/5787", "5787")</f>
        <v>0</v>
      </c>
      <c r="N264">
        <f>HYPERLINK("https://www.wikidata.org/wiki/Q16026305", "Q16026305")</f>
        <v>0</v>
      </c>
      <c r="O264" t="s">
        <v>19972</v>
      </c>
      <c r="P264" t="s">
        <v>20405</v>
      </c>
      <c r="Q264" t="s">
        <v>19426</v>
      </c>
      <c r="R264" t="s">
        <v>409</v>
      </c>
      <c r="S264">
        <v>1498</v>
      </c>
    </row>
    <row r="265" spans="1:19">
      <c r="A265" t="s">
        <v>19</v>
      </c>
      <c r="B265" t="s">
        <v>148</v>
      </c>
      <c r="C265" t="s">
        <v>151</v>
      </c>
      <c r="D265" t="s">
        <v>280</v>
      </c>
      <c r="E265" t="s">
        <v>409</v>
      </c>
      <c r="F265">
        <f>HYPERLINK("https://www.wikidata.org/wiki/Q33369535", "Q33369535")</f>
        <v>0</v>
      </c>
      <c r="G265" t="s">
        <v>757</v>
      </c>
      <c r="H265" t="s">
        <v>5515</v>
      </c>
      <c r="I265" t="s">
        <v>7140</v>
      </c>
      <c r="J265" t="s">
        <v>11505</v>
      </c>
      <c r="K265" t="s">
        <v>15908</v>
      </c>
      <c r="L265">
        <f>HYPERLINK("https://www2.assemblee-nationale.fr/sycomore/fiche/(num_dept)/5788", "5788")</f>
        <v>0</v>
      </c>
      <c r="N265">
        <f>HYPERLINK("https://www.wikidata.org/wiki/Q8306474", "Q8306474")</f>
        <v>0</v>
      </c>
      <c r="O265" t="s">
        <v>19994</v>
      </c>
      <c r="P265" t="s">
        <v>20402</v>
      </c>
      <c r="Q265" t="s">
        <v>19426</v>
      </c>
      <c r="R265" t="s">
        <v>409</v>
      </c>
      <c r="S265">
        <v>1498</v>
      </c>
    </row>
    <row r="266" spans="1:19">
      <c r="A266" t="s">
        <v>19</v>
      </c>
      <c r="B266" t="s">
        <v>148</v>
      </c>
      <c r="C266" t="s">
        <v>151</v>
      </c>
      <c r="D266" t="s">
        <v>280</v>
      </c>
      <c r="E266" t="s">
        <v>409</v>
      </c>
      <c r="F266">
        <f>HYPERLINK("https://www.wikidata.org/wiki/Q33369535", "Q33369535")</f>
        <v>0</v>
      </c>
      <c r="G266" t="s">
        <v>758</v>
      </c>
      <c r="H266" t="s">
        <v>5516</v>
      </c>
      <c r="I266" t="s">
        <v>9512</v>
      </c>
      <c r="J266" t="s">
        <v>11506</v>
      </c>
      <c r="K266" t="s">
        <v>15909</v>
      </c>
      <c r="L266">
        <f>HYPERLINK("https://www2.assemblee-nationale.fr/sycomore/fiche/(num_dept)/5820", "5820")</f>
        <v>0</v>
      </c>
      <c r="N266">
        <f>HYPERLINK("https://www.wikidata.org/wiki/Q16026319", "Q16026319")</f>
        <v>0</v>
      </c>
      <c r="O266" t="s">
        <v>20026</v>
      </c>
      <c r="P266" t="s">
        <v>20405</v>
      </c>
      <c r="Q266" t="s">
        <v>19426</v>
      </c>
      <c r="R266" t="s">
        <v>409</v>
      </c>
      <c r="S266">
        <v>1498</v>
      </c>
    </row>
    <row r="267" spans="1:19">
      <c r="A267" t="s">
        <v>19</v>
      </c>
      <c r="B267" t="s">
        <v>148</v>
      </c>
      <c r="C267" t="s">
        <v>151</v>
      </c>
      <c r="D267" t="s">
        <v>280</v>
      </c>
      <c r="E267" t="s">
        <v>409</v>
      </c>
      <c r="F267">
        <f>HYPERLINK("https://www.wikidata.org/wiki/Q33369535", "Q33369535")</f>
        <v>0</v>
      </c>
      <c r="G267" t="s">
        <v>759</v>
      </c>
      <c r="H267" t="s">
        <v>5517</v>
      </c>
      <c r="I267" t="s">
        <v>6860</v>
      </c>
      <c r="J267" t="s">
        <v>11507</v>
      </c>
      <c r="K267" t="s">
        <v>15910</v>
      </c>
      <c r="L267">
        <f>HYPERLINK("https://www2.assemblee-nationale.fr/sycomore/fiche/(num_dept)/5903", "5903")</f>
        <v>0</v>
      </c>
      <c r="M267">
        <f>HYPERLINK("https://www.senat.fr/senateur-3eme-republique/pichery_pierre0386r3.html", "pichery_pierre0386r3")</f>
        <v>0</v>
      </c>
      <c r="N267">
        <f>HYPERLINK("https://www.wikidata.org/wiki/Q3386607", "Q3386607")</f>
        <v>0</v>
      </c>
      <c r="O267" t="s">
        <v>20039</v>
      </c>
      <c r="P267" t="s">
        <v>20401</v>
      </c>
      <c r="Q267" t="s">
        <v>19426</v>
      </c>
      <c r="R267" t="s">
        <v>409</v>
      </c>
      <c r="S267">
        <v>1498</v>
      </c>
    </row>
    <row r="268" spans="1:19">
      <c r="A268" t="s">
        <v>19</v>
      </c>
      <c r="B268" t="s">
        <v>148</v>
      </c>
      <c r="C268" t="s">
        <v>151</v>
      </c>
      <c r="D268" t="s">
        <v>280</v>
      </c>
      <c r="E268" t="s">
        <v>409</v>
      </c>
      <c r="F268">
        <f>HYPERLINK("https://www.wikidata.org/wiki/Q33369535", "Q33369535")</f>
        <v>0</v>
      </c>
      <c r="G268" t="s">
        <v>760</v>
      </c>
      <c r="H268" t="s">
        <v>5518</v>
      </c>
      <c r="I268" t="s">
        <v>9457</v>
      </c>
      <c r="J268" t="s">
        <v>11508</v>
      </c>
      <c r="K268" t="s">
        <v>15911</v>
      </c>
      <c r="L268">
        <f>HYPERLINK("https://www2.assemblee-nationale.fr/sycomore/fiche/(num_dept)/5913", "5913")</f>
        <v>0</v>
      </c>
      <c r="N268">
        <f>HYPERLINK("https://www.wikidata.org/wiki/Q16026342", "Q16026342")</f>
        <v>0</v>
      </c>
      <c r="O268" t="s">
        <v>19955</v>
      </c>
      <c r="P268" t="s">
        <v>20402</v>
      </c>
      <c r="Q268" t="s">
        <v>19426</v>
      </c>
      <c r="R268" t="s">
        <v>409</v>
      </c>
      <c r="S268">
        <v>1498</v>
      </c>
    </row>
    <row r="269" spans="1:19">
      <c r="A269" t="s">
        <v>19</v>
      </c>
      <c r="B269" t="s">
        <v>148</v>
      </c>
      <c r="C269" t="s">
        <v>151</v>
      </c>
      <c r="D269" t="s">
        <v>280</v>
      </c>
      <c r="E269" t="s">
        <v>409</v>
      </c>
      <c r="F269">
        <f>HYPERLINK("https://www.wikidata.org/wiki/Q33369535", "Q33369535")</f>
        <v>0</v>
      </c>
      <c r="G269" t="s">
        <v>761</v>
      </c>
      <c r="H269" t="s">
        <v>5519</v>
      </c>
      <c r="I269" t="s">
        <v>9513</v>
      </c>
      <c r="J269" t="s">
        <v>11509</v>
      </c>
      <c r="K269" t="s">
        <v>15912</v>
      </c>
      <c r="L269">
        <f>HYPERLINK("https://www2.assemblee-nationale.fr/sycomore/fiche/(num_dept)/5956", "5956")</f>
        <v>0</v>
      </c>
      <c r="N269">
        <f>HYPERLINK("https://www.wikidata.org/wiki/Q3159775", "Q3159775")</f>
        <v>0</v>
      </c>
      <c r="O269" t="s">
        <v>20004</v>
      </c>
      <c r="P269" t="s">
        <v>20410</v>
      </c>
      <c r="Q269" t="s">
        <v>19426</v>
      </c>
      <c r="R269" t="s">
        <v>409</v>
      </c>
      <c r="S269">
        <v>1498</v>
      </c>
    </row>
    <row r="270" spans="1:19">
      <c r="A270" t="s">
        <v>19</v>
      </c>
      <c r="B270" t="s">
        <v>148</v>
      </c>
      <c r="C270" t="s">
        <v>151</v>
      </c>
      <c r="D270" t="s">
        <v>280</v>
      </c>
      <c r="E270" t="s">
        <v>409</v>
      </c>
      <c r="F270">
        <f>HYPERLINK("https://www.wikidata.org/wiki/Q33369535", "Q33369535")</f>
        <v>0</v>
      </c>
      <c r="G270" t="s">
        <v>762</v>
      </c>
      <c r="H270" t="s">
        <v>5520</v>
      </c>
      <c r="I270" t="s">
        <v>9514</v>
      </c>
      <c r="J270" t="s">
        <v>11507</v>
      </c>
      <c r="K270" t="s">
        <v>15913</v>
      </c>
      <c r="L270">
        <f>HYPERLINK("https://www2.assemblee-nationale.fr/sycomore/fiche/(num_dept)/5981", "5981")</f>
        <v>0</v>
      </c>
      <c r="M270">
        <f>HYPERLINK("https://www.senat.fr/senateur-3eme-republique/plichon_jean1422r3.html", "plichon_jean1422r3")</f>
        <v>0</v>
      </c>
      <c r="N270">
        <f>HYPERLINK("https://www.wikidata.org/wiki/Q3174051", "Q3174051")</f>
        <v>0</v>
      </c>
      <c r="O270" t="s">
        <v>20013</v>
      </c>
      <c r="P270" t="s">
        <v>20410</v>
      </c>
      <c r="Q270" t="s">
        <v>19426</v>
      </c>
      <c r="R270" t="s">
        <v>409</v>
      </c>
      <c r="S270">
        <v>1498</v>
      </c>
    </row>
    <row r="271" spans="1:19">
      <c r="A271" t="s">
        <v>19</v>
      </c>
      <c r="B271" t="s">
        <v>148</v>
      </c>
      <c r="C271" t="s">
        <v>151</v>
      </c>
      <c r="D271" t="s">
        <v>280</v>
      </c>
      <c r="E271" t="s">
        <v>409</v>
      </c>
      <c r="F271">
        <f>HYPERLINK("https://www.wikidata.org/wiki/Q33369535", "Q33369535")</f>
        <v>0</v>
      </c>
      <c r="G271" t="s">
        <v>763</v>
      </c>
      <c r="H271" t="s">
        <v>5521</v>
      </c>
      <c r="I271" t="s">
        <v>5800</v>
      </c>
      <c r="J271" t="s">
        <v>11510</v>
      </c>
      <c r="K271" t="s">
        <v>15914</v>
      </c>
      <c r="L271">
        <f>HYPERLINK("https://www2.assemblee-nationale.fr/sycomore/fiche/(num_dept)/5983", "5983")</f>
        <v>0</v>
      </c>
      <c r="N271">
        <f>HYPERLINK("https://www.wikidata.org/wiki/Q3484416", "Q3484416")</f>
        <v>0</v>
      </c>
      <c r="O271" t="s">
        <v>20006</v>
      </c>
      <c r="P271" t="s">
        <v>20402</v>
      </c>
      <c r="Q271" t="s">
        <v>19426</v>
      </c>
      <c r="R271" t="s">
        <v>409</v>
      </c>
      <c r="S271">
        <v>1498</v>
      </c>
    </row>
    <row r="272" spans="1:19">
      <c r="A272" t="s">
        <v>19</v>
      </c>
      <c r="B272" t="s">
        <v>148</v>
      </c>
      <c r="C272" t="s">
        <v>151</v>
      </c>
      <c r="D272" t="s">
        <v>280</v>
      </c>
      <c r="E272" t="s">
        <v>409</v>
      </c>
      <c r="F272">
        <f>HYPERLINK("https://www.wikidata.org/wiki/Q33369535", "Q33369535")</f>
        <v>0</v>
      </c>
      <c r="G272" t="s">
        <v>764</v>
      </c>
      <c r="H272" t="s">
        <v>5522</v>
      </c>
      <c r="I272" t="s">
        <v>9415</v>
      </c>
      <c r="J272" t="s">
        <v>11511</v>
      </c>
      <c r="K272" t="s">
        <v>15915</v>
      </c>
      <c r="L272">
        <f>HYPERLINK("https://www2.assemblee-nationale.fr/sycomore/fiche/(num_dept)/5985", "5985")</f>
        <v>0</v>
      </c>
      <c r="N272">
        <f>HYPERLINK("https://www.wikidata.org/wiki/Q3579999", "Q3579999")</f>
        <v>0</v>
      </c>
      <c r="O272" t="s">
        <v>20011</v>
      </c>
      <c r="P272" t="s">
        <v>20401</v>
      </c>
      <c r="Q272" t="s">
        <v>19426</v>
      </c>
      <c r="R272" t="s">
        <v>409</v>
      </c>
      <c r="S272">
        <v>1498</v>
      </c>
    </row>
    <row r="273" spans="1:19">
      <c r="A273" t="s">
        <v>19</v>
      </c>
      <c r="B273" t="s">
        <v>148</v>
      </c>
      <c r="C273" t="s">
        <v>151</v>
      </c>
      <c r="D273" t="s">
        <v>280</v>
      </c>
      <c r="E273" t="s">
        <v>409</v>
      </c>
      <c r="F273">
        <f>HYPERLINK("https://www.wikidata.org/wiki/Q33369535", "Q33369535")</f>
        <v>0</v>
      </c>
      <c r="G273" t="s">
        <v>765</v>
      </c>
      <c r="H273" t="s">
        <v>5523</v>
      </c>
      <c r="I273" t="s">
        <v>9515</v>
      </c>
      <c r="J273" t="s">
        <v>11512</v>
      </c>
      <c r="K273" t="s">
        <v>15916</v>
      </c>
      <c r="L273">
        <f>HYPERLINK("https://www2.assemblee-nationale.fr/sycomore/fiche/(num_dept)/6022", "6022")</f>
        <v>0</v>
      </c>
      <c r="N273">
        <f>HYPERLINK("https://www.wikidata.org/wiki/Q16026432", "Q16026432")</f>
        <v>0</v>
      </c>
      <c r="O273" t="s">
        <v>20032</v>
      </c>
      <c r="P273" t="s">
        <v>20404</v>
      </c>
      <c r="Q273" t="s">
        <v>19426</v>
      </c>
      <c r="R273" t="s">
        <v>409</v>
      </c>
      <c r="S273">
        <v>1498</v>
      </c>
    </row>
    <row r="274" spans="1:19">
      <c r="A274" t="s">
        <v>19</v>
      </c>
      <c r="B274" t="s">
        <v>148</v>
      </c>
      <c r="C274" t="s">
        <v>151</v>
      </c>
      <c r="D274" t="s">
        <v>280</v>
      </c>
      <c r="E274" t="s">
        <v>409</v>
      </c>
      <c r="F274">
        <f>HYPERLINK("https://www.wikidata.org/wiki/Q33369535", "Q33369535")</f>
        <v>0</v>
      </c>
      <c r="G274" t="s">
        <v>766</v>
      </c>
      <c r="H274" t="s">
        <v>5524</v>
      </c>
      <c r="I274" t="s">
        <v>9421</v>
      </c>
      <c r="J274" t="s">
        <v>11513</v>
      </c>
      <c r="K274" t="s">
        <v>15917</v>
      </c>
      <c r="L274">
        <f>HYPERLINK("https://www2.assemblee-nationale.fr/sycomore/fiche/(num_dept)/6027", "6027")</f>
        <v>0</v>
      </c>
      <c r="N274">
        <f>HYPERLINK("https://www.wikidata.org/wiki/Q3121311", "Q3121311")</f>
        <v>0</v>
      </c>
      <c r="O274" t="s">
        <v>20023</v>
      </c>
      <c r="P274" t="s">
        <v>20401</v>
      </c>
      <c r="Q274" t="s">
        <v>19426</v>
      </c>
      <c r="R274" t="s">
        <v>409</v>
      </c>
      <c r="S274">
        <v>1498</v>
      </c>
    </row>
    <row r="275" spans="1:19">
      <c r="A275" t="s">
        <v>19</v>
      </c>
      <c r="B275" t="s">
        <v>148</v>
      </c>
      <c r="C275" t="s">
        <v>151</v>
      </c>
      <c r="D275" t="s">
        <v>280</v>
      </c>
      <c r="E275" t="s">
        <v>409</v>
      </c>
      <c r="F275">
        <f>HYPERLINK("https://www.wikidata.org/wiki/Q33369535", "Q33369535")</f>
        <v>0</v>
      </c>
      <c r="G275" t="s">
        <v>767</v>
      </c>
      <c r="H275" t="s">
        <v>5525</v>
      </c>
      <c r="I275" t="s">
        <v>9449</v>
      </c>
      <c r="J275" t="s">
        <v>11514</v>
      </c>
      <c r="K275" t="s">
        <v>15918</v>
      </c>
      <c r="L275">
        <f>HYPERLINK("https://www2.assemblee-nationale.fr/sycomore/fiche/(num_dept)/6031", "6031")</f>
        <v>0</v>
      </c>
      <c r="N275">
        <f>HYPERLINK("https://www.wikidata.org/wiki/Q3188891", "Q3188891")</f>
        <v>0</v>
      </c>
      <c r="O275" t="s">
        <v>19991</v>
      </c>
      <c r="P275" t="s">
        <v>20403</v>
      </c>
      <c r="Q275" t="s">
        <v>19426</v>
      </c>
      <c r="R275" t="s">
        <v>409</v>
      </c>
      <c r="S275">
        <v>1498</v>
      </c>
    </row>
    <row r="276" spans="1:19">
      <c r="A276" t="s">
        <v>19</v>
      </c>
      <c r="B276" t="s">
        <v>148</v>
      </c>
      <c r="C276" t="s">
        <v>151</v>
      </c>
      <c r="D276" t="s">
        <v>280</v>
      </c>
      <c r="E276" t="s">
        <v>409</v>
      </c>
      <c r="F276">
        <f>HYPERLINK("https://www.wikidata.org/wiki/Q33369535", "Q33369535")</f>
        <v>0</v>
      </c>
      <c r="G276" t="s">
        <v>768</v>
      </c>
      <c r="H276" t="s">
        <v>5526</v>
      </c>
      <c r="I276" t="s">
        <v>5349</v>
      </c>
      <c r="J276" t="s">
        <v>11515</v>
      </c>
      <c r="K276" t="s">
        <v>15919</v>
      </c>
      <c r="L276">
        <f>HYPERLINK("https://www2.assemblee-nationale.fr/sycomore/fiche/(num_dept)/6044", "6044")</f>
        <v>0</v>
      </c>
      <c r="N276">
        <f>HYPERLINK("https://www.wikidata.org/wiki/Q2994888", "Q2994888")</f>
        <v>0</v>
      </c>
      <c r="O276" t="s">
        <v>19968</v>
      </c>
      <c r="P276" t="s">
        <v>20401</v>
      </c>
      <c r="Q276" t="s">
        <v>19426</v>
      </c>
      <c r="R276" t="s">
        <v>409</v>
      </c>
      <c r="S276">
        <v>1498</v>
      </c>
    </row>
    <row r="277" spans="1:19">
      <c r="A277" t="s">
        <v>19</v>
      </c>
      <c r="B277" t="s">
        <v>148</v>
      </c>
      <c r="C277" t="s">
        <v>151</v>
      </c>
      <c r="D277" t="s">
        <v>280</v>
      </c>
      <c r="E277" t="s">
        <v>409</v>
      </c>
      <c r="F277">
        <f>HYPERLINK("https://www.wikidata.org/wiki/Q33369535", "Q33369535")</f>
        <v>0</v>
      </c>
      <c r="G277" t="s">
        <v>769</v>
      </c>
      <c r="H277" t="s">
        <v>5527</v>
      </c>
      <c r="I277" t="s">
        <v>9516</v>
      </c>
      <c r="J277" t="s">
        <v>11516</v>
      </c>
      <c r="K277" t="s">
        <v>15920</v>
      </c>
      <c r="L277">
        <f>HYPERLINK("https://www2.assemblee-nationale.fr/sycomore/fiche/(num_dept)/6053", "6053")</f>
        <v>0</v>
      </c>
      <c r="N277">
        <f>HYPERLINK("https://www.wikidata.org/wiki/Q13091126", "Q13091126")</f>
        <v>0</v>
      </c>
      <c r="O277" t="s">
        <v>19965</v>
      </c>
      <c r="P277" t="s">
        <v>20404</v>
      </c>
      <c r="Q277" t="s">
        <v>19426</v>
      </c>
      <c r="R277" t="s">
        <v>409</v>
      </c>
      <c r="S277">
        <v>1498</v>
      </c>
    </row>
    <row r="278" spans="1:19">
      <c r="A278" t="s">
        <v>19</v>
      </c>
      <c r="B278" t="s">
        <v>148</v>
      </c>
      <c r="C278" t="s">
        <v>151</v>
      </c>
      <c r="D278" t="s">
        <v>280</v>
      </c>
      <c r="E278" t="s">
        <v>409</v>
      </c>
      <c r="F278">
        <f>HYPERLINK("https://www.wikidata.org/wiki/Q33369535", "Q33369535")</f>
        <v>0</v>
      </c>
      <c r="G278" t="s">
        <v>770</v>
      </c>
      <c r="H278" t="s">
        <v>5528</v>
      </c>
      <c r="I278" t="s">
        <v>9517</v>
      </c>
      <c r="J278" t="s">
        <v>11517</v>
      </c>
      <c r="K278" t="s">
        <v>15921</v>
      </c>
      <c r="L278">
        <f>HYPERLINK("https://www2.assemblee-nationale.fr/sycomore/fiche/(num_dept)/6054", "6054")</f>
        <v>0</v>
      </c>
      <c r="N278">
        <f>HYPERLINK("https://www.wikidata.org/wiki/Q2829651", "Q2829651")</f>
        <v>0</v>
      </c>
      <c r="O278" t="s">
        <v>19961</v>
      </c>
      <c r="P278" t="s">
        <v>20408</v>
      </c>
      <c r="Q278" t="s">
        <v>19426</v>
      </c>
      <c r="R278" t="s">
        <v>15921</v>
      </c>
      <c r="S278">
        <v>1353</v>
      </c>
    </row>
    <row r="279" spans="1:19">
      <c r="A279" t="s">
        <v>19</v>
      </c>
      <c r="B279" t="s">
        <v>148</v>
      </c>
      <c r="C279" t="s">
        <v>151</v>
      </c>
      <c r="D279" t="s">
        <v>280</v>
      </c>
      <c r="E279" t="s">
        <v>409</v>
      </c>
      <c r="F279">
        <f>HYPERLINK("https://www.wikidata.org/wiki/Q33369535", "Q33369535")</f>
        <v>0</v>
      </c>
      <c r="G279" t="s">
        <v>771</v>
      </c>
      <c r="H279" t="s">
        <v>5529</v>
      </c>
      <c r="I279" t="s">
        <v>9518</v>
      </c>
      <c r="J279" t="s">
        <v>11518</v>
      </c>
      <c r="K279" t="s">
        <v>15922</v>
      </c>
      <c r="L279">
        <f>HYPERLINK("https://www2.assemblee-nationale.fr/sycomore/fiche/(num_dept)/6086", "6086")</f>
        <v>0</v>
      </c>
      <c r="N279">
        <f>HYPERLINK("https://www.wikidata.org/wiki/Q2395797", "Q2395797")</f>
        <v>0</v>
      </c>
      <c r="O279" t="s">
        <v>20022</v>
      </c>
      <c r="Q279" t="s">
        <v>19426</v>
      </c>
      <c r="R279" t="s">
        <v>15922</v>
      </c>
      <c r="S279">
        <v>177</v>
      </c>
    </row>
    <row r="280" spans="1:19">
      <c r="A280" t="s">
        <v>19</v>
      </c>
      <c r="B280" t="s">
        <v>148</v>
      </c>
      <c r="C280" t="s">
        <v>151</v>
      </c>
      <c r="D280" t="s">
        <v>280</v>
      </c>
      <c r="E280" t="s">
        <v>409</v>
      </c>
      <c r="F280">
        <f>HYPERLINK("https://www.wikidata.org/wiki/Q33369535", "Q33369535")</f>
        <v>0</v>
      </c>
      <c r="G280" t="s">
        <v>772</v>
      </c>
      <c r="H280" t="s">
        <v>5530</v>
      </c>
      <c r="I280" t="s">
        <v>5445</v>
      </c>
      <c r="J280" t="s">
        <v>11519</v>
      </c>
      <c r="K280" t="s">
        <v>15923</v>
      </c>
      <c r="L280">
        <f>HYPERLINK("https://www2.assemblee-nationale.fr/sycomore/fiche/(num_dept)/6116", "6116")</f>
        <v>0</v>
      </c>
      <c r="N280">
        <f>HYPERLINK("https://www.wikidata.org/wiki/Q29767", "Q29767")</f>
        <v>0</v>
      </c>
      <c r="O280" t="s">
        <v>20014</v>
      </c>
      <c r="P280" t="s">
        <v>20404</v>
      </c>
      <c r="Q280" t="s">
        <v>19426</v>
      </c>
      <c r="R280" t="s">
        <v>409</v>
      </c>
      <c r="S280">
        <v>1498</v>
      </c>
    </row>
    <row r="281" spans="1:19">
      <c r="A281" t="s">
        <v>19</v>
      </c>
      <c r="B281" t="s">
        <v>148</v>
      </c>
      <c r="C281" t="s">
        <v>151</v>
      </c>
      <c r="D281" t="s">
        <v>280</v>
      </c>
      <c r="E281" t="s">
        <v>409</v>
      </c>
      <c r="F281">
        <f>HYPERLINK("https://www.wikidata.org/wiki/Q33369535", "Q33369535")</f>
        <v>0</v>
      </c>
      <c r="G281" t="s">
        <v>773</v>
      </c>
      <c r="H281" t="s">
        <v>5531</v>
      </c>
      <c r="I281" t="s">
        <v>9519</v>
      </c>
      <c r="J281" t="s">
        <v>11520</v>
      </c>
      <c r="K281" t="s">
        <v>15924</v>
      </c>
      <c r="L281">
        <f>HYPERLINK("https://www2.assemblee-nationale.fr/sycomore/fiche/(num_dept)/6118", "6118")</f>
        <v>0</v>
      </c>
      <c r="N281">
        <f>HYPERLINK("https://www.wikidata.org/wiki/Q16026452", "Q16026452")</f>
        <v>0</v>
      </c>
      <c r="O281" t="s">
        <v>20021</v>
      </c>
      <c r="P281" t="s">
        <v>20401</v>
      </c>
      <c r="Q281" t="s">
        <v>19426</v>
      </c>
      <c r="R281" t="s">
        <v>409</v>
      </c>
      <c r="S281">
        <v>1498</v>
      </c>
    </row>
    <row r="282" spans="1:19">
      <c r="A282" t="s">
        <v>19</v>
      </c>
      <c r="B282" t="s">
        <v>148</v>
      </c>
      <c r="C282" t="s">
        <v>151</v>
      </c>
      <c r="D282" t="s">
        <v>280</v>
      </c>
      <c r="E282" t="s">
        <v>409</v>
      </c>
      <c r="F282">
        <f>HYPERLINK("https://www.wikidata.org/wiki/Q33369535", "Q33369535")</f>
        <v>0</v>
      </c>
      <c r="G282" t="s">
        <v>774</v>
      </c>
      <c r="H282" t="s">
        <v>5532</v>
      </c>
      <c r="I282" t="s">
        <v>9520</v>
      </c>
      <c r="J282" t="s">
        <v>11521</v>
      </c>
      <c r="K282" t="s">
        <v>15925</v>
      </c>
      <c r="L282">
        <f>HYPERLINK("https://www2.assemblee-nationale.fr/sycomore/fiche/(num_dept)/6124", "6124")</f>
        <v>0</v>
      </c>
      <c r="N282">
        <f>HYPERLINK("https://www.wikidata.org/wiki/Q8329099", "Q8329099")</f>
        <v>0</v>
      </c>
      <c r="O282" t="s">
        <v>19957</v>
      </c>
      <c r="P282" t="s">
        <v>20403</v>
      </c>
      <c r="Q282" t="s">
        <v>19426</v>
      </c>
      <c r="R282" t="s">
        <v>409</v>
      </c>
      <c r="S282">
        <v>1498</v>
      </c>
    </row>
    <row r="283" spans="1:19">
      <c r="A283" t="s">
        <v>19</v>
      </c>
      <c r="B283" t="s">
        <v>148</v>
      </c>
      <c r="C283" t="s">
        <v>151</v>
      </c>
      <c r="D283" t="s">
        <v>280</v>
      </c>
      <c r="E283" t="s">
        <v>409</v>
      </c>
      <c r="F283">
        <f>HYPERLINK("https://www.wikidata.org/wiki/Q33369535", "Q33369535")</f>
        <v>0</v>
      </c>
      <c r="G283" t="s">
        <v>775</v>
      </c>
      <c r="H283" t="s">
        <v>5533</v>
      </c>
      <c r="I283" t="s">
        <v>9453</v>
      </c>
      <c r="J283" t="s">
        <v>11522</v>
      </c>
      <c r="K283" t="s">
        <v>15926</v>
      </c>
      <c r="L283">
        <f>HYPERLINK("https://www2.assemblee-nationale.fr/sycomore/fiche/(num_dept)/6180", "6180")</f>
        <v>0</v>
      </c>
      <c r="N283">
        <f>HYPERLINK("https://www.wikidata.org/wiki/Q2865323", "Q2865323")</f>
        <v>0</v>
      </c>
      <c r="O283" t="s">
        <v>19969</v>
      </c>
      <c r="P283" t="s">
        <v>20404</v>
      </c>
      <c r="Q283" t="s">
        <v>19426</v>
      </c>
      <c r="R283" t="s">
        <v>409</v>
      </c>
      <c r="S283">
        <v>1498</v>
      </c>
    </row>
    <row r="284" spans="1:19">
      <c r="A284" t="s">
        <v>19</v>
      </c>
      <c r="B284" t="s">
        <v>148</v>
      </c>
      <c r="C284" t="s">
        <v>151</v>
      </c>
      <c r="D284" t="s">
        <v>280</v>
      </c>
      <c r="E284" t="s">
        <v>409</v>
      </c>
      <c r="F284">
        <f>HYPERLINK("https://www.wikidata.org/wiki/Q33369535", "Q33369535")</f>
        <v>0</v>
      </c>
      <c r="G284" t="s">
        <v>776</v>
      </c>
      <c r="H284" t="s">
        <v>5534</v>
      </c>
      <c r="I284" t="s">
        <v>9407</v>
      </c>
      <c r="J284" t="s">
        <v>11523</v>
      </c>
      <c r="K284" t="s">
        <v>15927</v>
      </c>
      <c r="L284">
        <f>HYPERLINK("https://www2.assemblee-nationale.fr/sycomore/fiche/(num_dept)/6182", "6182")</f>
        <v>0</v>
      </c>
      <c r="N284">
        <f>HYPERLINK("https://www.wikidata.org/wiki/Q3185595", "Q3185595")</f>
        <v>0</v>
      </c>
      <c r="O284" t="s">
        <v>20016</v>
      </c>
      <c r="P284" t="s">
        <v>20401</v>
      </c>
      <c r="Q284" t="s">
        <v>19426</v>
      </c>
      <c r="R284" t="s">
        <v>409</v>
      </c>
      <c r="S284">
        <v>1498</v>
      </c>
    </row>
    <row r="285" spans="1:19">
      <c r="A285" t="s">
        <v>19</v>
      </c>
      <c r="B285" t="s">
        <v>148</v>
      </c>
      <c r="C285" t="s">
        <v>151</v>
      </c>
      <c r="D285" t="s">
        <v>280</v>
      </c>
      <c r="E285" t="s">
        <v>409</v>
      </c>
      <c r="F285">
        <f>HYPERLINK("https://www.wikidata.org/wiki/Q33369535", "Q33369535")</f>
        <v>0</v>
      </c>
      <c r="G285" t="s">
        <v>777</v>
      </c>
      <c r="H285" t="s">
        <v>5535</v>
      </c>
      <c r="I285" t="s">
        <v>9411</v>
      </c>
      <c r="J285" t="s">
        <v>11524</v>
      </c>
      <c r="K285" t="s">
        <v>15928</v>
      </c>
      <c r="L285">
        <f>HYPERLINK("https://www2.assemblee-nationale.fr/sycomore/fiche/(num_dept)/6263", "6263")</f>
        <v>0</v>
      </c>
      <c r="N285">
        <f>HYPERLINK("https://www.wikidata.org/wiki/Q16026477", "Q16026477")</f>
        <v>0</v>
      </c>
      <c r="O285" t="s">
        <v>20003</v>
      </c>
      <c r="P285" t="s">
        <v>20401</v>
      </c>
      <c r="Q285" t="s">
        <v>19426</v>
      </c>
      <c r="R285" t="s">
        <v>409</v>
      </c>
      <c r="S285">
        <v>1498</v>
      </c>
    </row>
    <row r="286" spans="1:19">
      <c r="A286" t="s">
        <v>19</v>
      </c>
      <c r="B286" t="s">
        <v>148</v>
      </c>
      <c r="C286" t="s">
        <v>151</v>
      </c>
      <c r="D286" t="s">
        <v>280</v>
      </c>
      <c r="E286" t="s">
        <v>409</v>
      </c>
      <c r="F286">
        <f>HYPERLINK("https://www.wikidata.org/wiki/Q33369535", "Q33369535")</f>
        <v>0</v>
      </c>
      <c r="G286" t="s">
        <v>778</v>
      </c>
      <c r="H286" t="s">
        <v>5536</v>
      </c>
      <c r="I286" t="s">
        <v>6584</v>
      </c>
      <c r="J286" t="s">
        <v>11525</v>
      </c>
      <c r="K286" t="s">
        <v>15929</v>
      </c>
      <c r="L286">
        <f>HYPERLINK("https://www2.assemblee-nationale.fr/sycomore/fiche/(num_dept)/6293", "6293")</f>
        <v>0</v>
      </c>
      <c r="M286">
        <f>HYPERLINK("https://www.senat.fr/senateur-3eme-republique/sarraut_albert0265r3.html", "sarraut_albert0265r3")</f>
        <v>0</v>
      </c>
      <c r="N286">
        <f>HYPERLINK("https://www.wikidata.org/wiki/Q460318", "Q460318")</f>
        <v>0</v>
      </c>
      <c r="O286" t="s">
        <v>19960</v>
      </c>
      <c r="P286" t="s">
        <v>20405</v>
      </c>
      <c r="Q286" t="s">
        <v>19426</v>
      </c>
      <c r="R286" t="s">
        <v>409</v>
      </c>
      <c r="S286">
        <v>1498</v>
      </c>
    </row>
    <row r="287" spans="1:19">
      <c r="A287" t="s">
        <v>19</v>
      </c>
      <c r="B287" t="s">
        <v>148</v>
      </c>
      <c r="C287" t="s">
        <v>151</v>
      </c>
      <c r="D287" t="s">
        <v>280</v>
      </c>
      <c r="E287" t="s">
        <v>409</v>
      </c>
      <c r="F287">
        <f>HYPERLINK("https://www.wikidata.org/wiki/Q33369535", "Q33369535")</f>
        <v>0</v>
      </c>
      <c r="G287" t="s">
        <v>779</v>
      </c>
      <c r="H287" t="s">
        <v>5537</v>
      </c>
      <c r="I287" t="s">
        <v>6175</v>
      </c>
      <c r="J287" t="s">
        <v>11526</v>
      </c>
      <c r="K287" t="s">
        <v>15930</v>
      </c>
      <c r="L287">
        <f>HYPERLINK("https://www2.assemblee-nationale.fr/sycomore/fiche/(num_dept)/6306", "6306")</f>
        <v>0</v>
      </c>
      <c r="N287">
        <f>HYPERLINK("https://www.wikidata.org/wiki/Q16026484", "Q16026484")</f>
        <v>0</v>
      </c>
      <c r="O287" t="s">
        <v>20010</v>
      </c>
      <c r="P287" t="s">
        <v>20402</v>
      </c>
      <c r="Q287" t="s">
        <v>19426</v>
      </c>
      <c r="R287" t="s">
        <v>409</v>
      </c>
      <c r="S287">
        <v>1498</v>
      </c>
    </row>
    <row r="288" spans="1:19">
      <c r="A288" t="s">
        <v>19</v>
      </c>
      <c r="B288" t="s">
        <v>148</v>
      </c>
      <c r="C288" t="s">
        <v>151</v>
      </c>
      <c r="D288" t="s">
        <v>280</v>
      </c>
      <c r="E288" t="s">
        <v>409</v>
      </c>
      <c r="F288">
        <f>HYPERLINK("https://www.wikidata.org/wiki/Q33369535", "Q33369535")</f>
        <v>0</v>
      </c>
      <c r="G288" t="s">
        <v>780</v>
      </c>
      <c r="H288" t="s">
        <v>5538</v>
      </c>
      <c r="I288" t="s">
        <v>9449</v>
      </c>
      <c r="J288" t="s">
        <v>11527</v>
      </c>
      <c r="K288" t="s">
        <v>15931</v>
      </c>
      <c r="L288">
        <f>HYPERLINK("https://www2.assemblee-nationale.fr/sycomore/fiche/(num_dept)/6319", "6319")</f>
        <v>0</v>
      </c>
      <c r="N288">
        <f>HYPERLINK("https://www.wikidata.org/wiki/Q16026488", "Q16026488")</f>
        <v>0</v>
      </c>
      <c r="O288" t="s">
        <v>19960</v>
      </c>
      <c r="P288" t="s">
        <v>20405</v>
      </c>
      <c r="Q288" t="s">
        <v>19426</v>
      </c>
      <c r="R288" t="s">
        <v>15931</v>
      </c>
      <c r="S288">
        <v>1328</v>
      </c>
    </row>
    <row r="289" spans="1:19">
      <c r="A289" t="s">
        <v>19</v>
      </c>
      <c r="B289" t="s">
        <v>148</v>
      </c>
      <c r="C289" t="s">
        <v>151</v>
      </c>
      <c r="D289" t="s">
        <v>280</v>
      </c>
      <c r="E289" t="s">
        <v>409</v>
      </c>
      <c r="F289">
        <f>HYPERLINK("https://www.wikidata.org/wiki/Q33369535", "Q33369535")</f>
        <v>0</v>
      </c>
      <c r="G289" t="s">
        <v>781</v>
      </c>
      <c r="H289" t="s">
        <v>5539</v>
      </c>
      <c r="I289" t="s">
        <v>9499</v>
      </c>
      <c r="J289" t="s">
        <v>11528</v>
      </c>
      <c r="K289" t="s">
        <v>15932</v>
      </c>
      <c r="L289">
        <f>HYPERLINK("https://www2.assemblee-nationale.fr/sycomore/fiche/(num_dept)/6320", "6320")</f>
        <v>0</v>
      </c>
      <c r="N289">
        <f>HYPERLINK("https://www.wikidata.org/wiki/Q16026489", "Q16026489")</f>
        <v>0</v>
      </c>
      <c r="O289" t="s">
        <v>19991</v>
      </c>
      <c r="P289" t="s">
        <v>20401</v>
      </c>
      <c r="Q289" t="s">
        <v>19426</v>
      </c>
      <c r="R289" t="s">
        <v>15932</v>
      </c>
      <c r="S289">
        <v>654</v>
      </c>
    </row>
    <row r="290" spans="1:19">
      <c r="A290" t="s">
        <v>19</v>
      </c>
      <c r="B290" t="s">
        <v>148</v>
      </c>
      <c r="C290" t="s">
        <v>151</v>
      </c>
      <c r="D290" t="s">
        <v>280</v>
      </c>
      <c r="E290" t="s">
        <v>409</v>
      </c>
      <c r="F290">
        <f>HYPERLINK("https://www.wikidata.org/wiki/Q33369535", "Q33369535")</f>
        <v>0</v>
      </c>
      <c r="G290" t="s">
        <v>782</v>
      </c>
      <c r="H290" t="s">
        <v>5282</v>
      </c>
      <c r="I290" t="s">
        <v>9521</v>
      </c>
      <c r="J290" t="s">
        <v>11529</v>
      </c>
      <c r="K290" t="s">
        <v>15933</v>
      </c>
      <c r="L290">
        <f>HYPERLINK("https://www2.assemblee-nationale.fr/sycomore/fiche/(num_dept)/6324", "6324")</f>
        <v>0</v>
      </c>
      <c r="N290">
        <f>HYPERLINK("https://www.wikidata.org/wiki/Q3133056", "Q3133056")</f>
        <v>0</v>
      </c>
      <c r="O290" t="s">
        <v>20021</v>
      </c>
      <c r="P290" t="s">
        <v>20410</v>
      </c>
      <c r="Q290" t="s">
        <v>19426</v>
      </c>
      <c r="R290" t="s">
        <v>15933</v>
      </c>
      <c r="S290">
        <v>1090</v>
      </c>
    </row>
    <row r="291" spans="1:19">
      <c r="A291" t="s">
        <v>19</v>
      </c>
      <c r="B291" t="s">
        <v>148</v>
      </c>
      <c r="C291" t="s">
        <v>151</v>
      </c>
      <c r="D291" t="s">
        <v>280</v>
      </c>
      <c r="E291" t="s">
        <v>409</v>
      </c>
      <c r="F291">
        <f>HYPERLINK("https://www.wikidata.org/wiki/Q33369535", "Q33369535")</f>
        <v>0</v>
      </c>
      <c r="G291" t="s">
        <v>783</v>
      </c>
      <c r="H291" t="s">
        <v>5540</v>
      </c>
      <c r="I291" t="s">
        <v>9385</v>
      </c>
      <c r="J291" t="s">
        <v>11530</v>
      </c>
      <c r="K291" t="s">
        <v>15934</v>
      </c>
      <c r="L291">
        <f>HYPERLINK("https://www2.assemblee-nationale.fr/sycomore/fiche/(num_dept)/6350", "6350")</f>
        <v>0</v>
      </c>
      <c r="N291">
        <f>HYPERLINK("https://www.wikidata.org/wiki/Q2960201", "Q2960201")</f>
        <v>0</v>
      </c>
      <c r="O291" t="s">
        <v>20040</v>
      </c>
      <c r="P291" t="s">
        <v>20405</v>
      </c>
      <c r="Q291" t="s">
        <v>19426</v>
      </c>
      <c r="R291" t="s">
        <v>409</v>
      </c>
      <c r="S291">
        <v>1498</v>
      </c>
    </row>
    <row r="292" spans="1:19">
      <c r="A292" t="s">
        <v>19</v>
      </c>
      <c r="B292" t="s">
        <v>148</v>
      </c>
      <c r="C292" t="s">
        <v>151</v>
      </c>
      <c r="D292" t="s">
        <v>280</v>
      </c>
      <c r="E292" t="s">
        <v>409</v>
      </c>
      <c r="F292">
        <f>HYPERLINK("https://www.wikidata.org/wiki/Q33369535", "Q33369535")</f>
        <v>0</v>
      </c>
      <c r="G292" t="s">
        <v>784</v>
      </c>
      <c r="H292" t="s">
        <v>5541</v>
      </c>
      <c r="I292" t="s">
        <v>7642</v>
      </c>
      <c r="J292" t="s">
        <v>11531</v>
      </c>
      <c r="K292" t="s">
        <v>15935</v>
      </c>
      <c r="L292">
        <f>HYPERLINK("https://www2.assemblee-nationale.fr/sycomore/fiche/(num_dept)/6366", "6366")</f>
        <v>0</v>
      </c>
      <c r="N292">
        <f>HYPERLINK("https://www.wikidata.org/wiki/Q15968488", "Q15968488")</f>
        <v>0</v>
      </c>
      <c r="O292" t="s">
        <v>20019</v>
      </c>
      <c r="P292" t="s">
        <v>20405</v>
      </c>
      <c r="Q292" t="s">
        <v>19426</v>
      </c>
      <c r="R292" t="s">
        <v>409</v>
      </c>
      <c r="S292">
        <v>1498</v>
      </c>
    </row>
    <row r="293" spans="1:19">
      <c r="A293" t="s">
        <v>19</v>
      </c>
      <c r="B293" t="s">
        <v>148</v>
      </c>
      <c r="C293" t="s">
        <v>151</v>
      </c>
      <c r="D293" t="s">
        <v>280</v>
      </c>
      <c r="E293" t="s">
        <v>409</v>
      </c>
      <c r="F293">
        <f>HYPERLINK("https://www.wikidata.org/wiki/Q33369535", "Q33369535")</f>
        <v>0</v>
      </c>
      <c r="G293" t="s">
        <v>785</v>
      </c>
      <c r="H293" t="s">
        <v>5542</v>
      </c>
      <c r="I293" t="s">
        <v>9522</v>
      </c>
      <c r="J293" t="s">
        <v>11532</v>
      </c>
      <c r="K293" t="s">
        <v>15936</v>
      </c>
      <c r="L293">
        <f>HYPERLINK("https://www2.assemblee-nationale.fr/sycomore/fiche/(num_dept)/6376", "6376")</f>
        <v>0</v>
      </c>
      <c r="N293">
        <f>HYPERLINK("https://www.wikidata.org/wiki/Q16026494", "Q16026494")</f>
        <v>0</v>
      </c>
      <c r="O293" t="s">
        <v>20013</v>
      </c>
      <c r="P293" t="s">
        <v>20404</v>
      </c>
      <c r="Q293" t="s">
        <v>19426</v>
      </c>
      <c r="R293" t="s">
        <v>409</v>
      </c>
      <c r="S293">
        <v>1498</v>
      </c>
    </row>
    <row r="294" spans="1:19">
      <c r="A294" t="s">
        <v>19</v>
      </c>
      <c r="B294" t="s">
        <v>148</v>
      </c>
      <c r="C294" t="s">
        <v>151</v>
      </c>
      <c r="D294" t="s">
        <v>280</v>
      </c>
      <c r="E294" t="s">
        <v>409</v>
      </c>
      <c r="F294">
        <f>HYPERLINK("https://www.wikidata.org/wiki/Q33369535", "Q33369535")</f>
        <v>0</v>
      </c>
      <c r="G294" t="s">
        <v>786</v>
      </c>
      <c r="H294" t="s">
        <v>5543</v>
      </c>
      <c r="I294" t="s">
        <v>9523</v>
      </c>
      <c r="J294" t="s">
        <v>11533</v>
      </c>
      <c r="K294" t="s">
        <v>15937</v>
      </c>
      <c r="L294">
        <f>HYPERLINK("https://www2.assemblee-nationale.fr/sycomore/fiche/(num_dept)/6379", "6379")</f>
        <v>0</v>
      </c>
      <c r="N294">
        <f>HYPERLINK("https://www.wikidata.org/wiki/Q2019775", "Q2019775")</f>
        <v>0</v>
      </c>
      <c r="O294" t="s">
        <v>19969</v>
      </c>
      <c r="P294" t="s">
        <v>20404</v>
      </c>
      <c r="Q294" t="s">
        <v>19426</v>
      </c>
      <c r="R294" t="s">
        <v>409</v>
      </c>
      <c r="S294">
        <v>1498</v>
      </c>
    </row>
    <row r="295" spans="1:19">
      <c r="A295" t="s">
        <v>19</v>
      </c>
      <c r="B295" t="s">
        <v>148</v>
      </c>
      <c r="C295" t="s">
        <v>151</v>
      </c>
      <c r="D295" t="s">
        <v>280</v>
      </c>
      <c r="E295" t="s">
        <v>409</v>
      </c>
      <c r="F295">
        <f>HYPERLINK("https://www.wikidata.org/wiki/Q33369535", "Q33369535")</f>
        <v>0</v>
      </c>
      <c r="G295" t="s">
        <v>787</v>
      </c>
      <c r="H295" t="s">
        <v>5544</v>
      </c>
      <c r="I295" t="s">
        <v>6941</v>
      </c>
      <c r="J295" t="s">
        <v>11534</v>
      </c>
      <c r="K295" t="s">
        <v>15938</v>
      </c>
      <c r="L295">
        <f>HYPERLINK("https://www2.assemblee-nationale.fr/sycomore/fiche/(num_dept)/6407", "6407")</f>
        <v>0</v>
      </c>
      <c r="M295">
        <f>HYPERLINK("https://www.senat.fr/senateur-3eme-republique/de_pomereu_michel1598r3.html", "de_pomereu_michel1598r3")</f>
        <v>0</v>
      </c>
      <c r="N295">
        <f>HYPERLINK("https://www.wikidata.org/wiki/Q3436712", "Q3436712")</f>
        <v>0</v>
      </c>
      <c r="O295" t="s">
        <v>19978</v>
      </c>
      <c r="P295" t="s">
        <v>20410</v>
      </c>
      <c r="Q295" t="s">
        <v>19426</v>
      </c>
      <c r="R295" t="s">
        <v>409</v>
      </c>
      <c r="S295">
        <v>1498</v>
      </c>
    </row>
    <row r="296" spans="1:19">
      <c r="A296" t="s">
        <v>19</v>
      </c>
      <c r="B296" t="s">
        <v>148</v>
      </c>
      <c r="C296" t="s">
        <v>151</v>
      </c>
      <c r="D296" t="s">
        <v>280</v>
      </c>
      <c r="E296" t="s">
        <v>409</v>
      </c>
      <c r="F296">
        <f>HYPERLINK("https://www.wikidata.org/wiki/Q33369535", "Q33369535")</f>
        <v>0</v>
      </c>
      <c r="G296" t="s">
        <v>788</v>
      </c>
      <c r="H296" t="s">
        <v>5545</v>
      </c>
      <c r="I296" t="s">
        <v>6175</v>
      </c>
      <c r="J296" t="s">
        <v>11535</v>
      </c>
      <c r="K296" t="s">
        <v>15939</v>
      </c>
      <c r="L296">
        <f>HYPERLINK("https://www2.assemblee-nationale.fr/sycomore/fiche/(num_dept)/6421", "6421")</f>
        <v>0</v>
      </c>
      <c r="N296">
        <f>HYPERLINK("https://www.wikidata.org/wiki/Q8308559", "Q8308559")</f>
        <v>0</v>
      </c>
      <c r="O296" t="s">
        <v>20041</v>
      </c>
      <c r="P296" t="s">
        <v>20405</v>
      </c>
      <c r="Q296" t="s">
        <v>19426</v>
      </c>
      <c r="R296" t="s">
        <v>409</v>
      </c>
      <c r="S296">
        <v>1498</v>
      </c>
    </row>
    <row r="297" spans="1:19">
      <c r="A297" t="s">
        <v>19</v>
      </c>
      <c r="B297" t="s">
        <v>148</v>
      </c>
      <c r="C297" t="s">
        <v>151</v>
      </c>
      <c r="D297" t="s">
        <v>280</v>
      </c>
      <c r="E297" t="s">
        <v>409</v>
      </c>
      <c r="F297">
        <f>HYPERLINK("https://www.wikidata.org/wiki/Q33369535", "Q33369535")</f>
        <v>0</v>
      </c>
      <c r="G297" t="s">
        <v>789</v>
      </c>
      <c r="H297" t="s">
        <v>5546</v>
      </c>
      <c r="I297" t="s">
        <v>9524</v>
      </c>
      <c r="J297" t="s">
        <v>11536</v>
      </c>
      <c r="K297" t="s">
        <v>15940</v>
      </c>
      <c r="L297">
        <f>HYPERLINK("https://www2.assemblee-nationale.fr/sycomore/fiche/(num_dept)/6433", "6433")</f>
        <v>0</v>
      </c>
      <c r="M297">
        <f>HYPERLINK("https://www.senat.fr/senateur-3eme-republique/porteu_andre0542r3.html", "porteu_andre0542r3")</f>
        <v>0</v>
      </c>
      <c r="N297">
        <f>HYPERLINK("https://www.wikidata.org/wiki/Q2848467", "Q2848467")</f>
        <v>0</v>
      </c>
      <c r="O297" t="s">
        <v>19998</v>
      </c>
      <c r="P297" t="s">
        <v>20410</v>
      </c>
      <c r="Q297" t="s">
        <v>19426</v>
      </c>
      <c r="R297" t="s">
        <v>409</v>
      </c>
      <c r="S297">
        <v>1498</v>
      </c>
    </row>
    <row r="298" spans="1:19">
      <c r="A298" t="s">
        <v>19</v>
      </c>
      <c r="B298" t="s">
        <v>148</v>
      </c>
      <c r="C298" t="s">
        <v>151</v>
      </c>
      <c r="D298" t="s">
        <v>280</v>
      </c>
      <c r="E298" t="s">
        <v>409</v>
      </c>
      <c r="F298">
        <f>HYPERLINK("https://www.wikidata.org/wiki/Q33369535", "Q33369535")</f>
        <v>0</v>
      </c>
      <c r="G298" t="s">
        <v>790</v>
      </c>
      <c r="H298" t="s">
        <v>5547</v>
      </c>
      <c r="I298" t="s">
        <v>6158</v>
      </c>
      <c r="J298" t="s">
        <v>11537</v>
      </c>
      <c r="K298" t="s">
        <v>15941</v>
      </c>
      <c r="L298">
        <f>HYPERLINK("https://www2.assemblee-nationale.fr/sycomore/fiche/(num_dept)/6451", "6451")</f>
        <v>0</v>
      </c>
      <c r="N298">
        <f>HYPERLINK("https://www.wikidata.org/wiki/Q3092579", "Q3092579")</f>
        <v>0</v>
      </c>
      <c r="O298" t="s">
        <v>20024</v>
      </c>
      <c r="P298" t="s">
        <v>20402</v>
      </c>
      <c r="Q298" t="s">
        <v>19426</v>
      </c>
      <c r="R298" t="s">
        <v>409</v>
      </c>
      <c r="S298">
        <v>1498</v>
      </c>
    </row>
    <row r="299" spans="1:19">
      <c r="A299" t="s">
        <v>19</v>
      </c>
      <c r="B299" t="s">
        <v>148</v>
      </c>
      <c r="C299" t="s">
        <v>151</v>
      </c>
      <c r="D299" t="s">
        <v>280</v>
      </c>
      <c r="E299" t="s">
        <v>409</v>
      </c>
      <c r="F299">
        <f>HYPERLINK("https://www.wikidata.org/wiki/Q33369535", "Q33369535")</f>
        <v>0</v>
      </c>
      <c r="G299" t="s">
        <v>791</v>
      </c>
      <c r="H299" t="s">
        <v>5548</v>
      </c>
      <c r="I299" t="s">
        <v>9525</v>
      </c>
      <c r="J299" t="s">
        <v>11538</v>
      </c>
      <c r="K299" t="s">
        <v>15942</v>
      </c>
      <c r="L299">
        <f>HYPERLINK("https://www2.assemblee-nationale.fr/sycomore/fiche/(num_dept)/6477", "6477")</f>
        <v>0</v>
      </c>
      <c r="N299">
        <f>HYPERLINK("https://www.wikidata.org/wiki/Q15233775", "Q15233775")</f>
        <v>0</v>
      </c>
      <c r="O299" t="s">
        <v>19970</v>
      </c>
      <c r="P299" t="s">
        <v>20403</v>
      </c>
      <c r="Q299" t="s">
        <v>19426</v>
      </c>
      <c r="R299" t="s">
        <v>409</v>
      </c>
      <c r="S299">
        <v>1498</v>
      </c>
    </row>
    <row r="300" spans="1:19">
      <c r="A300" t="s">
        <v>19</v>
      </c>
      <c r="B300" t="s">
        <v>148</v>
      </c>
      <c r="C300" t="s">
        <v>151</v>
      </c>
      <c r="D300" t="s">
        <v>280</v>
      </c>
      <c r="E300" t="s">
        <v>409</v>
      </c>
      <c r="F300">
        <f>HYPERLINK("https://www.wikidata.org/wiki/Q33369535", "Q33369535")</f>
        <v>0</v>
      </c>
      <c r="G300" t="s">
        <v>792</v>
      </c>
      <c r="H300" t="s">
        <v>5549</v>
      </c>
      <c r="I300" t="s">
        <v>6495</v>
      </c>
      <c r="J300" t="s">
        <v>11539</v>
      </c>
      <c r="K300" t="s">
        <v>15943</v>
      </c>
      <c r="L300">
        <f>HYPERLINK("https://www2.assemblee-nationale.fr/sycomore/fiche/(num_dept)/6531", "6531")</f>
        <v>0</v>
      </c>
      <c r="N300">
        <f>HYPERLINK("https://www.wikidata.org/wiki/Q3262963", "Q3262963")</f>
        <v>0</v>
      </c>
      <c r="O300" t="s">
        <v>19969</v>
      </c>
      <c r="P300" t="s">
        <v>20405</v>
      </c>
      <c r="Q300" t="s">
        <v>19426</v>
      </c>
      <c r="R300" t="s">
        <v>409</v>
      </c>
      <c r="S300">
        <v>1498</v>
      </c>
    </row>
    <row r="301" spans="1:19">
      <c r="A301" t="s">
        <v>19</v>
      </c>
      <c r="B301" t="s">
        <v>148</v>
      </c>
      <c r="C301" t="s">
        <v>151</v>
      </c>
      <c r="D301" t="s">
        <v>280</v>
      </c>
      <c r="E301" t="s">
        <v>409</v>
      </c>
      <c r="F301">
        <f>HYPERLINK("https://www.wikidata.org/wiki/Q33369535", "Q33369535")</f>
        <v>0</v>
      </c>
      <c r="G301" t="s">
        <v>793</v>
      </c>
      <c r="H301" t="s">
        <v>5550</v>
      </c>
      <c r="I301" t="s">
        <v>9526</v>
      </c>
      <c r="J301" t="s">
        <v>11540</v>
      </c>
      <c r="K301" t="s">
        <v>15944</v>
      </c>
      <c r="L301">
        <f>HYPERLINK("https://www2.assemblee-nationale.fr/sycomore/fiche/(num_dept)/6535", "6535")</f>
        <v>0</v>
      </c>
      <c r="N301">
        <f>HYPERLINK("https://www.wikidata.org/wiki/Q13089737", "Q13089737")</f>
        <v>0</v>
      </c>
      <c r="O301" t="s">
        <v>19969</v>
      </c>
      <c r="P301" t="s">
        <v>20407</v>
      </c>
      <c r="Q301" t="s">
        <v>19426</v>
      </c>
      <c r="R301" t="s">
        <v>409</v>
      </c>
      <c r="S301">
        <v>1498</v>
      </c>
    </row>
    <row r="302" spans="1:19">
      <c r="A302" t="s">
        <v>19</v>
      </c>
      <c r="B302" t="s">
        <v>148</v>
      </c>
      <c r="C302" t="s">
        <v>151</v>
      </c>
      <c r="D302" t="s">
        <v>280</v>
      </c>
      <c r="E302" t="s">
        <v>409</v>
      </c>
      <c r="F302">
        <f>HYPERLINK("https://www.wikidata.org/wiki/Q33369535", "Q33369535")</f>
        <v>0</v>
      </c>
      <c r="G302" t="s">
        <v>794</v>
      </c>
      <c r="H302" t="s">
        <v>5551</v>
      </c>
      <c r="I302" t="s">
        <v>6495</v>
      </c>
      <c r="J302" t="s">
        <v>11541</v>
      </c>
      <c r="K302" t="s">
        <v>15945</v>
      </c>
      <c r="L302">
        <f>HYPERLINK("https://www2.assemblee-nationale.fr/sycomore/fiche/(num_dept)/6551", "6551")</f>
        <v>0</v>
      </c>
      <c r="M302">
        <f>HYPERLINK("https://www.senat.fr/senateur-3eme-republique/quesnel_louis1575r3.html", "quesnel_louis1575r3")</f>
        <v>0</v>
      </c>
      <c r="N302">
        <f>HYPERLINK("https://www.wikidata.org/wiki/Q3262977", "Q3262977")</f>
        <v>0</v>
      </c>
      <c r="O302" t="s">
        <v>19978</v>
      </c>
      <c r="P302" t="s">
        <v>20403</v>
      </c>
      <c r="Q302" t="s">
        <v>19426</v>
      </c>
      <c r="R302" t="s">
        <v>409</v>
      </c>
      <c r="S302">
        <v>1498</v>
      </c>
    </row>
    <row r="303" spans="1:19">
      <c r="A303" t="s">
        <v>19</v>
      </c>
      <c r="B303" t="s">
        <v>148</v>
      </c>
      <c r="C303" t="s">
        <v>151</v>
      </c>
      <c r="D303" t="s">
        <v>280</v>
      </c>
      <c r="E303" t="s">
        <v>409</v>
      </c>
      <c r="F303">
        <f>HYPERLINK("https://www.wikidata.org/wiki/Q33369535", "Q33369535")</f>
        <v>0</v>
      </c>
      <c r="G303" t="s">
        <v>795</v>
      </c>
      <c r="H303" t="s">
        <v>5552</v>
      </c>
      <c r="I303" t="s">
        <v>9421</v>
      </c>
      <c r="J303" t="s">
        <v>11542</v>
      </c>
      <c r="K303" t="s">
        <v>15946</v>
      </c>
      <c r="L303">
        <f>HYPERLINK("https://www2.assemblee-nationale.fr/sycomore/fiche/(num_dept)/6556", "6556")</f>
        <v>0</v>
      </c>
      <c r="N303">
        <f>HYPERLINK("https://www.wikidata.org/wiki/Q16026386", "Q16026386")</f>
        <v>0</v>
      </c>
      <c r="O303" t="s">
        <v>19978</v>
      </c>
      <c r="P303" t="s">
        <v>20403</v>
      </c>
      <c r="Q303" t="s">
        <v>19426</v>
      </c>
      <c r="R303" t="s">
        <v>15946</v>
      </c>
      <c r="S303">
        <v>237</v>
      </c>
    </row>
    <row r="304" spans="1:19">
      <c r="A304" t="s">
        <v>19</v>
      </c>
      <c r="B304" t="s">
        <v>148</v>
      </c>
      <c r="C304" t="s">
        <v>151</v>
      </c>
      <c r="D304" t="s">
        <v>280</v>
      </c>
      <c r="E304" t="s">
        <v>409</v>
      </c>
      <c r="F304">
        <f>HYPERLINK("https://www.wikidata.org/wiki/Q33369535", "Q33369535")</f>
        <v>0</v>
      </c>
      <c r="G304" t="s">
        <v>796</v>
      </c>
      <c r="H304" t="s">
        <v>5553</v>
      </c>
      <c r="I304" t="s">
        <v>9527</v>
      </c>
      <c r="J304" t="s">
        <v>11543</v>
      </c>
      <c r="K304" t="s">
        <v>15947</v>
      </c>
      <c r="L304">
        <f>HYPERLINK("https://www2.assemblee-nationale.fr/sycomore/fiche/(num_dept)/6567", "6567")</f>
        <v>0</v>
      </c>
      <c r="M304">
        <f>HYPERLINK("https://www.senat.fr/senateur-3eme-republique/rabier_fernand0501r3.html", "rabier_fernand0501r3")</f>
        <v>0</v>
      </c>
      <c r="N304">
        <f>HYPERLINK("https://www.wikidata.org/wiki/Q3069308", "Q3069308")</f>
        <v>0</v>
      </c>
      <c r="O304" t="s">
        <v>19958</v>
      </c>
      <c r="P304" t="s">
        <v>20405</v>
      </c>
      <c r="Q304" t="s">
        <v>19426</v>
      </c>
      <c r="R304" t="s">
        <v>409</v>
      </c>
      <c r="S304">
        <v>1498</v>
      </c>
    </row>
    <row r="305" spans="1:19">
      <c r="A305" t="s">
        <v>19</v>
      </c>
      <c r="B305" t="s">
        <v>148</v>
      </c>
      <c r="C305" t="s">
        <v>151</v>
      </c>
      <c r="D305" t="s">
        <v>280</v>
      </c>
      <c r="E305" t="s">
        <v>409</v>
      </c>
      <c r="F305">
        <f>HYPERLINK("https://www.wikidata.org/wiki/Q33369535", "Q33369535")</f>
        <v>0</v>
      </c>
      <c r="G305" t="s">
        <v>797</v>
      </c>
      <c r="H305" t="s">
        <v>5554</v>
      </c>
      <c r="I305" t="s">
        <v>9528</v>
      </c>
      <c r="J305" t="s">
        <v>11544</v>
      </c>
      <c r="K305" t="s">
        <v>15948</v>
      </c>
      <c r="L305">
        <f>HYPERLINK("https://www2.assemblee-nationale.fr/sycomore/fiche/(num_dept)/6578", "6578")</f>
        <v>0</v>
      </c>
      <c r="N305">
        <f>HYPERLINK("https://www.wikidata.org/wiki/Q16026388", "Q16026388")</f>
        <v>0</v>
      </c>
      <c r="O305" t="s">
        <v>20036</v>
      </c>
      <c r="P305" t="s">
        <v>20401</v>
      </c>
      <c r="Q305" t="s">
        <v>19426</v>
      </c>
      <c r="R305" t="s">
        <v>409</v>
      </c>
      <c r="S305">
        <v>1498</v>
      </c>
    </row>
    <row r="306" spans="1:19">
      <c r="A306" t="s">
        <v>19</v>
      </c>
      <c r="B306" t="s">
        <v>148</v>
      </c>
      <c r="C306" t="s">
        <v>151</v>
      </c>
      <c r="D306" t="s">
        <v>280</v>
      </c>
      <c r="E306" t="s">
        <v>409</v>
      </c>
      <c r="F306">
        <f>HYPERLINK("https://www.wikidata.org/wiki/Q33369535", "Q33369535")</f>
        <v>0</v>
      </c>
      <c r="G306" t="s">
        <v>798</v>
      </c>
      <c r="H306" t="s">
        <v>5555</v>
      </c>
      <c r="I306" t="s">
        <v>9529</v>
      </c>
      <c r="J306" t="s">
        <v>11545</v>
      </c>
      <c r="K306" t="s">
        <v>15949</v>
      </c>
      <c r="L306">
        <f>HYPERLINK("https://www2.assemblee-nationale.fr/sycomore/fiche/(num_dept)/6581", "6581")</f>
        <v>0</v>
      </c>
      <c r="M306">
        <f>HYPERLINK("https://www.senat.fr/senateur-3eme-republique/raiberti_flaminius0124r3.html", "raiberti_flaminius0124r3")</f>
        <v>0</v>
      </c>
      <c r="N306">
        <f>HYPERLINK("https://www.wikidata.org/wiki/Q3073302", "Q3073302")</f>
        <v>0</v>
      </c>
      <c r="O306" t="s">
        <v>20024</v>
      </c>
      <c r="P306" t="s">
        <v>20403</v>
      </c>
      <c r="Q306" t="s">
        <v>19426</v>
      </c>
      <c r="R306" t="s">
        <v>409</v>
      </c>
      <c r="S306">
        <v>1498</v>
      </c>
    </row>
    <row r="307" spans="1:19">
      <c r="A307" t="s">
        <v>19</v>
      </c>
      <c r="B307" t="s">
        <v>148</v>
      </c>
      <c r="C307" t="s">
        <v>151</v>
      </c>
      <c r="D307" t="s">
        <v>280</v>
      </c>
      <c r="E307" t="s">
        <v>409</v>
      </c>
      <c r="F307">
        <f>HYPERLINK("https://www.wikidata.org/wiki/Q33369535", "Q33369535")</f>
        <v>0</v>
      </c>
      <c r="G307" t="s">
        <v>799</v>
      </c>
      <c r="H307" t="s">
        <v>5556</v>
      </c>
      <c r="I307" t="s">
        <v>9530</v>
      </c>
      <c r="J307" t="s">
        <v>11546</v>
      </c>
      <c r="K307" t="s">
        <v>15950</v>
      </c>
      <c r="L307">
        <f>HYPERLINK("https://www2.assemblee-nationale.fr/sycomore/fiche/(num_dept)/6614", "6614")</f>
        <v>0</v>
      </c>
      <c r="N307">
        <f>HYPERLINK("https://www.wikidata.org/wiki/Q3289321", "Q3289321")</f>
        <v>0</v>
      </c>
      <c r="O307" t="s">
        <v>19985</v>
      </c>
      <c r="P307" t="s">
        <v>20407</v>
      </c>
      <c r="Q307" t="s">
        <v>19426</v>
      </c>
      <c r="R307" t="s">
        <v>409</v>
      </c>
      <c r="S307">
        <v>1498</v>
      </c>
    </row>
    <row r="308" spans="1:19">
      <c r="A308" t="s">
        <v>19</v>
      </c>
      <c r="B308" t="s">
        <v>148</v>
      </c>
      <c r="C308" t="s">
        <v>151</v>
      </c>
      <c r="D308" t="s">
        <v>280</v>
      </c>
      <c r="E308" t="s">
        <v>409</v>
      </c>
      <c r="F308">
        <f>HYPERLINK("https://www.wikidata.org/wiki/Q33369535", "Q33369535")</f>
        <v>0</v>
      </c>
      <c r="G308" t="s">
        <v>800</v>
      </c>
      <c r="H308" t="s">
        <v>5557</v>
      </c>
      <c r="I308" t="s">
        <v>9531</v>
      </c>
      <c r="J308" t="s">
        <v>11547</v>
      </c>
      <c r="K308" t="s">
        <v>15951</v>
      </c>
      <c r="L308">
        <f>HYPERLINK("https://www2.assemblee-nationale.fr/sycomore/fiche/(num_dept)/6635", "6635")</f>
        <v>0</v>
      </c>
      <c r="N308">
        <f>HYPERLINK("https://www.wikidata.org/wiki/Q2441215", "Q2441215")</f>
        <v>0</v>
      </c>
      <c r="O308" t="s">
        <v>20031</v>
      </c>
      <c r="P308" t="s">
        <v>20402</v>
      </c>
      <c r="Q308" t="s">
        <v>19426</v>
      </c>
      <c r="R308" t="s">
        <v>409</v>
      </c>
      <c r="S308">
        <v>1498</v>
      </c>
    </row>
    <row r="309" spans="1:19">
      <c r="A309" t="s">
        <v>19</v>
      </c>
      <c r="B309" t="s">
        <v>148</v>
      </c>
      <c r="C309" t="s">
        <v>151</v>
      </c>
      <c r="D309" t="s">
        <v>280</v>
      </c>
      <c r="E309" t="s">
        <v>409</v>
      </c>
      <c r="F309">
        <f>HYPERLINK("https://www.wikidata.org/wiki/Q33369535", "Q33369535")</f>
        <v>0</v>
      </c>
      <c r="G309" t="s">
        <v>801</v>
      </c>
      <c r="H309" t="s">
        <v>5558</v>
      </c>
      <c r="I309" t="s">
        <v>9532</v>
      </c>
      <c r="J309" t="s">
        <v>11548</v>
      </c>
      <c r="K309" t="s">
        <v>15952</v>
      </c>
      <c r="L309">
        <f>HYPERLINK("https://www2.assemblee-nationale.fr/sycomore/fiche/(num_dept)/6637", "6637")</f>
        <v>0</v>
      </c>
      <c r="N309">
        <f>HYPERLINK("https://www.wikidata.org/wiki/Q3188327", "Q3188327")</f>
        <v>0</v>
      </c>
      <c r="O309" t="s">
        <v>7411</v>
      </c>
      <c r="P309" t="s">
        <v>20405</v>
      </c>
      <c r="Q309" t="s">
        <v>19426</v>
      </c>
      <c r="R309" t="s">
        <v>409</v>
      </c>
      <c r="S309">
        <v>1498</v>
      </c>
    </row>
    <row r="310" spans="1:19">
      <c r="A310" t="s">
        <v>19</v>
      </c>
      <c r="B310" t="s">
        <v>148</v>
      </c>
      <c r="C310" t="s">
        <v>151</v>
      </c>
      <c r="D310" t="s">
        <v>280</v>
      </c>
      <c r="E310" t="s">
        <v>409</v>
      </c>
      <c r="F310">
        <f>HYPERLINK("https://www.wikidata.org/wiki/Q33369535", "Q33369535")</f>
        <v>0</v>
      </c>
      <c r="G310" t="s">
        <v>802</v>
      </c>
      <c r="H310" t="s">
        <v>5559</v>
      </c>
      <c r="I310" t="s">
        <v>9440</v>
      </c>
      <c r="J310" t="s">
        <v>11549</v>
      </c>
      <c r="K310" t="s">
        <v>15953</v>
      </c>
      <c r="L310">
        <f>HYPERLINK("https://www2.assemblee-nationale.fr/sycomore/fiche/(num_dept)/6657", "6657")</f>
        <v>0</v>
      </c>
      <c r="N310">
        <f>HYPERLINK("https://www.wikidata.org/wiki/Q2844702", "Q2844702")</f>
        <v>0</v>
      </c>
      <c r="O310" t="s">
        <v>19962</v>
      </c>
      <c r="P310" t="s">
        <v>20410</v>
      </c>
      <c r="Q310" t="s">
        <v>19426</v>
      </c>
      <c r="R310" t="s">
        <v>409</v>
      </c>
      <c r="S310">
        <v>1498</v>
      </c>
    </row>
    <row r="311" spans="1:19">
      <c r="A311" t="s">
        <v>19</v>
      </c>
      <c r="B311" t="s">
        <v>148</v>
      </c>
      <c r="C311" t="s">
        <v>151</v>
      </c>
      <c r="D311" t="s">
        <v>280</v>
      </c>
      <c r="E311" t="s">
        <v>409</v>
      </c>
      <c r="F311">
        <f>HYPERLINK("https://www.wikidata.org/wiki/Q33369535", "Q33369535")</f>
        <v>0</v>
      </c>
      <c r="G311" t="s">
        <v>803</v>
      </c>
      <c r="H311" t="s">
        <v>5560</v>
      </c>
      <c r="I311" t="s">
        <v>9533</v>
      </c>
      <c r="J311" t="s">
        <v>11550</v>
      </c>
      <c r="K311" t="s">
        <v>15954</v>
      </c>
      <c r="L311">
        <f>HYPERLINK("https://www2.assemblee-nationale.fr/sycomore/fiche/(num_dept)/6664", "6664")</f>
        <v>0</v>
      </c>
      <c r="N311">
        <f>HYPERLINK("https://www.wikidata.org/wiki/Q202790", "Q202790")</f>
        <v>0</v>
      </c>
      <c r="O311" t="s">
        <v>19988</v>
      </c>
      <c r="P311" t="s">
        <v>20401</v>
      </c>
      <c r="Q311" t="s">
        <v>19426</v>
      </c>
      <c r="R311" t="s">
        <v>409</v>
      </c>
      <c r="S311">
        <v>1498</v>
      </c>
    </row>
    <row r="312" spans="1:19">
      <c r="A312" t="s">
        <v>19</v>
      </c>
      <c r="B312" t="s">
        <v>148</v>
      </c>
      <c r="C312" t="s">
        <v>151</v>
      </c>
      <c r="D312" t="s">
        <v>280</v>
      </c>
      <c r="E312" t="s">
        <v>409</v>
      </c>
      <c r="F312">
        <f>HYPERLINK("https://www.wikidata.org/wiki/Q33369535", "Q33369535")</f>
        <v>0</v>
      </c>
      <c r="G312" t="s">
        <v>804</v>
      </c>
      <c r="H312" t="s">
        <v>5561</v>
      </c>
      <c r="I312" t="s">
        <v>9476</v>
      </c>
      <c r="J312" t="s">
        <v>11551</v>
      </c>
      <c r="K312" t="s">
        <v>15955</v>
      </c>
      <c r="L312">
        <f>HYPERLINK("https://www2.assemblee-nationale.fr/sycomore/fiche/(num_dept)/6684", "6684")</f>
        <v>0</v>
      </c>
      <c r="M312">
        <f>HYPERLINK("https://www.senat.fr/senateur-3eme-republique/renoult_rene1734r3.html", "renoult_rene1734r3")</f>
        <v>0</v>
      </c>
      <c r="N312">
        <f>HYPERLINK("https://www.wikidata.org/wiki/Q3426810", "Q3426810")</f>
        <v>0</v>
      </c>
      <c r="O312" t="s">
        <v>20036</v>
      </c>
      <c r="P312" t="s">
        <v>20405</v>
      </c>
      <c r="Q312" t="s">
        <v>19426</v>
      </c>
      <c r="R312" t="s">
        <v>409</v>
      </c>
      <c r="S312">
        <v>1498</v>
      </c>
    </row>
    <row r="313" spans="1:19">
      <c r="A313" t="s">
        <v>19</v>
      </c>
      <c r="B313" t="s">
        <v>148</v>
      </c>
      <c r="C313" t="s">
        <v>151</v>
      </c>
      <c r="D313" t="s">
        <v>280</v>
      </c>
      <c r="E313" t="s">
        <v>409</v>
      </c>
      <c r="F313">
        <f>HYPERLINK("https://www.wikidata.org/wiki/Q33369535", "Q33369535")</f>
        <v>0</v>
      </c>
      <c r="G313" t="s">
        <v>805</v>
      </c>
      <c r="H313" t="s">
        <v>5562</v>
      </c>
      <c r="I313" t="s">
        <v>9499</v>
      </c>
      <c r="J313" t="s">
        <v>11552</v>
      </c>
      <c r="K313" t="s">
        <v>15956</v>
      </c>
      <c r="L313">
        <f>HYPERLINK("https://www2.assemblee-nationale.fr/sycomore/fiche/(num_dept)/6696", "6696")</f>
        <v>0</v>
      </c>
      <c r="N313">
        <f>HYPERLINK("https://www.wikidata.org/wiki/Q3288371", "Q3288371")</f>
        <v>0</v>
      </c>
      <c r="O313" t="s">
        <v>19973</v>
      </c>
      <c r="P313" t="s">
        <v>20401</v>
      </c>
      <c r="Q313" t="s">
        <v>19426</v>
      </c>
      <c r="R313" t="s">
        <v>409</v>
      </c>
      <c r="S313">
        <v>1498</v>
      </c>
    </row>
    <row r="314" spans="1:19">
      <c r="A314" t="s">
        <v>19</v>
      </c>
      <c r="B314" t="s">
        <v>148</v>
      </c>
      <c r="C314" t="s">
        <v>151</v>
      </c>
      <c r="D314" t="s">
        <v>280</v>
      </c>
      <c r="E314" t="s">
        <v>409</v>
      </c>
      <c r="F314">
        <f>HYPERLINK("https://www.wikidata.org/wiki/Q33369535", "Q33369535")</f>
        <v>0</v>
      </c>
      <c r="G314" t="s">
        <v>806</v>
      </c>
      <c r="H314" t="s">
        <v>5563</v>
      </c>
      <c r="I314" t="s">
        <v>9523</v>
      </c>
      <c r="J314" t="s">
        <v>11553</v>
      </c>
      <c r="K314" t="s">
        <v>15957</v>
      </c>
      <c r="L314">
        <f>HYPERLINK("https://www2.assemblee-nationale.fr/sycomore/fiche/(num_dept)/6725", "6725")</f>
        <v>0</v>
      </c>
      <c r="M314">
        <f>HYPERLINK("https://www.senat.fr/senateur-3eme-republique/ribiere_marcel1846r3.html", "ribiere_marcel1846r3")</f>
        <v>0</v>
      </c>
      <c r="N314">
        <f>HYPERLINK("https://www.wikidata.org/wiki/Q3289327", "Q3289327")</f>
        <v>0</v>
      </c>
      <c r="O314" t="s">
        <v>20034</v>
      </c>
      <c r="P314" t="s">
        <v>20405</v>
      </c>
      <c r="Q314" t="s">
        <v>19426</v>
      </c>
      <c r="R314" t="s">
        <v>21376</v>
      </c>
      <c r="S314">
        <v>1014</v>
      </c>
    </row>
    <row r="315" spans="1:19">
      <c r="A315" t="s">
        <v>19</v>
      </c>
      <c r="B315" t="s">
        <v>148</v>
      </c>
      <c r="C315" t="s">
        <v>151</v>
      </c>
      <c r="D315" t="s">
        <v>280</v>
      </c>
      <c r="E315" t="s">
        <v>409</v>
      </c>
      <c r="F315">
        <f>HYPERLINK("https://www.wikidata.org/wiki/Q33369535", "Q33369535")</f>
        <v>0</v>
      </c>
      <c r="G315" t="s">
        <v>807</v>
      </c>
      <c r="H315" t="s">
        <v>5564</v>
      </c>
      <c r="I315" t="s">
        <v>9483</v>
      </c>
      <c r="J315" t="s">
        <v>11554</v>
      </c>
      <c r="K315" t="s">
        <v>15958</v>
      </c>
      <c r="L315">
        <f>HYPERLINK("https://www2.assemblee-nationale.fr/sycomore/fiche/(num_dept)/6815", "6815")</f>
        <v>0</v>
      </c>
      <c r="N315">
        <f>HYPERLINK("https://www.wikidata.org/wiki/Q3557596", "Q3557596")</f>
        <v>0</v>
      </c>
      <c r="O315" t="s">
        <v>20035</v>
      </c>
      <c r="P315" t="s">
        <v>20405</v>
      </c>
      <c r="Q315" t="s">
        <v>19426</v>
      </c>
      <c r="R315" t="s">
        <v>409</v>
      </c>
      <c r="S315">
        <v>1498</v>
      </c>
    </row>
    <row r="316" spans="1:19">
      <c r="A316" t="s">
        <v>19</v>
      </c>
      <c r="B316" t="s">
        <v>148</v>
      </c>
      <c r="C316" t="s">
        <v>151</v>
      </c>
      <c r="D316" t="s">
        <v>280</v>
      </c>
      <c r="E316" t="s">
        <v>409</v>
      </c>
      <c r="F316">
        <f>HYPERLINK("https://www.wikidata.org/wiki/Q33369535", "Q33369535")</f>
        <v>0</v>
      </c>
      <c r="G316" t="s">
        <v>808</v>
      </c>
      <c r="H316" t="s">
        <v>5565</v>
      </c>
      <c r="I316" t="s">
        <v>6584</v>
      </c>
      <c r="J316" t="s">
        <v>11555</v>
      </c>
      <c r="K316" t="s">
        <v>15959</v>
      </c>
      <c r="L316">
        <f>HYPERLINK("https://www2.assemblee-nationale.fr/sycomore/fiche/(num_dept)/6817", "6817")</f>
        <v>0</v>
      </c>
      <c r="N316">
        <f>HYPERLINK("https://www.wikidata.org/wiki/Q2831554", "Q2831554")</f>
        <v>0</v>
      </c>
      <c r="O316" t="s">
        <v>20013</v>
      </c>
      <c r="P316" t="s">
        <v>20403</v>
      </c>
      <c r="Q316" t="s">
        <v>19426</v>
      </c>
      <c r="R316" t="s">
        <v>409</v>
      </c>
      <c r="S316">
        <v>1498</v>
      </c>
    </row>
    <row r="317" spans="1:19">
      <c r="A317" t="s">
        <v>19</v>
      </c>
      <c r="B317" t="s">
        <v>148</v>
      </c>
      <c r="C317" t="s">
        <v>151</v>
      </c>
      <c r="D317" t="s">
        <v>280</v>
      </c>
      <c r="E317" t="s">
        <v>409</v>
      </c>
      <c r="F317">
        <f>HYPERLINK("https://www.wikidata.org/wiki/Q33369535", "Q33369535")</f>
        <v>0</v>
      </c>
      <c r="G317" t="s">
        <v>809</v>
      </c>
      <c r="H317" t="s">
        <v>5566</v>
      </c>
      <c r="I317" t="s">
        <v>7642</v>
      </c>
      <c r="J317" t="s">
        <v>11556</v>
      </c>
      <c r="K317" t="s">
        <v>15960</v>
      </c>
      <c r="L317">
        <f>HYPERLINK("https://www2.assemblee-nationale.fr/sycomore/fiche/(num_dept)/6821", "6821")</f>
        <v>0</v>
      </c>
      <c r="N317">
        <f>HYPERLINK("https://www.wikidata.org/wiki/Q3301402", "Q3301402")</f>
        <v>0</v>
      </c>
      <c r="O317" t="s">
        <v>20023</v>
      </c>
      <c r="P317" t="s">
        <v>20402</v>
      </c>
      <c r="Q317" t="s">
        <v>19426</v>
      </c>
      <c r="R317" t="s">
        <v>409</v>
      </c>
      <c r="S317">
        <v>1498</v>
      </c>
    </row>
    <row r="318" spans="1:19">
      <c r="A318" t="s">
        <v>19</v>
      </c>
      <c r="B318" t="s">
        <v>148</v>
      </c>
      <c r="C318" t="s">
        <v>151</v>
      </c>
      <c r="D318" t="s">
        <v>280</v>
      </c>
      <c r="E318" t="s">
        <v>409</v>
      </c>
      <c r="F318">
        <f>HYPERLINK("https://www.wikidata.org/wiki/Q33369535", "Q33369535")</f>
        <v>0</v>
      </c>
      <c r="G318" t="s">
        <v>810</v>
      </c>
      <c r="H318" t="s">
        <v>5567</v>
      </c>
      <c r="I318" t="s">
        <v>9534</v>
      </c>
      <c r="J318" t="s">
        <v>11557</v>
      </c>
      <c r="K318" t="s">
        <v>15961</v>
      </c>
      <c r="L318">
        <f>HYPERLINK("https://www2.assemblee-nationale.fr/sycomore/fiche/(num_dept)/6847", "6847")</f>
        <v>0</v>
      </c>
      <c r="M318">
        <f>HYPERLINK("https://www.senat.fr/senateur-3eme-republique/simonet_hippolyte0626r3.html", "simonet_hippolyte0626r3")</f>
        <v>0</v>
      </c>
      <c r="N318">
        <f>HYPERLINK("https://www.wikidata.org/wiki/Q3136130", "Q3136130")</f>
        <v>0</v>
      </c>
      <c r="O318" t="s">
        <v>19979</v>
      </c>
      <c r="P318" t="s">
        <v>20405</v>
      </c>
      <c r="Q318" t="s">
        <v>19426</v>
      </c>
      <c r="R318" t="s">
        <v>21369</v>
      </c>
      <c r="S318">
        <v>632</v>
      </c>
    </row>
    <row r="319" spans="1:19">
      <c r="A319" t="s">
        <v>19</v>
      </c>
      <c r="B319" t="s">
        <v>148</v>
      </c>
      <c r="C319" t="s">
        <v>151</v>
      </c>
      <c r="D319" t="s">
        <v>280</v>
      </c>
      <c r="E319" t="s">
        <v>409</v>
      </c>
      <c r="F319">
        <f>HYPERLINK("https://www.wikidata.org/wiki/Q33369535", "Q33369535")</f>
        <v>0</v>
      </c>
      <c r="G319" t="s">
        <v>811</v>
      </c>
      <c r="H319" t="s">
        <v>5568</v>
      </c>
      <c r="I319" t="s">
        <v>9535</v>
      </c>
      <c r="J319" t="s">
        <v>11558</v>
      </c>
      <c r="K319" t="s">
        <v>15962</v>
      </c>
      <c r="L319">
        <f>HYPERLINK("https://www2.assemblee-nationale.fr/sycomore/fiche/(num_dept)/6854", "6854")</f>
        <v>0</v>
      </c>
      <c r="M319">
        <f>HYPERLINK("https://www.senat.fr/senateur-3eme-republique/simyan_julien1227r3.html", "simyan_julien1227r3")</f>
        <v>0</v>
      </c>
      <c r="N319">
        <f>HYPERLINK("https://www.wikidata.org/wiki/Q3189661", "Q3189661")</f>
        <v>0</v>
      </c>
      <c r="O319" t="s">
        <v>19994</v>
      </c>
      <c r="P319" t="s">
        <v>20405</v>
      </c>
      <c r="Q319" t="s">
        <v>19426</v>
      </c>
      <c r="R319" t="s">
        <v>409</v>
      </c>
      <c r="S319">
        <v>1498</v>
      </c>
    </row>
    <row r="320" spans="1:19">
      <c r="A320" t="s">
        <v>19</v>
      </c>
      <c r="B320" t="s">
        <v>148</v>
      </c>
      <c r="C320" t="s">
        <v>151</v>
      </c>
      <c r="D320" t="s">
        <v>280</v>
      </c>
      <c r="E320" t="s">
        <v>409</v>
      </c>
      <c r="F320">
        <f>HYPERLINK("https://www.wikidata.org/wiki/Q33369535", "Q33369535")</f>
        <v>0</v>
      </c>
      <c r="G320" t="s">
        <v>812</v>
      </c>
      <c r="H320" t="s">
        <v>5569</v>
      </c>
      <c r="I320" t="s">
        <v>5528</v>
      </c>
      <c r="J320" t="s">
        <v>11559</v>
      </c>
      <c r="K320" t="s">
        <v>15963</v>
      </c>
      <c r="L320">
        <f>HYPERLINK("https://www2.assemblee-nationale.fr/sycomore/fiche/(num_dept)/6857", "6857")</f>
        <v>0</v>
      </c>
      <c r="M320">
        <f>HYPERLINK("https://www.senat.fr/senateur-3eme-republique/sireyjol_leon0664r3.html", "sireyjol_leon0664r3")</f>
        <v>0</v>
      </c>
      <c r="N320">
        <f>HYPERLINK("https://www.wikidata.org/wiki/Q3271332", "Q3271332")</f>
        <v>0</v>
      </c>
      <c r="O320" t="s">
        <v>20010</v>
      </c>
      <c r="P320" t="s">
        <v>20405</v>
      </c>
      <c r="Q320" t="s">
        <v>19426</v>
      </c>
      <c r="R320" t="s">
        <v>409</v>
      </c>
      <c r="S320">
        <v>1498</v>
      </c>
    </row>
    <row r="321" spans="1:19">
      <c r="A321" t="s">
        <v>19</v>
      </c>
      <c r="B321" t="s">
        <v>148</v>
      </c>
      <c r="C321" t="s">
        <v>151</v>
      </c>
      <c r="D321" t="s">
        <v>280</v>
      </c>
      <c r="E321" t="s">
        <v>409</v>
      </c>
      <c r="F321">
        <f>HYPERLINK("https://www.wikidata.org/wiki/Q33369535", "Q33369535")</f>
        <v>0</v>
      </c>
      <c r="G321" t="s">
        <v>813</v>
      </c>
      <c r="H321" t="s">
        <v>5570</v>
      </c>
      <c r="I321" t="s">
        <v>7642</v>
      </c>
      <c r="J321" t="s">
        <v>11560</v>
      </c>
      <c r="K321" t="s">
        <v>15964</v>
      </c>
      <c r="L321">
        <f>HYPERLINK("https://www2.assemblee-nationale.fr/sycomore/fiche/(num_dept)/6900", "6900")</f>
        <v>0</v>
      </c>
      <c r="N321">
        <f>HYPERLINK("https://www.wikidata.org/wiki/Q13085412", "Q13085412")</f>
        <v>0</v>
      </c>
      <c r="O321" t="s">
        <v>19969</v>
      </c>
      <c r="P321" t="s">
        <v>20403</v>
      </c>
      <c r="Q321" t="s">
        <v>19426</v>
      </c>
      <c r="R321" t="s">
        <v>409</v>
      </c>
      <c r="S321">
        <v>1498</v>
      </c>
    </row>
    <row r="322" spans="1:19">
      <c r="A322" t="s">
        <v>19</v>
      </c>
      <c r="B322" t="s">
        <v>148</v>
      </c>
      <c r="C322" t="s">
        <v>151</v>
      </c>
      <c r="D322" t="s">
        <v>280</v>
      </c>
      <c r="E322" t="s">
        <v>409</v>
      </c>
      <c r="F322">
        <f>HYPERLINK("https://www.wikidata.org/wiki/Q33369535", "Q33369535")</f>
        <v>0</v>
      </c>
      <c r="G322" t="s">
        <v>814</v>
      </c>
      <c r="H322" t="s">
        <v>5571</v>
      </c>
      <c r="I322" t="s">
        <v>9533</v>
      </c>
      <c r="J322" t="s">
        <v>11561</v>
      </c>
      <c r="K322" t="s">
        <v>15965</v>
      </c>
      <c r="L322">
        <f>HYPERLINK("https://www2.assemblee-nationale.fr/sycomore/fiche/(num_dept)/6904", "6904")</f>
        <v>0</v>
      </c>
      <c r="M322">
        <f>HYPERLINK("https://www.senat.fr/senateur-3eme-republique/steeg_theodore1554r3.html", "steeg_theodore1554r3")</f>
        <v>0</v>
      </c>
      <c r="N322">
        <f>HYPERLINK("https://www.wikidata.org/wiki/Q717905", "Q717905")</f>
        <v>0</v>
      </c>
      <c r="O322" t="s">
        <v>19969</v>
      </c>
      <c r="P322" t="s">
        <v>20405</v>
      </c>
      <c r="Q322" t="s">
        <v>19426</v>
      </c>
      <c r="R322" t="s">
        <v>21377</v>
      </c>
      <c r="S322">
        <v>1433</v>
      </c>
    </row>
    <row r="323" spans="1:19">
      <c r="A323" t="s">
        <v>19</v>
      </c>
      <c r="B323" t="s">
        <v>148</v>
      </c>
      <c r="C323" t="s">
        <v>151</v>
      </c>
      <c r="D323" t="s">
        <v>280</v>
      </c>
      <c r="E323" t="s">
        <v>409</v>
      </c>
      <c r="F323">
        <f>HYPERLINK("https://www.wikidata.org/wiki/Q33369535", "Q33369535")</f>
        <v>0</v>
      </c>
      <c r="G323" t="s">
        <v>815</v>
      </c>
      <c r="H323" t="s">
        <v>5572</v>
      </c>
      <c r="I323" t="s">
        <v>6759</v>
      </c>
      <c r="J323" t="s">
        <v>11562</v>
      </c>
      <c r="K323" t="s">
        <v>15966</v>
      </c>
      <c r="L323">
        <f>HYPERLINK("https://www2.assemblee-nationale.fr/sycomore/fiche/(num_dept)/6923", "6923")</f>
        <v>0</v>
      </c>
      <c r="N323">
        <f>HYPERLINK("https://www.wikidata.org/wiki/Q3435381", "Q3435381")</f>
        <v>0</v>
      </c>
      <c r="O323" t="s">
        <v>19998</v>
      </c>
      <c r="P323" t="s">
        <v>20405</v>
      </c>
      <c r="Q323" t="s">
        <v>19426</v>
      </c>
      <c r="R323" t="s">
        <v>409</v>
      </c>
      <c r="S323">
        <v>1498</v>
      </c>
    </row>
    <row r="324" spans="1:19">
      <c r="A324" t="s">
        <v>19</v>
      </c>
      <c r="B324" t="s">
        <v>148</v>
      </c>
      <c r="C324" t="s">
        <v>151</v>
      </c>
      <c r="D324" t="s">
        <v>280</v>
      </c>
      <c r="E324" t="s">
        <v>409</v>
      </c>
      <c r="F324">
        <f>HYPERLINK("https://www.wikidata.org/wiki/Q33369535", "Q33369535")</f>
        <v>0</v>
      </c>
      <c r="G324" t="s">
        <v>816</v>
      </c>
      <c r="H324" t="s">
        <v>5573</v>
      </c>
      <c r="I324" t="s">
        <v>9536</v>
      </c>
      <c r="J324" t="s">
        <v>11563</v>
      </c>
      <c r="K324" t="s">
        <v>15967</v>
      </c>
      <c r="L324">
        <f>HYPERLINK("https://www2.assemblee-nationale.fr/sycomore/fiche/(num_dept)/6957", "6957")</f>
        <v>0</v>
      </c>
      <c r="N324">
        <f>HYPERLINK("https://www.wikidata.org/wiki/Q16026535", "Q16026535")</f>
        <v>0</v>
      </c>
      <c r="O324" t="s">
        <v>19977</v>
      </c>
      <c r="P324" t="s">
        <v>20405</v>
      </c>
      <c r="Q324" t="s">
        <v>19426</v>
      </c>
      <c r="R324" t="s">
        <v>409</v>
      </c>
      <c r="S324">
        <v>1498</v>
      </c>
    </row>
    <row r="325" spans="1:19">
      <c r="A325" t="s">
        <v>19</v>
      </c>
      <c r="B325" t="s">
        <v>148</v>
      </c>
      <c r="C325" t="s">
        <v>151</v>
      </c>
      <c r="D325" t="s">
        <v>280</v>
      </c>
      <c r="E325" t="s">
        <v>409</v>
      </c>
      <c r="F325">
        <f>HYPERLINK("https://www.wikidata.org/wiki/Q33369535", "Q33369535")</f>
        <v>0</v>
      </c>
      <c r="G325" t="s">
        <v>817</v>
      </c>
      <c r="H325" t="s">
        <v>5574</v>
      </c>
      <c r="I325" t="s">
        <v>9407</v>
      </c>
      <c r="J325" t="s">
        <v>11564</v>
      </c>
      <c r="K325" t="s">
        <v>15968</v>
      </c>
      <c r="L325">
        <f>HYPERLINK("https://www2.assemblee-nationale.fr/sycomore/fiche/(num_dept)/7030", "7030")</f>
        <v>0</v>
      </c>
      <c r="N325">
        <f>HYPERLINK("https://www.wikidata.org/wiki/Q3185677", "Q3185677")</f>
        <v>0</v>
      </c>
      <c r="O325" t="s">
        <v>19990</v>
      </c>
      <c r="P325" t="s">
        <v>20403</v>
      </c>
      <c r="Q325" t="s">
        <v>19426</v>
      </c>
      <c r="R325" t="s">
        <v>409</v>
      </c>
      <c r="S325">
        <v>1498</v>
      </c>
    </row>
    <row r="326" spans="1:19">
      <c r="A326" t="s">
        <v>19</v>
      </c>
      <c r="B326" t="s">
        <v>148</v>
      </c>
      <c r="C326" t="s">
        <v>151</v>
      </c>
      <c r="D326" t="s">
        <v>280</v>
      </c>
      <c r="E326" t="s">
        <v>409</v>
      </c>
      <c r="F326">
        <f>HYPERLINK("https://www.wikidata.org/wiki/Q33369535", "Q33369535")</f>
        <v>0</v>
      </c>
      <c r="G326" t="s">
        <v>818</v>
      </c>
      <c r="H326" t="s">
        <v>5575</v>
      </c>
      <c r="I326" t="s">
        <v>9470</v>
      </c>
      <c r="J326" t="s">
        <v>11565</v>
      </c>
      <c r="K326" t="s">
        <v>15969</v>
      </c>
      <c r="L326">
        <f>HYPERLINK("https://www2.assemblee-nationale.fr/sycomore/fiche/(num_dept)/7055", "7055")</f>
        <v>0</v>
      </c>
      <c r="N326">
        <f>HYPERLINK("https://www.wikidata.org/wiki/Q2246519", "Q2246519")</f>
        <v>0</v>
      </c>
      <c r="O326" t="s">
        <v>20000</v>
      </c>
      <c r="P326" t="s">
        <v>20402</v>
      </c>
      <c r="Q326" t="s">
        <v>19426</v>
      </c>
      <c r="R326" t="s">
        <v>409</v>
      </c>
      <c r="S326">
        <v>1498</v>
      </c>
    </row>
    <row r="327" spans="1:19">
      <c r="A327" t="s">
        <v>19</v>
      </c>
      <c r="B327" t="s">
        <v>148</v>
      </c>
      <c r="C327" t="s">
        <v>151</v>
      </c>
      <c r="D327" t="s">
        <v>280</v>
      </c>
      <c r="E327" t="s">
        <v>409</v>
      </c>
      <c r="F327">
        <f>HYPERLINK("https://www.wikidata.org/wiki/Q33369535", "Q33369535")</f>
        <v>0</v>
      </c>
      <c r="G327" t="s">
        <v>819</v>
      </c>
      <c r="H327" t="s">
        <v>5576</v>
      </c>
      <c r="I327" t="s">
        <v>9537</v>
      </c>
      <c r="J327" t="s">
        <v>11566</v>
      </c>
      <c r="K327" t="s">
        <v>15970</v>
      </c>
      <c r="L327">
        <f>HYPERLINK("https://www2.assemblee-nationale.fr/sycomore/fiche/(num_dept)/7135", "7135")</f>
        <v>0</v>
      </c>
      <c r="N327">
        <f>HYPERLINK("https://www.wikidata.org/wiki/Q3060196", "Q3060196")</f>
        <v>0</v>
      </c>
      <c r="O327" t="s">
        <v>20039</v>
      </c>
      <c r="P327" t="s">
        <v>20405</v>
      </c>
      <c r="Q327" t="s">
        <v>19426</v>
      </c>
      <c r="R327" t="s">
        <v>409</v>
      </c>
      <c r="S327">
        <v>1498</v>
      </c>
    </row>
    <row r="328" spans="1:19">
      <c r="A328" t="s">
        <v>19</v>
      </c>
      <c r="B328" t="s">
        <v>148</v>
      </c>
      <c r="C328" t="s">
        <v>151</v>
      </c>
      <c r="D328" t="s">
        <v>280</v>
      </c>
      <c r="E328" t="s">
        <v>409</v>
      </c>
      <c r="F328">
        <f>HYPERLINK("https://www.wikidata.org/wiki/Q33369535", "Q33369535")</f>
        <v>0</v>
      </c>
      <c r="G328" t="s">
        <v>820</v>
      </c>
      <c r="H328" t="s">
        <v>5577</v>
      </c>
      <c r="I328" t="s">
        <v>9538</v>
      </c>
      <c r="J328" t="s">
        <v>11567</v>
      </c>
      <c r="K328" t="s">
        <v>15880</v>
      </c>
      <c r="L328">
        <f>HYPERLINK("https://www2.assemblee-nationale.fr/sycomore/fiche/(num_dept)/7164", "7164")</f>
        <v>0</v>
      </c>
      <c r="N328">
        <f>HYPERLINK("https://www.wikidata.org/wiki/Q15235896", "Q15235896")</f>
        <v>0</v>
      </c>
      <c r="O328" t="s">
        <v>20000</v>
      </c>
      <c r="P328" t="s">
        <v>20405</v>
      </c>
      <c r="Q328" t="s">
        <v>19426</v>
      </c>
      <c r="R328" t="s">
        <v>409</v>
      </c>
      <c r="S328">
        <v>1498</v>
      </c>
    </row>
    <row r="329" spans="1:19">
      <c r="A329" t="s">
        <v>19</v>
      </c>
      <c r="B329" t="s">
        <v>148</v>
      </c>
      <c r="C329" t="s">
        <v>151</v>
      </c>
      <c r="D329" t="s">
        <v>280</v>
      </c>
      <c r="E329" t="s">
        <v>409</v>
      </c>
      <c r="F329">
        <f>HYPERLINK("https://www.wikidata.org/wiki/Q33369535", "Q33369535")</f>
        <v>0</v>
      </c>
      <c r="G329" t="s">
        <v>821</v>
      </c>
      <c r="H329" t="s">
        <v>5578</v>
      </c>
      <c r="I329" t="s">
        <v>9539</v>
      </c>
      <c r="J329" t="s">
        <v>11568</v>
      </c>
      <c r="K329" t="s">
        <v>15971</v>
      </c>
      <c r="L329">
        <f>HYPERLINK("https://www2.assemblee-nationale.fr/sycomore/fiche/(num_dept)/7165", "7165")</f>
        <v>0</v>
      </c>
      <c r="M329">
        <f>HYPERLINK("https://www.senat.fr/senateur-3eme-republique/trouve_rene1792r3.html", "trouve_rene1792r3")</f>
        <v>0</v>
      </c>
      <c r="N329">
        <f>HYPERLINK("https://www.wikidata.org/wiki/Q3426717", "Q3426717")</f>
        <v>0</v>
      </c>
      <c r="O329" t="s">
        <v>19977</v>
      </c>
      <c r="P329" t="s">
        <v>20401</v>
      </c>
      <c r="Q329" t="s">
        <v>19426</v>
      </c>
      <c r="R329" t="s">
        <v>409</v>
      </c>
      <c r="S329">
        <v>1498</v>
      </c>
    </row>
    <row r="330" spans="1:19">
      <c r="A330" t="s">
        <v>19</v>
      </c>
      <c r="B330" t="s">
        <v>148</v>
      </c>
      <c r="C330" t="s">
        <v>151</v>
      </c>
      <c r="D330" t="s">
        <v>280</v>
      </c>
      <c r="E330" t="s">
        <v>409</v>
      </c>
      <c r="F330">
        <f>HYPERLINK("https://www.wikidata.org/wiki/Q33369535", "Q33369535")</f>
        <v>0</v>
      </c>
      <c r="G330" t="s">
        <v>822</v>
      </c>
      <c r="H330" t="s">
        <v>5579</v>
      </c>
      <c r="I330" t="s">
        <v>9540</v>
      </c>
      <c r="J330" t="s">
        <v>11569</v>
      </c>
      <c r="K330" t="s">
        <v>15972</v>
      </c>
      <c r="L330">
        <f>HYPERLINK("https://www2.assemblee-nationale.fr/sycomore/fiche/(num_dept)/7177", "7177")</f>
        <v>0</v>
      </c>
      <c r="N330">
        <f>HYPERLINK("https://www.wikidata.org/wiki/Q3263224", "Q3263224")</f>
        <v>0</v>
      </c>
      <c r="O330" t="s">
        <v>19964</v>
      </c>
      <c r="P330" t="s">
        <v>20405</v>
      </c>
      <c r="Q330" t="s">
        <v>19426</v>
      </c>
      <c r="R330" t="s">
        <v>409</v>
      </c>
      <c r="S330">
        <v>1498</v>
      </c>
    </row>
    <row r="331" spans="1:19">
      <c r="A331" t="s">
        <v>19</v>
      </c>
      <c r="B331" t="s">
        <v>148</v>
      </c>
      <c r="C331" t="s">
        <v>151</v>
      </c>
      <c r="D331" t="s">
        <v>280</v>
      </c>
      <c r="E331" t="s">
        <v>409</v>
      </c>
      <c r="F331">
        <f>HYPERLINK("https://www.wikidata.org/wiki/Q33369535", "Q33369535")</f>
        <v>0</v>
      </c>
      <c r="G331" t="s">
        <v>823</v>
      </c>
      <c r="H331" t="s">
        <v>5580</v>
      </c>
      <c r="I331" t="s">
        <v>7642</v>
      </c>
      <c r="J331" t="s">
        <v>11570</v>
      </c>
      <c r="K331" t="s">
        <v>15973</v>
      </c>
      <c r="L331">
        <f>HYPERLINK("https://www2.assemblee-nationale.fr/sycomore/fiche/(num_dept)/7238", "7238")</f>
        <v>0</v>
      </c>
      <c r="M331">
        <f>HYPERLINK("https://www.senat.fr/senateur-3eme-republique/viollette_maurice0773r3.html", "viollette_maurice0773r3")</f>
        <v>0</v>
      </c>
      <c r="N331">
        <f>HYPERLINK("https://www.wikidata.org/wiki/Q3301513", "Q3301513")</f>
        <v>0</v>
      </c>
      <c r="O331" t="s">
        <v>19971</v>
      </c>
      <c r="P331" t="s">
        <v>20406</v>
      </c>
      <c r="Q331" t="s">
        <v>19426</v>
      </c>
      <c r="R331" t="s">
        <v>409</v>
      </c>
      <c r="S331">
        <v>1498</v>
      </c>
    </row>
    <row r="332" spans="1:19">
      <c r="A332" t="s">
        <v>19</v>
      </c>
      <c r="B332" t="s">
        <v>148</v>
      </c>
      <c r="C332" t="s">
        <v>151</v>
      </c>
      <c r="D332" t="s">
        <v>280</v>
      </c>
      <c r="E332" t="s">
        <v>409</v>
      </c>
      <c r="F332">
        <f>HYPERLINK("https://www.wikidata.org/wiki/Q33369535", "Q33369535")</f>
        <v>0</v>
      </c>
      <c r="G332" t="s">
        <v>824</v>
      </c>
      <c r="H332" t="s">
        <v>5581</v>
      </c>
      <c r="I332" t="s">
        <v>5349</v>
      </c>
      <c r="J332" t="s">
        <v>11571</v>
      </c>
      <c r="K332" t="s">
        <v>15947</v>
      </c>
      <c r="L332">
        <f>HYPERLINK("https://www2.assemblee-nationale.fr/sycomore/fiche/(num_dept)/7341", "7341")</f>
        <v>0</v>
      </c>
      <c r="N332">
        <f>HYPERLINK("https://www.wikidata.org/wiki/Q2994900", "Q2994900")</f>
        <v>0</v>
      </c>
      <c r="O332" t="s">
        <v>20017</v>
      </c>
      <c r="P332" t="s">
        <v>20401</v>
      </c>
      <c r="Q332" t="s">
        <v>19426</v>
      </c>
      <c r="R332" t="s">
        <v>409</v>
      </c>
      <c r="S332">
        <v>1498</v>
      </c>
    </row>
    <row r="333" spans="1:19">
      <c r="A333" t="s">
        <v>19</v>
      </c>
      <c r="B333" t="s">
        <v>148</v>
      </c>
      <c r="C333" t="s">
        <v>151</v>
      </c>
      <c r="D333" t="s">
        <v>280</v>
      </c>
      <c r="E333" t="s">
        <v>409</v>
      </c>
      <c r="F333">
        <f>HYPERLINK("https://www.wikidata.org/wiki/Q33369535", "Q33369535")</f>
        <v>0</v>
      </c>
      <c r="G333" t="s">
        <v>825</v>
      </c>
      <c r="H333" t="s">
        <v>5582</v>
      </c>
      <c r="I333" t="s">
        <v>6200</v>
      </c>
      <c r="J333" t="s">
        <v>11572</v>
      </c>
      <c r="K333" t="s">
        <v>15974</v>
      </c>
      <c r="L333">
        <f>HYPERLINK("https://www2.assemblee-nationale.fr/sycomore/fiche/(num_dept)/7358", "7358")</f>
        <v>0</v>
      </c>
      <c r="M333">
        <f>HYPERLINK("https://www.senat.fr/senateur-3eme-republique/villault_duchesnois_jean1032r3.html", "villault_duchesnois_jean1032r3")</f>
        <v>0</v>
      </c>
      <c r="N333">
        <f>HYPERLINK("https://www.wikidata.org/wiki/Q3175043", "Q3175043")</f>
        <v>0</v>
      </c>
      <c r="O333" t="s">
        <v>19985</v>
      </c>
      <c r="P333" t="s">
        <v>20402</v>
      </c>
      <c r="Q333" t="s">
        <v>19426</v>
      </c>
      <c r="R333" t="s">
        <v>409</v>
      </c>
      <c r="S333">
        <v>1498</v>
      </c>
    </row>
    <row r="334" spans="1:19">
      <c r="A334" t="s">
        <v>19</v>
      </c>
      <c r="B334" t="s">
        <v>148</v>
      </c>
      <c r="C334" t="s">
        <v>151</v>
      </c>
      <c r="D334" t="s">
        <v>280</v>
      </c>
      <c r="E334" t="s">
        <v>409</v>
      </c>
      <c r="F334">
        <f>HYPERLINK("https://www.wikidata.org/wiki/Q33369535", "Q33369535")</f>
        <v>0</v>
      </c>
      <c r="G334" t="s">
        <v>826</v>
      </c>
      <c r="H334" t="s">
        <v>5583</v>
      </c>
      <c r="I334" t="s">
        <v>9455</v>
      </c>
      <c r="J334" t="s">
        <v>11573</v>
      </c>
      <c r="K334" t="s">
        <v>15975</v>
      </c>
      <c r="L334">
        <f>HYPERLINK("https://www2.assemblee-nationale.fr/sycomore/fiche/(num_dept)/7364", "7364")</f>
        <v>0</v>
      </c>
      <c r="M334">
        <f>HYPERLINK("https://www.senat.fr/senateur-3eme-republique/voilin_lucien1366r3.html", "voilin_lucien1366r3")</f>
        <v>0</v>
      </c>
      <c r="N334">
        <f>HYPERLINK("https://www.wikidata.org/wiki/Q3265740", "Q3265740")</f>
        <v>0</v>
      </c>
      <c r="O334" t="s">
        <v>19969</v>
      </c>
      <c r="P334" t="s">
        <v>20404</v>
      </c>
      <c r="Q334" t="s">
        <v>19426</v>
      </c>
      <c r="R334" t="s">
        <v>409</v>
      </c>
      <c r="S334">
        <v>1498</v>
      </c>
    </row>
    <row r="335" spans="1:19">
      <c r="A335" t="s">
        <v>19</v>
      </c>
      <c r="B335" t="s">
        <v>148</v>
      </c>
      <c r="C335" t="s">
        <v>151</v>
      </c>
      <c r="D335" t="s">
        <v>280</v>
      </c>
      <c r="E335" t="s">
        <v>409</v>
      </c>
      <c r="F335">
        <f>HYPERLINK("https://www.wikidata.org/wiki/Q33369535", "Q33369535")</f>
        <v>0</v>
      </c>
      <c r="G335" t="s">
        <v>827</v>
      </c>
      <c r="H335" t="s">
        <v>5584</v>
      </c>
      <c r="I335" t="s">
        <v>9476</v>
      </c>
      <c r="J335" t="s">
        <v>11574</v>
      </c>
      <c r="K335" t="s">
        <v>15976</v>
      </c>
      <c r="L335">
        <f>HYPERLINK("https://www2.assemblee-nationale.fr/sycomore/fiche/(num_dept)/7368", "7368")</f>
        <v>0</v>
      </c>
      <c r="M335">
        <f>HYPERLINK("https://www.senat.fr/senateur-3eme-republique/viviani_rene0627r3.html", "viviani_rene0627r3")</f>
        <v>0</v>
      </c>
      <c r="N335">
        <f>HYPERLINK("https://www.wikidata.org/wiki/Q431074", "Q431074")</f>
        <v>0</v>
      </c>
      <c r="O335" t="s">
        <v>19979</v>
      </c>
      <c r="P335" t="s">
        <v>20406</v>
      </c>
      <c r="Q335" t="s">
        <v>19426</v>
      </c>
      <c r="R335" t="s">
        <v>409</v>
      </c>
      <c r="S335">
        <v>1498</v>
      </c>
    </row>
    <row r="336" spans="1:19">
      <c r="A336" t="s">
        <v>19</v>
      </c>
      <c r="B336" t="s">
        <v>148</v>
      </c>
      <c r="C336" t="s">
        <v>151</v>
      </c>
      <c r="D336" t="s">
        <v>280</v>
      </c>
      <c r="E336" t="s">
        <v>409</v>
      </c>
      <c r="F336">
        <f>HYPERLINK("https://www.wikidata.org/wiki/Q33369535", "Q33369535")</f>
        <v>0</v>
      </c>
      <c r="G336" t="s">
        <v>828</v>
      </c>
      <c r="H336" t="s">
        <v>5585</v>
      </c>
      <c r="I336" t="s">
        <v>9375</v>
      </c>
      <c r="J336" t="s">
        <v>11575</v>
      </c>
      <c r="K336" t="s">
        <v>15977</v>
      </c>
      <c r="L336">
        <f>HYPERLINK("https://www2.assemblee-nationale.fr/sycomore/fiche/(num_dept)/7392", "7392")</f>
        <v>0</v>
      </c>
      <c r="N336">
        <f>HYPERLINK("https://www.wikidata.org/wiki/Q274464", "Q274464")</f>
        <v>0</v>
      </c>
      <c r="O336" t="s">
        <v>19969</v>
      </c>
      <c r="P336" t="s">
        <v>20404</v>
      </c>
      <c r="Q336" t="s">
        <v>19426</v>
      </c>
      <c r="R336" t="s">
        <v>409</v>
      </c>
      <c r="S336">
        <v>1498</v>
      </c>
    </row>
    <row r="337" spans="1:19">
      <c r="A337" t="s">
        <v>19</v>
      </c>
      <c r="B337" t="s">
        <v>148</v>
      </c>
      <c r="C337" t="s">
        <v>151</v>
      </c>
      <c r="D337" t="s">
        <v>280</v>
      </c>
      <c r="E337" t="s">
        <v>409</v>
      </c>
      <c r="F337">
        <f>HYPERLINK("https://www.wikidata.org/wiki/Q33369535", "Q33369535")</f>
        <v>0</v>
      </c>
      <c r="G337" t="s">
        <v>829</v>
      </c>
      <c r="H337" t="s">
        <v>5586</v>
      </c>
      <c r="I337" t="s">
        <v>9468</v>
      </c>
      <c r="J337" t="s">
        <v>11576</v>
      </c>
      <c r="K337" t="s">
        <v>15978</v>
      </c>
      <c r="L337">
        <f>HYPERLINK("https://www2.assemblee-nationale.fr/sycomore/fiche/(num_dept)/7393", "7393")</f>
        <v>0</v>
      </c>
      <c r="N337">
        <f>HYPERLINK("https://www.wikidata.org/wiki/Q16026605", "Q16026605")</f>
        <v>0</v>
      </c>
      <c r="O337" t="s">
        <v>20042</v>
      </c>
      <c r="P337" t="s">
        <v>20404</v>
      </c>
      <c r="Q337" t="s">
        <v>19426</v>
      </c>
      <c r="R337" t="s">
        <v>409</v>
      </c>
      <c r="S337">
        <v>1498</v>
      </c>
    </row>
    <row r="338" spans="1:19">
      <c r="A338" t="s">
        <v>19</v>
      </c>
      <c r="B338" t="s">
        <v>148</v>
      </c>
      <c r="C338" t="s">
        <v>151</v>
      </c>
      <c r="D338" t="s">
        <v>280</v>
      </c>
      <c r="E338" t="s">
        <v>409</v>
      </c>
      <c r="F338">
        <f>HYPERLINK("https://www.wikidata.org/wiki/Q33369535", "Q33369535")</f>
        <v>0</v>
      </c>
      <c r="G338" t="s">
        <v>830</v>
      </c>
      <c r="H338" t="s">
        <v>5587</v>
      </c>
      <c r="I338" t="s">
        <v>9541</v>
      </c>
      <c r="J338" t="s">
        <v>11577</v>
      </c>
      <c r="K338" t="s">
        <v>15979</v>
      </c>
      <c r="L338">
        <f>HYPERLINK("https://www2.assemblee-nationale.fr/sycomore/fiche/(num_dept)/7418", "7418")</f>
        <v>0</v>
      </c>
      <c r="M338">
        <f>HYPERLINK("https://www.senat.fr/senateur-3eme-republique/villiers_emile0785r3.html", "villiers_emile0785r3")</f>
        <v>0</v>
      </c>
      <c r="N338">
        <f>HYPERLINK("https://www.wikidata.org/wiki/Q3083748", "Q3083748")</f>
        <v>0</v>
      </c>
      <c r="O338" t="s">
        <v>20011</v>
      </c>
      <c r="P338" t="s">
        <v>20410</v>
      </c>
      <c r="Q338" t="s">
        <v>19426</v>
      </c>
      <c r="R338" t="s">
        <v>18628</v>
      </c>
      <c r="S338">
        <v>1002</v>
      </c>
    </row>
    <row r="339" spans="1:19">
      <c r="A339" t="s">
        <v>19</v>
      </c>
      <c r="B339" t="s">
        <v>148</v>
      </c>
      <c r="C339" t="s">
        <v>151</v>
      </c>
      <c r="D339" t="s">
        <v>280</v>
      </c>
      <c r="E339" t="s">
        <v>409</v>
      </c>
      <c r="F339">
        <f>HYPERLINK("https://www.wikidata.org/wiki/Q33369535", "Q33369535")</f>
        <v>0</v>
      </c>
      <c r="G339" t="s">
        <v>831</v>
      </c>
      <c r="H339" t="s">
        <v>5588</v>
      </c>
      <c r="I339" t="s">
        <v>9542</v>
      </c>
      <c r="J339" t="s">
        <v>11578</v>
      </c>
      <c r="K339" t="s">
        <v>15980</v>
      </c>
      <c r="L339">
        <f>HYPERLINK("https://www2.assemblee-nationale.fr/sycomore/fiche/(num_dept)/7421", "7421")</f>
        <v>0</v>
      </c>
      <c r="N339">
        <f>HYPERLINK("https://www.wikidata.org/wiki/Q2965729", "Q2965729")</f>
        <v>0</v>
      </c>
      <c r="O339" t="s">
        <v>19984</v>
      </c>
      <c r="P339" t="s">
        <v>20408</v>
      </c>
      <c r="Q339" t="s">
        <v>19426</v>
      </c>
      <c r="R339" t="s">
        <v>409</v>
      </c>
      <c r="S339">
        <v>1498</v>
      </c>
    </row>
    <row r="340" spans="1:19">
      <c r="A340" t="s">
        <v>19</v>
      </c>
      <c r="B340" t="s">
        <v>148</v>
      </c>
      <c r="C340" t="s">
        <v>151</v>
      </c>
      <c r="D340" t="s">
        <v>280</v>
      </c>
      <c r="E340" t="s">
        <v>409</v>
      </c>
      <c r="F340">
        <f>HYPERLINK("https://www.wikidata.org/wiki/Q33369535", "Q33369535")</f>
        <v>0</v>
      </c>
      <c r="G340" t="s">
        <v>832</v>
      </c>
      <c r="H340" t="s">
        <v>5589</v>
      </c>
      <c r="I340" t="s">
        <v>6584</v>
      </c>
      <c r="J340" t="s">
        <v>11579</v>
      </c>
      <c r="K340" t="s">
        <v>15981</v>
      </c>
      <c r="L340">
        <f>HYPERLINK("https://www2.assemblee-nationale.fr/sycomore/fiche/(num_dept)/7423", "7423")</f>
        <v>0</v>
      </c>
      <c r="N340">
        <f>HYPERLINK("https://www.wikidata.org/wiki/Q2831639", "Q2831639")</f>
        <v>0</v>
      </c>
      <c r="O340" t="s">
        <v>19969</v>
      </c>
      <c r="P340" t="s">
        <v>20404</v>
      </c>
      <c r="Q340" t="s">
        <v>19426</v>
      </c>
      <c r="R340" t="s">
        <v>409</v>
      </c>
      <c r="S340">
        <v>1498</v>
      </c>
    </row>
    <row r="341" spans="1:19">
      <c r="A341" t="s">
        <v>19</v>
      </c>
      <c r="B341" t="s">
        <v>148</v>
      </c>
      <c r="C341" t="s">
        <v>151</v>
      </c>
      <c r="D341" t="s">
        <v>280</v>
      </c>
      <c r="E341" t="s">
        <v>409</v>
      </c>
      <c r="F341">
        <f>HYPERLINK("https://www.wikidata.org/wiki/Q33369535", "Q33369535")</f>
        <v>0</v>
      </c>
      <c r="G341" t="s">
        <v>833</v>
      </c>
      <c r="H341" t="s">
        <v>5590</v>
      </c>
      <c r="I341" t="s">
        <v>9543</v>
      </c>
      <c r="J341" t="s">
        <v>11580</v>
      </c>
      <c r="K341" t="s">
        <v>15982</v>
      </c>
      <c r="L341">
        <f>HYPERLINK("https://www2.assemblee-nationale.fr/sycomore/fiche/(num_dept)/7425", "7425")</f>
        <v>0</v>
      </c>
      <c r="N341">
        <f>HYPERLINK("https://www.wikidata.org/wiki/Q3103599", "Q3103599")</f>
        <v>0</v>
      </c>
      <c r="O341" t="s">
        <v>19972</v>
      </c>
      <c r="P341" t="s">
        <v>20402</v>
      </c>
      <c r="Q341" t="s">
        <v>19426</v>
      </c>
      <c r="R341" t="s">
        <v>409</v>
      </c>
      <c r="S341">
        <v>1498</v>
      </c>
    </row>
    <row r="342" spans="1:19">
      <c r="A342" t="s">
        <v>19</v>
      </c>
      <c r="B342" t="s">
        <v>148</v>
      </c>
      <c r="C342" t="s">
        <v>151</v>
      </c>
      <c r="D342" t="s">
        <v>280</v>
      </c>
      <c r="E342" t="s">
        <v>409</v>
      </c>
      <c r="F342">
        <f>HYPERLINK("https://www.wikidata.org/wiki/Q33369535", "Q33369535")</f>
        <v>0</v>
      </c>
      <c r="G342" t="s">
        <v>834</v>
      </c>
      <c r="H342" t="s">
        <v>5591</v>
      </c>
      <c r="I342" t="s">
        <v>9544</v>
      </c>
      <c r="J342" t="s">
        <v>11581</v>
      </c>
      <c r="K342" t="s">
        <v>15983</v>
      </c>
      <c r="L342">
        <f>HYPERLINK("https://www2.assemblee-nationale.fr/sycomore/fiche/(num_dept)/7493", "7493")</f>
        <v>0</v>
      </c>
      <c r="M342">
        <f>HYPERLINK("https://www.senat.fr/senateur-3eme-republique/lauraine_jean_octave0422r3.html", "lauraine_jean_octave0422r3")</f>
        <v>0</v>
      </c>
      <c r="N342">
        <f>HYPERLINK("https://www.wikidata.org/wiki/Q3168275", "Q3168275")</f>
        <v>0</v>
      </c>
      <c r="O342" t="s">
        <v>20037</v>
      </c>
      <c r="P342" t="s">
        <v>20401</v>
      </c>
      <c r="Q342" t="s">
        <v>19426</v>
      </c>
      <c r="R342" t="s">
        <v>409</v>
      </c>
      <c r="S342">
        <v>1498</v>
      </c>
    </row>
    <row r="343" spans="1:19">
      <c r="A343" t="s">
        <v>19</v>
      </c>
      <c r="B343" t="s">
        <v>148</v>
      </c>
      <c r="C343" t="s">
        <v>151</v>
      </c>
      <c r="D343" t="s">
        <v>280</v>
      </c>
      <c r="E343" t="s">
        <v>409</v>
      </c>
      <c r="F343">
        <f>HYPERLINK("https://www.wikidata.org/wiki/Q33369535", "Q33369535")</f>
        <v>0</v>
      </c>
      <c r="G343" t="s">
        <v>835</v>
      </c>
      <c r="H343" t="s">
        <v>5592</v>
      </c>
      <c r="I343" t="s">
        <v>7671</v>
      </c>
      <c r="J343" t="s">
        <v>11582</v>
      </c>
      <c r="K343" t="s">
        <v>15984</v>
      </c>
      <c r="L343">
        <f>HYPERLINK("https://www2.assemblee-nationale.fr/sycomore/fiche/(num_dept)/7506", "7506")</f>
        <v>0</v>
      </c>
      <c r="N343">
        <f>HYPERLINK("https://www.wikidata.org/wiki/Q16025953", "Q16025953")</f>
        <v>0</v>
      </c>
      <c r="O343" t="s">
        <v>19997</v>
      </c>
      <c r="P343" t="s">
        <v>20402</v>
      </c>
      <c r="Q343" t="s">
        <v>19426</v>
      </c>
      <c r="R343" t="s">
        <v>409</v>
      </c>
      <c r="S343">
        <v>1498</v>
      </c>
    </row>
    <row r="344" spans="1:19">
      <c r="A344" t="s">
        <v>19</v>
      </c>
      <c r="B344" t="s">
        <v>148</v>
      </c>
      <c r="C344" t="s">
        <v>151</v>
      </c>
      <c r="D344" t="s">
        <v>280</v>
      </c>
      <c r="E344" t="s">
        <v>409</v>
      </c>
      <c r="F344">
        <f>HYPERLINK("https://www.wikidata.org/wiki/Q33369535", "Q33369535")</f>
        <v>0</v>
      </c>
      <c r="G344" t="s">
        <v>836</v>
      </c>
      <c r="H344" t="s">
        <v>5593</v>
      </c>
      <c r="I344" t="s">
        <v>9457</v>
      </c>
      <c r="J344" t="s">
        <v>11583</v>
      </c>
      <c r="K344" t="s">
        <v>15985</v>
      </c>
      <c r="L344">
        <f>HYPERLINK("https://www2.assemblee-nationale.fr/sycomore/fiche/(num_dept)/7531", "7531")</f>
        <v>0</v>
      </c>
      <c r="M344">
        <f>HYPERLINK("https://www.senat.fr/senateur-3eme-republique/de_lavrignais_henri1754r3.html", "de_lavrignais_henri1754r3")</f>
        <v>0</v>
      </c>
      <c r="N344">
        <f>HYPERLINK("https://www.wikidata.org/wiki/Q3132304", "Q3132304")</f>
        <v>0</v>
      </c>
      <c r="O344" t="s">
        <v>19972</v>
      </c>
      <c r="P344" t="s">
        <v>20408</v>
      </c>
      <c r="Q344" t="s">
        <v>19426</v>
      </c>
      <c r="R344" t="s">
        <v>409</v>
      </c>
      <c r="S344">
        <v>1498</v>
      </c>
    </row>
    <row r="345" spans="1:19">
      <c r="A345" t="s">
        <v>19</v>
      </c>
      <c r="B345" t="s">
        <v>148</v>
      </c>
      <c r="C345" t="s">
        <v>151</v>
      </c>
      <c r="D345" t="s">
        <v>280</v>
      </c>
      <c r="E345" t="s">
        <v>409</v>
      </c>
      <c r="F345">
        <f>HYPERLINK("https://www.wikidata.org/wiki/Q33369535", "Q33369535")</f>
        <v>0</v>
      </c>
      <c r="G345" t="s">
        <v>837</v>
      </c>
      <c r="H345" t="s">
        <v>5594</v>
      </c>
      <c r="I345" t="s">
        <v>9545</v>
      </c>
      <c r="J345" t="s">
        <v>11584</v>
      </c>
      <c r="K345" t="s">
        <v>15986</v>
      </c>
      <c r="L345">
        <f>HYPERLINK("https://www2.assemblee-nationale.fr/sycomore/fiche/(num_dept)/7540", "7540")</f>
        <v>0</v>
      </c>
      <c r="M345">
        <f>HYPERLINK("https://www.senat.fr/senateur-3eme-republique/le_bail_georges0793r3.html", "le_bail_georges0793r3")</f>
        <v>0</v>
      </c>
      <c r="N345">
        <f>HYPERLINK("https://www.wikidata.org/wiki/Q2381659", "Q2381659")</f>
        <v>0</v>
      </c>
      <c r="O345" t="s">
        <v>20011</v>
      </c>
      <c r="P345" t="s">
        <v>20401</v>
      </c>
      <c r="Q345" t="s">
        <v>19426</v>
      </c>
      <c r="R345" t="s">
        <v>409</v>
      </c>
      <c r="S345">
        <v>1498</v>
      </c>
    </row>
    <row r="346" spans="1:19">
      <c r="A346" t="s">
        <v>19</v>
      </c>
      <c r="B346" t="s">
        <v>148</v>
      </c>
      <c r="C346" t="s">
        <v>151</v>
      </c>
      <c r="D346" t="s">
        <v>280</v>
      </c>
      <c r="E346" t="s">
        <v>409</v>
      </c>
      <c r="F346">
        <f>HYPERLINK("https://www.wikidata.org/wiki/Q33369535", "Q33369535")</f>
        <v>0</v>
      </c>
      <c r="G346" t="s">
        <v>838</v>
      </c>
      <c r="H346" t="s">
        <v>5595</v>
      </c>
      <c r="I346" t="s">
        <v>9546</v>
      </c>
      <c r="J346" t="s">
        <v>11585</v>
      </c>
      <c r="K346" t="s">
        <v>15987</v>
      </c>
      <c r="L346">
        <f>HYPERLINK("https://www2.assemblee-nationale.fr/sycomore/fiche/(num_dept)/7547", "7547")</f>
        <v>0</v>
      </c>
      <c r="N346">
        <f>HYPERLINK("https://www.wikidata.org/wiki/Q2959588", "Q2959588")</f>
        <v>0</v>
      </c>
      <c r="O346" t="s">
        <v>19969</v>
      </c>
      <c r="P346" t="s">
        <v>20405</v>
      </c>
      <c r="Q346" t="s">
        <v>19426</v>
      </c>
      <c r="R346" t="s">
        <v>409</v>
      </c>
      <c r="S346">
        <v>1498</v>
      </c>
    </row>
    <row r="347" spans="1:19">
      <c r="A347" t="s">
        <v>19</v>
      </c>
      <c r="B347" t="s">
        <v>148</v>
      </c>
      <c r="C347" t="s">
        <v>151</v>
      </c>
      <c r="D347" t="s">
        <v>280</v>
      </c>
      <c r="E347" t="s">
        <v>409</v>
      </c>
      <c r="F347">
        <f>HYPERLINK("https://www.wikidata.org/wiki/Q33369535", "Q33369535")</f>
        <v>0</v>
      </c>
      <c r="G347" t="s">
        <v>839</v>
      </c>
      <c r="H347" t="s">
        <v>5596</v>
      </c>
      <c r="I347" t="s">
        <v>9407</v>
      </c>
      <c r="J347" t="s">
        <v>11586</v>
      </c>
      <c r="K347" t="s">
        <v>15988</v>
      </c>
      <c r="L347">
        <f>HYPERLINK("https://www2.assemblee-nationale.fr/sycomore/fiche/(num_dept)/7553", "7553")</f>
        <v>0</v>
      </c>
      <c r="N347">
        <f>HYPERLINK("https://www.wikidata.org/wiki/Q3185225", "Q3185225")</f>
        <v>0</v>
      </c>
      <c r="O347" t="s">
        <v>20009</v>
      </c>
      <c r="P347" t="s">
        <v>20402</v>
      </c>
      <c r="Q347" t="s">
        <v>19426</v>
      </c>
      <c r="R347" t="s">
        <v>409</v>
      </c>
      <c r="S347">
        <v>1498</v>
      </c>
    </row>
    <row r="348" spans="1:19">
      <c r="A348" t="s">
        <v>19</v>
      </c>
      <c r="B348" t="s">
        <v>148</v>
      </c>
      <c r="C348" t="s">
        <v>151</v>
      </c>
      <c r="D348" t="s">
        <v>280</v>
      </c>
      <c r="E348" t="s">
        <v>409</v>
      </c>
      <c r="F348">
        <f>HYPERLINK("https://www.wikidata.org/wiki/Q33369535", "Q33369535")</f>
        <v>0</v>
      </c>
      <c r="G348" t="s">
        <v>840</v>
      </c>
      <c r="H348" t="s">
        <v>5597</v>
      </c>
      <c r="I348" t="s">
        <v>9547</v>
      </c>
      <c r="J348" t="s">
        <v>11587</v>
      </c>
      <c r="K348" t="s">
        <v>15989</v>
      </c>
      <c r="L348">
        <f>HYPERLINK("https://www2.assemblee-nationale.fr/sycomore/fiche/(num_dept)/7587", "7587")</f>
        <v>0</v>
      </c>
      <c r="N348">
        <f>HYPERLINK("https://www.wikidata.org/wiki/Q3351149", "Q3351149")</f>
        <v>0</v>
      </c>
      <c r="O348" t="s">
        <v>19998</v>
      </c>
      <c r="P348" t="s">
        <v>20408</v>
      </c>
      <c r="Q348" t="s">
        <v>19426</v>
      </c>
      <c r="R348" t="s">
        <v>15989</v>
      </c>
      <c r="S348">
        <v>634</v>
      </c>
    </row>
    <row r="349" spans="1:19">
      <c r="A349" t="s">
        <v>19</v>
      </c>
      <c r="B349" t="s">
        <v>148</v>
      </c>
      <c r="C349" t="s">
        <v>151</v>
      </c>
      <c r="D349" t="s">
        <v>280</v>
      </c>
      <c r="E349" t="s">
        <v>409</v>
      </c>
      <c r="F349">
        <f>HYPERLINK("https://www.wikidata.org/wiki/Q33369535", "Q33369535")</f>
        <v>0</v>
      </c>
      <c r="G349" t="s">
        <v>841</v>
      </c>
      <c r="H349" t="s">
        <v>5598</v>
      </c>
      <c r="I349" t="s">
        <v>9548</v>
      </c>
      <c r="J349" t="s">
        <v>11588</v>
      </c>
      <c r="K349" t="s">
        <v>15990</v>
      </c>
      <c r="L349">
        <f>HYPERLINK("https://www2.assemblee-nationale.fr/sycomore/fiche/(num_dept)/7591", "7591")</f>
        <v>0</v>
      </c>
      <c r="M349">
        <f>HYPERLINK("https://www.senat.fr/senateur-3eme-republique/le_herisse_rene0541r3.html", "le_herisse_rene0541r3")</f>
        <v>0</v>
      </c>
      <c r="N349">
        <f>HYPERLINK("https://www.wikidata.org/wiki/Q3426501", "Q3426501")</f>
        <v>0</v>
      </c>
      <c r="O349" t="s">
        <v>19998</v>
      </c>
      <c r="P349" t="s">
        <v>20405</v>
      </c>
      <c r="Q349" t="s">
        <v>19426</v>
      </c>
      <c r="R349" t="s">
        <v>21378</v>
      </c>
      <c r="S349">
        <v>1182</v>
      </c>
    </row>
    <row r="350" spans="1:19">
      <c r="A350" t="s">
        <v>19</v>
      </c>
      <c r="B350" t="s">
        <v>148</v>
      </c>
      <c r="C350" t="s">
        <v>151</v>
      </c>
      <c r="D350" t="s">
        <v>280</v>
      </c>
      <c r="E350" t="s">
        <v>409</v>
      </c>
      <c r="F350">
        <f>HYPERLINK("https://www.wikidata.org/wiki/Q33369535", "Q33369535")</f>
        <v>0</v>
      </c>
      <c r="G350" t="s">
        <v>842</v>
      </c>
      <c r="H350" t="s">
        <v>5599</v>
      </c>
      <c r="I350" t="s">
        <v>9549</v>
      </c>
      <c r="J350" t="s">
        <v>11589</v>
      </c>
      <c r="K350" t="s">
        <v>15991</v>
      </c>
      <c r="L350">
        <f>HYPERLINK("https://www2.assemblee-nationale.fr/sycomore/fiche/(num_dept)/7595", "7595")</f>
        <v>0</v>
      </c>
      <c r="M350">
        <f>HYPERLINK("https://www.senat.fr/senateur-3eme-republique/le_louedec_jules0811r3.html", "le_louedec_jules0811r3")</f>
        <v>0</v>
      </c>
      <c r="N350">
        <f>HYPERLINK("https://www.wikidata.org/wiki/Q3188719", "Q3188719")</f>
        <v>0</v>
      </c>
      <c r="O350" t="s">
        <v>20011</v>
      </c>
      <c r="P350" t="s">
        <v>20405</v>
      </c>
      <c r="Q350" t="s">
        <v>19426</v>
      </c>
      <c r="R350" t="s">
        <v>409</v>
      </c>
      <c r="S350">
        <v>1498</v>
      </c>
    </row>
    <row r="351" spans="1:19">
      <c r="A351" t="s">
        <v>19</v>
      </c>
      <c r="B351" t="s">
        <v>148</v>
      </c>
      <c r="C351" t="s">
        <v>151</v>
      </c>
      <c r="D351" t="s">
        <v>280</v>
      </c>
      <c r="E351" t="s">
        <v>409</v>
      </c>
      <c r="F351">
        <f>HYPERLINK("https://www.wikidata.org/wiki/Q33369535", "Q33369535")</f>
        <v>0</v>
      </c>
      <c r="G351" t="s">
        <v>843</v>
      </c>
      <c r="H351" t="s">
        <v>5600</v>
      </c>
      <c r="I351" t="s">
        <v>9550</v>
      </c>
      <c r="J351" t="s">
        <v>11590</v>
      </c>
      <c r="K351" t="s">
        <v>15992</v>
      </c>
      <c r="L351">
        <f>HYPERLINK("https://www2.assemblee-nationale.fr/sycomore/fiche/(num_dept)/7617", "7617")</f>
        <v>0</v>
      </c>
      <c r="N351">
        <f>HYPERLINK("https://www.wikidata.org/wiki/Q3185233", "Q3185233")</f>
        <v>0</v>
      </c>
      <c r="O351" t="s">
        <v>19961</v>
      </c>
      <c r="P351" t="s">
        <v>20405</v>
      </c>
      <c r="Q351" t="s">
        <v>19426</v>
      </c>
      <c r="R351" t="s">
        <v>409</v>
      </c>
      <c r="S351">
        <v>1498</v>
      </c>
    </row>
    <row r="352" spans="1:19">
      <c r="A352" t="s">
        <v>19</v>
      </c>
      <c r="B352" t="s">
        <v>148</v>
      </c>
      <c r="C352" t="s">
        <v>151</v>
      </c>
      <c r="D352" t="s">
        <v>280</v>
      </c>
      <c r="E352" t="s">
        <v>409</v>
      </c>
      <c r="F352">
        <f>HYPERLINK("https://www.wikidata.org/wiki/Q33369535", "Q33369535")</f>
        <v>0</v>
      </c>
      <c r="G352" t="s">
        <v>844</v>
      </c>
      <c r="H352" t="s">
        <v>5601</v>
      </c>
      <c r="I352" t="s">
        <v>9551</v>
      </c>
      <c r="J352" t="s">
        <v>11591</v>
      </c>
      <c r="K352" t="s">
        <v>15993</v>
      </c>
      <c r="L352">
        <f>HYPERLINK("https://www2.assemblee-nationale.fr/sycomore/fiche/(num_dept)/7628", "7628")</f>
        <v>0</v>
      </c>
      <c r="M352">
        <f>HYPERLINK("https://www.senat.fr/senateur-3eme-republique/le_troadec_paul0586r3.html", "le_troadec_paul0586r3")</f>
        <v>0</v>
      </c>
      <c r="N352">
        <f>HYPERLINK("https://www.wikidata.org/wiki/Q3371653", "Q3371653")</f>
        <v>0</v>
      </c>
      <c r="O352" t="s">
        <v>19964</v>
      </c>
      <c r="P352" t="s">
        <v>20401</v>
      </c>
      <c r="Q352" t="s">
        <v>19426</v>
      </c>
      <c r="R352" t="s">
        <v>409</v>
      </c>
      <c r="S352">
        <v>1498</v>
      </c>
    </row>
    <row r="353" spans="1:19">
      <c r="A353" t="s">
        <v>19</v>
      </c>
      <c r="B353" t="s">
        <v>148</v>
      </c>
      <c r="C353" t="s">
        <v>151</v>
      </c>
      <c r="D353" t="s">
        <v>280</v>
      </c>
      <c r="E353" t="s">
        <v>409</v>
      </c>
      <c r="F353">
        <f>HYPERLINK("https://www.wikidata.org/wiki/Q33369535", "Q33369535")</f>
        <v>0</v>
      </c>
      <c r="G353" t="s">
        <v>845</v>
      </c>
      <c r="H353" t="s">
        <v>5602</v>
      </c>
      <c r="I353" t="s">
        <v>9552</v>
      </c>
      <c r="J353" t="s">
        <v>11592</v>
      </c>
      <c r="K353" t="s">
        <v>15994</v>
      </c>
      <c r="L353">
        <f>HYPERLINK("https://www2.assemblee-nationale.fr/sycomore/fiche/(num_dept)/7643", "7643")</f>
        <v>0</v>
      </c>
      <c r="M353">
        <f>HYPERLINK("https://www.senat.fr/senateur-3eme-republique/leblond_charles1609r3.html", "leblond_charles1609r3")</f>
        <v>0</v>
      </c>
      <c r="N353">
        <f>HYPERLINK("https://www.wikidata.org/wiki/Q2871277", "Q2871277")</f>
        <v>0</v>
      </c>
      <c r="O353" t="s">
        <v>19978</v>
      </c>
      <c r="P353" t="s">
        <v>20403</v>
      </c>
      <c r="Q353" t="s">
        <v>19426</v>
      </c>
      <c r="R353" t="s">
        <v>21227</v>
      </c>
      <c r="S353">
        <v>1246</v>
      </c>
    </row>
    <row r="354" spans="1:19">
      <c r="A354" t="s">
        <v>19</v>
      </c>
      <c r="B354" t="s">
        <v>148</v>
      </c>
      <c r="C354" t="s">
        <v>151</v>
      </c>
      <c r="D354" t="s">
        <v>280</v>
      </c>
      <c r="E354" t="s">
        <v>409</v>
      </c>
      <c r="F354">
        <f>HYPERLINK("https://www.wikidata.org/wiki/Q33369535", "Q33369535")</f>
        <v>0</v>
      </c>
      <c r="G354" t="s">
        <v>846</v>
      </c>
      <c r="H354" t="s">
        <v>5603</v>
      </c>
      <c r="I354" t="s">
        <v>6584</v>
      </c>
      <c r="J354" t="s">
        <v>11593</v>
      </c>
      <c r="K354" t="s">
        <v>15784</v>
      </c>
      <c r="L354">
        <f>HYPERLINK("https://www2.assemblee-nationale.fr/sycomore/fiche/(num_dept)/7652", "7652")</f>
        <v>0</v>
      </c>
      <c r="M354">
        <f>HYPERLINK("https://www.senat.fr/senateur-3eme-republique/lebrun_albert0945r3.html", "lebrun_albert0945r3")</f>
        <v>0</v>
      </c>
      <c r="N354">
        <f>HYPERLINK("https://www.wikidata.org/wiki/Q158749", "Q158749")</f>
        <v>0</v>
      </c>
      <c r="O354" t="s">
        <v>20007</v>
      </c>
      <c r="P354" t="s">
        <v>20402</v>
      </c>
      <c r="Q354" t="s">
        <v>19426</v>
      </c>
      <c r="R354" t="s">
        <v>409</v>
      </c>
      <c r="S354">
        <v>1498</v>
      </c>
    </row>
    <row r="355" spans="1:19">
      <c r="A355" t="s">
        <v>19</v>
      </c>
      <c r="B355" t="s">
        <v>148</v>
      </c>
      <c r="C355" t="s">
        <v>151</v>
      </c>
      <c r="D355" t="s">
        <v>280</v>
      </c>
      <c r="E355" t="s">
        <v>409</v>
      </c>
      <c r="F355">
        <f>HYPERLINK("https://www.wikidata.org/wiki/Q33369535", "Q33369535")</f>
        <v>0</v>
      </c>
      <c r="G355" t="s">
        <v>847</v>
      </c>
      <c r="H355" t="s">
        <v>5604</v>
      </c>
      <c r="I355" t="s">
        <v>9455</v>
      </c>
      <c r="J355" t="s">
        <v>11576</v>
      </c>
      <c r="K355" t="s">
        <v>15995</v>
      </c>
      <c r="L355">
        <f>HYPERLINK("https://www2.assemblee-nationale.fr/sycomore/fiche/(num_dept)/7664", "7664")</f>
        <v>0</v>
      </c>
      <c r="N355">
        <f>HYPERLINK("https://www.wikidata.org/wiki/Q3265604", "Q3265604")</f>
        <v>0</v>
      </c>
      <c r="O355" t="s">
        <v>20012</v>
      </c>
      <c r="P355" t="s">
        <v>20404</v>
      </c>
      <c r="Q355" t="s">
        <v>19426</v>
      </c>
      <c r="R355" t="s">
        <v>409</v>
      </c>
      <c r="S355">
        <v>1498</v>
      </c>
    </row>
    <row r="356" spans="1:19">
      <c r="A356" t="s">
        <v>19</v>
      </c>
      <c r="B356" t="s">
        <v>148</v>
      </c>
      <c r="C356" t="s">
        <v>151</v>
      </c>
      <c r="D356" t="s">
        <v>280</v>
      </c>
      <c r="E356" t="s">
        <v>409</v>
      </c>
      <c r="F356">
        <f>HYPERLINK("https://www.wikidata.org/wiki/Q33369535", "Q33369535")</f>
        <v>0</v>
      </c>
      <c r="G356" t="s">
        <v>848</v>
      </c>
      <c r="H356" t="s">
        <v>5605</v>
      </c>
      <c r="I356" t="s">
        <v>9553</v>
      </c>
      <c r="J356" t="s">
        <v>11594</v>
      </c>
      <c r="K356" t="s">
        <v>15996</v>
      </c>
      <c r="L356">
        <f>HYPERLINK("https://www2.assemblee-nationale.fr/sycomore/fiche/(num_dept)/7683", "7683")</f>
        <v>0</v>
      </c>
      <c r="M356">
        <f>HYPERLINK("https://www.senat.fr/senateur-3eme-republique/lefas_alexandre0535r3.html", "lefas_alexandre0535r3")</f>
        <v>0</v>
      </c>
      <c r="N356">
        <f>HYPERLINK("https://www.wikidata.org/wiki/Q2833822", "Q2833822")</f>
        <v>0</v>
      </c>
      <c r="O356" t="s">
        <v>19998</v>
      </c>
      <c r="P356" t="s">
        <v>20403</v>
      </c>
      <c r="Q356" t="s">
        <v>19426</v>
      </c>
      <c r="R356" t="s">
        <v>409</v>
      </c>
      <c r="S356">
        <v>1498</v>
      </c>
    </row>
    <row r="357" spans="1:19">
      <c r="A357" t="s">
        <v>19</v>
      </c>
      <c r="B357" t="s">
        <v>148</v>
      </c>
      <c r="C357" t="s">
        <v>151</v>
      </c>
      <c r="D357" t="s">
        <v>280</v>
      </c>
      <c r="E357" t="s">
        <v>409</v>
      </c>
      <c r="F357">
        <f>HYPERLINK("https://www.wikidata.org/wiki/Q33369535", "Q33369535")</f>
        <v>0</v>
      </c>
      <c r="G357" t="s">
        <v>849</v>
      </c>
      <c r="H357" t="s">
        <v>5606</v>
      </c>
      <c r="I357" t="s">
        <v>6584</v>
      </c>
      <c r="J357" t="s">
        <v>11595</v>
      </c>
      <c r="K357" t="s">
        <v>15997</v>
      </c>
      <c r="L357">
        <f>HYPERLINK("https://www2.assemblee-nationale.fr/sycomore/fiche/(num_dept)/7685", "7685")</f>
        <v>0</v>
      </c>
      <c r="N357">
        <f>HYPERLINK("https://www.wikidata.org/wiki/Q17353224", "Q17353224")</f>
        <v>0</v>
      </c>
      <c r="O357" t="s">
        <v>20030</v>
      </c>
      <c r="P357" t="s">
        <v>20401</v>
      </c>
      <c r="Q357" t="s">
        <v>19426</v>
      </c>
      <c r="R357" t="s">
        <v>21379</v>
      </c>
      <c r="S357">
        <v>1385</v>
      </c>
    </row>
    <row r="358" spans="1:19">
      <c r="A358" t="s">
        <v>19</v>
      </c>
      <c r="B358" t="s">
        <v>148</v>
      </c>
      <c r="C358" t="s">
        <v>151</v>
      </c>
      <c r="D358" t="s">
        <v>280</v>
      </c>
      <c r="E358" t="s">
        <v>409</v>
      </c>
      <c r="F358">
        <f>HYPERLINK("https://www.wikidata.org/wiki/Q33369535", "Q33369535")</f>
        <v>0</v>
      </c>
      <c r="G358" t="s">
        <v>850</v>
      </c>
      <c r="H358" t="s">
        <v>5607</v>
      </c>
      <c r="I358" t="s">
        <v>8494</v>
      </c>
      <c r="J358" t="s">
        <v>11596</v>
      </c>
      <c r="K358" t="s">
        <v>15998</v>
      </c>
      <c r="L358">
        <f>HYPERLINK("https://www2.assemblee-nationale.fr/sycomore/fiche/(num_dept)/7692", "7692")</f>
        <v>0</v>
      </c>
      <c r="M358">
        <f>HYPERLINK("https://www.senat.fr/senateur-3eme-republique/lefevre_abel0761r3.html", "lefevre_abel0761r3")</f>
        <v>0</v>
      </c>
      <c r="N358">
        <f>HYPERLINK("https://www.wikidata.org/wiki/Q2821523", "Q2821523")</f>
        <v>0</v>
      </c>
      <c r="O358" t="s">
        <v>19992</v>
      </c>
      <c r="P358" t="s">
        <v>20405</v>
      </c>
      <c r="Q358" t="s">
        <v>19426</v>
      </c>
      <c r="R358" t="s">
        <v>409</v>
      </c>
      <c r="S358">
        <v>1498</v>
      </c>
    </row>
    <row r="359" spans="1:19">
      <c r="A359" t="s">
        <v>19</v>
      </c>
      <c r="B359" t="s">
        <v>148</v>
      </c>
      <c r="C359" t="s">
        <v>151</v>
      </c>
      <c r="D359" t="s">
        <v>280</v>
      </c>
      <c r="E359" t="s">
        <v>409</v>
      </c>
      <c r="F359">
        <f>HYPERLINK("https://www.wikidata.org/wiki/Q33369535", "Q33369535")</f>
        <v>0</v>
      </c>
      <c r="G359" t="s">
        <v>851</v>
      </c>
      <c r="H359" t="s">
        <v>5607</v>
      </c>
      <c r="I359" t="s">
        <v>6585</v>
      </c>
      <c r="J359" t="s">
        <v>11597</v>
      </c>
      <c r="K359" t="s">
        <v>15999</v>
      </c>
      <c r="L359">
        <f>HYPERLINK("https://www2.assemblee-nationale.fr/sycomore/fiche/(num_dept)/7693", "7693")</f>
        <v>0</v>
      </c>
      <c r="N359">
        <f>HYPERLINK("https://www.wikidata.org/wiki/Q768982", "Q768982")</f>
        <v>0</v>
      </c>
      <c r="O359" t="s">
        <v>19990</v>
      </c>
      <c r="Q359" t="s">
        <v>19426</v>
      </c>
      <c r="R359" t="s">
        <v>409</v>
      </c>
      <c r="S359">
        <v>1498</v>
      </c>
    </row>
    <row r="360" spans="1:19">
      <c r="A360" t="s">
        <v>19</v>
      </c>
      <c r="B360" t="s">
        <v>148</v>
      </c>
      <c r="C360" t="s">
        <v>151</v>
      </c>
      <c r="D360" t="s">
        <v>280</v>
      </c>
      <c r="E360" t="s">
        <v>409</v>
      </c>
      <c r="F360">
        <f>HYPERLINK("https://www.wikidata.org/wiki/Q33369535", "Q33369535")</f>
        <v>0</v>
      </c>
      <c r="G360" t="s">
        <v>852</v>
      </c>
      <c r="H360" t="s">
        <v>5608</v>
      </c>
      <c r="I360" t="s">
        <v>9554</v>
      </c>
      <c r="J360" t="s">
        <v>11598</v>
      </c>
      <c r="K360" t="s">
        <v>16000</v>
      </c>
      <c r="L360">
        <f>HYPERLINK("https://www2.assemblee-nationale.fr/sycomore/fiche/(num_dept)/7712", "7712")</f>
        <v>0</v>
      </c>
      <c r="N360">
        <f>HYPERLINK("https://www.wikidata.org/wiki/Q3302626", "Q3302626")</f>
        <v>0</v>
      </c>
      <c r="O360" t="s">
        <v>19992</v>
      </c>
      <c r="P360" t="s">
        <v>20410</v>
      </c>
      <c r="Q360" t="s">
        <v>19426</v>
      </c>
      <c r="R360" t="s">
        <v>16000</v>
      </c>
      <c r="S360">
        <v>384</v>
      </c>
    </row>
    <row r="361" spans="1:19">
      <c r="A361" t="s">
        <v>19</v>
      </c>
      <c r="B361" t="s">
        <v>148</v>
      </c>
      <c r="C361" t="s">
        <v>151</v>
      </c>
      <c r="D361" t="s">
        <v>280</v>
      </c>
      <c r="E361" t="s">
        <v>409</v>
      </c>
      <c r="F361">
        <f>HYPERLINK("https://www.wikidata.org/wiki/Q33369535", "Q33369535")</f>
        <v>0</v>
      </c>
      <c r="G361" t="s">
        <v>853</v>
      </c>
      <c r="H361" t="s">
        <v>5609</v>
      </c>
      <c r="I361" t="s">
        <v>9555</v>
      </c>
      <c r="J361" t="s">
        <v>11599</v>
      </c>
      <c r="K361" t="s">
        <v>16001</v>
      </c>
      <c r="L361">
        <f>HYPERLINK("https://www2.assemblee-nationale.fr/sycomore/fiche/(num_dept)/7717", "7717")</f>
        <v>0</v>
      </c>
      <c r="N361">
        <f>HYPERLINK("https://www.wikidata.org/wiki/Q3144609", "Q3144609")</f>
        <v>0</v>
      </c>
      <c r="O361" t="s">
        <v>20028</v>
      </c>
      <c r="P361" t="s">
        <v>20406</v>
      </c>
      <c r="Q361" t="s">
        <v>19426</v>
      </c>
      <c r="R361" t="s">
        <v>409</v>
      </c>
      <c r="S361">
        <v>1498</v>
      </c>
    </row>
    <row r="362" spans="1:19">
      <c r="A362" t="s">
        <v>19</v>
      </c>
      <c r="B362" t="s">
        <v>148</v>
      </c>
      <c r="C362" t="s">
        <v>151</v>
      </c>
      <c r="D362" t="s">
        <v>280</v>
      </c>
      <c r="E362" t="s">
        <v>409</v>
      </c>
      <c r="F362">
        <f>HYPERLINK("https://www.wikidata.org/wiki/Q33369535", "Q33369535")</f>
        <v>0</v>
      </c>
      <c r="G362" t="s">
        <v>854</v>
      </c>
      <c r="H362" t="s">
        <v>5610</v>
      </c>
      <c r="I362" t="s">
        <v>9556</v>
      </c>
      <c r="J362" t="s">
        <v>11600</v>
      </c>
      <c r="K362" t="s">
        <v>16002</v>
      </c>
      <c r="L362">
        <f>HYPERLINK("https://www2.assemblee-nationale.fr/sycomore/fiche/(num_dept)/7723", "7723")</f>
        <v>0</v>
      </c>
      <c r="N362">
        <f>HYPERLINK("https://www.wikidata.org/wiki/Q8327019", "Q8327019")</f>
        <v>0</v>
      </c>
      <c r="O362" t="s">
        <v>19985</v>
      </c>
      <c r="P362" t="s">
        <v>20407</v>
      </c>
      <c r="Q362" t="s">
        <v>19426</v>
      </c>
      <c r="R362" t="s">
        <v>409</v>
      </c>
      <c r="S362">
        <v>1498</v>
      </c>
    </row>
    <row r="363" spans="1:19">
      <c r="A363" t="s">
        <v>19</v>
      </c>
      <c r="B363" t="s">
        <v>148</v>
      </c>
      <c r="C363" t="s">
        <v>151</v>
      </c>
      <c r="D363" t="s">
        <v>280</v>
      </c>
      <c r="E363" t="s">
        <v>409</v>
      </c>
      <c r="F363">
        <f>HYPERLINK("https://www.wikidata.org/wiki/Q33369535", "Q33369535")</f>
        <v>0</v>
      </c>
      <c r="G363" t="s">
        <v>855</v>
      </c>
      <c r="H363" t="s">
        <v>5611</v>
      </c>
      <c r="I363" t="s">
        <v>9557</v>
      </c>
      <c r="J363" t="s">
        <v>11601</v>
      </c>
      <c r="K363" t="s">
        <v>16003</v>
      </c>
      <c r="L363">
        <f>HYPERLINK("https://www2.assemblee-nationale.fr/sycomore/fiche/(num_dept)/7791", "7791")</f>
        <v>0</v>
      </c>
      <c r="N363">
        <f>HYPERLINK("https://www.wikidata.org/wiki/Q3371680", "Q3371680")</f>
        <v>0</v>
      </c>
      <c r="O363" t="s">
        <v>19969</v>
      </c>
      <c r="P363" t="s">
        <v>20410</v>
      </c>
      <c r="Q363" t="s">
        <v>19426</v>
      </c>
      <c r="R363" t="s">
        <v>16003</v>
      </c>
      <c r="S363">
        <v>916</v>
      </c>
    </row>
    <row r="364" spans="1:19">
      <c r="A364" t="s">
        <v>19</v>
      </c>
      <c r="B364" t="s">
        <v>148</v>
      </c>
      <c r="C364" t="s">
        <v>151</v>
      </c>
      <c r="D364" t="s">
        <v>280</v>
      </c>
      <c r="E364" t="s">
        <v>409</v>
      </c>
      <c r="F364">
        <f>HYPERLINK("https://www.wikidata.org/wiki/Q33369535", "Q33369535")</f>
        <v>0</v>
      </c>
      <c r="G364" t="s">
        <v>856</v>
      </c>
      <c r="H364" t="s">
        <v>5612</v>
      </c>
      <c r="I364" t="s">
        <v>9558</v>
      </c>
      <c r="J364" t="s">
        <v>11602</v>
      </c>
      <c r="K364" t="s">
        <v>16004</v>
      </c>
      <c r="L364">
        <f>HYPERLINK("https://www2.assemblee-nationale.fr/sycomore/fiche/(num_dept)/7801", "7801")</f>
        <v>0</v>
      </c>
      <c r="N364">
        <f>HYPERLINK("https://www.wikidata.org/wiki/Q3317903", "Q3317903")</f>
        <v>0</v>
      </c>
      <c r="O364" t="s">
        <v>19992</v>
      </c>
      <c r="P364" t="s">
        <v>20402</v>
      </c>
      <c r="Q364" t="s">
        <v>19426</v>
      </c>
      <c r="R364" t="s">
        <v>409</v>
      </c>
      <c r="S364">
        <v>1498</v>
      </c>
    </row>
    <row r="365" spans="1:19">
      <c r="A365" t="s">
        <v>19</v>
      </c>
      <c r="B365" t="s">
        <v>148</v>
      </c>
      <c r="C365" t="s">
        <v>151</v>
      </c>
      <c r="D365" t="s">
        <v>280</v>
      </c>
      <c r="E365" t="s">
        <v>409</v>
      </c>
      <c r="F365">
        <f>HYPERLINK("https://www.wikidata.org/wiki/Q33369535", "Q33369535")</f>
        <v>0</v>
      </c>
      <c r="G365" t="s">
        <v>857</v>
      </c>
      <c r="H365" t="s">
        <v>5613</v>
      </c>
      <c r="I365" t="s">
        <v>6175</v>
      </c>
      <c r="J365" t="s">
        <v>11603</v>
      </c>
      <c r="K365" t="s">
        <v>16005</v>
      </c>
      <c r="L365">
        <f>HYPERLINK("https://www2.assemblee-nationale.fr/sycomore/fiche/(num_dept)/7840", "7840")</f>
        <v>0</v>
      </c>
      <c r="N365">
        <f>HYPERLINK("https://www.wikidata.org/wiki/Q728806", "Q728806")</f>
        <v>0</v>
      </c>
      <c r="O365" t="s">
        <v>20043</v>
      </c>
      <c r="P365" t="s">
        <v>20402</v>
      </c>
      <c r="Q365" t="s">
        <v>19426</v>
      </c>
      <c r="R365" t="s">
        <v>409</v>
      </c>
      <c r="S365">
        <v>1498</v>
      </c>
    </row>
    <row r="366" spans="1:19">
      <c r="A366" t="s">
        <v>19</v>
      </c>
      <c r="B366" t="s">
        <v>148</v>
      </c>
      <c r="C366" t="s">
        <v>151</v>
      </c>
      <c r="D366" t="s">
        <v>280</v>
      </c>
      <c r="E366" t="s">
        <v>409</v>
      </c>
      <c r="F366">
        <f>HYPERLINK("https://www.wikidata.org/wiki/Q33369535", "Q33369535")</f>
        <v>0</v>
      </c>
      <c r="G366" t="s">
        <v>858</v>
      </c>
      <c r="H366" t="s">
        <v>5614</v>
      </c>
      <c r="I366" t="s">
        <v>9423</v>
      </c>
      <c r="J366" t="s">
        <v>11604</v>
      </c>
      <c r="K366" t="s">
        <v>16006</v>
      </c>
      <c r="L366">
        <f>HYPERLINK("https://www2.assemblee-nationale.fr/sycomore/fiche/(num_dept)/7854", "7854")</f>
        <v>0</v>
      </c>
      <c r="M366">
        <f>HYPERLINK("https://www.senat.fr/senateur-3eme-republique/limon_guillaume0585r3.html", "limon_guillaume0585r3")</f>
        <v>0</v>
      </c>
      <c r="N366">
        <f>HYPERLINK("https://www.wikidata.org/wiki/Q3120046", "Q3120046")</f>
        <v>0</v>
      </c>
      <c r="O366" t="s">
        <v>19964</v>
      </c>
      <c r="P366" t="s">
        <v>20410</v>
      </c>
      <c r="Q366" t="s">
        <v>19426</v>
      </c>
      <c r="R366" t="s">
        <v>21222</v>
      </c>
      <c r="S366">
        <v>910</v>
      </c>
    </row>
    <row r="367" spans="1:19">
      <c r="A367" t="s">
        <v>19</v>
      </c>
      <c r="B367" t="s">
        <v>148</v>
      </c>
      <c r="C367" t="s">
        <v>151</v>
      </c>
      <c r="D367" t="s">
        <v>280</v>
      </c>
      <c r="E367" t="s">
        <v>409</v>
      </c>
      <c r="F367">
        <f>HYPERLINK("https://www.wikidata.org/wiki/Q33369535", "Q33369535")</f>
        <v>0</v>
      </c>
      <c r="G367" t="s">
        <v>859</v>
      </c>
      <c r="H367" t="s">
        <v>5615</v>
      </c>
      <c r="I367" t="s">
        <v>9559</v>
      </c>
      <c r="J367" t="s">
        <v>11605</v>
      </c>
      <c r="K367" t="s">
        <v>16007</v>
      </c>
      <c r="L367">
        <f>HYPERLINK("https://www2.assemblee-nationale.fr/sycomore/fiche/(num_dept)/112", "112")</f>
        <v>0</v>
      </c>
      <c r="M367">
        <f>HYPERLINK("https://www.senat.fr/senateur-3eme-republique/amiard_louis1670r3.html", "amiard_louis1670r3")</f>
        <v>0</v>
      </c>
      <c r="N367">
        <f>HYPERLINK("https://www.wikidata.org/wiki/Q3261035", "Q3261035")</f>
        <v>0</v>
      </c>
      <c r="O367" t="s">
        <v>19976</v>
      </c>
      <c r="P367" t="s">
        <v>20405</v>
      </c>
      <c r="Q367" t="s">
        <v>20519</v>
      </c>
      <c r="R367" t="s">
        <v>409</v>
      </c>
      <c r="S367">
        <v>1484</v>
      </c>
    </row>
    <row r="368" spans="1:19">
      <c r="A368" t="s">
        <v>19</v>
      </c>
      <c r="B368" t="s">
        <v>148</v>
      </c>
      <c r="C368" t="s">
        <v>151</v>
      </c>
      <c r="D368" t="s">
        <v>280</v>
      </c>
      <c r="E368" t="s">
        <v>409</v>
      </c>
      <c r="F368">
        <f>HYPERLINK("https://www.wikidata.org/wiki/Q33369535", "Q33369535")</f>
        <v>0</v>
      </c>
      <c r="G368" t="s">
        <v>860</v>
      </c>
      <c r="H368" t="s">
        <v>5616</v>
      </c>
      <c r="I368" t="s">
        <v>6585</v>
      </c>
      <c r="J368" t="s">
        <v>11606</v>
      </c>
      <c r="K368" t="s">
        <v>16008</v>
      </c>
      <c r="L368">
        <f>HYPERLINK("https://www2.assemblee-nationale.fr/sycomore/fiche/(num_dept)/136", "136")</f>
        <v>0</v>
      </c>
      <c r="N368">
        <f>HYPERLINK("https://www.wikidata.org/wiki/Q2847958", "Q2847958")</f>
        <v>0</v>
      </c>
      <c r="O368" t="s">
        <v>20037</v>
      </c>
      <c r="P368" t="s">
        <v>20401</v>
      </c>
      <c r="Q368" t="s">
        <v>20519</v>
      </c>
      <c r="R368" t="s">
        <v>409</v>
      </c>
      <c r="S368">
        <v>1484</v>
      </c>
    </row>
    <row r="369" spans="1:19">
      <c r="A369" t="s">
        <v>19</v>
      </c>
      <c r="B369" t="s">
        <v>148</v>
      </c>
      <c r="C369" t="s">
        <v>151</v>
      </c>
      <c r="D369" t="s">
        <v>280</v>
      </c>
      <c r="E369" t="s">
        <v>409</v>
      </c>
      <c r="F369">
        <f>HYPERLINK("https://www.wikidata.org/wiki/Q33369535", "Q33369535")</f>
        <v>0</v>
      </c>
      <c r="G369" t="s">
        <v>861</v>
      </c>
      <c r="H369" t="s">
        <v>5617</v>
      </c>
      <c r="I369" t="s">
        <v>6495</v>
      </c>
      <c r="J369" t="s">
        <v>11607</v>
      </c>
      <c r="K369" t="s">
        <v>16009</v>
      </c>
      <c r="L369">
        <f>HYPERLINK("https://www2.assemblee-nationale.fr/sycomore/fiche/(num_dept)/139", "139")</f>
        <v>0</v>
      </c>
      <c r="M369">
        <f>HYPERLINK("https://www.senat.fr/senateur-3eme-republique/andrieux_louis0059r3.html", "andrieux_louis0059r3")</f>
        <v>0</v>
      </c>
      <c r="N369">
        <f>HYPERLINK("https://www.wikidata.org/wiki/Q1507996", "Q1507996")</f>
        <v>0</v>
      </c>
      <c r="O369" t="s">
        <v>20033</v>
      </c>
      <c r="P369" t="s">
        <v>20407</v>
      </c>
      <c r="Q369" t="s">
        <v>20519</v>
      </c>
      <c r="R369" t="s">
        <v>409</v>
      </c>
      <c r="S369">
        <v>1484</v>
      </c>
    </row>
    <row r="370" spans="1:19">
      <c r="A370" t="s">
        <v>19</v>
      </c>
      <c r="B370" t="s">
        <v>148</v>
      </c>
      <c r="C370" t="s">
        <v>151</v>
      </c>
      <c r="D370" t="s">
        <v>280</v>
      </c>
      <c r="E370" t="s">
        <v>409</v>
      </c>
      <c r="F370">
        <f>HYPERLINK("https://www.wikidata.org/wiki/Q33369535", "Q33369535")</f>
        <v>0</v>
      </c>
      <c r="G370" t="s">
        <v>862</v>
      </c>
      <c r="H370" t="s">
        <v>5618</v>
      </c>
      <c r="I370" t="s">
        <v>9560</v>
      </c>
      <c r="J370" t="s">
        <v>11608</v>
      </c>
      <c r="K370" t="s">
        <v>16010</v>
      </c>
      <c r="L370">
        <f>HYPERLINK("https://www2.assemblee-nationale.fr/sycomore/fiche/(num_dept)/174", "174")</f>
        <v>0</v>
      </c>
      <c r="N370">
        <f>HYPERLINK("https://www.wikidata.org/wiki/Q15973286", "Q15973286")</f>
        <v>0</v>
      </c>
      <c r="O370" t="s">
        <v>19997</v>
      </c>
      <c r="P370" t="s">
        <v>20403</v>
      </c>
      <c r="Q370" t="s">
        <v>20519</v>
      </c>
      <c r="R370" t="s">
        <v>409</v>
      </c>
      <c r="S370">
        <v>1484</v>
      </c>
    </row>
    <row r="371" spans="1:19">
      <c r="A371" t="s">
        <v>19</v>
      </c>
      <c r="B371" t="s">
        <v>148</v>
      </c>
      <c r="C371" t="s">
        <v>151</v>
      </c>
      <c r="D371" t="s">
        <v>280</v>
      </c>
      <c r="E371" t="s">
        <v>409</v>
      </c>
      <c r="F371">
        <f>HYPERLINK("https://www.wikidata.org/wiki/Q33369535", "Q33369535")</f>
        <v>0</v>
      </c>
      <c r="G371" t="s">
        <v>863</v>
      </c>
      <c r="H371" t="s">
        <v>5619</v>
      </c>
      <c r="I371" t="s">
        <v>9561</v>
      </c>
      <c r="J371" t="s">
        <v>11609</v>
      </c>
      <c r="K371" t="s">
        <v>16011</v>
      </c>
      <c r="L371">
        <f>HYPERLINK("https://www2.assemblee-nationale.fr/sycomore/fiche/(num_dept)/192", "192")</f>
        <v>0</v>
      </c>
      <c r="N371">
        <f>HYPERLINK("https://www.wikidata.org/wiki/Q3387420", "Q3387420")</f>
        <v>0</v>
      </c>
      <c r="O371" t="s">
        <v>19982</v>
      </c>
      <c r="P371" t="s">
        <v>20403</v>
      </c>
      <c r="Q371" t="s">
        <v>20519</v>
      </c>
      <c r="R371" t="s">
        <v>409</v>
      </c>
      <c r="S371">
        <v>1484</v>
      </c>
    </row>
    <row r="372" spans="1:19">
      <c r="A372" t="s">
        <v>19</v>
      </c>
      <c r="B372" t="s">
        <v>148</v>
      </c>
      <c r="C372" t="s">
        <v>151</v>
      </c>
      <c r="D372" t="s">
        <v>280</v>
      </c>
      <c r="E372" t="s">
        <v>409</v>
      </c>
      <c r="F372">
        <f>HYPERLINK("https://www.wikidata.org/wiki/Q33369535", "Q33369535")</f>
        <v>0</v>
      </c>
      <c r="G372" t="s">
        <v>864</v>
      </c>
      <c r="H372" t="s">
        <v>5620</v>
      </c>
      <c r="I372" t="s">
        <v>9562</v>
      </c>
      <c r="J372" t="s">
        <v>11610</v>
      </c>
      <c r="K372" t="s">
        <v>16012</v>
      </c>
      <c r="L372">
        <f>HYPERLINK("https://www2.assemblee-nationale.fr/sycomore/fiche/(num_dept)/222", "222")</f>
        <v>0</v>
      </c>
      <c r="M372">
        <f>HYPERLINK("https://www.senat.fr/senateur-3eme-republique/astier_placide0139r3.html", "astier_placide0139r3")</f>
        <v>0</v>
      </c>
      <c r="N372">
        <f>HYPERLINK("https://www.wikidata.org/wiki/Q3390780", "Q3390780")</f>
        <v>0</v>
      </c>
      <c r="O372" t="s">
        <v>19991</v>
      </c>
      <c r="P372" t="s">
        <v>20405</v>
      </c>
      <c r="Q372" t="s">
        <v>20519</v>
      </c>
      <c r="R372" t="s">
        <v>21380</v>
      </c>
      <c r="S372">
        <v>215</v>
      </c>
    </row>
    <row r="373" spans="1:19">
      <c r="A373" t="s">
        <v>19</v>
      </c>
      <c r="B373" t="s">
        <v>148</v>
      </c>
      <c r="C373" t="s">
        <v>151</v>
      </c>
      <c r="D373" t="s">
        <v>280</v>
      </c>
      <c r="E373" t="s">
        <v>409</v>
      </c>
      <c r="F373">
        <f>HYPERLINK("https://www.wikidata.org/wiki/Q33369535", "Q33369535")</f>
        <v>0</v>
      </c>
      <c r="G373" t="s">
        <v>865</v>
      </c>
      <c r="H373" t="s">
        <v>5621</v>
      </c>
      <c r="I373" t="s">
        <v>9563</v>
      </c>
      <c r="J373" t="s">
        <v>11611</v>
      </c>
      <c r="K373" t="s">
        <v>16013</v>
      </c>
      <c r="L373">
        <f>HYPERLINK("https://www2.assemblee-nationale.fr/sycomore/fiche/(num_dept)/238", "238")</f>
        <v>0</v>
      </c>
      <c r="N373">
        <f>HYPERLINK("https://www.wikidata.org/wiki/Q3188406", "Q3188406")</f>
        <v>0</v>
      </c>
      <c r="O373" t="s">
        <v>19969</v>
      </c>
      <c r="P373" t="s">
        <v>20404</v>
      </c>
      <c r="Q373" t="s">
        <v>20519</v>
      </c>
      <c r="R373" t="s">
        <v>409</v>
      </c>
      <c r="S373">
        <v>1484</v>
      </c>
    </row>
    <row r="374" spans="1:19">
      <c r="A374" t="s">
        <v>19</v>
      </c>
      <c r="B374" t="s">
        <v>148</v>
      </c>
      <c r="C374" t="s">
        <v>151</v>
      </c>
      <c r="D374" t="s">
        <v>280</v>
      </c>
      <c r="E374" t="s">
        <v>409</v>
      </c>
      <c r="F374">
        <f>HYPERLINK("https://www.wikidata.org/wiki/Q33369535", "Q33369535")</f>
        <v>0</v>
      </c>
      <c r="G374" t="s">
        <v>866</v>
      </c>
      <c r="H374" t="s">
        <v>5622</v>
      </c>
      <c r="I374" t="s">
        <v>9564</v>
      </c>
      <c r="J374" t="s">
        <v>11612</v>
      </c>
      <c r="K374" t="s">
        <v>16014</v>
      </c>
      <c r="L374">
        <f>HYPERLINK("https://www2.assemblee-nationale.fr/sycomore/fiche/(num_dept)/284", "284")</f>
        <v>0</v>
      </c>
      <c r="N374">
        <f>HYPERLINK("https://www.wikidata.org/wiki/Q3130593", "Q3130593")</f>
        <v>0</v>
      </c>
      <c r="O374" t="s">
        <v>20016</v>
      </c>
      <c r="P374" t="s">
        <v>20410</v>
      </c>
      <c r="Q374" t="s">
        <v>20519</v>
      </c>
      <c r="R374" t="s">
        <v>409</v>
      </c>
      <c r="S374">
        <v>1484</v>
      </c>
    </row>
    <row r="375" spans="1:19">
      <c r="A375" t="s">
        <v>19</v>
      </c>
      <c r="B375" t="s">
        <v>148</v>
      </c>
      <c r="C375" t="s">
        <v>151</v>
      </c>
      <c r="D375" t="s">
        <v>280</v>
      </c>
      <c r="E375" t="s">
        <v>409</v>
      </c>
      <c r="F375">
        <f>HYPERLINK("https://www.wikidata.org/wiki/Q33369535", "Q33369535")</f>
        <v>0</v>
      </c>
      <c r="G375" t="s">
        <v>867</v>
      </c>
      <c r="H375" t="s">
        <v>5623</v>
      </c>
      <c r="I375" t="s">
        <v>9565</v>
      </c>
      <c r="J375" t="s">
        <v>11613</v>
      </c>
      <c r="K375" t="s">
        <v>16015</v>
      </c>
      <c r="L375">
        <f>HYPERLINK("https://www2.assemblee-nationale.fr/sycomore/fiche/(num_dept)/310", "310")</f>
        <v>0</v>
      </c>
      <c r="N375">
        <f>HYPERLINK("https://www.wikidata.org/wiki/Q2853627", "Q2853627")</f>
        <v>0</v>
      </c>
      <c r="O375" t="s">
        <v>20031</v>
      </c>
      <c r="P375" t="s">
        <v>20402</v>
      </c>
      <c r="Q375" t="s">
        <v>20519</v>
      </c>
      <c r="R375" t="s">
        <v>409</v>
      </c>
      <c r="S375">
        <v>1484</v>
      </c>
    </row>
    <row r="376" spans="1:19">
      <c r="A376" t="s">
        <v>19</v>
      </c>
      <c r="B376" t="s">
        <v>148</v>
      </c>
      <c r="C376" t="s">
        <v>151</v>
      </c>
      <c r="D376" t="s">
        <v>280</v>
      </c>
      <c r="E376" t="s">
        <v>409</v>
      </c>
      <c r="F376">
        <f>HYPERLINK("https://www.wikidata.org/wiki/Q33369535", "Q33369535")</f>
        <v>0</v>
      </c>
      <c r="G376" t="s">
        <v>868</v>
      </c>
      <c r="H376" t="s">
        <v>5624</v>
      </c>
      <c r="I376" t="s">
        <v>6166</v>
      </c>
      <c r="J376" t="s">
        <v>11614</v>
      </c>
      <c r="K376" t="s">
        <v>16016</v>
      </c>
      <c r="L376">
        <f>HYPERLINK("https://www2.assemblee-nationale.fr/sycomore/fiche/(num_dept)/317", "317")</f>
        <v>0</v>
      </c>
      <c r="N376">
        <f>HYPERLINK("https://www.wikidata.org/wiki/Q15973432", "Q15973432")</f>
        <v>0</v>
      </c>
      <c r="O376" t="s">
        <v>8449</v>
      </c>
      <c r="P376" t="s">
        <v>20405</v>
      </c>
      <c r="Q376" t="s">
        <v>20519</v>
      </c>
      <c r="R376" t="s">
        <v>409</v>
      </c>
      <c r="S376">
        <v>1484</v>
      </c>
    </row>
    <row r="377" spans="1:19">
      <c r="A377" t="s">
        <v>19</v>
      </c>
      <c r="B377" t="s">
        <v>148</v>
      </c>
      <c r="C377" t="s">
        <v>151</v>
      </c>
      <c r="D377" t="s">
        <v>280</v>
      </c>
      <c r="E377" t="s">
        <v>409</v>
      </c>
      <c r="F377">
        <f>HYPERLINK("https://www.wikidata.org/wiki/Q33369535", "Q33369535")</f>
        <v>0</v>
      </c>
      <c r="G377" t="s">
        <v>869</v>
      </c>
      <c r="H377" t="s">
        <v>5625</v>
      </c>
      <c r="I377" t="s">
        <v>9407</v>
      </c>
      <c r="J377" t="s">
        <v>11615</v>
      </c>
      <c r="K377" t="s">
        <v>16017</v>
      </c>
      <c r="L377">
        <f>HYPERLINK("https://www2.assemblee-nationale.fr/sycomore/fiche/(num_dept)/346", "346")</f>
        <v>0</v>
      </c>
      <c r="N377">
        <f>HYPERLINK("https://www.wikidata.org/wiki/Q15973439", "Q15973439")</f>
        <v>0</v>
      </c>
      <c r="O377" t="s">
        <v>19955</v>
      </c>
      <c r="P377" t="s">
        <v>20405</v>
      </c>
      <c r="Q377" t="s">
        <v>20519</v>
      </c>
      <c r="R377" t="s">
        <v>16017</v>
      </c>
      <c r="S377">
        <v>511</v>
      </c>
    </row>
    <row r="378" spans="1:19">
      <c r="A378" t="s">
        <v>19</v>
      </c>
      <c r="B378" t="s">
        <v>148</v>
      </c>
      <c r="C378" t="s">
        <v>151</v>
      </c>
      <c r="D378" t="s">
        <v>280</v>
      </c>
      <c r="E378" t="s">
        <v>409</v>
      </c>
      <c r="F378">
        <f>HYPERLINK("https://www.wikidata.org/wiki/Q33369535", "Q33369535")</f>
        <v>0</v>
      </c>
      <c r="G378" t="s">
        <v>870</v>
      </c>
      <c r="H378" t="s">
        <v>5626</v>
      </c>
      <c r="I378" t="s">
        <v>9566</v>
      </c>
      <c r="J378" t="s">
        <v>11616</v>
      </c>
      <c r="K378" t="s">
        <v>16018</v>
      </c>
      <c r="L378">
        <f>HYPERLINK("https://www2.assemblee-nationale.fr/sycomore/fiche/(num_dept)/351", "351")</f>
        <v>0</v>
      </c>
      <c r="N378">
        <f>HYPERLINK("https://www.wikidata.org/wiki/Q2847193", "Q2847193")</f>
        <v>0</v>
      </c>
      <c r="O378" t="s">
        <v>19987</v>
      </c>
      <c r="P378" t="s">
        <v>20403</v>
      </c>
      <c r="Q378" t="s">
        <v>20519</v>
      </c>
      <c r="R378" t="s">
        <v>409</v>
      </c>
      <c r="S378">
        <v>1484</v>
      </c>
    </row>
    <row r="379" spans="1:19">
      <c r="A379" t="s">
        <v>19</v>
      </c>
      <c r="B379" t="s">
        <v>148</v>
      </c>
      <c r="C379" t="s">
        <v>151</v>
      </c>
      <c r="D379" t="s">
        <v>280</v>
      </c>
      <c r="E379" t="s">
        <v>409</v>
      </c>
      <c r="F379">
        <f>HYPERLINK("https://www.wikidata.org/wiki/Q33369535", "Q33369535")</f>
        <v>0</v>
      </c>
      <c r="G379" t="s">
        <v>871</v>
      </c>
      <c r="H379" t="s">
        <v>5627</v>
      </c>
      <c r="I379" t="s">
        <v>6584</v>
      </c>
      <c r="J379" t="s">
        <v>11617</v>
      </c>
      <c r="K379" t="s">
        <v>16019</v>
      </c>
      <c r="L379">
        <f>HYPERLINK("https://www2.assemblee-nationale.fr/sycomore/fiche/(num_dept)/564", "564")</f>
        <v>0</v>
      </c>
      <c r="N379">
        <f>HYPERLINK("https://www.wikidata.org/wiki/Q2830945", "Q2830945")</f>
        <v>0</v>
      </c>
      <c r="O379" t="s">
        <v>20016</v>
      </c>
      <c r="P379" t="s">
        <v>20404</v>
      </c>
      <c r="Q379" t="s">
        <v>20519</v>
      </c>
      <c r="R379" t="s">
        <v>409</v>
      </c>
      <c r="S379">
        <v>1484</v>
      </c>
    </row>
    <row r="380" spans="1:19">
      <c r="A380" t="s">
        <v>19</v>
      </c>
      <c r="B380" t="s">
        <v>148</v>
      </c>
      <c r="C380" t="s">
        <v>151</v>
      </c>
      <c r="D380" t="s">
        <v>280</v>
      </c>
      <c r="E380" t="s">
        <v>409</v>
      </c>
      <c r="F380">
        <f>HYPERLINK("https://www.wikidata.org/wiki/Q33369535", "Q33369535")</f>
        <v>0</v>
      </c>
      <c r="G380" t="s">
        <v>872</v>
      </c>
      <c r="H380" t="s">
        <v>5628</v>
      </c>
      <c r="I380" t="s">
        <v>9567</v>
      </c>
      <c r="J380" t="s">
        <v>11618</v>
      </c>
      <c r="K380" t="s">
        <v>16020</v>
      </c>
      <c r="L380">
        <f>HYPERLINK("https://www2.assemblee-nationale.fr/sycomore/fiche/(num_dept)/629", "629")</f>
        <v>0</v>
      </c>
      <c r="N380">
        <f>HYPERLINK("https://www.wikidata.org/wiki/Q2958523", "Q2958523")</f>
        <v>0</v>
      </c>
      <c r="O380" t="s">
        <v>19969</v>
      </c>
      <c r="P380" t="s">
        <v>20403</v>
      </c>
      <c r="Q380" t="s">
        <v>20519</v>
      </c>
      <c r="R380" t="s">
        <v>409</v>
      </c>
      <c r="S380">
        <v>1484</v>
      </c>
    </row>
    <row r="381" spans="1:19">
      <c r="A381" t="s">
        <v>19</v>
      </c>
      <c r="B381" t="s">
        <v>148</v>
      </c>
      <c r="C381" t="s">
        <v>151</v>
      </c>
      <c r="D381" t="s">
        <v>280</v>
      </c>
      <c r="E381" t="s">
        <v>409</v>
      </c>
      <c r="F381">
        <f>HYPERLINK("https://www.wikidata.org/wiki/Q33369535", "Q33369535")</f>
        <v>0</v>
      </c>
      <c r="G381" t="s">
        <v>873</v>
      </c>
      <c r="H381" t="s">
        <v>5629</v>
      </c>
      <c r="I381" t="s">
        <v>9568</v>
      </c>
      <c r="J381" t="s">
        <v>11619</v>
      </c>
      <c r="K381" t="s">
        <v>16021</v>
      </c>
      <c r="L381">
        <f>HYPERLINK("https://www2.assemblee-nationale.fr/sycomore/fiche/(num_dept)/708", "708")</f>
        <v>0</v>
      </c>
      <c r="N381">
        <f>HYPERLINK("https://www.wikidata.org/wiki/Q15973681", "Q15973681")</f>
        <v>0</v>
      </c>
      <c r="O381" t="s">
        <v>8449</v>
      </c>
      <c r="P381" t="s">
        <v>20401</v>
      </c>
      <c r="Q381" t="s">
        <v>20519</v>
      </c>
      <c r="R381" t="s">
        <v>409</v>
      </c>
      <c r="S381">
        <v>1484</v>
      </c>
    </row>
    <row r="382" spans="1:19">
      <c r="A382" t="s">
        <v>19</v>
      </c>
      <c r="B382" t="s">
        <v>148</v>
      </c>
      <c r="C382" t="s">
        <v>151</v>
      </c>
      <c r="D382" t="s">
        <v>280</v>
      </c>
      <c r="E382" t="s">
        <v>409</v>
      </c>
      <c r="F382">
        <f>HYPERLINK("https://www.wikidata.org/wiki/Q33369535", "Q33369535")</f>
        <v>0</v>
      </c>
      <c r="G382" t="s">
        <v>874</v>
      </c>
      <c r="H382" t="s">
        <v>5630</v>
      </c>
      <c r="I382" t="s">
        <v>9569</v>
      </c>
      <c r="J382" t="s">
        <v>11620</v>
      </c>
      <c r="K382" t="s">
        <v>16022</v>
      </c>
      <c r="L382">
        <f>HYPERLINK("https://www2.assemblee-nationale.fr/sycomore/fiche/(num_dept)/746", "746")</f>
        <v>0</v>
      </c>
      <c r="N382">
        <f>HYPERLINK("https://www.wikidata.org/wiki/Q15973707", "Q15973707")</f>
        <v>0</v>
      </c>
      <c r="O382" t="s">
        <v>20044</v>
      </c>
      <c r="P382" t="s">
        <v>20405</v>
      </c>
      <c r="Q382" t="s">
        <v>20519</v>
      </c>
      <c r="R382" t="s">
        <v>409</v>
      </c>
      <c r="S382">
        <v>1484</v>
      </c>
    </row>
    <row r="383" spans="1:19">
      <c r="A383" t="s">
        <v>19</v>
      </c>
      <c r="B383" t="s">
        <v>148</v>
      </c>
      <c r="C383" t="s">
        <v>151</v>
      </c>
      <c r="D383" t="s">
        <v>280</v>
      </c>
      <c r="E383" t="s">
        <v>409</v>
      </c>
      <c r="F383">
        <f>HYPERLINK("https://www.wikidata.org/wiki/Q33369535", "Q33369535")</f>
        <v>0</v>
      </c>
      <c r="G383" t="s">
        <v>875</v>
      </c>
      <c r="H383" t="s">
        <v>5631</v>
      </c>
      <c r="I383" t="s">
        <v>9476</v>
      </c>
      <c r="J383" t="s">
        <v>11621</v>
      </c>
      <c r="K383" t="s">
        <v>16023</v>
      </c>
      <c r="L383">
        <f>HYPERLINK("https://www2.assemblee-nationale.fr/sycomore/fiche/(num_dept)/749", "749")</f>
        <v>0</v>
      </c>
      <c r="M383">
        <f>HYPERLINK("https://www.senat.fr/senateur-3eme-republique/besnard_rene0300r3.html", "besnard_rene0300r3")</f>
        <v>0</v>
      </c>
      <c r="N383">
        <f>HYPERLINK("https://www.wikidata.org/wiki/Q3425839", "Q3425839")</f>
        <v>0</v>
      </c>
      <c r="O383" t="s">
        <v>20008</v>
      </c>
      <c r="P383" t="s">
        <v>20405</v>
      </c>
      <c r="Q383" t="s">
        <v>20519</v>
      </c>
      <c r="R383" t="s">
        <v>409</v>
      </c>
      <c r="S383">
        <v>1484</v>
      </c>
    </row>
    <row r="384" spans="1:19">
      <c r="A384" t="s">
        <v>19</v>
      </c>
      <c r="B384" t="s">
        <v>148</v>
      </c>
      <c r="C384" t="s">
        <v>151</v>
      </c>
      <c r="D384" t="s">
        <v>280</v>
      </c>
      <c r="E384" t="s">
        <v>409</v>
      </c>
      <c r="F384">
        <f>HYPERLINK("https://www.wikidata.org/wiki/Q33369535", "Q33369535")</f>
        <v>0</v>
      </c>
      <c r="G384" t="s">
        <v>876</v>
      </c>
      <c r="H384" t="s">
        <v>5632</v>
      </c>
      <c r="I384" t="s">
        <v>6175</v>
      </c>
      <c r="J384" t="s">
        <v>11622</v>
      </c>
      <c r="K384" t="s">
        <v>16024</v>
      </c>
      <c r="L384">
        <f>HYPERLINK("https://www2.assemblee-nationale.fr/sycomore/fiche/(num_dept)/938", "938")</f>
        <v>0</v>
      </c>
      <c r="N384">
        <f>HYPERLINK("https://www.wikidata.org/wiki/Q3102326", "Q3102326")</f>
        <v>0</v>
      </c>
      <c r="O384" t="s">
        <v>19976</v>
      </c>
      <c r="P384" t="s">
        <v>20403</v>
      </c>
      <c r="Q384" t="s">
        <v>20519</v>
      </c>
      <c r="R384" t="s">
        <v>409</v>
      </c>
      <c r="S384">
        <v>1484</v>
      </c>
    </row>
    <row r="385" spans="1:19">
      <c r="A385" t="s">
        <v>19</v>
      </c>
      <c r="B385" t="s">
        <v>148</v>
      </c>
      <c r="C385" t="s">
        <v>151</v>
      </c>
      <c r="D385" t="s">
        <v>280</v>
      </c>
      <c r="E385" t="s">
        <v>409</v>
      </c>
      <c r="F385">
        <f>HYPERLINK("https://www.wikidata.org/wiki/Q33369535", "Q33369535")</f>
        <v>0</v>
      </c>
      <c r="G385" t="s">
        <v>877</v>
      </c>
      <c r="H385" t="s">
        <v>5633</v>
      </c>
      <c r="I385" t="s">
        <v>9483</v>
      </c>
      <c r="J385" t="s">
        <v>11623</v>
      </c>
      <c r="K385" t="s">
        <v>343</v>
      </c>
      <c r="L385">
        <f>HYPERLINK("https://www2.assemblee-nationale.fr/sycomore/fiche/(num_dept)/956", "956")</f>
        <v>0</v>
      </c>
      <c r="M385">
        <f>HYPERLINK("https://www.senat.fr/senateur-3eme-republique/bonniard_victor0085r3.html", "bonniard_victor0085r3")</f>
        <v>0</v>
      </c>
      <c r="N385">
        <f>HYPERLINK("https://www.wikidata.org/wiki/Q3557172", "Q3557172")</f>
        <v>0</v>
      </c>
      <c r="O385" t="s">
        <v>19981</v>
      </c>
      <c r="P385" t="s">
        <v>20402</v>
      </c>
      <c r="Q385" t="s">
        <v>20519</v>
      </c>
      <c r="R385" t="s">
        <v>409</v>
      </c>
      <c r="S385">
        <v>1484</v>
      </c>
    </row>
    <row r="386" spans="1:19">
      <c r="A386" t="s">
        <v>19</v>
      </c>
      <c r="B386" t="s">
        <v>148</v>
      </c>
      <c r="C386" t="s">
        <v>151</v>
      </c>
      <c r="D386" t="s">
        <v>280</v>
      </c>
      <c r="E386" t="s">
        <v>409</v>
      </c>
      <c r="F386">
        <f>HYPERLINK("https://www.wikidata.org/wiki/Q33369535", "Q33369535")</f>
        <v>0</v>
      </c>
      <c r="G386" t="s">
        <v>878</v>
      </c>
      <c r="H386" t="s">
        <v>5634</v>
      </c>
      <c r="I386" t="s">
        <v>9483</v>
      </c>
      <c r="J386" t="s">
        <v>11624</v>
      </c>
      <c r="K386" t="s">
        <v>16025</v>
      </c>
      <c r="L386">
        <f>HYPERLINK("https://www2.assemblee-nationale.fr/sycomore/fiche/(num_dept)/976", "976")</f>
        <v>0</v>
      </c>
      <c r="M386">
        <f>HYPERLINK("https://www.senat.fr/senateur-3eme-republique/boret_victor1774r3.html", "boret_victor1774r3")</f>
        <v>0</v>
      </c>
      <c r="N386">
        <f>HYPERLINK("https://www.wikidata.org/wiki/Q3557173", "Q3557173")</f>
        <v>0</v>
      </c>
      <c r="O386" t="s">
        <v>19982</v>
      </c>
      <c r="P386" t="s">
        <v>20401</v>
      </c>
      <c r="Q386" t="s">
        <v>20519</v>
      </c>
      <c r="R386" t="s">
        <v>409</v>
      </c>
      <c r="S386">
        <v>1484</v>
      </c>
    </row>
    <row r="387" spans="1:19">
      <c r="A387" t="s">
        <v>19</v>
      </c>
      <c r="B387" t="s">
        <v>148</v>
      </c>
      <c r="C387" t="s">
        <v>151</v>
      </c>
      <c r="D387" t="s">
        <v>280</v>
      </c>
      <c r="E387" t="s">
        <v>409</v>
      </c>
      <c r="F387">
        <f>HYPERLINK("https://www.wikidata.org/wiki/Q33369535", "Q33369535")</f>
        <v>0</v>
      </c>
      <c r="G387" t="s">
        <v>879</v>
      </c>
      <c r="H387" t="s">
        <v>5635</v>
      </c>
      <c r="I387" t="s">
        <v>9570</v>
      </c>
      <c r="J387" t="s">
        <v>11625</v>
      </c>
      <c r="K387" t="s">
        <v>16026</v>
      </c>
      <c r="L387">
        <f>HYPERLINK("https://www2.assemblee-nationale.fr/sycomore/fiche/(num_dept)/979", "979")</f>
        <v>0</v>
      </c>
      <c r="N387">
        <f>HYPERLINK("https://www.wikidata.org/wiki/Q15973816", "Q15973816")</f>
        <v>0</v>
      </c>
      <c r="O387" t="s">
        <v>20045</v>
      </c>
      <c r="P387" t="s">
        <v>20403</v>
      </c>
      <c r="Q387" t="s">
        <v>20519</v>
      </c>
      <c r="R387" t="s">
        <v>16026</v>
      </c>
      <c r="S387">
        <v>874</v>
      </c>
    </row>
    <row r="388" spans="1:19">
      <c r="A388" t="s">
        <v>19</v>
      </c>
      <c r="B388" t="s">
        <v>148</v>
      </c>
      <c r="C388" t="s">
        <v>151</v>
      </c>
      <c r="D388" t="s">
        <v>280</v>
      </c>
      <c r="E388" t="s">
        <v>409</v>
      </c>
      <c r="F388">
        <f>HYPERLINK("https://www.wikidata.org/wiki/Q33369535", "Q33369535")</f>
        <v>0</v>
      </c>
      <c r="G388" t="s">
        <v>880</v>
      </c>
      <c r="H388" t="s">
        <v>5636</v>
      </c>
      <c r="I388" t="s">
        <v>9571</v>
      </c>
      <c r="J388" t="s">
        <v>11626</v>
      </c>
      <c r="K388" t="s">
        <v>16027</v>
      </c>
      <c r="L388">
        <f>HYPERLINK("https://www2.assemblee-nationale.fr/sycomore/fiche/(num_dept)/988", "988")</f>
        <v>0</v>
      </c>
      <c r="N388">
        <f>HYPERLINK("https://www.wikidata.org/wiki/Q16025422", "Q16025422")</f>
        <v>0</v>
      </c>
      <c r="O388" t="s">
        <v>19966</v>
      </c>
      <c r="P388" t="s">
        <v>20402</v>
      </c>
      <c r="Q388" t="s">
        <v>20519</v>
      </c>
      <c r="R388" t="s">
        <v>409</v>
      </c>
      <c r="S388">
        <v>1484</v>
      </c>
    </row>
    <row r="389" spans="1:19">
      <c r="A389" t="s">
        <v>19</v>
      </c>
      <c r="B389" t="s">
        <v>148</v>
      </c>
      <c r="C389" t="s">
        <v>151</v>
      </c>
      <c r="D389" t="s">
        <v>280</v>
      </c>
      <c r="E389" t="s">
        <v>409</v>
      </c>
      <c r="F389">
        <f>HYPERLINK("https://www.wikidata.org/wiki/Q33369535", "Q33369535")</f>
        <v>0</v>
      </c>
      <c r="G389" t="s">
        <v>881</v>
      </c>
      <c r="H389" t="s">
        <v>5637</v>
      </c>
      <c r="I389" t="s">
        <v>9572</v>
      </c>
      <c r="J389" t="s">
        <v>11627</v>
      </c>
      <c r="K389" t="s">
        <v>15795</v>
      </c>
      <c r="L389">
        <f>HYPERLINK("https://www2.assemblee-nationale.fr/sycomore/fiche/(num_dept)/1024", "1024")</f>
        <v>0</v>
      </c>
      <c r="N389">
        <f>HYPERLINK("https://www.wikidata.org/wiki/Q15973840", "Q15973840")</f>
        <v>0</v>
      </c>
      <c r="O389" t="s">
        <v>19997</v>
      </c>
      <c r="P389" t="s">
        <v>20403</v>
      </c>
      <c r="Q389" t="s">
        <v>20519</v>
      </c>
      <c r="R389" t="s">
        <v>409</v>
      </c>
      <c r="S389">
        <v>1484</v>
      </c>
    </row>
    <row r="390" spans="1:19">
      <c r="A390" t="s">
        <v>19</v>
      </c>
      <c r="B390" t="s">
        <v>148</v>
      </c>
      <c r="C390" t="s">
        <v>151</v>
      </c>
      <c r="D390" t="s">
        <v>280</v>
      </c>
      <c r="E390" t="s">
        <v>409</v>
      </c>
      <c r="F390">
        <f>HYPERLINK("https://www.wikidata.org/wiki/Q33369535", "Q33369535")</f>
        <v>0</v>
      </c>
      <c r="G390" t="s">
        <v>882</v>
      </c>
      <c r="H390" t="s">
        <v>5638</v>
      </c>
      <c r="I390" t="s">
        <v>9535</v>
      </c>
      <c r="J390" t="s">
        <v>11628</v>
      </c>
      <c r="K390" t="s">
        <v>16028</v>
      </c>
      <c r="L390">
        <f>HYPERLINK("https://www2.assemblee-nationale.fr/sycomore/fiche/(num_dept)/1034", "1034")</f>
        <v>0</v>
      </c>
      <c r="N390">
        <f>HYPERLINK("https://www.wikidata.org/wiki/Q3189383", "Q3189383")</f>
        <v>0</v>
      </c>
      <c r="O390" t="s">
        <v>20016</v>
      </c>
      <c r="P390" t="s">
        <v>20401</v>
      </c>
      <c r="Q390" t="s">
        <v>20519</v>
      </c>
      <c r="R390" t="s">
        <v>409</v>
      </c>
      <c r="S390">
        <v>1484</v>
      </c>
    </row>
    <row r="391" spans="1:19">
      <c r="A391" t="s">
        <v>19</v>
      </c>
      <c r="B391" t="s">
        <v>148</v>
      </c>
      <c r="C391" t="s">
        <v>151</v>
      </c>
      <c r="D391" t="s">
        <v>280</v>
      </c>
      <c r="E391" t="s">
        <v>409</v>
      </c>
      <c r="F391">
        <f>HYPERLINK("https://www.wikidata.org/wiki/Q33369535", "Q33369535")</f>
        <v>0</v>
      </c>
      <c r="G391" t="s">
        <v>883</v>
      </c>
      <c r="H391" t="s">
        <v>5639</v>
      </c>
      <c r="I391" t="s">
        <v>9474</v>
      </c>
      <c r="J391" t="s">
        <v>11629</v>
      </c>
      <c r="K391" t="s">
        <v>16029</v>
      </c>
      <c r="L391">
        <f>HYPERLINK("https://www2.assemblee-nationale.fr/sycomore/fiche/(num_dept)/1038", "1038")</f>
        <v>0</v>
      </c>
      <c r="N391">
        <f>HYPERLINK("https://www.wikidata.org/wiki/Q15973879", "Q15973879")</f>
        <v>0</v>
      </c>
      <c r="O391" t="s">
        <v>20002</v>
      </c>
      <c r="P391" t="s">
        <v>20404</v>
      </c>
      <c r="Q391" t="s">
        <v>20519</v>
      </c>
      <c r="R391" t="s">
        <v>16029</v>
      </c>
      <c r="S391">
        <v>1177</v>
      </c>
    </row>
    <row r="392" spans="1:19">
      <c r="A392" t="s">
        <v>19</v>
      </c>
      <c r="B392" t="s">
        <v>148</v>
      </c>
      <c r="C392" t="s">
        <v>151</v>
      </c>
      <c r="D392" t="s">
        <v>280</v>
      </c>
      <c r="E392" t="s">
        <v>409</v>
      </c>
      <c r="F392">
        <f>HYPERLINK("https://www.wikidata.org/wiki/Q33369535", "Q33369535")</f>
        <v>0</v>
      </c>
      <c r="G392" t="s">
        <v>884</v>
      </c>
      <c r="H392" t="s">
        <v>5640</v>
      </c>
      <c r="I392" t="s">
        <v>9446</v>
      </c>
      <c r="J392" t="s">
        <v>11630</v>
      </c>
      <c r="K392" t="s">
        <v>16030</v>
      </c>
      <c r="L392">
        <f>HYPERLINK("https://www2.assemblee-nationale.fr/sycomore/fiche/(num_dept)/1043", "1043")</f>
        <v>0</v>
      </c>
      <c r="N392">
        <f>HYPERLINK("https://www.wikidata.org/wiki/Q459510", "Q459510")</f>
        <v>0</v>
      </c>
      <c r="O392" t="s">
        <v>19990</v>
      </c>
      <c r="P392" t="s">
        <v>20404</v>
      </c>
      <c r="Q392" t="s">
        <v>20519</v>
      </c>
      <c r="R392" t="s">
        <v>409</v>
      </c>
      <c r="S392">
        <v>1484</v>
      </c>
    </row>
    <row r="393" spans="1:19">
      <c r="A393" t="s">
        <v>19</v>
      </c>
      <c r="B393" t="s">
        <v>148</v>
      </c>
      <c r="C393" t="s">
        <v>151</v>
      </c>
      <c r="D393" t="s">
        <v>280</v>
      </c>
      <c r="E393" t="s">
        <v>409</v>
      </c>
      <c r="F393">
        <f>HYPERLINK("https://www.wikidata.org/wiki/Q33369535", "Q33369535")</f>
        <v>0</v>
      </c>
      <c r="G393" t="s">
        <v>885</v>
      </c>
      <c r="H393" t="s">
        <v>5641</v>
      </c>
      <c r="I393" t="s">
        <v>9573</v>
      </c>
      <c r="J393" t="s">
        <v>11631</v>
      </c>
      <c r="K393" t="s">
        <v>16031</v>
      </c>
      <c r="L393">
        <f>HYPERLINK("https://www2.assemblee-nationale.fr/sycomore/fiche/(num_dept)/1095", "1095")</f>
        <v>0</v>
      </c>
      <c r="N393">
        <f>HYPERLINK("https://www.wikidata.org/wiki/Q2847358", "Q2847358")</f>
        <v>0</v>
      </c>
      <c r="O393" t="s">
        <v>20014</v>
      </c>
      <c r="P393" t="s">
        <v>20401</v>
      </c>
      <c r="Q393" t="s">
        <v>20519</v>
      </c>
      <c r="R393" t="s">
        <v>409</v>
      </c>
      <c r="S393">
        <v>1484</v>
      </c>
    </row>
    <row r="394" spans="1:19">
      <c r="A394" t="s">
        <v>19</v>
      </c>
      <c r="B394" t="s">
        <v>148</v>
      </c>
      <c r="C394" t="s">
        <v>151</v>
      </c>
      <c r="D394" t="s">
        <v>280</v>
      </c>
      <c r="E394" t="s">
        <v>409</v>
      </c>
      <c r="F394">
        <f>HYPERLINK("https://www.wikidata.org/wiki/Q33369535", "Q33369535")</f>
        <v>0</v>
      </c>
      <c r="G394" t="s">
        <v>886</v>
      </c>
      <c r="H394" t="s">
        <v>5642</v>
      </c>
      <c r="I394" t="s">
        <v>9574</v>
      </c>
      <c r="J394" t="s">
        <v>11632</v>
      </c>
      <c r="K394" t="s">
        <v>16032</v>
      </c>
      <c r="L394">
        <f>HYPERLINK("https://www2.assemblee-nationale.fr/sycomore/fiche/(num_dept)/1134", "1134")</f>
        <v>0</v>
      </c>
      <c r="N394">
        <f>HYPERLINK("https://www.wikidata.org/wiki/Q8314024", "Q8314024")</f>
        <v>0</v>
      </c>
      <c r="O394" t="s">
        <v>19956</v>
      </c>
      <c r="P394" t="s">
        <v>20401</v>
      </c>
      <c r="Q394" t="s">
        <v>20519</v>
      </c>
      <c r="R394" t="s">
        <v>409</v>
      </c>
      <c r="S394">
        <v>1484</v>
      </c>
    </row>
    <row r="395" spans="1:19">
      <c r="A395" t="s">
        <v>19</v>
      </c>
      <c r="B395" t="s">
        <v>148</v>
      </c>
      <c r="C395" t="s">
        <v>151</v>
      </c>
      <c r="D395" t="s">
        <v>280</v>
      </c>
      <c r="E395" t="s">
        <v>409</v>
      </c>
      <c r="F395">
        <f>HYPERLINK("https://www.wikidata.org/wiki/Q33369535", "Q33369535")</f>
        <v>0</v>
      </c>
      <c r="G395" t="s">
        <v>887</v>
      </c>
      <c r="H395" t="s">
        <v>5643</v>
      </c>
      <c r="I395" t="s">
        <v>9575</v>
      </c>
      <c r="J395" t="s">
        <v>11633</v>
      </c>
      <c r="K395" t="s">
        <v>16033</v>
      </c>
      <c r="L395">
        <f>HYPERLINK("https://www2.assemblee-nationale.fr/sycomore/fiche/(num_dept)/1141", "1141")</f>
        <v>0</v>
      </c>
      <c r="N395">
        <f>HYPERLINK("https://www.wikidata.org/wiki/Q15973918", "Q15973918")</f>
        <v>0</v>
      </c>
      <c r="O395" t="s">
        <v>20013</v>
      </c>
      <c r="P395" t="s">
        <v>20401</v>
      </c>
      <c r="Q395" t="s">
        <v>20519</v>
      </c>
      <c r="R395" t="s">
        <v>409</v>
      </c>
      <c r="S395">
        <v>1484</v>
      </c>
    </row>
    <row r="396" spans="1:19">
      <c r="A396" t="s">
        <v>19</v>
      </c>
      <c r="B396" t="s">
        <v>148</v>
      </c>
      <c r="C396" t="s">
        <v>151</v>
      </c>
      <c r="D396" t="s">
        <v>280</v>
      </c>
      <c r="E396" t="s">
        <v>409</v>
      </c>
      <c r="F396">
        <f>HYPERLINK("https://www.wikidata.org/wiki/Q33369535", "Q33369535")</f>
        <v>0</v>
      </c>
      <c r="G396" t="s">
        <v>888</v>
      </c>
      <c r="H396" t="s">
        <v>5644</v>
      </c>
      <c r="I396" t="s">
        <v>9576</v>
      </c>
      <c r="J396" t="s">
        <v>11634</v>
      </c>
      <c r="K396" t="s">
        <v>16034</v>
      </c>
      <c r="L396">
        <f>HYPERLINK("https://www2.assemblee-nationale.fr/sycomore/fiche/(num_dept)/1169", "1169")</f>
        <v>0</v>
      </c>
      <c r="N396">
        <f>HYPERLINK("https://www.wikidata.org/wiki/Q13085293", "Q13085293")</f>
        <v>0</v>
      </c>
      <c r="O396" t="s">
        <v>19959</v>
      </c>
      <c r="P396" t="s">
        <v>20401</v>
      </c>
      <c r="Q396" t="s">
        <v>20519</v>
      </c>
      <c r="R396" t="s">
        <v>409</v>
      </c>
      <c r="S396">
        <v>1484</v>
      </c>
    </row>
    <row r="397" spans="1:19">
      <c r="A397" t="s">
        <v>19</v>
      </c>
      <c r="B397" t="s">
        <v>148</v>
      </c>
      <c r="C397" t="s">
        <v>151</v>
      </c>
      <c r="D397" t="s">
        <v>280</v>
      </c>
      <c r="E397" t="s">
        <v>409</v>
      </c>
      <c r="F397">
        <f>HYPERLINK("https://www.wikidata.org/wiki/Q33369535", "Q33369535")</f>
        <v>0</v>
      </c>
      <c r="G397" t="s">
        <v>889</v>
      </c>
      <c r="H397" t="s">
        <v>5645</v>
      </c>
      <c r="I397" t="s">
        <v>9407</v>
      </c>
      <c r="J397" t="s">
        <v>11635</v>
      </c>
      <c r="K397" t="s">
        <v>16035</v>
      </c>
      <c r="L397">
        <f>HYPERLINK("https://www2.assemblee-nationale.fr/sycomore/fiche/(num_dept)/1192", "1192")</f>
        <v>0</v>
      </c>
      <c r="M397">
        <f>HYPERLINK("https://www.senat.fr/senateur-3eme-republique/brenier_joseph1199r3.html", "brenier_joseph1199r3")</f>
        <v>0</v>
      </c>
      <c r="N397">
        <f>HYPERLINK("https://www.wikidata.org/wiki/Q3184661", "Q3184661")</f>
        <v>0</v>
      </c>
      <c r="O397" t="s">
        <v>20006</v>
      </c>
      <c r="P397" t="s">
        <v>20404</v>
      </c>
      <c r="Q397" t="s">
        <v>20519</v>
      </c>
      <c r="R397" t="s">
        <v>409</v>
      </c>
      <c r="S397">
        <v>1484</v>
      </c>
    </row>
    <row r="398" spans="1:19">
      <c r="A398" t="s">
        <v>19</v>
      </c>
      <c r="B398" t="s">
        <v>148</v>
      </c>
      <c r="C398" t="s">
        <v>151</v>
      </c>
      <c r="D398" t="s">
        <v>280</v>
      </c>
      <c r="E398" t="s">
        <v>409</v>
      </c>
      <c r="F398">
        <f>HYPERLINK("https://www.wikidata.org/wiki/Q33369535", "Q33369535")</f>
        <v>0</v>
      </c>
      <c r="G398" t="s">
        <v>890</v>
      </c>
      <c r="H398" t="s">
        <v>5646</v>
      </c>
      <c r="I398" t="s">
        <v>9577</v>
      </c>
      <c r="J398" t="s">
        <v>11636</v>
      </c>
      <c r="K398" t="s">
        <v>16036</v>
      </c>
      <c r="L398">
        <f>HYPERLINK("https://www2.assemblee-nationale.fr/sycomore/fiche/(num_dept)/1234", "1234")</f>
        <v>0</v>
      </c>
      <c r="M398">
        <f>HYPERLINK("https://www.senat.fr/senateur-3eme-republique/brindeau_louis1617r3.html", "brindeau_louis1617r3")</f>
        <v>0</v>
      </c>
      <c r="N398">
        <f>HYPERLINK("https://www.wikidata.org/wiki/Q3261358", "Q3261358")</f>
        <v>0</v>
      </c>
      <c r="O398" t="s">
        <v>19978</v>
      </c>
      <c r="P398" t="s">
        <v>20403</v>
      </c>
      <c r="Q398" t="s">
        <v>20519</v>
      </c>
      <c r="R398" t="s">
        <v>400</v>
      </c>
      <c r="S398">
        <v>609</v>
      </c>
    </row>
    <row r="399" spans="1:19">
      <c r="A399" t="s">
        <v>19</v>
      </c>
      <c r="B399" t="s">
        <v>148</v>
      </c>
      <c r="C399" t="s">
        <v>151</v>
      </c>
      <c r="D399" t="s">
        <v>280</v>
      </c>
      <c r="E399" t="s">
        <v>409</v>
      </c>
      <c r="F399">
        <f>HYPERLINK("https://www.wikidata.org/wiki/Q33369535", "Q33369535")</f>
        <v>0</v>
      </c>
      <c r="G399" t="s">
        <v>891</v>
      </c>
      <c r="H399" t="s">
        <v>5647</v>
      </c>
      <c r="I399" t="s">
        <v>9500</v>
      </c>
      <c r="J399" t="s">
        <v>11637</v>
      </c>
      <c r="K399" t="s">
        <v>16037</v>
      </c>
      <c r="L399">
        <f>HYPERLINK("https://www2.assemblee-nationale.fr/sycomore/fiche/(num_dept)/1239", "1239")</f>
        <v>0</v>
      </c>
      <c r="N399">
        <f>HYPERLINK("https://www.wikidata.org/wiki/Q15974005", "Q15974005")</f>
        <v>0</v>
      </c>
      <c r="O399" t="s">
        <v>19968</v>
      </c>
      <c r="P399" t="s">
        <v>20404</v>
      </c>
      <c r="Q399" t="s">
        <v>20519</v>
      </c>
      <c r="R399" t="s">
        <v>409</v>
      </c>
      <c r="S399">
        <v>1484</v>
      </c>
    </row>
    <row r="400" spans="1:19">
      <c r="A400" t="s">
        <v>19</v>
      </c>
      <c r="B400" t="s">
        <v>148</v>
      </c>
      <c r="C400" t="s">
        <v>151</v>
      </c>
      <c r="D400" t="s">
        <v>280</v>
      </c>
      <c r="E400" t="s">
        <v>409</v>
      </c>
      <c r="F400">
        <f>HYPERLINK("https://www.wikidata.org/wiki/Q33369535", "Q33369535")</f>
        <v>0</v>
      </c>
      <c r="G400" t="s">
        <v>892</v>
      </c>
      <c r="H400" t="s">
        <v>5648</v>
      </c>
      <c r="I400" t="s">
        <v>9457</v>
      </c>
      <c r="J400" t="s">
        <v>11638</v>
      </c>
      <c r="K400" t="s">
        <v>16038</v>
      </c>
      <c r="L400">
        <f>HYPERLINK("https://www2.assemblee-nationale.fr/sycomore/fiche/(num_dept)/1240", "1240")</f>
        <v>0</v>
      </c>
      <c r="N400">
        <f>HYPERLINK("https://www.wikidata.org/wiki/Q669725", "Q669725")</f>
        <v>0</v>
      </c>
      <c r="O400" t="s">
        <v>19990</v>
      </c>
      <c r="P400" t="s">
        <v>20401</v>
      </c>
      <c r="Q400" t="s">
        <v>20519</v>
      </c>
      <c r="R400" t="s">
        <v>16038</v>
      </c>
      <c r="S400">
        <v>706</v>
      </c>
    </row>
    <row r="401" spans="1:19">
      <c r="A401" t="s">
        <v>19</v>
      </c>
      <c r="B401" t="s">
        <v>148</v>
      </c>
      <c r="C401" t="s">
        <v>151</v>
      </c>
      <c r="D401" t="s">
        <v>280</v>
      </c>
      <c r="E401" t="s">
        <v>409</v>
      </c>
      <c r="F401">
        <f>HYPERLINK("https://www.wikidata.org/wiki/Q33369535", "Q33369535")</f>
        <v>0</v>
      </c>
      <c r="G401" t="s">
        <v>893</v>
      </c>
      <c r="H401" t="s">
        <v>5649</v>
      </c>
      <c r="I401" t="s">
        <v>9578</v>
      </c>
      <c r="J401" t="s">
        <v>11639</v>
      </c>
      <c r="K401" t="s">
        <v>15822</v>
      </c>
      <c r="L401">
        <f>HYPERLINK("https://www2.assemblee-nationale.fr/sycomore/fiche/(num_dept)/1275", "1275")</f>
        <v>0</v>
      </c>
      <c r="N401">
        <f>HYPERLINK("https://www.wikidata.org/wiki/Q15973958", "Q15973958")</f>
        <v>0</v>
      </c>
      <c r="O401" t="s">
        <v>19966</v>
      </c>
      <c r="P401" t="s">
        <v>20405</v>
      </c>
      <c r="Q401" t="s">
        <v>20519</v>
      </c>
      <c r="R401" t="s">
        <v>409</v>
      </c>
      <c r="S401">
        <v>1484</v>
      </c>
    </row>
    <row r="402" spans="1:19">
      <c r="A402" t="s">
        <v>19</v>
      </c>
      <c r="B402" t="s">
        <v>148</v>
      </c>
      <c r="C402" t="s">
        <v>151</v>
      </c>
      <c r="D402" t="s">
        <v>280</v>
      </c>
      <c r="E402" t="s">
        <v>409</v>
      </c>
      <c r="F402">
        <f>HYPERLINK("https://www.wikidata.org/wiki/Q33369535", "Q33369535")</f>
        <v>0</v>
      </c>
      <c r="G402" t="s">
        <v>894</v>
      </c>
      <c r="H402" t="s">
        <v>5650</v>
      </c>
      <c r="I402" t="s">
        <v>9579</v>
      </c>
      <c r="J402" t="s">
        <v>11640</v>
      </c>
      <c r="K402" t="s">
        <v>16039</v>
      </c>
      <c r="L402">
        <f>HYPERLINK("https://www2.assemblee-nationale.fr/sycomore/fiche/(num_dept)/1287", "1287")</f>
        <v>0</v>
      </c>
      <c r="N402">
        <f>HYPERLINK("https://www.wikidata.org/wiki/Q15974067", "Q15974067")</f>
        <v>0</v>
      </c>
      <c r="O402" t="s">
        <v>20010</v>
      </c>
      <c r="P402" t="s">
        <v>20402</v>
      </c>
      <c r="Q402" t="s">
        <v>20519</v>
      </c>
      <c r="R402" t="s">
        <v>409</v>
      </c>
      <c r="S402">
        <v>1484</v>
      </c>
    </row>
    <row r="403" spans="1:19">
      <c r="A403" t="s">
        <v>19</v>
      </c>
      <c r="B403" t="s">
        <v>148</v>
      </c>
      <c r="C403" t="s">
        <v>151</v>
      </c>
      <c r="D403" t="s">
        <v>280</v>
      </c>
      <c r="E403" t="s">
        <v>409</v>
      </c>
      <c r="F403">
        <f>HYPERLINK("https://www.wikidata.org/wiki/Q33369535", "Q33369535")</f>
        <v>0</v>
      </c>
      <c r="G403" t="s">
        <v>895</v>
      </c>
      <c r="H403" t="s">
        <v>5651</v>
      </c>
      <c r="I403" t="s">
        <v>9580</v>
      </c>
      <c r="J403" t="s">
        <v>11641</v>
      </c>
      <c r="K403" t="s">
        <v>16040</v>
      </c>
      <c r="L403">
        <f>HYPERLINK("https://www2.assemblee-nationale.fr/sycomore/fiche/(num_dept)/1306", "1306")</f>
        <v>0</v>
      </c>
      <c r="N403">
        <f>HYPERLINK("https://www.wikidata.org/wiki/Q273607", "Q273607")</f>
        <v>0</v>
      </c>
      <c r="O403" t="s">
        <v>19969</v>
      </c>
      <c r="P403" t="s">
        <v>20405</v>
      </c>
      <c r="Q403" t="s">
        <v>20519</v>
      </c>
      <c r="R403" t="s">
        <v>409</v>
      </c>
      <c r="S403">
        <v>1484</v>
      </c>
    </row>
    <row r="404" spans="1:19">
      <c r="A404" t="s">
        <v>19</v>
      </c>
      <c r="B404" t="s">
        <v>148</v>
      </c>
      <c r="C404" t="s">
        <v>151</v>
      </c>
      <c r="D404" t="s">
        <v>280</v>
      </c>
      <c r="E404" t="s">
        <v>409</v>
      </c>
      <c r="F404">
        <f>HYPERLINK("https://www.wikidata.org/wiki/Q33369535", "Q33369535")</f>
        <v>0</v>
      </c>
      <c r="G404" t="s">
        <v>896</v>
      </c>
      <c r="H404" t="s">
        <v>5652</v>
      </c>
      <c r="I404" t="s">
        <v>6175</v>
      </c>
      <c r="J404" t="s">
        <v>11642</v>
      </c>
      <c r="K404" t="s">
        <v>16041</v>
      </c>
      <c r="L404">
        <f>HYPERLINK("https://www2.assemblee-nationale.fr/sycomore/fiche/(num_dept)/1313", "1313")</f>
        <v>0</v>
      </c>
      <c r="N404">
        <f>HYPERLINK("https://www.wikidata.org/wiki/Q3102398", "Q3102398")</f>
        <v>0</v>
      </c>
      <c r="O404" t="s">
        <v>19978</v>
      </c>
      <c r="P404" t="s">
        <v>20402</v>
      </c>
      <c r="Q404" t="s">
        <v>20519</v>
      </c>
      <c r="R404" t="s">
        <v>409</v>
      </c>
      <c r="S404">
        <v>1484</v>
      </c>
    </row>
    <row r="405" spans="1:19">
      <c r="A405" t="s">
        <v>19</v>
      </c>
      <c r="B405" t="s">
        <v>148</v>
      </c>
      <c r="C405" t="s">
        <v>151</v>
      </c>
      <c r="D405" t="s">
        <v>280</v>
      </c>
      <c r="E405" t="s">
        <v>409</v>
      </c>
      <c r="F405">
        <f>HYPERLINK("https://www.wikidata.org/wiki/Q33369535", "Q33369535")</f>
        <v>0</v>
      </c>
      <c r="G405" t="s">
        <v>897</v>
      </c>
      <c r="H405" t="s">
        <v>5653</v>
      </c>
      <c r="I405" t="s">
        <v>9581</v>
      </c>
      <c r="J405" t="s">
        <v>11643</v>
      </c>
      <c r="K405" t="s">
        <v>15997</v>
      </c>
      <c r="L405">
        <f>HYPERLINK("https://www2.assemblee-nationale.fr/sycomore/fiche/(num_dept)/1341", "1341")</f>
        <v>0</v>
      </c>
      <c r="N405">
        <f>HYPERLINK("https://www.wikidata.org/wiki/Q16025423", "Q16025423")</f>
        <v>0</v>
      </c>
      <c r="O405" t="s">
        <v>19967</v>
      </c>
      <c r="P405" t="s">
        <v>20404</v>
      </c>
      <c r="Q405" t="s">
        <v>20519</v>
      </c>
      <c r="R405" t="s">
        <v>409</v>
      </c>
      <c r="S405">
        <v>1484</v>
      </c>
    </row>
    <row r="406" spans="1:19">
      <c r="A406" t="s">
        <v>19</v>
      </c>
      <c r="B406" t="s">
        <v>148</v>
      </c>
      <c r="C406" t="s">
        <v>151</v>
      </c>
      <c r="D406" t="s">
        <v>280</v>
      </c>
      <c r="E406" t="s">
        <v>409</v>
      </c>
      <c r="F406">
        <f>HYPERLINK("https://www.wikidata.org/wiki/Q33369535", "Q33369535")</f>
        <v>0</v>
      </c>
      <c r="G406" t="s">
        <v>898</v>
      </c>
      <c r="H406" t="s">
        <v>5654</v>
      </c>
      <c r="I406" t="s">
        <v>9582</v>
      </c>
      <c r="J406" t="s">
        <v>11644</v>
      </c>
      <c r="K406" t="s">
        <v>16042</v>
      </c>
      <c r="L406">
        <f>HYPERLINK("https://www2.assemblee-nationale.fr/sycomore/fiche/(num_dept)/1401", "1401")</f>
        <v>0</v>
      </c>
      <c r="N406">
        <f>HYPERLINK("https://www.wikidata.org/wiki/Q2934043", "Q2934043")</f>
        <v>0</v>
      </c>
      <c r="O406" t="s">
        <v>19987</v>
      </c>
      <c r="P406" t="s">
        <v>20404</v>
      </c>
      <c r="Q406" t="s">
        <v>20519</v>
      </c>
      <c r="R406" t="s">
        <v>409</v>
      </c>
      <c r="S406">
        <v>1484</v>
      </c>
    </row>
    <row r="407" spans="1:19">
      <c r="A407" t="s">
        <v>19</v>
      </c>
      <c r="B407" t="s">
        <v>148</v>
      </c>
      <c r="C407" t="s">
        <v>151</v>
      </c>
      <c r="D407" t="s">
        <v>280</v>
      </c>
      <c r="E407" t="s">
        <v>409</v>
      </c>
      <c r="F407">
        <f>HYPERLINK("https://www.wikidata.org/wiki/Q33369535", "Q33369535")</f>
        <v>0</v>
      </c>
      <c r="G407" t="s">
        <v>899</v>
      </c>
      <c r="H407" t="s">
        <v>5655</v>
      </c>
      <c r="I407" t="s">
        <v>6166</v>
      </c>
      <c r="J407" t="s">
        <v>11645</v>
      </c>
      <c r="K407" t="s">
        <v>16043</v>
      </c>
      <c r="L407">
        <f>HYPERLINK("https://www2.assemblee-nationale.fr/sycomore/fiche/(num_dept)/1461", "1461")</f>
        <v>0</v>
      </c>
      <c r="N407">
        <f>HYPERLINK("https://www.wikidata.org/wiki/Q3084180", "Q3084180")</f>
        <v>0</v>
      </c>
      <c r="O407" t="s">
        <v>20046</v>
      </c>
      <c r="P407" t="s">
        <v>20401</v>
      </c>
      <c r="Q407" t="s">
        <v>20519</v>
      </c>
      <c r="R407" t="s">
        <v>409</v>
      </c>
      <c r="S407">
        <v>1484</v>
      </c>
    </row>
    <row r="408" spans="1:19">
      <c r="A408" t="s">
        <v>19</v>
      </c>
      <c r="B408" t="s">
        <v>148</v>
      </c>
      <c r="C408" t="s">
        <v>151</v>
      </c>
      <c r="D408" t="s">
        <v>280</v>
      </c>
      <c r="E408" t="s">
        <v>409</v>
      </c>
      <c r="F408">
        <f>HYPERLINK("https://www.wikidata.org/wiki/Q33369535", "Q33369535")</f>
        <v>0</v>
      </c>
      <c r="G408" t="s">
        <v>900</v>
      </c>
      <c r="H408" t="s">
        <v>5656</v>
      </c>
      <c r="I408" t="s">
        <v>6585</v>
      </c>
      <c r="J408" t="s">
        <v>11646</v>
      </c>
      <c r="K408" t="s">
        <v>16044</v>
      </c>
      <c r="L408">
        <f>HYPERLINK("https://www2.assemblee-nationale.fr/sycomore/fiche/(num_dept)/1487", "1487")</f>
        <v>0</v>
      </c>
      <c r="N408">
        <f>HYPERLINK("https://www.wikidata.org/wiki/Q15974174", "Q15974174")</f>
        <v>0</v>
      </c>
      <c r="O408" t="s">
        <v>19987</v>
      </c>
      <c r="P408" t="s">
        <v>20410</v>
      </c>
      <c r="Q408" t="s">
        <v>20519</v>
      </c>
      <c r="R408" t="s">
        <v>409</v>
      </c>
      <c r="S408">
        <v>1484</v>
      </c>
    </row>
    <row r="409" spans="1:19">
      <c r="A409" t="s">
        <v>19</v>
      </c>
      <c r="B409" t="s">
        <v>148</v>
      </c>
      <c r="C409" t="s">
        <v>151</v>
      </c>
      <c r="D409" t="s">
        <v>280</v>
      </c>
      <c r="E409" t="s">
        <v>409</v>
      </c>
      <c r="F409">
        <f>HYPERLINK("https://www.wikidata.org/wiki/Q33369535", "Q33369535")</f>
        <v>0</v>
      </c>
      <c r="G409" t="s">
        <v>901</v>
      </c>
      <c r="H409" t="s">
        <v>5657</v>
      </c>
      <c r="I409" t="s">
        <v>6585</v>
      </c>
      <c r="J409" t="s">
        <v>11321</v>
      </c>
      <c r="K409" t="s">
        <v>16045</v>
      </c>
      <c r="L409">
        <f>HYPERLINK("https://www2.assemblee-nationale.fr/sycomore/fiche/(num_dept)/1501", "1501")</f>
        <v>0</v>
      </c>
      <c r="N409">
        <f>HYPERLINK("https://www.wikidata.org/wiki/Q8322845", "Q8322845")</f>
        <v>0</v>
      </c>
      <c r="O409" t="s">
        <v>20015</v>
      </c>
      <c r="P409" t="s">
        <v>20407</v>
      </c>
      <c r="Q409" t="s">
        <v>20519</v>
      </c>
      <c r="R409" t="s">
        <v>16045</v>
      </c>
      <c r="S409">
        <v>808</v>
      </c>
    </row>
    <row r="410" spans="1:19">
      <c r="A410" t="s">
        <v>19</v>
      </c>
      <c r="B410" t="s">
        <v>148</v>
      </c>
      <c r="C410" t="s">
        <v>151</v>
      </c>
      <c r="D410" t="s">
        <v>280</v>
      </c>
      <c r="E410" t="s">
        <v>409</v>
      </c>
      <c r="F410">
        <f>HYPERLINK("https://www.wikidata.org/wiki/Q33369535", "Q33369535")</f>
        <v>0</v>
      </c>
      <c r="G410" t="s">
        <v>902</v>
      </c>
      <c r="H410" t="s">
        <v>5658</v>
      </c>
      <c r="I410" t="s">
        <v>8240</v>
      </c>
      <c r="J410" t="s">
        <v>11647</v>
      </c>
      <c r="K410" t="s">
        <v>16046</v>
      </c>
      <c r="L410">
        <f>HYPERLINK("https://www2.assemblee-nationale.fr/sycomore/fiche/(num_dept)/1568", "1568")</f>
        <v>0</v>
      </c>
      <c r="N410">
        <f>HYPERLINK("https://www.wikidata.org/wiki/Q3367326", "Q3367326")</f>
        <v>0</v>
      </c>
      <c r="O410" t="s">
        <v>20015</v>
      </c>
      <c r="P410" t="s">
        <v>20405</v>
      </c>
      <c r="Q410" t="s">
        <v>20519</v>
      </c>
      <c r="R410" t="s">
        <v>409</v>
      </c>
      <c r="S410">
        <v>1484</v>
      </c>
    </row>
    <row r="411" spans="1:19">
      <c r="A411" t="s">
        <v>19</v>
      </c>
      <c r="B411" t="s">
        <v>148</v>
      </c>
      <c r="C411" t="s">
        <v>151</v>
      </c>
      <c r="D411" t="s">
        <v>280</v>
      </c>
      <c r="E411" t="s">
        <v>409</v>
      </c>
      <c r="F411">
        <f>HYPERLINK("https://www.wikidata.org/wiki/Q33369535", "Q33369535")</f>
        <v>0</v>
      </c>
      <c r="G411" t="s">
        <v>903</v>
      </c>
      <c r="H411" t="s">
        <v>5659</v>
      </c>
      <c r="I411" t="s">
        <v>6200</v>
      </c>
      <c r="J411" t="s">
        <v>11648</v>
      </c>
      <c r="K411" t="s">
        <v>16047</v>
      </c>
      <c r="L411">
        <f>HYPERLINK("https://www2.assemblee-nationale.fr/sycomore/fiche/(num_dept)/1572", "1572")</f>
        <v>0</v>
      </c>
      <c r="N411">
        <f>HYPERLINK("https://www.wikidata.org/wiki/Q3171180", "Q3171180")</f>
        <v>0</v>
      </c>
      <c r="O411" t="s">
        <v>20043</v>
      </c>
      <c r="P411" t="s">
        <v>20401</v>
      </c>
      <c r="Q411" t="s">
        <v>20519</v>
      </c>
      <c r="R411" t="s">
        <v>409</v>
      </c>
      <c r="S411">
        <v>1484</v>
      </c>
    </row>
    <row r="412" spans="1:19">
      <c r="A412" t="s">
        <v>19</v>
      </c>
      <c r="B412" t="s">
        <v>148</v>
      </c>
      <c r="C412" t="s">
        <v>151</v>
      </c>
      <c r="D412" t="s">
        <v>280</v>
      </c>
      <c r="E412" t="s">
        <v>409</v>
      </c>
      <c r="F412">
        <f>HYPERLINK("https://www.wikidata.org/wiki/Q33369535", "Q33369535")</f>
        <v>0</v>
      </c>
      <c r="G412" t="s">
        <v>904</v>
      </c>
      <c r="H412" t="s">
        <v>5660</v>
      </c>
      <c r="I412" t="s">
        <v>9583</v>
      </c>
      <c r="J412" t="s">
        <v>11649</v>
      </c>
      <c r="K412" t="s">
        <v>16048</v>
      </c>
      <c r="L412">
        <f>HYPERLINK("https://www2.assemblee-nationale.fr/sycomore/fiche/(num_dept)/1634", "1634")</f>
        <v>0</v>
      </c>
      <c r="M412">
        <f>HYPERLINK("https://www.senat.fr/senateur-3eme-republique/chanal_jean0017r3.html", "chanal_jean0017r3")</f>
        <v>0</v>
      </c>
      <c r="N412">
        <f>HYPERLINK("https://www.wikidata.org/wiki/Q3059763", "Q3059763")</f>
        <v>0</v>
      </c>
      <c r="O412" t="s">
        <v>19986</v>
      </c>
      <c r="P412" t="s">
        <v>20401</v>
      </c>
      <c r="Q412" t="s">
        <v>20519</v>
      </c>
      <c r="R412" t="s">
        <v>409</v>
      </c>
      <c r="S412">
        <v>1484</v>
      </c>
    </row>
    <row r="413" spans="1:19">
      <c r="A413" t="s">
        <v>19</v>
      </c>
      <c r="B413" t="s">
        <v>148</v>
      </c>
      <c r="C413" t="s">
        <v>151</v>
      </c>
      <c r="D413" t="s">
        <v>280</v>
      </c>
      <c r="E413" t="s">
        <v>409</v>
      </c>
      <c r="F413">
        <f>HYPERLINK("https://www.wikidata.org/wiki/Q33369535", "Q33369535")</f>
        <v>0</v>
      </c>
      <c r="G413" t="s">
        <v>905</v>
      </c>
      <c r="H413" t="s">
        <v>5661</v>
      </c>
      <c r="I413" t="s">
        <v>9584</v>
      </c>
      <c r="J413" t="s">
        <v>11650</v>
      </c>
      <c r="K413" t="s">
        <v>16049</v>
      </c>
      <c r="L413">
        <f>HYPERLINK("https://www2.assemblee-nationale.fr/sycomore/fiche/(num_dept)/1639", "1639")</f>
        <v>0</v>
      </c>
      <c r="N413">
        <f>HYPERLINK("https://www.wikidata.org/wiki/Q639017", "Q639017")</f>
        <v>0</v>
      </c>
      <c r="O413" t="s">
        <v>19990</v>
      </c>
      <c r="P413" t="s">
        <v>20403</v>
      </c>
      <c r="Q413" t="s">
        <v>20519</v>
      </c>
      <c r="R413" t="s">
        <v>409</v>
      </c>
      <c r="S413">
        <v>1484</v>
      </c>
    </row>
    <row r="414" spans="1:19">
      <c r="A414" t="s">
        <v>19</v>
      </c>
      <c r="B414" t="s">
        <v>148</v>
      </c>
      <c r="C414" t="s">
        <v>151</v>
      </c>
      <c r="D414" t="s">
        <v>280</v>
      </c>
      <c r="E414" t="s">
        <v>409</v>
      </c>
      <c r="F414">
        <f>HYPERLINK("https://www.wikidata.org/wiki/Q33369535", "Q33369535")</f>
        <v>0</v>
      </c>
      <c r="G414" t="s">
        <v>906</v>
      </c>
      <c r="H414" t="s">
        <v>5662</v>
      </c>
      <c r="I414" t="s">
        <v>6495</v>
      </c>
      <c r="J414" t="s">
        <v>11377</v>
      </c>
      <c r="K414" t="s">
        <v>16050</v>
      </c>
      <c r="L414">
        <f>HYPERLINK("https://www2.assemblee-nationale.fr/sycomore/fiche/(num_dept)/1648", "1648")</f>
        <v>0</v>
      </c>
      <c r="N414">
        <f>HYPERLINK("https://www.wikidata.org/wiki/Q3263418", "Q3263418")</f>
        <v>0</v>
      </c>
      <c r="O414" t="s">
        <v>19964</v>
      </c>
      <c r="P414" t="s">
        <v>20410</v>
      </c>
      <c r="Q414" t="s">
        <v>20519</v>
      </c>
      <c r="R414" t="s">
        <v>409</v>
      </c>
      <c r="S414">
        <v>1484</v>
      </c>
    </row>
    <row r="415" spans="1:19">
      <c r="A415" t="s">
        <v>19</v>
      </c>
      <c r="B415" t="s">
        <v>148</v>
      </c>
      <c r="C415" t="s">
        <v>151</v>
      </c>
      <c r="D415" t="s">
        <v>280</v>
      </c>
      <c r="E415" t="s">
        <v>409</v>
      </c>
      <c r="F415">
        <f>HYPERLINK("https://www.wikidata.org/wiki/Q33369535", "Q33369535")</f>
        <v>0</v>
      </c>
      <c r="G415" t="s">
        <v>907</v>
      </c>
      <c r="H415" t="s">
        <v>5663</v>
      </c>
      <c r="I415" t="s">
        <v>7419</v>
      </c>
      <c r="J415" t="s">
        <v>11651</v>
      </c>
      <c r="K415" t="s">
        <v>385</v>
      </c>
      <c r="L415">
        <f>HYPERLINK("https://www2.assemblee-nationale.fr/sycomore/fiche/(num_dept)/1720", "1720")</f>
        <v>0</v>
      </c>
      <c r="N415">
        <f>HYPERLINK("https://www.wikidata.org/wiki/Q16025433", "Q16025433")</f>
        <v>0</v>
      </c>
      <c r="O415" t="s">
        <v>19994</v>
      </c>
      <c r="P415" t="s">
        <v>20405</v>
      </c>
      <c r="Q415" t="s">
        <v>20519</v>
      </c>
      <c r="R415" t="s">
        <v>409</v>
      </c>
      <c r="S415">
        <v>1484</v>
      </c>
    </row>
    <row r="416" spans="1:19">
      <c r="A416" t="s">
        <v>19</v>
      </c>
      <c r="B416" t="s">
        <v>148</v>
      </c>
      <c r="C416" t="s">
        <v>151</v>
      </c>
      <c r="D416" t="s">
        <v>280</v>
      </c>
      <c r="E416" t="s">
        <v>409</v>
      </c>
      <c r="F416">
        <f>HYPERLINK("https://www.wikidata.org/wiki/Q33369535", "Q33369535")</f>
        <v>0</v>
      </c>
      <c r="G416" t="s">
        <v>908</v>
      </c>
      <c r="H416" t="s">
        <v>5664</v>
      </c>
      <c r="I416" t="s">
        <v>9585</v>
      </c>
      <c r="J416" t="s">
        <v>11652</v>
      </c>
      <c r="K416" t="s">
        <v>16051</v>
      </c>
      <c r="L416">
        <f>HYPERLINK("https://www2.assemblee-nationale.fr/sycomore/fiche/(num_dept)/1734", "1734")</f>
        <v>0</v>
      </c>
      <c r="N416">
        <f>HYPERLINK("https://www.wikidata.org/wiki/Q13080861", "Q13080861")</f>
        <v>0</v>
      </c>
      <c r="O416" t="s">
        <v>19969</v>
      </c>
      <c r="Q416" t="s">
        <v>20519</v>
      </c>
      <c r="R416" t="s">
        <v>16051</v>
      </c>
      <c r="S416">
        <v>25</v>
      </c>
    </row>
    <row r="417" spans="1:19">
      <c r="A417" t="s">
        <v>19</v>
      </c>
      <c r="B417" t="s">
        <v>148</v>
      </c>
      <c r="C417" t="s">
        <v>151</v>
      </c>
      <c r="D417" t="s">
        <v>280</v>
      </c>
      <c r="E417" t="s">
        <v>409</v>
      </c>
      <c r="F417">
        <f>HYPERLINK("https://www.wikidata.org/wiki/Q33369535", "Q33369535")</f>
        <v>0</v>
      </c>
      <c r="G417" t="s">
        <v>909</v>
      </c>
      <c r="H417" t="s">
        <v>5665</v>
      </c>
      <c r="I417" t="s">
        <v>9586</v>
      </c>
      <c r="J417" t="s">
        <v>11653</v>
      </c>
      <c r="K417" t="s">
        <v>16052</v>
      </c>
      <c r="L417">
        <f>HYPERLINK("https://www2.assemblee-nationale.fr/sycomore/fiche/(num_dept)/1743", "1743")</f>
        <v>0</v>
      </c>
      <c r="N417">
        <f>HYPERLINK("https://www.wikidata.org/wiki/Q8312689", "Q8312689")</f>
        <v>0</v>
      </c>
      <c r="O417" t="s">
        <v>19994</v>
      </c>
      <c r="P417" t="s">
        <v>20401</v>
      </c>
      <c r="Q417" t="s">
        <v>20519</v>
      </c>
      <c r="R417" t="s">
        <v>409</v>
      </c>
      <c r="S417">
        <v>1484</v>
      </c>
    </row>
    <row r="418" spans="1:19">
      <c r="A418" t="s">
        <v>19</v>
      </c>
      <c r="B418" t="s">
        <v>148</v>
      </c>
      <c r="C418" t="s">
        <v>151</v>
      </c>
      <c r="D418" t="s">
        <v>280</v>
      </c>
      <c r="E418" t="s">
        <v>409</v>
      </c>
      <c r="F418">
        <f>HYPERLINK("https://www.wikidata.org/wiki/Q33369535", "Q33369535")</f>
        <v>0</v>
      </c>
      <c r="G418" t="s">
        <v>910</v>
      </c>
      <c r="H418" t="s">
        <v>5666</v>
      </c>
      <c r="I418" t="s">
        <v>9587</v>
      </c>
      <c r="J418" t="s">
        <v>11654</v>
      </c>
      <c r="K418" t="s">
        <v>16053</v>
      </c>
      <c r="L418">
        <f>HYPERLINK("https://www2.assemblee-nationale.fr/sycomore/fiche/(num_dept)/1758", "1758")</f>
        <v>0</v>
      </c>
      <c r="N418">
        <f>HYPERLINK("https://www.wikidata.org/wiki/Q15138054", "Q15138054")</f>
        <v>0</v>
      </c>
      <c r="O418" t="s">
        <v>19969</v>
      </c>
      <c r="P418" t="s">
        <v>20405</v>
      </c>
      <c r="Q418" t="s">
        <v>20519</v>
      </c>
      <c r="R418" t="s">
        <v>409</v>
      </c>
      <c r="S418">
        <v>1484</v>
      </c>
    </row>
    <row r="419" spans="1:19">
      <c r="A419" t="s">
        <v>19</v>
      </c>
      <c r="B419" t="s">
        <v>148</v>
      </c>
      <c r="C419" t="s">
        <v>151</v>
      </c>
      <c r="D419" t="s">
        <v>280</v>
      </c>
      <c r="E419" t="s">
        <v>409</v>
      </c>
      <c r="F419">
        <f>HYPERLINK("https://www.wikidata.org/wiki/Q33369535", "Q33369535")</f>
        <v>0</v>
      </c>
      <c r="G419" t="s">
        <v>911</v>
      </c>
      <c r="H419" t="s">
        <v>5667</v>
      </c>
      <c r="I419" t="s">
        <v>9391</v>
      </c>
      <c r="J419" t="s">
        <v>11655</v>
      </c>
      <c r="K419" t="s">
        <v>16054</v>
      </c>
      <c r="L419">
        <f>HYPERLINK("https://www2.assemblee-nationale.fr/sycomore/fiche/(num_dept)/1791", "1791")</f>
        <v>0</v>
      </c>
      <c r="N419">
        <f>HYPERLINK("https://www.wikidata.org/wiki/Q16025445", "Q16025445")</f>
        <v>0</v>
      </c>
      <c r="O419" t="s">
        <v>19997</v>
      </c>
      <c r="P419" t="s">
        <v>20403</v>
      </c>
      <c r="Q419" t="s">
        <v>20519</v>
      </c>
      <c r="R419" t="s">
        <v>16054</v>
      </c>
      <c r="S419">
        <v>1107</v>
      </c>
    </row>
    <row r="420" spans="1:19">
      <c r="A420" t="s">
        <v>19</v>
      </c>
      <c r="B420" t="s">
        <v>148</v>
      </c>
      <c r="C420" t="s">
        <v>151</v>
      </c>
      <c r="D420" t="s">
        <v>280</v>
      </c>
      <c r="E420" t="s">
        <v>409</v>
      </c>
      <c r="F420">
        <f>HYPERLINK("https://www.wikidata.org/wiki/Q33369535", "Q33369535")</f>
        <v>0</v>
      </c>
      <c r="G420" t="s">
        <v>912</v>
      </c>
      <c r="H420" t="s">
        <v>5668</v>
      </c>
      <c r="I420" t="s">
        <v>9421</v>
      </c>
      <c r="J420" t="s">
        <v>11656</v>
      </c>
      <c r="K420" t="s">
        <v>16055</v>
      </c>
      <c r="L420">
        <f>HYPERLINK("https://www2.assemblee-nationale.fr/sycomore/fiche/(num_dept)/1811", "1811")</f>
        <v>0</v>
      </c>
      <c r="N420">
        <f>HYPERLINK("https://www.wikidata.org/wiki/Q3121138", "Q3121138")</f>
        <v>0</v>
      </c>
      <c r="O420" t="s">
        <v>19989</v>
      </c>
      <c r="P420" t="s">
        <v>20401</v>
      </c>
      <c r="Q420" t="s">
        <v>20519</v>
      </c>
      <c r="R420" t="s">
        <v>409</v>
      </c>
      <c r="S420">
        <v>1484</v>
      </c>
    </row>
    <row r="421" spans="1:19">
      <c r="A421" t="s">
        <v>19</v>
      </c>
      <c r="B421" t="s">
        <v>148</v>
      </c>
      <c r="C421" t="s">
        <v>151</v>
      </c>
      <c r="D421" t="s">
        <v>280</v>
      </c>
      <c r="E421" t="s">
        <v>409</v>
      </c>
      <c r="F421">
        <f>HYPERLINK("https://www.wikidata.org/wiki/Q33369535", "Q33369535")</f>
        <v>0</v>
      </c>
      <c r="G421" t="s">
        <v>913</v>
      </c>
      <c r="H421" t="s">
        <v>5669</v>
      </c>
      <c r="I421" t="s">
        <v>6860</v>
      </c>
      <c r="J421" t="s">
        <v>11657</v>
      </c>
      <c r="K421" t="s">
        <v>16056</v>
      </c>
      <c r="L421">
        <f>HYPERLINK("https://www2.assemblee-nationale.fr/sycomore/fiche/(num_dept)/1906", "1906")</f>
        <v>0</v>
      </c>
      <c r="N421">
        <f>HYPERLINK("https://www.wikidata.org/wiki/Q3384481", "Q3384481")</f>
        <v>0</v>
      </c>
      <c r="O421" t="s">
        <v>19965</v>
      </c>
      <c r="P421" t="s">
        <v>20406</v>
      </c>
      <c r="Q421" t="s">
        <v>20519</v>
      </c>
      <c r="R421" t="s">
        <v>409</v>
      </c>
      <c r="S421">
        <v>1484</v>
      </c>
    </row>
    <row r="422" spans="1:19">
      <c r="A422" t="s">
        <v>19</v>
      </c>
      <c r="B422" t="s">
        <v>148</v>
      </c>
      <c r="C422" t="s">
        <v>151</v>
      </c>
      <c r="D422" t="s">
        <v>280</v>
      </c>
      <c r="E422" t="s">
        <v>409</v>
      </c>
      <c r="F422">
        <f>HYPERLINK("https://www.wikidata.org/wiki/Q33369535", "Q33369535")</f>
        <v>0</v>
      </c>
      <c r="G422" t="s">
        <v>914</v>
      </c>
      <c r="H422" t="s">
        <v>5670</v>
      </c>
      <c r="I422" t="s">
        <v>6200</v>
      </c>
      <c r="J422" t="s">
        <v>11447</v>
      </c>
      <c r="K422" t="s">
        <v>16057</v>
      </c>
      <c r="L422">
        <f>HYPERLINK("https://www2.assemblee-nationale.fr/sycomore/fiche/(num_dept)/1911", "1911")</f>
        <v>0</v>
      </c>
      <c r="N422">
        <f>HYPERLINK("https://www.wikidata.org/wiki/Q13080901", "Q13080901")</f>
        <v>0</v>
      </c>
      <c r="O422" t="s">
        <v>19969</v>
      </c>
      <c r="P422" t="s">
        <v>20404</v>
      </c>
      <c r="Q422" t="s">
        <v>20519</v>
      </c>
      <c r="R422" t="s">
        <v>409</v>
      </c>
      <c r="S422">
        <v>1484</v>
      </c>
    </row>
    <row r="423" spans="1:19">
      <c r="A423" t="s">
        <v>19</v>
      </c>
      <c r="B423" t="s">
        <v>148</v>
      </c>
      <c r="C423" t="s">
        <v>151</v>
      </c>
      <c r="D423" t="s">
        <v>280</v>
      </c>
      <c r="E423" t="s">
        <v>409</v>
      </c>
      <c r="F423">
        <f>HYPERLINK("https://www.wikidata.org/wiki/Q33369535", "Q33369535")</f>
        <v>0</v>
      </c>
      <c r="G423" t="s">
        <v>915</v>
      </c>
      <c r="H423" t="s">
        <v>5671</v>
      </c>
      <c r="I423" t="s">
        <v>9588</v>
      </c>
      <c r="J423" t="s">
        <v>11658</v>
      </c>
      <c r="K423" t="s">
        <v>16058</v>
      </c>
      <c r="L423">
        <f>HYPERLINK("https://www2.assemblee-nationale.fr/sycomore/fiche/(num_dept)/1963", "1963")</f>
        <v>0</v>
      </c>
      <c r="N423">
        <f>HYPERLINK("https://www.wikidata.org/wiki/Q15642460", "Q15642460")</f>
        <v>0</v>
      </c>
      <c r="O423" t="s">
        <v>20042</v>
      </c>
      <c r="P423" t="s">
        <v>20406</v>
      </c>
      <c r="Q423" t="s">
        <v>20519</v>
      </c>
      <c r="R423" t="s">
        <v>409</v>
      </c>
      <c r="S423">
        <v>1484</v>
      </c>
    </row>
    <row r="424" spans="1:19">
      <c r="A424" t="s">
        <v>19</v>
      </c>
      <c r="B424" t="s">
        <v>148</v>
      </c>
      <c r="C424" t="s">
        <v>151</v>
      </c>
      <c r="D424" t="s">
        <v>280</v>
      </c>
      <c r="E424" t="s">
        <v>409</v>
      </c>
      <c r="F424">
        <f>HYPERLINK("https://www.wikidata.org/wiki/Q33369535", "Q33369535")</f>
        <v>0</v>
      </c>
      <c r="G424" t="s">
        <v>916</v>
      </c>
      <c r="H424" t="s">
        <v>5672</v>
      </c>
      <c r="I424" t="s">
        <v>9391</v>
      </c>
      <c r="J424" t="s">
        <v>11659</v>
      </c>
      <c r="K424" t="s">
        <v>16059</v>
      </c>
      <c r="L424">
        <f>HYPERLINK("https://www2.assemblee-nationale.fr/sycomore/fiche/(num_dept)/2027", "2027")</f>
        <v>0</v>
      </c>
      <c r="N424">
        <f>HYPERLINK("https://www.wikidata.org/wiki/Q8307948", "Q8307948")</f>
        <v>0</v>
      </c>
      <c r="O424" t="s">
        <v>19994</v>
      </c>
      <c r="P424" t="s">
        <v>20402</v>
      </c>
      <c r="Q424" t="s">
        <v>20519</v>
      </c>
      <c r="R424" t="s">
        <v>409</v>
      </c>
      <c r="S424">
        <v>1484</v>
      </c>
    </row>
    <row r="425" spans="1:19">
      <c r="A425" t="s">
        <v>19</v>
      </c>
      <c r="B425" t="s">
        <v>148</v>
      </c>
      <c r="C425" t="s">
        <v>151</v>
      </c>
      <c r="D425" t="s">
        <v>280</v>
      </c>
      <c r="E425" t="s">
        <v>409</v>
      </c>
      <c r="F425">
        <f>HYPERLINK("https://www.wikidata.org/wiki/Q33369535", "Q33369535")</f>
        <v>0</v>
      </c>
      <c r="G425" t="s">
        <v>917</v>
      </c>
      <c r="H425" t="s">
        <v>5673</v>
      </c>
      <c r="I425" t="s">
        <v>6584</v>
      </c>
      <c r="J425" t="s">
        <v>11660</v>
      </c>
      <c r="K425" t="s">
        <v>16060</v>
      </c>
      <c r="L425">
        <f>HYPERLINK("https://www2.assemblee-nationale.fr/sycomore/fiche/(num_dept)/2075", "2075")</f>
        <v>0</v>
      </c>
      <c r="N425">
        <f>HYPERLINK("https://www.wikidata.org/wiki/Q2831067", "Q2831067")</f>
        <v>0</v>
      </c>
      <c r="O425" t="s">
        <v>20018</v>
      </c>
      <c r="P425" t="s">
        <v>20403</v>
      </c>
      <c r="Q425" t="s">
        <v>20519</v>
      </c>
      <c r="R425" t="s">
        <v>409</v>
      </c>
      <c r="S425">
        <v>1484</v>
      </c>
    </row>
    <row r="426" spans="1:19">
      <c r="A426" t="s">
        <v>19</v>
      </c>
      <c r="B426" t="s">
        <v>148</v>
      </c>
      <c r="C426" t="s">
        <v>151</v>
      </c>
      <c r="D426" t="s">
        <v>280</v>
      </c>
      <c r="E426" t="s">
        <v>409</v>
      </c>
      <c r="F426">
        <f>HYPERLINK("https://www.wikidata.org/wiki/Q33369535", "Q33369535")</f>
        <v>0</v>
      </c>
      <c r="G426" t="s">
        <v>918</v>
      </c>
      <c r="H426" t="s">
        <v>5674</v>
      </c>
      <c r="I426" t="s">
        <v>9483</v>
      </c>
      <c r="J426" t="s">
        <v>11661</v>
      </c>
      <c r="K426" t="s">
        <v>16061</v>
      </c>
      <c r="L426">
        <f>HYPERLINK("https://www2.assemblee-nationale.fr/sycomore/fiche/(num_dept)/2108", "2108")</f>
        <v>0</v>
      </c>
      <c r="M426">
        <f>HYPERLINK("https://www.senat.fr/senateur-3eme-republique/dalbiez_victor1098r3.html", "dalbiez_victor1098r3")</f>
        <v>0</v>
      </c>
      <c r="N426">
        <f>HYPERLINK("https://www.wikidata.org/wiki/Q3557251", "Q3557251")</f>
        <v>0</v>
      </c>
      <c r="O426" t="s">
        <v>20001</v>
      </c>
      <c r="P426" t="s">
        <v>20405</v>
      </c>
      <c r="Q426" t="s">
        <v>20519</v>
      </c>
      <c r="R426" t="s">
        <v>409</v>
      </c>
      <c r="S426">
        <v>1484</v>
      </c>
    </row>
    <row r="427" spans="1:19">
      <c r="A427" t="s">
        <v>19</v>
      </c>
      <c r="B427" t="s">
        <v>148</v>
      </c>
      <c r="C427" t="s">
        <v>151</v>
      </c>
      <c r="D427" t="s">
        <v>280</v>
      </c>
      <c r="E427" t="s">
        <v>409</v>
      </c>
      <c r="F427">
        <f>HYPERLINK("https://www.wikidata.org/wiki/Q33369535", "Q33369535")</f>
        <v>0</v>
      </c>
      <c r="G427" t="s">
        <v>919</v>
      </c>
      <c r="H427" t="s">
        <v>5675</v>
      </c>
      <c r="I427" t="s">
        <v>9589</v>
      </c>
      <c r="J427" t="s">
        <v>11549</v>
      </c>
      <c r="K427" t="s">
        <v>16062</v>
      </c>
      <c r="L427">
        <f>HYPERLINK("https://www2.assemblee-nationale.fr/sycomore/fiche/(num_dept)/2117", "2117")</f>
        <v>0</v>
      </c>
      <c r="N427">
        <f>HYPERLINK("https://www.wikidata.org/wiki/Q16025512", "Q16025512")</f>
        <v>0</v>
      </c>
      <c r="O427" t="s">
        <v>19995</v>
      </c>
      <c r="P427" t="s">
        <v>20407</v>
      </c>
      <c r="Q427" t="s">
        <v>20519</v>
      </c>
      <c r="R427" t="s">
        <v>409</v>
      </c>
      <c r="S427">
        <v>1484</v>
      </c>
    </row>
    <row r="428" spans="1:19">
      <c r="A428" t="s">
        <v>19</v>
      </c>
      <c r="B428" t="s">
        <v>148</v>
      </c>
      <c r="C428" t="s">
        <v>151</v>
      </c>
      <c r="D428" t="s">
        <v>280</v>
      </c>
      <c r="E428" t="s">
        <v>409</v>
      </c>
      <c r="F428">
        <f>HYPERLINK("https://www.wikidata.org/wiki/Q33369535", "Q33369535")</f>
        <v>0</v>
      </c>
      <c r="G428" t="s">
        <v>920</v>
      </c>
      <c r="H428" t="s">
        <v>5676</v>
      </c>
      <c r="I428" t="s">
        <v>9385</v>
      </c>
      <c r="J428" t="s">
        <v>11662</v>
      </c>
      <c r="K428" t="s">
        <v>16063</v>
      </c>
      <c r="L428">
        <f>HYPERLINK("https://www2.assemblee-nationale.fr/sycomore/fiche/(num_dept)/2124", "2124")</f>
        <v>0</v>
      </c>
      <c r="N428">
        <f>HYPERLINK("https://www.wikidata.org/wiki/Q2958846", "Q2958846")</f>
        <v>0</v>
      </c>
      <c r="O428" t="s">
        <v>20011</v>
      </c>
      <c r="P428" t="s">
        <v>20403</v>
      </c>
      <c r="Q428" t="s">
        <v>20519</v>
      </c>
      <c r="R428" t="s">
        <v>409</v>
      </c>
      <c r="S428">
        <v>1484</v>
      </c>
    </row>
    <row r="429" spans="1:19">
      <c r="A429" t="s">
        <v>19</v>
      </c>
      <c r="B429" t="s">
        <v>148</v>
      </c>
      <c r="C429" t="s">
        <v>151</v>
      </c>
      <c r="D429" t="s">
        <v>280</v>
      </c>
      <c r="E429" t="s">
        <v>409</v>
      </c>
      <c r="F429">
        <f>HYPERLINK("https://www.wikidata.org/wiki/Q33369535", "Q33369535")</f>
        <v>0</v>
      </c>
      <c r="G429" t="s">
        <v>921</v>
      </c>
      <c r="H429" t="s">
        <v>5677</v>
      </c>
      <c r="I429" t="s">
        <v>9389</v>
      </c>
      <c r="J429" t="s">
        <v>11663</v>
      </c>
      <c r="K429" t="s">
        <v>16064</v>
      </c>
      <c r="L429">
        <f>HYPERLINK("https://www2.assemblee-nationale.fr/sycomore/fiche/(num_dept)/2167", "2167")</f>
        <v>0</v>
      </c>
      <c r="M429">
        <f>HYPERLINK("https://www.senat.fr/senateur-3eme-republique/davaine_emile1423r3.html", "davaine_emile1423r3")</f>
        <v>0</v>
      </c>
      <c r="N429">
        <f>HYPERLINK("https://www.wikidata.org/wiki/Q3588444", "Q3588444")</f>
        <v>0</v>
      </c>
      <c r="O429" t="s">
        <v>20013</v>
      </c>
      <c r="P429" t="s">
        <v>20401</v>
      </c>
      <c r="Q429" t="s">
        <v>20519</v>
      </c>
      <c r="R429" t="s">
        <v>409</v>
      </c>
      <c r="S429">
        <v>1484</v>
      </c>
    </row>
    <row r="430" spans="1:19">
      <c r="A430" t="s">
        <v>19</v>
      </c>
      <c r="B430" t="s">
        <v>148</v>
      </c>
      <c r="C430" t="s">
        <v>151</v>
      </c>
      <c r="D430" t="s">
        <v>280</v>
      </c>
      <c r="E430" t="s">
        <v>409</v>
      </c>
      <c r="F430">
        <f>HYPERLINK("https://www.wikidata.org/wiki/Q33369535", "Q33369535")</f>
        <v>0</v>
      </c>
      <c r="G430" t="s">
        <v>922</v>
      </c>
      <c r="H430" t="s">
        <v>5678</v>
      </c>
      <c r="I430" t="s">
        <v>6495</v>
      </c>
      <c r="J430" t="s">
        <v>11664</v>
      </c>
      <c r="K430" t="s">
        <v>16065</v>
      </c>
      <c r="L430">
        <f>HYPERLINK("https://www2.assemblee-nationale.fr/sycomore/fiche/(num_dept)/2185", "2185")</f>
        <v>0</v>
      </c>
      <c r="N430">
        <f>HYPERLINK("https://www.wikidata.org/wiki/Q3261668", "Q3261668")</f>
        <v>0</v>
      </c>
      <c r="O430" t="s">
        <v>19996</v>
      </c>
      <c r="P430" t="s">
        <v>20405</v>
      </c>
      <c r="Q430" t="s">
        <v>20519</v>
      </c>
      <c r="R430" t="s">
        <v>409</v>
      </c>
      <c r="S430">
        <v>1484</v>
      </c>
    </row>
    <row r="431" spans="1:19">
      <c r="A431" t="s">
        <v>19</v>
      </c>
      <c r="B431" t="s">
        <v>148</v>
      </c>
      <c r="C431" t="s">
        <v>151</v>
      </c>
      <c r="D431" t="s">
        <v>280</v>
      </c>
      <c r="E431" t="s">
        <v>409</v>
      </c>
      <c r="F431">
        <f>HYPERLINK("https://www.wikidata.org/wiki/Q33369535", "Q33369535")</f>
        <v>0</v>
      </c>
      <c r="G431" t="s">
        <v>923</v>
      </c>
      <c r="H431" t="s">
        <v>5679</v>
      </c>
      <c r="I431" t="s">
        <v>7265</v>
      </c>
      <c r="J431" t="s">
        <v>11665</v>
      </c>
      <c r="K431" t="s">
        <v>16066</v>
      </c>
      <c r="L431">
        <f>HYPERLINK("https://www2.assemblee-nationale.fr/sycomore/fiche/(num_dept)/2264", "2264")</f>
        <v>0</v>
      </c>
      <c r="N431">
        <f>HYPERLINK("https://www.wikidata.org/wiki/Q8323949", "Q8323949")</f>
        <v>0</v>
      </c>
      <c r="O431" t="s">
        <v>20023</v>
      </c>
      <c r="P431" t="s">
        <v>20405</v>
      </c>
      <c r="Q431" t="s">
        <v>20519</v>
      </c>
      <c r="R431" t="s">
        <v>409</v>
      </c>
      <c r="S431">
        <v>1484</v>
      </c>
    </row>
    <row r="432" spans="1:19">
      <c r="A432" t="s">
        <v>19</v>
      </c>
      <c r="B432" t="s">
        <v>148</v>
      </c>
      <c r="C432" t="s">
        <v>151</v>
      </c>
      <c r="D432" t="s">
        <v>280</v>
      </c>
      <c r="E432" t="s">
        <v>409</v>
      </c>
      <c r="F432">
        <f>HYPERLINK("https://www.wikidata.org/wiki/Q33369535", "Q33369535")</f>
        <v>0</v>
      </c>
      <c r="G432" t="s">
        <v>924</v>
      </c>
      <c r="H432" t="s">
        <v>5680</v>
      </c>
      <c r="I432" t="s">
        <v>9590</v>
      </c>
      <c r="J432" t="s">
        <v>11666</v>
      </c>
      <c r="K432" t="s">
        <v>16067</v>
      </c>
      <c r="L432">
        <f>HYPERLINK("https://www2.assemblee-nationale.fr/sycomore/fiche/(num_dept)/2284", "2284")</f>
        <v>0</v>
      </c>
      <c r="N432">
        <f>HYPERLINK("https://www.wikidata.org/wiki/Q16025546", "Q16025546")</f>
        <v>0</v>
      </c>
      <c r="O432" t="s">
        <v>19968</v>
      </c>
      <c r="P432" t="s">
        <v>20406</v>
      </c>
      <c r="Q432" t="s">
        <v>20519</v>
      </c>
      <c r="R432" t="s">
        <v>409</v>
      </c>
      <c r="S432">
        <v>1484</v>
      </c>
    </row>
    <row r="433" spans="1:19">
      <c r="A433" t="s">
        <v>19</v>
      </c>
      <c r="B433" t="s">
        <v>148</v>
      </c>
      <c r="C433" t="s">
        <v>151</v>
      </c>
      <c r="D433" t="s">
        <v>280</v>
      </c>
      <c r="E433" t="s">
        <v>409</v>
      </c>
      <c r="F433">
        <f>HYPERLINK("https://www.wikidata.org/wiki/Q33369535", "Q33369535")</f>
        <v>0</v>
      </c>
      <c r="G433" t="s">
        <v>925</v>
      </c>
      <c r="H433" t="s">
        <v>5681</v>
      </c>
      <c r="I433" t="s">
        <v>9591</v>
      </c>
      <c r="J433" t="s">
        <v>11667</v>
      </c>
      <c r="K433" t="s">
        <v>16068</v>
      </c>
      <c r="L433">
        <f>HYPERLINK("https://www2.assemblee-nationale.fr/sycomore/fiche/(num_dept)/2327", "2327")</f>
        <v>0</v>
      </c>
      <c r="M433">
        <f>HYPERLINK("https://www.senat.fr/senateur-3eme-republique/deloncle_charles1374r3.html", "deloncle_charles1374r3")</f>
        <v>0</v>
      </c>
      <c r="N433">
        <f>HYPERLINK("https://www.wikidata.org/wiki/Q2958871", "Q2958871")</f>
        <v>0</v>
      </c>
      <c r="O433" t="s">
        <v>19969</v>
      </c>
      <c r="P433" t="s">
        <v>20405</v>
      </c>
      <c r="Q433" t="s">
        <v>20519</v>
      </c>
      <c r="R433" t="s">
        <v>21381</v>
      </c>
      <c r="S433">
        <v>1334</v>
      </c>
    </row>
    <row r="434" spans="1:19">
      <c r="A434" t="s">
        <v>19</v>
      </c>
      <c r="B434" t="s">
        <v>148</v>
      </c>
      <c r="C434" t="s">
        <v>151</v>
      </c>
      <c r="D434" t="s">
        <v>280</v>
      </c>
      <c r="E434" t="s">
        <v>409</v>
      </c>
      <c r="F434">
        <f>HYPERLINK("https://www.wikidata.org/wiki/Q33369535", "Q33369535")</f>
        <v>0</v>
      </c>
      <c r="G434" t="s">
        <v>926</v>
      </c>
      <c r="H434" t="s">
        <v>5682</v>
      </c>
      <c r="I434" t="s">
        <v>9421</v>
      </c>
      <c r="J434" t="s">
        <v>11668</v>
      </c>
      <c r="K434" t="s">
        <v>16069</v>
      </c>
      <c r="L434">
        <f>HYPERLINK("https://www2.assemblee-nationale.fr/sycomore/fiche/(num_dept)/2335", "2335")</f>
        <v>0</v>
      </c>
      <c r="N434">
        <f>HYPERLINK("https://www.wikidata.org/wiki/Q3121159", "Q3121159")</f>
        <v>0</v>
      </c>
      <c r="O434" t="s">
        <v>20013</v>
      </c>
      <c r="P434" t="s">
        <v>20404</v>
      </c>
      <c r="Q434" t="s">
        <v>20519</v>
      </c>
      <c r="R434" t="s">
        <v>409</v>
      </c>
      <c r="S434">
        <v>1484</v>
      </c>
    </row>
    <row r="435" spans="1:19">
      <c r="A435" t="s">
        <v>19</v>
      </c>
      <c r="B435" t="s">
        <v>148</v>
      </c>
      <c r="C435" t="s">
        <v>151</v>
      </c>
      <c r="D435" t="s">
        <v>280</v>
      </c>
      <c r="E435" t="s">
        <v>409</v>
      </c>
      <c r="F435">
        <f>HYPERLINK("https://www.wikidata.org/wiki/Q33369535", "Q33369535")</f>
        <v>0</v>
      </c>
      <c r="G435" t="s">
        <v>927</v>
      </c>
      <c r="H435" t="s">
        <v>5683</v>
      </c>
      <c r="I435" t="s">
        <v>9483</v>
      </c>
      <c r="J435" t="s">
        <v>11669</v>
      </c>
      <c r="K435" t="s">
        <v>16070</v>
      </c>
      <c r="L435">
        <f>HYPERLINK("https://www2.assemblee-nationale.fr/sycomore/fiche/(num_dept)/2342", "2342")</f>
        <v>0</v>
      </c>
      <c r="M435">
        <f>HYPERLINK("https://www.senat.fr/senateur-3eme-republique/delpierre_casimir0891r3.html", "delpierre_casimir0891r3")</f>
        <v>0</v>
      </c>
      <c r="N435">
        <f>HYPERLINK("https://www.wikidata.org/wiki/Q3557252", "Q3557252")</f>
        <v>0</v>
      </c>
      <c r="O435" t="s">
        <v>19989</v>
      </c>
      <c r="P435" t="s">
        <v>20401</v>
      </c>
      <c r="Q435" t="s">
        <v>20519</v>
      </c>
      <c r="R435" t="s">
        <v>409</v>
      </c>
      <c r="S435">
        <v>1484</v>
      </c>
    </row>
    <row r="436" spans="1:19">
      <c r="A436" t="s">
        <v>19</v>
      </c>
      <c r="B436" t="s">
        <v>148</v>
      </c>
      <c r="C436" t="s">
        <v>151</v>
      </c>
      <c r="D436" t="s">
        <v>280</v>
      </c>
      <c r="E436" t="s">
        <v>409</v>
      </c>
      <c r="F436">
        <f>HYPERLINK("https://www.wikidata.org/wiki/Q33369535", "Q33369535")</f>
        <v>0</v>
      </c>
      <c r="G436" t="s">
        <v>928</v>
      </c>
      <c r="H436" t="s">
        <v>5684</v>
      </c>
      <c r="I436" t="s">
        <v>9592</v>
      </c>
      <c r="J436" t="s">
        <v>11670</v>
      </c>
      <c r="K436" t="s">
        <v>16071</v>
      </c>
      <c r="L436">
        <f>HYPERLINK("https://www2.assemblee-nationale.fr/sycomore/fiche/(num_dept)/2391", "2391")</f>
        <v>0</v>
      </c>
      <c r="N436">
        <f>HYPERLINK("https://www.wikidata.org/wiki/Q16025567", "Q16025567")</f>
        <v>0</v>
      </c>
      <c r="O436" t="s">
        <v>19969</v>
      </c>
      <c r="P436" t="s">
        <v>20405</v>
      </c>
      <c r="Q436" t="s">
        <v>20519</v>
      </c>
      <c r="R436" t="s">
        <v>16071</v>
      </c>
      <c r="S436">
        <v>496</v>
      </c>
    </row>
    <row r="437" spans="1:19">
      <c r="A437" t="s">
        <v>19</v>
      </c>
      <c r="B437" t="s">
        <v>148</v>
      </c>
      <c r="C437" t="s">
        <v>151</v>
      </c>
      <c r="D437" t="s">
        <v>280</v>
      </c>
      <c r="E437" t="s">
        <v>409</v>
      </c>
      <c r="F437">
        <f>HYPERLINK("https://www.wikidata.org/wiki/Q33369535", "Q33369535")</f>
        <v>0</v>
      </c>
      <c r="G437" t="s">
        <v>929</v>
      </c>
      <c r="H437" t="s">
        <v>5685</v>
      </c>
      <c r="I437" t="s">
        <v>9465</v>
      </c>
      <c r="J437" t="s">
        <v>11671</v>
      </c>
      <c r="K437" t="s">
        <v>16072</v>
      </c>
      <c r="L437">
        <f>HYPERLINK("https://www2.assemblee-nationale.fr/sycomore/fiche/(num_dept)/2411", "2411")</f>
        <v>0</v>
      </c>
      <c r="N437">
        <f>HYPERLINK("https://www.wikidata.org/wiki/Q16025569", "Q16025569")</f>
        <v>0</v>
      </c>
      <c r="O437" t="s">
        <v>20026</v>
      </c>
      <c r="P437" t="s">
        <v>20405</v>
      </c>
      <c r="Q437" t="s">
        <v>20519</v>
      </c>
      <c r="R437" t="s">
        <v>409</v>
      </c>
      <c r="S437">
        <v>1484</v>
      </c>
    </row>
    <row r="438" spans="1:19">
      <c r="A438" t="s">
        <v>19</v>
      </c>
      <c r="B438" t="s">
        <v>148</v>
      </c>
      <c r="C438" t="s">
        <v>151</v>
      </c>
      <c r="D438" t="s">
        <v>280</v>
      </c>
      <c r="E438" t="s">
        <v>409</v>
      </c>
      <c r="F438">
        <f>HYPERLINK("https://www.wikidata.org/wiki/Q33369535", "Q33369535")</f>
        <v>0</v>
      </c>
      <c r="G438" t="s">
        <v>930</v>
      </c>
      <c r="H438" t="s">
        <v>5686</v>
      </c>
      <c r="I438" t="s">
        <v>9449</v>
      </c>
      <c r="J438" t="s">
        <v>11672</v>
      </c>
      <c r="K438" t="s">
        <v>371</v>
      </c>
      <c r="L438">
        <f>HYPERLINK("https://www2.assemblee-nationale.fr/sycomore/fiche/(num_dept)/2443", "2443")</f>
        <v>0</v>
      </c>
      <c r="N438">
        <f>HYPERLINK("https://www.wikidata.org/wiki/Q3188533", "Q3188533")</f>
        <v>0</v>
      </c>
      <c r="O438" t="s">
        <v>20015</v>
      </c>
      <c r="P438" t="s">
        <v>20403</v>
      </c>
      <c r="Q438" t="s">
        <v>20519</v>
      </c>
      <c r="R438" t="s">
        <v>409</v>
      </c>
      <c r="S438">
        <v>1484</v>
      </c>
    </row>
    <row r="439" spans="1:19">
      <c r="A439" t="s">
        <v>19</v>
      </c>
      <c r="B439" t="s">
        <v>148</v>
      </c>
      <c r="C439" t="s">
        <v>151</v>
      </c>
      <c r="D439" t="s">
        <v>280</v>
      </c>
      <c r="E439" t="s">
        <v>409</v>
      </c>
      <c r="F439">
        <f>HYPERLINK("https://www.wikidata.org/wiki/Q33369535", "Q33369535")</f>
        <v>0</v>
      </c>
      <c r="G439" t="s">
        <v>931</v>
      </c>
      <c r="H439" t="s">
        <v>5687</v>
      </c>
      <c r="I439" t="s">
        <v>6175</v>
      </c>
      <c r="J439" t="s">
        <v>11673</v>
      </c>
      <c r="K439" t="s">
        <v>16073</v>
      </c>
      <c r="L439">
        <f>HYPERLINK("https://www2.assemblee-nationale.fr/sycomore/fiche/(num_dept)/2450", "2450")</f>
        <v>0</v>
      </c>
      <c r="N439">
        <f>HYPERLINK("https://www.wikidata.org/wiki/Q3102597", "Q3102597")</f>
        <v>0</v>
      </c>
      <c r="O439" t="s">
        <v>19969</v>
      </c>
      <c r="P439" t="s">
        <v>20405</v>
      </c>
      <c r="Q439" t="s">
        <v>20519</v>
      </c>
      <c r="R439" t="s">
        <v>409</v>
      </c>
      <c r="S439">
        <v>1484</v>
      </c>
    </row>
    <row r="440" spans="1:19">
      <c r="A440" t="s">
        <v>19</v>
      </c>
      <c r="B440" t="s">
        <v>148</v>
      </c>
      <c r="C440" t="s">
        <v>151</v>
      </c>
      <c r="D440" t="s">
        <v>280</v>
      </c>
      <c r="E440" t="s">
        <v>409</v>
      </c>
      <c r="F440">
        <f>HYPERLINK("https://www.wikidata.org/wiki/Q33369535", "Q33369535")</f>
        <v>0</v>
      </c>
      <c r="G440" t="s">
        <v>932</v>
      </c>
      <c r="H440" t="s">
        <v>5688</v>
      </c>
      <c r="I440" t="s">
        <v>9593</v>
      </c>
      <c r="J440" t="s">
        <v>11674</v>
      </c>
      <c r="K440" t="s">
        <v>16074</v>
      </c>
      <c r="L440">
        <f>HYPERLINK("https://www2.assemblee-nationale.fr/sycomore/fiche/(num_dept)/2477", "2477")</f>
        <v>0</v>
      </c>
      <c r="N440">
        <f>HYPERLINK("https://www.wikidata.org/wiki/Q3293786", "Q3293786")</f>
        <v>0</v>
      </c>
      <c r="O440" t="s">
        <v>20014</v>
      </c>
      <c r="P440" t="s">
        <v>20406</v>
      </c>
      <c r="Q440" t="s">
        <v>20519</v>
      </c>
      <c r="R440" t="s">
        <v>409</v>
      </c>
      <c r="S440">
        <v>1484</v>
      </c>
    </row>
    <row r="441" spans="1:19">
      <c r="A441" t="s">
        <v>19</v>
      </c>
      <c r="B441" t="s">
        <v>148</v>
      </c>
      <c r="C441" t="s">
        <v>151</v>
      </c>
      <c r="D441" t="s">
        <v>280</v>
      </c>
      <c r="E441" t="s">
        <v>409</v>
      </c>
      <c r="F441">
        <f>HYPERLINK("https://www.wikidata.org/wiki/Q33369535", "Q33369535")</f>
        <v>0</v>
      </c>
      <c r="G441" t="s">
        <v>933</v>
      </c>
      <c r="H441" t="s">
        <v>5689</v>
      </c>
      <c r="I441" t="s">
        <v>9499</v>
      </c>
      <c r="J441" t="s">
        <v>11675</v>
      </c>
      <c r="K441" t="s">
        <v>16075</v>
      </c>
      <c r="L441">
        <f>HYPERLINK("https://www2.assemblee-nationale.fr/sycomore/fiche/(num_dept)/2572", "2572")</f>
        <v>0</v>
      </c>
      <c r="N441">
        <f>HYPERLINK("https://www.wikidata.org/wiki/Q16025609", "Q16025609")</f>
        <v>0</v>
      </c>
      <c r="O441" t="s">
        <v>20020</v>
      </c>
      <c r="P441" t="s">
        <v>20406</v>
      </c>
      <c r="Q441" t="s">
        <v>20519</v>
      </c>
      <c r="R441" t="s">
        <v>409</v>
      </c>
      <c r="S441">
        <v>1484</v>
      </c>
    </row>
    <row r="442" spans="1:19">
      <c r="A442" t="s">
        <v>19</v>
      </c>
      <c r="B442" t="s">
        <v>148</v>
      </c>
      <c r="C442" t="s">
        <v>151</v>
      </c>
      <c r="D442" t="s">
        <v>280</v>
      </c>
      <c r="E442" t="s">
        <v>409</v>
      </c>
      <c r="F442">
        <f>HYPERLINK("https://www.wikidata.org/wiki/Q33369535", "Q33369535")</f>
        <v>0</v>
      </c>
      <c r="G442" t="s">
        <v>934</v>
      </c>
      <c r="H442" t="s">
        <v>5690</v>
      </c>
      <c r="I442" t="s">
        <v>9470</v>
      </c>
      <c r="J442" t="s">
        <v>11588</v>
      </c>
      <c r="K442" t="s">
        <v>16076</v>
      </c>
      <c r="L442">
        <f>HYPERLINK("https://www2.assemblee-nationale.fr/sycomore/fiche/(num_dept)/2591", "2591")</f>
        <v>0</v>
      </c>
      <c r="N442">
        <f>HYPERLINK("https://www.wikidata.org/wiki/Q16025613", "Q16025613")</f>
        <v>0</v>
      </c>
      <c r="O442" t="s">
        <v>20027</v>
      </c>
      <c r="P442" t="s">
        <v>20405</v>
      </c>
      <c r="Q442" t="s">
        <v>20519</v>
      </c>
      <c r="R442" t="s">
        <v>409</v>
      </c>
      <c r="S442">
        <v>1484</v>
      </c>
    </row>
    <row r="443" spans="1:19">
      <c r="A443" t="s">
        <v>19</v>
      </c>
      <c r="B443" t="s">
        <v>148</v>
      </c>
      <c r="C443" t="s">
        <v>151</v>
      </c>
      <c r="D443" t="s">
        <v>280</v>
      </c>
      <c r="E443" t="s">
        <v>409</v>
      </c>
      <c r="F443">
        <f>HYPERLINK("https://www.wikidata.org/wiki/Q33369535", "Q33369535")</f>
        <v>0</v>
      </c>
      <c r="G443" t="s">
        <v>935</v>
      </c>
      <c r="H443" t="s">
        <v>5691</v>
      </c>
      <c r="I443" t="s">
        <v>9401</v>
      </c>
      <c r="J443" t="s">
        <v>11676</v>
      </c>
      <c r="K443" t="s">
        <v>16077</v>
      </c>
      <c r="L443">
        <f>HYPERLINK("https://www2.assemblee-nationale.fr/sycomore/fiche/(num_dept)/2593", "2593")</f>
        <v>0</v>
      </c>
      <c r="M443">
        <f>HYPERLINK("https://www.senat.fr/senateur-3eme-republique/drivet_antoine1373r3.html", "drivet_antoine1373r3")</f>
        <v>0</v>
      </c>
      <c r="N443">
        <f>HYPERLINK("https://www.wikidata.org/wiki/Q2853879", "Q2853879")</f>
        <v>0</v>
      </c>
      <c r="O443" t="s">
        <v>19997</v>
      </c>
      <c r="P443" t="s">
        <v>20405</v>
      </c>
      <c r="Q443" t="s">
        <v>20519</v>
      </c>
      <c r="R443" t="s">
        <v>409</v>
      </c>
      <c r="S443">
        <v>1484</v>
      </c>
    </row>
    <row r="444" spans="1:19">
      <c r="A444" t="s">
        <v>19</v>
      </c>
      <c r="B444" t="s">
        <v>148</v>
      </c>
      <c r="C444" t="s">
        <v>151</v>
      </c>
      <c r="D444" t="s">
        <v>280</v>
      </c>
      <c r="E444" t="s">
        <v>409</v>
      </c>
      <c r="F444">
        <f>HYPERLINK("https://www.wikidata.org/wiki/Q33369535", "Q33369535")</f>
        <v>0</v>
      </c>
      <c r="G444" t="s">
        <v>936</v>
      </c>
      <c r="H444" t="s">
        <v>5692</v>
      </c>
      <c r="I444" t="s">
        <v>9421</v>
      </c>
      <c r="J444" t="s">
        <v>11677</v>
      </c>
      <c r="K444" t="s">
        <v>16078</v>
      </c>
      <c r="L444">
        <f>HYPERLINK("https://www2.assemblee-nationale.fr/sycomore/fiche/(num_dept)/2595", "2595")</f>
        <v>0</v>
      </c>
      <c r="M444">
        <f>HYPERLINK("https://www.senat.fr/senateur-3eme-republique/dron_gustave1388r3.html", "dron_gustave1388r3")</f>
        <v>0</v>
      </c>
      <c r="N444">
        <f>HYPERLINK("https://www.wikidata.org/wiki/Q3121171", "Q3121171")</f>
        <v>0</v>
      </c>
      <c r="O444" t="s">
        <v>20013</v>
      </c>
      <c r="P444" t="s">
        <v>20401</v>
      </c>
      <c r="Q444" t="s">
        <v>20519</v>
      </c>
      <c r="R444" t="s">
        <v>18568</v>
      </c>
      <c r="S444">
        <v>1354</v>
      </c>
    </row>
    <row r="445" spans="1:19">
      <c r="A445" t="s">
        <v>19</v>
      </c>
      <c r="B445" t="s">
        <v>148</v>
      </c>
      <c r="C445" t="s">
        <v>151</v>
      </c>
      <c r="D445" t="s">
        <v>280</v>
      </c>
      <c r="E445" t="s">
        <v>409</v>
      </c>
      <c r="F445">
        <f>HYPERLINK("https://www.wikidata.org/wiki/Q33369535", "Q33369535")</f>
        <v>0</v>
      </c>
      <c r="G445" t="s">
        <v>937</v>
      </c>
      <c r="H445" t="s">
        <v>5693</v>
      </c>
      <c r="I445" t="s">
        <v>6759</v>
      </c>
      <c r="J445" t="s">
        <v>11678</v>
      </c>
      <c r="K445" t="s">
        <v>16079</v>
      </c>
      <c r="L445">
        <f>HYPERLINK("https://www2.assemblee-nationale.fr/sycomore/fiche/(num_dept)/2607", "2607")</f>
        <v>0</v>
      </c>
      <c r="N445">
        <f>HYPERLINK("https://www.wikidata.org/wiki/Q16025614", "Q16025614")</f>
        <v>0</v>
      </c>
      <c r="O445" t="s">
        <v>20006</v>
      </c>
      <c r="P445" t="s">
        <v>20403</v>
      </c>
      <c r="Q445" t="s">
        <v>20519</v>
      </c>
      <c r="R445" t="s">
        <v>409</v>
      </c>
      <c r="S445">
        <v>1484</v>
      </c>
    </row>
    <row r="446" spans="1:19">
      <c r="A446" t="s">
        <v>19</v>
      </c>
      <c r="B446" t="s">
        <v>148</v>
      </c>
      <c r="C446" t="s">
        <v>151</v>
      </c>
      <c r="D446" t="s">
        <v>280</v>
      </c>
      <c r="E446" t="s">
        <v>409</v>
      </c>
      <c r="F446">
        <f>HYPERLINK("https://www.wikidata.org/wiki/Q33369535", "Q33369535")</f>
        <v>0</v>
      </c>
      <c r="G446" t="s">
        <v>938</v>
      </c>
      <c r="H446" t="s">
        <v>5694</v>
      </c>
      <c r="I446" t="s">
        <v>9421</v>
      </c>
      <c r="J446" t="s">
        <v>11679</v>
      </c>
      <c r="K446" t="s">
        <v>16080</v>
      </c>
      <c r="L446">
        <f>HYPERLINK("https://www2.assemblee-nationale.fr/sycomore/fiche/(num_dept)/2611", "2611")</f>
        <v>0</v>
      </c>
      <c r="N446">
        <f>HYPERLINK("https://www.wikidata.org/wiki/Q16025615", "Q16025615")</f>
        <v>0</v>
      </c>
      <c r="O446" t="s">
        <v>20013</v>
      </c>
      <c r="P446" t="s">
        <v>20404</v>
      </c>
      <c r="Q446" t="s">
        <v>20519</v>
      </c>
      <c r="R446" t="s">
        <v>409</v>
      </c>
      <c r="S446">
        <v>1484</v>
      </c>
    </row>
    <row r="447" spans="1:19">
      <c r="A447" t="s">
        <v>19</v>
      </c>
      <c r="B447" t="s">
        <v>148</v>
      </c>
      <c r="C447" t="s">
        <v>151</v>
      </c>
      <c r="D447" t="s">
        <v>280</v>
      </c>
      <c r="E447" t="s">
        <v>409</v>
      </c>
      <c r="F447">
        <f>HYPERLINK("https://www.wikidata.org/wiki/Q33369535", "Q33369535")</f>
        <v>0</v>
      </c>
      <c r="G447" t="s">
        <v>939</v>
      </c>
      <c r="H447" t="s">
        <v>5695</v>
      </c>
      <c r="I447" t="s">
        <v>9594</v>
      </c>
      <c r="J447" t="s">
        <v>11680</v>
      </c>
      <c r="K447" t="s">
        <v>16081</v>
      </c>
      <c r="L447">
        <f>HYPERLINK("https://www2.assemblee-nationale.fr/sycomore/fiche/(num_dept)/2622", "2622")</f>
        <v>0</v>
      </c>
      <c r="N447">
        <f>HYPERLINK("https://www.wikidata.org/wiki/Q3261768", "Q3261768")</f>
        <v>0</v>
      </c>
      <c r="O447" t="s">
        <v>19969</v>
      </c>
      <c r="P447" t="s">
        <v>20403</v>
      </c>
      <c r="Q447" t="s">
        <v>20519</v>
      </c>
      <c r="R447" t="s">
        <v>409</v>
      </c>
      <c r="S447">
        <v>1484</v>
      </c>
    </row>
    <row r="448" spans="1:19">
      <c r="A448" t="s">
        <v>19</v>
      </c>
      <c r="B448" t="s">
        <v>148</v>
      </c>
      <c r="C448" t="s">
        <v>151</v>
      </c>
      <c r="D448" t="s">
        <v>280</v>
      </c>
      <c r="E448" t="s">
        <v>409</v>
      </c>
      <c r="F448">
        <f>HYPERLINK("https://www.wikidata.org/wiki/Q33369535", "Q33369535")</f>
        <v>0</v>
      </c>
      <c r="G448" t="s">
        <v>940</v>
      </c>
      <c r="H448" t="s">
        <v>5696</v>
      </c>
      <c r="I448" t="s">
        <v>6495</v>
      </c>
      <c r="J448" t="s">
        <v>11681</v>
      </c>
      <c r="K448" t="s">
        <v>16082</v>
      </c>
      <c r="L448">
        <f>HYPERLINK("https://www2.assemblee-nationale.fr/sycomore/fiche/(num_dept)/2638", "2638")</f>
        <v>0</v>
      </c>
      <c r="N448">
        <f>HYPERLINK("https://www.wikidata.org/wiki/Q3260420", "Q3260420")</f>
        <v>0</v>
      </c>
      <c r="O448" t="s">
        <v>20011</v>
      </c>
      <c r="P448" t="s">
        <v>20401</v>
      </c>
      <c r="Q448" t="s">
        <v>20519</v>
      </c>
      <c r="R448" t="s">
        <v>16082</v>
      </c>
      <c r="S448">
        <v>1425</v>
      </c>
    </row>
    <row r="449" spans="1:19">
      <c r="A449" t="s">
        <v>19</v>
      </c>
      <c r="B449" t="s">
        <v>148</v>
      </c>
      <c r="C449" t="s">
        <v>151</v>
      </c>
      <c r="D449" t="s">
        <v>280</v>
      </c>
      <c r="E449" t="s">
        <v>409</v>
      </c>
      <c r="F449">
        <f>HYPERLINK("https://www.wikidata.org/wiki/Q33369535", "Q33369535")</f>
        <v>0</v>
      </c>
      <c r="G449" t="s">
        <v>941</v>
      </c>
      <c r="H449" t="s">
        <v>5697</v>
      </c>
      <c r="I449" t="s">
        <v>6166</v>
      </c>
      <c r="J449" t="s">
        <v>11682</v>
      </c>
      <c r="K449" t="s">
        <v>16083</v>
      </c>
      <c r="L449">
        <f>HYPERLINK("https://www2.assemblee-nationale.fr/sycomore/fiche/(num_dept)/2640", "2640")</f>
        <v>0</v>
      </c>
      <c r="N449">
        <f>HYPERLINK("https://www.wikidata.org/wiki/Q16025618", "Q16025618")</f>
        <v>0</v>
      </c>
      <c r="O449" t="s">
        <v>19994</v>
      </c>
      <c r="P449" t="s">
        <v>20404</v>
      </c>
      <c r="Q449" t="s">
        <v>20519</v>
      </c>
      <c r="R449" t="s">
        <v>16083</v>
      </c>
      <c r="S449">
        <v>1096</v>
      </c>
    </row>
    <row r="450" spans="1:19">
      <c r="A450" t="s">
        <v>19</v>
      </c>
      <c r="B450" t="s">
        <v>148</v>
      </c>
      <c r="C450" t="s">
        <v>151</v>
      </c>
      <c r="D450" t="s">
        <v>280</v>
      </c>
      <c r="E450" t="s">
        <v>409</v>
      </c>
      <c r="F450">
        <f>HYPERLINK("https://www.wikidata.org/wiki/Q33369535", "Q33369535")</f>
        <v>0</v>
      </c>
      <c r="G450" t="s">
        <v>942</v>
      </c>
      <c r="H450" t="s">
        <v>5698</v>
      </c>
      <c r="I450" t="s">
        <v>9449</v>
      </c>
      <c r="J450" t="s">
        <v>11683</v>
      </c>
      <c r="K450" t="s">
        <v>16084</v>
      </c>
      <c r="L450">
        <f>HYPERLINK("https://www2.assemblee-nationale.fr/sycomore/fiche/(num_dept)/2651", "2651")</f>
        <v>0</v>
      </c>
      <c r="M450">
        <f>HYPERLINK("https://www.senat.fr/senateur-3eme-republique/duclaux_monteil_jules0135r3.html", "duclaux_monteil_jules0135r3")</f>
        <v>0</v>
      </c>
      <c r="N450">
        <f>HYPERLINK("https://www.wikidata.org/wiki/Q3188550", "Q3188550")</f>
        <v>0</v>
      </c>
      <c r="O450" t="s">
        <v>19991</v>
      </c>
      <c r="P450" t="s">
        <v>20403</v>
      </c>
      <c r="Q450" t="s">
        <v>20519</v>
      </c>
      <c r="R450" t="s">
        <v>409</v>
      </c>
      <c r="S450">
        <v>1484</v>
      </c>
    </row>
    <row r="451" spans="1:19">
      <c r="A451" t="s">
        <v>19</v>
      </c>
      <c r="B451" t="s">
        <v>148</v>
      </c>
      <c r="C451" t="s">
        <v>151</v>
      </c>
      <c r="D451" t="s">
        <v>280</v>
      </c>
      <c r="E451" t="s">
        <v>409</v>
      </c>
      <c r="F451">
        <f>HYPERLINK("https://www.wikidata.org/wiki/Q33369535", "Q33369535")</f>
        <v>0</v>
      </c>
      <c r="G451" t="s">
        <v>943</v>
      </c>
      <c r="H451" t="s">
        <v>5699</v>
      </c>
      <c r="I451" t="s">
        <v>9595</v>
      </c>
      <c r="J451" t="s">
        <v>11684</v>
      </c>
      <c r="K451" t="s">
        <v>16085</v>
      </c>
      <c r="L451">
        <f>HYPERLINK("https://www2.assemblee-nationale.fr/sycomore/fiche/(num_dept)/2668", "2668")</f>
        <v>0</v>
      </c>
      <c r="N451">
        <f>HYPERLINK("https://www.wikidata.org/wiki/Q16025628", "Q16025628")</f>
        <v>0</v>
      </c>
      <c r="O451" t="s">
        <v>20043</v>
      </c>
      <c r="P451" t="s">
        <v>20401</v>
      </c>
      <c r="Q451" t="s">
        <v>20519</v>
      </c>
      <c r="R451" t="s">
        <v>409</v>
      </c>
      <c r="S451">
        <v>1484</v>
      </c>
    </row>
    <row r="452" spans="1:19">
      <c r="A452" t="s">
        <v>19</v>
      </c>
      <c r="B452" t="s">
        <v>148</v>
      </c>
      <c r="C452" t="s">
        <v>151</v>
      </c>
      <c r="D452" t="s">
        <v>280</v>
      </c>
      <c r="E452" t="s">
        <v>409</v>
      </c>
      <c r="F452">
        <f>HYPERLINK("https://www.wikidata.org/wiki/Q33369535", "Q33369535")</f>
        <v>0</v>
      </c>
      <c r="G452" t="s">
        <v>944</v>
      </c>
      <c r="H452" t="s">
        <v>5700</v>
      </c>
      <c r="I452" t="s">
        <v>7419</v>
      </c>
      <c r="J452" t="s">
        <v>11685</v>
      </c>
      <c r="K452" t="s">
        <v>16086</v>
      </c>
      <c r="L452">
        <f>HYPERLINK("https://www2.assemblee-nationale.fr/sycomore/fiche/(num_dept)/2675", "2675")</f>
        <v>0</v>
      </c>
      <c r="N452">
        <f>HYPERLINK("https://www.wikidata.org/wiki/Q16025627", "Q16025627")</f>
        <v>0</v>
      </c>
      <c r="O452" t="s">
        <v>19975</v>
      </c>
      <c r="P452" t="s">
        <v>20404</v>
      </c>
      <c r="Q452" t="s">
        <v>20519</v>
      </c>
      <c r="R452" t="s">
        <v>16086</v>
      </c>
      <c r="S452">
        <v>1085</v>
      </c>
    </row>
    <row r="453" spans="1:19">
      <c r="A453" t="s">
        <v>19</v>
      </c>
      <c r="B453" t="s">
        <v>148</v>
      </c>
      <c r="C453" t="s">
        <v>151</v>
      </c>
      <c r="D453" t="s">
        <v>280</v>
      </c>
      <c r="E453" t="s">
        <v>409</v>
      </c>
      <c r="F453">
        <f>HYPERLINK("https://www.wikidata.org/wiki/Q33369535", "Q33369535")</f>
        <v>0</v>
      </c>
      <c r="G453" t="s">
        <v>945</v>
      </c>
      <c r="H453" t="s">
        <v>5701</v>
      </c>
      <c r="I453" t="s">
        <v>9553</v>
      </c>
      <c r="J453" t="s">
        <v>11686</v>
      </c>
      <c r="K453" t="s">
        <v>16087</v>
      </c>
      <c r="L453">
        <f>HYPERLINK("https://www2.assemblee-nationale.fr/sycomore/fiche/(num_dept)/2678", "2678")</f>
        <v>0</v>
      </c>
      <c r="N453">
        <f>HYPERLINK("https://www.wikidata.org/wiki/Q16025630", "Q16025630")</f>
        <v>0</v>
      </c>
      <c r="O453" t="s">
        <v>20003</v>
      </c>
      <c r="P453" t="s">
        <v>20405</v>
      </c>
      <c r="Q453" t="s">
        <v>20519</v>
      </c>
      <c r="R453" t="s">
        <v>409</v>
      </c>
      <c r="S453">
        <v>1484</v>
      </c>
    </row>
    <row r="454" spans="1:19">
      <c r="A454" t="s">
        <v>19</v>
      </c>
      <c r="B454" t="s">
        <v>148</v>
      </c>
      <c r="C454" t="s">
        <v>151</v>
      </c>
      <c r="D454" t="s">
        <v>280</v>
      </c>
      <c r="E454" t="s">
        <v>409</v>
      </c>
      <c r="F454">
        <f>HYPERLINK("https://www.wikidata.org/wiki/Q33369535", "Q33369535")</f>
        <v>0</v>
      </c>
      <c r="G454" t="s">
        <v>946</v>
      </c>
      <c r="H454" t="s">
        <v>5702</v>
      </c>
      <c r="I454" t="s">
        <v>9596</v>
      </c>
      <c r="J454" t="s">
        <v>11687</v>
      </c>
      <c r="K454" t="s">
        <v>16088</v>
      </c>
      <c r="L454">
        <f>HYPERLINK("https://www2.assemblee-nationale.fr/sycomore/fiche/(num_dept)/2689", "2689")</f>
        <v>0</v>
      </c>
      <c r="N454">
        <f>HYPERLINK("https://www.wikidata.org/wiki/Q8307247", "Q8307247")</f>
        <v>0</v>
      </c>
      <c r="O454" t="s">
        <v>19999</v>
      </c>
      <c r="P454" t="s">
        <v>20404</v>
      </c>
      <c r="Q454" t="s">
        <v>20519</v>
      </c>
      <c r="R454" t="s">
        <v>409</v>
      </c>
      <c r="S454">
        <v>1484</v>
      </c>
    </row>
    <row r="455" spans="1:19">
      <c r="A455" t="s">
        <v>19</v>
      </c>
      <c r="B455" t="s">
        <v>148</v>
      </c>
      <c r="C455" t="s">
        <v>151</v>
      </c>
      <c r="D455" t="s">
        <v>280</v>
      </c>
      <c r="E455" t="s">
        <v>409</v>
      </c>
      <c r="F455">
        <f>HYPERLINK("https://www.wikidata.org/wiki/Q33369535", "Q33369535")</f>
        <v>0</v>
      </c>
      <c r="G455" t="s">
        <v>947</v>
      </c>
      <c r="H455" t="s">
        <v>5702</v>
      </c>
      <c r="I455" t="s">
        <v>9597</v>
      </c>
      <c r="J455" t="s">
        <v>11688</v>
      </c>
      <c r="K455" t="s">
        <v>16089</v>
      </c>
      <c r="L455">
        <f>HYPERLINK("https://www2.assemblee-nationale.fr/sycomore/fiche/(num_dept)/2690", "2690")</f>
        <v>0</v>
      </c>
      <c r="N455">
        <f>HYPERLINK("https://www.wikidata.org/wiki/Q3588476", "Q3588476")</f>
        <v>0</v>
      </c>
      <c r="O455" t="s">
        <v>19996</v>
      </c>
      <c r="P455" t="s">
        <v>20404</v>
      </c>
      <c r="Q455" t="s">
        <v>20519</v>
      </c>
      <c r="R455" t="s">
        <v>409</v>
      </c>
      <c r="S455">
        <v>1484</v>
      </c>
    </row>
    <row r="456" spans="1:19">
      <c r="A456" t="s">
        <v>19</v>
      </c>
      <c r="B456" t="s">
        <v>148</v>
      </c>
      <c r="C456" t="s">
        <v>151</v>
      </c>
      <c r="D456" t="s">
        <v>280</v>
      </c>
      <c r="E456" t="s">
        <v>409</v>
      </c>
      <c r="F456">
        <f>HYPERLINK("https://www.wikidata.org/wiki/Q33369535", "Q33369535")</f>
        <v>0</v>
      </c>
      <c r="G456" t="s">
        <v>948</v>
      </c>
      <c r="H456" t="s">
        <v>5386</v>
      </c>
      <c r="I456" t="s">
        <v>9385</v>
      </c>
      <c r="J456" t="s">
        <v>11689</v>
      </c>
      <c r="K456" t="s">
        <v>16090</v>
      </c>
      <c r="L456">
        <f>HYPERLINK("https://www2.assemblee-nationale.fr/sycomore/fiche/(num_dept)/2702", "2702")</f>
        <v>0</v>
      </c>
      <c r="M456">
        <f>HYPERLINK("https://www.senat.fr/senateur-3eme-republique/dumont_charles0432r3.html", "dumont_charles0432r3")</f>
        <v>0</v>
      </c>
      <c r="N456">
        <f>HYPERLINK("https://www.wikidata.org/wiki/Q2958960", "Q2958960")</f>
        <v>0</v>
      </c>
      <c r="O456" t="s">
        <v>20041</v>
      </c>
      <c r="P456" t="s">
        <v>20405</v>
      </c>
      <c r="Q456" t="s">
        <v>20519</v>
      </c>
      <c r="R456" t="s">
        <v>409</v>
      </c>
      <c r="S456">
        <v>1484</v>
      </c>
    </row>
    <row r="457" spans="1:19">
      <c r="A457" t="s">
        <v>19</v>
      </c>
      <c r="B457" t="s">
        <v>148</v>
      </c>
      <c r="C457" t="s">
        <v>151</v>
      </c>
      <c r="D457" t="s">
        <v>280</v>
      </c>
      <c r="E457" t="s">
        <v>409</v>
      </c>
      <c r="F457">
        <f>HYPERLINK("https://www.wikidata.org/wiki/Q33369535", "Q33369535")</f>
        <v>0</v>
      </c>
      <c r="G457" t="s">
        <v>949</v>
      </c>
      <c r="H457" t="s">
        <v>5703</v>
      </c>
      <c r="I457" t="s">
        <v>9598</v>
      </c>
      <c r="J457" t="s">
        <v>11690</v>
      </c>
      <c r="K457" t="s">
        <v>16091</v>
      </c>
      <c r="L457">
        <f>HYPERLINK("https://www2.assemblee-nationale.fr/sycomore/fiche/(num_dept)/2711", "2711")</f>
        <v>0</v>
      </c>
      <c r="N457">
        <f>HYPERLINK("https://www.wikidata.org/wiki/Q15971901", "Q15971901")</f>
        <v>0</v>
      </c>
      <c r="O457" t="s">
        <v>19959</v>
      </c>
      <c r="P457" t="s">
        <v>20401</v>
      </c>
      <c r="Q457" t="s">
        <v>20519</v>
      </c>
      <c r="R457" t="s">
        <v>409</v>
      </c>
      <c r="S457">
        <v>1484</v>
      </c>
    </row>
    <row r="458" spans="1:19">
      <c r="A458" t="s">
        <v>19</v>
      </c>
      <c r="B458" t="s">
        <v>148</v>
      </c>
      <c r="C458" t="s">
        <v>151</v>
      </c>
      <c r="D458" t="s">
        <v>280</v>
      </c>
      <c r="E458" t="s">
        <v>409</v>
      </c>
      <c r="F458">
        <f>HYPERLINK("https://www.wikidata.org/wiki/Q33369535", "Q33369535")</f>
        <v>0</v>
      </c>
      <c r="G458" t="s">
        <v>950</v>
      </c>
      <c r="H458" t="s">
        <v>5387</v>
      </c>
      <c r="I458" t="s">
        <v>9599</v>
      </c>
      <c r="J458" t="s">
        <v>11691</v>
      </c>
      <c r="K458" t="s">
        <v>16092</v>
      </c>
      <c r="L458">
        <f>HYPERLINK("https://www2.assemblee-nationale.fr/sycomore/fiche/(num_dept)/2741", "2741")</f>
        <v>0</v>
      </c>
      <c r="M458">
        <f>HYPERLINK("https://www.senat.fr/senateur-3eme-republique/dupuy_paul1085r3.html", "dupuy_paul1085r3")</f>
        <v>0</v>
      </c>
      <c r="N458">
        <f>HYPERLINK("https://www.wikidata.org/wiki/Q3371141", "Q3371141")</f>
        <v>0</v>
      </c>
      <c r="O458" t="s">
        <v>20027</v>
      </c>
      <c r="P458" t="s">
        <v>20402</v>
      </c>
      <c r="Q458" t="s">
        <v>20519</v>
      </c>
      <c r="R458" t="s">
        <v>409</v>
      </c>
      <c r="S458">
        <v>1484</v>
      </c>
    </row>
    <row r="459" spans="1:19">
      <c r="A459" t="s">
        <v>19</v>
      </c>
      <c r="B459" t="s">
        <v>148</v>
      </c>
      <c r="C459" t="s">
        <v>151</v>
      </c>
      <c r="D459" t="s">
        <v>280</v>
      </c>
      <c r="E459" t="s">
        <v>409</v>
      </c>
      <c r="F459">
        <f>HYPERLINK("https://www.wikidata.org/wiki/Q33369535", "Q33369535")</f>
        <v>0</v>
      </c>
      <c r="G459" t="s">
        <v>951</v>
      </c>
      <c r="H459" t="s">
        <v>5387</v>
      </c>
      <c r="I459" t="s">
        <v>9600</v>
      </c>
      <c r="J459" t="s">
        <v>11692</v>
      </c>
      <c r="K459" t="s">
        <v>16093</v>
      </c>
      <c r="L459">
        <f>HYPERLINK("https://www2.assemblee-nationale.fr/sycomore/fiche/(num_dept)/2742", "2742")</f>
        <v>0</v>
      </c>
      <c r="N459">
        <f>HYPERLINK("https://www.wikidata.org/wiki/Q16025653", "Q16025653")</f>
        <v>0</v>
      </c>
      <c r="O459" t="s">
        <v>20045</v>
      </c>
      <c r="P459" t="s">
        <v>20401</v>
      </c>
      <c r="Q459" t="s">
        <v>20519</v>
      </c>
      <c r="R459" t="s">
        <v>409</v>
      </c>
      <c r="S459">
        <v>1484</v>
      </c>
    </row>
    <row r="460" spans="1:19">
      <c r="A460" t="s">
        <v>19</v>
      </c>
      <c r="B460" t="s">
        <v>148</v>
      </c>
      <c r="C460" t="s">
        <v>151</v>
      </c>
      <c r="D460" t="s">
        <v>280</v>
      </c>
      <c r="E460" t="s">
        <v>409</v>
      </c>
      <c r="F460">
        <f>HYPERLINK("https://www.wikidata.org/wiki/Q33369535", "Q33369535")</f>
        <v>0</v>
      </c>
      <c r="G460" t="s">
        <v>952</v>
      </c>
      <c r="H460" t="s">
        <v>5704</v>
      </c>
      <c r="I460" t="s">
        <v>9401</v>
      </c>
      <c r="J460" t="s">
        <v>11693</v>
      </c>
      <c r="K460" t="s">
        <v>16094</v>
      </c>
      <c r="L460">
        <f>HYPERLINK("https://www2.assemblee-nationale.fr/sycomore/fiche/(num_dept)/2750", "2750")</f>
        <v>0</v>
      </c>
      <c r="N460">
        <f>HYPERLINK("https://www.wikidata.org/wiki/Q2853905", "Q2853905")</f>
        <v>0</v>
      </c>
      <c r="O460" t="s">
        <v>19997</v>
      </c>
      <c r="P460" t="s">
        <v>20405</v>
      </c>
      <c r="Q460" t="s">
        <v>20519</v>
      </c>
      <c r="R460" t="s">
        <v>409</v>
      </c>
      <c r="S460">
        <v>1484</v>
      </c>
    </row>
    <row r="461" spans="1:19">
      <c r="A461" t="s">
        <v>19</v>
      </c>
      <c r="B461" t="s">
        <v>148</v>
      </c>
      <c r="C461" t="s">
        <v>151</v>
      </c>
      <c r="D461" t="s">
        <v>280</v>
      </c>
      <c r="E461" t="s">
        <v>409</v>
      </c>
      <c r="F461">
        <f>HYPERLINK("https://www.wikidata.org/wiki/Q33369535", "Q33369535")</f>
        <v>0</v>
      </c>
      <c r="G461" t="s">
        <v>953</v>
      </c>
      <c r="H461" t="s">
        <v>5705</v>
      </c>
      <c r="I461" t="s">
        <v>6860</v>
      </c>
      <c r="J461" t="s">
        <v>11694</v>
      </c>
      <c r="K461" t="s">
        <v>16095</v>
      </c>
      <c r="L461">
        <f>HYPERLINK("https://www2.assemblee-nationale.fr/sycomore/fiche/(num_dept)/2866", "2866")</f>
        <v>0</v>
      </c>
      <c r="M461">
        <f>HYPERLINK("https://www.senat.fr/senateur-3eme-republique/even_pierre0579r3.html", "even_pierre0579r3")</f>
        <v>0</v>
      </c>
      <c r="N461">
        <f>HYPERLINK("https://www.wikidata.org/wiki/Q3384931", "Q3384931")</f>
        <v>0</v>
      </c>
      <c r="O461" t="s">
        <v>19964</v>
      </c>
      <c r="P461" t="s">
        <v>20406</v>
      </c>
      <c r="Q461" t="s">
        <v>20519</v>
      </c>
      <c r="R461" t="s">
        <v>409</v>
      </c>
      <c r="S461">
        <v>1484</v>
      </c>
    </row>
    <row r="462" spans="1:19">
      <c r="A462" t="s">
        <v>19</v>
      </c>
      <c r="B462" t="s">
        <v>148</v>
      </c>
      <c r="C462" t="s">
        <v>151</v>
      </c>
      <c r="D462" t="s">
        <v>280</v>
      </c>
      <c r="E462" t="s">
        <v>409</v>
      </c>
      <c r="F462">
        <f>HYPERLINK("https://www.wikidata.org/wiki/Q33369535", "Q33369535")</f>
        <v>0</v>
      </c>
      <c r="G462" t="s">
        <v>954</v>
      </c>
      <c r="H462" t="s">
        <v>5706</v>
      </c>
      <c r="I462" t="s">
        <v>9601</v>
      </c>
      <c r="J462" t="s">
        <v>11695</v>
      </c>
      <c r="K462" t="s">
        <v>16096</v>
      </c>
      <c r="L462">
        <f>HYPERLINK("https://www2.assemblee-nationale.fr/sycomore/fiche/(num_dept)/2990", "2990")</f>
        <v>0</v>
      </c>
      <c r="N462">
        <f>HYPERLINK("https://www.wikidata.org/wiki/Q16025699", "Q16025699")</f>
        <v>0</v>
      </c>
      <c r="O462" t="s">
        <v>19966</v>
      </c>
      <c r="P462" t="s">
        <v>20402</v>
      </c>
      <c r="Q462" t="s">
        <v>20519</v>
      </c>
      <c r="R462" t="s">
        <v>409</v>
      </c>
      <c r="S462">
        <v>1484</v>
      </c>
    </row>
    <row r="463" spans="1:19">
      <c r="A463" t="s">
        <v>19</v>
      </c>
      <c r="B463" t="s">
        <v>148</v>
      </c>
      <c r="C463" t="s">
        <v>151</v>
      </c>
      <c r="D463" t="s">
        <v>280</v>
      </c>
      <c r="E463" t="s">
        <v>409</v>
      </c>
      <c r="F463">
        <f>HYPERLINK("https://www.wikidata.org/wiki/Q33369535", "Q33369535")</f>
        <v>0</v>
      </c>
      <c r="G463" t="s">
        <v>955</v>
      </c>
      <c r="H463" t="s">
        <v>5707</v>
      </c>
      <c r="I463" t="s">
        <v>9602</v>
      </c>
      <c r="J463" t="s">
        <v>11696</v>
      </c>
      <c r="K463" t="s">
        <v>16097</v>
      </c>
      <c r="L463">
        <f>HYPERLINK("https://www2.assemblee-nationale.fr/sycomore/fiche/(num_dept)/3056", "3056")</f>
        <v>0</v>
      </c>
      <c r="M463">
        <f>HYPERLINK("https://www.senat.fr/senateur-3eme-republique/forgemol_de_bostquenard_edmond1600r3.html", "forgemol_de_bostquenard_edmond1600r3")</f>
        <v>0</v>
      </c>
      <c r="N463">
        <f>HYPERLINK("https://www.wikidata.org/wiki/Q3047823", "Q3047823")</f>
        <v>0</v>
      </c>
      <c r="O463" t="s">
        <v>20026</v>
      </c>
      <c r="P463" t="s">
        <v>20403</v>
      </c>
      <c r="Q463" t="s">
        <v>20519</v>
      </c>
      <c r="R463" t="s">
        <v>409</v>
      </c>
      <c r="S463">
        <v>1484</v>
      </c>
    </row>
    <row r="464" spans="1:19">
      <c r="A464" t="s">
        <v>19</v>
      </c>
      <c r="B464" t="s">
        <v>148</v>
      </c>
      <c r="C464" t="s">
        <v>151</v>
      </c>
      <c r="D464" t="s">
        <v>280</v>
      </c>
      <c r="E464" t="s">
        <v>409</v>
      </c>
      <c r="F464">
        <f>HYPERLINK("https://www.wikidata.org/wiki/Q33369535", "Q33369535")</f>
        <v>0</v>
      </c>
      <c r="G464" t="s">
        <v>956</v>
      </c>
      <c r="H464" t="s">
        <v>5708</v>
      </c>
      <c r="I464" t="s">
        <v>9421</v>
      </c>
      <c r="J464" t="s">
        <v>11697</v>
      </c>
      <c r="K464" t="s">
        <v>16098</v>
      </c>
      <c r="L464">
        <f>HYPERLINK("https://www2.assemblee-nationale.fr/sycomore/fiche/(num_dept)/3093", "3093")</f>
        <v>0</v>
      </c>
      <c r="M464">
        <f>HYPERLINK("https://www.senat.fr/senateur-3eme-republique/fourment_gustave1742r3.html", "fourment_gustave1742r3")</f>
        <v>0</v>
      </c>
      <c r="N464">
        <f>HYPERLINK("https://www.wikidata.org/wiki/Q3121186", "Q3121186")</f>
        <v>0</v>
      </c>
      <c r="O464" t="s">
        <v>20042</v>
      </c>
      <c r="P464" t="s">
        <v>20404</v>
      </c>
      <c r="Q464" t="s">
        <v>20519</v>
      </c>
      <c r="R464" t="s">
        <v>409</v>
      </c>
      <c r="S464">
        <v>1484</v>
      </c>
    </row>
    <row r="465" spans="1:19">
      <c r="A465" t="s">
        <v>19</v>
      </c>
      <c r="B465" t="s">
        <v>148</v>
      </c>
      <c r="C465" t="s">
        <v>151</v>
      </c>
      <c r="D465" t="s">
        <v>280</v>
      </c>
      <c r="E465" t="s">
        <v>409</v>
      </c>
      <c r="F465">
        <f>HYPERLINK("https://www.wikidata.org/wiki/Q33369535", "Q33369535")</f>
        <v>0</v>
      </c>
      <c r="G465" t="s">
        <v>957</v>
      </c>
      <c r="H465" t="s">
        <v>5709</v>
      </c>
      <c r="I465" t="s">
        <v>6166</v>
      </c>
      <c r="J465" t="s">
        <v>11698</v>
      </c>
      <c r="K465" t="s">
        <v>16099</v>
      </c>
      <c r="L465">
        <f>HYPERLINK("https://www2.assemblee-nationale.fr/sycomore/fiche/(num_dept)/3097", "3097")</f>
        <v>0</v>
      </c>
      <c r="N465">
        <f>HYPERLINK("https://www.wikidata.org/wiki/Q868324", "Q868324")</f>
        <v>0</v>
      </c>
      <c r="O465" t="s">
        <v>20014</v>
      </c>
      <c r="P465" t="s">
        <v>20406</v>
      </c>
      <c r="Q465" t="s">
        <v>20519</v>
      </c>
      <c r="R465" t="s">
        <v>409</v>
      </c>
      <c r="S465">
        <v>1484</v>
      </c>
    </row>
    <row r="466" spans="1:19">
      <c r="A466" t="s">
        <v>19</v>
      </c>
      <c r="B466" t="s">
        <v>148</v>
      </c>
      <c r="C466" t="s">
        <v>151</v>
      </c>
      <c r="D466" t="s">
        <v>280</v>
      </c>
      <c r="E466" t="s">
        <v>409</v>
      </c>
      <c r="F466">
        <f>HYPERLINK("https://www.wikidata.org/wiki/Q33369535", "Q33369535")</f>
        <v>0</v>
      </c>
      <c r="G466" t="s">
        <v>958</v>
      </c>
      <c r="H466" t="s">
        <v>5710</v>
      </c>
      <c r="I466" t="s">
        <v>9516</v>
      </c>
      <c r="J466" t="s">
        <v>11675</v>
      </c>
      <c r="K466" t="s">
        <v>16100</v>
      </c>
      <c r="L466">
        <f>HYPERLINK("https://www2.assemblee-nationale.fr/sycomore/fiche/(num_dept)/3100", "3100")</f>
        <v>0</v>
      </c>
      <c r="N466">
        <f>HYPERLINK("https://www.wikidata.org/wiki/Q16025725", "Q16025725")</f>
        <v>0</v>
      </c>
      <c r="O466" t="s">
        <v>19967</v>
      </c>
      <c r="P466" t="s">
        <v>20402</v>
      </c>
      <c r="Q466" t="s">
        <v>20519</v>
      </c>
      <c r="R466" t="s">
        <v>409</v>
      </c>
      <c r="S466">
        <v>1484</v>
      </c>
    </row>
    <row r="467" spans="1:19">
      <c r="A467" t="s">
        <v>19</v>
      </c>
      <c r="B467" t="s">
        <v>148</v>
      </c>
      <c r="C467" t="s">
        <v>151</v>
      </c>
      <c r="D467" t="s">
        <v>280</v>
      </c>
      <c r="E467" t="s">
        <v>409</v>
      </c>
      <c r="F467">
        <f>HYPERLINK("https://www.wikidata.org/wiki/Q33369535", "Q33369535")</f>
        <v>0</v>
      </c>
      <c r="G467" t="s">
        <v>959</v>
      </c>
      <c r="H467" t="s">
        <v>5711</v>
      </c>
      <c r="I467" t="s">
        <v>9603</v>
      </c>
      <c r="J467" t="s">
        <v>11699</v>
      </c>
      <c r="K467" t="s">
        <v>16101</v>
      </c>
      <c r="L467">
        <f>HYPERLINK("https://www2.assemblee-nationale.fr/sycomore/fiche/(num_dept)/3118", "3118")</f>
        <v>0</v>
      </c>
      <c r="N467">
        <f>HYPERLINK("https://www.wikidata.org/wiki/Q16025729", "Q16025729")</f>
        <v>0</v>
      </c>
      <c r="O467" t="s">
        <v>19968</v>
      </c>
      <c r="P467" t="s">
        <v>20403</v>
      </c>
      <c r="Q467" t="s">
        <v>20519</v>
      </c>
      <c r="R467" t="s">
        <v>409</v>
      </c>
      <c r="S467">
        <v>1484</v>
      </c>
    </row>
    <row r="468" spans="1:19">
      <c r="A468" t="s">
        <v>19</v>
      </c>
      <c r="B468" t="s">
        <v>148</v>
      </c>
      <c r="C468" t="s">
        <v>151</v>
      </c>
      <c r="D468" t="s">
        <v>280</v>
      </c>
      <c r="E468" t="s">
        <v>409</v>
      </c>
      <c r="F468">
        <f>HYPERLINK("https://www.wikidata.org/wiki/Q33369535", "Q33369535")</f>
        <v>0</v>
      </c>
      <c r="G468" t="s">
        <v>960</v>
      </c>
      <c r="H468" t="s">
        <v>5712</v>
      </c>
      <c r="I468" t="s">
        <v>9457</v>
      </c>
      <c r="J468" t="s">
        <v>11570</v>
      </c>
      <c r="K468" t="s">
        <v>16102</v>
      </c>
      <c r="L468">
        <f>HYPERLINK("https://www2.assemblee-nationale.fr/sycomore/fiche/(num_dept)/3134", "3134")</f>
        <v>0</v>
      </c>
      <c r="N468">
        <f>HYPERLINK("https://www.wikidata.org/wiki/Q3132784", "Q3132784")</f>
        <v>0</v>
      </c>
      <c r="O468" t="s">
        <v>19976</v>
      </c>
      <c r="P468" t="s">
        <v>20405</v>
      </c>
      <c r="Q468" t="s">
        <v>20519</v>
      </c>
      <c r="R468" t="s">
        <v>409</v>
      </c>
      <c r="S468">
        <v>1484</v>
      </c>
    </row>
    <row r="469" spans="1:19">
      <c r="A469" t="s">
        <v>19</v>
      </c>
      <c r="B469" t="s">
        <v>148</v>
      </c>
      <c r="C469" t="s">
        <v>151</v>
      </c>
      <c r="D469" t="s">
        <v>280</v>
      </c>
      <c r="E469" t="s">
        <v>409</v>
      </c>
      <c r="F469">
        <f>HYPERLINK("https://www.wikidata.org/wiki/Q33369535", "Q33369535")</f>
        <v>0</v>
      </c>
      <c r="G469" t="s">
        <v>961</v>
      </c>
      <c r="H469" t="s">
        <v>5713</v>
      </c>
      <c r="I469" t="s">
        <v>9499</v>
      </c>
      <c r="J469" t="s">
        <v>11700</v>
      </c>
      <c r="K469" t="s">
        <v>16103</v>
      </c>
      <c r="L469">
        <f>HYPERLINK("https://www2.assemblee-nationale.fr/sycomore/fiche/(num_dept)/3140", "3140")</f>
        <v>0</v>
      </c>
      <c r="N469">
        <f>HYPERLINK("https://www.wikidata.org/wiki/Q3288046", "Q3288046")</f>
        <v>0</v>
      </c>
      <c r="O469" t="s">
        <v>20045</v>
      </c>
      <c r="P469" t="s">
        <v>20406</v>
      </c>
      <c r="Q469" t="s">
        <v>20519</v>
      </c>
      <c r="R469" t="s">
        <v>409</v>
      </c>
      <c r="S469">
        <v>1484</v>
      </c>
    </row>
    <row r="470" spans="1:19">
      <c r="A470" t="s">
        <v>19</v>
      </c>
      <c r="B470" t="s">
        <v>148</v>
      </c>
      <c r="C470" t="s">
        <v>151</v>
      </c>
      <c r="D470" t="s">
        <v>280</v>
      </c>
      <c r="E470" t="s">
        <v>409</v>
      </c>
      <c r="F470">
        <f>HYPERLINK("https://www.wikidata.org/wiki/Q33369535", "Q33369535")</f>
        <v>0</v>
      </c>
      <c r="G470" t="s">
        <v>962</v>
      </c>
      <c r="H470" t="s">
        <v>5714</v>
      </c>
      <c r="I470" t="s">
        <v>9604</v>
      </c>
      <c r="J470" t="s">
        <v>11701</v>
      </c>
      <c r="K470" t="s">
        <v>16104</v>
      </c>
      <c r="L470">
        <f>HYPERLINK("https://www2.assemblee-nationale.fr/sycomore/fiche/(num_dept)/3224", "3224")</f>
        <v>0</v>
      </c>
      <c r="N470">
        <f>HYPERLINK("https://www.wikidata.org/wiki/Q16011276", "Q16011276")</f>
        <v>0</v>
      </c>
      <c r="O470" t="s">
        <v>19959</v>
      </c>
      <c r="P470" t="s">
        <v>20402</v>
      </c>
      <c r="Q470" t="s">
        <v>20519</v>
      </c>
      <c r="R470" t="s">
        <v>409</v>
      </c>
      <c r="S470">
        <v>1484</v>
      </c>
    </row>
    <row r="471" spans="1:19">
      <c r="A471" t="s">
        <v>19</v>
      </c>
      <c r="B471" t="s">
        <v>148</v>
      </c>
      <c r="C471" t="s">
        <v>151</v>
      </c>
      <c r="D471" t="s">
        <v>280</v>
      </c>
      <c r="E471" t="s">
        <v>409</v>
      </c>
      <c r="F471">
        <f>HYPERLINK("https://www.wikidata.org/wiki/Q33369535", "Q33369535")</f>
        <v>0</v>
      </c>
      <c r="G471" t="s">
        <v>963</v>
      </c>
      <c r="H471" t="s">
        <v>5715</v>
      </c>
      <c r="I471" t="s">
        <v>6584</v>
      </c>
      <c r="J471" t="s">
        <v>11702</v>
      </c>
      <c r="K471" t="s">
        <v>16105</v>
      </c>
      <c r="L471">
        <f>HYPERLINK("https://www2.assemblee-nationale.fr/sycomore/fiche/(num_dept)/3225", "3225")</f>
        <v>0</v>
      </c>
      <c r="N471">
        <f>HYPERLINK("https://www.wikidata.org/wiki/Q8339302", "Q8339302")</f>
        <v>0</v>
      </c>
      <c r="O471" t="s">
        <v>20034</v>
      </c>
      <c r="P471" t="s">
        <v>20405</v>
      </c>
      <c r="Q471" t="s">
        <v>20519</v>
      </c>
      <c r="R471" t="s">
        <v>409</v>
      </c>
      <c r="S471">
        <v>1484</v>
      </c>
    </row>
    <row r="472" spans="1:19">
      <c r="A472" t="s">
        <v>19</v>
      </c>
      <c r="B472" t="s">
        <v>148</v>
      </c>
      <c r="C472" t="s">
        <v>151</v>
      </c>
      <c r="D472" t="s">
        <v>280</v>
      </c>
      <c r="E472" t="s">
        <v>409</v>
      </c>
      <c r="F472">
        <f>HYPERLINK("https://www.wikidata.org/wiki/Q33369535", "Q33369535")</f>
        <v>0</v>
      </c>
      <c r="G472" t="s">
        <v>964</v>
      </c>
      <c r="H472" t="s">
        <v>5716</v>
      </c>
      <c r="I472" t="s">
        <v>9457</v>
      </c>
      <c r="J472" t="s">
        <v>11703</v>
      </c>
      <c r="K472" t="s">
        <v>16106</v>
      </c>
      <c r="L472">
        <f>HYPERLINK("https://www2.assemblee-nationale.fr/sycomore/fiche/(num_dept)/3394", "3394")</f>
        <v>0</v>
      </c>
      <c r="N472">
        <f>HYPERLINK("https://www.wikidata.org/wiki/Q16011304", "Q16011304")</f>
        <v>0</v>
      </c>
      <c r="O472" t="s">
        <v>20013</v>
      </c>
      <c r="P472" t="s">
        <v>20404</v>
      </c>
      <c r="Q472" t="s">
        <v>20519</v>
      </c>
      <c r="R472" t="s">
        <v>409</v>
      </c>
      <c r="S472">
        <v>1484</v>
      </c>
    </row>
    <row r="473" spans="1:19">
      <c r="A473" t="s">
        <v>19</v>
      </c>
      <c r="B473" t="s">
        <v>148</v>
      </c>
      <c r="C473" t="s">
        <v>151</v>
      </c>
      <c r="D473" t="s">
        <v>280</v>
      </c>
      <c r="E473" t="s">
        <v>409</v>
      </c>
      <c r="F473">
        <f>HYPERLINK("https://www.wikidata.org/wiki/Q33369535", "Q33369535")</f>
        <v>0</v>
      </c>
      <c r="G473" t="s">
        <v>965</v>
      </c>
      <c r="H473" t="s">
        <v>5717</v>
      </c>
      <c r="I473" t="s">
        <v>9407</v>
      </c>
      <c r="J473" t="s">
        <v>11704</v>
      </c>
      <c r="K473" t="s">
        <v>16107</v>
      </c>
      <c r="L473">
        <f>HYPERLINK("https://www2.assemblee-nationale.fr/sycomore/fiche/(num_dept)/3408", "3408")</f>
        <v>0</v>
      </c>
      <c r="N473">
        <f>HYPERLINK("https://www.wikidata.org/wiki/Q3185014", "Q3185014")</f>
        <v>0</v>
      </c>
      <c r="O473" t="s">
        <v>20024</v>
      </c>
      <c r="P473" t="s">
        <v>20405</v>
      </c>
      <c r="Q473" t="s">
        <v>20519</v>
      </c>
      <c r="R473" t="s">
        <v>409</v>
      </c>
      <c r="S473">
        <v>1484</v>
      </c>
    </row>
    <row r="474" spans="1:19">
      <c r="A474" t="s">
        <v>19</v>
      </c>
      <c r="B474" t="s">
        <v>148</v>
      </c>
      <c r="C474" t="s">
        <v>151</v>
      </c>
      <c r="D474" t="s">
        <v>280</v>
      </c>
      <c r="E474" t="s">
        <v>409</v>
      </c>
      <c r="F474">
        <f>HYPERLINK("https://www.wikidata.org/wiki/Q33369535", "Q33369535")</f>
        <v>0</v>
      </c>
      <c r="G474" t="s">
        <v>966</v>
      </c>
      <c r="H474" t="s">
        <v>5718</v>
      </c>
      <c r="I474" t="s">
        <v>9605</v>
      </c>
      <c r="J474" t="s">
        <v>11705</v>
      </c>
      <c r="K474" t="s">
        <v>16108</v>
      </c>
      <c r="L474">
        <f>HYPERLINK("https://www2.assemblee-nationale.fr/sycomore/fiche/(num_dept)/3460", "3460")</f>
        <v>0</v>
      </c>
      <c r="M474">
        <f>HYPERLINK("https://www.senat.fr/senateur-3eme-republique/godart_justin1138r3.html", "godart_justin1138r3")</f>
        <v>0</v>
      </c>
      <c r="N474">
        <f>HYPERLINK("https://www.wikidata.org/wiki/Q3190446", "Q3190446")</f>
        <v>0</v>
      </c>
      <c r="O474" t="s">
        <v>19965</v>
      </c>
      <c r="P474" t="s">
        <v>20405</v>
      </c>
      <c r="Q474" t="s">
        <v>20519</v>
      </c>
      <c r="R474" t="s">
        <v>409</v>
      </c>
      <c r="S474">
        <v>1484</v>
      </c>
    </row>
    <row r="475" spans="1:19">
      <c r="A475" t="s">
        <v>19</v>
      </c>
      <c r="B475" t="s">
        <v>148</v>
      </c>
      <c r="C475" t="s">
        <v>151</v>
      </c>
      <c r="D475" t="s">
        <v>280</v>
      </c>
      <c r="E475" t="s">
        <v>409</v>
      </c>
      <c r="F475">
        <f>HYPERLINK("https://www.wikidata.org/wiki/Q33369535", "Q33369535")</f>
        <v>0</v>
      </c>
      <c r="G475" t="s">
        <v>967</v>
      </c>
      <c r="H475" t="s">
        <v>5719</v>
      </c>
      <c r="I475" t="s">
        <v>9407</v>
      </c>
      <c r="J475" t="s">
        <v>11706</v>
      </c>
      <c r="K475" t="s">
        <v>16109</v>
      </c>
      <c r="L475">
        <f>HYPERLINK("https://www2.assemblee-nationale.fr/sycomore/fiche/(num_dept)/3482", "3482")</f>
        <v>0</v>
      </c>
      <c r="M475">
        <f>HYPERLINK("https://www.senat.fr/senateur-3eme-republique/de_gontaut_biron_joseph1050r3.html", "de_gontaut_biron_joseph1050r3")</f>
        <v>0</v>
      </c>
      <c r="N475">
        <f>HYPERLINK("https://www.wikidata.org/wiki/Q3185836", "Q3185836")</f>
        <v>0</v>
      </c>
      <c r="O475" t="s">
        <v>19970</v>
      </c>
      <c r="P475" t="s">
        <v>20403</v>
      </c>
      <c r="Q475" t="s">
        <v>20519</v>
      </c>
      <c r="R475" t="s">
        <v>409</v>
      </c>
      <c r="S475">
        <v>1484</v>
      </c>
    </row>
    <row r="476" spans="1:19">
      <c r="A476" t="s">
        <v>19</v>
      </c>
      <c r="B476" t="s">
        <v>148</v>
      </c>
      <c r="C476" t="s">
        <v>151</v>
      </c>
      <c r="D476" t="s">
        <v>280</v>
      </c>
      <c r="E476" t="s">
        <v>409</v>
      </c>
      <c r="F476">
        <f>HYPERLINK("https://www.wikidata.org/wiki/Q33369535", "Q33369535")</f>
        <v>0</v>
      </c>
      <c r="G476" t="s">
        <v>968</v>
      </c>
      <c r="H476" t="s">
        <v>5720</v>
      </c>
      <c r="I476" t="s">
        <v>9389</v>
      </c>
      <c r="J476" t="s">
        <v>11707</v>
      </c>
      <c r="K476" t="s">
        <v>16110</v>
      </c>
      <c r="L476">
        <f>HYPERLINK("https://www2.assemblee-nationale.fr/sycomore/fiche/(num_dept)/3491", "3491")</f>
        <v>0</v>
      </c>
      <c r="N476">
        <f>HYPERLINK("https://www.wikidata.org/wiki/Q3588541", "Q3588541")</f>
        <v>0</v>
      </c>
      <c r="O476" t="s">
        <v>20011</v>
      </c>
      <c r="P476" t="s">
        <v>20404</v>
      </c>
      <c r="Q476" t="s">
        <v>20519</v>
      </c>
      <c r="R476" t="s">
        <v>409</v>
      </c>
      <c r="S476">
        <v>1484</v>
      </c>
    </row>
    <row r="477" spans="1:19">
      <c r="A477" t="s">
        <v>19</v>
      </c>
      <c r="B477" t="s">
        <v>148</v>
      </c>
      <c r="C477" t="s">
        <v>151</v>
      </c>
      <c r="D477" t="s">
        <v>280</v>
      </c>
      <c r="E477" t="s">
        <v>409</v>
      </c>
      <c r="F477">
        <f>HYPERLINK("https://www.wikidata.org/wiki/Q33369535", "Q33369535")</f>
        <v>0</v>
      </c>
      <c r="G477" t="s">
        <v>969</v>
      </c>
      <c r="H477" t="s">
        <v>5721</v>
      </c>
      <c r="I477" t="s">
        <v>9453</v>
      </c>
      <c r="J477" t="s">
        <v>11590</v>
      </c>
      <c r="K477" t="s">
        <v>16111</v>
      </c>
      <c r="L477">
        <f>HYPERLINK("https://www2.assemblee-nationale.fr/sycomore/fiche/(num_dept)/3609", "3609")</f>
        <v>0</v>
      </c>
      <c r="N477">
        <f>HYPERLINK("https://www.wikidata.org/wiki/Q2865129", "Q2865129")</f>
        <v>0</v>
      </c>
      <c r="O477" t="s">
        <v>19969</v>
      </c>
      <c r="P477" t="s">
        <v>20404</v>
      </c>
      <c r="Q477" t="s">
        <v>20519</v>
      </c>
      <c r="R477" t="s">
        <v>409</v>
      </c>
      <c r="S477">
        <v>1484</v>
      </c>
    </row>
    <row r="478" spans="1:19">
      <c r="A478" t="s">
        <v>19</v>
      </c>
      <c r="B478" t="s">
        <v>148</v>
      </c>
      <c r="C478" t="s">
        <v>151</v>
      </c>
      <c r="D478" t="s">
        <v>280</v>
      </c>
      <c r="E478" t="s">
        <v>409</v>
      </c>
      <c r="F478">
        <f>HYPERLINK("https://www.wikidata.org/wiki/Q33369535", "Q33369535")</f>
        <v>0</v>
      </c>
      <c r="G478" t="s">
        <v>970</v>
      </c>
      <c r="H478" t="s">
        <v>5722</v>
      </c>
      <c r="I478" t="s">
        <v>7642</v>
      </c>
      <c r="J478" t="s">
        <v>11708</v>
      </c>
      <c r="K478" t="s">
        <v>16112</v>
      </c>
      <c r="L478">
        <f>HYPERLINK("https://www2.assemblee-nationale.fr/sycomore/fiche/(num_dept)/3640", "3640")</f>
        <v>0</v>
      </c>
      <c r="M478">
        <f>HYPERLINK("https://www.senat.fr/senateur-3eme-republique/guesnier_maurice1633r3.html", "guesnier_maurice1633r3")</f>
        <v>0</v>
      </c>
      <c r="N478">
        <f>HYPERLINK("https://www.wikidata.org/wiki/Q3300873", "Q3300873")</f>
        <v>0</v>
      </c>
      <c r="O478" t="s">
        <v>19976</v>
      </c>
      <c r="P478" t="s">
        <v>20403</v>
      </c>
      <c r="Q478" t="s">
        <v>20519</v>
      </c>
      <c r="R478" t="s">
        <v>409</v>
      </c>
      <c r="S478">
        <v>1484</v>
      </c>
    </row>
    <row r="479" spans="1:19">
      <c r="A479" t="s">
        <v>19</v>
      </c>
      <c r="B479" t="s">
        <v>148</v>
      </c>
      <c r="C479" t="s">
        <v>151</v>
      </c>
      <c r="D479" t="s">
        <v>280</v>
      </c>
      <c r="E479" t="s">
        <v>409</v>
      </c>
      <c r="F479">
        <f>HYPERLINK("https://www.wikidata.org/wiki/Q33369535", "Q33369535")</f>
        <v>0</v>
      </c>
      <c r="G479" t="s">
        <v>971</v>
      </c>
      <c r="H479" t="s">
        <v>5723</v>
      </c>
      <c r="I479" t="s">
        <v>6495</v>
      </c>
      <c r="J479" t="s">
        <v>11709</v>
      </c>
      <c r="K479" t="s">
        <v>16113</v>
      </c>
      <c r="L479">
        <f>HYPERLINK("https://www2.assemblee-nationale.fr/sycomore/fiche/(num_dept)/3650", "3650")</f>
        <v>0</v>
      </c>
      <c r="N479">
        <f>HYPERLINK("https://www.wikidata.org/wiki/Q3262102", "Q3262102")</f>
        <v>0</v>
      </c>
      <c r="O479" t="s">
        <v>20047</v>
      </c>
      <c r="P479" t="s">
        <v>20405</v>
      </c>
      <c r="Q479" t="s">
        <v>20519</v>
      </c>
      <c r="R479" t="s">
        <v>409</v>
      </c>
      <c r="S479">
        <v>1484</v>
      </c>
    </row>
    <row r="480" spans="1:19">
      <c r="A480" t="s">
        <v>19</v>
      </c>
      <c r="B480" t="s">
        <v>148</v>
      </c>
      <c r="C480" t="s">
        <v>151</v>
      </c>
      <c r="D480" t="s">
        <v>280</v>
      </c>
      <c r="E480" t="s">
        <v>409</v>
      </c>
      <c r="F480">
        <f>HYPERLINK("https://www.wikidata.org/wiki/Q33369535", "Q33369535")</f>
        <v>0</v>
      </c>
      <c r="G480" t="s">
        <v>972</v>
      </c>
      <c r="H480" t="s">
        <v>5724</v>
      </c>
      <c r="I480" t="s">
        <v>9606</v>
      </c>
      <c r="J480" t="s">
        <v>11710</v>
      </c>
      <c r="K480" t="s">
        <v>16114</v>
      </c>
      <c r="L480">
        <f>HYPERLINK("https://www2.assemblee-nationale.fr/sycomore/fiche/(num_dept)/3693", "3693")</f>
        <v>0</v>
      </c>
      <c r="N480">
        <f>HYPERLINK("https://www.wikidata.org/wiki/Q16025830", "Q16025830")</f>
        <v>0</v>
      </c>
      <c r="O480" t="s">
        <v>19962</v>
      </c>
      <c r="P480" t="s">
        <v>20405</v>
      </c>
      <c r="Q480" t="s">
        <v>20519</v>
      </c>
      <c r="R480" t="s">
        <v>409</v>
      </c>
      <c r="S480">
        <v>1484</v>
      </c>
    </row>
    <row r="481" spans="1:19">
      <c r="A481" t="s">
        <v>19</v>
      </c>
      <c r="B481" t="s">
        <v>148</v>
      </c>
      <c r="C481" t="s">
        <v>151</v>
      </c>
      <c r="D481" t="s">
        <v>280</v>
      </c>
      <c r="E481" t="s">
        <v>409</v>
      </c>
      <c r="F481">
        <f>HYPERLINK("https://www.wikidata.org/wiki/Q33369535", "Q33369535")</f>
        <v>0</v>
      </c>
      <c r="G481" t="s">
        <v>973</v>
      </c>
      <c r="H481" t="s">
        <v>5725</v>
      </c>
      <c r="I481" t="s">
        <v>6495</v>
      </c>
      <c r="J481" t="s">
        <v>11711</v>
      </c>
      <c r="K481" t="s">
        <v>16115</v>
      </c>
      <c r="L481">
        <f>HYPERLINK("https://www2.assemblee-nationale.fr/sycomore/fiche/(num_dept)/3694", "3694")</f>
        <v>0</v>
      </c>
      <c r="N481">
        <f>HYPERLINK("https://www.wikidata.org/wiki/Q16025831", "Q16025831")</f>
        <v>0</v>
      </c>
      <c r="O481" t="s">
        <v>20013</v>
      </c>
      <c r="P481" t="s">
        <v>20405</v>
      </c>
      <c r="Q481" t="s">
        <v>20519</v>
      </c>
      <c r="R481" t="s">
        <v>409</v>
      </c>
      <c r="S481">
        <v>1484</v>
      </c>
    </row>
    <row r="482" spans="1:19">
      <c r="A482" t="s">
        <v>19</v>
      </c>
      <c r="B482" t="s">
        <v>148</v>
      </c>
      <c r="C482" t="s">
        <v>151</v>
      </c>
      <c r="D482" t="s">
        <v>280</v>
      </c>
      <c r="E482" t="s">
        <v>409</v>
      </c>
      <c r="F482">
        <f>HYPERLINK("https://www.wikidata.org/wiki/Q33369535", "Q33369535")</f>
        <v>0</v>
      </c>
      <c r="G482" t="s">
        <v>974</v>
      </c>
      <c r="H482" t="s">
        <v>5726</v>
      </c>
      <c r="I482" t="s">
        <v>9465</v>
      </c>
      <c r="J482" t="s">
        <v>11712</v>
      </c>
      <c r="K482" t="s">
        <v>16116</v>
      </c>
      <c r="L482">
        <f>HYPERLINK("https://www2.assemblee-nationale.fr/sycomore/fiche/(num_dept)/3812", "3812")</f>
        <v>0</v>
      </c>
      <c r="N482">
        <f>HYPERLINK("https://www.wikidata.org/wiki/Q16025846", "Q16025846")</f>
        <v>0</v>
      </c>
      <c r="O482" t="s">
        <v>19986</v>
      </c>
      <c r="P482" t="s">
        <v>20405</v>
      </c>
      <c r="Q482" t="s">
        <v>20519</v>
      </c>
      <c r="R482" t="s">
        <v>409</v>
      </c>
      <c r="S482">
        <v>1484</v>
      </c>
    </row>
    <row r="483" spans="1:19">
      <c r="A483" t="s">
        <v>19</v>
      </c>
      <c r="B483" t="s">
        <v>148</v>
      </c>
      <c r="C483" t="s">
        <v>151</v>
      </c>
      <c r="D483" t="s">
        <v>280</v>
      </c>
      <c r="E483" t="s">
        <v>409</v>
      </c>
      <c r="F483">
        <f>HYPERLINK("https://www.wikidata.org/wiki/Q33369535", "Q33369535")</f>
        <v>0</v>
      </c>
      <c r="G483" t="s">
        <v>975</v>
      </c>
      <c r="H483" t="s">
        <v>5727</v>
      </c>
      <c r="I483" t="s">
        <v>9607</v>
      </c>
      <c r="J483" t="s">
        <v>11713</v>
      </c>
      <c r="K483" t="s">
        <v>16117</v>
      </c>
      <c r="L483">
        <f>HYPERLINK("https://www2.assemblee-nationale.fr/sycomore/fiche/(num_dept)/3886", "3886")</f>
        <v>0</v>
      </c>
      <c r="N483">
        <f>HYPERLINK("https://www.wikidata.org/wiki/Q2958267", "Q2958267")</f>
        <v>0</v>
      </c>
      <c r="O483" t="s">
        <v>19989</v>
      </c>
      <c r="P483" t="s">
        <v>20403</v>
      </c>
      <c r="Q483" t="s">
        <v>20519</v>
      </c>
      <c r="R483" t="s">
        <v>409</v>
      </c>
      <c r="S483">
        <v>1484</v>
      </c>
    </row>
    <row r="484" spans="1:19">
      <c r="A484" t="s">
        <v>19</v>
      </c>
      <c r="B484" t="s">
        <v>148</v>
      </c>
      <c r="C484" t="s">
        <v>151</v>
      </c>
      <c r="D484" t="s">
        <v>280</v>
      </c>
      <c r="E484" t="s">
        <v>409</v>
      </c>
      <c r="F484">
        <f>HYPERLINK("https://www.wikidata.org/wiki/Q33369535", "Q33369535")</f>
        <v>0</v>
      </c>
      <c r="G484" t="s">
        <v>976</v>
      </c>
      <c r="H484" t="s">
        <v>5728</v>
      </c>
      <c r="I484" t="s">
        <v>9407</v>
      </c>
      <c r="J484" t="s">
        <v>11714</v>
      </c>
      <c r="K484" t="s">
        <v>16118</v>
      </c>
      <c r="L484">
        <f>HYPERLINK("https://www2.assemblee-nationale.fr/sycomore/fiche/(num_dept)/3991", "3991")</f>
        <v>0</v>
      </c>
      <c r="N484">
        <f>HYPERLINK("https://www.wikidata.org/wiki/Q16025866", "Q16025866")</f>
        <v>0</v>
      </c>
      <c r="O484" t="s">
        <v>20006</v>
      </c>
      <c r="P484" t="s">
        <v>20407</v>
      </c>
      <c r="Q484" t="s">
        <v>20519</v>
      </c>
      <c r="R484" t="s">
        <v>409</v>
      </c>
      <c r="S484">
        <v>1484</v>
      </c>
    </row>
    <row r="485" spans="1:19">
      <c r="A485" t="s">
        <v>19</v>
      </c>
      <c r="B485" t="s">
        <v>148</v>
      </c>
      <c r="C485" t="s">
        <v>151</v>
      </c>
      <c r="D485" t="s">
        <v>280</v>
      </c>
      <c r="E485" t="s">
        <v>409</v>
      </c>
      <c r="F485">
        <f>HYPERLINK("https://www.wikidata.org/wiki/Q33369535", "Q33369535")</f>
        <v>0</v>
      </c>
      <c r="G485" t="s">
        <v>977</v>
      </c>
      <c r="H485" t="s">
        <v>5729</v>
      </c>
      <c r="I485" t="s">
        <v>9608</v>
      </c>
      <c r="J485" t="s">
        <v>11715</v>
      </c>
      <c r="K485" t="s">
        <v>16119</v>
      </c>
      <c r="L485">
        <f>HYPERLINK("https://www2.assemblee-nationale.fr/sycomore/fiche/(num_dept)/4042", "4042")</f>
        <v>0</v>
      </c>
      <c r="N485">
        <f>HYPERLINK("https://www.wikidata.org/wiki/Q16011416", "Q16011416")</f>
        <v>0</v>
      </c>
      <c r="O485" t="s">
        <v>20033</v>
      </c>
      <c r="P485" t="s">
        <v>20406</v>
      </c>
      <c r="Q485" t="s">
        <v>20519</v>
      </c>
      <c r="R485" t="s">
        <v>409</v>
      </c>
      <c r="S485">
        <v>1484</v>
      </c>
    </row>
    <row r="486" spans="1:19">
      <c r="A486" t="s">
        <v>19</v>
      </c>
      <c r="B486" t="s">
        <v>148</v>
      </c>
      <c r="C486" t="s">
        <v>151</v>
      </c>
      <c r="D486" t="s">
        <v>280</v>
      </c>
      <c r="E486" t="s">
        <v>409</v>
      </c>
      <c r="F486">
        <f>HYPERLINK("https://www.wikidata.org/wiki/Q33369535", "Q33369535")</f>
        <v>0</v>
      </c>
      <c r="G486" t="s">
        <v>978</v>
      </c>
      <c r="H486" t="s">
        <v>5730</v>
      </c>
      <c r="I486" t="s">
        <v>9609</v>
      </c>
      <c r="J486" t="s">
        <v>11716</v>
      </c>
      <c r="K486" t="s">
        <v>16120</v>
      </c>
      <c r="L486">
        <f>HYPERLINK("https://www2.assemblee-nationale.fr/sycomore/fiche/(num_dept)/4076", "4076")</f>
        <v>0</v>
      </c>
      <c r="N486">
        <f>HYPERLINK("https://www.wikidata.org/wiki/Q2861882", "Q2861882")</f>
        <v>0</v>
      </c>
      <c r="O486" t="s">
        <v>20032</v>
      </c>
      <c r="P486" t="s">
        <v>20407</v>
      </c>
      <c r="Q486" t="s">
        <v>20519</v>
      </c>
      <c r="R486" t="s">
        <v>409</v>
      </c>
      <c r="S486">
        <v>1484</v>
      </c>
    </row>
    <row r="487" spans="1:19">
      <c r="A487" t="s">
        <v>19</v>
      </c>
      <c r="B487" t="s">
        <v>148</v>
      </c>
      <c r="C487" t="s">
        <v>151</v>
      </c>
      <c r="D487" t="s">
        <v>280</v>
      </c>
      <c r="E487" t="s">
        <v>409</v>
      </c>
      <c r="F487">
        <f>HYPERLINK("https://www.wikidata.org/wiki/Q33369535", "Q33369535")</f>
        <v>0</v>
      </c>
      <c r="G487" t="s">
        <v>979</v>
      </c>
      <c r="H487" t="s">
        <v>5731</v>
      </c>
      <c r="I487" t="s">
        <v>9610</v>
      </c>
      <c r="J487" t="s">
        <v>11717</v>
      </c>
      <c r="K487" t="s">
        <v>16121</v>
      </c>
      <c r="L487">
        <f>HYPERLINK("https://www2.assemblee-nationale.fr/sycomore/fiche/(num_dept)/4233", "4233")</f>
        <v>0</v>
      </c>
      <c r="N487">
        <f>HYPERLINK("https://www.wikidata.org/wiki/Q2871256", "Q2871256")</f>
        <v>0</v>
      </c>
      <c r="O487" t="s">
        <v>20047</v>
      </c>
      <c r="P487" t="s">
        <v>20402</v>
      </c>
      <c r="Q487" t="s">
        <v>20519</v>
      </c>
      <c r="R487" t="s">
        <v>409</v>
      </c>
      <c r="S487">
        <v>1484</v>
      </c>
    </row>
    <row r="488" spans="1:19">
      <c r="A488" t="s">
        <v>19</v>
      </c>
      <c r="B488" t="s">
        <v>148</v>
      </c>
      <c r="C488" t="s">
        <v>151</v>
      </c>
      <c r="D488" t="s">
        <v>280</v>
      </c>
      <c r="E488" t="s">
        <v>409</v>
      </c>
      <c r="F488">
        <f>HYPERLINK("https://www.wikidata.org/wiki/Q33369535", "Q33369535")</f>
        <v>0</v>
      </c>
      <c r="G488" t="s">
        <v>980</v>
      </c>
      <c r="H488" t="s">
        <v>5732</v>
      </c>
      <c r="I488" t="s">
        <v>6495</v>
      </c>
      <c r="J488" t="s">
        <v>11718</v>
      </c>
      <c r="K488" t="s">
        <v>16122</v>
      </c>
      <c r="L488">
        <f>HYPERLINK("https://www2.assemblee-nationale.fr/sycomore/fiche/(num_dept)/4248", "4248")</f>
        <v>0</v>
      </c>
      <c r="M488">
        <f>HYPERLINK("https://www.senat.fr/senateur-3eme-republique/lafferre_antonin0251r3.html", "lafferre_antonin0251r3")</f>
        <v>0</v>
      </c>
      <c r="N488">
        <f>HYPERLINK("https://www.wikidata.org/wiki/Q3262422", "Q3262422")</f>
        <v>0</v>
      </c>
      <c r="O488" t="s">
        <v>7411</v>
      </c>
      <c r="P488" t="s">
        <v>20405</v>
      </c>
      <c r="Q488" t="s">
        <v>20519</v>
      </c>
      <c r="R488" t="s">
        <v>409</v>
      </c>
      <c r="S488">
        <v>1484</v>
      </c>
    </row>
    <row r="489" spans="1:19">
      <c r="A489" t="s">
        <v>19</v>
      </c>
      <c r="B489" t="s">
        <v>148</v>
      </c>
      <c r="C489" t="s">
        <v>151</v>
      </c>
      <c r="D489" t="s">
        <v>280</v>
      </c>
      <c r="E489" t="s">
        <v>409</v>
      </c>
      <c r="F489">
        <f>HYPERLINK("https://www.wikidata.org/wiki/Q33369535", "Q33369535")</f>
        <v>0</v>
      </c>
      <c r="G489" t="s">
        <v>981</v>
      </c>
      <c r="H489" t="s">
        <v>5733</v>
      </c>
      <c r="I489" t="s">
        <v>6175</v>
      </c>
      <c r="J489" t="s">
        <v>11719</v>
      </c>
      <c r="K489" t="s">
        <v>16123</v>
      </c>
      <c r="L489">
        <f>HYPERLINK("https://www2.assemblee-nationale.fr/sycomore/fiche/(num_dept)/4272", "4272")</f>
        <v>0</v>
      </c>
      <c r="N489">
        <f>HYPERLINK("https://www.wikidata.org/wiki/Q3103015", "Q3103015")</f>
        <v>0</v>
      </c>
      <c r="O489" t="s">
        <v>20047</v>
      </c>
      <c r="P489" t="s">
        <v>20406</v>
      </c>
      <c r="Q489" t="s">
        <v>20519</v>
      </c>
      <c r="R489" t="s">
        <v>16123</v>
      </c>
      <c r="S489">
        <v>771</v>
      </c>
    </row>
    <row r="490" spans="1:19">
      <c r="A490" t="s">
        <v>19</v>
      </c>
      <c r="B490" t="s">
        <v>148</v>
      </c>
      <c r="C490" t="s">
        <v>151</v>
      </c>
      <c r="D490" t="s">
        <v>280</v>
      </c>
      <c r="E490" t="s">
        <v>409</v>
      </c>
      <c r="F490">
        <f>HYPERLINK("https://www.wikidata.org/wiki/Q33369535", "Q33369535")</f>
        <v>0</v>
      </c>
      <c r="G490" t="s">
        <v>982</v>
      </c>
      <c r="H490" t="s">
        <v>5734</v>
      </c>
      <c r="I490" t="s">
        <v>9516</v>
      </c>
      <c r="J490" t="s">
        <v>11720</v>
      </c>
      <c r="K490" t="s">
        <v>16124</v>
      </c>
      <c r="L490">
        <f>HYPERLINK("https://www2.assemblee-nationale.fr/sycomore/fiche/(num_dept)/4317", "4317")</f>
        <v>0</v>
      </c>
      <c r="N490">
        <f>HYPERLINK("https://www.wikidata.org/wiki/Q3592233", "Q3592233")</f>
        <v>0</v>
      </c>
      <c r="O490" t="s">
        <v>19999</v>
      </c>
      <c r="P490" t="s">
        <v>20405</v>
      </c>
      <c r="Q490" t="s">
        <v>20519</v>
      </c>
      <c r="R490" t="s">
        <v>409</v>
      </c>
      <c r="S490">
        <v>1484</v>
      </c>
    </row>
    <row r="491" spans="1:19">
      <c r="A491" t="s">
        <v>19</v>
      </c>
      <c r="B491" t="s">
        <v>148</v>
      </c>
      <c r="C491" t="s">
        <v>151</v>
      </c>
      <c r="D491" t="s">
        <v>280</v>
      </c>
      <c r="E491" t="s">
        <v>409</v>
      </c>
      <c r="F491">
        <f>HYPERLINK("https://www.wikidata.org/wiki/Q33369535", "Q33369535")</f>
        <v>0</v>
      </c>
      <c r="G491" t="s">
        <v>983</v>
      </c>
      <c r="H491" t="s">
        <v>5735</v>
      </c>
      <c r="I491" t="s">
        <v>9534</v>
      </c>
      <c r="J491" t="s">
        <v>11721</v>
      </c>
      <c r="K491" t="s">
        <v>16125</v>
      </c>
      <c r="L491">
        <f>HYPERLINK("https://www2.assemblee-nationale.fr/sycomore/fiche/(num_dept)/4326", "4326")</f>
        <v>0</v>
      </c>
      <c r="M491">
        <f>HYPERLINK("https://www.senat.fr/senateur-3eme-republique/landry_adolphe0199r4.html", "landry_adolphe0199r4")</f>
        <v>0</v>
      </c>
      <c r="N491">
        <f>HYPERLINK("https://www.wikidata.org/wiki/Q2824853", "Q2824853")</f>
        <v>0</v>
      </c>
      <c r="O491" t="s">
        <v>19955</v>
      </c>
      <c r="P491" t="s">
        <v>20406</v>
      </c>
      <c r="Q491" t="s">
        <v>20519</v>
      </c>
      <c r="R491" t="s">
        <v>409</v>
      </c>
      <c r="S491">
        <v>1484</v>
      </c>
    </row>
    <row r="492" spans="1:19">
      <c r="A492" t="s">
        <v>19</v>
      </c>
      <c r="B492" t="s">
        <v>148</v>
      </c>
      <c r="C492" t="s">
        <v>151</v>
      </c>
      <c r="D492" t="s">
        <v>280</v>
      </c>
      <c r="E492" t="s">
        <v>409</v>
      </c>
      <c r="F492">
        <f>HYPERLINK("https://www.wikidata.org/wiki/Q33369535", "Q33369535")</f>
        <v>0</v>
      </c>
      <c r="G492" t="s">
        <v>984</v>
      </c>
      <c r="H492" t="s">
        <v>5736</v>
      </c>
      <c r="I492" t="s">
        <v>9606</v>
      </c>
      <c r="J492" t="s">
        <v>11722</v>
      </c>
      <c r="K492" t="s">
        <v>16126</v>
      </c>
      <c r="L492">
        <f>HYPERLINK("https://www2.assemblee-nationale.fr/sycomore/fiche/(num_dept)/4328", "4328")</f>
        <v>0</v>
      </c>
      <c r="N492">
        <f>HYPERLINK("https://www.wikidata.org/wiki/Q645606", "Q645606")</f>
        <v>0</v>
      </c>
      <c r="O492" t="s">
        <v>20037</v>
      </c>
      <c r="P492" t="s">
        <v>20402</v>
      </c>
      <c r="Q492" t="s">
        <v>20519</v>
      </c>
      <c r="R492" t="s">
        <v>409</v>
      </c>
      <c r="S492">
        <v>1484</v>
      </c>
    </row>
    <row r="493" spans="1:19">
      <c r="A493" t="s">
        <v>19</v>
      </c>
      <c r="B493" t="s">
        <v>148</v>
      </c>
      <c r="C493" t="s">
        <v>151</v>
      </c>
      <c r="D493" t="s">
        <v>280</v>
      </c>
      <c r="E493" t="s">
        <v>409</v>
      </c>
      <c r="F493">
        <f>HYPERLINK("https://www.wikidata.org/wiki/Q33369535", "Q33369535")</f>
        <v>0</v>
      </c>
      <c r="G493" t="s">
        <v>985</v>
      </c>
      <c r="H493" t="s">
        <v>5737</v>
      </c>
      <c r="I493" t="s">
        <v>9446</v>
      </c>
      <c r="J493" t="s">
        <v>11723</v>
      </c>
      <c r="K493" t="s">
        <v>16127</v>
      </c>
      <c r="L493">
        <f>HYPERLINK("https://www2.assemblee-nationale.fr/sycomore/fiche/(num_dept)/4368", "4368")</f>
        <v>0</v>
      </c>
      <c r="N493">
        <f>HYPERLINK("https://www.wikidata.org/wiki/Q16025943", "Q16025943")</f>
        <v>0</v>
      </c>
      <c r="O493" t="s">
        <v>20037</v>
      </c>
      <c r="P493" t="s">
        <v>20401</v>
      </c>
      <c r="Q493" t="s">
        <v>20519</v>
      </c>
      <c r="R493" t="s">
        <v>409</v>
      </c>
      <c r="S493">
        <v>1484</v>
      </c>
    </row>
    <row r="494" spans="1:19">
      <c r="A494" t="s">
        <v>19</v>
      </c>
      <c r="B494" t="s">
        <v>148</v>
      </c>
      <c r="C494" t="s">
        <v>151</v>
      </c>
      <c r="D494" t="s">
        <v>280</v>
      </c>
      <c r="E494" t="s">
        <v>409</v>
      </c>
      <c r="F494">
        <f>HYPERLINK("https://www.wikidata.org/wiki/Q33369535", "Q33369535")</f>
        <v>0</v>
      </c>
      <c r="G494" t="s">
        <v>986</v>
      </c>
      <c r="H494" t="s">
        <v>5738</v>
      </c>
      <c r="I494" t="s">
        <v>7419</v>
      </c>
      <c r="J494" t="s">
        <v>11724</v>
      </c>
      <c r="K494" t="s">
        <v>16128</v>
      </c>
      <c r="L494">
        <f>HYPERLINK("https://www2.assemblee-nationale.fr/sycomore/fiche/(num_dept)/4392", "4392")</f>
        <v>0</v>
      </c>
      <c r="N494">
        <f>HYPERLINK("https://www.wikidata.org/wiki/Q13080898", "Q13080898")</f>
        <v>0</v>
      </c>
      <c r="O494" t="s">
        <v>19969</v>
      </c>
      <c r="P494" t="s">
        <v>20404</v>
      </c>
      <c r="Q494" t="s">
        <v>20519</v>
      </c>
      <c r="R494" t="s">
        <v>409</v>
      </c>
      <c r="S494">
        <v>1484</v>
      </c>
    </row>
    <row r="495" spans="1:19">
      <c r="A495" t="s">
        <v>19</v>
      </c>
      <c r="B495" t="s">
        <v>148</v>
      </c>
      <c r="C495" t="s">
        <v>151</v>
      </c>
      <c r="D495" t="s">
        <v>280</v>
      </c>
      <c r="E495" t="s">
        <v>409</v>
      </c>
      <c r="F495">
        <f>HYPERLINK("https://www.wikidata.org/wiki/Q33369535", "Q33369535")</f>
        <v>0</v>
      </c>
      <c r="G495" t="s">
        <v>987</v>
      </c>
      <c r="H495" t="s">
        <v>5739</v>
      </c>
      <c r="I495" t="s">
        <v>9389</v>
      </c>
      <c r="J495" t="s">
        <v>11725</v>
      </c>
      <c r="K495" t="s">
        <v>16129</v>
      </c>
      <c r="L495">
        <f>HYPERLINK("https://www2.assemblee-nationale.fr/sycomore/fiche/(num_dept)/4818", "4818")</f>
        <v>0</v>
      </c>
      <c r="N495">
        <f>HYPERLINK("https://www.wikidata.org/wiki/Q3588628", "Q3588628")</f>
        <v>0</v>
      </c>
      <c r="O495" t="s">
        <v>19968</v>
      </c>
      <c r="P495" t="s">
        <v>20401</v>
      </c>
      <c r="Q495" t="s">
        <v>20519</v>
      </c>
      <c r="R495" t="s">
        <v>409</v>
      </c>
      <c r="S495">
        <v>1484</v>
      </c>
    </row>
    <row r="496" spans="1:19">
      <c r="A496" t="s">
        <v>19</v>
      </c>
      <c r="B496" t="s">
        <v>148</v>
      </c>
      <c r="C496" t="s">
        <v>151</v>
      </c>
      <c r="D496" t="s">
        <v>280</v>
      </c>
      <c r="E496" t="s">
        <v>409</v>
      </c>
      <c r="F496">
        <f>HYPERLINK("https://www.wikidata.org/wiki/Q33369535", "Q33369535")</f>
        <v>0</v>
      </c>
      <c r="G496" t="s">
        <v>988</v>
      </c>
      <c r="H496" t="s">
        <v>5740</v>
      </c>
      <c r="I496" t="s">
        <v>9457</v>
      </c>
      <c r="J496" t="s">
        <v>11726</v>
      </c>
      <c r="K496" t="s">
        <v>16130</v>
      </c>
      <c r="L496">
        <f>HYPERLINK("https://www2.assemblee-nationale.fr/sycomore/fiche/(num_dept)/4828", "4828")</f>
        <v>0</v>
      </c>
      <c r="N496">
        <f>HYPERLINK("https://www.wikidata.org/wiki/Q16026012", "Q16026012")</f>
        <v>0</v>
      </c>
      <c r="O496" t="s">
        <v>20034</v>
      </c>
      <c r="P496" t="s">
        <v>20405</v>
      </c>
      <c r="Q496" t="s">
        <v>20519</v>
      </c>
      <c r="R496" t="s">
        <v>409</v>
      </c>
      <c r="S496">
        <v>1484</v>
      </c>
    </row>
    <row r="497" spans="1:19">
      <c r="A497" t="s">
        <v>19</v>
      </c>
      <c r="B497" t="s">
        <v>148</v>
      </c>
      <c r="C497" t="s">
        <v>151</v>
      </c>
      <c r="D497" t="s">
        <v>280</v>
      </c>
      <c r="E497" t="s">
        <v>409</v>
      </c>
      <c r="F497">
        <f>HYPERLINK("https://www.wikidata.org/wiki/Q33369535", "Q33369535")</f>
        <v>0</v>
      </c>
      <c r="G497" t="s">
        <v>989</v>
      </c>
      <c r="H497" t="s">
        <v>5741</v>
      </c>
      <c r="I497" t="s">
        <v>6495</v>
      </c>
      <c r="J497" t="s">
        <v>11727</v>
      </c>
      <c r="K497" t="s">
        <v>16131</v>
      </c>
      <c r="L497">
        <f>HYPERLINK("https://www2.assemblee-nationale.fr/sycomore/fiche/(num_dept)/4831", "4831")</f>
        <v>0</v>
      </c>
      <c r="N497">
        <f>HYPERLINK("https://www.wikidata.org/wiki/Q16026014", "Q16026014")</f>
        <v>0</v>
      </c>
      <c r="O497" t="s">
        <v>19995</v>
      </c>
      <c r="P497" t="s">
        <v>20405</v>
      </c>
      <c r="Q497" t="s">
        <v>20519</v>
      </c>
      <c r="R497" t="s">
        <v>409</v>
      </c>
      <c r="S497">
        <v>1484</v>
      </c>
    </row>
    <row r="498" spans="1:19">
      <c r="A498" t="s">
        <v>19</v>
      </c>
      <c r="B498" t="s">
        <v>148</v>
      </c>
      <c r="C498" t="s">
        <v>151</v>
      </c>
      <c r="D498" t="s">
        <v>280</v>
      </c>
      <c r="E498" t="s">
        <v>409</v>
      </c>
      <c r="F498">
        <f>HYPERLINK("https://www.wikidata.org/wiki/Q33369535", "Q33369535")</f>
        <v>0</v>
      </c>
      <c r="G498" t="s">
        <v>990</v>
      </c>
      <c r="H498" t="s">
        <v>5742</v>
      </c>
      <c r="I498" t="s">
        <v>9389</v>
      </c>
      <c r="J498" t="s">
        <v>11728</v>
      </c>
      <c r="K498" t="s">
        <v>16132</v>
      </c>
      <c r="L498">
        <f>HYPERLINK("https://www2.assemblee-nationale.fr/sycomore/fiche/(num_dept)/4888", "4888")</f>
        <v>0</v>
      </c>
      <c r="N498">
        <f>HYPERLINK("https://www.wikidata.org/wiki/Q8327328", "Q8327328")</f>
        <v>0</v>
      </c>
      <c r="O498" t="s">
        <v>20015</v>
      </c>
      <c r="P498" t="s">
        <v>20405</v>
      </c>
      <c r="Q498" t="s">
        <v>20519</v>
      </c>
      <c r="R498" t="s">
        <v>409</v>
      </c>
      <c r="S498">
        <v>1484</v>
      </c>
    </row>
    <row r="499" spans="1:19">
      <c r="A499" t="s">
        <v>19</v>
      </c>
      <c r="B499" t="s">
        <v>148</v>
      </c>
      <c r="C499" t="s">
        <v>151</v>
      </c>
      <c r="D499" t="s">
        <v>280</v>
      </c>
      <c r="E499" t="s">
        <v>409</v>
      </c>
      <c r="F499">
        <f>HYPERLINK("https://www.wikidata.org/wiki/Q33369535", "Q33369535")</f>
        <v>0</v>
      </c>
      <c r="G499" t="s">
        <v>991</v>
      </c>
      <c r="H499" t="s">
        <v>5743</v>
      </c>
      <c r="I499" t="s">
        <v>9389</v>
      </c>
      <c r="J499" t="s">
        <v>11729</v>
      </c>
      <c r="K499" t="s">
        <v>16133</v>
      </c>
      <c r="L499">
        <f>HYPERLINK("https://www2.assemblee-nationale.fr/sycomore/fiche/(num_dept)/4890", "4890")</f>
        <v>0</v>
      </c>
      <c r="N499">
        <f>HYPERLINK("https://www.wikidata.org/wiki/Q3588635", "Q3588635")</f>
        <v>0</v>
      </c>
      <c r="O499" t="s">
        <v>20012</v>
      </c>
      <c r="P499" t="s">
        <v>20405</v>
      </c>
      <c r="Q499" t="s">
        <v>20519</v>
      </c>
      <c r="R499" t="s">
        <v>409</v>
      </c>
      <c r="S499">
        <v>1484</v>
      </c>
    </row>
    <row r="500" spans="1:19">
      <c r="A500" t="s">
        <v>19</v>
      </c>
      <c r="B500" t="s">
        <v>148</v>
      </c>
      <c r="C500" t="s">
        <v>151</v>
      </c>
      <c r="D500" t="s">
        <v>280</v>
      </c>
      <c r="E500" t="s">
        <v>409</v>
      </c>
      <c r="F500">
        <f>HYPERLINK("https://www.wikidata.org/wiki/Q33369535", "Q33369535")</f>
        <v>0</v>
      </c>
      <c r="G500" t="s">
        <v>992</v>
      </c>
      <c r="H500" t="s">
        <v>5744</v>
      </c>
      <c r="I500" t="s">
        <v>9388</v>
      </c>
      <c r="J500" t="s">
        <v>11730</v>
      </c>
      <c r="K500" t="s">
        <v>15980</v>
      </c>
      <c r="L500">
        <f>HYPERLINK("https://www2.assemblee-nationale.fr/sycomore/fiche/(num_dept)/4908", "4908")</f>
        <v>0</v>
      </c>
      <c r="N500">
        <f>HYPERLINK("https://www.wikidata.org/wiki/Q3371749", "Q3371749")</f>
        <v>0</v>
      </c>
      <c r="O500" t="s">
        <v>20031</v>
      </c>
      <c r="P500" t="s">
        <v>20401</v>
      </c>
      <c r="Q500" t="s">
        <v>20519</v>
      </c>
      <c r="R500" t="s">
        <v>409</v>
      </c>
      <c r="S500">
        <v>1484</v>
      </c>
    </row>
    <row r="501" spans="1:19">
      <c r="A501" t="s">
        <v>19</v>
      </c>
      <c r="B501" t="s">
        <v>148</v>
      </c>
      <c r="C501" t="s">
        <v>151</v>
      </c>
      <c r="D501" t="s">
        <v>280</v>
      </c>
      <c r="E501" t="s">
        <v>409</v>
      </c>
      <c r="F501">
        <f>HYPERLINK("https://www.wikidata.org/wiki/Q33369535", "Q33369535")</f>
        <v>0</v>
      </c>
      <c r="G501" t="s">
        <v>993</v>
      </c>
      <c r="H501" t="s">
        <v>5745</v>
      </c>
      <c r="I501" t="s">
        <v>9611</v>
      </c>
      <c r="J501" t="s">
        <v>11731</v>
      </c>
      <c r="K501" t="s">
        <v>16134</v>
      </c>
      <c r="L501">
        <f>HYPERLINK("https://www2.assemblee-nationale.fr/sycomore/fiche/(num_dept)/4913", "4913")</f>
        <v>0</v>
      </c>
      <c r="N501">
        <f>HYPERLINK("https://www.wikidata.org/wiki/Q16026028", "Q16026028")</f>
        <v>0</v>
      </c>
      <c r="O501" t="s">
        <v>19994</v>
      </c>
      <c r="P501" t="s">
        <v>20405</v>
      </c>
      <c r="Q501" t="s">
        <v>20519</v>
      </c>
      <c r="R501" t="s">
        <v>409</v>
      </c>
      <c r="S501">
        <v>1484</v>
      </c>
    </row>
    <row r="502" spans="1:19">
      <c r="A502" t="s">
        <v>19</v>
      </c>
      <c r="B502" t="s">
        <v>148</v>
      </c>
      <c r="C502" t="s">
        <v>151</v>
      </c>
      <c r="D502" t="s">
        <v>280</v>
      </c>
      <c r="E502" t="s">
        <v>409</v>
      </c>
      <c r="F502">
        <f>HYPERLINK("https://www.wikidata.org/wiki/Q33369535", "Q33369535")</f>
        <v>0</v>
      </c>
      <c r="G502" t="s">
        <v>994</v>
      </c>
      <c r="H502" t="s">
        <v>5746</v>
      </c>
      <c r="I502" t="s">
        <v>9612</v>
      </c>
      <c r="J502" t="s">
        <v>11732</v>
      </c>
      <c r="K502" t="s">
        <v>16135</v>
      </c>
      <c r="L502">
        <f>HYPERLINK("https://www2.assemblee-nationale.fr/sycomore/fiche/(num_dept)/4945", "4945")</f>
        <v>0</v>
      </c>
      <c r="N502">
        <f>HYPERLINK("https://www.wikidata.org/wiki/Q15972141", "Q15972141")</f>
        <v>0</v>
      </c>
      <c r="O502" t="s">
        <v>20001</v>
      </c>
      <c r="P502" t="s">
        <v>20405</v>
      </c>
      <c r="Q502" t="s">
        <v>20519</v>
      </c>
      <c r="R502" t="s">
        <v>409</v>
      </c>
      <c r="S502">
        <v>1484</v>
      </c>
    </row>
    <row r="503" spans="1:19">
      <c r="A503" t="s">
        <v>19</v>
      </c>
      <c r="B503" t="s">
        <v>148</v>
      </c>
      <c r="C503" t="s">
        <v>151</v>
      </c>
      <c r="D503" t="s">
        <v>280</v>
      </c>
      <c r="E503" t="s">
        <v>409</v>
      </c>
      <c r="F503">
        <f>HYPERLINK("https://www.wikidata.org/wiki/Q33369535", "Q33369535")</f>
        <v>0</v>
      </c>
      <c r="G503" t="s">
        <v>995</v>
      </c>
      <c r="H503" t="s">
        <v>5747</v>
      </c>
      <c r="I503" t="s">
        <v>6860</v>
      </c>
      <c r="J503" t="s">
        <v>11733</v>
      </c>
      <c r="K503" t="s">
        <v>16136</v>
      </c>
      <c r="L503">
        <f>HYPERLINK("https://www2.assemblee-nationale.fr/sycomore/fiche/(num_dept)/4961", "4961")</f>
        <v>0</v>
      </c>
      <c r="N503">
        <f>HYPERLINK("https://www.wikidata.org/wiki/Q16026036", "Q16026036")</f>
        <v>0</v>
      </c>
      <c r="O503" t="s">
        <v>19965</v>
      </c>
      <c r="P503" t="s">
        <v>20404</v>
      </c>
      <c r="Q503" t="s">
        <v>20519</v>
      </c>
      <c r="R503" t="s">
        <v>409</v>
      </c>
      <c r="S503">
        <v>1484</v>
      </c>
    </row>
    <row r="504" spans="1:19">
      <c r="A504" t="s">
        <v>19</v>
      </c>
      <c r="B504" t="s">
        <v>148</v>
      </c>
      <c r="C504" t="s">
        <v>151</v>
      </c>
      <c r="D504" t="s">
        <v>280</v>
      </c>
      <c r="E504" t="s">
        <v>409</v>
      </c>
      <c r="F504">
        <f>HYPERLINK("https://www.wikidata.org/wiki/Q33369535", "Q33369535")</f>
        <v>0</v>
      </c>
      <c r="G504" t="s">
        <v>996</v>
      </c>
      <c r="H504" t="s">
        <v>5748</v>
      </c>
      <c r="I504" t="s">
        <v>9613</v>
      </c>
      <c r="J504" t="s">
        <v>11734</v>
      </c>
      <c r="K504" t="s">
        <v>16137</v>
      </c>
      <c r="L504">
        <f>HYPERLINK("https://www2.assemblee-nationale.fr/sycomore/fiche/(num_dept)/5000", "5000")</f>
        <v>0</v>
      </c>
      <c r="N504">
        <f>HYPERLINK("https://www.wikidata.org/wiki/Q3179709", "Q3179709")</f>
        <v>0</v>
      </c>
      <c r="O504" t="s">
        <v>19965</v>
      </c>
      <c r="P504" t="s">
        <v>20404</v>
      </c>
      <c r="Q504" t="s">
        <v>20519</v>
      </c>
      <c r="R504" t="s">
        <v>409</v>
      </c>
      <c r="S504">
        <v>1484</v>
      </c>
    </row>
    <row r="505" spans="1:19">
      <c r="A505" t="s">
        <v>19</v>
      </c>
      <c r="B505" t="s">
        <v>148</v>
      </c>
      <c r="C505" t="s">
        <v>151</v>
      </c>
      <c r="D505" t="s">
        <v>280</v>
      </c>
      <c r="E505" t="s">
        <v>409</v>
      </c>
      <c r="F505">
        <f>HYPERLINK("https://www.wikidata.org/wiki/Q33369535", "Q33369535")</f>
        <v>0</v>
      </c>
      <c r="G505" t="s">
        <v>997</v>
      </c>
      <c r="H505" t="s">
        <v>5749</v>
      </c>
      <c r="I505" t="s">
        <v>9474</v>
      </c>
      <c r="J505" t="s">
        <v>11735</v>
      </c>
      <c r="K505" t="s">
        <v>16138</v>
      </c>
      <c r="L505">
        <f>HYPERLINK("https://www2.assemblee-nationale.fr/sycomore/fiche/(num_dept)/5019", "5019")</f>
        <v>0</v>
      </c>
      <c r="N505">
        <f>HYPERLINK("https://www.wikidata.org/wiki/Q16026048", "Q16026048")</f>
        <v>0</v>
      </c>
      <c r="O505" t="s">
        <v>19977</v>
      </c>
      <c r="P505" t="s">
        <v>20401</v>
      </c>
      <c r="Q505" t="s">
        <v>20519</v>
      </c>
      <c r="R505" t="s">
        <v>409</v>
      </c>
      <c r="S505">
        <v>1484</v>
      </c>
    </row>
    <row r="506" spans="1:19">
      <c r="A506" t="s">
        <v>19</v>
      </c>
      <c r="B506" t="s">
        <v>148</v>
      </c>
      <c r="C506" t="s">
        <v>151</v>
      </c>
      <c r="D506" t="s">
        <v>280</v>
      </c>
      <c r="E506" t="s">
        <v>409</v>
      </c>
      <c r="F506">
        <f>HYPERLINK("https://www.wikidata.org/wiki/Q33369535", "Q33369535")</f>
        <v>0</v>
      </c>
      <c r="G506" t="s">
        <v>998</v>
      </c>
      <c r="H506" t="s">
        <v>5750</v>
      </c>
      <c r="I506" t="s">
        <v>9458</v>
      </c>
      <c r="J506" t="s">
        <v>11736</v>
      </c>
      <c r="K506" t="s">
        <v>16139</v>
      </c>
      <c r="L506">
        <f>HYPERLINK("https://www2.assemblee-nationale.fr/sycomore/fiche/(num_dept)/5071", "5071")</f>
        <v>0</v>
      </c>
      <c r="M506">
        <f>HYPERLINK("https://www.senat.fr/senateur-3eme-republique/masse_alfred1255r3.html", "masse_alfred1255r3")</f>
        <v>0</v>
      </c>
      <c r="N506">
        <f>HYPERLINK("https://www.wikidata.org/wiki/Q2835313", "Q2835313")</f>
        <v>0</v>
      </c>
      <c r="O506" t="s">
        <v>20032</v>
      </c>
      <c r="P506" t="s">
        <v>20405</v>
      </c>
      <c r="Q506" t="s">
        <v>20519</v>
      </c>
      <c r="R506" t="s">
        <v>409</v>
      </c>
      <c r="S506">
        <v>1484</v>
      </c>
    </row>
    <row r="507" spans="1:19">
      <c r="A507" t="s">
        <v>19</v>
      </c>
      <c r="B507" t="s">
        <v>148</v>
      </c>
      <c r="C507" t="s">
        <v>151</v>
      </c>
      <c r="D507" t="s">
        <v>280</v>
      </c>
      <c r="E507" t="s">
        <v>409</v>
      </c>
      <c r="F507">
        <f>HYPERLINK("https://www.wikidata.org/wiki/Q33369535", "Q33369535")</f>
        <v>0</v>
      </c>
      <c r="G507" t="s">
        <v>999</v>
      </c>
      <c r="H507" t="s">
        <v>5485</v>
      </c>
      <c r="I507" t="s">
        <v>9614</v>
      </c>
      <c r="J507" t="s">
        <v>11737</v>
      </c>
      <c r="K507" t="s">
        <v>16140</v>
      </c>
      <c r="L507">
        <f>HYPERLINK("https://www2.assemblee-nationale.fr/sycomore/fiche/(num_dept)/5100", "5100")</f>
        <v>0</v>
      </c>
      <c r="N507">
        <f>HYPERLINK("https://www.wikidata.org/wiki/Q2958995", "Q2958995")</f>
        <v>0</v>
      </c>
      <c r="O507" t="s">
        <v>20036</v>
      </c>
      <c r="P507" t="s">
        <v>20401</v>
      </c>
      <c r="Q507" t="s">
        <v>20519</v>
      </c>
      <c r="R507" t="s">
        <v>409</v>
      </c>
      <c r="S507">
        <v>1484</v>
      </c>
    </row>
    <row r="508" spans="1:19">
      <c r="A508" t="s">
        <v>19</v>
      </c>
      <c r="B508" t="s">
        <v>148</v>
      </c>
      <c r="C508" t="s">
        <v>151</v>
      </c>
      <c r="D508" t="s">
        <v>280</v>
      </c>
      <c r="E508" t="s">
        <v>409</v>
      </c>
      <c r="F508">
        <f>HYPERLINK("https://www.wikidata.org/wiki/Q33369535", "Q33369535")</f>
        <v>0</v>
      </c>
      <c r="G508" t="s">
        <v>1000</v>
      </c>
      <c r="H508" t="s">
        <v>5751</v>
      </c>
      <c r="I508" t="s">
        <v>9615</v>
      </c>
      <c r="J508" t="s">
        <v>11349</v>
      </c>
      <c r="K508" t="s">
        <v>16141</v>
      </c>
      <c r="L508">
        <f>HYPERLINK("https://www2.assemblee-nationale.fr/sycomore/fiche/(num_dept)/5111", "5111")</f>
        <v>0</v>
      </c>
      <c r="M508">
        <f>HYPERLINK("https://www.senat.fr/senateur-3eme-republique/mauger_hippolyte0446r3.html", "mauger_hippolyte0446r3")</f>
        <v>0</v>
      </c>
      <c r="N508">
        <f>HYPERLINK("https://www.wikidata.org/wiki/Q3136085", "Q3136085")</f>
        <v>0</v>
      </c>
      <c r="O508" t="s">
        <v>19996</v>
      </c>
      <c r="P508" t="s">
        <v>20404</v>
      </c>
      <c r="Q508" t="s">
        <v>20519</v>
      </c>
      <c r="R508" t="s">
        <v>409</v>
      </c>
      <c r="S508">
        <v>1484</v>
      </c>
    </row>
    <row r="509" spans="1:19">
      <c r="A509" t="s">
        <v>19</v>
      </c>
      <c r="B509" t="s">
        <v>148</v>
      </c>
      <c r="C509" t="s">
        <v>151</v>
      </c>
      <c r="D509" t="s">
        <v>280</v>
      </c>
      <c r="E509" t="s">
        <v>409</v>
      </c>
      <c r="F509">
        <f>HYPERLINK("https://www.wikidata.org/wiki/Q33369535", "Q33369535")</f>
        <v>0</v>
      </c>
      <c r="G509" t="s">
        <v>1001</v>
      </c>
      <c r="H509" t="s">
        <v>5752</v>
      </c>
      <c r="I509" t="s">
        <v>9616</v>
      </c>
      <c r="J509" t="s">
        <v>11738</v>
      </c>
      <c r="K509" t="s">
        <v>16142</v>
      </c>
      <c r="L509">
        <f>HYPERLINK("https://www2.assemblee-nationale.fr/sycomore/fiche/(num_dept)/5174", "5174")</f>
        <v>0</v>
      </c>
      <c r="N509">
        <f>HYPERLINK("https://www.wikidata.org/wiki/Q3185397", "Q3185397")</f>
        <v>0</v>
      </c>
      <c r="O509" t="s">
        <v>19969</v>
      </c>
      <c r="P509" t="s">
        <v>20410</v>
      </c>
      <c r="Q509" t="s">
        <v>20519</v>
      </c>
      <c r="R509" t="s">
        <v>16142</v>
      </c>
      <c r="S509">
        <v>488</v>
      </c>
    </row>
    <row r="510" spans="1:19">
      <c r="A510" t="s">
        <v>19</v>
      </c>
      <c r="B510" t="s">
        <v>148</v>
      </c>
      <c r="C510" t="s">
        <v>151</v>
      </c>
      <c r="D510" t="s">
        <v>280</v>
      </c>
      <c r="E510" t="s">
        <v>409</v>
      </c>
      <c r="F510">
        <f>HYPERLINK("https://www.wikidata.org/wiki/Q33369535", "Q33369535")</f>
        <v>0</v>
      </c>
      <c r="G510" t="s">
        <v>1002</v>
      </c>
      <c r="H510" t="s">
        <v>5753</v>
      </c>
      <c r="I510" t="s">
        <v>9445</v>
      </c>
      <c r="J510" t="s">
        <v>11739</v>
      </c>
      <c r="K510" t="s">
        <v>16143</v>
      </c>
      <c r="L510">
        <f>HYPERLINK("https://www2.assemblee-nationale.fr/sycomore/fiche/(num_dept)/5213", "5213")</f>
        <v>0</v>
      </c>
      <c r="N510">
        <f>HYPERLINK("https://www.wikidata.org/wiki/Q16026091", "Q16026091")</f>
        <v>0</v>
      </c>
      <c r="O510" t="s">
        <v>19969</v>
      </c>
      <c r="P510" t="s">
        <v>20404</v>
      </c>
      <c r="Q510" t="s">
        <v>20519</v>
      </c>
      <c r="R510" t="s">
        <v>409</v>
      </c>
      <c r="S510">
        <v>1484</v>
      </c>
    </row>
    <row r="511" spans="1:19">
      <c r="A511" t="s">
        <v>19</v>
      </c>
      <c r="B511" t="s">
        <v>148</v>
      </c>
      <c r="C511" t="s">
        <v>151</v>
      </c>
      <c r="D511" t="s">
        <v>280</v>
      </c>
      <c r="E511" t="s">
        <v>409</v>
      </c>
      <c r="F511">
        <f>HYPERLINK("https://www.wikidata.org/wiki/Q33369535", "Q33369535")</f>
        <v>0</v>
      </c>
      <c r="G511" t="s">
        <v>1003</v>
      </c>
      <c r="H511" t="s">
        <v>5754</v>
      </c>
      <c r="I511" t="s">
        <v>9534</v>
      </c>
      <c r="J511" t="s">
        <v>11740</v>
      </c>
      <c r="K511" t="s">
        <v>16144</v>
      </c>
      <c r="L511">
        <f>HYPERLINK("https://www2.assemblee-nationale.fr/sycomore/fiche/(num_dept)/5219", "5219")</f>
        <v>0</v>
      </c>
      <c r="M511">
        <f>HYPERLINK("https://www.senat.fr/senateur-3eme-republique/messimy_adolphe0021r3.html", "messimy_adolphe0021r3")</f>
        <v>0</v>
      </c>
      <c r="N511">
        <f>HYPERLINK("https://www.wikidata.org/wiki/Q365771", "Q365771")</f>
        <v>0</v>
      </c>
      <c r="O511" t="s">
        <v>19969</v>
      </c>
      <c r="P511" t="s">
        <v>20405</v>
      </c>
      <c r="Q511" t="s">
        <v>20519</v>
      </c>
      <c r="R511" t="s">
        <v>409</v>
      </c>
      <c r="S511">
        <v>1484</v>
      </c>
    </row>
    <row r="512" spans="1:19">
      <c r="A512" t="s">
        <v>19</v>
      </c>
      <c r="B512" t="s">
        <v>148</v>
      </c>
      <c r="C512" t="s">
        <v>151</v>
      </c>
      <c r="D512" t="s">
        <v>280</v>
      </c>
      <c r="E512" t="s">
        <v>409</v>
      </c>
      <c r="F512">
        <f>HYPERLINK("https://www.wikidata.org/wiki/Q33369535", "Q33369535")</f>
        <v>0</v>
      </c>
      <c r="G512" t="s">
        <v>1004</v>
      </c>
      <c r="H512" t="s">
        <v>5755</v>
      </c>
      <c r="I512" t="s">
        <v>9617</v>
      </c>
      <c r="J512" t="s">
        <v>11741</v>
      </c>
      <c r="K512" t="s">
        <v>16145</v>
      </c>
      <c r="L512">
        <f>HYPERLINK("https://www2.assemblee-nationale.fr/sycomore/fiche/(num_dept)/5283", "5283")</f>
        <v>0</v>
      </c>
      <c r="N512">
        <f>HYPERLINK("https://www.wikidata.org/wiki/Q16026104", "Q16026104")</f>
        <v>0</v>
      </c>
      <c r="O512" t="s">
        <v>19999</v>
      </c>
      <c r="P512" t="s">
        <v>20404</v>
      </c>
      <c r="Q512" t="s">
        <v>20519</v>
      </c>
      <c r="R512" t="s">
        <v>409</v>
      </c>
      <c r="S512">
        <v>1484</v>
      </c>
    </row>
    <row r="513" spans="1:19">
      <c r="A513" t="s">
        <v>19</v>
      </c>
      <c r="B513" t="s">
        <v>148</v>
      </c>
      <c r="C513" t="s">
        <v>151</v>
      </c>
      <c r="D513" t="s">
        <v>280</v>
      </c>
      <c r="E513" t="s">
        <v>409</v>
      </c>
      <c r="F513">
        <f>HYPERLINK("https://www.wikidata.org/wiki/Q33369535", "Q33369535")</f>
        <v>0</v>
      </c>
      <c r="G513" t="s">
        <v>1005</v>
      </c>
      <c r="H513" t="s">
        <v>5756</v>
      </c>
      <c r="I513" t="s">
        <v>9553</v>
      </c>
      <c r="J513" t="s">
        <v>11742</v>
      </c>
      <c r="K513" t="s">
        <v>16146</v>
      </c>
      <c r="L513">
        <f>HYPERLINK("https://www2.assemblee-nationale.fr/sycomore/fiche/(num_dept)/5284", "5284")</f>
        <v>0</v>
      </c>
      <c r="M513">
        <f>HYPERLINK("https://www.senat.fr/senateur-3eme-republique/millerand_alexandre0910r3.html", "millerand_alexandre0910r3")</f>
        <v>0</v>
      </c>
      <c r="N513">
        <f>HYPERLINK("https://www.wikidata.org/wiki/Q274540", "Q274540")</f>
        <v>0</v>
      </c>
      <c r="O513" t="s">
        <v>19969</v>
      </c>
      <c r="P513" t="s">
        <v>20406</v>
      </c>
      <c r="Q513" t="s">
        <v>20519</v>
      </c>
      <c r="R513" t="s">
        <v>409</v>
      </c>
      <c r="S513">
        <v>1484</v>
      </c>
    </row>
    <row r="514" spans="1:19">
      <c r="A514" t="s">
        <v>19</v>
      </c>
      <c r="B514" t="s">
        <v>148</v>
      </c>
      <c r="C514" t="s">
        <v>151</v>
      </c>
      <c r="D514" t="s">
        <v>280</v>
      </c>
      <c r="E514" t="s">
        <v>409</v>
      </c>
      <c r="F514">
        <f>HYPERLINK("https://www.wikidata.org/wiki/Q33369535", "Q33369535")</f>
        <v>0</v>
      </c>
      <c r="G514" t="s">
        <v>1006</v>
      </c>
      <c r="H514" t="s">
        <v>5757</v>
      </c>
      <c r="I514" t="s">
        <v>9388</v>
      </c>
      <c r="J514" t="s">
        <v>11743</v>
      </c>
      <c r="K514" t="s">
        <v>16147</v>
      </c>
      <c r="L514">
        <f>HYPERLINK("https://www2.assemblee-nationale.fr/sycomore/fiche/(num_dept)/5311", "5311")</f>
        <v>0</v>
      </c>
      <c r="N514">
        <f>HYPERLINK("https://www.wikidata.org/wiki/Q3371849", "Q3371849")</f>
        <v>0</v>
      </c>
      <c r="O514" t="s">
        <v>20006</v>
      </c>
      <c r="P514" t="s">
        <v>20404</v>
      </c>
      <c r="Q514" t="s">
        <v>20519</v>
      </c>
      <c r="R514" t="s">
        <v>409</v>
      </c>
      <c r="S514">
        <v>1484</v>
      </c>
    </row>
    <row r="515" spans="1:19">
      <c r="A515" t="s">
        <v>19</v>
      </c>
      <c r="B515" t="s">
        <v>148</v>
      </c>
      <c r="C515" t="s">
        <v>151</v>
      </c>
      <c r="D515" t="s">
        <v>280</v>
      </c>
      <c r="E515" t="s">
        <v>409</v>
      </c>
      <c r="F515">
        <f>HYPERLINK("https://www.wikidata.org/wiki/Q33369535", "Q33369535")</f>
        <v>0</v>
      </c>
      <c r="G515" t="s">
        <v>1007</v>
      </c>
      <c r="H515" t="s">
        <v>5758</v>
      </c>
      <c r="I515" t="s">
        <v>9618</v>
      </c>
      <c r="J515" t="s">
        <v>11744</v>
      </c>
      <c r="K515" t="s">
        <v>15959</v>
      </c>
      <c r="L515">
        <f>HYPERLINK("https://www2.assemblee-nationale.fr/sycomore/fiche/(num_dept)/5331", "5331")</f>
        <v>0</v>
      </c>
      <c r="N515">
        <f>HYPERLINK("https://www.wikidata.org/wiki/Q16026439", "Q16026439")</f>
        <v>0</v>
      </c>
      <c r="O515" t="s">
        <v>7411</v>
      </c>
      <c r="P515" t="s">
        <v>20404</v>
      </c>
      <c r="Q515" t="s">
        <v>20519</v>
      </c>
      <c r="R515" t="s">
        <v>409</v>
      </c>
      <c r="S515">
        <v>1484</v>
      </c>
    </row>
    <row r="516" spans="1:19">
      <c r="A516" t="s">
        <v>19</v>
      </c>
      <c r="B516" t="s">
        <v>148</v>
      </c>
      <c r="C516" t="s">
        <v>151</v>
      </c>
      <c r="D516" t="s">
        <v>280</v>
      </c>
      <c r="E516" t="s">
        <v>409</v>
      </c>
      <c r="F516">
        <f>HYPERLINK("https://www.wikidata.org/wiki/Q33369535", "Q33369535")</f>
        <v>0</v>
      </c>
      <c r="G516" t="s">
        <v>1008</v>
      </c>
      <c r="H516" t="s">
        <v>5759</v>
      </c>
      <c r="I516" t="s">
        <v>9619</v>
      </c>
      <c r="J516" t="s">
        <v>11745</v>
      </c>
      <c r="K516" t="s">
        <v>16148</v>
      </c>
      <c r="L516">
        <f>HYPERLINK("https://www2.assemblee-nationale.fr/sycomore/fiche/(num_dept)/5357", "5357")</f>
        <v>0</v>
      </c>
      <c r="M516">
        <f>HYPERLINK("https://www.senat.fr/senateur-3eme-republique/monsservin_joseph0284r3.html", "monsservin_joseph0284r3")</f>
        <v>0</v>
      </c>
      <c r="N516">
        <f>HYPERLINK("https://www.wikidata.org/wiki/Q3185378", "Q3185378")</f>
        <v>0</v>
      </c>
      <c r="O516" t="s">
        <v>19967</v>
      </c>
      <c r="P516" t="s">
        <v>20403</v>
      </c>
      <c r="Q516" t="s">
        <v>20519</v>
      </c>
      <c r="R516" t="s">
        <v>21372</v>
      </c>
      <c r="S516">
        <v>621</v>
      </c>
    </row>
    <row r="517" spans="1:19">
      <c r="A517" t="s">
        <v>19</v>
      </c>
      <c r="B517" t="s">
        <v>148</v>
      </c>
      <c r="C517" t="s">
        <v>151</v>
      </c>
      <c r="D517" t="s">
        <v>280</v>
      </c>
      <c r="E517" t="s">
        <v>409</v>
      </c>
      <c r="F517">
        <f>HYPERLINK("https://www.wikidata.org/wiki/Q33369535", "Q33369535")</f>
        <v>0</v>
      </c>
      <c r="G517" t="s">
        <v>1009</v>
      </c>
      <c r="H517" t="s">
        <v>5498</v>
      </c>
      <c r="I517" t="s">
        <v>9483</v>
      </c>
      <c r="J517" t="s">
        <v>11746</v>
      </c>
      <c r="K517" t="s">
        <v>16149</v>
      </c>
      <c r="L517">
        <f>HYPERLINK("https://www2.assemblee-nationale.fr/sycomore/fiche/(num_dept)/5414", "5414")</f>
        <v>0</v>
      </c>
      <c r="N517">
        <f>HYPERLINK("https://www.wikidata.org/wiki/Q16026151", "Q16026151")</f>
        <v>0</v>
      </c>
      <c r="O517" t="s">
        <v>19968</v>
      </c>
      <c r="P517" t="s">
        <v>20401</v>
      </c>
      <c r="Q517" t="s">
        <v>20519</v>
      </c>
      <c r="R517" t="s">
        <v>409</v>
      </c>
      <c r="S517">
        <v>1484</v>
      </c>
    </row>
    <row r="518" spans="1:19">
      <c r="A518" t="s">
        <v>19</v>
      </c>
      <c r="B518" t="s">
        <v>148</v>
      </c>
      <c r="C518" t="s">
        <v>151</v>
      </c>
      <c r="D518" t="s">
        <v>280</v>
      </c>
      <c r="E518" t="s">
        <v>409</v>
      </c>
      <c r="F518">
        <f>HYPERLINK("https://www.wikidata.org/wiki/Q33369535", "Q33369535")</f>
        <v>0</v>
      </c>
      <c r="G518" t="s">
        <v>1010</v>
      </c>
      <c r="H518" t="s">
        <v>5760</v>
      </c>
      <c r="I518" t="s">
        <v>9474</v>
      </c>
      <c r="J518" t="s">
        <v>11747</v>
      </c>
      <c r="K518" t="s">
        <v>16150</v>
      </c>
      <c r="L518">
        <f>HYPERLINK("https://www2.assemblee-nationale.fr/sycomore/fiche/(num_dept)/5423", "5423")</f>
        <v>0</v>
      </c>
      <c r="N518">
        <f>HYPERLINK("https://www.wikidata.org/wiki/Q3164301", "Q3164301")</f>
        <v>0</v>
      </c>
      <c r="O518" t="s">
        <v>19996</v>
      </c>
      <c r="P518" t="s">
        <v>20405</v>
      </c>
      <c r="Q518" t="s">
        <v>20519</v>
      </c>
      <c r="R518" t="s">
        <v>409</v>
      </c>
      <c r="S518">
        <v>1484</v>
      </c>
    </row>
    <row r="519" spans="1:19">
      <c r="A519" t="s">
        <v>19</v>
      </c>
      <c r="B519" t="s">
        <v>148</v>
      </c>
      <c r="C519" t="s">
        <v>151</v>
      </c>
      <c r="D519" t="s">
        <v>280</v>
      </c>
      <c r="E519" t="s">
        <v>409</v>
      </c>
      <c r="F519">
        <f>HYPERLINK("https://www.wikidata.org/wiki/Q33369535", "Q33369535")</f>
        <v>0</v>
      </c>
      <c r="G519" t="s">
        <v>1011</v>
      </c>
      <c r="H519" t="s">
        <v>5761</v>
      </c>
      <c r="I519" t="s">
        <v>9385</v>
      </c>
      <c r="J519" t="s">
        <v>11748</v>
      </c>
      <c r="K519" t="s">
        <v>16151</v>
      </c>
      <c r="L519">
        <f>HYPERLINK("https://www2.assemblee-nationale.fr/sycomore/fiche/(num_dept)/5443", "5443")</f>
        <v>0</v>
      </c>
      <c r="N519">
        <f>HYPERLINK("https://www.wikidata.org/wiki/Q16026160", "Q16026160")</f>
        <v>0</v>
      </c>
      <c r="O519" t="s">
        <v>19978</v>
      </c>
      <c r="P519" t="s">
        <v>20406</v>
      </c>
      <c r="Q519" t="s">
        <v>20519</v>
      </c>
      <c r="R519" t="s">
        <v>16151</v>
      </c>
      <c r="S519">
        <v>532</v>
      </c>
    </row>
    <row r="520" spans="1:19">
      <c r="A520" t="s">
        <v>19</v>
      </c>
      <c r="B520" t="s">
        <v>148</v>
      </c>
      <c r="C520" t="s">
        <v>151</v>
      </c>
      <c r="D520" t="s">
        <v>280</v>
      </c>
      <c r="E520" t="s">
        <v>409</v>
      </c>
      <c r="F520">
        <f>HYPERLINK("https://www.wikidata.org/wiki/Q33369535", "Q33369535")</f>
        <v>0</v>
      </c>
      <c r="G520" t="s">
        <v>1012</v>
      </c>
      <c r="H520" t="s">
        <v>5762</v>
      </c>
      <c r="I520" t="s">
        <v>6860</v>
      </c>
      <c r="J520" t="s">
        <v>11749</v>
      </c>
      <c r="K520" t="s">
        <v>16152</v>
      </c>
      <c r="L520">
        <f>HYPERLINK("https://www2.assemblee-nationale.fr/sycomore/fiche/(num_dept)/5495", "5495")</f>
        <v>0</v>
      </c>
      <c r="N520">
        <f>HYPERLINK("https://www.wikidata.org/wiki/Q16026178", "Q16026178")</f>
        <v>0</v>
      </c>
      <c r="O520" t="s">
        <v>19968</v>
      </c>
      <c r="P520" t="s">
        <v>20404</v>
      </c>
      <c r="Q520" t="s">
        <v>20519</v>
      </c>
      <c r="R520" t="s">
        <v>409</v>
      </c>
      <c r="S520">
        <v>1484</v>
      </c>
    </row>
    <row r="521" spans="1:19">
      <c r="A521" t="s">
        <v>19</v>
      </c>
      <c r="B521" t="s">
        <v>148</v>
      </c>
      <c r="C521" t="s">
        <v>151</v>
      </c>
      <c r="D521" t="s">
        <v>280</v>
      </c>
      <c r="E521" t="s">
        <v>409</v>
      </c>
      <c r="F521">
        <f>HYPERLINK("https://www.wikidata.org/wiki/Q33369535", "Q33369535")</f>
        <v>0</v>
      </c>
      <c r="G521" t="s">
        <v>1013</v>
      </c>
      <c r="H521" t="s">
        <v>5763</v>
      </c>
      <c r="I521" t="s">
        <v>6495</v>
      </c>
      <c r="J521" t="s">
        <v>11750</v>
      </c>
      <c r="K521" t="s">
        <v>16153</v>
      </c>
      <c r="L521">
        <f>HYPERLINK("https://www2.assemblee-nationale.fr/sycomore/fiche/(num_dept)/5502", "5502")</f>
        <v>0</v>
      </c>
      <c r="N521">
        <f>HYPERLINK("https://www.wikidata.org/wiki/Q3262775", "Q3262775")</f>
        <v>0</v>
      </c>
      <c r="O521" t="s">
        <v>19961</v>
      </c>
      <c r="P521" t="s">
        <v>20405</v>
      </c>
      <c r="Q521" t="s">
        <v>20519</v>
      </c>
      <c r="R521" t="s">
        <v>409</v>
      </c>
      <c r="S521">
        <v>1484</v>
      </c>
    </row>
    <row r="522" spans="1:19">
      <c r="A522" t="s">
        <v>19</v>
      </c>
      <c r="B522" t="s">
        <v>148</v>
      </c>
      <c r="C522" t="s">
        <v>151</v>
      </c>
      <c r="D522" t="s">
        <v>280</v>
      </c>
      <c r="E522" t="s">
        <v>409</v>
      </c>
      <c r="F522">
        <f>HYPERLINK("https://www.wikidata.org/wiki/Q33369535", "Q33369535")</f>
        <v>0</v>
      </c>
      <c r="G522" t="s">
        <v>1014</v>
      </c>
      <c r="H522" t="s">
        <v>5764</v>
      </c>
      <c r="I522" t="s">
        <v>9391</v>
      </c>
      <c r="J522" t="s">
        <v>11751</v>
      </c>
      <c r="K522" t="s">
        <v>16154</v>
      </c>
      <c r="L522">
        <f>HYPERLINK("https://www2.assemblee-nationale.fr/sycomore/fiche/(num_dept)/5521", "5521")</f>
        <v>0</v>
      </c>
      <c r="N522">
        <f>HYPERLINK("https://www.wikidata.org/wiki/Q16026182", "Q16026182")</f>
        <v>0</v>
      </c>
      <c r="O522" t="s">
        <v>19969</v>
      </c>
      <c r="P522" t="s">
        <v>20404</v>
      </c>
      <c r="Q522" t="s">
        <v>20519</v>
      </c>
      <c r="R522" t="s">
        <v>409</v>
      </c>
      <c r="S522">
        <v>1484</v>
      </c>
    </row>
    <row r="523" spans="1:19">
      <c r="A523" t="s">
        <v>19</v>
      </c>
      <c r="B523" t="s">
        <v>148</v>
      </c>
      <c r="C523" t="s">
        <v>151</v>
      </c>
      <c r="D523" t="s">
        <v>280</v>
      </c>
      <c r="E523" t="s">
        <v>409</v>
      </c>
      <c r="F523">
        <f>HYPERLINK("https://www.wikidata.org/wiki/Q33369535", "Q33369535")</f>
        <v>0</v>
      </c>
      <c r="G523" t="s">
        <v>1015</v>
      </c>
      <c r="H523" t="s">
        <v>5765</v>
      </c>
      <c r="I523" t="s">
        <v>9620</v>
      </c>
      <c r="J523" t="s">
        <v>11752</v>
      </c>
      <c r="K523" t="s">
        <v>16155</v>
      </c>
      <c r="L523">
        <f>HYPERLINK("https://www2.assemblee-nationale.fr/sycomore/fiche/(num_dept)/5544", "5544")</f>
        <v>0</v>
      </c>
      <c r="N523">
        <f>HYPERLINK("https://www.wikidata.org/wiki/Q16026193", "Q16026193")</f>
        <v>0</v>
      </c>
      <c r="O523" t="s">
        <v>8449</v>
      </c>
      <c r="P523" t="s">
        <v>20404</v>
      </c>
      <c r="Q523" t="s">
        <v>20519</v>
      </c>
      <c r="R523" t="s">
        <v>409</v>
      </c>
      <c r="S523">
        <v>1484</v>
      </c>
    </row>
    <row r="524" spans="1:19">
      <c r="A524" t="s">
        <v>19</v>
      </c>
      <c r="B524" t="s">
        <v>148</v>
      </c>
      <c r="C524" t="s">
        <v>151</v>
      </c>
      <c r="D524" t="s">
        <v>280</v>
      </c>
      <c r="E524" t="s">
        <v>409</v>
      </c>
      <c r="F524">
        <f>HYPERLINK("https://www.wikidata.org/wiki/Q33369535", "Q33369535")</f>
        <v>0</v>
      </c>
      <c r="G524" t="s">
        <v>1016</v>
      </c>
      <c r="H524" t="s">
        <v>5766</v>
      </c>
      <c r="I524" t="s">
        <v>6495</v>
      </c>
      <c r="J524" t="s">
        <v>11753</v>
      </c>
      <c r="K524" t="s">
        <v>16156</v>
      </c>
      <c r="L524">
        <f>HYPERLINK("https://www2.assemblee-nationale.fr/sycomore/fiche/(num_dept)/5582", "5582")</f>
        <v>0</v>
      </c>
      <c r="N524">
        <f>HYPERLINK("https://www.wikidata.org/wiki/Q16026218", "Q16026218")</f>
        <v>0</v>
      </c>
      <c r="O524" t="s">
        <v>19977</v>
      </c>
      <c r="P524" t="s">
        <v>20405</v>
      </c>
      <c r="Q524" t="s">
        <v>20519</v>
      </c>
      <c r="R524" t="s">
        <v>409</v>
      </c>
      <c r="S524">
        <v>1484</v>
      </c>
    </row>
    <row r="525" spans="1:19">
      <c r="A525" t="s">
        <v>19</v>
      </c>
      <c r="B525" t="s">
        <v>148</v>
      </c>
      <c r="C525" t="s">
        <v>151</v>
      </c>
      <c r="D525" t="s">
        <v>280</v>
      </c>
      <c r="E525" t="s">
        <v>409</v>
      </c>
      <c r="F525">
        <f>HYPERLINK("https://www.wikidata.org/wiki/Q33369535", "Q33369535")</f>
        <v>0</v>
      </c>
      <c r="G525" t="s">
        <v>1017</v>
      </c>
      <c r="H525" t="s">
        <v>5767</v>
      </c>
      <c r="I525" t="s">
        <v>9388</v>
      </c>
      <c r="J525" t="s">
        <v>11754</v>
      </c>
      <c r="K525" t="s">
        <v>16157</v>
      </c>
      <c r="L525">
        <f>HYPERLINK("https://www2.assemblee-nationale.fr/sycomore/fiche/(num_dept)/5653", "5653")</f>
        <v>0</v>
      </c>
      <c r="N525">
        <f>HYPERLINK("https://www.wikidata.org/wiki/Q315434", "Q315434")</f>
        <v>0</v>
      </c>
      <c r="O525" t="s">
        <v>19969</v>
      </c>
      <c r="P525" t="s">
        <v>20406</v>
      </c>
      <c r="Q525" t="s">
        <v>20519</v>
      </c>
      <c r="R525" t="s">
        <v>409</v>
      </c>
      <c r="S525">
        <v>1484</v>
      </c>
    </row>
    <row r="526" spans="1:19">
      <c r="A526" t="s">
        <v>19</v>
      </c>
      <c r="B526" t="s">
        <v>148</v>
      </c>
      <c r="C526" t="s">
        <v>151</v>
      </c>
      <c r="D526" t="s">
        <v>280</v>
      </c>
      <c r="E526" t="s">
        <v>409</v>
      </c>
      <c r="F526">
        <f>HYPERLINK("https://www.wikidata.org/wiki/Q33369535", "Q33369535")</f>
        <v>0</v>
      </c>
      <c r="G526" t="s">
        <v>1018</v>
      </c>
      <c r="H526" t="s">
        <v>5768</v>
      </c>
      <c r="I526" t="s">
        <v>5528</v>
      </c>
      <c r="J526" t="s">
        <v>11755</v>
      </c>
      <c r="K526" t="s">
        <v>16032</v>
      </c>
      <c r="L526">
        <f>HYPERLINK("https://www2.assemblee-nationale.fr/sycomore/fiche/(num_dept)/5699", "5699")</f>
        <v>0</v>
      </c>
      <c r="M526">
        <f>HYPERLINK("https://www.senat.fr/senateur-3eme-republique/pasqual_leon1381r3.html", "pasqual_leon1381r3")</f>
        <v>0</v>
      </c>
      <c r="N526">
        <f>HYPERLINK("https://www.wikidata.org/wiki/Q3271250", "Q3271250")</f>
        <v>0</v>
      </c>
      <c r="O526" t="s">
        <v>20013</v>
      </c>
      <c r="P526" t="s">
        <v>20405</v>
      </c>
      <c r="Q526" t="s">
        <v>20519</v>
      </c>
      <c r="R526" t="s">
        <v>409</v>
      </c>
      <c r="S526">
        <v>1484</v>
      </c>
    </row>
    <row r="527" spans="1:19">
      <c r="A527" t="s">
        <v>19</v>
      </c>
      <c r="B527" t="s">
        <v>148</v>
      </c>
      <c r="C527" t="s">
        <v>151</v>
      </c>
      <c r="D527" t="s">
        <v>280</v>
      </c>
      <c r="E527" t="s">
        <v>409</v>
      </c>
      <c r="F527">
        <f>HYPERLINK("https://www.wikidata.org/wiki/Q33369535", "Q33369535")</f>
        <v>0</v>
      </c>
      <c r="G527" t="s">
        <v>1019</v>
      </c>
      <c r="H527" t="s">
        <v>5769</v>
      </c>
      <c r="I527" t="s">
        <v>6478</v>
      </c>
      <c r="J527" t="s">
        <v>11756</v>
      </c>
      <c r="K527" t="s">
        <v>16158</v>
      </c>
      <c r="L527">
        <f>HYPERLINK("https://www2.assemblee-nationale.fr/sycomore/fiche/(num_dept)/5706", "5706")</f>
        <v>0</v>
      </c>
      <c r="N527">
        <f>HYPERLINK("https://www.wikidata.org/wiki/Q3132997", "Q3132997")</f>
        <v>0</v>
      </c>
      <c r="O527" t="s">
        <v>19969</v>
      </c>
      <c r="P527" t="s">
        <v>20405</v>
      </c>
      <c r="Q527" t="s">
        <v>20519</v>
      </c>
      <c r="R527" t="s">
        <v>409</v>
      </c>
      <c r="S527">
        <v>1484</v>
      </c>
    </row>
    <row r="528" spans="1:19">
      <c r="A528" t="s">
        <v>19</v>
      </c>
      <c r="B528" t="s">
        <v>148</v>
      </c>
      <c r="C528" t="s">
        <v>151</v>
      </c>
      <c r="D528" t="s">
        <v>280</v>
      </c>
      <c r="E528" t="s">
        <v>409</v>
      </c>
      <c r="F528">
        <f>HYPERLINK("https://www.wikidata.org/wiki/Q33369535", "Q33369535")</f>
        <v>0</v>
      </c>
      <c r="G528" t="s">
        <v>1020</v>
      </c>
      <c r="H528" t="s">
        <v>5770</v>
      </c>
      <c r="I528" t="s">
        <v>9621</v>
      </c>
      <c r="J528" t="s">
        <v>11757</v>
      </c>
      <c r="K528" t="s">
        <v>16159</v>
      </c>
      <c r="L528">
        <f>HYPERLINK("https://www2.assemblee-nationale.fr/sycomore/fiche/(num_dept)/5718", "5718")</f>
        <v>0</v>
      </c>
      <c r="N528">
        <f>HYPERLINK("https://www.wikidata.org/wiki/Q3185457", "Q3185457")</f>
        <v>0</v>
      </c>
      <c r="O528" t="s">
        <v>19975</v>
      </c>
      <c r="P528" t="s">
        <v>20402</v>
      </c>
      <c r="Q528" t="s">
        <v>20519</v>
      </c>
      <c r="R528" t="s">
        <v>409</v>
      </c>
      <c r="S528">
        <v>1484</v>
      </c>
    </row>
    <row r="529" spans="1:19">
      <c r="A529" t="s">
        <v>19</v>
      </c>
      <c r="B529" t="s">
        <v>148</v>
      </c>
      <c r="C529" t="s">
        <v>151</v>
      </c>
      <c r="D529" t="s">
        <v>280</v>
      </c>
      <c r="E529" t="s">
        <v>409</v>
      </c>
      <c r="F529">
        <f>HYPERLINK("https://www.wikidata.org/wiki/Q33369535", "Q33369535")</f>
        <v>0</v>
      </c>
      <c r="G529" t="s">
        <v>1021</v>
      </c>
      <c r="H529" t="s">
        <v>5771</v>
      </c>
      <c r="I529" t="s">
        <v>9389</v>
      </c>
      <c r="J529" t="s">
        <v>11758</v>
      </c>
      <c r="K529" t="s">
        <v>15712</v>
      </c>
      <c r="L529">
        <f>HYPERLINK("https://www2.assemblee-nationale.fr/sycomore/fiche/(num_dept)/5719", "5719")</f>
        <v>0</v>
      </c>
      <c r="N529">
        <f>HYPERLINK("https://www.wikidata.org/wiki/Q16026275", "Q16026275")</f>
        <v>0</v>
      </c>
      <c r="O529" t="s">
        <v>19999</v>
      </c>
      <c r="P529" t="s">
        <v>20406</v>
      </c>
      <c r="Q529" t="s">
        <v>20519</v>
      </c>
      <c r="R529" t="s">
        <v>409</v>
      </c>
      <c r="S529">
        <v>1484</v>
      </c>
    </row>
    <row r="530" spans="1:19">
      <c r="A530" t="s">
        <v>19</v>
      </c>
      <c r="B530" t="s">
        <v>148</v>
      </c>
      <c r="C530" t="s">
        <v>151</v>
      </c>
      <c r="D530" t="s">
        <v>280</v>
      </c>
      <c r="E530" t="s">
        <v>409</v>
      </c>
      <c r="F530">
        <f>HYPERLINK("https://www.wikidata.org/wiki/Q33369535", "Q33369535")</f>
        <v>0</v>
      </c>
      <c r="G530" t="s">
        <v>1022</v>
      </c>
      <c r="H530" t="s">
        <v>5772</v>
      </c>
      <c r="I530" t="s">
        <v>9622</v>
      </c>
      <c r="J530" t="s">
        <v>11759</v>
      </c>
      <c r="K530" t="s">
        <v>16160</v>
      </c>
      <c r="L530">
        <f>HYPERLINK("https://www2.assemblee-nationale.fr/sycomore/fiche/(num_dept)/5742", "5742")</f>
        <v>0</v>
      </c>
      <c r="N530">
        <f>HYPERLINK("https://www.wikidata.org/wiki/Q16026287", "Q16026287")</f>
        <v>0</v>
      </c>
      <c r="O530" t="s">
        <v>20025</v>
      </c>
      <c r="P530" t="s">
        <v>20405</v>
      </c>
      <c r="Q530" t="s">
        <v>20519</v>
      </c>
      <c r="R530" t="s">
        <v>409</v>
      </c>
      <c r="S530">
        <v>1484</v>
      </c>
    </row>
    <row r="531" spans="1:19">
      <c r="A531" t="s">
        <v>19</v>
      </c>
      <c r="B531" t="s">
        <v>148</v>
      </c>
      <c r="C531" t="s">
        <v>151</v>
      </c>
      <c r="D531" t="s">
        <v>280</v>
      </c>
      <c r="E531" t="s">
        <v>409</v>
      </c>
      <c r="F531">
        <f>HYPERLINK("https://www.wikidata.org/wiki/Q33369535", "Q33369535")</f>
        <v>0</v>
      </c>
      <c r="G531" t="s">
        <v>1023</v>
      </c>
      <c r="H531" t="s">
        <v>5773</v>
      </c>
      <c r="I531" t="s">
        <v>9623</v>
      </c>
      <c r="J531" t="s">
        <v>11760</v>
      </c>
      <c r="K531" t="s">
        <v>16161</v>
      </c>
      <c r="L531">
        <f>HYPERLINK("https://www2.assemblee-nationale.fr/sycomore/fiche/(num_dept)/5746", "5746")</f>
        <v>0</v>
      </c>
      <c r="N531">
        <f>HYPERLINK("https://www.wikidata.org/wiki/Q3121301", "Q3121301")</f>
        <v>0</v>
      </c>
      <c r="O531" t="s">
        <v>20019</v>
      </c>
      <c r="P531" t="s">
        <v>20405</v>
      </c>
      <c r="Q531" t="s">
        <v>20519</v>
      </c>
      <c r="R531" t="s">
        <v>409</v>
      </c>
      <c r="S531">
        <v>1484</v>
      </c>
    </row>
    <row r="532" spans="1:19">
      <c r="A532" t="s">
        <v>19</v>
      </c>
      <c r="B532" t="s">
        <v>148</v>
      </c>
      <c r="C532" t="s">
        <v>151</v>
      </c>
      <c r="D532" t="s">
        <v>280</v>
      </c>
      <c r="E532" t="s">
        <v>409</v>
      </c>
      <c r="F532">
        <f>HYPERLINK("https://www.wikidata.org/wiki/Q33369535", "Q33369535")</f>
        <v>0</v>
      </c>
      <c r="G532" t="s">
        <v>1024</v>
      </c>
      <c r="H532" t="s">
        <v>5774</v>
      </c>
      <c r="I532" t="s">
        <v>9624</v>
      </c>
      <c r="J532" t="s">
        <v>11761</v>
      </c>
      <c r="K532" t="s">
        <v>16162</v>
      </c>
      <c r="L532">
        <f>HYPERLINK("https://www2.assemblee-nationale.fr/sycomore/fiche/(num_dept)/5775", "5775")</f>
        <v>0</v>
      </c>
      <c r="M532">
        <f>HYPERLINK("https://www.senat.fr/senateur-3eme-republique/perchot_justin0062r3.html", "perchot_justin0062r3")</f>
        <v>0</v>
      </c>
      <c r="N532">
        <f>HYPERLINK("https://www.wikidata.org/wiki/Q3190486", "Q3190486")</f>
        <v>0</v>
      </c>
      <c r="O532" t="s">
        <v>20033</v>
      </c>
      <c r="P532" t="s">
        <v>20401</v>
      </c>
      <c r="Q532" t="s">
        <v>20519</v>
      </c>
      <c r="R532" t="s">
        <v>21372</v>
      </c>
      <c r="S532">
        <v>621</v>
      </c>
    </row>
    <row r="533" spans="1:19">
      <c r="A533" t="s">
        <v>19</v>
      </c>
      <c r="B533" t="s">
        <v>148</v>
      </c>
      <c r="C533" t="s">
        <v>151</v>
      </c>
      <c r="D533" t="s">
        <v>280</v>
      </c>
      <c r="E533" t="s">
        <v>409</v>
      </c>
      <c r="F533">
        <f>HYPERLINK("https://www.wikidata.org/wiki/Q33369535", "Q33369535")</f>
        <v>0</v>
      </c>
      <c r="G533" t="s">
        <v>1025</v>
      </c>
      <c r="H533" t="s">
        <v>5775</v>
      </c>
      <c r="I533" t="s">
        <v>9625</v>
      </c>
      <c r="J533" t="s">
        <v>11762</v>
      </c>
      <c r="K533" t="s">
        <v>16163</v>
      </c>
      <c r="L533">
        <f>HYPERLINK("https://www2.assemblee-nationale.fr/sycomore/fiche/(num_dept)/5807", "5807")</f>
        <v>0</v>
      </c>
      <c r="N533">
        <f>HYPERLINK("https://www.wikidata.org/wiki/Q16026315", "Q16026315")</f>
        <v>0</v>
      </c>
      <c r="O533" t="s">
        <v>20034</v>
      </c>
      <c r="Q533" t="s">
        <v>20519</v>
      </c>
      <c r="R533" t="s">
        <v>16163</v>
      </c>
      <c r="S533">
        <v>637</v>
      </c>
    </row>
    <row r="534" spans="1:19">
      <c r="A534" t="s">
        <v>19</v>
      </c>
      <c r="B534" t="s">
        <v>148</v>
      </c>
      <c r="C534" t="s">
        <v>151</v>
      </c>
      <c r="D534" t="s">
        <v>280</v>
      </c>
      <c r="E534" t="s">
        <v>409</v>
      </c>
      <c r="F534">
        <f>HYPERLINK("https://www.wikidata.org/wiki/Q33369535", "Q33369535")</f>
        <v>0</v>
      </c>
      <c r="G534" t="s">
        <v>1026</v>
      </c>
      <c r="H534" t="s">
        <v>5776</v>
      </c>
      <c r="I534" t="s">
        <v>5528</v>
      </c>
      <c r="J534" t="s">
        <v>11763</v>
      </c>
      <c r="K534" t="s">
        <v>16164</v>
      </c>
      <c r="L534">
        <f>HYPERLINK("https://www2.assemblee-nationale.fr/sycomore/fiche/(num_dept)/5811", "5811")</f>
        <v>0</v>
      </c>
      <c r="M534">
        <f>HYPERLINK("https://www.senat.fr/senateur-3eme-republique/perrier_leon1193r3.html", "perrier_leon1193r3")</f>
        <v>0</v>
      </c>
      <c r="N534">
        <f>HYPERLINK("https://www.wikidata.org/wiki/Q3271259", "Q3271259")</f>
        <v>0</v>
      </c>
      <c r="O534" t="s">
        <v>20006</v>
      </c>
      <c r="P534" t="s">
        <v>20405</v>
      </c>
      <c r="Q534" t="s">
        <v>20519</v>
      </c>
      <c r="R534" t="s">
        <v>409</v>
      </c>
      <c r="S534">
        <v>1484</v>
      </c>
    </row>
    <row r="535" spans="1:19">
      <c r="A535" t="s">
        <v>19</v>
      </c>
      <c r="B535" t="s">
        <v>148</v>
      </c>
      <c r="C535" t="s">
        <v>151</v>
      </c>
      <c r="D535" t="s">
        <v>280</v>
      </c>
      <c r="E535" t="s">
        <v>409</v>
      </c>
      <c r="F535">
        <f>HYPERLINK("https://www.wikidata.org/wiki/Q33369535", "Q33369535")</f>
        <v>0</v>
      </c>
      <c r="G535" t="s">
        <v>1027</v>
      </c>
      <c r="H535" t="s">
        <v>5777</v>
      </c>
      <c r="I535" t="s">
        <v>9506</v>
      </c>
      <c r="J535" t="s">
        <v>11764</v>
      </c>
      <c r="K535" t="s">
        <v>16165</v>
      </c>
      <c r="L535">
        <f>HYPERLINK("https://www2.assemblee-nationale.fr/sycomore/fiche/(num_dept)/5898", "5898")</f>
        <v>0</v>
      </c>
      <c r="N535">
        <f>HYPERLINK("https://www.wikidata.org/wiki/Q16026338", "Q16026338")</f>
        <v>0</v>
      </c>
      <c r="O535" t="s">
        <v>20017</v>
      </c>
      <c r="P535" t="s">
        <v>20401</v>
      </c>
      <c r="Q535" t="s">
        <v>20519</v>
      </c>
      <c r="R535" t="s">
        <v>409</v>
      </c>
      <c r="S535">
        <v>1484</v>
      </c>
    </row>
    <row r="536" spans="1:19">
      <c r="A536" t="s">
        <v>19</v>
      </c>
      <c r="B536" t="s">
        <v>148</v>
      </c>
      <c r="C536" t="s">
        <v>151</v>
      </c>
      <c r="D536" t="s">
        <v>280</v>
      </c>
      <c r="E536" t="s">
        <v>409</v>
      </c>
      <c r="F536">
        <f>HYPERLINK("https://www.wikidata.org/wiki/Q33369535", "Q33369535")</f>
        <v>0</v>
      </c>
      <c r="G536" t="s">
        <v>1028</v>
      </c>
      <c r="H536" t="s">
        <v>5778</v>
      </c>
      <c r="I536" t="s">
        <v>9626</v>
      </c>
      <c r="J536" t="s">
        <v>11765</v>
      </c>
      <c r="K536" t="s">
        <v>16166</v>
      </c>
      <c r="L536">
        <f>HYPERLINK("https://www2.assemblee-nationale.fr/sycomore/fiche/(num_dept)/6004", "6004")</f>
        <v>0</v>
      </c>
      <c r="N536">
        <f>HYPERLINK("https://www.wikidata.org/wiki/Q15973237", "Q15973237")</f>
        <v>0</v>
      </c>
      <c r="O536" t="s">
        <v>20039</v>
      </c>
      <c r="P536" t="s">
        <v>20406</v>
      </c>
      <c r="Q536" t="s">
        <v>20519</v>
      </c>
      <c r="R536" t="s">
        <v>409</v>
      </c>
      <c r="S536">
        <v>1484</v>
      </c>
    </row>
    <row r="537" spans="1:19">
      <c r="A537" t="s">
        <v>19</v>
      </c>
      <c r="B537" t="s">
        <v>148</v>
      </c>
      <c r="C537" t="s">
        <v>151</v>
      </c>
      <c r="D537" t="s">
        <v>280</v>
      </c>
      <c r="E537" t="s">
        <v>409</v>
      </c>
      <c r="F537">
        <f>HYPERLINK("https://www.wikidata.org/wiki/Q33369535", "Q33369535")</f>
        <v>0</v>
      </c>
      <c r="G537" t="s">
        <v>1029</v>
      </c>
      <c r="H537" t="s">
        <v>5525</v>
      </c>
      <c r="I537" t="s">
        <v>9627</v>
      </c>
      <c r="J537" t="s">
        <v>11766</v>
      </c>
      <c r="K537" t="s">
        <v>16167</v>
      </c>
      <c r="L537">
        <f>HYPERLINK("https://www2.assemblee-nationale.fr/sycomore/fiche/(num_dept)/6029", "6029")</f>
        <v>0</v>
      </c>
      <c r="N537">
        <f>HYPERLINK("https://www.wikidata.org/wiki/Q3057161", "Q3057161")</f>
        <v>0</v>
      </c>
      <c r="O537" t="s">
        <v>19969</v>
      </c>
      <c r="Q537" t="s">
        <v>20519</v>
      </c>
      <c r="R537" t="s">
        <v>409</v>
      </c>
      <c r="S537">
        <v>1484</v>
      </c>
    </row>
    <row r="538" spans="1:19">
      <c r="A538" t="s">
        <v>19</v>
      </c>
      <c r="B538" t="s">
        <v>148</v>
      </c>
      <c r="C538" t="s">
        <v>151</v>
      </c>
      <c r="D538" t="s">
        <v>280</v>
      </c>
      <c r="E538" t="s">
        <v>409</v>
      </c>
      <c r="F538">
        <f>HYPERLINK("https://www.wikidata.org/wiki/Q33369535", "Q33369535")</f>
        <v>0</v>
      </c>
      <c r="G538" t="s">
        <v>1030</v>
      </c>
      <c r="H538" t="s">
        <v>5779</v>
      </c>
      <c r="I538" t="s">
        <v>9628</v>
      </c>
      <c r="J538" t="s">
        <v>11767</v>
      </c>
      <c r="K538" t="s">
        <v>16168</v>
      </c>
      <c r="L538">
        <f>HYPERLINK("https://www2.assemblee-nationale.fr/sycomore/fiche/(num_dept)/6107", "6107")</f>
        <v>0</v>
      </c>
      <c r="N538">
        <f>HYPERLINK("https://www.wikidata.org/wiki/Q2410604", "Q2410604")</f>
        <v>0</v>
      </c>
      <c r="O538" t="s">
        <v>19969</v>
      </c>
      <c r="P538" t="s">
        <v>20404</v>
      </c>
      <c r="Q538" t="s">
        <v>20519</v>
      </c>
      <c r="R538" t="s">
        <v>409</v>
      </c>
      <c r="S538">
        <v>1484</v>
      </c>
    </row>
    <row r="539" spans="1:19">
      <c r="A539" t="s">
        <v>19</v>
      </c>
      <c r="B539" t="s">
        <v>148</v>
      </c>
      <c r="C539" t="s">
        <v>151</v>
      </c>
      <c r="D539" t="s">
        <v>280</v>
      </c>
      <c r="E539" t="s">
        <v>409</v>
      </c>
      <c r="F539">
        <f>HYPERLINK("https://www.wikidata.org/wiki/Q33369535", "Q33369535")</f>
        <v>0</v>
      </c>
      <c r="G539" t="s">
        <v>1031</v>
      </c>
      <c r="H539" t="s">
        <v>5780</v>
      </c>
      <c r="I539" t="s">
        <v>9629</v>
      </c>
      <c r="J539" t="s">
        <v>11768</v>
      </c>
      <c r="K539" t="s">
        <v>16169</v>
      </c>
      <c r="L539">
        <f>HYPERLINK("https://www2.assemblee-nationale.fr/sycomore/fiche/(num_dept)/6165", "6165")</f>
        <v>0</v>
      </c>
      <c r="N539">
        <f>HYPERLINK("https://www.wikidata.org/wiki/Q16026454", "Q16026454")</f>
        <v>0</v>
      </c>
      <c r="O539" t="s">
        <v>20044</v>
      </c>
      <c r="P539" t="s">
        <v>20404</v>
      </c>
      <c r="Q539" t="s">
        <v>20519</v>
      </c>
      <c r="R539" t="s">
        <v>409</v>
      </c>
      <c r="S539">
        <v>1484</v>
      </c>
    </row>
    <row r="540" spans="1:19">
      <c r="A540" t="s">
        <v>19</v>
      </c>
      <c r="B540" t="s">
        <v>148</v>
      </c>
      <c r="C540" t="s">
        <v>151</v>
      </c>
      <c r="D540" t="s">
        <v>280</v>
      </c>
      <c r="E540" t="s">
        <v>409</v>
      </c>
      <c r="F540">
        <f>HYPERLINK("https://www.wikidata.org/wiki/Q33369535", "Q33369535")</f>
        <v>0</v>
      </c>
      <c r="G540" t="s">
        <v>1032</v>
      </c>
      <c r="H540" t="s">
        <v>5781</v>
      </c>
      <c r="I540" t="s">
        <v>9457</v>
      </c>
      <c r="J540" t="s">
        <v>11769</v>
      </c>
      <c r="K540" t="s">
        <v>16170</v>
      </c>
      <c r="L540">
        <f>HYPERLINK("https://www2.assemblee-nationale.fr/sycomore/fiche/(num_dept)/6171", "6171")</f>
        <v>0</v>
      </c>
      <c r="M540">
        <f>HYPERLINK("https://www.senat.fr/senateur-3eme-republique/roy_henri0510r3.html", "roy_henri0510r3")</f>
        <v>0</v>
      </c>
      <c r="N540">
        <f>HYPERLINK("https://www.wikidata.org/wiki/Q3131955", "Q3131955")</f>
        <v>0</v>
      </c>
      <c r="O540" t="s">
        <v>19958</v>
      </c>
      <c r="P540" t="s">
        <v>20405</v>
      </c>
      <c r="Q540" t="s">
        <v>20519</v>
      </c>
      <c r="R540" t="s">
        <v>409</v>
      </c>
      <c r="S540">
        <v>1484</v>
      </c>
    </row>
    <row r="541" spans="1:19">
      <c r="A541" t="s">
        <v>19</v>
      </c>
      <c r="B541" t="s">
        <v>148</v>
      </c>
      <c r="C541" t="s">
        <v>151</v>
      </c>
      <c r="D541" t="s">
        <v>280</v>
      </c>
      <c r="E541" t="s">
        <v>409</v>
      </c>
      <c r="F541">
        <f>HYPERLINK("https://www.wikidata.org/wiki/Q33369535", "Q33369535")</f>
        <v>0</v>
      </c>
      <c r="G541" t="s">
        <v>1033</v>
      </c>
      <c r="H541" t="s">
        <v>5782</v>
      </c>
      <c r="I541" t="s">
        <v>9630</v>
      </c>
      <c r="J541" t="s">
        <v>11770</v>
      </c>
      <c r="K541" t="s">
        <v>16171</v>
      </c>
      <c r="L541">
        <f>HYPERLINK("https://www2.assemblee-nationale.fr/sycomore/fiche/(num_dept)/6179", "6179")</f>
        <v>0</v>
      </c>
      <c r="N541">
        <f>HYPERLINK("https://www.wikidata.org/wiki/Q13077219", "Q13077219")</f>
        <v>0</v>
      </c>
      <c r="O541" t="s">
        <v>20022</v>
      </c>
      <c r="P541" t="s">
        <v>20402</v>
      </c>
      <c r="Q541" t="s">
        <v>20519</v>
      </c>
      <c r="R541" t="s">
        <v>409</v>
      </c>
      <c r="S541">
        <v>1484</v>
      </c>
    </row>
    <row r="542" spans="1:19">
      <c r="A542" t="s">
        <v>19</v>
      </c>
      <c r="B542" t="s">
        <v>148</v>
      </c>
      <c r="C542" t="s">
        <v>151</v>
      </c>
      <c r="D542" t="s">
        <v>280</v>
      </c>
      <c r="E542" t="s">
        <v>409</v>
      </c>
      <c r="F542">
        <f>HYPERLINK("https://www.wikidata.org/wiki/Q33369535", "Q33369535")</f>
        <v>0</v>
      </c>
      <c r="G542" t="s">
        <v>1034</v>
      </c>
      <c r="H542" t="s">
        <v>5783</v>
      </c>
      <c r="I542" t="s">
        <v>9631</v>
      </c>
      <c r="J542" t="s">
        <v>11771</v>
      </c>
      <c r="K542" t="s">
        <v>16172</v>
      </c>
      <c r="L542">
        <f>HYPERLINK("https://www2.assemblee-nationale.fr/sycomore/fiche/(num_dept)/6201", "6201")</f>
        <v>0</v>
      </c>
      <c r="N542">
        <f>HYPERLINK("https://www.wikidata.org/wiki/Q16026462", "Q16026462")</f>
        <v>0</v>
      </c>
      <c r="O542" t="s">
        <v>19962</v>
      </c>
      <c r="P542" t="s">
        <v>20404</v>
      </c>
      <c r="Q542" t="s">
        <v>20519</v>
      </c>
      <c r="R542" t="s">
        <v>409</v>
      </c>
      <c r="S542">
        <v>1484</v>
      </c>
    </row>
    <row r="543" spans="1:19">
      <c r="A543" t="s">
        <v>19</v>
      </c>
      <c r="B543" t="s">
        <v>148</v>
      </c>
      <c r="C543" t="s">
        <v>151</v>
      </c>
      <c r="D543" t="s">
        <v>280</v>
      </c>
      <c r="E543" t="s">
        <v>409</v>
      </c>
      <c r="F543">
        <f>HYPERLINK("https://www.wikidata.org/wiki/Q33369535", "Q33369535")</f>
        <v>0</v>
      </c>
      <c r="G543" t="s">
        <v>1035</v>
      </c>
      <c r="H543" t="s">
        <v>5784</v>
      </c>
      <c r="I543" t="s">
        <v>6860</v>
      </c>
      <c r="J543" t="s">
        <v>11772</v>
      </c>
      <c r="K543" t="s">
        <v>16173</v>
      </c>
      <c r="L543">
        <f>HYPERLINK("https://www2.assemblee-nationale.fr/sycomore/fiche/(num_dept)/6294", "6294")</f>
        <v>0</v>
      </c>
      <c r="N543">
        <f>HYPERLINK("https://www.wikidata.org/wiki/Q3386933", "Q3386933")</f>
        <v>0</v>
      </c>
      <c r="O543" t="s">
        <v>20010</v>
      </c>
      <c r="P543" t="s">
        <v>20401</v>
      </c>
      <c r="Q543" t="s">
        <v>20519</v>
      </c>
      <c r="R543" t="s">
        <v>409</v>
      </c>
      <c r="S543">
        <v>1484</v>
      </c>
    </row>
    <row r="544" spans="1:19">
      <c r="A544" t="s">
        <v>19</v>
      </c>
      <c r="B544" t="s">
        <v>148</v>
      </c>
      <c r="C544" t="s">
        <v>151</v>
      </c>
      <c r="D544" t="s">
        <v>280</v>
      </c>
      <c r="E544" t="s">
        <v>409</v>
      </c>
      <c r="F544">
        <f>HYPERLINK("https://www.wikidata.org/wiki/Q33369535", "Q33369535")</f>
        <v>0</v>
      </c>
      <c r="G544" t="s">
        <v>1036</v>
      </c>
      <c r="H544" t="s">
        <v>5785</v>
      </c>
      <c r="I544" t="s">
        <v>9457</v>
      </c>
      <c r="J544" t="s">
        <v>11773</v>
      </c>
      <c r="K544" t="s">
        <v>16174</v>
      </c>
      <c r="L544">
        <f>HYPERLINK("https://www2.assemblee-nationale.fr/sycomore/fiche/(num_dept)/6342", "6342")</f>
        <v>0</v>
      </c>
      <c r="N544">
        <f>HYPERLINK("https://www.wikidata.org/wiki/Q16026491", "Q16026491")</f>
        <v>0</v>
      </c>
      <c r="O544" t="s">
        <v>20017</v>
      </c>
      <c r="P544" t="s">
        <v>20401</v>
      </c>
      <c r="Q544" t="s">
        <v>20519</v>
      </c>
      <c r="R544" t="s">
        <v>409</v>
      </c>
      <c r="S544">
        <v>1484</v>
      </c>
    </row>
    <row r="545" spans="1:19">
      <c r="A545" t="s">
        <v>19</v>
      </c>
      <c r="B545" t="s">
        <v>148</v>
      </c>
      <c r="C545" t="s">
        <v>151</v>
      </c>
      <c r="D545" t="s">
        <v>280</v>
      </c>
      <c r="E545" t="s">
        <v>409</v>
      </c>
      <c r="F545">
        <f>HYPERLINK("https://www.wikidata.org/wiki/Q33369535", "Q33369535")</f>
        <v>0</v>
      </c>
      <c r="G545" t="s">
        <v>1037</v>
      </c>
      <c r="H545" t="s">
        <v>5786</v>
      </c>
      <c r="I545" t="s">
        <v>9632</v>
      </c>
      <c r="J545" t="s">
        <v>11774</v>
      </c>
      <c r="K545" t="s">
        <v>16175</v>
      </c>
      <c r="L545">
        <f>HYPERLINK("https://www2.assemblee-nationale.fr/sycomore/fiche/(num_dept)/6402", "6402")</f>
        <v>0</v>
      </c>
      <c r="N545">
        <f>HYPERLINK("https://www.wikidata.org/wiki/Q16026350", "Q16026350")</f>
        <v>0</v>
      </c>
      <c r="O545" t="s">
        <v>20031</v>
      </c>
      <c r="P545" t="s">
        <v>20410</v>
      </c>
      <c r="Q545" t="s">
        <v>20519</v>
      </c>
      <c r="R545" t="s">
        <v>16175</v>
      </c>
      <c r="S545">
        <v>447</v>
      </c>
    </row>
    <row r="546" spans="1:19">
      <c r="A546" t="s">
        <v>19</v>
      </c>
      <c r="B546" t="s">
        <v>148</v>
      </c>
      <c r="C546" t="s">
        <v>151</v>
      </c>
      <c r="D546" t="s">
        <v>280</v>
      </c>
      <c r="E546" t="s">
        <v>409</v>
      </c>
      <c r="F546">
        <f>HYPERLINK("https://www.wikidata.org/wiki/Q33369535", "Q33369535")</f>
        <v>0</v>
      </c>
      <c r="G546" t="s">
        <v>1038</v>
      </c>
      <c r="H546" t="s">
        <v>5787</v>
      </c>
      <c r="I546" t="s">
        <v>9633</v>
      </c>
      <c r="J546" t="s">
        <v>11775</v>
      </c>
      <c r="K546" t="s">
        <v>16176</v>
      </c>
      <c r="L546">
        <f>HYPERLINK("https://www2.assemblee-nationale.fr/sycomore/fiche/(num_dept)/6440", "6440")</f>
        <v>0</v>
      </c>
      <c r="N546">
        <f>HYPERLINK("https://www.wikidata.org/wiki/Q16026356", "Q16026356")</f>
        <v>0</v>
      </c>
      <c r="O546" t="s">
        <v>20013</v>
      </c>
      <c r="P546" t="s">
        <v>20401</v>
      </c>
      <c r="Q546" t="s">
        <v>20519</v>
      </c>
      <c r="R546" t="s">
        <v>409</v>
      </c>
      <c r="S546">
        <v>1484</v>
      </c>
    </row>
    <row r="547" spans="1:19">
      <c r="A547" t="s">
        <v>19</v>
      </c>
      <c r="B547" t="s">
        <v>148</v>
      </c>
      <c r="C547" t="s">
        <v>151</v>
      </c>
      <c r="D547" t="s">
        <v>280</v>
      </c>
      <c r="E547" t="s">
        <v>409</v>
      </c>
      <c r="F547">
        <f>HYPERLINK("https://www.wikidata.org/wiki/Q33369535", "Q33369535")</f>
        <v>0</v>
      </c>
      <c r="G547" t="s">
        <v>1039</v>
      </c>
      <c r="H547" t="s">
        <v>5788</v>
      </c>
      <c r="I547" t="s">
        <v>9634</v>
      </c>
      <c r="J547" t="s">
        <v>11776</v>
      </c>
      <c r="K547" t="s">
        <v>16177</v>
      </c>
      <c r="L547">
        <f>HYPERLINK("https://www2.assemblee-nationale.fr/sycomore/fiche/(num_dept)/6457", "6457")</f>
        <v>0</v>
      </c>
      <c r="N547">
        <f>HYPERLINK("https://www.wikidata.org/wiki/Q3184280", "Q3184280")</f>
        <v>0</v>
      </c>
      <c r="O547" t="s">
        <v>20047</v>
      </c>
      <c r="P547" t="s">
        <v>20405</v>
      </c>
      <c r="Q547" t="s">
        <v>20519</v>
      </c>
      <c r="R547" t="s">
        <v>409</v>
      </c>
      <c r="S547">
        <v>1484</v>
      </c>
    </row>
    <row r="548" spans="1:19">
      <c r="A548" t="s">
        <v>19</v>
      </c>
      <c r="B548" t="s">
        <v>148</v>
      </c>
      <c r="C548" t="s">
        <v>151</v>
      </c>
      <c r="D548" t="s">
        <v>280</v>
      </c>
      <c r="E548" t="s">
        <v>409</v>
      </c>
      <c r="F548">
        <f>HYPERLINK("https://www.wikidata.org/wiki/Q33369535", "Q33369535")</f>
        <v>0</v>
      </c>
      <c r="G548" t="s">
        <v>1040</v>
      </c>
      <c r="H548" t="s">
        <v>5789</v>
      </c>
      <c r="I548" t="s">
        <v>9635</v>
      </c>
      <c r="J548" t="s">
        <v>11777</v>
      </c>
      <c r="K548" t="s">
        <v>16178</v>
      </c>
      <c r="L548">
        <f>HYPERLINK("https://www2.assemblee-nationale.fr/sycomore/fiche/(num_dept)/6498", "6498")</f>
        <v>0</v>
      </c>
      <c r="N548">
        <f>HYPERLINK("https://www.wikidata.org/wiki/Q2853915", "Q2853915")</f>
        <v>0</v>
      </c>
      <c r="O548" t="s">
        <v>20016</v>
      </c>
      <c r="P548" t="s">
        <v>20404</v>
      </c>
      <c r="Q548" t="s">
        <v>20519</v>
      </c>
      <c r="R548" t="s">
        <v>409</v>
      </c>
      <c r="S548">
        <v>1484</v>
      </c>
    </row>
    <row r="549" spans="1:19">
      <c r="A549" t="s">
        <v>19</v>
      </c>
      <c r="B549" t="s">
        <v>148</v>
      </c>
      <c r="C549" t="s">
        <v>151</v>
      </c>
      <c r="D549" t="s">
        <v>280</v>
      </c>
      <c r="E549" t="s">
        <v>409</v>
      </c>
      <c r="F549">
        <f>HYPERLINK("https://www.wikidata.org/wiki/Q33369535", "Q33369535")</f>
        <v>0</v>
      </c>
      <c r="G549" t="s">
        <v>1041</v>
      </c>
      <c r="H549" t="s">
        <v>5550</v>
      </c>
      <c r="I549" t="s">
        <v>9636</v>
      </c>
      <c r="J549" t="s">
        <v>11778</v>
      </c>
      <c r="K549" t="s">
        <v>16179</v>
      </c>
      <c r="L549">
        <f>HYPERLINK("https://www2.assemblee-nationale.fr/sycomore/fiche/(num_dept)/6534", "6534")</f>
        <v>0</v>
      </c>
      <c r="N549">
        <f>HYPERLINK("https://www.wikidata.org/wiki/Q16026381", "Q16026381")</f>
        <v>0</v>
      </c>
      <c r="O549" t="s">
        <v>19955</v>
      </c>
      <c r="P549" t="s">
        <v>20403</v>
      </c>
      <c r="Q549" t="s">
        <v>20519</v>
      </c>
      <c r="R549" t="s">
        <v>409</v>
      </c>
      <c r="S549">
        <v>1484</v>
      </c>
    </row>
    <row r="550" spans="1:19">
      <c r="A550" t="s">
        <v>19</v>
      </c>
      <c r="B550" t="s">
        <v>148</v>
      </c>
      <c r="C550" t="s">
        <v>151</v>
      </c>
      <c r="D550" t="s">
        <v>280</v>
      </c>
      <c r="E550" t="s">
        <v>409</v>
      </c>
      <c r="F550">
        <f>HYPERLINK("https://www.wikidata.org/wiki/Q33369535", "Q33369535")</f>
        <v>0</v>
      </c>
      <c r="G550" t="s">
        <v>1042</v>
      </c>
      <c r="H550" t="s">
        <v>5790</v>
      </c>
      <c r="I550" t="s">
        <v>9388</v>
      </c>
      <c r="J550" t="s">
        <v>11779</v>
      </c>
      <c r="K550" t="s">
        <v>16180</v>
      </c>
      <c r="L550">
        <f>HYPERLINK("https://www2.assemblee-nationale.fr/sycomore/fiche/(num_dept)/6538", "6538")</f>
        <v>0</v>
      </c>
      <c r="N550">
        <f>HYPERLINK("https://www.wikidata.org/wiki/Q16026383", "Q16026383")</f>
        <v>0</v>
      </c>
      <c r="O550" t="s">
        <v>20001</v>
      </c>
      <c r="Q550" t="s">
        <v>20519</v>
      </c>
      <c r="R550" t="s">
        <v>409</v>
      </c>
      <c r="S550">
        <v>1484</v>
      </c>
    </row>
    <row r="551" spans="1:19">
      <c r="A551" t="s">
        <v>19</v>
      </c>
      <c r="B551" t="s">
        <v>148</v>
      </c>
      <c r="C551" t="s">
        <v>151</v>
      </c>
      <c r="D551" t="s">
        <v>280</v>
      </c>
      <c r="E551" t="s">
        <v>409</v>
      </c>
      <c r="F551">
        <f>HYPERLINK("https://www.wikidata.org/wiki/Q33369535", "Q33369535")</f>
        <v>0</v>
      </c>
      <c r="G551" t="s">
        <v>1043</v>
      </c>
      <c r="H551" t="s">
        <v>5791</v>
      </c>
      <c r="I551" t="s">
        <v>9637</v>
      </c>
      <c r="J551" t="s">
        <v>11780</v>
      </c>
      <c r="K551" t="s">
        <v>16181</v>
      </c>
      <c r="L551">
        <f>HYPERLINK("https://www2.assemblee-nationale.fr/sycomore/fiche/(num_dept)/6544", "6544")</f>
        <v>0</v>
      </c>
      <c r="N551">
        <f>HYPERLINK("https://www.wikidata.org/wiki/Q16026385", "Q16026385")</f>
        <v>0</v>
      </c>
      <c r="O551" t="s">
        <v>20005</v>
      </c>
      <c r="P551" t="s">
        <v>20401</v>
      </c>
      <c r="Q551" t="s">
        <v>20519</v>
      </c>
      <c r="R551" t="s">
        <v>409</v>
      </c>
      <c r="S551">
        <v>1484</v>
      </c>
    </row>
    <row r="552" spans="1:19">
      <c r="A552" t="s">
        <v>19</v>
      </c>
      <c r="B552" t="s">
        <v>148</v>
      </c>
      <c r="C552" t="s">
        <v>151</v>
      </c>
      <c r="D552" t="s">
        <v>280</v>
      </c>
      <c r="E552" t="s">
        <v>409</v>
      </c>
      <c r="F552">
        <f>HYPERLINK("https://www.wikidata.org/wiki/Q33369535", "Q33369535")</f>
        <v>0</v>
      </c>
      <c r="G552" t="s">
        <v>1044</v>
      </c>
      <c r="H552" t="s">
        <v>5792</v>
      </c>
      <c r="I552" t="s">
        <v>9638</v>
      </c>
      <c r="J552" t="s">
        <v>11781</v>
      </c>
      <c r="K552" t="s">
        <v>16182</v>
      </c>
      <c r="L552">
        <f>HYPERLINK("https://www2.assemblee-nationale.fr/sycomore/fiche/(num_dept)/6577", "6577")</f>
        <v>0</v>
      </c>
      <c r="N552">
        <f>HYPERLINK("https://www.wikidata.org/wiki/Q14925927", "Q14925927")</f>
        <v>0</v>
      </c>
      <c r="O552" t="s">
        <v>20006</v>
      </c>
      <c r="P552" t="s">
        <v>20404</v>
      </c>
      <c r="Q552" t="s">
        <v>20519</v>
      </c>
      <c r="R552" t="s">
        <v>409</v>
      </c>
      <c r="S552">
        <v>1484</v>
      </c>
    </row>
    <row r="553" spans="1:19">
      <c r="A553" t="s">
        <v>19</v>
      </c>
      <c r="B553" t="s">
        <v>148</v>
      </c>
      <c r="C553" t="s">
        <v>151</v>
      </c>
      <c r="D553" t="s">
        <v>280</v>
      </c>
      <c r="E553" t="s">
        <v>409</v>
      </c>
      <c r="F553">
        <f>HYPERLINK("https://www.wikidata.org/wiki/Q33369535", "Q33369535")</f>
        <v>0</v>
      </c>
      <c r="G553" t="s">
        <v>1045</v>
      </c>
      <c r="H553" t="s">
        <v>5793</v>
      </c>
      <c r="I553" t="s">
        <v>9639</v>
      </c>
      <c r="J553" t="s">
        <v>11782</v>
      </c>
      <c r="K553" t="s">
        <v>16183</v>
      </c>
      <c r="L553">
        <f>HYPERLINK("https://www2.assemblee-nationale.fr/sycomore/fiche/(num_dept)/6593", "6593")</f>
        <v>0</v>
      </c>
      <c r="N553">
        <f>HYPERLINK("https://www.wikidata.org/wiki/Q3069386", "Q3069386")</f>
        <v>0</v>
      </c>
      <c r="O553" t="s">
        <v>20014</v>
      </c>
      <c r="P553" t="s">
        <v>20408</v>
      </c>
      <c r="Q553" t="s">
        <v>20519</v>
      </c>
      <c r="R553" t="s">
        <v>409</v>
      </c>
      <c r="S553">
        <v>1484</v>
      </c>
    </row>
    <row r="554" spans="1:19">
      <c r="A554" t="s">
        <v>19</v>
      </c>
      <c r="B554" t="s">
        <v>148</v>
      </c>
      <c r="C554" t="s">
        <v>151</v>
      </c>
      <c r="D554" t="s">
        <v>280</v>
      </c>
      <c r="E554" t="s">
        <v>409</v>
      </c>
      <c r="F554">
        <f>HYPERLINK("https://www.wikidata.org/wiki/Q33369535", "Q33369535")</f>
        <v>0</v>
      </c>
      <c r="G554" t="s">
        <v>1046</v>
      </c>
      <c r="H554" t="s">
        <v>5794</v>
      </c>
      <c r="I554" t="s">
        <v>9640</v>
      </c>
      <c r="J554" t="s">
        <v>11783</v>
      </c>
      <c r="K554" t="s">
        <v>16184</v>
      </c>
      <c r="L554">
        <f>HYPERLINK("https://www2.assemblee-nationale.fr/sycomore/fiche/(num_dept)/6625", "6625")</f>
        <v>0</v>
      </c>
      <c r="N554">
        <f>HYPERLINK("https://www.wikidata.org/wiki/Q16026396", "Q16026396")</f>
        <v>0</v>
      </c>
      <c r="O554" t="s">
        <v>20044</v>
      </c>
      <c r="P554" t="s">
        <v>20405</v>
      </c>
      <c r="Q554" t="s">
        <v>20519</v>
      </c>
      <c r="R554" t="s">
        <v>409</v>
      </c>
      <c r="S554">
        <v>1484</v>
      </c>
    </row>
    <row r="555" spans="1:19">
      <c r="A555" t="s">
        <v>19</v>
      </c>
      <c r="B555" t="s">
        <v>148</v>
      </c>
      <c r="C555" t="s">
        <v>151</v>
      </c>
      <c r="D555" t="s">
        <v>280</v>
      </c>
      <c r="E555" t="s">
        <v>409</v>
      </c>
      <c r="F555">
        <f>HYPERLINK("https://www.wikidata.org/wiki/Q33369535", "Q33369535")</f>
        <v>0</v>
      </c>
      <c r="G555" t="s">
        <v>1047</v>
      </c>
      <c r="H555" t="s">
        <v>5795</v>
      </c>
      <c r="I555" t="s">
        <v>9641</v>
      </c>
      <c r="J555" t="s">
        <v>11784</v>
      </c>
      <c r="K555" t="s">
        <v>16185</v>
      </c>
      <c r="L555">
        <f>HYPERLINK("https://www2.assemblee-nationale.fr/sycomore/fiche/(num_dept)/6641", "6641")</f>
        <v>0</v>
      </c>
      <c r="M555">
        <f>HYPERLINK("https://www.senat.fr/senateur-3eme-republique/reboul_camille0252r3.html", "reboul_camille0252r3")</f>
        <v>0</v>
      </c>
      <c r="N555">
        <f>HYPERLINK("https://www.wikidata.org/wiki/Q2935052", "Q2935052")</f>
        <v>0</v>
      </c>
      <c r="O555" t="s">
        <v>7411</v>
      </c>
      <c r="P555" t="s">
        <v>20404</v>
      </c>
      <c r="Q555" t="s">
        <v>20519</v>
      </c>
      <c r="R555" t="s">
        <v>409</v>
      </c>
      <c r="S555">
        <v>1484</v>
      </c>
    </row>
    <row r="556" spans="1:19">
      <c r="A556" t="s">
        <v>19</v>
      </c>
      <c r="B556" t="s">
        <v>148</v>
      </c>
      <c r="C556" t="s">
        <v>151</v>
      </c>
      <c r="D556" t="s">
        <v>280</v>
      </c>
      <c r="E556" t="s">
        <v>409</v>
      </c>
      <c r="F556">
        <f>HYPERLINK("https://www.wikidata.org/wiki/Q33369535", "Q33369535")</f>
        <v>0</v>
      </c>
      <c r="G556" t="s">
        <v>1048</v>
      </c>
      <c r="H556" t="s">
        <v>5560</v>
      </c>
      <c r="I556" t="s">
        <v>9407</v>
      </c>
      <c r="J556" t="s">
        <v>11785</v>
      </c>
      <c r="K556" t="s">
        <v>16186</v>
      </c>
      <c r="L556">
        <f>HYPERLINK("https://www2.assemblee-nationale.fr/sycomore/fiche/(num_dept)/6663", "6663")</f>
        <v>0</v>
      </c>
      <c r="N556">
        <f>HYPERLINK("https://www.wikidata.org/wiki/Q172161", "Q172161")</f>
        <v>0</v>
      </c>
      <c r="O556" t="s">
        <v>20033</v>
      </c>
      <c r="P556" t="s">
        <v>20402</v>
      </c>
      <c r="Q556" t="s">
        <v>20519</v>
      </c>
      <c r="R556" t="s">
        <v>409</v>
      </c>
      <c r="S556">
        <v>1484</v>
      </c>
    </row>
    <row r="557" spans="1:19">
      <c r="A557" t="s">
        <v>19</v>
      </c>
      <c r="B557" t="s">
        <v>148</v>
      </c>
      <c r="C557" t="s">
        <v>151</v>
      </c>
      <c r="D557" t="s">
        <v>280</v>
      </c>
      <c r="E557" t="s">
        <v>409</v>
      </c>
      <c r="F557">
        <f>HYPERLINK("https://www.wikidata.org/wiki/Q33369535", "Q33369535")</f>
        <v>0</v>
      </c>
      <c r="G557" t="s">
        <v>1049</v>
      </c>
      <c r="H557" t="s">
        <v>5796</v>
      </c>
      <c r="I557" t="s">
        <v>9642</v>
      </c>
      <c r="J557" t="s">
        <v>11786</v>
      </c>
      <c r="K557" t="s">
        <v>16187</v>
      </c>
      <c r="L557">
        <f>HYPERLINK("https://www2.assemblee-nationale.fr/sycomore/fiche/(num_dept)/6671", "6671")</f>
        <v>0</v>
      </c>
      <c r="N557">
        <f>HYPERLINK("https://www.wikidata.org/wiki/Q2848513", "Q2848513")</f>
        <v>0</v>
      </c>
      <c r="O557" t="s">
        <v>20032</v>
      </c>
      <c r="P557" t="s">
        <v>20401</v>
      </c>
      <c r="Q557" t="s">
        <v>20519</v>
      </c>
      <c r="R557" t="s">
        <v>409</v>
      </c>
      <c r="S557">
        <v>1484</v>
      </c>
    </row>
    <row r="558" spans="1:19">
      <c r="A558" t="s">
        <v>19</v>
      </c>
      <c r="B558" t="s">
        <v>148</v>
      </c>
      <c r="C558" t="s">
        <v>151</v>
      </c>
      <c r="D558" t="s">
        <v>280</v>
      </c>
      <c r="E558" t="s">
        <v>409</v>
      </c>
      <c r="F558">
        <f>HYPERLINK("https://www.wikidata.org/wiki/Q33369535", "Q33369535")</f>
        <v>0</v>
      </c>
      <c r="G558" t="s">
        <v>1050</v>
      </c>
      <c r="H558" t="s">
        <v>5797</v>
      </c>
      <c r="I558" t="s">
        <v>9643</v>
      </c>
      <c r="J558" t="s">
        <v>11787</v>
      </c>
      <c r="K558" t="s">
        <v>16188</v>
      </c>
      <c r="L558">
        <f>HYPERLINK("https://www2.assemblee-nationale.fr/sycomore/fiche/(num_dept)/6693", "6693")</f>
        <v>0</v>
      </c>
      <c r="M558">
        <f>HYPERLINK("https://www.senat.fr/senateur-3eme-republique/reveillaud_eugene0407r3.html", "reveillaud_eugene0407r3")</f>
        <v>0</v>
      </c>
      <c r="N558">
        <f>HYPERLINK("https://www.wikidata.org/wiki/Q3060161", "Q3060161")</f>
        <v>0</v>
      </c>
      <c r="O558" t="s">
        <v>20037</v>
      </c>
      <c r="P558" t="s">
        <v>20401</v>
      </c>
      <c r="Q558" t="s">
        <v>20519</v>
      </c>
      <c r="R558" t="s">
        <v>21369</v>
      </c>
      <c r="S558">
        <v>618</v>
      </c>
    </row>
    <row r="559" spans="1:19">
      <c r="A559" t="s">
        <v>19</v>
      </c>
      <c r="B559" t="s">
        <v>148</v>
      </c>
      <c r="C559" t="s">
        <v>151</v>
      </c>
      <c r="D559" t="s">
        <v>280</v>
      </c>
      <c r="E559" t="s">
        <v>409</v>
      </c>
      <c r="F559">
        <f>HYPERLINK("https://www.wikidata.org/wiki/Q33369535", "Q33369535")</f>
        <v>0</v>
      </c>
      <c r="G559" t="s">
        <v>1051</v>
      </c>
      <c r="H559" t="s">
        <v>5798</v>
      </c>
      <c r="I559" t="s">
        <v>9644</v>
      </c>
      <c r="J559" t="s">
        <v>11788</v>
      </c>
      <c r="K559" t="s">
        <v>16189</v>
      </c>
      <c r="L559">
        <f>HYPERLINK("https://www2.assemblee-nationale.fr/sycomore/fiche/(num_dept)/6780", "6780")</f>
        <v>0</v>
      </c>
      <c r="N559">
        <f>HYPERLINK("https://www.wikidata.org/wiki/Q15972018", "Q15972018")</f>
        <v>0</v>
      </c>
      <c r="O559" t="s">
        <v>20015</v>
      </c>
      <c r="P559" t="s">
        <v>20404</v>
      </c>
      <c r="Q559" t="s">
        <v>20519</v>
      </c>
      <c r="R559" t="s">
        <v>409</v>
      </c>
      <c r="S559">
        <v>1484</v>
      </c>
    </row>
    <row r="560" spans="1:19">
      <c r="A560" t="s">
        <v>19</v>
      </c>
      <c r="B560" t="s">
        <v>148</v>
      </c>
      <c r="C560" t="s">
        <v>151</v>
      </c>
      <c r="D560" t="s">
        <v>280</v>
      </c>
      <c r="E560" t="s">
        <v>409</v>
      </c>
      <c r="F560">
        <f>HYPERLINK("https://www.wikidata.org/wiki/Q33369535", "Q33369535")</f>
        <v>0</v>
      </c>
      <c r="G560" t="s">
        <v>1052</v>
      </c>
      <c r="H560" t="s">
        <v>5799</v>
      </c>
      <c r="I560" t="s">
        <v>9449</v>
      </c>
      <c r="J560" t="s">
        <v>11789</v>
      </c>
      <c r="K560" t="s">
        <v>16190</v>
      </c>
      <c r="L560">
        <f>HYPERLINK("https://www2.assemblee-nationale.fr/sycomore/fiche/(num_dept)/6832", "6832")</f>
        <v>0</v>
      </c>
      <c r="M560">
        <f>HYPERLINK("https://www.senat.fr/senateur-3eme-republique/siegfried_jules1584r3.html", "siegfried_jules1584r3")</f>
        <v>0</v>
      </c>
      <c r="N560">
        <f>HYPERLINK("https://www.wikidata.org/wiki/Q3188910", "Q3188910")</f>
        <v>0</v>
      </c>
      <c r="O560" t="s">
        <v>19978</v>
      </c>
      <c r="P560" t="s">
        <v>20402</v>
      </c>
      <c r="Q560" t="s">
        <v>20519</v>
      </c>
      <c r="R560" t="s">
        <v>409</v>
      </c>
      <c r="S560">
        <v>1484</v>
      </c>
    </row>
    <row r="561" spans="1:19">
      <c r="A561" t="s">
        <v>19</v>
      </c>
      <c r="B561" t="s">
        <v>148</v>
      </c>
      <c r="C561" t="s">
        <v>151</v>
      </c>
      <c r="D561" t="s">
        <v>280</v>
      </c>
      <c r="E561" t="s">
        <v>409</v>
      </c>
      <c r="F561">
        <f>HYPERLINK("https://www.wikidata.org/wiki/Q33369535", "Q33369535")</f>
        <v>0</v>
      </c>
      <c r="G561" t="s">
        <v>1053</v>
      </c>
      <c r="H561" t="s">
        <v>5800</v>
      </c>
      <c r="I561" t="s">
        <v>6478</v>
      </c>
      <c r="J561" t="s">
        <v>11790</v>
      </c>
      <c r="K561" t="s">
        <v>16191</v>
      </c>
      <c r="L561">
        <f>HYPERLINK("https://www2.assemblee-nationale.fr/sycomore/fiche/(num_dept)/6843", "6843")</f>
        <v>0</v>
      </c>
      <c r="N561">
        <f>HYPERLINK("https://www.wikidata.org/wiki/Q773411", "Q773411")</f>
        <v>0</v>
      </c>
      <c r="O561" t="s">
        <v>19962</v>
      </c>
      <c r="P561" t="s">
        <v>20405</v>
      </c>
      <c r="Q561" t="s">
        <v>20519</v>
      </c>
      <c r="R561" t="s">
        <v>409</v>
      </c>
      <c r="S561">
        <v>1484</v>
      </c>
    </row>
    <row r="562" spans="1:19">
      <c r="A562" t="s">
        <v>19</v>
      </c>
      <c r="B562" t="s">
        <v>148</v>
      </c>
      <c r="C562" t="s">
        <v>151</v>
      </c>
      <c r="D562" t="s">
        <v>280</v>
      </c>
      <c r="E562" t="s">
        <v>409</v>
      </c>
      <c r="F562">
        <f>HYPERLINK("https://www.wikidata.org/wiki/Q33369535", "Q33369535")</f>
        <v>0</v>
      </c>
      <c r="G562" t="s">
        <v>1054</v>
      </c>
      <c r="H562" t="s">
        <v>5567</v>
      </c>
      <c r="I562" t="s">
        <v>9638</v>
      </c>
      <c r="J562" t="s">
        <v>11791</v>
      </c>
      <c r="K562" t="s">
        <v>16192</v>
      </c>
      <c r="L562">
        <f>HYPERLINK("https://www2.assemblee-nationale.fr/sycomore/fiche/(num_dept)/6848", "6848")</f>
        <v>0</v>
      </c>
      <c r="N562">
        <f>HYPERLINK("https://www.wikidata.org/wiki/Q16026505", "Q16026505")</f>
        <v>0</v>
      </c>
      <c r="O562" t="s">
        <v>19994</v>
      </c>
      <c r="P562" t="s">
        <v>20405</v>
      </c>
      <c r="Q562" t="s">
        <v>20519</v>
      </c>
      <c r="R562" t="s">
        <v>409</v>
      </c>
      <c r="S562">
        <v>1484</v>
      </c>
    </row>
    <row r="563" spans="1:19">
      <c r="A563" t="s">
        <v>19</v>
      </c>
      <c r="B563" t="s">
        <v>148</v>
      </c>
      <c r="C563" t="s">
        <v>151</v>
      </c>
      <c r="D563" t="s">
        <v>280</v>
      </c>
      <c r="E563" t="s">
        <v>409</v>
      </c>
      <c r="F563">
        <f>HYPERLINK("https://www.wikidata.org/wiki/Q33369535", "Q33369535")</f>
        <v>0</v>
      </c>
      <c r="G563" t="s">
        <v>1055</v>
      </c>
      <c r="H563" t="s">
        <v>5801</v>
      </c>
      <c r="I563" t="s">
        <v>9503</v>
      </c>
      <c r="J563" t="s">
        <v>11792</v>
      </c>
      <c r="K563" t="s">
        <v>16193</v>
      </c>
      <c r="L563">
        <f>HYPERLINK("https://www2.assemblee-nationale.fr/sycomore/fiche/(num_dept)/6863", "6863")</f>
        <v>0</v>
      </c>
      <c r="N563">
        <f>HYPERLINK("https://www.wikidata.org/wiki/Q16026512", "Q16026512")</f>
        <v>0</v>
      </c>
      <c r="O563" t="s">
        <v>19990</v>
      </c>
      <c r="P563" t="s">
        <v>20404</v>
      </c>
      <c r="Q563" t="s">
        <v>20519</v>
      </c>
      <c r="R563" t="s">
        <v>409</v>
      </c>
      <c r="S563">
        <v>1484</v>
      </c>
    </row>
    <row r="564" spans="1:19">
      <c r="A564" t="s">
        <v>19</v>
      </c>
      <c r="B564" t="s">
        <v>148</v>
      </c>
      <c r="C564" t="s">
        <v>151</v>
      </c>
      <c r="D564" t="s">
        <v>280</v>
      </c>
      <c r="E564" t="s">
        <v>409</v>
      </c>
      <c r="F564">
        <f>HYPERLINK("https://www.wikidata.org/wiki/Q33369535", "Q33369535")</f>
        <v>0</v>
      </c>
      <c r="G564" t="s">
        <v>1056</v>
      </c>
      <c r="H564" t="s">
        <v>5802</v>
      </c>
      <c r="I564" t="s">
        <v>9407</v>
      </c>
      <c r="J564" t="s">
        <v>11793</v>
      </c>
      <c r="K564" t="s">
        <v>16194</v>
      </c>
      <c r="L564">
        <f>HYPERLINK("https://www2.assemblee-nationale.fr/sycomore/fiche/(num_dept)/6891", "6891")</f>
        <v>0</v>
      </c>
      <c r="N564">
        <f>HYPERLINK("https://www.wikidata.org/wiki/Q16026521", "Q16026521")</f>
        <v>0</v>
      </c>
      <c r="O564" t="s">
        <v>20043</v>
      </c>
      <c r="P564" t="s">
        <v>20402</v>
      </c>
      <c r="Q564" t="s">
        <v>20519</v>
      </c>
      <c r="R564" t="s">
        <v>409</v>
      </c>
      <c r="S564">
        <v>1484</v>
      </c>
    </row>
    <row r="565" spans="1:19">
      <c r="A565" t="s">
        <v>19</v>
      </c>
      <c r="B565" t="s">
        <v>148</v>
      </c>
      <c r="C565" t="s">
        <v>151</v>
      </c>
      <c r="D565" t="s">
        <v>280</v>
      </c>
      <c r="E565" t="s">
        <v>409</v>
      </c>
      <c r="F565">
        <f>HYPERLINK("https://www.wikidata.org/wiki/Q33369535", "Q33369535")</f>
        <v>0</v>
      </c>
      <c r="G565" t="s">
        <v>1057</v>
      </c>
      <c r="H565" t="s">
        <v>5803</v>
      </c>
      <c r="I565" t="s">
        <v>9645</v>
      </c>
      <c r="J565" t="s">
        <v>11794</v>
      </c>
      <c r="K565" t="s">
        <v>16195</v>
      </c>
      <c r="L565">
        <f>HYPERLINK("https://www2.assemblee-nationale.fr/sycomore/fiche/(num_dept)/6951", "6951")</f>
        <v>0</v>
      </c>
      <c r="N565">
        <f>HYPERLINK("https://www.wikidata.org/wiki/Q8329566", "Q8329566")</f>
        <v>0</v>
      </c>
      <c r="O565" t="s">
        <v>20041</v>
      </c>
      <c r="P565" t="s">
        <v>20404</v>
      </c>
      <c r="Q565" t="s">
        <v>20519</v>
      </c>
      <c r="R565" t="s">
        <v>16195</v>
      </c>
      <c r="S565">
        <v>245</v>
      </c>
    </row>
    <row r="566" spans="1:19">
      <c r="A566" t="s">
        <v>19</v>
      </c>
      <c r="B566" t="s">
        <v>148</v>
      </c>
      <c r="C566" t="s">
        <v>151</v>
      </c>
      <c r="D566" t="s">
        <v>280</v>
      </c>
      <c r="E566" t="s">
        <v>409</v>
      </c>
      <c r="F566">
        <f>HYPERLINK("https://www.wikidata.org/wiki/Q33369535", "Q33369535")</f>
        <v>0</v>
      </c>
      <c r="G566" t="s">
        <v>1058</v>
      </c>
      <c r="H566" t="s">
        <v>5804</v>
      </c>
      <c r="I566" t="s">
        <v>6200</v>
      </c>
      <c r="J566" t="s">
        <v>11795</v>
      </c>
      <c r="K566" t="s">
        <v>16196</v>
      </c>
      <c r="L566">
        <f>HYPERLINK("https://www2.assemblee-nationale.fr/sycomore/fiche/(num_dept)/6970", "6970")</f>
        <v>0</v>
      </c>
      <c r="N566">
        <f>HYPERLINK("https://www.wikidata.org/wiki/Q16026538", "Q16026538")</f>
        <v>0</v>
      </c>
      <c r="O566" t="s">
        <v>20020</v>
      </c>
      <c r="P566" t="s">
        <v>20405</v>
      </c>
      <c r="Q566" t="s">
        <v>20519</v>
      </c>
      <c r="R566" t="s">
        <v>409</v>
      </c>
      <c r="S566">
        <v>1484</v>
      </c>
    </row>
    <row r="567" spans="1:19">
      <c r="A567" t="s">
        <v>19</v>
      </c>
      <c r="B567" t="s">
        <v>148</v>
      </c>
      <c r="C567" t="s">
        <v>151</v>
      </c>
      <c r="D567" t="s">
        <v>280</v>
      </c>
      <c r="E567" t="s">
        <v>409</v>
      </c>
      <c r="F567">
        <f>HYPERLINK("https://www.wikidata.org/wiki/Q33369535", "Q33369535")</f>
        <v>0</v>
      </c>
      <c r="G567" t="s">
        <v>1059</v>
      </c>
      <c r="H567" t="s">
        <v>5805</v>
      </c>
      <c r="I567" t="s">
        <v>9587</v>
      </c>
      <c r="J567" t="s">
        <v>11796</v>
      </c>
      <c r="K567" t="s">
        <v>16197</v>
      </c>
      <c r="L567">
        <f>HYPERLINK("https://www2.assemblee-nationale.fr/sycomore/fiche/(num_dept)/7007", "7007")</f>
        <v>0</v>
      </c>
      <c r="N567">
        <f>HYPERLINK("https://www.wikidata.org/wiki/Q2844709", "Q2844709")</f>
        <v>0</v>
      </c>
      <c r="O567" t="s">
        <v>19976</v>
      </c>
      <c r="P567" t="s">
        <v>20405</v>
      </c>
      <c r="Q567" t="s">
        <v>20519</v>
      </c>
      <c r="R567" t="s">
        <v>409</v>
      </c>
      <c r="S567">
        <v>1484</v>
      </c>
    </row>
    <row r="568" spans="1:19">
      <c r="A568" t="s">
        <v>19</v>
      </c>
      <c r="B568" t="s">
        <v>148</v>
      </c>
      <c r="C568" t="s">
        <v>151</v>
      </c>
      <c r="D568" t="s">
        <v>280</v>
      </c>
      <c r="E568" t="s">
        <v>409</v>
      </c>
      <c r="F568">
        <f>HYPERLINK("https://www.wikidata.org/wiki/Q33369535", "Q33369535")</f>
        <v>0</v>
      </c>
      <c r="G568" t="s">
        <v>1060</v>
      </c>
      <c r="H568" t="s">
        <v>5806</v>
      </c>
      <c r="I568" t="s">
        <v>9646</v>
      </c>
      <c r="J568" t="s">
        <v>11797</v>
      </c>
      <c r="K568" t="s">
        <v>15936</v>
      </c>
      <c r="L568">
        <f>HYPERLINK("https://www2.assemblee-nationale.fr/sycomore/fiche/(num_dept)/7019", "7019")</f>
        <v>0</v>
      </c>
      <c r="N568">
        <f>HYPERLINK("https://www.wikidata.org/wiki/Q16026551", "Q16026551")</f>
        <v>0</v>
      </c>
      <c r="O568" t="s">
        <v>8449</v>
      </c>
      <c r="P568" t="s">
        <v>20402</v>
      </c>
      <c r="Q568" t="s">
        <v>20519</v>
      </c>
      <c r="R568" t="s">
        <v>409</v>
      </c>
      <c r="S568">
        <v>1484</v>
      </c>
    </row>
    <row r="569" spans="1:19">
      <c r="A569" t="s">
        <v>19</v>
      </c>
      <c r="B569" t="s">
        <v>148</v>
      </c>
      <c r="C569" t="s">
        <v>151</v>
      </c>
      <c r="D569" t="s">
        <v>280</v>
      </c>
      <c r="E569" t="s">
        <v>409</v>
      </c>
      <c r="F569">
        <f>HYPERLINK("https://www.wikidata.org/wiki/Q33369535", "Q33369535")</f>
        <v>0</v>
      </c>
      <c r="G569" t="s">
        <v>1061</v>
      </c>
      <c r="H569" t="s">
        <v>5807</v>
      </c>
      <c r="I569" t="s">
        <v>9647</v>
      </c>
      <c r="J569" t="s">
        <v>11798</v>
      </c>
      <c r="K569" t="s">
        <v>16198</v>
      </c>
      <c r="L569">
        <f>HYPERLINK("https://www2.assemblee-nationale.fr/sycomore/fiche/(num_dept)/7040", "7040")</f>
        <v>0</v>
      </c>
      <c r="N569">
        <f>HYPERLINK("https://www.wikidata.org/wiki/Q16026554", "Q16026554")</f>
        <v>0</v>
      </c>
      <c r="O569" t="s">
        <v>19999</v>
      </c>
      <c r="P569" t="s">
        <v>20404</v>
      </c>
      <c r="Q569" t="s">
        <v>20519</v>
      </c>
      <c r="R569" t="s">
        <v>409</v>
      </c>
      <c r="S569">
        <v>1484</v>
      </c>
    </row>
    <row r="570" spans="1:19">
      <c r="A570" t="s">
        <v>19</v>
      </c>
      <c r="B570" t="s">
        <v>148</v>
      </c>
      <c r="C570" t="s">
        <v>151</v>
      </c>
      <c r="D570" t="s">
        <v>280</v>
      </c>
      <c r="E570" t="s">
        <v>409</v>
      </c>
      <c r="F570">
        <f>HYPERLINK("https://www.wikidata.org/wiki/Q33369535", "Q33369535")</f>
        <v>0</v>
      </c>
      <c r="G570" t="s">
        <v>1062</v>
      </c>
      <c r="H570" t="s">
        <v>5808</v>
      </c>
      <c r="I570" t="s">
        <v>9648</v>
      </c>
      <c r="J570" t="s">
        <v>11799</v>
      </c>
      <c r="K570" t="s">
        <v>16199</v>
      </c>
      <c r="L570">
        <f>HYPERLINK("https://www2.assemblee-nationale.fr/sycomore/fiche/(num_dept)/7042", "7042")</f>
        <v>0</v>
      </c>
      <c r="N570">
        <f>HYPERLINK("https://www.wikidata.org/wiki/Q2025679", "Q2025679")</f>
        <v>0</v>
      </c>
      <c r="O570" t="s">
        <v>19969</v>
      </c>
      <c r="P570" t="s">
        <v>20404</v>
      </c>
      <c r="Q570" t="s">
        <v>20519</v>
      </c>
      <c r="R570" t="s">
        <v>409</v>
      </c>
      <c r="S570">
        <v>1484</v>
      </c>
    </row>
    <row r="571" spans="1:19">
      <c r="A571" t="s">
        <v>19</v>
      </c>
      <c r="B571" t="s">
        <v>148</v>
      </c>
      <c r="C571" t="s">
        <v>151</v>
      </c>
      <c r="D571" t="s">
        <v>280</v>
      </c>
      <c r="E571" t="s">
        <v>409</v>
      </c>
      <c r="F571">
        <f>HYPERLINK("https://www.wikidata.org/wiki/Q33369535", "Q33369535")</f>
        <v>0</v>
      </c>
      <c r="G571" t="s">
        <v>1063</v>
      </c>
      <c r="H571" t="s">
        <v>5809</v>
      </c>
      <c r="I571" t="s">
        <v>9649</v>
      </c>
      <c r="J571" t="s">
        <v>11800</v>
      </c>
      <c r="K571" t="s">
        <v>16200</v>
      </c>
      <c r="L571">
        <f>HYPERLINK("https://www2.assemblee-nationale.fr/sycomore/fiche/(num_dept)/7114", "7114")</f>
        <v>0</v>
      </c>
      <c r="N571">
        <f>HYPERLINK("https://www.wikidata.org/wiki/Q13080889", "Q13080889")</f>
        <v>0</v>
      </c>
      <c r="O571" t="s">
        <v>19969</v>
      </c>
      <c r="P571" t="s">
        <v>20403</v>
      </c>
      <c r="Q571" t="s">
        <v>20519</v>
      </c>
      <c r="R571" t="s">
        <v>409</v>
      </c>
      <c r="S571">
        <v>1484</v>
      </c>
    </row>
    <row r="572" spans="1:19">
      <c r="A572" t="s">
        <v>19</v>
      </c>
      <c r="B572" t="s">
        <v>148</v>
      </c>
      <c r="C572" t="s">
        <v>151</v>
      </c>
      <c r="D572" t="s">
        <v>280</v>
      </c>
      <c r="E572" t="s">
        <v>409</v>
      </c>
      <c r="F572">
        <f>HYPERLINK("https://www.wikidata.org/wiki/Q33369535", "Q33369535")</f>
        <v>0</v>
      </c>
      <c r="G572" t="s">
        <v>1064</v>
      </c>
      <c r="H572" t="s">
        <v>5810</v>
      </c>
      <c r="I572" t="s">
        <v>9650</v>
      </c>
      <c r="J572" t="s">
        <v>11801</v>
      </c>
      <c r="K572" t="s">
        <v>16201</v>
      </c>
      <c r="L572">
        <f>HYPERLINK("https://www2.assemblee-nationale.fr/sycomore/fiche/(num_dept)/7115", "7115")</f>
        <v>0</v>
      </c>
      <c r="M572">
        <f>HYPERLINK("https://www.senat.fr/senateur-3eme-republique/tournan_isidore0158r3.html", "tournan_isidore0158r3")</f>
        <v>0</v>
      </c>
      <c r="N572">
        <f>HYPERLINK("https://www.wikidata.org/wiki/Q3155332", "Q3155332")</f>
        <v>0</v>
      </c>
      <c r="O572" t="s">
        <v>20003</v>
      </c>
      <c r="P572" t="s">
        <v>20406</v>
      </c>
      <c r="Q572" t="s">
        <v>20519</v>
      </c>
      <c r="R572" t="s">
        <v>409</v>
      </c>
      <c r="S572">
        <v>1484</v>
      </c>
    </row>
    <row r="573" spans="1:19">
      <c r="A573" t="s">
        <v>19</v>
      </c>
      <c r="B573" t="s">
        <v>148</v>
      </c>
      <c r="C573" t="s">
        <v>151</v>
      </c>
      <c r="D573" t="s">
        <v>280</v>
      </c>
      <c r="E573" t="s">
        <v>409</v>
      </c>
      <c r="F573">
        <f>HYPERLINK("https://www.wikidata.org/wiki/Q33369535", "Q33369535")</f>
        <v>0</v>
      </c>
      <c r="G573" t="s">
        <v>1065</v>
      </c>
      <c r="H573" t="s">
        <v>5811</v>
      </c>
      <c r="I573" t="s">
        <v>9651</v>
      </c>
      <c r="J573" t="s">
        <v>11802</v>
      </c>
      <c r="K573" t="s">
        <v>16202</v>
      </c>
      <c r="L573">
        <f>HYPERLINK("https://www2.assemblee-nationale.fr/sycomore/fiche/(num_dept)/7125", "7125")</f>
        <v>0</v>
      </c>
      <c r="M573">
        <f>HYPERLINK("https://www.senat.fr/senateur-3eme-republique/toy_riont_maurice0081r3.html", "toy_riont_maurice0081r3")</f>
        <v>0</v>
      </c>
      <c r="N573">
        <f>HYPERLINK("https://www.wikidata.org/wiki/Q3301463", "Q3301463")</f>
        <v>0</v>
      </c>
      <c r="O573" t="s">
        <v>19981</v>
      </c>
      <c r="P573" t="s">
        <v>20403</v>
      </c>
      <c r="Q573" t="s">
        <v>20519</v>
      </c>
      <c r="R573" t="s">
        <v>409</v>
      </c>
      <c r="S573">
        <v>1484</v>
      </c>
    </row>
    <row r="574" spans="1:19">
      <c r="A574" t="s">
        <v>19</v>
      </c>
      <c r="B574" t="s">
        <v>148</v>
      </c>
      <c r="C574" t="s">
        <v>151</v>
      </c>
      <c r="D574" t="s">
        <v>280</v>
      </c>
      <c r="E574" t="s">
        <v>409</v>
      </c>
      <c r="F574">
        <f>HYPERLINK("https://www.wikidata.org/wiki/Q33369535", "Q33369535")</f>
        <v>0</v>
      </c>
      <c r="G574" t="s">
        <v>1066</v>
      </c>
      <c r="H574" t="s">
        <v>5812</v>
      </c>
      <c r="I574" t="s">
        <v>9652</v>
      </c>
      <c r="J574" t="s">
        <v>11803</v>
      </c>
      <c r="K574" t="s">
        <v>16203</v>
      </c>
      <c r="L574">
        <f>HYPERLINK("https://www2.assemblee-nationale.fr/sycomore/fiche/(num_dept)/7333", "7333")</f>
        <v>0</v>
      </c>
      <c r="M574">
        <f>HYPERLINK("https://www.senat.fr/senateur-3eme-republique/vincent_emile0534r3.html", "vincent_emile0534r3")</f>
        <v>0</v>
      </c>
      <c r="N574">
        <f>HYPERLINK("https://www.wikidata.org/wiki/Q3588785", "Q3588785")</f>
        <v>0</v>
      </c>
      <c r="O574" t="s">
        <v>20002</v>
      </c>
      <c r="P574" t="s">
        <v>20405</v>
      </c>
      <c r="Q574" t="s">
        <v>20519</v>
      </c>
      <c r="R574" t="s">
        <v>409</v>
      </c>
      <c r="S574">
        <v>1484</v>
      </c>
    </row>
    <row r="575" spans="1:19">
      <c r="A575" t="s">
        <v>19</v>
      </c>
      <c r="B575" t="s">
        <v>148</v>
      </c>
      <c r="C575" t="s">
        <v>151</v>
      </c>
      <c r="D575" t="s">
        <v>280</v>
      </c>
      <c r="E575" t="s">
        <v>409</v>
      </c>
      <c r="F575">
        <f>HYPERLINK("https://www.wikidata.org/wiki/Q33369535", "Q33369535")</f>
        <v>0</v>
      </c>
      <c r="G575" t="s">
        <v>1067</v>
      </c>
      <c r="H575" t="s">
        <v>5812</v>
      </c>
      <c r="I575" t="s">
        <v>9488</v>
      </c>
      <c r="J575" t="s">
        <v>11804</v>
      </c>
      <c r="K575" t="s">
        <v>16204</v>
      </c>
      <c r="L575">
        <f>HYPERLINK("https://www2.assemblee-nationale.fr/sycomore/fiche/(num_dept)/7361", "7361")</f>
        <v>0</v>
      </c>
      <c r="M575">
        <f>HYPERLINK("https://www.senat.fr/senateur-3eme-republique/daniel_vincent_charles1382r3.html", "daniel_vincent_charles1382r3")</f>
        <v>0</v>
      </c>
      <c r="N575">
        <f>HYPERLINK("https://www.wikidata.org/wiki/Q3014792", "Q3014792")</f>
        <v>0</v>
      </c>
      <c r="O575" t="s">
        <v>20013</v>
      </c>
      <c r="P575" t="s">
        <v>20405</v>
      </c>
      <c r="Q575" t="s">
        <v>20519</v>
      </c>
      <c r="R575" t="s">
        <v>409</v>
      </c>
      <c r="S575">
        <v>1484</v>
      </c>
    </row>
    <row r="576" spans="1:19">
      <c r="A576" t="s">
        <v>19</v>
      </c>
      <c r="B576" t="s">
        <v>148</v>
      </c>
      <c r="C576" t="s">
        <v>151</v>
      </c>
      <c r="D576" t="s">
        <v>280</v>
      </c>
      <c r="E576" t="s">
        <v>409</v>
      </c>
      <c r="F576">
        <f>HYPERLINK("https://www.wikidata.org/wiki/Q33369535", "Q33369535")</f>
        <v>0</v>
      </c>
      <c r="G576" t="s">
        <v>1068</v>
      </c>
      <c r="H576" t="s">
        <v>5813</v>
      </c>
      <c r="I576" t="s">
        <v>6860</v>
      </c>
      <c r="J576" t="s">
        <v>11805</v>
      </c>
      <c r="K576" t="s">
        <v>16205</v>
      </c>
      <c r="L576">
        <f>HYPERLINK("https://www2.assemblee-nationale.fr/sycomore/fiche/(num_dept)/7367", "7367")</f>
        <v>0</v>
      </c>
      <c r="N576">
        <f>HYPERLINK("https://www.wikidata.org/wiki/Q16026621", "Q16026621")</f>
        <v>0</v>
      </c>
      <c r="O576" t="s">
        <v>20037</v>
      </c>
      <c r="P576" t="s">
        <v>20401</v>
      </c>
      <c r="Q576" t="s">
        <v>20519</v>
      </c>
      <c r="R576" t="s">
        <v>409</v>
      </c>
      <c r="S576">
        <v>1484</v>
      </c>
    </row>
    <row r="577" spans="1:19">
      <c r="A577" t="s">
        <v>19</v>
      </c>
      <c r="B577" t="s">
        <v>148</v>
      </c>
      <c r="C577" t="s">
        <v>151</v>
      </c>
      <c r="D577" t="s">
        <v>280</v>
      </c>
      <c r="E577" t="s">
        <v>409</v>
      </c>
      <c r="F577">
        <f>HYPERLINK("https://www.wikidata.org/wiki/Q33369535", "Q33369535")</f>
        <v>0</v>
      </c>
      <c r="G577" t="s">
        <v>1069</v>
      </c>
      <c r="H577" t="s">
        <v>5814</v>
      </c>
      <c r="I577" t="s">
        <v>9653</v>
      </c>
      <c r="J577" t="s">
        <v>11795</v>
      </c>
      <c r="K577" t="s">
        <v>16206</v>
      </c>
      <c r="L577">
        <f>HYPERLINK("https://www2.assemblee-nationale.fr/sycomore/fiche/(num_dept)/7371", "7371")</f>
        <v>0</v>
      </c>
      <c r="N577">
        <f>HYPERLINK("https://www.wikidata.org/wiki/Q16026582", "Q16026582")</f>
        <v>0</v>
      </c>
      <c r="O577" t="s">
        <v>20013</v>
      </c>
      <c r="P577" t="s">
        <v>20403</v>
      </c>
      <c r="Q577" t="s">
        <v>20519</v>
      </c>
      <c r="R577" t="s">
        <v>409</v>
      </c>
      <c r="S577">
        <v>1484</v>
      </c>
    </row>
    <row r="578" spans="1:19">
      <c r="A578" t="s">
        <v>19</v>
      </c>
      <c r="B578" t="s">
        <v>148</v>
      </c>
      <c r="C578" t="s">
        <v>151</v>
      </c>
      <c r="D578" t="s">
        <v>280</v>
      </c>
      <c r="E578" t="s">
        <v>409</v>
      </c>
      <c r="F578">
        <f>HYPERLINK("https://www.wikidata.org/wiki/Q33369535", "Q33369535")</f>
        <v>0</v>
      </c>
      <c r="G578" t="s">
        <v>1070</v>
      </c>
      <c r="H578" t="s">
        <v>5815</v>
      </c>
      <c r="I578" t="s">
        <v>6584</v>
      </c>
      <c r="J578" t="s">
        <v>11806</v>
      </c>
      <c r="K578" t="s">
        <v>16207</v>
      </c>
      <c r="L578">
        <f>HYPERLINK("https://www2.assemblee-nationale.fr/sycomore/fiche/(num_dept)/7390", "7390")</f>
        <v>0</v>
      </c>
      <c r="N578">
        <f>HYPERLINK("https://www.wikidata.org/wiki/Q13080029", "Q13080029")</f>
        <v>0</v>
      </c>
      <c r="O578" t="s">
        <v>19969</v>
      </c>
      <c r="P578" t="s">
        <v>20404</v>
      </c>
      <c r="Q578" t="s">
        <v>20519</v>
      </c>
      <c r="R578" t="s">
        <v>409</v>
      </c>
      <c r="S578">
        <v>1484</v>
      </c>
    </row>
    <row r="579" spans="1:19">
      <c r="A579" t="s">
        <v>19</v>
      </c>
      <c r="B579" t="s">
        <v>148</v>
      </c>
      <c r="C579" t="s">
        <v>151</v>
      </c>
      <c r="D579" t="s">
        <v>280</v>
      </c>
      <c r="E579" t="s">
        <v>409</v>
      </c>
      <c r="F579">
        <f>HYPERLINK("https://www.wikidata.org/wiki/Q33369535", "Q33369535")</f>
        <v>0</v>
      </c>
      <c r="G579" t="s">
        <v>1071</v>
      </c>
      <c r="H579" t="s">
        <v>5816</v>
      </c>
      <c r="I579" t="s">
        <v>9445</v>
      </c>
      <c r="J579" t="s">
        <v>11807</v>
      </c>
      <c r="K579" t="s">
        <v>16208</v>
      </c>
      <c r="L579">
        <f>HYPERLINK("https://www2.assemblee-nationale.fr/sycomore/fiche/(num_dept)/7391", "7391")</f>
        <v>0</v>
      </c>
      <c r="N579">
        <f>HYPERLINK("https://www.wikidata.org/wiki/Q13078835", "Q13078835")</f>
        <v>0</v>
      </c>
      <c r="O579" t="s">
        <v>19969</v>
      </c>
      <c r="P579" t="s">
        <v>20404</v>
      </c>
      <c r="Q579" t="s">
        <v>20519</v>
      </c>
      <c r="R579" t="s">
        <v>409</v>
      </c>
      <c r="S579">
        <v>1484</v>
      </c>
    </row>
    <row r="580" spans="1:19">
      <c r="A580" t="s">
        <v>19</v>
      </c>
      <c r="B580" t="s">
        <v>148</v>
      </c>
      <c r="C580" t="s">
        <v>151</v>
      </c>
      <c r="D580" t="s">
        <v>280</v>
      </c>
      <c r="E580" t="s">
        <v>409</v>
      </c>
      <c r="F580">
        <f>HYPERLINK("https://www.wikidata.org/wiki/Q33369535", "Q33369535")</f>
        <v>0</v>
      </c>
      <c r="G580" t="s">
        <v>1072</v>
      </c>
      <c r="H580" t="s">
        <v>5817</v>
      </c>
      <c r="I580" t="s">
        <v>9654</v>
      </c>
      <c r="J580" t="s">
        <v>11808</v>
      </c>
      <c r="K580" t="s">
        <v>16209</v>
      </c>
      <c r="L580">
        <f>HYPERLINK("https://www2.assemblee-nationale.fr/sycomore/fiche/(num_dept)/7419", "7419")</f>
        <v>0</v>
      </c>
      <c r="N580">
        <f>HYPERLINK("https://www.wikidata.org/wiki/Q2831619", "Q2831619")</f>
        <v>0</v>
      </c>
      <c r="O580" t="s">
        <v>19958</v>
      </c>
      <c r="P580" t="s">
        <v>20405</v>
      </c>
      <c r="Q580" t="s">
        <v>20519</v>
      </c>
      <c r="R580" t="s">
        <v>409</v>
      </c>
      <c r="S580">
        <v>1484</v>
      </c>
    </row>
    <row r="581" spans="1:19">
      <c r="A581" t="s">
        <v>19</v>
      </c>
      <c r="B581" t="s">
        <v>148</v>
      </c>
      <c r="C581" t="s">
        <v>151</v>
      </c>
      <c r="D581" t="s">
        <v>280</v>
      </c>
      <c r="E581" t="s">
        <v>409</v>
      </c>
      <c r="F581">
        <f>HYPERLINK("https://www.wikidata.org/wiki/Q33369535", "Q33369535")</f>
        <v>0</v>
      </c>
      <c r="G581" t="s">
        <v>1073</v>
      </c>
      <c r="H581" t="s">
        <v>5818</v>
      </c>
      <c r="I581" t="s">
        <v>9602</v>
      </c>
      <c r="J581" t="s">
        <v>11809</v>
      </c>
      <c r="K581" t="s">
        <v>16210</v>
      </c>
      <c r="L581">
        <f>HYPERLINK("https://www2.assemblee-nationale.fr/sycomore/fiche/(num_dept)/7424", "7424")</f>
        <v>0</v>
      </c>
      <c r="N581">
        <f>HYPERLINK("https://www.wikidata.org/wiki/Q16026594", "Q16026594")</f>
        <v>0</v>
      </c>
      <c r="O581" t="s">
        <v>19976</v>
      </c>
      <c r="P581" t="s">
        <v>20405</v>
      </c>
      <c r="Q581" t="s">
        <v>20519</v>
      </c>
      <c r="R581" t="s">
        <v>409</v>
      </c>
      <c r="S581">
        <v>1484</v>
      </c>
    </row>
    <row r="582" spans="1:19">
      <c r="A582" t="s">
        <v>19</v>
      </c>
      <c r="B582" t="s">
        <v>148</v>
      </c>
      <c r="C582" t="s">
        <v>151</v>
      </c>
      <c r="D582" t="s">
        <v>280</v>
      </c>
      <c r="E582" t="s">
        <v>409</v>
      </c>
      <c r="F582">
        <f>HYPERLINK("https://www.wikidata.org/wiki/Q33369535", "Q33369535")</f>
        <v>0</v>
      </c>
      <c r="G582" t="s">
        <v>1074</v>
      </c>
      <c r="H582" t="s">
        <v>5819</v>
      </c>
      <c r="I582" t="s">
        <v>9474</v>
      </c>
      <c r="J582" t="s">
        <v>11810</v>
      </c>
      <c r="K582" t="s">
        <v>16211</v>
      </c>
      <c r="L582">
        <f>HYPERLINK("https://www2.assemblee-nationale.fr/sycomore/fiche/(num_dept)/7521", "7521")</f>
        <v>0</v>
      </c>
      <c r="N582">
        <f>HYPERLINK("https://www.wikidata.org/wiki/Q13080908", "Q13080908")</f>
        <v>0</v>
      </c>
      <c r="O582" t="s">
        <v>19969</v>
      </c>
      <c r="P582" t="s">
        <v>20404</v>
      </c>
      <c r="Q582" t="s">
        <v>20519</v>
      </c>
      <c r="R582" t="s">
        <v>409</v>
      </c>
      <c r="S582">
        <v>1484</v>
      </c>
    </row>
    <row r="583" spans="1:19">
      <c r="A583" t="s">
        <v>19</v>
      </c>
      <c r="B583" t="s">
        <v>148</v>
      </c>
      <c r="C583" t="s">
        <v>151</v>
      </c>
      <c r="D583" t="s">
        <v>280</v>
      </c>
      <c r="E583" t="s">
        <v>409</v>
      </c>
      <c r="F583">
        <f>HYPERLINK("https://www.wikidata.org/wiki/Q33369535", "Q33369535")</f>
        <v>0</v>
      </c>
      <c r="G583" t="s">
        <v>1075</v>
      </c>
      <c r="H583" t="s">
        <v>5781</v>
      </c>
      <c r="I583" t="s">
        <v>9655</v>
      </c>
      <c r="J583" t="s">
        <v>11811</v>
      </c>
      <c r="K583" t="s">
        <v>16212</v>
      </c>
      <c r="L583">
        <f>HYPERLINK("https://www2.assemblee-nationale.fr/sycomore/fiche/(num_dept)/7618", "7618")</f>
        <v>0</v>
      </c>
      <c r="N583">
        <f>HYPERLINK("https://www.wikidata.org/wiki/Q16025962", "Q16025962")</f>
        <v>0</v>
      </c>
      <c r="O583" t="s">
        <v>20013</v>
      </c>
      <c r="P583" t="s">
        <v>20405</v>
      </c>
      <c r="Q583" t="s">
        <v>20519</v>
      </c>
      <c r="R583" t="s">
        <v>409</v>
      </c>
      <c r="S583">
        <v>1484</v>
      </c>
    </row>
    <row r="584" spans="1:19">
      <c r="A584" t="s">
        <v>19</v>
      </c>
      <c r="B584" t="s">
        <v>148</v>
      </c>
      <c r="C584" t="s">
        <v>151</v>
      </c>
      <c r="D584" t="s">
        <v>280</v>
      </c>
      <c r="E584" t="s">
        <v>409</v>
      </c>
      <c r="F584">
        <f>HYPERLINK("https://www.wikidata.org/wiki/Q33369535", "Q33369535")</f>
        <v>0</v>
      </c>
      <c r="G584" t="s">
        <v>1076</v>
      </c>
      <c r="H584" t="s">
        <v>5820</v>
      </c>
      <c r="I584" t="s">
        <v>9602</v>
      </c>
      <c r="J584" t="s">
        <v>11812</v>
      </c>
      <c r="K584" t="s">
        <v>16213</v>
      </c>
      <c r="L584">
        <f>HYPERLINK("https://www2.assemblee-nationale.fr/sycomore/fiche/(num_dept)/7691", "7691")</f>
        <v>0</v>
      </c>
      <c r="M584">
        <f>HYPERLINK("https://www.senat.fr/senateur-3eme-republique/lefebvre_du_prey_edmond0976r3.html", "lefebvre_du_prey_edmond0976r3")</f>
        <v>0</v>
      </c>
      <c r="N584">
        <f>HYPERLINK("https://www.wikidata.org/wiki/Q1285694", "Q1285694")</f>
        <v>0</v>
      </c>
      <c r="O584" t="s">
        <v>19968</v>
      </c>
      <c r="P584" t="s">
        <v>20403</v>
      </c>
      <c r="Q584" t="s">
        <v>20519</v>
      </c>
      <c r="R584" t="s">
        <v>409</v>
      </c>
      <c r="S584">
        <v>1484</v>
      </c>
    </row>
    <row r="585" spans="1:19">
      <c r="A585" t="s">
        <v>19</v>
      </c>
      <c r="B585" t="s">
        <v>148</v>
      </c>
      <c r="C585" t="s">
        <v>151</v>
      </c>
      <c r="D585" t="s">
        <v>280</v>
      </c>
      <c r="E585" t="s">
        <v>409</v>
      </c>
      <c r="F585">
        <f>HYPERLINK("https://www.wikidata.org/wiki/Q33369535", "Q33369535")</f>
        <v>0</v>
      </c>
      <c r="G585" t="s">
        <v>1077</v>
      </c>
      <c r="H585" t="s">
        <v>5821</v>
      </c>
      <c r="I585" t="s">
        <v>6860</v>
      </c>
      <c r="J585" t="s">
        <v>11813</v>
      </c>
      <c r="K585" t="s">
        <v>16214</v>
      </c>
      <c r="L585">
        <f>HYPERLINK("https://www2.assemblee-nationale.fr/sycomore/fiche/(num_dept)/7700", "7700")</f>
        <v>0</v>
      </c>
      <c r="N585">
        <f>HYPERLINK("https://www.wikidata.org/wiki/Q16025976", "Q16025976")</f>
        <v>0</v>
      </c>
      <c r="O585" t="s">
        <v>20002</v>
      </c>
      <c r="P585" t="s">
        <v>20406</v>
      </c>
      <c r="Q585" t="s">
        <v>20519</v>
      </c>
      <c r="R585" t="s">
        <v>409</v>
      </c>
      <c r="S585">
        <v>1484</v>
      </c>
    </row>
    <row r="586" spans="1:19">
      <c r="A586" t="s">
        <v>19</v>
      </c>
      <c r="B586" t="s">
        <v>148</v>
      </c>
      <c r="C586" t="s">
        <v>151</v>
      </c>
      <c r="D586" t="s">
        <v>280</v>
      </c>
      <c r="E586" t="s">
        <v>409</v>
      </c>
      <c r="F586">
        <f>HYPERLINK("https://www.wikidata.org/wiki/Q33369535", "Q33369535")</f>
        <v>0</v>
      </c>
      <c r="G586" t="s">
        <v>1078</v>
      </c>
      <c r="H586" t="s">
        <v>5822</v>
      </c>
      <c r="I586" t="s">
        <v>9449</v>
      </c>
      <c r="J586" t="s">
        <v>11814</v>
      </c>
      <c r="K586" t="s">
        <v>16215</v>
      </c>
      <c r="L586">
        <f>HYPERLINK("https://www2.assemblee-nationale.fr/sycomore/fiche/(num_dept)/7752", "7752")</f>
        <v>0</v>
      </c>
      <c r="N586">
        <f>HYPERLINK("https://www.wikidata.org/wiki/Q3085048", "Q3085048")</f>
        <v>0</v>
      </c>
      <c r="O586" t="s">
        <v>20013</v>
      </c>
      <c r="P586" t="s">
        <v>20407</v>
      </c>
      <c r="Q586" t="s">
        <v>20519</v>
      </c>
      <c r="R586" t="s">
        <v>409</v>
      </c>
      <c r="S586">
        <v>1484</v>
      </c>
    </row>
    <row r="587" spans="1:19">
      <c r="A587" t="s">
        <v>19</v>
      </c>
      <c r="B587" t="s">
        <v>148</v>
      </c>
      <c r="C587" t="s">
        <v>151</v>
      </c>
      <c r="D587" t="s">
        <v>280</v>
      </c>
      <c r="E587" t="s">
        <v>409</v>
      </c>
      <c r="F587">
        <f>HYPERLINK("https://www.wikidata.org/wiki/Q33369535", "Q33369535")</f>
        <v>0</v>
      </c>
      <c r="G587" t="s">
        <v>1079</v>
      </c>
      <c r="H587" t="s">
        <v>5823</v>
      </c>
      <c r="I587" t="s">
        <v>9506</v>
      </c>
      <c r="J587" t="s">
        <v>11815</v>
      </c>
      <c r="K587" t="s">
        <v>16216</v>
      </c>
      <c r="L587">
        <f>HYPERLINK("https://www2.assemblee-nationale.fr/sycomore/fiche/(num_dept)/7762", "7762")</f>
        <v>0</v>
      </c>
      <c r="N587">
        <f>HYPERLINK("https://www.wikidata.org/wiki/Q2934989", "Q2934989")</f>
        <v>0</v>
      </c>
      <c r="O587" t="s">
        <v>20025</v>
      </c>
      <c r="P587" t="s">
        <v>20406</v>
      </c>
      <c r="Q587" t="s">
        <v>20519</v>
      </c>
      <c r="R587" t="s">
        <v>409</v>
      </c>
      <c r="S587">
        <v>1484</v>
      </c>
    </row>
    <row r="588" spans="1:19">
      <c r="A588" t="s">
        <v>19</v>
      </c>
      <c r="B588" t="s">
        <v>148</v>
      </c>
      <c r="C588" t="s">
        <v>151</v>
      </c>
      <c r="D588" t="s">
        <v>280</v>
      </c>
      <c r="E588" t="s">
        <v>409</v>
      </c>
      <c r="F588">
        <f>HYPERLINK("https://www.wikidata.org/wiki/Q33369535", "Q33369535")</f>
        <v>0</v>
      </c>
      <c r="G588" t="s">
        <v>1080</v>
      </c>
      <c r="H588" t="s">
        <v>5824</v>
      </c>
      <c r="I588" t="s">
        <v>6860</v>
      </c>
      <c r="J588" t="s">
        <v>11816</v>
      </c>
      <c r="K588" t="s">
        <v>16217</v>
      </c>
      <c r="L588">
        <f>HYPERLINK("https://www2.assemblee-nationale.fr/sycomore/fiche/(num_dept)/7805", "7805")</f>
        <v>0</v>
      </c>
      <c r="N588">
        <f>HYPERLINK("https://www.wikidata.org/wiki/Q3385946", "Q3385946")</f>
        <v>0</v>
      </c>
      <c r="O588" t="s">
        <v>7411</v>
      </c>
      <c r="P588" t="s">
        <v>20403</v>
      </c>
      <c r="Q588" t="s">
        <v>20519</v>
      </c>
      <c r="R588" t="s">
        <v>409</v>
      </c>
      <c r="S588">
        <v>1484</v>
      </c>
    </row>
    <row r="589" spans="1:19">
      <c r="A589" t="s">
        <v>19</v>
      </c>
      <c r="B589" t="s">
        <v>148</v>
      </c>
      <c r="C589" t="s">
        <v>151</v>
      </c>
      <c r="D589" t="s">
        <v>280</v>
      </c>
      <c r="E589" t="s">
        <v>409</v>
      </c>
      <c r="F589">
        <f>HYPERLINK("https://www.wikidata.org/wiki/Q33369535", "Q33369535")</f>
        <v>0</v>
      </c>
      <c r="G589" t="s">
        <v>1081</v>
      </c>
      <c r="H589" t="s">
        <v>5825</v>
      </c>
      <c r="I589" t="s">
        <v>9407</v>
      </c>
      <c r="J589" t="s">
        <v>11817</v>
      </c>
      <c r="K589" t="s">
        <v>16218</v>
      </c>
      <c r="L589">
        <f>HYPERLINK("https://www2.assemblee-nationale.fr/sycomore/fiche/(num_dept)/7844", "7844")</f>
        <v>0</v>
      </c>
      <c r="N589">
        <f>HYPERLINK("https://www.wikidata.org/wiki/Q16025999", "Q16025999")</f>
        <v>0</v>
      </c>
      <c r="O589" t="s">
        <v>20026</v>
      </c>
      <c r="P589" t="s">
        <v>20404</v>
      </c>
      <c r="Q589" t="s">
        <v>20519</v>
      </c>
      <c r="R589" t="s">
        <v>409</v>
      </c>
      <c r="S589">
        <v>1484</v>
      </c>
    </row>
    <row r="590" spans="1:19">
      <c r="A590" t="s">
        <v>19</v>
      </c>
      <c r="B590" t="s">
        <v>148</v>
      </c>
      <c r="C590" t="s">
        <v>151</v>
      </c>
      <c r="D590" t="s">
        <v>280</v>
      </c>
      <c r="E590" t="s">
        <v>409</v>
      </c>
      <c r="F590">
        <f>HYPERLINK("https://www.wikidata.org/wiki/Q33369535", "Q33369535")</f>
        <v>0</v>
      </c>
      <c r="G590" t="s">
        <v>1082</v>
      </c>
      <c r="H590" t="s">
        <v>5826</v>
      </c>
      <c r="I590" t="s">
        <v>7642</v>
      </c>
      <c r="J590" t="s">
        <v>11818</v>
      </c>
      <c r="K590" t="s">
        <v>16219</v>
      </c>
      <c r="L590">
        <f>HYPERLINK("https://www2.assemblee-nationale.fr/sycomore/fiche/(num_dept)/7884", "7884")</f>
        <v>0</v>
      </c>
      <c r="N590">
        <f>HYPERLINK("https://www.wikidata.org/wiki/Q692029", "Q692029")</f>
        <v>0</v>
      </c>
      <c r="O590" t="s">
        <v>20044</v>
      </c>
      <c r="P590" t="s">
        <v>20405</v>
      </c>
      <c r="Q590" t="s">
        <v>20519</v>
      </c>
      <c r="R590" t="s">
        <v>409</v>
      </c>
      <c r="S590">
        <v>1484</v>
      </c>
    </row>
    <row r="591" spans="1:19">
      <c r="A591" t="s">
        <v>19</v>
      </c>
      <c r="B591" t="s">
        <v>148</v>
      </c>
      <c r="C591" t="s">
        <v>151</v>
      </c>
      <c r="D591" t="s">
        <v>280</v>
      </c>
      <c r="E591" t="s">
        <v>409</v>
      </c>
      <c r="F591">
        <f>HYPERLINK("https://www.wikidata.org/wiki/Q33369535", "Q33369535")</f>
        <v>0</v>
      </c>
      <c r="G591" t="s">
        <v>1083</v>
      </c>
      <c r="H591" t="s">
        <v>5650</v>
      </c>
      <c r="I591" t="s">
        <v>6495</v>
      </c>
      <c r="J591" t="s">
        <v>11819</v>
      </c>
      <c r="K591" t="s">
        <v>16220</v>
      </c>
      <c r="L591">
        <f>HYPERLINK("https://www2.assemblee-nationale.fr/sycomore/fiche/(num_dept)/9620", "9620")</f>
        <v>0</v>
      </c>
      <c r="N591">
        <f>HYPERLINK("https://www.wikidata.org/wiki/Q3261372", "Q3261372")</f>
        <v>0</v>
      </c>
      <c r="O591" t="s">
        <v>19969</v>
      </c>
      <c r="P591" t="s">
        <v>20405</v>
      </c>
      <c r="Q591" t="s">
        <v>20519</v>
      </c>
      <c r="R591" t="s">
        <v>409</v>
      </c>
      <c r="S591">
        <v>1484</v>
      </c>
    </row>
    <row r="592" spans="1:19">
      <c r="A592" t="s">
        <v>19</v>
      </c>
      <c r="B592" t="s">
        <v>148</v>
      </c>
      <c r="C592" t="s">
        <v>151</v>
      </c>
      <c r="D592" t="s">
        <v>280</v>
      </c>
      <c r="E592" t="s">
        <v>409</v>
      </c>
      <c r="F592">
        <f>HYPERLINK("https://www.wikidata.org/wiki/Q33369535", "Q33369535")</f>
        <v>0</v>
      </c>
      <c r="G592" t="s">
        <v>1084</v>
      </c>
      <c r="H592" t="s">
        <v>5827</v>
      </c>
      <c r="I592" t="s">
        <v>7419</v>
      </c>
      <c r="J592" t="s">
        <v>11820</v>
      </c>
      <c r="K592" t="s">
        <v>16221</v>
      </c>
      <c r="L592">
        <f>HYPERLINK("https://www2.assemblee-nationale.fr/sycomore/fiche/(num_dept)/4090", "4090")</f>
        <v>0</v>
      </c>
      <c r="M592">
        <f>HYPERLINK("https://www.senat.fr/senateur-3eme-republique/de_juigne_jacques1286r3.html", "de_juigne_jacques1286r3")</f>
        <v>0</v>
      </c>
      <c r="N592">
        <f>HYPERLINK("https://www.wikidata.org/wiki/Q3158160", "Q3158160")</f>
        <v>0</v>
      </c>
      <c r="O592" t="s">
        <v>20023</v>
      </c>
      <c r="P592" t="s">
        <v>20408</v>
      </c>
      <c r="Q592" t="s">
        <v>20520</v>
      </c>
      <c r="R592" t="s">
        <v>409</v>
      </c>
      <c r="S592">
        <v>1468</v>
      </c>
    </row>
    <row r="593" spans="1:19">
      <c r="A593" t="s">
        <v>19</v>
      </c>
      <c r="B593" t="s">
        <v>148</v>
      </c>
      <c r="C593" t="s">
        <v>151</v>
      </c>
      <c r="D593" t="s">
        <v>280</v>
      </c>
      <c r="E593" t="s">
        <v>409</v>
      </c>
      <c r="F593">
        <f>HYPERLINK("https://www.wikidata.org/wiki/Q33369535", "Q33369535")</f>
        <v>0</v>
      </c>
      <c r="G593" t="s">
        <v>1085</v>
      </c>
      <c r="H593" t="s">
        <v>5828</v>
      </c>
      <c r="I593" t="s">
        <v>9656</v>
      </c>
      <c r="J593" t="s">
        <v>11821</v>
      </c>
      <c r="K593" t="s">
        <v>16222</v>
      </c>
      <c r="L593">
        <f>HYPERLINK("https://www2.assemblee-nationale.fr/sycomore/fiche/(num_dept)/172", "172")</f>
        <v>0</v>
      </c>
      <c r="N593">
        <f>HYPERLINK("https://www.wikidata.org/wiki/Q2899755", "Q2899755")</f>
        <v>0</v>
      </c>
      <c r="O593" t="s">
        <v>19969</v>
      </c>
      <c r="P593" t="s">
        <v>20403</v>
      </c>
      <c r="Q593" t="s">
        <v>20521</v>
      </c>
      <c r="R593" t="s">
        <v>409</v>
      </c>
      <c r="S593">
        <v>1414</v>
      </c>
    </row>
    <row r="594" spans="1:19">
      <c r="A594" t="s">
        <v>19</v>
      </c>
      <c r="B594" t="s">
        <v>148</v>
      </c>
      <c r="C594" t="s">
        <v>151</v>
      </c>
      <c r="D594" t="s">
        <v>280</v>
      </c>
      <c r="E594" t="s">
        <v>409</v>
      </c>
      <c r="F594">
        <f>HYPERLINK("https://www.wikidata.org/wiki/Q33369535", "Q33369535")</f>
        <v>0</v>
      </c>
      <c r="G594" t="s">
        <v>1086</v>
      </c>
      <c r="H594" t="s">
        <v>5829</v>
      </c>
      <c r="I594" t="s">
        <v>7419</v>
      </c>
      <c r="J594" t="s">
        <v>11822</v>
      </c>
      <c r="K594" t="s">
        <v>16223</v>
      </c>
      <c r="L594">
        <f>HYPERLINK("https://www2.assemblee-nationale.fr/sycomore/fiche/(num_dept)/5354", "5354")</f>
        <v>0</v>
      </c>
      <c r="N594">
        <f>HYPERLINK("https://www.wikidata.org/wiki/Q3157853", "Q3157853")</f>
        <v>0</v>
      </c>
      <c r="O594" t="s">
        <v>19980</v>
      </c>
      <c r="P594" t="s">
        <v>20403</v>
      </c>
      <c r="Q594" t="s">
        <v>20522</v>
      </c>
      <c r="R594" t="s">
        <v>409</v>
      </c>
      <c r="S594">
        <v>1393</v>
      </c>
    </row>
    <row r="595" spans="1:19">
      <c r="A595" t="s">
        <v>19</v>
      </c>
      <c r="B595" t="s">
        <v>148</v>
      </c>
      <c r="C595" t="s">
        <v>151</v>
      </c>
      <c r="D595" t="s">
        <v>280</v>
      </c>
      <c r="E595" t="s">
        <v>409</v>
      </c>
      <c r="F595">
        <f>HYPERLINK("https://www.wikidata.org/wiki/Q33369535", "Q33369535")</f>
        <v>0</v>
      </c>
      <c r="G595" t="s">
        <v>1087</v>
      </c>
      <c r="H595" t="s">
        <v>5830</v>
      </c>
      <c r="I595" t="s">
        <v>9657</v>
      </c>
      <c r="J595" t="s">
        <v>11823</v>
      </c>
      <c r="K595" t="s">
        <v>16224</v>
      </c>
      <c r="L595">
        <f>HYPERLINK("https://www2.assemblee-nationale.fr/sycomore/fiche/(num_dept)/6988", "6988")</f>
        <v>0</v>
      </c>
      <c r="N595">
        <f>HYPERLINK("https://www.wikidata.org/wiki/Q16026546", "Q16026546")</f>
        <v>0</v>
      </c>
      <c r="O595" t="s">
        <v>20012</v>
      </c>
      <c r="P595" t="s">
        <v>20405</v>
      </c>
      <c r="Q595" t="s">
        <v>20523</v>
      </c>
      <c r="R595" t="s">
        <v>409</v>
      </c>
      <c r="S595">
        <v>1372</v>
      </c>
    </row>
    <row r="596" spans="1:19">
      <c r="A596" t="s">
        <v>19</v>
      </c>
      <c r="B596" t="s">
        <v>148</v>
      </c>
      <c r="C596" t="s">
        <v>151</v>
      </c>
      <c r="D596" t="s">
        <v>280</v>
      </c>
      <c r="E596" t="s">
        <v>409</v>
      </c>
      <c r="F596">
        <f>HYPERLINK("https://www.wikidata.org/wiki/Q33369535", "Q33369535")</f>
        <v>0</v>
      </c>
      <c r="G596" t="s">
        <v>1088</v>
      </c>
      <c r="H596" t="s">
        <v>5443</v>
      </c>
      <c r="I596" t="s">
        <v>9385</v>
      </c>
      <c r="J596" t="s">
        <v>11824</v>
      </c>
      <c r="K596" t="s">
        <v>16225</v>
      </c>
      <c r="L596">
        <f>HYPERLINK("https://www2.assemblee-nationale.fr/sycomore/fiche/(num_dept)/3838", "3838")</f>
        <v>0</v>
      </c>
      <c r="N596">
        <f>HYPERLINK("https://www.wikidata.org/wiki/Q2959354", "Q2959354")</f>
        <v>0</v>
      </c>
      <c r="O596" t="s">
        <v>20032</v>
      </c>
      <c r="P596" t="s">
        <v>20401</v>
      </c>
      <c r="Q596" t="s">
        <v>20524</v>
      </c>
      <c r="R596" t="s">
        <v>409</v>
      </c>
      <c r="S596">
        <v>1344</v>
      </c>
    </row>
    <row r="597" spans="1:19">
      <c r="A597" t="s">
        <v>19</v>
      </c>
      <c r="B597" t="s">
        <v>148</v>
      </c>
      <c r="C597" t="s">
        <v>151</v>
      </c>
      <c r="D597" t="s">
        <v>280</v>
      </c>
      <c r="E597" t="s">
        <v>409</v>
      </c>
      <c r="F597">
        <f>HYPERLINK("https://www.wikidata.org/wiki/Q33369535", "Q33369535")</f>
        <v>0</v>
      </c>
      <c r="G597" t="s">
        <v>1089</v>
      </c>
      <c r="H597" t="s">
        <v>5831</v>
      </c>
      <c r="I597" t="s">
        <v>9451</v>
      </c>
      <c r="J597" t="s">
        <v>11825</v>
      </c>
      <c r="K597" t="s">
        <v>16226</v>
      </c>
      <c r="L597">
        <f>HYPERLINK("https://www2.assemblee-nationale.fr/sycomore/fiche/(num_dept)/7420", "7420")</f>
        <v>0</v>
      </c>
      <c r="N597">
        <f>HYPERLINK("https://www.wikidata.org/wiki/Q16026596", "Q16026596")</f>
        <v>0</v>
      </c>
      <c r="O597" t="s">
        <v>20022</v>
      </c>
      <c r="P597" t="s">
        <v>20405</v>
      </c>
      <c r="Q597" t="s">
        <v>20525</v>
      </c>
      <c r="R597" t="s">
        <v>409</v>
      </c>
      <c r="S597">
        <v>1253</v>
      </c>
    </row>
    <row r="598" spans="1:19">
      <c r="A598" t="s">
        <v>19</v>
      </c>
      <c r="B598" t="s">
        <v>148</v>
      </c>
      <c r="C598" t="s">
        <v>151</v>
      </c>
      <c r="D598" t="s">
        <v>280</v>
      </c>
      <c r="E598" t="s">
        <v>409</v>
      </c>
      <c r="F598">
        <f>HYPERLINK("https://www.wikidata.org/wiki/Q33369535", "Q33369535")</f>
        <v>0</v>
      </c>
      <c r="G598" t="s">
        <v>1090</v>
      </c>
      <c r="H598" t="s">
        <v>5832</v>
      </c>
      <c r="I598" t="s">
        <v>9658</v>
      </c>
      <c r="J598" t="s">
        <v>11826</v>
      </c>
      <c r="K598" t="s">
        <v>15988</v>
      </c>
      <c r="L598">
        <f>HYPERLINK("https://www2.assemblee-nationale.fr/sycomore/fiche/(num_dept)/331", "331")</f>
        <v>0</v>
      </c>
      <c r="N598">
        <f>HYPERLINK("https://www.wikidata.org/wiki/Q3382742", "Q3382742")</f>
        <v>0</v>
      </c>
      <c r="O598" t="s">
        <v>19978</v>
      </c>
      <c r="P598" t="s">
        <v>20409</v>
      </c>
      <c r="Q598" t="s">
        <v>17763</v>
      </c>
      <c r="R598" t="s">
        <v>409</v>
      </c>
      <c r="S598">
        <v>1176</v>
      </c>
    </row>
    <row r="599" spans="1:19">
      <c r="A599" t="s">
        <v>19</v>
      </c>
      <c r="B599" t="s">
        <v>148</v>
      </c>
      <c r="C599" t="s">
        <v>151</v>
      </c>
      <c r="D599" t="s">
        <v>280</v>
      </c>
      <c r="E599" t="s">
        <v>409</v>
      </c>
      <c r="F599">
        <f>HYPERLINK("https://www.wikidata.org/wiki/Q33369535", "Q33369535")</f>
        <v>0</v>
      </c>
      <c r="G599" t="s">
        <v>1091</v>
      </c>
      <c r="H599" t="s">
        <v>5833</v>
      </c>
      <c r="I599" t="s">
        <v>9445</v>
      </c>
      <c r="J599" t="s">
        <v>11827</v>
      </c>
      <c r="K599" t="s">
        <v>16227</v>
      </c>
      <c r="L599">
        <f>HYPERLINK("https://www2.assemblee-nationale.fr/sycomore/fiche/(num_dept)/729", "729")</f>
        <v>0</v>
      </c>
      <c r="M599">
        <f>HYPERLINK("https://www.senat.fr/senateur-3eme-republique/berthod_aime0449r3.html", "berthod_aime0449r3")</f>
        <v>0</v>
      </c>
      <c r="N599">
        <f>HYPERLINK("https://www.wikidata.org/wiki/Q2825126", "Q2825126")</f>
        <v>0</v>
      </c>
      <c r="O599" t="s">
        <v>20041</v>
      </c>
      <c r="P599" t="s">
        <v>20405</v>
      </c>
      <c r="Q599" t="s">
        <v>20526</v>
      </c>
      <c r="R599" t="s">
        <v>409</v>
      </c>
      <c r="S599">
        <v>1141</v>
      </c>
    </row>
    <row r="600" spans="1:19">
      <c r="A600" t="s">
        <v>19</v>
      </c>
      <c r="B600" t="s">
        <v>148</v>
      </c>
      <c r="C600" t="s">
        <v>151</v>
      </c>
      <c r="D600" t="s">
        <v>280</v>
      </c>
      <c r="E600" t="s">
        <v>409</v>
      </c>
      <c r="F600">
        <f>HYPERLINK("https://www.wikidata.org/wiki/Q33369535", "Q33369535")</f>
        <v>0</v>
      </c>
      <c r="G600" t="s">
        <v>1092</v>
      </c>
      <c r="H600" t="s">
        <v>5834</v>
      </c>
      <c r="I600" t="s">
        <v>6584</v>
      </c>
      <c r="J600" t="s">
        <v>11828</v>
      </c>
      <c r="K600" t="s">
        <v>16228</v>
      </c>
      <c r="L600">
        <f>HYPERLINK("https://www2.assemblee-nationale.fr/sycomore/fiche/(num_dept)/2374", "2374")</f>
        <v>0</v>
      </c>
      <c r="N600">
        <f>HYPERLINK("https://www.wikidata.org/wiki/Q16025563", "Q16025563")</f>
        <v>0</v>
      </c>
      <c r="O600" t="s">
        <v>20007</v>
      </c>
      <c r="P600" t="s">
        <v>20401</v>
      </c>
      <c r="Q600" t="s">
        <v>20527</v>
      </c>
      <c r="R600" t="s">
        <v>409</v>
      </c>
      <c r="S600">
        <v>1120</v>
      </c>
    </row>
    <row r="601" spans="1:19">
      <c r="A601" t="s">
        <v>19</v>
      </c>
      <c r="B601" t="s">
        <v>148</v>
      </c>
      <c r="C601" t="s">
        <v>151</v>
      </c>
      <c r="D601" t="s">
        <v>280</v>
      </c>
      <c r="E601" t="s">
        <v>409</v>
      </c>
      <c r="F601">
        <f>HYPERLINK("https://www.wikidata.org/wiki/Q33369535", "Q33369535")</f>
        <v>0</v>
      </c>
      <c r="G601" t="s">
        <v>1093</v>
      </c>
      <c r="H601" t="s">
        <v>5835</v>
      </c>
      <c r="I601" t="s">
        <v>9407</v>
      </c>
      <c r="J601" t="s">
        <v>11829</v>
      </c>
      <c r="K601" t="s">
        <v>16229</v>
      </c>
      <c r="L601">
        <f>HYPERLINK("https://www2.assemblee-nationale.fr/sycomore/fiche/(num_dept)/1839", "1839")</f>
        <v>0</v>
      </c>
      <c r="N601">
        <f>HYPERLINK("https://www.wikidata.org/wiki/Q3184763", "Q3184763")</f>
        <v>0</v>
      </c>
      <c r="O601" t="s">
        <v>20005</v>
      </c>
      <c r="P601" t="s">
        <v>20404</v>
      </c>
      <c r="Q601" t="s">
        <v>20528</v>
      </c>
      <c r="R601" t="s">
        <v>409</v>
      </c>
      <c r="S601">
        <v>1078</v>
      </c>
    </row>
    <row r="602" spans="1:19">
      <c r="A602" t="s">
        <v>19</v>
      </c>
      <c r="B602" t="s">
        <v>148</v>
      </c>
      <c r="C602" t="s">
        <v>151</v>
      </c>
      <c r="D602" t="s">
        <v>280</v>
      </c>
      <c r="E602" t="s">
        <v>409</v>
      </c>
      <c r="F602">
        <f>HYPERLINK("https://www.wikidata.org/wiki/Q33369535", "Q33369535")</f>
        <v>0</v>
      </c>
      <c r="G602" t="s">
        <v>1094</v>
      </c>
      <c r="H602" t="s">
        <v>5836</v>
      </c>
      <c r="I602" t="s">
        <v>9470</v>
      </c>
      <c r="J602" t="s">
        <v>11830</v>
      </c>
      <c r="K602" t="s">
        <v>16230</v>
      </c>
      <c r="L602">
        <f>HYPERLINK("https://www2.assemblee-nationale.fr/sycomore/fiche/(num_dept)/4287", "4287")</f>
        <v>0</v>
      </c>
      <c r="N602">
        <f>HYPERLINK("https://www.wikidata.org/wiki/Q16025926", "Q16025926")</f>
        <v>0</v>
      </c>
      <c r="O602" t="s">
        <v>19995</v>
      </c>
      <c r="Q602" t="s">
        <v>20528</v>
      </c>
      <c r="R602" t="s">
        <v>409</v>
      </c>
      <c r="S602">
        <v>1078</v>
      </c>
    </row>
    <row r="603" spans="1:19">
      <c r="A603" t="s">
        <v>19</v>
      </c>
      <c r="B603" t="s">
        <v>148</v>
      </c>
      <c r="C603" t="s">
        <v>151</v>
      </c>
      <c r="D603" t="s">
        <v>280</v>
      </c>
      <c r="E603" t="s">
        <v>409</v>
      </c>
      <c r="F603">
        <f>HYPERLINK("https://www.wikidata.org/wiki/Q33369535", "Q33369535")</f>
        <v>0</v>
      </c>
      <c r="G603" t="s">
        <v>1095</v>
      </c>
      <c r="H603" t="s">
        <v>5837</v>
      </c>
      <c r="I603" t="s">
        <v>9385</v>
      </c>
      <c r="J603" t="s">
        <v>11831</v>
      </c>
      <c r="K603" t="s">
        <v>16231</v>
      </c>
      <c r="L603">
        <f>HYPERLINK("https://www2.assemblee-nationale.fr/sycomore/fiche/(num_dept)/4812", "4812")</f>
        <v>0</v>
      </c>
      <c r="N603">
        <f>HYPERLINK("https://www.wikidata.org/wiki/Q2959663", "Q2959663")</f>
        <v>0</v>
      </c>
      <c r="O603" t="s">
        <v>19992</v>
      </c>
      <c r="Q603" t="s">
        <v>20529</v>
      </c>
      <c r="R603" t="s">
        <v>409</v>
      </c>
      <c r="S603">
        <v>1057</v>
      </c>
    </row>
    <row r="604" spans="1:19">
      <c r="A604" t="s">
        <v>19</v>
      </c>
      <c r="B604" t="s">
        <v>148</v>
      </c>
      <c r="C604" t="s">
        <v>151</v>
      </c>
      <c r="D604" t="s">
        <v>280</v>
      </c>
      <c r="E604" t="s">
        <v>409</v>
      </c>
      <c r="F604">
        <f>HYPERLINK("https://www.wikidata.org/wiki/Q33369535", "Q33369535")</f>
        <v>0</v>
      </c>
      <c r="G604" t="s">
        <v>1096</v>
      </c>
      <c r="H604" t="s">
        <v>5592</v>
      </c>
      <c r="I604" t="s">
        <v>9389</v>
      </c>
      <c r="J604" t="s">
        <v>11832</v>
      </c>
      <c r="K604" t="s">
        <v>16232</v>
      </c>
      <c r="L604">
        <f>HYPERLINK("https://www2.assemblee-nationale.fr/sycomore/fiche/(num_dept)/7504", "7504")</f>
        <v>0</v>
      </c>
      <c r="N604">
        <f>HYPERLINK("https://www.wikidata.org/wiki/Q8326812", "Q8326812")</f>
        <v>0</v>
      </c>
      <c r="O604" t="s">
        <v>19976</v>
      </c>
      <c r="P604" t="s">
        <v>20405</v>
      </c>
      <c r="Q604" t="s">
        <v>20529</v>
      </c>
      <c r="R604" t="s">
        <v>409</v>
      </c>
      <c r="S604">
        <v>1057</v>
      </c>
    </row>
    <row r="605" spans="1:19">
      <c r="A605" t="s">
        <v>19</v>
      </c>
      <c r="B605" t="s">
        <v>148</v>
      </c>
      <c r="C605" t="s">
        <v>151</v>
      </c>
      <c r="D605" t="s">
        <v>280</v>
      </c>
      <c r="E605" t="s">
        <v>409</v>
      </c>
      <c r="F605">
        <f>HYPERLINK("https://www.wikidata.org/wiki/Q33369535", "Q33369535")</f>
        <v>0</v>
      </c>
      <c r="G605" t="s">
        <v>1097</v>
      </c>
      <c r="H605" t="s">
        <v>5838</v>
      </c>
      <c r="I605" t="s">
        <v>6175</v>
      </c>
      <c r="J605" t="s">
        <v>11833</v>
      </c>
      <c r="K605" t="s">
        <v>16233</v>
      </c>
      <c r="L605">
        <f>HYPERLINK("https://www2.assemblee-nationale.fr/sycomore/fiche/(num_dept)/3349", "3349")</f>
        <v>0</v>
      </c>
      <c r="N605">
        <f>HYPERLINK("https://www.wikidata.org/wiki/Q16025763", "Q16025763")</f>
        <v>0</v>
      </c>
      <c r="O605" t="s">
        <v>20031</v>
      </c>
      <c r="P605" t="s">
        <v>20402</v>
      </c>
      <c r="Q605" t="s">
        <v>20530</v>
      </c>
      <c r="R605" t="s">
        <v>409</v>
      </c>
      <c r="S605">
        <v>987</v>
      </c>
    </row>
    <row r="606" spans="1:19">
      <c r="A606" t="s">
        <v>19</v>
      </c>
      <c r="B606" t="s">
        <v>148</v>
      </c>
      <c r="C606" t="s">
        <v>151</v>
      </c>
      <c r="D606" t="s">
        <v>280</v>
      </c>
      <c r="E606" t="s">
        <v>409</v>
      </c>
      <c r="F606">
        <f>HYPERLINK("https://www.wikidata.org/wiki/Q33369535", "Q33369535")</f>
        <v>0</v>
      </c>
      <c r="G606" t="s">
        <v>1098</v>
      </c>
      <c r="H606" t="s">
        <v>5839</v>
      </c>
      <c r="I606" t="s">
        <v>9659</v>
      </c>
      <c r="J606" t="s">
        <v>11834</v>
      </c>
      <c r="K606" t="s">
        <v>16234</v>
      </c>
      <c r="L606">
        <f>HYPERLINK("https://www2.assemblee-nationale.fr/sycomore/fiche/(num_dept)/2366", "2366")</f>
        <v>0</v>
      </c>
      <c r="N606">
        <f>HYPERLINK("https://www.wikidata.org/wiki/Q3184835", "Q3184835")</f>
        <v>0</v>
      </c>
      <c r="O606" t="s">
        <v>19969</v>
      </c>
      <c r="P606" t="s">
        <v>20410</v>
      </c>
      <c r="Q606" t="s">
        <v>20531</v>
      </c>
      <c r="R606" t="s">
        <v>409</v>
      </c>
      <c r="S606">
        <v>948</v>
      </c>
    </row>
    <row r="607" spans="1:19">
      <c r="A607" t="s">
        <v>19</v>
      </c>
      <c r="B607" t="s">
        <v>148</v>
      </c>
      <c r="C607" t="s">
        <v>151</v>
      </c>
      <c r="D607" t="s">
        <v>280</v>
      </c>
      <c r="E607" t="s">
        <v>409</v>
      </c>
      <c r="F607">
        <f>HYPERLINK("https://www.wikidata.org/wiki/Q33369535", "Q33369535")</f>
        <v>0</v>
      </c>
      <c r="G607" t="s">
        <v>1099</v>
      </c>
      <c r="H607" t="s">
        <v>5840</v>
      </c>
      <c r="I607" t="s">
        <v>9375</v>
      </c>
      <c r="J607" t="s">
        <v>11835</v>
      </c>
      <c r="K607" t="s">
        <v>16235</v>
      </c>
      <c r="L607">
        <f>HYPERLINK("https://www2.assemblee-nationale.fr/sycomore/fiche/(num_dept)/5578", "5578")</f>
        <v>0</v>
      </c>
      <c r="N607">
        <f>HYPERLINK("https://www.wikidata.org/wiki/Q16026211", "Q16026211")</f>
        <v>0</v>
      </c>
      <c r="O607" t="s">
        <v>19969</v>
      </c>
      <c r="P607" t="s">
        <v>20403</v>
      </c>
      <c r="Q607" t="s">
        <v>20532</v>
      </c>
      <c r="R607" t="s">
        <v>409</v>
      </c>
      <c r="S607">
        <v>933</v>
      </c>
    </row>
    <row r="608" spans="1:19">
      <c r="A608" t="s">
        <v>19</v>
      </c>
      <c r="B608" t="s">
        <v>148</v>
      </c>
      <c r="C608" t="s">
        <v>151</v>
      </c>
      <c r="D608" t="s">
        <v>280</v>
      </c>
      <c r="E608" t="s">
        <v>409</v>
      </c>
      <c r="F608">
        <f>HYPERLINK("https://www.wikidata.org/wiki/Q33369535", "Q33369535")</f>
        <v>0</v>
      </c>
      <c r="G608" t="s">
        <v>1100</v>
      </c>
      <c r="H608" t="s">
        <v>5841</v>
      </c>
      <c r="I608" t="s">
        <v>6707</v>
      </c>
      <c r="J608" t="s">
        <v>11836</v>
      </c>
      <c r="K608" t="s">
        <v>16236</v>
      </c>
      <c r="L608">
        <f>HYPERLINK("https://www2.assemblee-nationale.fr/sycomore/fiche/(num_dept)/1415", "1415")</f>
        <v>0</v>
      </c>
      <c r="N608">
        <f>HYPERLINK("https://www.wikidata.org/wiki/Q3115697", "Q3115697")</f>
        <v>0</v>
      </c>
      <c r="O608" t="s">
        <v>20028</v>
      </c>
      <c r="Q608" t="s">
        <v>16163</v>
      </c>
      <c r="R608" t="s">
        <v>409</v>
      </c>
      <c r="S608">
        <v>847</v>
      </c>
    </row>
    <row r="609" spans="1:19">
      <c r="A609" t="s">
        <v>19</v>
      </c>
      <c r="B609" t="s">
        <v>148</v>
      </c>
      <c r="C609" t="s">
        <v>151</v>
      </c>
      <c r="D609" t="s">
        <v>280</v>
      </c>
      <c r="E609" t="s">
        <v>409</v>
      </c>
      <c r="F609">
        <f>HYPERLINK("https://www.wikidata.org/wiki/Q33369535", "Q33369535")</f>
        <v>0</v>
      </c>
      <c r="G609" t="s">
        <v>1101</v>
      </c>
      <c r="H609" t="s">
        <v>5842</v>
      </c>
      <c r="I609" t="s">
        <v>9407</v>
      </c>
      <c r="J609" t="s">
        <v>11837</v>
      </c>
      <c r="K609" t="s">
        <v>16237</v>
      </c>
      <c r="L609">
        <f>HYPERLINK("https://www2.assemblee-nationale.fr/sycomore/fiche/(num_dept)/3420", "3420")</f>
        <v>0</v>
      </c>
      <c r="M609">
        <f>HYPERLINK("https://www.senat.fr/senateur-3eme-republique/giordan_joseph0494r3.html", "giordan_joseph0494r3")</f>
        <v>0</v>
      </c>
      <c r="N609">
        <f>HYPERLINK("https://www.wikidata.org/wiki/Q3185017", "Q3185017")</f>
        <v>0</v>
      </c>
      <c r="O609" t="s">
        <v>19955</v>
      </c>
      <c r="P609" t="s">
        <v>20405</v>
      </c>
      <c r="Q609" t="s">
        <v>16163</v>
      </c>
      <c r="R609" t="s">
        <v>409</v>
      </c>
      <c r="S609">
        <v>847</v>
      </c>
    </row>
    <row r="610" spans="1:19">
      <c r="A610" t="s">
        <v>19</v>
      </c>
      <c r="B610" t="s">
        <v>148</v>
      </c>
      <c r="C610" t="s">
        <v>151</v>
      </c>
      <c r="D610" t="s">
        <v>280</v>
      </c>
      <c r="E610" t="s">
        <v>409</v>
      </c>
      <c r="F610">
        <f>HYPERLINK("https://www.wikidata.org/wiki/Q33369535", "Q33369535")</f>
        <v>0</v>
      </c>
      <c r="G610" t="s">
        <v>1102</v>
      </c>
      <c r="H610" t="s">
        <v>5843</v>
      </c>
      <c r="I610" t="s">
        <v>9660</v>
      </c>
      <c r="J610" t="s">
        <v>11838</v>
      </c>
      <c r="K610" t="s">
        <v>16238</v>
      </c>
      <c r="L610">
        <f>HYPERLINK("https://www2.assemblee-nationale.fr/sycomore/fiche/(num_dept)/5870", "5870")</f>
        <v>0</v>
      </c>
      <c r="N610">
        <f>HYPERLINK("https://www.wikidata.org/wiki/Q16026334", "Q16026334")</f>
        <v>0</v>
      </c>
      <c r="O610" t="s">
        <v>19978</v>
      </c>
      <c r="P610" t="s">
        <v>20403</v>
      </c>
      <c r="Q610" t="s">
        <v>16163</v>
      </c>
      <c r="R610" t="s">
        <v>409</v>
      </c>
      <c r="S610">
        <v>847</v>
      </c>
    </row>
    <row r="611" spans="1:19">
      <c r="A611" t="s">
        <v>19</v>
      </c>
      <c r="B611" t="s">
        <v>148</v>
      </c>
      <c r="C611" t="s">
        <v>151</v>
      </c>
      <c r="D611" t="s">
        <v>280</v>
      </c>
      <c r="E611" t="s">
        <v>409</v>
      </c>
      <c r="F611">
        <f>HYPERLINK("https://www.wikidata.org/wiki/Q33369535", "Q33369535")</f>
        <v>0</v>
      </c>
      <c r="G611" t="s">
        <v>1103</v>
      </c>
      <c r="H611" t="s">
        <v>5844</v>
      </c>
      <c r="I611" t="s">
        <v>9661</v>
      </c>
      <c r="J611" t="s">
        <v>11578</v>
      </c>
      <c r="K611" t="s">
        <v>16239</v>
      </c>
      <c r="L611">
        <f>HYPERLINK("https://www2.assemblee-nationale.fr/sycomore/fiche/(num_dept)/263", "263")</f>
        <v>0</v>
      </c>
      <c r="N611">
        <f>HYPERLINK("https://www.wikidata.org/wiki/Q16025417", "Q16025417")</f>
        <v>0</v>
      </c>
      <c r="O611" t="s">
        <v>19967</v>
      </c>
      <c r="P611" t="s">
        <v>20410</v>
      </c>
      <c r="Q611" t="s">
        <v>20533</v>
      </c>
      <c r="R611" t="s">
        <v>409</v>
      </c>
      <c r="S611">
        <v>826</v>
      </c>
    </row>
    <row r="612" spans="1:19">
      <c r="A612" t="s">
        <v>19</v>
      </c>
      <c r="B612" t="s">
        <v>148</v>
      </c>
      <c r="C612" t="s">
        <v>151</v>
      </c>
      <c r="D612" t="s">
        <v>280</v>
      </c>
      <c r="E612" t="s">
        <v>409</v>
      </c>
      <c r="F612">
        <f>HYPERLINK("https://www.wikidata.org/wiki/Q33369535", "Q33369535")</f>
        <v>0</v>
      </c>
      <c r="G612" t="s">
        <v>1104</v>
      </c>
      <c r="H612" t="s">
        <v>5845</v>
      </c>
      <c r="I612" t="s">
        <v>9662</v>
      </c>
      <c r="J612" t="s">
        <v>11839</v>
      </c>
      <c r="K612" t="s">
        <v>16240</v>
      </c>
      <c r="L612">
        <f>HYPERLINK("https://www2.assemblee-nationale.fr/sycomore/fiche/(num_dept)/994", "994")</f>
        <v>0</v>
      </c>
      <c r="N612">
        <f>HYPERLINK("https://www.wikidata.org/wiki/Q15972019", "Q15972019")</f>
        <v>0</v>
      </c>
      <c r="O612" t="s">
        <v>19959</v>
      </c>
      <c r="P612" t="s">
        <v>20405</v>
      </c>
      <c r="Q612" t="s">
        <v>20533</v>
      </c>
      <c r="R612" t="s">
        <v>409</v>
      </c>
      <c r="S612">
        <v>826</v>
      </c>
    </row>
    <row r="613" spans="1:19">
      <c r="A613" t="s">
        <v>19</v>
      </c>
      <c r="B613" t="s">
        <v>148</v>
      </c>
      <c r="C613" t="s">
        <v>151</v>
      </c>
      <c r="D613" t="s">
        <v>280</v>
      </c>
      <c r="E613" t="s">
        <v>409</v>
      </c>
      <c r="F613">
        <f>HYPERLINK("https://www.wikidata.org/wiki/Q33369535", "Q33369535")</f>
        <v>0</v>
      </c>
      <c r="G613" t="s">
        <v>1105</v>
      </c>
      <c r="H613" t="s">
        <v>5846</v>
      </c>
      <c r="I613" t="s">
        <v>6200</v>
      </c>
      <c r="J613" t="s">
        <v>11840</v>
      </c>
      <c r="K613" t="s">
        <v>16241</v>
      </c>
      <c r="L613">
        <f>HYPERLINK("https://www2.assemblee-nationale.fr/sycomore/fiche/(num_dept)/2060", "2060")</f>
        <v>0</v>
      </c>
      <c r="M613">
        <f>HYPERLINK("https://www.senat.fr/senateur-3eme-republique/coyrard_jean0408r3.html", "coyrard_jean0408r3")</f>
        <v>0</v>
      </c>
      <c r="N613">
        <f>HYPERLINK("https://www.wikidata.org/wiki/Q3171480", "Q3171480")</f>
        <v>0</v>
      </c>
      <c r="O613" t="s">
        <v>20037</v>
      </c>
      <c r="P613" t="s">
        <v>20401</v>
      </c>
      <c r="Q613" t="s">
        <v>20533</v>
      </c>
      <c r="R613" t="s">
        <v>409</v>
      </c>
      <c r="S613">
        <v>826</v>
      </c>
    </row>
    <row r="614" spans="1:19">
      <c r="A614" t="s">
        <v>19</v>
      </c>
      <c r="B614" t="s">
        <v>148</v>
      </c>
      <c r="C614" t="s">
        <v>151</v>
      </c>
      <c r="D614" t="s">
        <v>280</v>
      </c>
      <c r="E614" t="s">
        <v>409</v>
      </c>
      <c r="F614">
        <f>HYPERLINK("https://www.wikidata.org/wiki/Q33369535", "Q33369535")</f>
        <v>0</v>
      </c>
      <c r="G614" t="s">
        <v>1106</v>
      </c>
      <c r="H614" t="s">
        <v>5847</v>
      </c>
      <c r="I614" t="s">
        <v>9375</v>
      </c>
      <c r="J614" t="s">
        <v>11258</v>
      </c>
      <c r="K614" t="s">
        <v>16242</v>
      </c>
      <c r="L614">
        <f>HYPERLINK("https://www2.assemblee-nationale.fr/sycomore/fiche/(num_dept)/2873", "2873")</f>
        <v>0</v>
      </c>
      <c r="N614">
        <f>HYPERLINK("https://www.wikidata.org/wiki/Q16025679", "Q16025679")</f>
        <v>0</v>
      </c>
      <c r="O614" t="s">
        <v>19987</v>
      </c>
      <c r="P614" t="s">
        <v>20402</v>
      </c>
      <c r="Q614" t="s">
        <v>20533</v>
      </c>
      <c r="R614" t="s">
        <v>409</v>
      </c>
      <c r="S614">
        <v>826</v>
      </c>
    </row>
    <row r="615" spans="1:19">
      <c r="A615" t="s">
        <v>19</v>
      </c>
      <c r="B615" t="s">
        <v>148</v>
      </c>
      <c r="C615" t="s">
        <v>151</v>
      </c>
      <c r="D615" t="s">
        <v>280</v>
      </c>
      <c r="E615" t="s">
        <v>409</v>
      </c>
      <c r="F615">
        <f>HYPERLINK("https://www.wikidata.org/wiki/Q33369535", "Q33369535")</f>
        <v>0</v>
      </c>
      <c r="G615" t="s">
        <v>1107</v>
      </c>
      <c r="H615" t="s">
        <v>5848</v>
      </c>
      <c r="I615" t="s">
        <v>9483</v>
      </c>
      <c r="J615" t="s">
        <v>11841</v>
      </c>
      <c r="K615" t="s">
        <v>16243</v>
      </c>
      <c r="L615">
        <f>HYPERLINK("https://www2.assemblee-nationale.fr/sycomore/fiche/(num_dept)/5874", "5874")</f>
        <v>0</v>
      </c>
      <c r="M615">
        <f>HYPERLINK("https://www.senat.fr/senateur-3eme-republique/peytral_victor0076r3.html", "peytral_victor0076r3")</f>
        <v>0</v>
      </c>
      <c r="N615">
        <f>HYPERLINK("https://www.wikidata.org/wiki/Q3557505", "Q3557505")</f>
        <v>0</v>
      </c>
      <c r="O615" t="s">
        <v>19981</v>
      </c>
      <c r="P615" t="s">
        <v>20405</v>
      </c>
      <c r="Q615" t="s">
        <v>17539</v>
      </c>
      <c r="R615" t="s">
        <v>409</v>
      </c>
      <c r="S615">
        <v>812</v>
      </c>
    </row>
    <row r="616" spans="1:19">
      <c r="A616" t="s">
        <v>19</v>
      </c>
      <c r="B616" t="s">
        <v>148</v>
      </c>
      <c r="C616" t="s">
        <v>151</v>
      </c>
      <c r="D616" t="s">
        <v>280</v>
      </c>
      <c r="E616" t="s">
        <v>409</v>
      </c>
      <c r="F616">
        <f>HYPERLINK("https://www.wikidata.org/wiki/Q33369535", "Q33369535")</f>
        <v>0</v>
      </c>
      <c r="G616" t="s">
        <v>1108</v>
      </c>
      <c r="H616" t="s">
        <v>5849</v>
      </c>
      <c r="I616" t="s">
        <v>6495</v>
      </c>
      <c r="J616" t="s">
        <v>11842</v>
      </c>
      <c r="K616" t="s">
        <v>16244</v>
      </c>
      <c r="L616">
        <f>HYPERLINK("https://www2.assemblee-nationale.fr/sycomore/fiche/(num_dept)/6876", "6876")</f>
        <v>0</v>
      </c>
      <c r="N616">
        <f>HYPERLINK("https://www.wikidata.org/wiki/Q3263127", "Q3263127")</f>
        <v>0</v>
      </c>
      <c r="O616" t="s">
        <v>20011</v>
      </c>
      <c r="P616" t="s">
        <v>20403</v>
      </c>
      <c r="Q616" t="s">
        <v>17539</v>
      </c>
      <c r="R616" t="s">
        <v>409</v>
      </c>
      <c r="S616">
        <v>812</v>
      </c>
    </row>
    <row r="617" spans="1:19">
      <c r="A617" t="s">
        <v>19</v>
      </c>
      <c r="B617" t="s">
        <v>148</v>
      </c>
      <c r="C617" t="s">
        <v>151</v>
      </c>
      <c r="D617" t="s">
        <v>280</v>
      </c>
      <c r="E617" t="s">
        <v>409</v>
      </c>
      <c r="F617">
        <f>HYPERLINK("https://www.wikidata.org/wiki/Q33369535", "Q33369535")</f>
        <v>0</v>
      </c>
      <c r="G617" t="s">
        <v>1109</v>
      </c>
      <c r="H617" t="s">
        <v>5850</v>
      </c>
      <c r="I617" t="s">
        <v>9663</v>
      </c>
      <c r="J617" t="s">
        <v>11843</v>
      </c>
      <c r="K617" t="s">
        <v>16245</v>
      </c>
      <c r="L617">
        <f>HYPERLINK("https://www2.assemblee-nationale.fr/sycomore/fiche/(num_dept)/119", "119")</f>
        <v>0</v>
      </c>
      <c r="N617">
        <f>HYPERLINK("https://www.wikidata.org/wiki/Q3102182", "Q3102182")</f>
        <v>0</v>
      </c>
      <c r="O617" t="s">
        <v>19978</v>
      </c>
      <c r="P617" t="s">
        <v>20409</v>
      </c>
      <c r="Q617" t="s">
        <v>20534</v>
      </c>
      <c r="R617" t="s">
        <v>409</v>
      </c>
      <c r="S617">
        <v>805</v>
      </c>
    </row>
    <row r="618" spans="1:19">
      <c r="A618" t="s">
        <v>19</v>
      </c>
      <c r="B618" t="s">
        <v>148</v>
      </c>
      <c r="C618" t="s">
        <v>151</v>
      </c>
      <c r="D618" t="s">
        <v>280</v>
      </c>
      <c r="E618" t="s">
        <v>409</v>
      </c>
      <c r="F618">
        <f>HYPERLINK("https://www.wikidata.org/wiki/Q33369535", "Q33369535")</f>
        <v>0</v>
      </c>
      <c r="G618" t="s">
        <v>1110</v>
      </c>
      <c r="H618" t="s">
        <v>5851</v>
      </c>
      <c r="I618" t="s">
        <v>9664</v>
      </c>
      <c r="J618" t="s">
        <v>11844</v>
      </c>
      <c r="K618" t="s">
        <v>16246</v>
      </c>
      <c r="L618">
        <f>HYPERLINK("https://www2.assemblee-nationale.fr/sycomore/fiche/(num_dept)/932", "932")</f>
        <v>0</v>
      </c>
      <c r="N618">
        <f>HYPERLINK("https://www.wikidata.org/wiki/Q3170840", "Q3170840")</f>
        <v>0</v>
      </c>
      <c r="O618" t="s">
        <v>19960</v>
      </c>
      <c r="P618" t="s">
        <v>20405</v>
      </c>
      <c r="Q618" t="s">
        <v>20534</v>
      </c>
      <c r="R618" t="s">
        <v>409</v>
      </c>
      <c r="S618">
        <v>805</v>
      </c>
    </row>
    <row r="619" spans="1:19">
      <c r="A619" t="s">
        <v>19</v>
      </c>
      <c r="B619" t="s">
        <v>148</v>
      </c>
      <c r="C619" t="s">
        <v>151</v>
      </c>
      <c r="D619" t="s">
        <v>280</v>
      </c>
      <c r="E619" t="s">
        <v>409</v>
      </c>
      <c r="F619">
        <f>HYPERLINK("https://www.wikidata.org/wiki/Q33369535", "Q33369535")</f>
        <v>0</v>
      </c>
      <c r="G619" t="s">
        <v>1111</v>
      </c>
      <c r="H619" t="s">
        <v>5852</v>
      </c>
      <c r="I619" t="s">
        <v>9665</v>
      </c>
      <c r="J619" t="s">
        <v>11845</v>
      </c>
      <c r="K619" t="s">
        <v>16247</v>
      </c>
      <c r="L619">
        <f>HYPERLINK("https://www2.assemblee-nationale.fr/sycomore/fiche/(num_dept)/2206", "2206")</f>
        <v>0</v>
      </c>
      <c r="N619">
        <f>HYPERLINK("https://www.wikidata.org/wiki/Q16025532", "Q16025532")</f>
        <v>0</v>
      </c>
      <c r="O619" t="s">
        <v>19997</v>
      </c>
      <c r="P619" t="s">
        <v>20410</v>
      </c>
      <c r="Q619" t="s">
        <v>20534</v>
      </c>
      <c r="R619" t="s">
        <v>409</v>
      </c>
      <c r="S619">
        <v>805</v>
      </c>
    </row>
    <row r="620" spans="1:19">
      <c r="A620" t="s">
        <v>19</v>
      </c>
      <c r="B620" t="s">
        <v>148</v>
      </c>
      <c r="C620" t="s">
        <v>151</v>
      </c>
      <c r="D620" t="s">
        <v>280</v>
      </c>
      <c r="E620" t="s">
        <v>409</v>
      </c>
      <c r="F620">
        <f>HYPERLINK("https://www.wikidata.org/wiki/Q33369535", "Q33369535")</f>
        <v>0</v>
      </c>
      <c r="G620" t="s">
        <v>1112</v>
      </c>
      <c r="H620" t="s">
        <v>5853</v>
      </c>
      <c r="I620" t="s">
        <v>9666</v>
      </c>
      <c r="J620" t="s">
        <v>11846</v>
      </c>
      <c r="K620" t="s">
        <v>16248</v>
      </c>
      <c r="L620">
        <f>HYPERLINK("https://www2.assemblee-nationale.fr/sycomore/fiche/(num_dept)/3204", "3204")</f>
        <v>0</v>
      </c>
      <c r="N620">
        <f>HYPERLINK("https://www.wikidata.org/wiki/Q3143609", "Q3143609")</f>
        <v>0</v>
      </c>
      <c r="O620" t="s">
        <v>19991</v>
      </c>
      <c r="P620" t="s">
        <v>20410</v>
      </c>
      <c r="Q620" t="s">
        <v>20534</v>
      </c>
      <c r="R620" t="s">
        <v>409</v>
      </c>
      <c r="S620">
        <v>805</v>
      </c>
    </row>
    <row r="621" spans="1:19">
      <c r="A621" t="s">
        <v>19</v>
      </c>
      <c r="B621" t="s">
        <v>148</v>
      </c>
      <c r="C621" t="s">
        <v>151</v>
      </c>
      <c r="D621" t="s">
        <v>280</v>
      </c>
      <c r="E621" t="s">
        <v>409</v>
      </c>
      <c r="F621">
        <f>HYPERLINK("https://www.wikidata.org/wiki/Q33369535", "Q33369535")</f>
        <v>0</v>
      </c>
      <c r="G621" t="s">
        <v>1113</v>
      </c>
      <c r="H621" t="s">
        <v>5854</v>
      </c>
      <c r="I621" t="s">
        <v>9667</v>
      </c>
      <c r="J621" t="s">
        <v>11847</v>
      </c>
      <c r="K621" t="s">
        <v>16249</v>
      </c>
      <c r="L621">
        <f>HYPERLINK("https://www2.assemblee-nationale.fr/sycomore/fiche/(num_dept)/5007", "5007")</f>
        <v>0</v>
      </c>
      <c r="N621">
        <f>HYPERLINK("https://www.wikidata.org/wiki/Q16026044", "Q16026044")</f>
        <v>0</v>
      </c>
      <c r="O621" t="s">
        <v>19979</v>
      </c>
      <c r="Q621" t="s">
        <v>20534</v>
      </c>
      <c r="R621" t="s">
        <v>409</v>
      </c>
      <c r="S621">
        <v>805</v>
      </c>
    </row>
    <row r="622" spans="1:19">
      <c r="A622" t="s">
        <v>19</v>
      </c>
      <c r="B622" t="s">
        <v>148</v>
      </c>
      <c r="C622" t="s">
        <v>151</v>
      </c>
      <c r="D622" t="s">
        <v>280</v>
      </c>
      <c r="E622" t="s">
        <v>409</v>
      </c>
      <c r="F622">
        <f>HYPERLINK("https://www.wikidata.org/wiki/Q33369535", "Q33369535")</f>
        <v>0</v>
      </c>
      <c r="G622" t="s">
        <v>1114</v>
      </c>
      <c r="H622" t="s">
        <v>5855</v>
      </c>
      <c r="I622" t="s">
        <v>6585</v>
      </c>
      <c r="J622" t="s">
        <v>11848</v>
      </c>
      <c r="K622" t="s">
        <v>16250</v>
      </c>
      <c r="L622">
        <f>HYPERLINK("https://www2.assemblee-nationale.fr/sycomore/fiche/(num_dept)/7530", "7530")</f>
        <v>0</v>
      </c>
      <c r="M622">
        <f>HYPERLINK("https://www.senat.fr/senateur-3eme-republique/lavoinne_andre1612r3.html", "lavoinne_andre1612r3")</f>
        <v>0</v>
      </c>
      <c r="N622">
        <f>HYPERLINK("https://www.wikidata.org/wiki/Q2848110", "Q2848110")</f>
        <v>0</v>
      </c>
      <c r="O622" t="s">
        <v>19978</v>
      </c>
      <c r="P622" t="s">
        <v>20402</v>
      </c>
      <c r="Q622" t="s">
        <v>20534</v>
      </c>
      <c r="R622" t="s">
        <v>409</v>
      </c>
      <c r="S622">
        <v>805</v>
      </c>
    </row>
    <row r="623" spans="1:19">
      <c r="A623" t="s">
        <v>19</v>
      </c>
      <c r="B623" t="s">
        <v>148</v>
      </c>
      <c r="C623" t="s">
        <v>151</v>
      </c>
      <c r="D623" t="s">
        <v>280</v>
      </c>
      <c r="E623" t="s">
        <v>409</v>
      </c>
      <c r="F623">
        <f>HYPERLINK("https://www.wikidata.org/wiki/Q33369535", "Q33369535")</f>
        <v>0</v>
      </c>
      <c r="G623" t="s">
        <v>1115</v>
      </c>
      <c r="H623" t="s">
        <v>5856</v>
      </c>
      <c r="I623" t="s">
        <v>9552</v>
      </c>
      <c r="J623" t="s">
        <v>11849</v>
      </c>
      <c r="K623" t="s">
        <v>16251</v>
      </c>
      <c r="L623">
        <f>HYPERLINK("https://www2.assemblee-nationale.fr/sycomore/fiche/(num_dept)/3427", "3427")</f>
        <v>0</v>
      </c>
      <c r="N623">
        <f>HYPERLINK("https://www.wikidata.org/wiki/Q16025776", "Q16025776")</f>
        <v>0</v>
      </c>
      <c r="O623" t="s">
        <v>19990</v>
      </c>
      <c r="P623" t="s">
        <v>20405</v>
      </c>
      <c r="Q623" t="s">
        <v>20535</v>
      </c>
      <c r="R623" t="s">
        <v>409</v>
      </c>
      <c r="S623">
        <v>798</v>
      </c>
    </row>
    <row r="624" spans="1:19">
      <c r="A624" t="s">
        <v>19</v>
      </c>
      <c r="B624" t="s">
        <v>148</v>
      </c>
      <c r="C624" t="s">
        <v>151</v>
      </c>
      <c r="D624" t="s">
        <v>280</v>
      </c>
      <c r="E624" t="s">
        <v>409</v>
      </c>
      <c r="F624">
        <f>HYPERLINK("https://www.wikidata.org/wiki/Q33369535", "Q33369535")</f>
        <v>0</v>
      </c>
      <c r="G624" t="s">
        <v>1116</v>
      </c>
      <c r="H624" t="s">
        <v>5775</v>
      </c>
      <c r="I624" t="s">
        <v>6860</v>
      </c>
      <c r="J624" t="s">
        <v>11850</v>
      </c>
      <c r="K624" t="s">
        <v>16252</v>
      </c>
      <c r="L624">
        <f>HYPERLINK("https://www2.assemblee-nationale.fr/sycomore/fiche/(num_dept)/5808", "5808")</f>
        <v>0</v>
      </c>
      <c r="N624">
        <f>HYPERLINK("https://www.wikidata.org/wiki/Q3386559", "Q3386559")</f>
        <v>0</v>
      </c>
      <c r="O624" t="s">
        <v>20034</v>
      </c>
      <c r="P624" t="s">
        <v>20401</v>
      </c>
      <c r="Q624" t="s">
        <v>20535</v>
      </c>
      <c r="R624" t="s">
        <v>409</v>
      </c>
      <c r="S624">
        <v>798</v>
      </c>
    </row>
    <row r="625" spans="1:19">
      <c r="A625" t="s">
        <v>19</v>
      </c>
      <c r="B625" t="s">
        <v>148</v>
      </c>
      <c r="C625" t="s">
        <v>151</v>
      </c>
      <c r="D625" t="s">
        <v>280</v>
      </c>
      <c r="E625" t="s">
        <v>409</v>
      </c>
      <c r="F625">
        <f>HYPERLINK("https://www.wikidata.org/wiki/Q33369535", "Q33369535")</f>
        <v>0</v>
      </c>
      <c r="G625" t="s">
        <v>1117</v>
      </c>
      <c r="H625" t="s">
        <v>5857</v>
      </c>
      <c r="I625" t="s">
        <v>9668</v>
      </c>
      <c r="J625" t="s">
        <v>11851</v>
      </c>
      <c r="K625" t="s">
        <v>16253</v>
      </c>
      <c r="L625">
        <f>HYPERLINK("https://www2.assemblee-nationale.fr/sycomore/fiche/(num_dept)/3867", "3867")</f>
        <v>0</v>
      </c>
      <c r="N625">
        <f>HYPERLINK("https://www.wikidata.org/wiki/Q16626204", "Q16626204")</f>
        <v>0</v>
      </c>
      <c r="O625" t="s">
        <v>20000</v>
      </c>
      <c r="P625" t="s">
        <v>20402</v>
      </c>
      <c r="Q625" t="s">
        <v>20536</v>
      </c>
      <c r="R625" t="s">
        <v>409</v>
      </c>
      <c r="S625">
        <v>791</v>
      </c>
    </row>
    <row r="626" spans="1:19">
      <c r="A626" t="s">
        <v>19</v>
      </c>
      <c r="B626" t="s">
        <v>148</v>
      </c>
      <c r="C626" t="s">
        <v>151</v>
      </c>
      <c r="D626" t="s">
        <v>280</v>
      </c>
      <c r="E626" t="s">
        <v>409</v>
      </c>
      <c r="F626">
        <f>HYPERLINK("https://www.wikidata.org/wiki/Q33369535", "Q33369535")</f>
        <v>0</v>
      </c>
      <c r="G626" t="s">
        <v>1118</v>
      </c>
      <c r="H626" t="s">
        <v>5858</v>
      </c>
      <c r="I626" t="s">
        <v>6860</v>
      </c>
      <c r="J626" t="s">
        <v>11852</v>
      </c>
      <c r="K626" t="s">
        <v>16254</v>
      </c>
      <c r="L626">
        <f>HYPERLINK("https://www2.assemblee-nationale.fr/sycomore/fiche/(num_dept)/3893", "3893")</f>
        <v>0</v>
      </c>
      <c r="N626">
        <f>HYPERLINK("https://www.wikidata.org/wiki/Q3385469", "Q3385469")</f>
        <v>0</v>
      </c>
      <c r="O626" t="s">
        <v>20011</v>
      </c>
      <c r="P626" t="s">
        <v>20410</v>
      </c>
      <c r="Q626" t="s">
        <v>20537</v>
      </c>
      <c r="R626" t="s">
        <v>409</v>
      </c>
      <c r="S626">
        <v>784</v>
      </c>
    </row>
    <row r="627" spans="1:19">
      <c r="A627" t="s">
        <v>19</v>
      </c>
      <c r="B627" t="s">
        <v>148</v>
      </c>
      <c r="C627" t="s">
        <v>151</v>
      </c>
      <c r="D627" t="s">
        <v>280</v>
      </c>
      <c r="E627" t="s">
        <v>409</v>
      </c>
      <c r="F627">
        <f>HYPERLINK("https://www.wikidata.org/wiki/Q33369535", "Q33369535")</f>
        <v>0</v>
      </c>
      <c r="G627" t="s">
        <v>1119</v>
      </c>
      <c r="H627" t="s">
        <v>5859</v>
      </c>
      <c r="I627" t="s">
        <v>9669</v>
      </c>
      <c r="J627" t="s">
        <v>11853</v>
      </c>
      <c r="K627" t="s">
        <v>16255</v>
      </c>
      <c r="L627">
        <f>HYPERLINK("https://www2.assemblee-nationale.fr/sycomore/fiche/(num_dept)/1167", "1167")</f>
        <v>0</v>
      </c>
      <c r="N627">
        <f>HYPERLINK("https://www.wikidata.org/wiki/Q2833856", "Q2833856")</f>
        <v>0</v>
      </c>
      <c r="O627" t="s">
        <v>19969</v>
      </c>
      <c r="P627" t="s">
        <v>20404</v>
      </c>
      <c r="Q627" t="s">
        <v>20538</v>
      </c>
      <c r="R627" t="s">
        <v>409</v>
      </c>
      <c r="S627">
        <v>777</v>
      </c>
    </row>
    <row r="628" spans="1:19">
      <c r="A628" t="s">
        <v>19</v>
      </c>
      <c r="B628" t="s">
        <v>148</v>
      </c>
      <c r="C628" t="s">
        <v>151</v>
      </c>
      <c r="D628" t="s">
        <v>280</v>
      </c>
      <c r="E628" t="s">
        <v>409</v>
      </c>
      <c r="F628">
        <f>HYPERLINK("https://www.wikidata.org/wiki/Q33369535", "Q33369535")</f>
        <v>0</v>
      </c>
      <c r="G628" t="s">
        <v>1120</v>
      </c>
      <c r="H628" t="s">
        <v>5860</v>
      </c>
      <c r="I628" t="s">
        <v>9670</v>
      </c>
      <c r="J628" t="s">
        <v>11854</v>
      </c>
      <c r="K628" t="s">
        <v>16256</v>
      </c>
      <c r="L628">
        <f>HYPERLINK("https://www2.assemblee-nationale.fr/sycomore/fiche/(num_dept)/4132", "4132")</f>
        <v>0</v>
      </c>
      <c r="N628">
        <f>HYPERLINK("https://www.wikidata.org/wiki/Q3159295", "Q3159295")</f>
        <v>0</v>
      </c>
      <c r="O628" t="s">
        <v>19998</v>
      </c>
      <c r="P628" t="s">
        <v>20408</v>
      </c>
      <c r="Q628" t="s">
        <v>20538</v>
      </c>
      <c r="R628" t="s">
        <v>409</v>
      </c>
      <c r="S628">
        <v>777</v>
      </c>
    </row>
    <row r="629" spans="1:19">
      <c r="A629" t="s">
        <v>19</v>
      </c>
      <c r="B629" t="s">
        <v>148</v>
      </c>
      <c r="C629" t="s">
        <v>151</v>
      </c>
      <c r="D629" t="s">
        <v>280</v>
      </c>
      <c r="E629" t="s">
        <v>409</v>
      </c>
      <c r="F629">
        <f>HYPERLINK("https://www.wikidata.org/wiki/Q33369535", "Q33369535")</f>
        <v>0</v>
      </c>
      <c r="G629" t="s">
        <v>1121</v>
      </c>
      <c r="H629" t="s">
        <v>5681</v>
      </c>
      <c r="I629" t="s">
        <v>6166</v>
      </c>
      <c r="J629" t="s">
        <v>11855</v>
      </c>
      <c r="K629" t="s">
        <v>16257</v>
      </c>
      <c r="L629">
        <f>HYPERLINK("https://www2.assemblee-nationale.fr/sycomore/fiche/(num_dept)/2328", "2328")</f>
        <v>0</v>
      </c>
      <c r="N629">
        <f>HYPERLINK("https://www.wikidata.org/wiki/Q3084405", "Q3084405")</f>
        <v>0</v>
      </c>
      <c r="O629" t="s">
        <v>20033</v>
      </c>
      <c r="P629" t="s">
        <v>20402</v>
      </c>
      <c r="Q629" t="s">
        <v>20539</v>
      </c>
      <c r="R629" t="s">
        <v>409</v>
      </c>
      <c r="S629">
        <v>756</v>
      </c>
    </row>
    <row r="630" spans="1:19">
      <c r="A630" t="s">
        <v>19</v>
      </c>
      <c r="B630" t="s">
        <v>148</v>
      </c>
      <c r="C630" t="s">
        <v>151</v>
      </c>
      <c r="D630" t="s">
        <v>280</v>
      </c>
      <c r="E630" t="s">
        <v>409</v>
      </c>
      <c r="F630">
        <f>HYPERLINK("https://www.wikidata.org/wiki/Q33369535", "Q33369535")</f>
        <v>0</v>
      </c>
      <c r="G630" t="s">
        <v>1122</v>
      </c>
      <c r="H630" t="s">
        <v>5861</v>
      </c>
      <c r="I630" t="s">
        <v>9671</v>
      </c>
      <c r="J630" t="s">
        <v>11856</v>
      </c>
      <c r="K630" t="s">
        <v>16258</v>
      </c>
      <c r="L630">
        <f>HYPERLINK("https://www2.assemblee-nationale.fr/sycomore/fiche/(num_dept)/3527", "3527")</f>
        <v>0</v>
      </c>
      <c r="N630">
        <f>HYPERLINK("https://www.wikidata.org/wiki/Q16025799", "Q16025799")</f>
        <v>0</v>
      </c>
      <c r="O630" t="s">
        <v>20010</v>
      </c>
      <c r="P630" t="s">
        <v>20410</v>
      </c>
      <c r="Q630" t="s">
        <v>20539</v>
      </c>
      <c r="R630" t="s">
        <v>409</v>
      </c>
      <c r="S630">
        <v>756</v>
      </c>
    </row>
    <row r="631" spans="1:19">
      <c r="A631" t="s">
        <v>19</v>
      </c>
      <c r="B631" t="s">
        <v>148</v>
      </c>
      <c r="C631" t="s">
        <v>151</v>
      </c>
      <c r="D631" t="s">
        <v>280</v>
      </c>
      <c r="E631" t="s">
        <v>409</v>
      </c>
      <c r="F631">
        <f>HYPERLINK("https://www.wikidata.org/wiki/Q33369535", "Q33369535")</f>
        <v>0</v>
      </c>
      <c r="G631" t="s">
        <v>1123</v>
      </c>
      <c r="H631" t="s">
        <v>5486</v>
      </c>
      <c r="I631" t="s">
        <v>7911</v>
      </c>
      <c r="J631" t="s">
        <v>11857</v>
      </c>
      <c r="K631" t="s">
        <v>16259</v>
      </c>
      <c r="L631">
        <f>HYPERLINK("https://www2.assemblee-nationale.fr/sycomore/fiche/(num_dept)/5119", "5119")</f>
        <v>0</v>
      </c>
      <c r="N631">
        <f>HYPERLINK("https://www.wikidata.org/wiki/Q8306400", "Q8306400")</f>
        <v>0</v>
      </c>
      <c r="O631" t="s">
        <v>19971</v>
      </c>
      <c r="Q631" t="s">
        <v>20539</v>
      </c>
      <c r="R631" t="s">
        <v>409</v>
      </c>
      <c r="S631">
        <v>756</v>
      </c>
    </row>
    <row r="632" spans="1:19">
      <c r="A632" t="s">
        <v>19</v>
      </c>
      <c r="B632" t="s">
        <v>148</v>
      </c>
      <c r="C632" t="s">
        <v>151</v>
      </c>
      <c r="D632" t="s">
        <v>280</v>
      </c>
      <c r="E632" t="s">
        <v>409</v>
      </c>
      <c r="F632">
        <f>HYPERLINK("https://www.wikidata.org/wiki/Q33369535", "Q33369535")</f>
        <v>0</v>
      </c>
      <c r="G632" t="s">
        <v>1124</v>
      </c>
      <c r="H632" t="s">
        <v>5862</v>
      </c>
      <c r="I632" t="s">
        <v>9457</v>
      </c>
      <c r="J632" t="s">
        <v>11858</v>
      </c>
      <c r="K632" t="s">
        <v>16260</v>
      </c>
      <c r="L632">
        <f>HYPERLINK("https://www2.assemblee-nationale.fr/sycomore/fiche/(num_dept)/5277", "5277")</f>
        <v>0</v>
      </c>
      <c r="N632">
        <f>HYPERLINK("https://www.wikidata.org/wiki/Q16026102", "Q16026102")</f>
        <v>0</v>
      </c>
      <c r="O632" t="s">
        <v>19971</v>
      </c>
      <c r="P632" t="s">
        <v>20402</v>
      </c>
      <c r="Q632" t="s">
        <v>20539</v>
      </c>
      <c r="R632" t="s">
        <v>409</v>
      </c>
      <c r="S632">
        <v>756</v>
      </c>
    </row>
    <row r="633" spans="1:19">
      <c r="A633" t="s">
        <v>19</v>
      </c>
      <c r="B633" t="s">
        <v>148</v>
      </c>
      <c r="C633" t="s">
        <v>151</v>
      </c>
      <c r="D633" t="s">
        <v>280</v>
      </c>
      <c r="E633" t="s">
        <v>409</v>
      </c>
      <c r="F633">
        <f>HYPERLINK("https://www.wikidata.org/wiki/Q33369535", "Q33369535")</f>
        <v>0</v>
      </c>
      <c r="G633" t="s">
        <v>1125</v>
      </c>
      <c r="H633" t="s">
        <v>5863</v>
      </c>
      <c r="I633" t="s">
        <v>9612</v>
      </c>
      <c r="J633" t="s">
        <v>11859</v>
      </c>
      <c r="K633" t="s">
        <v>16261</v>
      </c>
      <c r="L633">
        <f>HYPERLINK("https://www2.assemblee-nationale.fr/sycomore/fiche/(num_dept)/1784", "1784")</f>
        <v>0</v>
      </c>
      <c r="N633">
        <f>HYPERLINK("https://www.wikidata.org/wiki/Q1471469", "Q1471469")</f>
        <v>0</v>
      </c>
      <c r="O633" t="s">
        <v>19990</v>
      </c>
      <c r="P633" t="s">
        <v>20401</v>
      </c>
      <c r="Q633" t="s">
        <v>20540</v>
      </c>
      <c r="R633" t="s">
        <v>409</v>
      </c>
      <c r="S633">
        <v>679</v>
      </c>
    </row>
    <row r="634" spans="1:19">
      <c r="A634" t="s">
        <v>19</v>
      </c>
      <c r="B634" t="s">
        <v>148</v>
      </c>
      <c r="C634" t="s">
        <v>151</v>
      </c>
      <c r="D634" t="s">
        <v>280</v>
      </c>
      <c r="E634" t="s">
        <v>409</v>
      </c>
      <c r="F634">
        <f>HYPERLINK("https://www.wikidata.org/wiki/Q33369535", "Q33369535")</f>
        <v>0</v>
      </c>
      <c r="G634" t="s">
        <v>1126</v>
      </c>
      <c r="H634" t="s">
        <v>5864</v>
      </c>
      <c r="I634" t="s">
        <v>9672</v>
      </c>
      <c r="J634" t="s">
        <v>11860</v>
      </c>
      <c r="K634" t="s">
        <v>16262</v>
      </c>
      <c r="L634">
        <f>HYPERLINK("https://www2.assemblee-nationale.fr/sycomore/fiche/(num_dept)/2718", "2718")</f>
        <v>0</v>
      </c>
      <c r="N634">
        <f>HYPERLINK("https://www.wikidata.org/wiki/Q16025648", "Q16025648")</f>
        <v>0</v>
      </c>
      <c r="O634" t="s">
        <v>19982</v>
      </c>
      <c r="P634" t="s">
        <v>20401</v>
      </c>
      <c r="Q634" t="s">
        <v>20541</v>
      </c>
      <c r="R634" t="s">
        <v>409</v>
      </c>
      <c r="S634">
        <v>658</v>
      </c>
    </row>
    <row r="635" spans="1:19">
      <c r="A635" t="s">
        <v>19</v>
      </c>
      <c r="B635" t="s">
        <v>148</v>
      </c>
      <c r="C635" t="s">
        <v>151</v>
      </c>
      <c r="D635" t="s">
        <v>280</v>
      </c>
      <c r="E635" t="s">
        <v>409</v>
      </c>
      <c r="F635">
        <f>HYPERLINK("https://www.wikidata.org/wiki/Q33369535", "Q33369535")</f>
        <v>0</v>
      </c>
      <c r="G635" t="s">
        <v>1127</v>
      </c>
      <c r="H635" t="s">
        <v>5865</v>
      </c>
      <c r="I635" t="s">
        <v>9594</v>
      </c>
      <c r="J635" t="s">
        <v>11861</v>
      </c>
      <c r="K635" t="s">
        <v>16263</v>
      </c>
      <c r="L635">
        <f>HYPERLINK("https://www2.assemblee-nationale.fr/sycomore/fiche/(num_dept)/7090", "7090")</f>
        <v>0</v>
      </c>
      <c r="M635">
        <f>HYPERLINK("https://www.senat.fr/senateur-3eme-republique/tissier_louis1710r3.html", "tissier_louis1710r3")</f>
        <v>0</v>
      </c>
      <c r="N635">
        <f>HYPERLINK("https://www.wikidata.org/wiki/Q3263199", "Q3263199")</f>
        <v>0</v>
      </c>
      <c r="O635" t="s">
        <v>20047</v>
      </c>
      <c r="P635" t="s">
        <v>20405</v>
      </c>
      <c r="Q635" t="s">
        <v>20542</v>
      </c>
      <c r="R635" t="s">
        <v>409</v>
      </c>
      <c r="S635">
        <v>651</v>
      </c>
    </row>
    <row r="636" spans="1:19">
      <c r="A636" t="s">
        <v>19</v>
      </c>
      <c r="B636" t="s">
        <v>148</v>
      </c>
      <c r="C636" t="s">
        <v>151</v>
      </c>
      <c r="D636" t="s">
        <v>280</v>
      </c>
      <c r="E636" t="s">
        <v>409</v>
      </c>
      <c r="F636">
        <f>HYPERLINK("https://www.wikidata.org/wiki/Q33369535", "Q33369535")</f>
        <v>0</v>
      </c>
      <c r="G636" t="s">
        <v>1128</v>
      </c>
      <c r="H636" t="s">
        <v>5866</v>
      </c>
      <c r="I636" t="s">
        <v>6584</v>
      </c>
      <c r="J636" t="s">
        <v>11862</v>
      </c>
      <c r="K636" t="s">
        <v>16264</v>
      </c>
      <c r="L636">
        <f>HYPERLINK("https://www2.assemblee-nationale.fr/sycomore/fiche/(num_dept)/3066", "3066")</f>
        <v>0</v>
      </c>
      <c r="N636">
        <f>HYPERLINK("https://www.wikidata.org/wiki/Q16025718", "Q16025718")</f>
        <v>0</v>
      </c>
      <c r="O636" t="s">
        <v>20015</v>
      </c>
      <c r="P636" t="s">
        <v>20407</v>
      </c>
      <c r="Q636" t="s">
        <v>20543</v>
      </c>
      <c r="R636" t="s">
        <v>409</v>
      </c>
      <c r="S636">
        <v>595</v>
      </c>
    </row>
    <row r="637" spans="1:19">
      <c r="A637" t="s">
        <v>19</v>
      </c>
      <c r="B637" t="s">
        <v>148</v>
      </c>
      <c r="C637" t="s">
        <v>151</v>
      </c>
      <c r="D637" t="s">
        <v>280</v>
      </c>
      <c r="E637" t="s">
        <v>409</v>
      </c>
      <c r="F637">
        <f>HYPERLINK("https://www.wikidata.org/wiki/Q33369535", "Q33369535")</f>
        <v>0</v>
      </c>
      <c r="G637" t="s">
        <v>1129</v>
      </c>
      <c r="H637" t="s">
        <v>5611</v>
      </c>
      <c r="I637" t="s">
        <v>6200</v>
      </c>
      <c r="J637" t="s">
        <v>11863</v>
      </c>
      <c r="K637" t="s">
        <v>16265</v>
      </c>
      <c r="L637">
        <f>HYPERLINK("https://www2.assemblee-nationale.fr/sycomore/fiche/(num_dept)/7790", "7790")</f>
        <v>0</v>
      </c>
      <c r="N637">
        <f>HYPERLINK("https://www.wikidata.org/wiki/Q13080902", "Q13080902")</f>
        <v>0</v>
      </c>
      <c r="O637" t="s">
        <v>19969</v>
      </c>
      <c r="P637" t="s">
        <v>20410</v>
      </c>
      <c r="Q637" t="s">
        <v>20544</v>
      </c>
      <c r="R637" t="s">
        <v>409</v>
      </c>
      <c r="S637">
        <v>539</v>
      </c>
    </row>
    <row r="638" spans="1:19">
      <c r="A638" t="s">
        <v>19</v>
      </c>
      <c r="B638" t="s">
        <v>148</v>
      </c>
      <c r="C638" t="s">
        <v>151</v>
      </c>
      <c r="D638" t="s">
        <v>280</v>
      </c>
      <c r="E638" t="s">
        <v>409</v>
      </c>
      <c r="F638">
        <f>HYPERLINK("https://www.wikidata.org/wiki/Q33369535", "Q33369535")</f>
        <v>0</v>
      </c>
      <c r="G638" t="s">
        <v>1130</v>
      </c>
      <c r="H638" t="s">
        <v>5867</v>
      </c>
      <c r="I638" t="s">
        <v>9445</v>
      </c>
      <c r="J638" t="s">
        <v>11864</v>
      </c>
      <c r="K638" t="s">
        <v>16266</v>
      </c>
      <c r="L638">
        <f>HYPERLINK("https://www2.assemblee-nationale.fr/sycomore/fiche/(num_dept)/1941", "1941")</f>
        <v>0</v>
      </c>
      <c r="N638">
        <f>HYPERLINK("https://www.wikidata.org/wiki/Q16025480", "Q16025480")</f>
        <v>0</v>
      </c>
      <c r="O638" t="s">
        <v>20045</v>
      </c>
      <c r="P638" t="s">
        <v>20410</v>
      </c>
      <c r="Q638" t="s">
        <v>20545</v>
      </c>
      <c r="R638" t="s">
        <v>409</v>
      </c>
      <c r="S638">
        <v>532</v>
      </c>
    </row>
    <row r="639" spans="1:19">
      <c r="A639" t="s">
        <v>19</v>
      </c>
      <c r="B639" t="s">
        <v>148</v>
      </c>
      <c r="C639" t="s">
        <v>151</v>
      </c>
      <c r="D639" t="s">
        <v>280</v>
      </c>
      <c r="E639" t="s">
        <v>409</v>
      </c>
      <c r="F639">
        <f>HYPERLINK("https://www.wikidata.org/wiki/Q33369535", "Q33369535")</f>
        <v>0</v>
      </c>
      <c r="G639" t="s">
        <v>1131</v>
      </c>
      <c r="H639" t="s">
        <v>5868</v>
      </c>
      <c r="I639" t="s">
        <v>9552</v>
      </c>
      <c r="J639" t="s">
        <v>11865</v>
      </c>
      <c r="K639" t="s">
        <v>16267</v>
      </c>
      <c r="L639">
        <f>HYPERLINK("https://www2.assemblee-nationale.fr/sycomore/fiche/(num_dept)/1571", "1571")</f>
        <v>0</v>
      </c>
      <c r="N639">
        <f>HYPERLINK("https://www.wikidata.org/wiki/Q2871106", "Q2871106")</f>
        <v>0</v>
      </c>
      <c r="O639" t="s">
        <v>19992</v>
      </c>
      <c r="P639" t="s">
        <v>20402</v>
      </c>
      <c r="Q639" t="s">
        <v>20546</v>
      </c>
      <c r="R639" t="s">
        <v>409</v>
      </c>
      <c r="S639">
        <v>497</v>
      </c>
    </row>
    <row r="640" spans="1:19">
      <c r="A640" t="s">
        <v>19</v>
      </c>
      <c r="B640" t="s">
        <v>148</v>
      </c>
      <c r="C640" t="s">
        <v>151</v>
      </c>
      <c r="D640" t="s">
        <v>280</v>
      </c>
      <c r="E640" t="s">
        <v>409</v>
      </c>
      <c r="F640">
        <f>HYPERLINK("https://www.wikidata.org/wiki/Q33369535", "Q33369535")</f>
        <v>0</v>
      </c>
      <c r="G640" t="s">
        <v>1132</v>
      </c>
      <c r="H640" t="s">
        <v>5800</v>
      </c>
      <c r="I640" t="s">
        <v>9388</v>
      </c>
      <c r="J640" t="s">
        <v>11866</v>
      </c>
      <c r="K640" t="s">
        <v>16268</v>
      </c>
      <c r="L640">
        <f>HYPERLINK("https://www2.assemblee-nationale.fr/sycomore/fiche/(num_dept)/6845", "6845")</f>
        <v>0</v>
      </c>
      <c r="N640">
        <f>HYPERLINK("https://www.wikidata.org/wiki/Q3372205", "Q3372205")</f>
        <v>0</v>
      </c>
      <c r="O640" t="s">
        <v>20011</v>
      </c>
      <c r="P640" t="s">
        <v>20409</v>
      </c>
      <c r="Q640" t="s">
        <v>20547</v>
      </c>
      <c r="R640" t="s">
        <v>409</v>
      </c>
      <c r="S640">
        <v>413</v>
      </c>
    </row>
    <row r="641" spans="1:19">
      <c r="A641" t="s">
        <v>19</v>
      </c>
      <c r="B641" t="s">
        <v>148</v>
      </c>
      <c r="C641" t="s">
        <v>151</v>
      </c>
      <c r="D641" t="s">
        <v>280</v>
      </c>
      <c r="E641" t="s">
        <v>409</v>
      </c>
      <c r="F641">
        <f>HYPERLINK("https://www.wikidata.org/wiki/Q33369535", "Q33369535")</f>
        <v>0</v>
      </c>
      <c r="G641" t="s">
        <v>1133</v>
      </c>
      <c r="H641" t="s">
        <v>5869</v>
      </c>
      <c r="I641" t="s">
        <v>9385</v>
      </c>
      <c r="J641" t="s">
        <v>11867</v>
      </c>
      <c r="K641" t="s">
        <v>16269</v>
      </c>
      <c r="L641">
        <f>HYPERLINK("https://www2.assemblee-nationale.fr/sycomore/fiche/(num_dept)/5237", "5237")</f>
        <v>0</v>
      </c>
      <c r="M641">
        <f>HYPERLINK("https://www.senat.fr/senateur-3eme-republique/meunier_surcouf_charles0593r3.html", "meunier_surcouf_charles0593r3")</f>
        <v>0</v>
      </c>
      <c r="N641">
        <f>HYPERLINK("https://www.wikidata.org/wiki/Q2959806", "Q2959806")</f>
        <v>0</v>
      </c>
      <c r="O641" t="s">
        <v>19964</v>
      </c>
      <c r="P641" t="s">
        <v>20409</v>
      </c>
      <c r="Q641" t="s">
        <v>20548</v>
      </c>
      <c r="R641" t="s">
        <v>409</v>
      </c>
      <c r="S641">
        <v>392</v>
      </c>
    </row>
    <row r="642" spans="1:19">
      <c r="A642" t="s">
        <v>19</v>
      </c>
      <c r="B642" t="s">
        <v>148</v>
      </c>
      <c r="C642" t="s">
        <v>151</v>
      </c>
      <c r="D642" t="s">
        <v>280</v>
      </c>
      <c r="E642" t="s">
        <v>409</v>
      </c>
      <c r="F642">
        <f>HYPERLINK("https://www.wikidata.org/wiki/Q33369535", "Q33369535")</f>
        <v>0</v>
      </c>
      <c r="G642" t="s">
        <v>1134</v>
      </c>
      <c r="H642" t="s">
        <v>5870</v>
      </c>
      <c r="I642" t="s">
        <v>9673</v>
      </c>
      <c r="J642" t="s">
        <v>11868</v>
      </c>
      <c r="K642" t="s">
        <v>16270</v>
      </c>
      <c r="L642">
        <f>HYPERLINK("https://www2.assemblee-nationale.fr/sycomore/fiche/(num_dept)/6966", "6966")</f>
        <v>0</v>
      </c>
      <c r="N642">
        <f>HYPERLINK("https://www.wikidata.org/wiki/Q16026536", "Q16026536")</f>
        <v>0</v>
      </c>
      <c r="O642" t="s">
        <v>20021</v>
      </c>
      <c r="P642" t="s">
        <v>20408</v>
      </c>
      <c r="Q642" t="s">
        <v>20549</v>
      </c>
      <c r="R642" t="s">
        <v>409</v>
      </c>
      <c r="S642">
        <v>364</v>
      </c>
    </row>
    <row r="643" spans="1:19">
      <c r="A643" t="s">
        <v>19</v>
      </c>
      <c r="B643" t="s">
        <v>148</v>
      </c>
      <c r="C643" t="s">
        <v>151</v>
      </c>
      <c r="D643" t="s">
        <v>280</v>
      </c>
      <c r="E643" t="s">
        <v>409</v>
      </c>
      <c r="F643">
        <f>HYPERLINK("https://www.wikidata.org/wiki/Q33369535", "Q33369535")</f>
        <v>0</v>
      </c>
      <c r="G643" t="s">
        <v>1135</v>
      </c>
      <c r="H643" t="s">
        <v>5871</v>
      </c>
      <c r="I643" t="s">
        <v>6584</v>
      </c>
      <c r="J643" t="s">
        <v>11869</v>
      </c>
      <c r="K643" t="s">
        <v>16271</v>
      </c>
      <c r="L643">
        <f>HYPERLINK("https://www2.assemblee-nationale.fr/sycomore/fiche/(num_dept)/7033", "7033")</f>
        <v>0</v>
      </c>
      <c r="N643">
        <f>HYPERLINK("https://www.wikidata.org/wiki/Q16026552", "Q16026552")</f>
        <v>0</v>
      </c>
      <c r="O643" t="s">
        <v>20030</v>
      </c>
      <c r="P643" t="s">
        <v>20402</v>
      </c>
      <c r="Q643" t="s">
        <v>20550</v>
      </c>
      <c r="R643" t="s">
        <v>409</v>
      </c>
      <c r="S643">
        <v>350</v>
      </c>
    </row>
    <row r="644" spans="1:19">
      <c r="A644" t="s">
        <v>19</v>
      </c>
      <c r="B644" t="s">
        <v>148</v>
      </c>
      <c r="C644" t="s">
        <v>151</v>
      </c>
      <c r="D644" t="s">
        <v>280</v>
      </c>
      <c r="E644" t="s">
        <v>409</v>
      </c>
      <c r="F644">
        <f>HYPERLINK("https://www.wikidata.org/wiki/Q33369535", "Q33369535")</f>
        <v>0</v>
      </c>
      <c r="G644" t="s">
        <v>1136</v>
      </c>
      <c r="H644" t="s">
        <v>5386</v>
      </c>
      <c r="I644" t="s">
        <v>9674</v>
      </c>
      <c r="J644" t="s">
        <v>11870</v>
      </c>
      <c r="K644" t="s">
        <v>16272</v>
      </c>
      <c r="L644">
        <f>HYPERLINK("https://www2.assemblee-nationale.fr/sycomore/fiche/(num_dept)/2706", "2706")</f>
        <v>0</v>
      </c>
      <c r="N644">
        <f>HYPERLINK("https://www.wikidata.org/wiki/Q16025641", "Q16025641")</f>
        <v>0</v>
      </c>
      <c r="O644" t="s">
        <v>19975</v>
      </c>
      <c r="Q644" t="s">
        <v>20551</v>
      </c>
      <c r="R644" t="s">
        <v>409</v>
      </c>
      <c r="S644">
        <v>329</v>
      </c>
    </row>
    <row r="645" spans="1:19">
      <c r="A645" t="s">
        <v>19</v>
      </c>
      <c r="B645" t="s">
        <v>148</v>
      </c>
      <c r="C645" t="s">
        <v>151</v>
      </c>
      <c r="D645" t="s">
        <v>280</v>
      </c>
      <c r="E645" t="s">
        <v>409</v>
      </c>
      <c r="F645">
        <f>HYPERLINK("https://www.wikidata.org/wiki/Q33369535", "Q33369535")</f>
        <v>0</v>
      </c>
      <c r="G645" t="s">
        <v>1137</v>
      </c>
      <c r="H645" t="s">
        <v>5872</v>
      </c>
      <c r="I645" t="s">
        <v>9388</v>
      </c>
      <c r="J645" t="s">
        <v>11871</v>
      </c>
      <c r="K645" t="s">
        <v>16273</v>
      </c>
      <c r="L645">
        <f>HYPERLINK("https://www2.assemblee-nationale.fr/sycomore/fiche/(num_dept)/7432", "7432")</f>
        <v>0</v>
      </c>
      <c r="N645">
        <f>HYPERLINK("https://www.wikidata.org/wiki/Q8335648", "Q8335648")</f>
        <v>0</v>
      </c>
      <c r="O645" t="s">
        <v>19993</v>
      </c>
      <c r="P645" t="s">
        <v>20402</v>
      </c>
      <c r="Q645" t="s">
        <v>20552</v>
      </c>
      <c r="R645" t="s">
        <v>409</v>
      </c>
      <c r="S645">
        <v>315</v>
      </c>
    </row>
    <row r="646" spans="1:19">
      <c r="A646" t="s">
        <v>19</v>
      </c>
      <c r="B646" t="s">
        <v>148</v>
      </c>
      <c r="C646" t="s">
        <v>151</v>
      </c>
      <c r="D646" t="s">
        <v>280</v>
      </c>
      <c r="E646" t="s">
        <v>409</v>
      </c>
      <c r="F646">
        <f>HYPERLINK("https://www.wikidata.org/wiki/Q33369535", "Q33369535")</f>
        <v>0</v>
      </c>
      <c r="G646" t="s">
        <v>1138</v>
      </c>
      <c r="H646" t="s">
        <v>5873</v>
      </c>
      <c r="I646" t="s">
        <v>6495</v>
      </c>
      <c r="J646" t="s">
        <v>11872</v>
      </c>
      <c r="K646" t="s">
        <v>16274</v>
      </c>
      <c r="L646">
        <f>HYPERLINK("https://www2.assemblee-nationale.fr/sycomore/fiche/(num_dept)/7786", "7786")</f>
        <v>0</v>
      </c>
      <c r="N646">
        <f>HYPERLINK("https://www.wikidata.org/wiki/Q3262574", "Q3262574")</f>
        <v>0</v>
      </c>
      <c r="O646" t="s">
        <v>19997</v>
      </c>
      <c r="P646" t="s">
        <v>20402</v>
      </c>
      <c r="Q646" t="s">
        <v>20552</v>
      </c>
      <c r="R646" t="s">
        <v>409</v>
      </c>
      <c r="S646">
        <v>315</v>
      </c>
    </row>
    <row r="647" spans="1:19">
      <c r="A647" t="s">
        <v>19</v>
      </c>
      <c r="B647" t="s">
        <v>148</v>
      </c>
      <c r="C647" t="s">
        <v>151</v>
      </c>
      <c r="D647" t="s">
        <v>280</v>
      </c>
      <c r="E647" t="s">
        <v>409</v>
      </c>
      <c r="F647">
        <f>HYPERLINK("https://www.wikidata.org/wiki/Q33369535", "Q33369535")</f>
        <v>0</v>
      </c>
      <c r="G647" t="s">
        <v>1139</v>
      </c>
      <c r="H647" t="s">
        <v>5874</v>
      </c>
      <c r="I647" t="s">
        <v>6860</v>
      </c>
      <c r="J647" t="s">
        <v>11873</v>
      </c>
      <c r="K647" t="s">
        <v>16275</v>
      </c>
      <c r="L647">
        <f>HYPERLINK("https://www2.assemblee-nationale.fr/sycomore/fiche/(num_dept)/5205", "5205")</f>
        <v>0</v>
      </c>
      <c r="N647">
        <f>HYPERLINK("https://www.wikidata.org/wiki/Q16026089", "Q16026089")</f>
        <v>0</v>
      </c>
      <c r="O647" t="s">
        <v>19994</v>
      </c>
      <c r="P647" t="s">
        <v>20404</v>
      </c>
      <c r="Q647" t="s">
        <v>20553</v>
      </c>
      <c r="R647" t="s">
        <v>409</v>
      </c>
      <c r="S647">
        <v>298</v>
      </c>
    </row>
    <row r="648" spans="1:19">
      <c r="A648" t="s">
        <v>19</v>
      </c>
      <c r="B648" t="s">
        <v>148</v>
      </c>
      <c r="C648" t="s">
        <v>151</v>
      </c>
      <c r="D648" t="s">
        <v>280</v>
      </c>
      <c r="E648" t="s">
        <v>409</v>
      </c>
      <c r="F648">
        <f>HYPERLINK("https://www.wikidata.org/wiki/Q33369535", "Q33369535")</f>
        <v>0</v>
      </c>
      <c r="G648" t="s">
        <v>1140</v>
      </c>
      <c r="H648" t="s">
        <v>5875</v>
      </c>
      <c r="I648" t="s">
        <v>6860</v>
      </c>
      <c r="J648" t="s">
        <v>11874</v>
      </c>
      <c r="K648" t="s">
        <v>16276</v>
      </c>
      <c r="L648">
        <f>HYPERLINK("https://www2.assemblee-nationale.fr/sycomore/fiche/(num_dept)/5737", "5737")</f>
        <v>0</v>
      </c>
      <c r="N648">
        <f>HYPERLINK("https://www.wikidata.org/wiki/Q16026284", "Q16026284")</f>
        <v>0</v>
      </c>
      <c r="O648" t="s">
        <v>19965</v>
      </c>
      <c r="P648" t="s">
        <v>20403</v>
      </c>
      <c r="Q648" t="s">
        <v>20554</v>
      </c>
      <c r="R648" t="s">
        <v>409</v>
      </c>
      <c r="S648">
        <v>280</v>
      </c>
    </row>
    <row r="649" spans="1:19">
      <c r="A649" t="s">
        <v>19</v>
      </c>
      <c r="B649" t="s">
        <v>148</v>
      </c>
      <c r="C649" t="s">
        <v>151</v>
      </c>
      <c r="D649" t="s">
        <v>280</v>
      </c>
      <c r="E649" t="s">
        <v>409</v>
      </c>
      <c r="F649">
        <f>HYPERLINK("https://www.wikidata.org/wiki/Q33369535", "Q33369535")</f>
        <v>0</v>
      </c>
      <c r="G649" t="s">
        <v>1141</v>
      </c>
      <c r="H649" t="s">
        <v>5876</v>
      </c>
      <c r="I649" t="s">
        <v>6495</v>
      </c>
      <c r="J649" t="s">
        <v>11875</v>
      </c>
      <c r="K649" t="s">
        <v>16277</v>
      </c>
      <c r="L649">
        <f>HYPERLINK("https://www2.assemblee-nationale.fr/sycomore/fiche/(num_dept)/2423", "2423")</f>
        <v>0</v>
      </c>
      <c r="N649">
        <f>HYPERLINK("https://www.wikidata.org/wiki/Q3261711", "Q3261711")</f>
        <v>0</v>
      </c>
      <c r="O649" t="s">
        <v>19998</v>
      </c>
      <c r="P649" t="s">
        <v>20401</v>
      </c>
      <c r="Q649" t="s">
        <v>20555</v>
      </c>
      <c r="R649" t="s">
        <v>409</v>
      </c>
      <c r="S649">
        <v>273</v>
      </c>
    </row>
    <row r="650" spans="1:19">
      <c r="A650" t="s">
        <v>19</v>
      </c>
      <c r="B650" t="s">
        <v>148</v>
      </c>
      <c r="C650" t="s">
        <v>151</v>
      </c>
      <c r="D650" t="s">
        <v>280</v>
      </c>
      <c r="E650" t="s">
        <v>409</v>
      </c>
      <c r="F650">
        <f>HYPERLINK("https://www.wikidata.org/wiki/Q33369535", "Q33369535")</f>
        <v>0</v>
      </c>
      <c r="G650" t="s">
        <v>1142</v>
      </c>
      <c r="H650" t="s">
        <v>5877</v>
      </c>
      <c r="I650" t="s">
        <v>9675</v>
      </c>
      <c r="J650" t="s">
        <v>11876</v>
      </c>
      <c r="K650" t="s">
        <v>16278</v>
      </c>
      <c r="L650">
        <f>HYPERLINK("https://www2.assemblee-nationale.fr/sycomore/fiche/(num_dept)/4053", "4053")</f>
        <v>0</v>
      </c>
      <c r="M650">
        <f>HYPERLINK("https://www.senat.fr/senateur-3eme-republique/josse_prosper0745r3.html", "josse_prosper0745r3")</f>
        <v>0</v>
      </c>
      <c r="N650">
        <f>HYPERLINK("https://www.wikidata.org/wiki/Q3407787", "Q3407787")</f>
        <v>0</v>
      </c>
      <c r="O650" t="s">
        <v>19992</v>
      </c>
      <c r="Q650" t="s">
        <v>20556</v>
      </c>
      <c r="R650" t="s">
        <v>409</v>
      </c>
      <c r="S650">
        <v>259</v>
      </c>
    </row>
    <row r="651" spans="1:19">
      <c r="A651" t="s">
        <v>19</v>
      </c>
      <c r="B651" t="s">
        <v>148</v>
      </c>
      <c r="C651" t="s">
        <v>151</v>
      </c>
      <c r="D651" t="s">
        <v>280</v>
      </c>
      <c r="E651" t="s">
        <v>409</v>
      </c>
      <c r="F651">
        <f>HYPERLINK("https://www.wikidata.org/wiki/Q33369535", "Q33369535")</f>
        <v>0</v>
      </c>
      <c r="G651" t="s">
        <v>1143</v>
      </c>
      <c r="H651" t="s">
        <v>5878</v>
      </c>
      <c r="I651" t="s">
        <v>6495</v>
      </c>
      <c r="J651" t="s">
        <v>11877</v>
      </c>
      <c r="K651" t="s">
        <v>16279</v>
      </c>
      <c r="L651">
        <f>HYPERLINK("https://www2.assemblee-nationale.fr/sycomore/fiche/(num_dept)/3777", "3777")</f>
        <v>0</v>
      </c>
      <c r="N651">
        <f>HYPERLINK("https://www.wikidata.org/wiki/Q16661316", "Q16661316")</f>
        <v>0</v>
      </c>
      <c r="O651" t="s">
        <v>20002</v>
      </c>
      <c r="P651" t="s">
        <v>20410</v>
      </c>
      <c r="Q651" t="s">
        <v>20557</v>
      </c>
      <c r="R651" t="s">
        <v>409</v>
      </c>
      <c r="S651">
        <v>224</v>
      </c>
    </row>
    <row r="652" spans="1:19">
      <c r="A652" t="s">
        <v>19</v>
      </c>
      <c r="B652" t="s">
        <v>148</v>
      </c>
      <c r="C652" t="s">
        <v>151</v>
      </c>
      <c r="D652" t="s">
        <v>280</v>
      </c>
      <c r="E652" t="s">
        <v>409</v>
      </c>
      <c r="F652">
        <f>HYPERLINK("https://www.wikidata.org/wiki/Q33369535", "Q33369535")</f>
        <v>0</v>
      </c>
      <c r="G652" t="s">
        <v>1144</v>
      </c>
      <c r="H652" t="s">
        <v>5879</v>
      </c>
      <c r="I652" t="s">
        <v>9676</v>
      </c>
      <c r="J652" t="s">
        <v>11878</v>
      </c>
      <c r="K652" t="s">
        <v>16280</v>
      </c>
      <c r="L652">
        <f>HYPERLINK("https://www2.assemblee-nationale.fr/sycomore/fiche/(num_dept)/2045", "2045")</f>
        <v>0</v>
      </c>
      <c r="N652">
        <f>HYPERLINK("https://www.wikidata.org/wiki/Q16025497", "Q16025497")</f>
        <v>0</v>
      </c>
      <c r="O652" t="s">
        <v>19969</v>
      </c>
      <c r="P652" t="s">
        <v>20406</v>
      </c>
      <c r="Q652" t="s">
        <v>20558</v>
      </c>
      <c r="R652" t="s">
        <v>409</v>
      </c>
      <c r="S652">
        <v>189</v>
      </c>
    </row>
    <row r="653" spans="1:19">
      <c r="A653" t="s">
        <v>20</v>
      </c>
      <c r="B653" t="s">
        <v>148</v>
      </c>
      <c r="C653" t="s">
        <v>152</v>
      </c>
      <c r="D653" t="s">
        <v>281</v>
      </c>
      <c r="E653" t="s">
        <v>410</v>
      </c>
      <c r="F653">
        <f>HYPERLINK("https://www.wikidata.org/wiki/Q33528422", "Q33528422")</f>
        <v>0</v>
      </c>
      <c r="G653" t="s">
        <v>1098</v>
      </c>
      <c r="H653" t="s">
        <v>5839</v>
      </c>
      <c r="I653" t="s">
        <v>9659</v>
      </c>
      <c r="J653" t="s">
        <v>11834</v>
      </c>
      <c r="K653" t="s">
        <v>16234</v>
      </c>
      <c r="L653">
        <f>HYPERLINK("https://www2.assemblee-nationale.fr/sycomore/fiche/(num_dept)/2366", "2366")</f>
        <v>0</v>
      </c>
      <c r="N653">
        <f>HYPERLINK("https://www.wikidata.org/wiki/Q3184835", "Q3184835")</f>
        <v>0</v>
      </c>
      <c r="O653" t="s">
        <v>19969</v>
      </c>
      <c r="P653" t="s">
        <v>20410</v>
      </c>
      <c r="Q653" t="s">
        <v>19684</v>
      </c>
      <c r="R653" t="s">
        <v>410</v>
      </c>
      <c r="S653">
        <v>2052</v>
      </c>
    </row>
    <row r="654" spans="1:19">
      <c r="A654" t="s">
        <v>20</v>
      </c>
      <c r="B654" t="s">
        <v>148</v>
      </c>
      <c r="C654" t="s">
        <v>152</v>
      </c>
      <c r="D654" t="s">
        <v>281</v>
      </c>
      <c r="E654" t="s">
        <v>410</v>
      </c>
      <c r="F654">
        <f>HYPERLINK("https://www.wikidata.org/wiki/Q33528422", "Q33528422")</f>
        <v>0</v>
      </c>
      <c r="G654" t="s">
        <v>1145</v>
      </c>
      <c r="H654" t="s">
        <v>5880</v>
      </c>
      <c r="I654" t="s">
        <v>5528</v>
      </c>
      <c r="J654" t="s">
        <v>11879</v>
      </c>
      <c r="K654" t="s">
        <v>16281</v>
      </c>
      <c r="L654">
        <f>HYPERLINK("https://www2.assemblee-nationale.fr/sycomore/fiche/(num_dept)/24", "24")</f>
        <v>0</v>
      </c>
      <c r="N654">
        <f>HYPERLINK("https://www.wikidata.org/wiki/Q2370802", "Q2370802")</f>
        <v>0</v>
      </c>
      <c r="O654" t="s">
        <v>19968</v>
      </c>
      <c r="P654" t="s">
        <v>20412</v>
      </c>
      <c r="Q654" t="s">
        <v>20559</v>
      </c>
      <c r="R654" t="s">
        <v>410</v>
      </c>
      <c r="S654">
        <v>2051</v>
      </c>
    </row>
    <row r="655" spans="1:19">
      <c r="A655" t="s">
        <v>20</v>
      </c>
      <c r="B655" t="s">
        <v>148</v>
      </c>
      <c r="C655" t="s">
        <v>152</v>
      </c>
      <c r="D655" t="s">
        <v>281</v>
      </c>
      <c r="E655" t="s">
        <v>410</v>
      </c>
      <c r="F655">
        <f>HYPERLINK("https://www.wikidata.org/wiki/Q33528422", "Q33528422")</f>
        <v>0</v>
      </c>
      <c r="G655" t="s">
        <v>495</v>
      </c>
      <c r="H655" t="s">
        <v>5260</v>
      </c>
      <c r="I655" t="s">
        <v>7642</v>
      </c>
      <c r="J655" t="s">
        <v>11247</v>
      </c>
      <c r="K655" t="s">
        <v>15647</v>
      </c>
      <c r="L655">
        <f>HYPERLINK("https://www2.assemblee-nationale.fr/sycomore/fiche/(num_dept)/61", "61")</f>
        <v>0</v>
      </c>
      <c r="M655">
        <f>HYPERLINK("https://www.senat.fr/senateur-3eme-republique/ajam_pierre1240r3.html", "ajam_pierre1240r3")</f>
        <v>0</v>
      </c>
      <c r="N655">
        <f>HYPERLINK("https://www.wikidata.org/wiki/Q3383653", "Q3383653")</f>
        <v>0</v>
      </c>
      <c r="O655" t="s">
        <v>19956</v>
      </c>
      <c r="P655" t="s">
        <v>20413</v>
      </c>
      <c r="Q655" t="s">
        <v>20559</v>
      </c>
      <c r="R655" t="s">
        <v>410</v>
      </c>
      <c r="S655">
        <v>2051</v>
      </c>
    </row>
    <row r="656" spans="1:19">
      <c r="A656" t="s">
        <v>20</v>
      </c>
      <c r="B656" t="s">
        <v>148</v>
      </c>
      <c r="C656" t="s">
        <v>152</v>
      </c>
      <c r="D656" t="s">
        <v>281</v>
      </c>
      <c r="E656" t="s">
        <v>410</v>
      </c>
      <c r="F656">
        <f>HYPERLINK("https://www.wikidata.org/wiki/Q33528422", "Q33528422")</f>
        <v>0</v>
      </c>
      <c r="G656" t="s">
        <v>498</v>
      </c>
      <c r="H656" t="s">
        <v>5263</v>
      </c>
      <c r="I656" t="s">
        <v>9369</v>
      </c>
      <c r="J656" t="s">
        <v>11250</v>
      </c>
      <c r="K656" t="s">
        <v>15650</v>
      </c>
      <c r="L656">
        <f>HYPERLINK("https://www2.assemblee-nationale.fr/sycomore/fiche/(num_dept)/72", "72")</f>
        <v>0</v>
      </c>
      <c r="N656">
        <f>HYPERLINK("https://www.wikidata.org/wiki/Q3099819", "Q3099819")</f>
        <v>0</v>
      </c>
      <c r="O656" t="s">
        <v>19959</v>
      </c>
      <c r="P656" t="s">
        <v>20404</v>
      </c>
      <c r="Q656" t="s">
        <v>20559</v>
      </c>
      <c r="R656" t="s">
        <v>15650</v>
      </c>
      <c r="S656">
        <v>693</v>
      </c>
    </row>
    <row r="657" spans="1:19">
      <c r="A657" t="s">
        <v>20</v>
      </c>
      <c r="B657" t="s">
        <v>148</v>
      </c>
      <c r="C657" t="s">
        <v>152</v>
      </c>
      <c r="D657" t="s">
        <v>281</v>
      </c>
      <c r="E657" t="s">
        <v>410</v>
      </c>
      <c r="F657">
        <f>HYPERLINK("https://www.wikidata.org/wiki/Q33528422", "Q33528422")</f>
        <v>0</v>
      </c>
      <c r="G657" t="s">
        <v>499</v>
      </c>
      <c r="H657" t="s">
        <v>5264</v>
      </c>
      <c r="I657" t="s">
        <v>9370</v>
      </c>
      <c r="J657" t="s">
        <v>11251</v>
      </c>
      <c r="K657" t="s">
        <v>15651</v>
      </c>
      <c r="L657">
        <f>HYPERLINK("https://www2.assemblee-nationale.fr/sycomore/fiche/(num_dept)/80", "80")</f>
        <v>0</v>
      </c>
      <c r="N657">
        <f>HYPERLINK("https://www.wikidata.org/wiki/Q12948740", "Q12948740")</f>
        <v>0</v>
      </c>
      <c r="O657" t="s">
        <v>19960</v>
      </c>
      <c r="P657" t="s">
        <v>20404</v>
      </c>
      <c r="Q657" t="s">
        <v>20559</v>
      </c>
      <c r="R657" t="s">
        <v>410</v>
      </c>
      <c r="S657">
        <v>2051</v>
      </c>
    </row>
    <row r="658" spans="1:19">
      <c r="A658" t="s">
        <v>20</v>
      </c>
      <c r="B658" t="s">
        <v>148</v>
      </c>
      <c r="C658" t="s">
        <v>152</v>
      </c>
      <c r="D658" t="s">
        <v>281</v>
      </c>
      <c r="E658" t="s">
        <v>410</v>
      </c>
      <c r="F658">
        <f>HYPERLINK("https://www.wikidata.org/wiki/Q33528422", "Q33528422")</f>
        <v>0</v>
      </c>
      <c r="G658" t="s">
        <v>1146</v>
      </c>
      <c r="H658" t="s">
        <v>5881</v>
      </c>
      <c r="I658" t="s">
        <v>5592</v>
      </c>
      <c r="J658" t="s">
        <v>11880</v>
      </c>
      <c r="K658" t="s">
        <v>16282</v>
      </c>
      <c r="L658">
        <f>HYPERLINK("https://www2.assemblee-nationale.fr/sycomore/fiche/(num_dept)/116", "116")</f>
        <v>0</v>
      </c>
      <c r="N658">
        <f>HYPERLINK("https://www.wikidata.org/wiki/Q2380639", "Q2380639")</f>
        <v>0</v>
      </c>
      <c r="O658" t="s">
        <v>19976</v>
      </c>
      <c r="P658" t="s">
        <v>20402</v>
      </c>
      <c r="Q658" t="s">
        <v>20559</v>
      </c>
      <c r="R658" t="s">
        <v>410</v>
      </c>
      <c r="S658">
        <v>2051</v>
      </c>
    </row>
    <row r="659" spans="1:19">
      <c r="A659" t="s">
        <v>20</v>
      </c>
      <c r="B659" t="s">
        <v>148</v>
      </c>
      <c r="C659" t="s">
        <v>152</v>
      </c>
      <c r="D659" t="s">
        <v>281</v>
      </c>
      <c r="E659" t="s">
        <v>410</v>
      </c>
      <c r="F659">
        <f>HYPERLINK("https://www.wikidata.org/wiki/Q33528422", "Q33528422")</f>
        <v>0</v>
      </c>
      <c r="G659" t="s">
        <v>1109</v>
      </c>
      <c r="H659" t="s">
        <v>5850</v>
      </c>
      <c r="I659" t="s">
        <v>9663</v>
      </c>
      <c r="J659" t="s">
        <v>11843</v>
      </c>
      <c r="K659" t="s">
        <v>16245</v>
      </c>
      <c r="L659">
        <f>HYPERLINK("https://www2.assemblee-nationale.fr/sycomore/fiche/(num_dept)/119", "119")</f>
        <v>0</v>
      </c>
      <c r="N659">
        <f>HYPERLINK("https://www.wikidata.org/wiki/Q3102182", "Q3102182")</f>
        <v>0</v>
      </c>
      <c r="O659" t="s">
        <v>19978</v>
      </c>
      <c r="P659" t="s">
        <v>20409</v>
      </c>
      <c r="Q659" t="s">
        <v>20559</v>
      </c>
      <c r="R659" t="s">
        <v>410</v>
      </c>
      <c r="S659">
        <v>2051</v>
      </c>
    </row>
    <row r="660" spans="1:19">
      <c r="A660" t="s">
        <v>20</v>
      </c>
      <c r="B660" t="s">
        <v>148</v>
      </c>
      <c r="C660" t="s">
        <v>152</v>
      </c>
      <c r="D660" t="s">
        <v>281</v>
      </c>
      <c r="E660" t="s">
        <v>410</v>
      </c>
      <c r="F660">
        <f>HYPERLINK("https://www.wikidata.org/wiki/Q33528422", "Q33528422")</f>
        <v>0</v>
      </c>
      <c r="G660" t="s">
        <v>860</v>
      </c>
      <c r="H660" t="s">
        <v>5616</v>
      </c>
      <c r="I660" t="s">
        <v>6585</v>
      </c>
      <c r="J660" t="s">
        <v>11606</v>
      </c>
      <c r="K660" t="s">
        <v>16008</v>
      </c>
      <c r="L660">
        <f>HYPERLINK("https://www2.assemblee-nationale.fr/sycomore/fiche/(num_dept)/136", "136")</f>
        <v>0</v>
      </c>
      <c r="N660">
        <f>HYPERLINK("https://www.wikidata.org/wiki/Q2847958", "Q2847958")</f>
        <v>0</v>
      </c>
      <c r="O660" t="s">
        <v>20037</v>
      </c>
      <c r="P660" t="s">
        <v>20413</v>
      </c>
      <c r="Q660" t="s">
        <v>20559</v>
      </c>
      <c r="R660" t="s">
        <v>410</v>
      </c>
      <c r="S660">
        <v>2051</v>
      </c>
    </row>
    <row r="661" spans="1:19">
      <c r="A661" t="s">
        <v>20</v>
      </c>
      <c r="B661" t="s">
        <v>148</v>
      </c>
      <c r="C661" t="s">
        <v>152</v>
      </c>
      <c r="D661" t="s">
        <v>281</v>
      </c>
      <c r="E661" t="s">
        <v>410</v>
      </c>
      <c r="F661">
        <f>HYPERLINK("https://www.wikidata.org/wiki/Q33528422", "Q33528422")</f>
        <v>0</v>
      </c>
      <c r="G661" t="s">
        <v>501</v>
      </c>
      <c r="H661" t="s">
        <v>5266</v>
      </c>
      <c r="I661" t="s">
        <v>9372</v>
      </c>
      <c r="J661" t="s">
        <v>11253</v>
      </c>
      <c r="K661" t="s">
        <v>15653</v>
      </c>
      <c r="L661">
        <f>HYPERLINK("https://www2.assemblee-nationale.fr/sycomore/fiche/(num_dept)/137", "137")</f>
        <v>0</v>
      </c>
      <c r="M661">
        <f>HYPERLINK("https://www.senat.fr/senateur-3eme-republique/andrieu_edouard1688r3.html", "andrieu_edouard1688r3")</f>
        <v>0</v>
      </c>
      <c r="N661">
        <f>HYPERLINK("https://www.wikidata.org/wiki/Q3579721", "Q3579721")</f>
        <v>0</v>
      </c>
      <c r="O661" t="s">
        <v>19962</v>
      </c>
      <c r="P661" t="s">
        <v>20413</v>
      </c>
      <c r="Q661" t="s">
        <v>20559</v>
      </c>
      <c r="R661" t="s">
        <v>410</v>
      </c>
      <c r="S661">
        <v>2051</v>
      </c>
    </row>
    <row r="662" spans="1:19">
      <c r="A662" t="s">
        <v>20</v>
      </c>
      <c r="B662" t="s">
        <v>148</v>
      </c>
      <c r="C662" t="s">
        <v>152</v>
      </c>
      <c r="D662" t="s">
        <v>281</v>
      </c>
      <c r="E662" t="s">
        <v>410</v>
      </c>
      <c r="F662">
        <f>HYPERLINK("https://www.wikidata.org/wiki/Q33528422", "Q33528422")</f>
        <v>0</v>
      </c>
      <c r="G662" t="s">
        <v>1147</v>
      </c>
      <c r="H662" t="s">
        <v>5882</v>
      </c>
      <c r="I662" t="s">
        <v>9677</v>
      </c>
      <c r="J662" t="s">
        <v>11881</v>
      </c>
      <c r="K662" t="s">
        <v>16283</v>
      </c>
      <c r="L662">
        <f>HYPERLINK("https://www2.assemblee-nationale.fr/sycomore/fiche/(num_dept)/147", "147")</f>
        <v>0</v>
      </c>
      <c r="N662">
        <f>HYPERLINK("https://www.wikidata.org/wiki/Q2404266", "Q2404266")</f>
        <v>0</v>
      </c>
      <c r="O662" t="s">
        <v>20033</v>
      </c>
      <c r="P662" t="s">
        <v>20413</v>
      </c>
      <c r="Q662" t="s">
        <v>20559</v>
      </c>
      <c r="R662" t="s">
        <v>410</v>
      </c>
      <c r="S662">
        <v>2051</v>
      </c>
    </row>
    <row r="663" spans="1:19">
      <c r="A663" t="s">
        <v>20</v>
      </c>
      <c r="B663" t="s">
        <v>148</v>
      </c>
      <c r="C663" t="s">
        <v>152</v>
      </c>
      <c r="D663" t="s">
        <v>281</v>
      </c>
      <c r="E663" t="s">
        <v>410</v>
      </c>
      <c r="F663">
        <f>HYPERLINK("https://www.wikidata.org/wiki/Q33528422", "Q33528422")</f>
        <v>0</v>
      </c>
      <c r="G663" t="s">
        <v>1148</v>
      </c>
      <c r="H663" t="s">
        <v>5883</v>
      </c>
      <c r="I663" t="s">
        <v>9678</v>
      </c>
      <c r="J663" t="s">
        <v>11882</v>
      </c>
      <c r="K663" t="s">
        <v>16284</v>
      </c>
      <c r="L663">
        <f>HYPERLINK("https://www2.assemblee-nationale.fr/sycomore/fiche/(num_dept)/169", "169")</f>
        <v>0</v>
      </c>
      <c r="N663">
        <f>HYPERLINK("https://www.wikidata.org/wiki/Q3385585", "Q3385585")</f>
        <v>0</v>
      </c>
      <c r="O663" t="s">
        <v>20024</v>
      </c>
      <c r="P663" t="s">
        <v>20402</v>
      </c>
      <c r="Q663" t="s">
        <v>20559</v>
      </c>
      <c r="R663" t="s">
        <v>410</v>
      </c>
      <c r="S663">
        <v>2051</v>
      </c>
    </row>
    <row r="664" spans="1:19">
      <c r="A664" t="s">
        <v>20</v>
      </c>
      <c r="B664" t="s">
        <v>148</v>
      </c>
      <c r="C664" t="s">
        <v>152</v>
      </c>
      <c r="D664" t="s">
        <v>281</v>
      </c>
      <c r="E664" t="s">
        <v>410</v>
      </c>
      <c r="F664">
        <f>HYPERLINK("https://www.wikidata.org/wiki/Q33528422", "Q33528422")</f>
        <v>0</v>
      </c>
      <c r="G664" t="s">
        <v>503</v>
      </c>
      <c r="H664" t="s">
        <v>5268</v>
      </c>
      <c r="I664" t="s">
        <v>6495</v>
      </c>
      <c r="J664" t="s">
        <v>11255</v>
      </c>
      <c r="K664" t="s">
        <v>15655</v>
      </c>
      <c r="L664">
        <f>HYPERLINK("https://www2.assemblee-nationale.fr/sycomore/fiche/(num_dept)/195", "195")</f>
        <v>0</v>
      </c>
      <c r="N664">
        <f>HYPERLINK("https://www.wikidata.org/wiki/Q3261103", "Q3261103")</f>
        <v>0</v>
      </c>
      <c r="O664" t="s">
        <v>19964</v>
      </c>
      <c r="P664" t="s">
        <v>20401</v>
      </c>
      <c r="Q664" t="s">
        <v>20559</v>
      </c>
      <c r="R664" t="s">
        <v>15655</v>
      </c>
      <c r="S664">
        <v>1241</v>
      </c>
    </row>
    <row r="665" spans="1:19">
      <c r="A665" t="s">
        <v>20</v>
      </c>
      <c r="B665" t="s">
        <v>148</v>
      </c>
      <c r="C665" t="s">
        <v>152</v>
      </c>
      <c r="D665" t="s">
        <v>281</v>
      </c>
      <c r="E665" t="s">
        <v>410</v>
      </c>
      <c r="F665">
        <f>HYPERLINK("https://www.wikidata.org/wiki/Q33528422", "Q33528422")</f>
        <v>0</v>
      </c>
      <c r="G665" t="s">
        <v>1103</v>
      </c>
      <c r="H665" t="s">
        <v>5844</v>
      </c>
      <c r="I665" t="s">
        <v>9661</v>
      </c>
      <c r="J665" t="s">
        <v>11578</v>
      </c>
      <c r="K665" t="s">
        <v>16239</v>
      </c>
      <c r="L665">
        <f>HYPERLINK("https://www2.assemblee-nationale.fr/sycomore/fiche/(num_dept)/263", "263")</f>
        <v>0</v>
      </c>
      <c r="N665">
        <f>HYPERLINK("https://www.wikidata.org/wiki/Q16025417", "Q16025417")</f>
        <v>0</v>
      </c>
      <c r="O665" t="s">
        <v>19967</v>
      </c>
      <c r="P665" t="s">
        <v>20410</v>
      </c>
      <c r="Q665" t="s">
        <v>20559</v>
      </c>
      <c r="R665" t="s">
        <v>410</v>
      </c>
      <c r="S665">
        <v>2051</v>
      </c>
    </row>
    <row r="666" spans="1:19">
      <c r="A666" t="s">
        <v>20</v>
      </c>
      <c r="B666" t="s">
        <v>148</v>
      </c>
      <c r="C666" t="s">
        <v>152</v>
      </c>
      <c r="D666" t="s">
        <v>281</v>
      </c>
      <c r="E666" t="s">
        <v>410</v>
      </c>
      <c r="F666">
        <f>HYPERLINK("https://www.wikidata.org/wiki/Q33528422", "Q33528422")</f>
        <v>0</v>
      </c>
      <c r="G666" t="s">
        <v>506</v>
      </c>
      <c r="H666" t="s">
        <v>5271</v>
      </c>
      <c r="I666" t="s">
        <v>9376</v>
      </c>
      <c r="J666" t="s">
        <v>11258</v>
      </c>
      <c r="K666" t="s">
        <v>15658</v>
      </c>
      <c r="L666">
        <f>HYPERLINK("https://www2.assemblee-nationale.fr/sycomore/fiche/(num_dept)/326", "326")</f>
        <v>0</v>
      </c>
      <c r="N666">
        <f>HYPERLINK("https://www.wikidata.org/wiki/Q15973431", "Q15973431")</f>
        <v>0</v>
      </c>
      <c r="O666" t="s">
        <v>19966</v>
      </c>
      <c r="P666" t="s">
        <v>20413</v>
      </c>
      <c r="Q666" t="s">
        <v>20559</v>
      </c>
      <c r="R666" t="s">
        <v>410</v>
      </c>
      <c r="S666">
        <v>2051</v>
      </c>
    </row>
    <row r="667" spans="1:19">
      <c r="A667" t="s">
        <v>20</v>
      </c>
      <c r="B667" t="s">
        <v>148</v>
      </c>
      <c r="C667" t="s">
        <v>152</v>
      </c>
      <c r="D667" t="s">
        <v>281</v>
      </c>
      <c r="E667" t="s">
        <v>410</v>
      </c>
      <c r="F667">
        <f>HYPERLINK("https://www.wikidata.org/wiki/Q33528422", "Q33528422")</f>
        <v>0</v>
      </c>
      <c r="G667" t="s">
        <v>1090</v>
      </c>
      <c r="H667" t="s">
        <v>5832</v>
      </c>
      <c r="I667" t="s">
        <v>9658</v>
      </c>
      <c r="J667" t="s">
        <v>11826</v>
      </c>
      <c r="K667" t="s">
        <v>15988</v>
      </c>
      <c r="L667">
        <f>HYPERLINK("https://www2.assemblee-nationale.fr/sycomore/fiche/(num_dept)/331", "331")</f>
        <v>0</v>
      </c>
      <c r="N667">
        <f>HYPERLINK("https://www.wikidata.org/wiki/Q3382742", "Q3382742")</f>
        <v>0</v>
      </c>
      <c r="O667" t="s">
        <v>19978</v>
      </c>
      <c r="P667" t="s">
        <v>20409</v>
      </c>
      <c r="Q667" t="s">
        <v>20559</v>
      </c>
      <c r="R667" t="s">
        <v>410</v>
      </c>
      <c r="S667">
        <v>2051</v>
      </c>
    </row>
    <row r="668" spans="1:19">
      <c r="A668" t="s">
        <v>20</v>
      </c>
      <c r="B668" t="s">
        <v>148</v>
      </c>
      <c r="C668" t="s">
        <v>152</v>
      </c>
      <c r="D668" t="s">
        <v>281</v>
      </c>
      <c r="E668" t="s">
        <v>410</v>
      </c>
      <c r="F668">
        <f>HYPERLINK("https://www.wikidata.org/wiki/Q33528422", "Q33528422")</f>
        <v>0</v>
      </c>
      <c r="G668" t="s">
        <v>870</v>
      </c>
      <c r="H668" t="s">
        <v>5626</v>
      </c>
      <c r="I668" t="s">
        <v>9566</v>
      </c>
      <c r="J668" t="s">
        <v>11616</v>
      </c>
      <c r="K668" t="s">
        <v>16018</v>
      </c>
      <c r="L668">
        <f>HYPERLINK("https://www2.assemblee-nationale.fr/sycomore/fiche/(num_dept)/351", "351")</f>
        <v>0</v>
      </c>
      <c r="N668">
        <f>HYPERLINK("https://www.wikidata.org/wiki/Q2847193", "Q2847193")</f>
        <v>0</v>
      </c>
      <c r="O668" t="s">
        <v>19987</v>
      </c>
      <c r="P668" t="s">
        <v>20414</v>
      </c>
      <c r="Q668" t="s">
        <v>20559</v>
      </c>
      <c r="R668" t="s">
        <v>410</v>
      </c>
      <c r="S668">
        <v>2051</v>
      </c>
    </row>
    <row r="669" spans="1:19">
      <c r="A669" t="s">
        <v>20</v>
      </c>
      <c r="B669" t="s">
        <v>148</v>
      </c>
      <c r="C669" t="s">
        <v>152</v>
      </c>
      <c r="D669" t="s">
        <v>281</v>
      </c>
      <c r="E669" t="s">
        <v>410</v>
      </c>
      <c r="F669">
        <f>HYPERLINK("https://www.wikidata.org/wiki/Q33528422", "Q33528422")</f>
        <v>0</v>
      </c>
      <c r="G669" t="s">
        <v>510</v>
      </c>
      <c r="H669" t="s">
        <v>5275</v>
      </c>
      <c r="I669" t="s">
        <v>9380</v>
      </c>
      <c r="J669" t="s">
        <v>11262</v>
      </c>
      <c r="K669" t="s">
        <v>15662</v>
      </c>
      <c r="L669">
        <f>HYPERLINK("https://www2.assemblee-nationale.fr/sycomore/fiche/(num_dept)/434", "434")</f>
        <v>0</v>
      </c>
      <c r="N669">
        <f>HYPERLINK("https://www.wikidata.org/wiki/Q314957", "Q314957")</f>
        <v>0</v>
      </c>
      <c r="O669" t="s">
        <v>19969</v>
      </c>
      <c r="P669" t="s">
        <v>20409</v>
      </c>
      <c r="Q669" t="s">
        <v>20559</v>
      </c>
      <c r="R669" t="s">
        <v>410</v>
      </c>
      <c r="S669">
        <v>2051</v>
      </c>
    </row>
    <row r="670" spans="1:19">
      <c r="A670" t="s">
        <v>20</v>
      </c>
      <c r="B670" t="s">
        <v>148</v>
      </c>
      <c r="C670" t="s">
        <v>152</v>
      </c>
      <c r="D670" t="s">
        <v>281</v>
      </c>
      <c r="E670" t="s">
        <v>410</v>
      </c>
      <c r="F670">
        <f>HYPERLINK("https://www.wikidata.org/wiki/Q33528422", "Q33528422")</f>
        <v>0</v>
      </c>
      <c r="G670" t="s">
        <v>511</v>
      </c>
      <c r="H670" t="s">
        <v>5276</v>
      </c>
      <c r="I670" t="s">
        <v>9375</v>
      </c>
      <c r="J670" t="s">
        <v>11263</v>
      </c>
      <c r="K670" t="s">
        <v>15663</v>
      </c>
      <c r="L670">
        <f>HYPERLINK("https://www2.assemblee-nationale.fr/sycomore/fiche/(num_dept)/442", "442")</f>
        <v>0</v>
      </c>
      <c r="N670">
        <f>HYPERLINK("https://www.wikidata.org/wiki/Q3579735", "Q3579735")</f>
        <v>0</v>
      </c>
      <c r="O670" t="s">
        <v>7411</v>
      </c>
      <c r="P670" t="s">
        <v>20404</v>
      </c>
      <c r="Q670" t="s">
        <v>20559</v>
      </c>
      <c r="R670" t="s">
        <v>410</v>
      </c>
      <c r="S670">
        <v>2051</v>
      </c>
    </row>
    <row r="671" spans="1:19">
      <c r="A671" t="s">
        <v>20</v>
      </c>
      <c r="B671" t="s">
        <v>148</v>
      </c>
      <c r="C671" t="s">
        <v>152</v>
      </c>
      <c r="D671" t="s">
        <v>281</v>
      </c>
      <c r="E671" t="s">
        <v>410</v>
      </c>
      <c r="F671">
        <f>HYPERLINK("https://www.wikidata.org/wiki/Q33528422", "Q33528422")</f>
        <v>0</v>
      </c>
      <c r="G671" t="s">
        <v>512</v>
      </c>
      <c r="H671" t="s">
        <v>5277</v>
      </c>
      <c r="I671" t="s">
        <v>6495</v>
      </c>
      <c r="J671" t="s">
        <v>11264</v>
      </c>
      <c r="K671" t="s">
        <v>15664</v>
      </c>
      <c r="L671">
        <f>HYPERLINK("https://www2.assemblee-nationale.fr/sycomore/fiche/(num_dept)/451", "451")</f>
        <v>0</v>
      </c>
      <c r="M671">
        <f>HYPERLINK("https://www.senat.fr/senateur-3eme-republique/barthou_louis1071r3.html", "barthou_louis1071r3")</f>
        <v>0</v>
      </c>
      <c r="N671">
        <f>HYPERLINK("https://www.wikidata.org/wiki/Q271887", "Q271887")</f>
        <v>0</v>
      </c>
      <c r="O671" t="s">
        <v>19970</v>
      </c>
      <c r="P671" t="s">
        <v>20412</v>
      </c>
      <c r="Q671" t="s">
        <v>20559</v>
      </c>
      <c r="R671" t="s">
        <v>410</v>
      </c>
      <c r="S671">
        <v>2051</v>
      </c>
    </row>
    <row r="672" spans="1:19">
      <c r="A672" t="s">
        <v>20</v>
      </c>
      <c r="B672" t="s">
        <v>148</v>
      </c>
      <c r="C672" t="s">
        <v>152</v>
      </c>
      <c r="D672" t="s">
        <v>281</v>
      </c>
      <c r="E672" t="s">
        <v>410</v>
      </c>
      <c r="F672">
        <f>HYPERLINK("https://www.wikidata.org/wiki/Q33528422", "Q33528422")</f>
        <v>0</v>
      </c>
      <c r="G672" t="s">
        <v>513</v>
      </c>
      <c r="H672" t="s">
        <v>5278</v>
      </c>
      <c r="I672" t="s">
        <v>9381</v>
      </c>
      <c r="J672" t="s">
        <v>11265</v>
      </c>
      <c r="K672" t="s">
        <v>15665</v>
      </c>
      <c r="L672">
        <f>HYPERLINK("https://www2.assemblee-nationale.fr/sycomore/fiche/(num_dept)/462", "462")</f>
        <v>0</v>
      </c>
      <c r="N672">
        <f>HYPERLINK("https://www.wikidata.org/wiki/Q3588329", "Q3588329")</f>
        <v>0</v>
      </c>
      <c r="O672" t="s">
        <v>19968</v>
      </c>
      <c r="P672" t="s">
        <v>20404</v>
      </c>
      <c r="Q672" t="s">
        <v>20559</v>
      </c>
      <c r="R672" t="s">
        <v>410</v>
      </c>
      <c r="S672">
        <v>2051</v>
      </c>
    </row>
    <row r="673" spans="1:19">
      <c r="A673" t="s">
        <v>20</v>
      </c>
      <c r="B673" t="s">
        <v>148</v>
      </c>
      <c r="C673" t="s">
        <v>152</v>
      </c>
      <c r="D673" t="s">
        <v>281</v>
      </c>
      <c r="E673" t="s">
        <v>410</v>
      </c>
      <c r="F673">
        <f>HYPERLINK("https://www.wikidata.org/wiki/Q33528422", "Q33528422")</f>
        <v>0</v>
      </c>
      <c r="G673" t="s">
        <v>514</v>
      </c>
      <c r="H673" t="s">
        <v>5279</v>
      </c>
      <c r="I673" t="s">
        <v>9382</v>
      </c>
      <c r="J673" t="s">
        <v>11266</v>
      </c>
      <c r="K673" t="s">
        <v>15666</v>
      </c>
      <c r="L673">
        <f>HYPERLINK("https://www2.assemblee-nationale.fr/sycomore/fiche/(num_dept)/488", "488")</f>
        <v>0</v>
      </c>
      <c r="M673">
        <f>HYPERLINK("https://www.senat.fr/senateur-3eme-republique/baudet_charles0578r3.html", "baudet_charles0578r3")</f>
        <v>0</v>
      </c>
      <c r="N673">
        <f>HYPERLINK("https://www.wikidata.org/wiki/Q2958489", "Q2958489")</f>
        <v>0</v>
      </c>
      <c r="O673" t="s">
        <v>19964</v>
      </c>
      <c r="P673" t="s">
        <v>20413</v>
      </c>
      <c r="Q673" t="s">
        <v>20559</v>
      </c>
      <c r="R673" t="s">
        <v>410</v>
      </c>
      <c r="S673">
        <v>2051</v>
      </c>
    </row>
    <row r="674" spans="1:19">
      <c r="A674" t="s">
        <v>20</v>
      </c>
      <c r="B674" t="s">
        <v>148</v>
      </c>
      <c r="C674" t="s">
        <v>152</v>
      </c>
      <c r="D674" t="s">
        <v>281</v>
      </c>
      <c r="E674" t="s">
        <v>410</v>
      </c>
      <c r="F674">
        <f>HYPERLINK("https://www.wikidata.org/wiki/Q33528422", "Q33528422")</f>
        <v>0</v>
      </c>
      <c r="G674" t="s">
        <v>1149</v>
      </c>
      <c r="H674" t="s">
        <v>5884</v>
      </c>
      <c r="I674" t="s">
        <v>9474</v>
      </c>
      <c r="J674" t="s">
        <v>11883</v>
      </c>
      <c r="K674" t="s">
        <v>16285</v>
      </c>
      <c r="L674">
        <f>HYPERLINK("https://www2.assemblee-nationale.fr/sycomore/fiche/(num_dept)/495", "495")</f>
        <v>0</v>
      </c>
      <c r="N674">
        <f>HYPERLINK("https://www.wikidata.org/wiki/Q15973531", "Q15973531")</f>
        <v>0</v>
      </c>
      <c r="O674" t="s">
        <v>19999</v>
      </c>
      <c r="P674" t="s">
        <v>20413</v>
      </c>
      <c r="Q674" t="s">
        <v>20559</v>
      </c>
      <c r="R674" t="s">
        <v>410</v>
      </c>
      <c r="S674">
        <v>2051</v>
      </c>
    </row>
    <row r="675" spans="1:19">
      <c r="A675" t="s">
        <v>20</v>
      </c>
      <c r="B675" t="s">
        <v>148</v>
      </c>
      <c r="C675" t="s">
        <v>152</v>
      </c>
      <c r="D675" t="s">
        <v>281</v>
      </c>
      <c r="E675" t="s">
        <v>410</v>
      </c>
      <c r="F675">
        <f>HYPERLINK("https://www.wikidata.org/wiki/Q33528422", "Q33528422")</f>
        <v>0</v>
      </c>
      <c r="G675" t="s">
        <v>1150</v>
      </c>
      <c r="H675" t="s">
        <v>5885</v>
      </c>
      <c r="I675" t="s">
        <v>7790</v>
      </c>
      <c r="J675" t="s">
        <v>11884</v>
      </c>
      <c r="K675" t="s">
        <v>16286</v>
      </c>
      <c r="L675">
        <f>HYPERLINK("https://www2.assemblee-nationale.fr/sycomore/fiche/(num_dept)/500", "500")</f>
        <v>0</v>
      </c>
      <c r="M675">
        <f>HYPERLINK("https://www.senat.fr/senateur-3eme-republique/de_baudry_d_asson_armand1755r3.html", "de_baudry_d_asson_armand1755r3")</f>
        <v>0</v>
      </c>
      <c r="N675">
        <f>HYPERLINK("https://www.wikidata.org/wiki/Q2861799", "Q2861799")</f>
        <v>0</v>
      </c>
      <c r="O675" t="s">
        <v>19972</v>
      </c>
      <c r="P675" t="s">
        <v>20408</v>
      </c>
      <c r="Q675" t="s">
        <v>20559</v>
      </c>
      <c r="R675" t="s">
        <v>410</v>
      </c>
      <c r="S675">
        <v>2051</v>
      </c>
    </row>
    <row r="676" spans="1:19">
      <c r="A676" t="s">
        <v>20</v>
      </c>
      <c r="B676" t="s">
        <v>148</v>
      </c>
      <c r="C676" t="s">
        <v>152</v>
      </c>
      <c r="D676" t="s">
        <v>281</v>
      </c>
      <c r="E676" t="s">
        <v>410</v>
      </c>
      <c r="F676">
        <f>HYPERLINK("https://www.wikidata.org/wiki/Q33528422", "Q33528422")</f>
        <v>0</v>
      </c>
      <c r="G676" t="s">
        <v>518</v>
      </c>
      <c r="H676" t="s">
        <v>5282</v>
      </c>
      <c r="I676" t="s">
        <v>9386</v>
      </c>
      <c r="J676" t="s">
        <v>11270</v>
      </c>
      <c r="K676" t="s">
        <v>15670</v>
      </c>
      <c r="L676">
        <f>HYPERLINK("https://www2.assemblee-nationale.fr/sycomore/fiche/(num_dept)/540", "540")</f>
        <v>0</v>
      </c>
      <c r="N676">
        <f>HYPERLINK("https://www.wikidata.org/wiki/Q3370596", "Q3370596")</f>
        <v>0</v>
      </c>
      <c r="O676" t="s">
        <v>19969</v>
      </c>
      <c r="P676" t="s">
        <v>20414</v>
      </c>
      <c r="Q676" t="s">
        <v>20559</v>
      </c>
      <c r="R676" t="s">
        <v>410</v>
      </c>
      <c r="S676">
        <v>2051</v>
      </c>
    </row>
    <row r="677" spans="1:19">
      <c r="A677" t="s">
        <v>20</v>
      </c>
      <c r="B677" t="s">
        <v>148</v>
      </c>
      <c r="C677" t="s">
        <v>152</v>
      </c>
      <c r="D677" t="s">
        <v>281</v>
      </c>
      <c r="E677" t="s">
        <v>410</v>
      </c>
      <c r="F677">
        <f>HYPERLINK("https://www.wikidata.org/wiki/Q33528422", "Q33528422")</f>
        <v>0</v>
      </c>
      <c r="G677" t="s">
        <v>519</v>
      </c>
      <c r="H677" t="s">
        <v>5283</v>
      </c>
      <c r="I677" t="s">
        <v>9387</v>
      </c>
      <c r="J677" t="s">
        <v>11271</v>
      </c>
      <c r="K677" t="s">
        <v>15671</v>
      </c>
      <c r="L677">
        <f>HYPERLINK("https://www2.assemblee-nationale.fr/sycomore/fiche/(num_dept)/548", "548")</f>
        <v>0</v>
      </c>
      <c r="N677">
        <f>HYPERLINK("https://www.wikidata.org/wiki/Q16025560", "Q16025560")</f>
        <v>0</v>
      </c>
      <c r="O677" t="s">
        <v>19974</v>
      </c>
      <c r="P677" t="s">
        <v>20413</v>
      </c>
      <c r="Q677" t="s">
        <v>20559</v>
      </c>
      <c r="R677" t="s">
        <v>410</v>
      </c>
      <c r="S677">
        <v>2051</v>
      </c>
    </row>
    <row r="678" spans="1:19">
      <c r="A678" t="s">
        <v>20</v>
      </c>
      <c r="B678" t="s">
        <v>148</v>
      </c>
      <c r="C678" t="s">
        <v>152</v>
      </c>
      <c r="D678" t="s">
        <v>281</v>
      </c>
      <c r="E678" t="s">
        <v>410</v>
      </c>
      <c r="F678">
        <f>HYPERLINK("https://www.wikidata.org/wiki/Q33528422", "Q33528422")</f>
        <v>0</v>
      </c>
      <c r="G678" t="s">
        <v>1151</v>
      </c>
      <c r="H678" t="s">
        <v>5886</v>
      </c>
      <c r="I678" t="s">
        <v>9679</v>
      </c>
      <c r="J678" t="s">
        <v>11885</v>
      </c>
      <c r="K678" t="s">
        <v>15857</v>
      </c>
      <c r="L678">
        <f>HYPERLINK("https://www2.assemblee-nationale.fr/sycomore/fiche/(num_dept)/583", "583")</f>
        <v>0</v>
      </c>
      <c r="N678">
        <f>HYPERLINK("https://www.wikidata.org/wiki/Q15973586", "Q15973586")</f>
        <v>0</v>
      </c>
      <c r="O678" t="s">
        <v>20016</v>
      </c>
      <c r="P678" t="s">
        <v>20413</v>
      </c>
      <c r="Q678" t="s">
        <v>20559</v>
      </c>
      <c r="R678" t="s">
        <v>410</v>
      </c>
      <c r="S678">
        <v>2051</v>
      </c>
    </row>
    <row r="679" spans="1:19">
      <c r="A679" t="s">
        <v>20</v>
      </c>
      <c r="B679" t="s">
        <v>148</v>
      </c>
      <c r="C679" t="s">
        <v>152</v>
      </c>
      <c r="D679" t="s">
        <v>281</v>
      </c>
      <c r="E679" t="s">
        <v>410</v>
      </c>
      <c r="F679">
        <f>HYPERLINK("https://www.wikidata.org/wiki/Q33528422", "Q33528422")</f>
        <v>0</v>
      </c>
      <c r="G679" t="s">
        <v>521</v>
      </c>
      <c r="H679" t="s">
        <v>5285</v>
      </c>
      <c r="I679" t="s">
        <v>9389</v>
      </c>
      <c r="J679" t="s">
        <v>11273</v>
      </c>
      <c r="K679" t="s">
        <v>15673</v>
      </c>
      <c r="L679">
        <f>HYPERLINK("https://www2.assemblee-nationale.fr/sycomore/fiche/(num_dept)/613", "613")</f>
        <v>0</v>
      </c>
      <c r="M679">
        <f>HYPERLINK("https://www.senat.fr/senateur-3eme-republique/bender_emile1125r3.html", "bender_emile1125r3")</f>
        <v>0</v>
      </c>
      <c r="N679">
        <f>HYPERLINK("https://www.wikidata.org/wiki/Q3588335", "Q3588335")</f>
        <v>0</v>
      </c>
      <c r="O679" t="s">
        <v>19965</v>
      </c>
      <c r="P679" t="s">
        <v>20413</v>
      </c>
      <c r="Q679" t="s">
        <v>20559</v>
      </c>
      <c r="R679" t="s">
        <v>410</v>
      </c>
      <c r="S679">
        <v>2051</v>
      </c>
    </row>
    <row r="680" spans="1:19">
      <c r="A680" t="s">
        <v>20</v>
      </c>
      <c r="B680" t="s">
        <v>148</v>
      </c>
      <c r="C680" t="s">
        <v>152</v>
      </c>
      <c r="D680" t="s">
        <v>281</v>
      </c>
      <c r="E680" t="s">
        <v>410</v>
      </c>
      <c r="F680">
        <f>HYPERLINK("https://www.wikidata.org/wiki/Q33528422", "Q33528422")</f>
        <v>0</v>
      </c>
      <c r="G680" t="s">
        <v>872</v>
      </c>
      <c r="H680" t="s">
        <v>5628</v>
      </c>
      <c r="I680" t="s">
        <v>9567</v>
      </c>
      <c r="J680" t="s">
        <v>11618</v>
      </c>
      <c r="K680" t="s">
        <v>16020</v>
      </c>
      <c r="L680">
        <f>HYPERLINK("https://www2.assemblee-nationale.fr/sycomore/fiche/(num_dept)/629", "629")</f>
        <v>0</v>
      </c>
      <c r="N680">
        <f>HYPERLINK("https://www.wikidata.org/wiki/Q2958523", "Q2958523")</f>
        <v>0</v>
      </c>
      <c r="O680" t="s">
        <v>19969</v>
      </c>
      <c r="P680" t="s">
        <v>20414</v>
      </c>
      <c r="Q680" t="s">
        <v>20559</v>
      </c>
      <c r="R680" t="s">
        <v>21382</v>
      </c>
      <c r="S680">
        <v>2001</v>
      </c>
    </row>
    <row r="681" spans="1:19">
      <c r="A681" t="s">
        <v>20</v>
      </c>
      <c r="B681" t="s">
        <v>148</v>
      </c>
      <c r="C681" t="s">
        <v>152</v>
      </c>
      <c r="D681" t="s">
        <v>281</v>
      </c>
      <c r="E681" t="s">
        <v>410</v>
      </c>
      <c r="F681">
        <f>HYPERLINK("https://www.wikidata.org/wiki/Q33528422", "Q33528422")</f>
        <v>0</v>
      </c>
      <c r="G681" t="s">
        <v>522</v>
      </c>
      <c r="H681" t="s">
        <v>5286</v>
      </c>
      <c r="I681" t="s">
        <v>9390</v>
      </c>
      <c r="J681" t="s">
        <v>11274</v>
      </c>
      <c r="K681" t="s">
        <v>15674</v>
      </c>
      <c r="L681">
        <f>HYPERLINK("https://www2.assemblee-nationale.fr/sycomore/fiche/(num_dept)/650", "650")</f>
        <v>0</v>
      </c>
      <c r="M681">
        <f>HYPERLINK("https://www.senat.fr/senateur-3eme-republique/berard_leon1053r3.html", "berard_leon1053r3")</f>
        <v>0</v>
      </c>
      <c r="N681">
        <f>HYPERLINK("https://www.wikidata.org/wiki/Q716823", "Q716823")</f>
        <v>0</v>
      </c>
      <c r="O681" t="s">
        <v>19970</v>
      </c>
      <c r="P681" t="s">
        <v>20412</v>
      </c>
      <c r="Q681" t="s">
        <v>20559</v>
      </c>
      <c r="R681" t="s">
        <v>410</v>
      </c>
      <c r="S681">
        <v>2051</v>
      </c>
    </row>
    <row r="682" spans="1:19">
      <c r="A682" t="s">
        <v>20</v>
      </c>
      <c r="B682" t="s">
        <v>148</v>
      </c>
      <c r="C682" t="s">
        <v>152</v>
      </c>
      <c r="D682" t="s">
        <v>281</v>
      </c>
      <c r="E682" t="s">
        <v>410</v>
      </c>
      <c r="F682">
        <f>HYPERLINK("https://www.wikidata.org/wiki/Q33528422", "Q33528422")</f>
        <v>0</v>
      </c>
      <c r="G682" t="s">
        <v>1152</v>
      </c>
      <c r="H682" t="s">
        <v>5887</v>
      </c>
      <c r="I682" t="s">
        <v>9680</v>
      </c>
      <c r="J682" t="s">
        <v>11886</v>
      </c>
      <c r="K682" t="s">
        <v>16287</v>
      </c>
      <c r="L682">
        <f>HYPERLINK("https://www2.assemblee-nationale.fr/sycomore/fiche/(num_dept)/662", "662")</f>
        <v>0</v>
      </c>
      <c r="M682">
        <f>HYPERLINK("https://www.senat.fr/senateur-3eme-republique/bergeon_benoit0324r3.html", "bergeon_benoit0324r3")</f>
        <v>0</v>
      </c>
      <c r="N682">
        <f>HYPERLINK("https://www.wikidata.org/wiki/Q818101", "Q818101")</f>
        <v>0</v>
      </c>
      <c r="O682" t="s">
        <v>19990</v>
      </c>
      <c r="P682" t="s">
        <v>20406</v>
      </c>
      <c r="Q682" t="s">
        <v>20559</v>
      </c>
      <c r="R682" t="s">
        <v>410</v>
      </c>
      <c r="S682">
        <v>2051</v>
      </c>
    </row>
    <row r="683" spans="1:19">
      <c r="A683" t="s">
        <v>20</v>
      </c>
      <c r="B683" t="s">
        <v>148</v>
      </c>
      <c r="C683" t="s">
        <v>152</v>
      </c>
      <c r="D683" t="s">
        <v>281</v>
      </c>
      <c r="E683" t="s">
        <v>410</v>
      </c>
      <c r="F683">
        <f>HYPERLINK("https://www.wikidata.org/wiki/Q33528422", "Q33528422")</f>
        <v>0</v>
      </c>
      <c r="G683" t="s">
        <v>524</v>
      </c>
      <c r="H683" t="s">
        <v>5288</v>
      </c>
      <c r="I683" t="s">
        <v>9392</v>
      </c>
      <c r="J683" t="s">
        <v>11276</v>
      </c>
      <c r="K683" t="s">
        <v>15676</v>
      </c>
      <c r="L683">
        <f>HYPERLINK("https://www2.assemblee-nationale.fr/sycomore/fiche/(num_dept)/715", "715")</f>
        <v>0</v>
      </c>
      <c r="N683">
        <f>HYPERLINK("https://www.wikidata.org/wiki/Q3102282", "Q3102282")</f>
        <v>0</v>
      </c>
      <c r="O683" t="s">
        <v>19969</v>
      </c>
      <c r="P683" t="s">
        <v>20409</v>
      </c>
      <c r="Q683" t="s">
        <v>20559</v>
      </c>
      <c r="R683" t="s">
        <v>15676</v>
      </c>
      <c r="S683">
        <v>348</v>
      </c>
    </row>
    <row r="684" spans="1:19">
      <c r="A684" t="s">
        <v>20</v>
      </c>
      <c r="B684" t="s">
        <v>148</v>
      </c>
      <c r="C684" t="s">
        <v>152</v>
      </c>
      <c r="D684" t="s">
        <v>281</v>
      </c>
      <c r="E684" t="s">
        <v>410</v>
      </c>
      <c r="F684">
        <f>HYPERLINK("https://www.wikidata.org/wiki/Q33528422", "Q33528422")</f>
        <v>0</v>
      </c>
      <c r="G684" t="s">
        <v>875</v>
      </c>
      <c r="H684" t="s">
        <v>5631</v>
      </c>
      <c r="I684" t="s">
        <v>9476</v>
      </c>
      <c r="J684" t="s">
        <v>11621</v>
      </c>
      <c r="K684" t="s">
        <v>16023</v>
      </c>
      <c r="L684">
        <f>HYPERLINK("https://www2.assemblee-nationale.fr/sycomore/fiche/(num_dept)/749", "749")</f>
        <v>0</v>
      </c>
      <c r="M684">
        <f>HYPERLINK("https://www.senat.fr/senateur-3eme-republique/besnard_rene0300r3.html", "besnard_rene0300r3")</f>
        <v>0</v>
      </c>
      <c r="N684">
        <f>HYPERLINK("https://www.wikidata.org/wiki/Q3425839", "Q3425839")</f>
        <v>0</v>
      </c>
      <c r="O684" t="s">
        <v>20008</v>
      </c>
      <c r="P684" t="s">
        <v>20413</v>
      </c>
      <c r="Q684" t="s">
        <v>20559</v>
      </c>
      <c r="R684" t="s">
        <v>410</v>
      </c>
      <c r="S684">
        <v>2051</v>
      </c>
    </row>
    <row r="685" spans="1:19">
      <c r="A685" t="s">
        <v>20</v>
      </c>
      <c r="B685" t="s">
        <v>148</v>
      </c>
      <c r="C685" t="s">
        <v>152</v>
      </c>
      <c r="D685" t="s">
        <v>281</v>
      </c>
      <c r="E685" t="s">
        <v>410</v>
      </c>
      <c r="F685">
        <f>HYPERLINK("https://www.wikidata.org/wiki/Q33528422", "Q33528422")</f>
        <v>0</v>
      </c>
      <c r="G685" t="s">
        <v>526</v>
      </c>
      <c r="H685" t="s">
        <v>5290</v>
      </c>
      <c r="I685" t="s">
        <v>5528</v>
      </c>
      <c r="J685" t="s">
        <v>11278</v>
      </c>
      <c r="K685" t="s">
        <v>15678</v>
      </c>
      <c r="L685">
        <f>HYPERLINK("https://www2.assemblee-nationale.fr/sycomore/fiche/(num_dept)/768", "768")</f>
        <v>0</v>
      </c>
      <c r="M685">
        <f>HYPERLINK("https://www.senat.fr/senateur-3eme-republique/betoulle_leon1788r3.html", "betoulle_leon1788r3")</f>
        <v>0</v>
      </c>
      <c r="N685">
        <f>HYPERLINK("https://www.wikidata.org/wiki/Q3270743", "Q3270743")</f>
        <v>0</v>
      </c>
      <c r="O685" t="s">
        <v>19977</v>
      </c>
      <c r="P685" t="s">
        <v>20404</v>
      </c>
      <c r="Q685" t="s">
        <v>20559</v>
      </c>
      <c r="R685" t="s">
        <v>410</v>
      </c>
      <c r="S685">
        <v>2051</v>
      </c>
    </row>
    <row r="686" spans="1:19">
      <c r="A686" t="s">
        <v>20</v>
      </c>
      <c r="B686" t="s">
        <v>148</v>
      </c>
      <c r="C686" t="s">
        <v>152</v>
      </c>
      <c r="D686" t="s">
        <v>281</v>
      </c>
      <c r="E686" t="s">
        <v>410</v>
      </c>
      <c r="F686">
        <f>HYPERLINK("https://www.wikidata.org/wiki/Q33528422", "Q33528422")</f>
        <v>0</v>
      </c>
      <c r="G686" t="s">
        <v>527</v>
      </c>
      <c r="H686" t="s">
        <v>5291</v>
      </c>
      <c r="I686" t="s">
        <v>9393</v>
      </c>
      <c r="J686" t="s">
        <v>11279</v>
      </c>
      <c r="K686" t="s">
        <v>15679</v>
      </c>
      <c r="L686">
        <f>HYPERLINK("https://www2.assemblee-nationale.fr/sycomore/fiche/(num_dept)/789", "789")</f>
        <v>0</v>
      </c>
      <c r="N686">
        <f>HYPERLINK("https://www.wikidata.org/wiki/Q2844627", "Q2844627")</f>
        <v>0</v>
      </c>
      <c r="O686" t="s">
        <v>19969</v>
      </c>
      <c r="P686" t="s">
        <v>20409</v>
      </c>
      <c r="Q686" t="s">
        <v>20559</v>
      </c>
      <c r="R686" t="s">
        <v>410</v>
      </c>
      <c r="S686">
        <v>2051</v>
      </c>
    </row>
    <row r="687" spans="1:19">
      <c r="A687" t="s">
        <v>20</v>
      </c>
      <c r="B687" t="s">
        <v>148</v>
      </c>
      <c r="C687" t="s">
        <v>152</v>
      </c>
      <c r="D687" t="s">
        <v>281</v>
      </c>
      <c r="E687" t="s">
        <v>410</v>
      </c>
      <c r="F687">
        <f>HYPERLINK("https://www.wikidata.org/wiki/Q33528422", "Q33528422")</f>
        <v>0</v>
      </c>
      <c r="G687" t="s">
        <v>528</v>
      </c>
      <c r="H687" t="s">
        <v>5292</v>
      </c>
      <c r="I687" t="s">
        <v>9388</v>
      </c>
      <c r="J687" t="s">
        <v>11280</v>
      </c>
      <c r="K687" t="s">
        <v>15680</v>
      </c>
      <c r="L687">
        <f>HYPERLINK("https://www2.assemblee-nationale.fr/sycomore/fiche/(num_dept)/799", "799")</f>
        <v>0</v>
      </c>
      <c r="M687">
        <f>HYPERLINK("https://www.senat.fr/senateur-3eme-republique/bignon_paul1577r3.html", "bignon_paul1577r3")</f>
        <v>0</v>
      </c>
      <c r="N687">
        <f>HYPERLINK("https://www.wikidata.org/wiki/Q3370646", "Q3370646")</f>
        <v>0</v>
      </c>
      <c r="O687" t="s">
        <v>19978</v>
      </c>
      <c r="P687" t="s">
        <v>20412</v>
      </c>
      <c r="Q687" t="s">
        <v>20559</v>
      </c>
      <c r="R687" t="s">
        <v>410</v>
      </c>
      <c r="S687">
        <v>2051</v>
      </c>
    </row>
    <row r="688" spans="1:19">
      <c r="A688" t="s">
        <v>20</v>
      </c>
      <c r="B688" t="s">
        <v>148</v>
      </c>
      <c r="C688" t="s">
        <v>152</v>
      </c>
      <c r="D688" t="s">
        <v>281</v>
      </c>
      <c r="E688" t="s">
        <v>410</v>
      </c>
      <c r="F688">
        <f>HYPERLINK("https://www.wikidata.org/wiki/Q33528422", "Q33528422")</f>
        <v>0</v>
      </c>
      <c r="G688" t="s">
        <v>529</v>
      </c>
      <c r="H688" t="s">
        <v>5293</v>
      </c>
      <c r="I688" t="s">
        <v>9394</v>
      </c>
      <c r="J688" t="s">
        <v>11281</v>
      </c>
      <c r="K688" t="s">
        <v>15681</v>
      </c>
      <c r="L688">
        <f>HYPERLINK("https://www2.assemblee-nationale.fr/sycomore/fiche/(num_dept)/817", "817")</f>
        <v>0</v>
      </c>
      <c r="N688">
        <f>HYPERLINK("https://www.wikidata.org/wiki/Q3300423", "Q3300423")</f>
        <v>0</v>
      </c>
      <c r="O688" t="s">
        <v>19969</v>
      </c>
      <c r="P688" t="s">
        <v>20409</v>
      </c>
      <c r="Q688" t="s">
        <v>20559</v>
      </c>
      <c r="R688" t="s">
        <v>410</v>
      </c>
      <c r="S688">
        <v>2051</v>
      </c>
    </row>
    <row r="689" spans="1:19">
      <c r="A689" t="s">
        <v>20</v>
      </c>
      <c r="B689" t="s">
        <v>148</v>
      </c>
      <c r="C689" t="s">
        <v>152</v>
      </c>
      <c r="D689" t="s">
        <v>281</v>
      </c>
      <c r="E689" t="s">
        <v>410</v>
      </c>
      <c r="F689">
        <f>HYPERLINK("https://www.wikidata.org/wiki/Q33528422", "Q33528422")</f>
        <v>0</v>
      </c>
      <c r="G689" t="s">
        <v>531</v>
      </c>
      <c r="H689" t="s">
        <v>5295</v>
      </c>
      <c r="I689" t="s">
        <v>9395</v>
      </c>
      <c r="J689" t="s">
        <v>11283</v>
      </c>
      <c r="K689" t="s">
        <v>15683</v>
      </c>
      <c r="L689">
        <f>HYPERLINK("https://www2.assemblee-nationale.fr/sycomore/fiche/(num_dept)/836", "836")</f>
        <v>0</v>
      </c>
      <c r="N689">
        <f>HYPERLINK("https://www.wikidata.org/wiki/Q8322001", "Q8322001")</f>
        <v>0</v>
      </c>
      <c r="O689" t="s">
        <v>19980</v>
      </c>
      <c r="P689" t="s">
        <v>20408</v>
      </c>
      <c r="Q689" t="s">
        <v>20559</v>
      </c>
      <c r="R689" t="s">
        <v>410</v>
      </c>
      <c r="S689">
        <v>2051</v>
      </c>
    </row>
    <row r="690" spans="1:19">
      <c r="A690" t="s">
        <v>20</v>
      </c>
      <c r="B690" t="s">
        <v>148</v>
      </c>
      <c r="C690" t="s">
        <v>152</v>
      </c>
      <c r="D690" t="s">
        <v>281</v>
      </c>
      <c r="E690" t="s">
        <v>410</v>
      </c>
      <c r="F690">
        <f>HYPERLINK("https://www.wikidata.org/wiki/Q33528422", "Q33528422")</f>
        <v>0</v>
      </c>
      <c r="G690" t="s">
        <v>534</v>
      </c>
      <c r="H690" t="s">
        <v>5298</v>
      </c>
      <c r="I690" t="s">
        <v>9388</v>
      </c>
      <c r="J690" t="s">
        <v>11286</v>
      </c>
      <c r="K690" t="s">
        <v>15686</v>
      </c>
      <c r="L690">
        <f>HYPERLINK("https://www2.assemblee-nationale.fr/sycomore/fiche/(num_dept)/882", "882")</f>
        <v>0</v>
      </c>
      <c r="M690">
        <f>HYPERLINK("https://www.senat.fr/senateur-3eme-republique/bluysen_paul1835r3.html", "bluysen_paul1835r3")</f>
        <v>0</v>
      </c>
      <c r="N690">
        <f>HYPERLINK("https://www.wikidata.org/wiki/Q20027761", "Q20027761")</f>
        <v>0</v>
      </c>
      <c r="O690" t="s">
        <v>19983</v>
      </c>
      <c r="P690" t="s">
        <v>20413</v>
      </c>
      <c r="Q690" t="s">
        <v>20559</v>
      </c>
      <c r="R690" t="s">
        <v>410</v>
      </c>
      <c r="S690">
        <v>2051</v>
      </c>
    </row>
    <row r="691" spans="1:19">
      <c r="A691" t="s">
        <v>20</v>
      </c>
      <c r="B691" t="s">
        <v>148</v>
      </c>
      <c r="C691" t="s">
        <v>152</v>
      </c>
      <c r="D691" t="s">
        <v>281</v>
      </c>
      <c r="E691" t="s">
        <v>410</v>
      </c>
      <c r="F691">
        <f>HYPERLINK("https://www.wikidata.org/wiki/Q33528422", "Q33528422")</f>
        <v>0</v>
      </c>
      <c r="G691" t="s">
        <v>1153</v>
      </c>
      <c r="H691" t="s">
        <v>5888</v>
      </c>
      <c r="I691" t="s">
        <v>9681</v>
      </c>
      <c r="J691" t="s">
        <v>11887</v>
      </c>
      <c r="K691" t="s">
        <v>16288</v>
      </c>
      <c r="L691">
        <f>HYPERLINK("https://www2.assemblee-nationale.fr/sycomore/fiche/(num_dept)/902", "902")</f>
        <v>0</v>
      </c>
      <c r="N691">
        <f>HYPERLINK("https://www.wikidata.org/wiki/Q2823094", "Q2823094")</f>
        <v>0</v>
      </c>
      <c r="O691" t="s">
        <v>20028</v>
      </c>
      <c r="P691" t="s">
        <v>20413</v>
      </c>
      <c r="Q691" t="s">
        <v>20559</v>
      </c>
      <c r="R691" t="s">
        <v>410</v>
      </c>
      <c r="S691">
        <v>2051</v>
      </c>
    </row>
    <row r="692" spans="1:19">
      <c r="A692" t="s">
        <v>20</v>
      </c>
      <c r="B692" t="s">
        <v>148</v>
      </c>
      <c r="C692" t="s">
        <v>152</v>
      </c>
      <c r="D692" t="s">
        <v>281</v>
      </c>
      <c r="E692" t="s">
        <v>410</v>
      </c>
      <c r="F692">
        <f>HYPERLINK("https://www.wikidata.org/wiki/Q33528422", "Q33528422")</f>
        <v>0</v>
      </c>
      <c r="G692" t="s">
        <v>536</v>
      </c>
      <c r="H692" t="s">
        <v>5300</v>
      </c>
      <c r="I692" t="s">
        <v>9389</v>
      </c>
      <c r="J692" t="s">
        <v>11288</v>
      </c>
      <c r="K692" t="s">
        <v>15688</v>
      </c>
      <c r="L692">
        <f>HYPERLINK("https://www2.assemblee-nationale.fr/sycomore/fiche/(num_dept)/909", "909")</f>
        <v>0</v>
      </c>
      <c r="N692">
        <f>HYPERLINK("https://www.wikidata.org/wiki/Q3588362", "Q3588362")</f>
        <v>0</v>
      </c>
      <c r="O692" t="s">
        <v>19985</v>
      </c>
      <c r="P692" t="s">
        <v>20412</v>
      </c>
      <c r="Q692" t="s">
        <v>20559</v>
      </c>
      <c r="R692" t="s">
        <v>410</v>
      </c>
      <c r="S692">
        <v>2051</v>
      </c>
    </row>
    <row r="693" spans="1:19">
      <c r="A693" t="s">
        <v>20</v>
      </c>
      <c r="B693" t="s">
        <v>148</v>
      </c>
      <c r="C693" t="s">
        <v>152</v>
      </c>
      <c r="D693" t="s">
        <v>281</v>
      </c>
      <c r="E693" t="s">
        <v>410</v>
      </c>
      <c r="F693">
        <f>HYPERLINK("https://www.wikidata.org/wiki/Q33528422", "Q33528422")</f>
        <v>0</v>
      </c>
      <c r="G693" t="s">
        <v>1110</v>
      </c>
      <c r="H693" t="s">
        <v>5851</v>
      </c>
      <c r="I693" t="s">
        <v>9664</v>
      </c>
      <c r="J693" t="s">
        <v>11844</v>
      </c>
      <c r="K693" t="s">
        <v>16246</v>
      </c>
      <c r="L693">
        <f>HYPERLINK("https://www2.assemblee-nationale.fr/sycomore/fiche/(num_dept)/932", "932")</f>
        <v>0</v>
      </c>
      <c r="N693">
        <f>HYPERLINK("https://www.wikidata.org/wiki/Q3170840", "Q3170840")</f>
        <v>0</v>
      </c>
      <c r="O693" t="s">
        <v>19960</v>
      </c>
      <c r="P693" t="s">
        <v>20413</v>
      </c>
      <c r="Q693" t="s">
        <v>20559</v>
      </c>
      <c r="R693" t="s">
        <v>410</v>
      </c>
      <c r="S693">
        <v>2051</v>
      </c>
    </row>
    <row r="694" spans="1:19">
      <c r="A694" t="s">
        <v>20</v>
      </c>
      <c r="B694" t="s">
        <v>148</v>
      </c>
      <c r="C694" t="s">
        <v>152</v>
      </c>
      <c r="D694" t="s">
        <v>281</v>
      </c>
      <c r="E694" t="s">
        <v>410</v>
      </c>
      <c r="F694">
        <f>HYPERLINK("https://www.wikidata.org/wiki/Q33528422", "Q33528422")</f>
        <v>0</v>
      </c>
      <c r="G694" t="s">
        <v>876</v>
      </c>
      <c r="H694" t="s">
        <v>5632</v>
      </c>
      <c r="I694" t="s">
        <v>6175</v>
      </c>
      <c r="J694" t="s">
        <v>11622</v>
      </c>
      <c r="K694" t="s">
        <v>16024</v>
      </c>
      <c r="L694">
        <f>HYPERLINK("https://www2.assemblee-nationale.fr/sycomore/fiche/(num_dept)/938", "938")</f>
        <v>0</v>
      </c>
      <c r="N694">
        <f>HYPERLINK("https://www.wikidata.org/wiki/Q3102326", "Q3102326")</f>
        <v>0</v>
      </c>
      <c r="O694" t="s">
        <v>19976</v>
      </c>
      <c r="P694" t="s">
        <v>20414</v>
      </c>
      <c r="Q694" t="s">
        <v>20559</v>
      </c>
      <c r="R694" t="s">
        <v>410</v>
      </c>
      <c r="S694">
        <v>2051</v>
      </c>
    </row>
    <row r="695" spans="1:19">
      <c r="A695" t="s">
        <v>20</v>
      </c>
      <c r="B695" t="s">
        <v>148</v>
      </c>
      <c r="C695" t="s">
        <v>152</v>
      </c>
      <c r="D695" t="s">
        <v>281</v>
      </c>
      <c r="E695" t="s">
        <v>410</v>
      </c>
      <c r="F695">
        <f>HYPERLINK("https://www.wikidata.org/wiki/Q33528422", "Q33528422")</f>
        <v>0</v>
      </c>
      <c r="G695" t="s">
        <v>538</v>
      </c>
      <c r="H695" t="s">
        <v>5302</v>
      </c>
      <c r="I695" t="s">
        <v>5592</v>
      </c>
      <c r="J695" t="s">
        <v>11290</v>
      </c>
      <c r="K695" t="s">
        <v>15690</v>
      </c>
      <c r="L695">
        <f>HYPERLINK("https://www2.assemblee-nationale.fr/sycomore/fiche/(num_dept)/955", "955")</f>
        <v>0</v>
      </c>
      <c r="M695">
        <f>HYPERLINK("https://www.senat.fr/senateur-3eme-republique/bonnevay_laurent1123r3.html", "bonnevay_laurent1123r3")</f>
        <v>0</v>
      </c>
      <c r="N695">
        <f>HYPERLINK("https://www.wikidata.org/wiki/Q3219051", "Q3219051")</f>
        <v>0</v>
      </c>
      <c r="O695" t="s">
        <v>19965</v>
      </c>
      <c r="P695" t="s">
        <v>20414</v>
      </c>
      <c r="Q695" t="s">
        <v>20559</v>
      </c>
      <c r="R695" t="s">
        <v>410</v>
      </c>
      <c r="S695">
        <v>2051</v>
      </c>
    </row>
    <row r="696" spans="1:19">
      <c r="A696" t="s">
        <v>20</v>
      </c>
      <c r="B696" t="s">
        <v>148</v>
      </c>
      <c r="C696" t="s">
        <v>152</v>
      </c>
      <c r="D696" t="s">
        <v>281</v>
      </c>
      <c r="E696" t="s">
        <v>410</v>
      </c>
      <c r="F696">
        <f>HYPERLINK("https://www.wikidata.org/wiki/Q33528422", "Q33528422")</f>
        <v>0</v>
      </c>
      <c r="G696" t="s">
        <v>540</v>
      </c>
      <c r="H696" t="s">
        <v>5304</v>
      </c>
      <c r="I696" t="s">
        <v>9401</v>
      </c>
      <c r="J696" t="s">
        <v>11292</v>
      </c>
      <c r="K696" t="s">
        <v>15692</v>
      </c>
      <c r="L696">
        <f>HYPERLINK("https://www2.assemblee-nationale.fr/sycomore/fiche/(num_dept)/985", "985")</f>
        <v>0</v>
      </c>
      <c r="M696">
        <f>HYPERLINK("https://www.senat.fr/senateur-3eme-republique/borrel_antoine1303r3.html", "borrel_antoine1303r3")</f>
        <v>0</v>
      </c>
      <c r="N696">
        <f>HYPERLINK("https://www.wikidata.org/wiki/Q2853712", "Q2853712")</f>
        <v>0</v>
      </c>
      <c r="O696" t="s">
        <v>19988</v>
      </c>
      <c r="P696" t="s">
        <v>20406</v>
      </c>
      <c r="Q696" t="s">
        <v>20559</v>
      </c>
      <c r="R696" t="s">
        <v>410</v>
      </c>
      <c r="S696">
        <v>2051</v>
      </c>
    </row>
    <row r="697" spans="1:19">
      <c r="A697" t="s">
        <v>20</v>
      </c>
      <c r="B697" t="s">
        <v>148</v>
      </c>
      <c r="C697" t="s">
        <v>152</v>
      </c>
      <c r="D697" t="s">
        <v>281</v>
      </c>
      <c r="E697" t="s">
        <v>410</v>
      </c>
      <c r="F697">
        <f>HYPERLINK("https://www.wikidata.org/wiki/Q33528422", "Q33528422")</f>
        <v>0</v>
      </c>
      <c r="G697" t="s">
        <v>541</v>
      </c>
      <c r="H697" t="s">
        <v>5305</v>
      </c>
      <c r="I697" t="s">
        <v>9402</v>
      </c>
      <c r="J697" t="s">
        <v>11293</v>
      </c>
      <c r="K697" t="s">
        <v>15693</v>
      </c>
      <c r="L697">
        <f>HYPERLINK("https://www2.assemblee-nationale.fr/sycomore/fiche/(num_dept)/1016", "1016")</f>
        <v>0</v>
      </c>
      <c r="M697">
        <f>HYPERLINK("https://www.senat.fr/senateur-3eme-republique/bouctot_georges1611r3.html", "bouctot_georges1611r3")</f>
        <v>0</v>
      </c>
      <c r="N697">
        <f>HYPERLINK("https://www.wikidata.org/wiki/Q3102338", "Q3102338")</f>
        <v>0</v>
      </c>
      <c r="O697" t="s">
        <v>19978</v>
      </c>
      <c r="P697" t="s">
        <v>20412</v>
      </c>
      <c r="Q697" t="s">
        <v>20559</v>
      </c>
      <c r="R697" t="s">
        <v>410</v>
      </c>
      <c r="S697">
        <v>2051</v>
      </c>
    </row>
    <row r="698" spans="1:19">
      <c r="A698" t="s">
        <v>20</v>
      </c>
      <c r="B698" t="s">
        <v>148</v>
      </c>
      <c r="C698" t="s">
        <v>152</v>
      </c>
      <c r="D698" t="s">
        <v>281</v>
      </c>
      <c r="E698" t="s">
        <v>410</v>
      </c>
      <c r="F698">
        <f>HYPERLINK("https://www.wikidata.org/wiki/Q33528422", "Q33528422")</f>
        <v>0</v>
      </c>
      <c r="G698" t="s">
        <v>542</v>
      </c>
      <c r="H698" t="s">
        <v>5306</v>
      </c>
      <c r="I698" t="s">
        <v>9403</v>
      </c>
      <c r="J698" t="s">
        <v>11294</v>
      </c>
      <c r="K698" t="s">
        <v>15694</v>
      </c>
      <c r="L698">
        <f>HYPERLINK("https://www2.assemblee-nationale.fr/sycomore/fiche/(num_dept)/1028", "1028")</f>
        <v>0</v>
      </c>
      <c r="N698">
        <f>HYPERLINK("https://www.wikidata.org/wiki/Q3092384", "Q3092384")</f>
        <v>0</v>
      </c>
      <c r="O698" t="s">
        <v>19989</v>
      </c>
      <c r="P698" t="s">
        <v>20413</v>
      </c>
      <c r="Q698" t="s">
        <v>20559</v>
      </c>
      <c r="R698" t="s">
        <v>410</v>
      </c>
      <c r="S698">
        <v>2051</v>
      </c>
    </row>
    <row r="699" spans="1:19">
      <c r="A699" t="s">
        <v>20</v>
      </c>
      <c r="B699" t="s">
        <v>148</v>
      </c>
      <c r="C699" t="s">
        <v>152</v>
      </c>
      <c r="D699" t="s">
        <v>281</v>
      </c>
      <c r="E699" t="s">
        <v>410</v>
      </c>
      <c r="F699">
        <f>HYPERLINK("https://www.wikidata.org/wiki/Q33528422", "Q33528422")</f>
        <v>0</v>
      </c>
      <c r="G699" t="s">
        <v>543</v>
      </c>
      <c r="H699" t="s">
        <v>5307</v>
      </c>
      <c r="I699" t="s">
        <v>9404</v>
      </c>
      <c r="J699" t="s">
        <v>11295</v>
      </c>
      <c r="K699" t="s">
        <v>15695</v>
      </c>
      <c r="L699">
        <f>HYPERLINK("https://www2.assemblee-nationale.fr/sycomore/fiche/(num_dept)/1029", "1029")</f>
        <v>0</v>
      </c>
      <c r="N699">
        <f>HYPERLINK("https://www.wikidata.org/wiki/Q766157", "Q766157")</f>
        <v>0</v>
      </c>
      <c r="O699" t="s">
        <v>19990</v>
      </c>
      <c r="P699" t="s">
        <v>20402</v>
      </c>
      <c r="Q699" t="s">
        <v>20559</v>
      </c>
      <c r="R699" t="s">
        <v>410</v>
      </c>
      <c r="S699">
        <v>2051</v>
      </c>
    </row>
    <row r="700" spans="1:19">
      <c r="A700" t="s">
        <v>20</v>
      </c>
      <c r="B700" t="s">
        <v>148</v>
      </c>
      <c r="C700" t="s">
        <v>152</v>
      </c>
      <c r="D700" t="s">
        <v>281</v>
      </c>
      <c r="E700" t="s">
        <v>410</v>
      </c>
      <c r="F700">
        <f>HYPERLINK("https://www.wikidata.org/wiki/Q33528422", "Q33528422")</f>
        <v>0</v>
      </c>
      <c r="G700" t="s">
        <v>544</v>
      </c>
      <c r="H700" t="s">
        <v>5308</v>
      </c>
      <c r="I700" t="s">
        <v>9376</v>
      </c>
      <c r="J700" t="s">
        <v>11296</v>
      </c>
      <c r="K700" t="s">
        <v>15696</v>
      </c>
      <c r="L700">
        <f>HYPERLINK("https://www2.assemblee-nationale.fr/sycomore/fiche/(num_dept)/1030", "1030")</f>
        <v>0</v>
      </c>
      <c r="M700">
        <f>HYPERLINK("https://www.senat.fr/senateur-3eme-republique/bougere_ferdinand1163r3.html", "bougere_ferdinand1163r3")</f>
        <v>0</v>
      </c>
      <c r="N700">
        <f>HYPERLINK("https://www.wikidata.org/wiki/Q8299130", "Q8299130")</f>
        <v>0</v>
      </c>
      <c r="O700" t="s">
        <v>19980</v>
      </c>
      <c r="P700" t="s">
        <v>20409</v>
      </c>
      <c r="Q700" t="s">
        <v>20559</v>
      </c>
      <c r="R700" t="s">
        <v>410</v>
      </c>
      <c r="S700">
        <v>2051</v>
      </c>
    </row>
    <row r="701" spans="1:19">
      <c r="A701" t="s">
        <v>20</v>
      </c>
      <c r="B701" t="s">
        <v>148</v>
      </c>
      <c r="C701" t="s">
        <v>152</v>
      </c>
      <c r="D701" t="s">
        <v>281</v>
      </c>
      <c r="E701" t="s">
        <v>410</v>
      </c>
      <c r="F701">
        <f>HYPERLINK("https://www.wikidata.org/wiki/Q33528422", "Q33528422")</f>
        <v>0</v>
      </c>
      <c r="G701" t="s">
        <v>545</v>
      </c>
      <c r="H701" t="s">
        <v>5308</v>
      </c>
      <c r="I701" t="s">
        <v>5592</v>
      </c>
      <c r="J701" t="s">
        <v>11297</v>
      </c>
      <c r="K701" t="s">
        <v>15697</v>
      </c>
      <c r="L701">
        <f>HYPERLINK("https://www2.assemblee-nationale.fr/sycomore/fiche/(num_dept)/1031", "1031")</f>
        <v>0</v>
      </c>
      <c r="N701">
        <f>HYPERLINK("https://www.wikidata.org/wiki/Q8299131", "Q8299131")</f>
        <v>0</v>
      </c>
      <c r="O701" t="s">
        <v>19980</v>
      </c>
      <c r="P701" t="s">
        <v>20409</v>
      </c>
      <c r="Q701" t="s">
        <v>20559</v>
      </c>
      <c r="R701" t="s">
        <v>15697</v>
      </c>
      <c r="S701">
        <v>1575</v>
      </c>
    </row>
    <row r="702" spans="1:19">
      <c r="A702" t="s">
        <v>20</v>
      </c>
      <c r="B702" t="s">
        <v>148</v>
      </c>
      <c r="C702" t="s">
        <v>152</v>
      </c>
      <c r="D702" t="s">
        <v>281</v>
      </c>
      <c r="E702" t="s">
        <v>410</v>
      </c>
      <c r="F702">
        <f>HYPERLINK("https://www.wikidata.org/wiki/Q33528422", "Q33528422")</f>
        <v>0</v>
      </c>
      <c r="G702" t="s">
        <v>884</v>
      </c>
      <c r="H702" t="s">
        <v>5640</v>
      </c>
      <c r="I702" t="s">
        <v>9446</v>
      </c>
      <c r="J702" t="s">
        <v>11630</v>
      </c>
      <c r="K702" t="s">
        <v>16030</v>
      </c>
      <c r="L702">
        <f>HYPERLINK("https://www2.assemblee-nationale.fr/sycomore/fiche/(num_dept)/1043", "1043")</f>
        <v>0</v>
      </c>
      <c r="N702">
        <f>HYPERLINK("https://www.wikidata.org/wiki/Q459510", "Q459510")</f>
        <v>0</v>
      </c>
      <c r="O702" t="s">
        <v>19990</v>
      </c>
      <c r="P702" t="s">
        <v>20404</v>
      </c>
      <c r="Q702" t="s">
        <v>20559</v>
      </c>
      <c r="R702" t="s">
        <v>410</v>
      </c>
      <c r="S702">
        <v>2051</v>
      </c>
    </row>
    <row r="703" spans="1:19">
      <c r="A703" t="s">
        <v>20</v>
      </c>
      <c r="B703" t="s">
        <v>148</v>
      </c>
      <c r="C703" t="s">
        <v>152</v>
      </c>
      <c r="D703" t="s">
        <v>281</v>
      </c>
      <c r="E703" t="s">
        <v>410</v>
      </c>
      <c r="F703">
        <f>HYPERLINK("https://www.wikidata.org/wiki/Q33528422", "Q33528422")</f>
        <v>0</v>
      </c>
      <c r="G703" t="s">
        <v>546</v>
      </c>
      <c r="H703" t="s">
        <v>5309</v>
      </c>
      <c r="I703" t="s">
        <v>9405</v>
      </c>
      <c r="J703" t="s">
        <v>11298</v>
      </c>
      <c r="K703" t="s">
        <v>15698</v>
      </c>
      <c r="L703">
        <f>HYPERLINK("https://www2.assemblee-nationale.fr/sycomore/fiche/(num_dept)/1076", "1076")</f>
        <v>0</v>
      </c>
      <c r="N703">
        <f>HYPERLINK("https://www.wikidata.org/wiki/Q3587968", "Q3587968")</f>
        <v>0</v>
      </c>
      <c r="O703" t="s">
        <v>19991</v>
      </c>
      <c r="P703" t="s">
        <v>20415</v>
      </c>
      <c r="Q703" t="s">
        <v>20559</v>
      </c>
      <c r="R703" t="s">
        <v>410</v>
      </c>
      <c r="S703">
        <v>2051</v>
      </c>
    </row>
    <row r="704" spans="1:19">
      <c r="A704" t="s">
        <v>20</v>
      </c>
      <c r="B704" t="s">
        <v>148</v>
      </c>
      <c r="C704" t="s">
        <v>152</v>
      </c>
      <c r="D704" t="s">
        <v>281</v>
      </c>
      <c r="E704" t="s">
        <v>410</v>
      </c>
      <c r="F704">
        <f>HYPERLINK("https://www.wikidata.org/wiki/Q33528422", "Q33528422")</f>
        <v>0</v>
      </c>
      <c r="G704" t="s">
        <v>547</v>
      </c>
      <c r="H704" t="s">
        <v>5310</v>
      </c>
      <c r="I704" t="s">
        <v>9406</v>
      </c>
      <c r="J704" t="s">
        <v>11299</v>
      </c>
      <c r="K704" t="s">
        <v>15699</v>
      </c>
      <c r="L704">
        <f>HYPERLINK("https://www2.assemblee-nationale.fr/sycomore/fiche/(num_dept)/1107", "1107")</f>
        <v>0</v>
      </c>
      <c r="N704">
        <f>HYPERLINK("https://www.wikidata.org/wiki/Q2958427", "Q2958427")</f>
        <v>0</v>
      </c>
      <c r="O704" t="s">
        <v>19992</v>
      </c>
      <c r="P704" t="s">
        <v>20402</v>
      </c>
      <c r="Q704" t="s">
        <v>20559</v>
      </c>
      <c r="R704" t="s">
        <v>410</v>
      </c>
      <c r="S704">
        <v>2051</v>
      </c>
    </row>
    <row r="705" spans="1:19">
      <c r="A705" t="s">
        <v>20</v>
      </c>
      <c r="B705" t="s">
        <v>148</v>
      </c>
      <c r="C705" t="s">
        <v>152</v>
      </c>
      <c r="D705" t="s">
        <v>281</v>
      </c>
      <c r="E705" t="s">
        <v>410</v>
      </c>
      <c r="F705">
        <f>HYPERLINK("https://www.wikidata.org/wiki/Q33528422", "Q33528422")</f>
        <v>0</v>
      </c>
      <c r="G705" t="s">
        <v>1154</v>
      </c>
      <c r="H705" t="s">
        <v>5889</v>
      </c>
      <c r="I705" t="s">
        <v>9682</v>
      </c>
      <c r="J705" t="s">
        <v>11888</v>
      </c>
      <c r="K705" t="s">
        <v>16289</v>
      </c>
      <c r="L705">
        <f>HYPERLINK("https://www2.assemblee-nationale.fr/sycomore/fiche/(num_dept)/1117", "1117")</f>
        <v>0</v>
      </c>
      <c r="N705">
        <f>HYPERLINK("https://www.wikidata.org/wiki/Q3102353", "Q3102353")</f>
        <v>0</v>
      </c>
      <c r="O705" t="s">
        <v>19963</v>
      </c>
      <c r="P705" t="s">
        <v>20413</v>
      </c>
      <c r="Q705" t="s">
        <v>20559</v>
      </c>
      <c r="R705" t="s">
        <v>410</v>
      </c>
      <c r="S705">
        <v>2051</v>
      </c>
    </row>
    <row r="706" spans="1:19">
      <c r="A706" t="s">
        <v>20</v>
      </c>
      <c r="B706" t="s">
        <v>148</v>
      </c>
      <c r="C706" t="s">
        <v>152</v>
      </c>
      <c r="D706" t="s">
        <v>281</v>
      </c>
      <c r="E706" t="s">
        <v>410</v>
      </c>
      <c r="F706">
        <f>HYPERLINK("https://www.wikidata.org/wiki/Q33528422", "Q33528422")</f>
        <v>0</v>
      </c>
      <c r="G706" t="s">
        <v>549</v>
      </c>
      <c r="H706" t="s">
        <v>5312</v>
      </c>
      <c r="I706" t="s">
        <v>6200</v>
      </c>
      <c r="J706" t="s">
        <v>11301</v>
      </c>
      <c r="K706" t="s">
        <v>15701</v>
      </c>
      <c r="L706">
        <f>HYPERLINK("https://www2.assemblee-nationale.fr/sycomore/fiche/(num_dept)/1138", "1138")</f>
        <v>0</v>
      </c>
      <c r="M706">
        <f>HYPERLINK("https://www.senat.fr/senateur-3eme-republique/bouveri_jean1220r3.html", "bouveri_jean1220r3")</f>
        <v>0</v>
      </c>
      <c r="N706">
        <f>HYPERLINK("https://www.wikidata.org/wiki/Q3170948", "Q3170948")</f>
        <v>0</v>
      </c>
      <c r="O706" t="s">
        <v>19994</v>
      </c>
      <c r="P706" t="s">
        <v>20404</v>
      </c>
      <c r="Q706" t="s">
        <v>20559</v>
      </c>
      <c r="R706" t="s">
        <v>410</v>
      </c>
      <c r="S706">
        <v>2051</v>
      </c>
    </row>
    <row r="707" spans="1:19">
      <c r="A707" t="s">
        <v>20</v>
      </c>
      <c r="B707" t="s">
        <v>148</v>
      </c>
      <c r="C707" t="s">
        <v>152</v>
      </c>
      <c r="D707" t="s">
        <v>281</v>
      </c>
      <c r="E707" t="s">
        <v>410</v>
      </c>
      <c r="F707">
        <f>HYPERLINK("https://www.wikidata.org/wiki/Q33528422", "Q33528422")</f>
        <v>0</v>
      </c>
      <c r="G707" t="s">
        <v>550</v>
      </c>
      <c r="H707" t="s">
        <v>5313</v>
      </c>
      <c r="I707" t="s">
        <v>9408</v>
      </c>
      <c r="J707" t="s">
        <v>11302</v>
      </c>
      <c r="K707" t="s">
        <v>15702</v>
      </c>
      <c r="L707">
        <f>HYPERLINK("https://www2.assemblee-nationale.fr/sycomore/fiche/(num_dept)/1147", "1147")</f>
        <v>0</v>
      </c>
      <c r="N707">
        <f>HYPERLINK("https://www.wikidata.org/wiki/Q3270443", "Q3270443")</f>
        <v>0</v>
      </c>
      <c r="O707" t="s">
        <v>19995</v>
      </c>
      <c r="P707" t="s">
        <v>20413</v>
      </c>
      <c r="Q707" t="s">
        <v>20559</v>
      </c>
      <c r="R707" t="s">
        <v>410</v>
      </c>
      <c r="S707">
        <v>2051</v>
      </c>
    </row>
    <row r="708" spans="1:19">
      <c r="A708" t="s">
        <v>20</v>
      </c>
      <c r="B708" t="s">
        <v>148</v>
      </c>
      <c r="C708" t="s">
        <v>152</v>
      </c>
      <c r="D708" t="s">
        <v>281</v>
      </c>
      <c r="E708" t="s">
        <v>410</v>
      </c>
      <c r="F708">
        <f>HYPERLINK("https://www.wikidata.org/wiki/Q33528422", "Q33528422")</f>
        <v>0</v>
      </c>
      <c r="G708" t="s">
        <v>1119</v>
      </c>
      <c r="H708" t="s">
        <v>5859</v>
      </c>
      <c r="I708" t="s">
        <v>9669</v>
      </c>
      <c r="J708" t="s">
        <v>11853</v>
      </c>
      <c r="K708" t="s">
        <v>16255</v>
      </c>
      <c r="L708">
        <f>HYPERLINK("https://www2.assemblee-nationale.fr/sycomore/fiche/(num_dept)/1167", "1167")</f>
        <v>0</v>
      </c>
      <c r="N708">
        <f>HYPERLINK("https://www.wikidata.org/wiki/Q2833856", "Q2833856")</f>
        <v>0</v>
      </c>
      <c r="O708" t="s">
        <v>19969</v>
      </c>
      <c r="P708" t="s">
        <v>20404</v>
      </c>
      <c r="Q708" t="s">
        <v>20559</v>
      </c>
      <c r="R708" t="s">
        <v>410</v>
      </c>
      <c r="S708">
        <v>2051</v>
      </c>
    </row>
    <row r="709" spans="1:19">
      <c r="A709" t="s">
        <v>20</v>
      </c>
      <c r="B709" t="s">
        <v>148</v>
      </c>
      <c r="C709" t="s">
        <v>152</v>
      </c>
      <c r="D709" t="s">
        <v>281</v>
      </c>
      <c r="E709" t="s">
        <v>410</v>
      </c>
      <c r="F709">
        <f>HYPERLINK("https://www.wikidata.org/wiki/Q33528422", "Q33528422")</f>
        <v>0</v>
      </c>
      <c r="G709" t="s">
        <v>552</v>
      </c>
      <c r="H709" t="s">
        <v>5315</v>
      </c>
      <c r="I709" t="s">
        <v>9410</v>
      </c>
      <c r="J709" t="s">
        <v>11303</v>
      </c>
      <c r="K709" t="s">
        <v>15704</v>
      </c>
      <c r="L709">
        <f>HYPERLINK("https://www2.assemblee-nationale.fr/sycomore/fiche/(num_dept)/1203", "1203")</f>
        <v>0</v>
      </c>
      <c r="M709">
        <f>HYPERLINK("https://www.senat.fr/senateur-3eme-republique/breton_jules0441r3.html", "breton_jules0441r3")</f>
        <v>0</v>
      </c>
      <c r="N709">
        <f>HYPERLINK("https://www.wikidata.org/wiki/Q3188368", "Q3188368")</f>
        <v>0</v>
      </c>
      <c r="O709" t="s">
        <v>19996</v>
      </c>
      <c r="P709" t="s">
        <v>20406</v>
      </c>
      <c r="Q709" t="s">
        <v>20559</v>
      </c>
      <c r="R709" t="s">
        <v>410</v>
      </c>
      <c r="S709">
        <v>2051</v>
      </c>
    </row>
    <row r="710" spans="1:19">
      <c r="A710" t="s">
        <v>20</v>
      </c>
      <c r="B710" t="s">
        <v>148</v>
      </c>
      <c r="C710" t="s">
        <v>152</v>
      </c>
      <c r="D710" t="s">
        <v>281</v>
      </c>
      <c r="E710" t="s">
        <v>410</v>
      </c>
      <c r="F710">
        <f>HYPERLINK("https://www.wikidata.org/wiki/Q33528422", "Q33528422")</f>
        <v>0</v>
      </c>
      <c r="G710" t="s">
        <v>553</v>
      </c>
      <c r="H710" t="s">
        <v>5316</v>
      </c>
      <c r="I710" t="s">
        <v>9411</v>
      </c>
      <c r="J710" t="s">
        <v>11304</v>
      </c>
      <c r="K710" t="s">
        <v>15705</v>
      </c>
      <c r="L710">
        <f>HYPERLINK("https://www2.assemblee-nationale.fr/sycomore/fiche/(num_dept)/1211", "1211")</f>
        <v>0</v>
      </c>
      <c r="N710">
        <f>HYPERLINK("https://www.wikidata.org/wiki/Q179888", "Q179888")</f>
        <v>0</v>
      </c>
      <c r="O710" t="s">
        <v>19997</v>
      </c>
      <c r="P710" t="s">
        <v>20409</v>
      </c>
      <c r="Q710" t="s">
        <v>20559</v>
      </c>
      <c r="R710" t="s">
        <v>410</v>
      </c>
      <c r="S710">
        <v>2051</v>
      </c>
    </row>
    <row r="711" spans="1:19">
      <c r="A711" t="s">
        <v>20</v>
      </c>
      <c r="B711" t="s">
        <v>148</v>
      </c>
      <c r="C711" t="s">
        <v>152</v>
      </c>
      <c r="D711" t="s">
        <v>281</v>
      </c>
      <c r="E711" t="s">
        <v>410</v>
      </c>
      <c r="F711">
        <f>HYPERLINK("https://www.wikidata.org/wiki/Q33528422", "Q33528422")</f>
        <v>0</v>
      </c>
      <c r="G711" t="s">
        <v>554</v>
      </c>
      <c r="H711" t="s">
        <v>5317</v>
      </c>
      <c r="I711" t="s">
        <v>9412</v>
      </c>
      <c r="J711" t="s">
        <v>11305</v>
      </c>
      <c r="K711" t="s">
        <v>15706</v>
      </c>
      <c r="L711">
        <f>HYPERLINK("https://www2.assemblee-nationale.fr/sycomore/fiche/(num_dept)/1220", "1220")</f>
        <v>0</v>
      </c>
      <c r="N711">
        <f>HYPERLINK("https://www.wikidata.org/wiki/Q3426418", "Q3426418")</f>
        <v>0</v>
      </c>
      <c r="O711" t="s">
        <v>19998</v>
      </c>
      <c r="P711" t="s">
        <v>20414</v>
      </c>
      <c r="Q711" t="s">
        <v>20559</v>
      </c>
      <c r="R711" t="s">
        <v>410</v>
      </c>
      <c r="S711">
        <v>2051</v>
      </c>
    </row>
    <row r="712" spans="1:19">
      <c r="A712" t="s">
        <v>20</v>
      </c>
      <c r="B712" t="s">
        <v>148</v>
      </c>
      <c r="C712" t="s">
        <v>152</v>
      </c>
      <c r="D712" t="s">
        <v>281</v>
      </c>
      <c r="E712" t="s">
        <v>410</v>
      </c>
      <c r="F712">
        <f>HYPERLINK("https://www.wikidata.org/wiki/Q33528422", "Q33528422")</f>
        <v>0</v>
      </c>
      <c r="G712" t="s">
        <v>555</v>
      </c>
      <c r="H712" t="s">
        <v>5318</v>
      </c>
      <c r="I712" t="s">
        <v>6860</v>
      </c>
      <c r="J712" t="s">
        <v>11306</v>
      </c>
      <c r="K712" t="s">
        <v>15707</v>
      </c>
      <c r="L712">
        <f>HYPERLINK("https://www2.assemblee-nationale.fr/sycomore/fiche/(num_dept)/1242", "1242")</f>
        <v>0</v>
      </c>
      <c r="N712">
        <f>HYPERLINK("https://www.wikidata.org/wiki/Q3384198", "Q3384198")</f>
        <v>0</v>
      </c>
      <c r="O712" t="s">
        <v>19999</v>
      </c>
      <c r="P712" t="s">
        <v>20404</v>
      </c>
      <c r="Q712" t="s">
        <v>20559</v>
      </c>
      <c r="R712" t="s">
        <v>410</v>
      </c>
      <c r="S712">
        <v>2051</v>
      </c>
    </row>
    <row r="713" spans="1:19">
      <c r="A713" t="s">
        <v>20</v>
      </c>
      <c r="B713" t="s">
        <v>148</v>
      </c>
      <c r="C713" t="s">
        <v>152</v>
      </c>
      <c r="D713" t="s">
        <v>281</v>
      </c>
      <c r="E713" t="s">
        <v>410</v>
      </c>
      <c r="F713">
        <f>HYPERLINK("https://www.wikidata.org/wiki/Q33528422", "Q33528422")</f>
        <v>0</v>
      </c>
      <c r="G713" t="s">
        <v>557</v>
      </c>
      <c r="H713" t="s">
        <v>5320</v>
      </c>
      <c r="I713" t="s">
        <v>9414</v>
      </c>
      <c r="J713" t="s">
        <v>11308</v>
      </c>
      <c r="K713" t="s">
        <v>15709</v>
      </c>
      <c r="L713">
        <f>HYPERLINK("https://www2.assemblee-nationale.fr/sycomore/fiche/(num_dept)/1260", "1260")</f>
        <v>0</v>
      </c>
      <c r="N713">
        <f>HYPERLINK("https://www.wikidata.org/wiki/Q3052603", "Q3052603")</f>
        <v>0</v>
      </c>
      <c r="O713" t="s">
        <v>20001</v>
      </c>
      <c r="P713" t="s">
        <v>20402</v>
      </c>
      <c r="Q713" t="s">
        <v>20559</v>
      </c>
      <c r="R713" t="s">
        <v>410</v>
      </c>
      <c r="S713">
        <v>2051</v>
      </c>
    </row>
    <row r="714" spans="1:19">
      <c r="A714" t="s">
        <v>20</v>
      </c>
      <c r="B714" t="s">
        <v>148</v>
      </c>
      <c r="C714" t="s">
        <v>152</v>
      </c>
      <c r="D714" t="s">
        <v>281</v>
      </c>
      <c r="E714" t="s">
        <v>410</v>
      </c>
      <c r="F714">
        <f>HYPERLINK("https://www.wikidata.org/wiki/Q33528422", "Q33528422")</f>
        <v>0</v>
      </c>
      <c r="G714" t="s">
        <v>1155</v>
      </c>
      <c r="H714" t="s">
        <v>5650</v>
      </c>
      <c r="I714" t="s">
        <v>9683</v>
      </c>
      <c r="J714" t="s">
        <v>11889</v>
      </c>
      <c r="K714" t="s">
        <v>16290</v>
      </c>
      <c r="L714">
        <f>HYPERLINK("https://www2.assemblee-nationale.fr/sycomore/fiche/(num_dept)/1284", "1284")</f>
        <v>0</v>
      </c>
      <c r="N714">
        <f>HYPERLINK("https://www.wikidata.org/wiki/Q2853742", "Q2853742")</f>
        <v>0</v>
      </c>
      <c r="O714" t="s">
        <v>19969</v>
      </c>
      <c r="P714" t="s">
        <v>20404</v>
      </c>
      <c r="Q714" t="s">
        <v>20559</v>
      </c>
      <c r="R714" t="s">
        <v>410</v>
      </c>
      <c r="S714">
        <v>2051</v>
      </c>
    </row>
    <row r="715" spans="1:19">
      <c r="A715" t="s">
        <v>20</v>
      </c>
      <c r="B715" t="s">
        <v>148</v>
      </c>
      <c r="C715" t="s">
        <v>152</v>
      </c>
      <c r="D715" t="s">
        <v>281</v>
      </c>
      <c r="E715" t="s">
        <v>410</v>
      </c>
      <c r="F715">
        <f>HYPERLINK("https://www.wikidata.org/wiki/Q33528422", "Q33528422")</f>
        <v>0</v>
      </c>
      <c r="G715" t="s">
        <v>894</v>
      </c>
      <c r="H715" t="s">
        <v>5650</v>
      </c>
      <c r="I715" t="s">
        <v>9579</v>
      </c>
      <c r="J715" t="s">
        <v>11640</v>
      </c>
      <c r="K715" t="s">
        <v>16039</v>
      </c>
      <c r="L715">
        <f>HYPERLINK("https://www2.assemblee-nationale.fr/sycomore/fiche/(num_dept)/1287", "1287")</f>
        <v>0</v>
      </c>
      <c r="N715">
        <f>HYPERLINK("https://www.wikidata.org/wiki/Q15974067", "Q15974067")</f>
        <v>0</v>
      </c>
      <c r="O715" t="s">
        <v>20010</v>
      </c>
      <c r="P715" t="s">
        <v>20412</v>
      </c>
      <c r="Q715" t="s">
        <v>20559</v>
      </c>
      <c r="R715" t="s">
        <v>410</v>
      </c>
      <c r="S715">
        <v>2051</v>
      </c>
    </row>
    <row r="716" spans="1:19">
      <c r="A716" t="s">
        <v>20</v>
      </c>
      <c r="B716" t="s">
        <v>148</v>
      </c>
      <c r="C716" t="s">
        <v>152</v>
      </c>
      <c r="D716" t="s">
        <v>281</v>
      </c>
      <c r="E716" t="s">
        <v>410</v>
      </c>
      <c r="F716">
        <f>HYPERLINK("https://www.wikidata.org/wiki/Q33528422", "Q33528422")</f>
        <v>0</v>
      </c>
      <c r="G716" t="s">
        <v>896</v>
      </c>
      <c r="H716" t="s">
        <v>5652</v>
      </c>
      <c r="I716" t="s">
        <v>6175</v>
      </c>
      <c r="J716" t="s">
        <v>11642</v>
      </c>
      <c r="K716" t="s">
        <v>16041</v>
      </c>
      <c r="L716">
        <f>HYPERLINK("https://www2.assemblee-nationale.fr/sycomore/fiche/(num_dept)/1313", "1313")</f>
        <v>0</v>
      </c>
      <c r="N716">
        <f>HYPERLINK("https://www.wikidata.org/wiki/Q3102398", "Q3102398")</f>
        <v>0</v>
      </c>
      <c r="O716" t="s">
        <v>19978</v>
      </c>
      <c r="P716" t="s">
        <v>20412</v>
      </c>
      <c r="Q716" t="s">
        <v>20559</v>
      </c>
      <c r="R716" t="s">
        <v>410</v>
      </c>
      <c r="S716">
        <v>2051</v>
      </c>
    </row>
    <row r="717" spans="1:19">
      <c r="A717" t="s">
        <v>20</v>
      </c>
      <c r="B717" t="s">
        <v>148</v>
      </c>
      <c r="C717" t="s">
        <v>152</v>
      </c>
      <c r="D717" t="s">
        <v>281</v>
      </c>
      <c r="E717" t="s">
        <v>410</v>
      </c>
      <c r="F717">
        <f>HYPERLINK("https://www.wikidata.org/wiki/Q33528422", "Q33528422")</f>
        <v>0</v>
      </c>
      <c r="G717" t="s">
        <v>897</v>
      </c>
      <c r="H717" t="s">
        <v>5653</v>
      </c>
      <c r="I717" t="s">
        <v>9581</v>
      </c>
      <c r="J717" t="s">
        <v>11643</v>
      </c>
      <c r="K717" t="s">
        <v>15997</v>
      </c>
      <c r="L717">
        <f>HYPERLINK("https://www2.assemblee-nationale.fr/sycomore/fiche/(num_dept)/1341", "1341")</f>
        <v>0</v>
      </c>
      <c r="N717">
        <f>HYPERLINK("https://www.wikidata.org/wiki/Q16025423", "Q16025423")</f>
        <v>0</v>
      </c>
      <c r="O717" t="s">
        <v>19967</v>
      </c>
      <c r="P717" t="s">
        <v>20404</v>
      </c>
      <c r="Q717" t="s">
        <v>20559</v>
      </c>
      <c r="R717" t="s">
        <v>410</v>
      </c>
      <c r="S717">
        <v>2051</v>
      </c>
    </row>
    <row r="718" spans="1:19">
      <c r="A718" t="s">
        <v>20</v>
      </c>
      <c r="B718" t="s">
        <v>148</v>
      </c>
      <c r="C718" t="s">
        <v>152</v>
      </c>
      <c r="D718" t="s">
        <v>281</v>
      </c>
      <c r="E718" t="s">
        <v>410</v>
      </c>
      <c r="F718">
        <f>HYPERLINK("https://www.wikidata.org/wiki/Q33528422", "Q33528422")</f>
        <v>0</v>
      </c>
      <c r="G718" t="s">
        <v>1156</v>
      </c>
      <c r="H718" t="s">
        <v>5890</v>
      </c>
      <c r="I718" t="s">
        <v>9684</v>
      </c>
      <c r="J718" t="s">
        <v>11890</v>
      </c>
      <c r="K718" t="s">
        <v>16291</v>
      </c>
      <c r="L718">
        <f>HYPERLINK("https://www2.assemblee-nationale.fr/sycomore/fiche/(num_dept)/1353", "1353")</f>
        <v>0</v>
      </c>
      <c r="M718">
        <f>HYPERLINK("https://www.senat.fr/senateur-3eme-republique/cadot_henri0980r3.html", "cadot_henri0980r3")</f>
        <v>0</v>
      </c>
      <c r="N718">
        <f>HYPERLINK("https://www.wikidata.org/wiki/Q3130771", "Q3130771")</f>
        <v>0</v>
      </c>
      <c r="O718" t="s">
        <v>19968</v>
      </c>
      <c r="P718" t="s">
        <v>20404</v>
      </c>
      <c r="Q718" t="s">
        <v>20559</v>
      </c>
      <c r="R718" t="s">
        <v>410</v>
      </c>
      <c r="S718">
        <v>2051</v>
      </c>
    </row>
    <row r="719" spans="1:19">
      <c r="A719" t="s">
        <v>20</v>
      </c>
      <c r="B719" t="s">
        <v>148</v>
      </c>
      <c r="C719" t="s">
        <v>152</v>
      </c>
      <c r="D719" t="s">
        <v>281</v>
      </c>
      <c r="E719" t="s">
        <v>410</v>
      </c>
      <c r="F719">
        <f>HYPERLINK("https://www.wikidata.org/wiki/Q33528422", "Q33528422")</f>
        <v>0</v>
      </c>
      <c r="G719" t="s">
        <v>1157</v>
      </c>
      <c r="H719" t="s">
        <v>5891</v>
      </c>
      <c r="I719" t="s">
        <v>9685</v>
      </c>
      <c r="J719" t="s">
        <v>11891</v>
      </c>
      <c r="K719" t="s">
        <v>16292</v>
      </c>
      <c r="L719">
        <f>HYPERLINK("https://www2.assemblee-nationale.fr/sycomore/fiche/(num_dept)/1356", "1356")</f>
        <v>0</v>
      </c>
      <c r="N719">
        <f>HYPERLINK("https://www.wikidata.org/wiki/Q2959687", "Q2959687")</f>
        <v>0</v>
      </c>
      <c r="O719" t="s">
        <v>7411</v>
      </c>
      <c r="P719" t="s">
        <v>20413</v>
      </c>
      <c r="Q719" t="s">
        <v>20559</v>
      </c>
      <c r="R719" t="s">
        <v>410</v>
      </c>
      <c r="S719">
        <v>2051</v>
      </c>
    </row>
    <row r="720" spans="1:19">
      <c r="A720" t="s">
        <v>20</v>
      </c>
      <c r="B720" t="s">
        <v>148</v>
      </c>
      <c r="C720" t="s">
        <v>152</v>
      </c>
      <c r="D720" t="s">
        <v>281</v>
      </c>
      <c r="E720" t="s">
        <v>410</v>
      </c>
      <c r="F720">
        <f>HYPERLINK("https://www.wikidata.org/wiki/Q33528422", "Q33528422")</f>
        <v>0</v>
      </c>
      <c r="G720" t="s">
        <v>560</v>
      </c>
      <c r="H720" t="s">
        <v>5323</v>
      </c>
      <c r="I720" t="s">
        <v>9407</v>
      </c>
      <c r="J720" t="s">
        <v>11311</v>
      </c>
      <c r="K720" t="s">
        <v>15712</v>
      </c>
      <c r="L720">
        <f>HYPERLINK("https://www2.assemblee-nationale.fr/sycomore/fiche/(num_dept)/1366", "1366")</f>
        <v>0</v>
      </c>
      <c r="M720">
        <f>HYPERLINK("https://www.senat.fr/senateur-3eme-republique/caillaux_joseph1254r3.html", "caillaux_joseph1254r3")</f>
        <v>0</v>
      </c>
      <c r="N720">
        <f>HYPERLINK("https://www.wikidata.org/wiki/Q450463", "Q450463")</f>
        <v>0</v>
      </c>
      <c r="O720" t="s">
        <v>19956</v>
      </c>
      <c r="P720" t="s">
        <v>20413</v>
      </c>
      <c r="Q720" t="s">
        <v>20559</v>
      </c>
      <c r="R720" t="s">
        <v>410</v>
      </c>
      <c r="S720">
        <v>2051</v>
      </c>
    </row>
    <row r="721" spans="1:19">
      <c r="A721" t="s">
        <v>20</v>
      </c>
      <c r="B721" t="s">
        <v>148</v>
      </c>
      <c r="C721" t="s">
        <v>152</v>
      </c>
      <c r="D721" t="s">
        <v>281</v>
      </c>
      <c r="E721" t="s">
        <v>410</v>
      </c>
      <c r="F721">
        <f>HYPERLINK("https://www.wikidata.org/wiki/Q33528422", "Q33528422")</f>
        <v>0</v>
      </c>
      <c r="G721" t="s">
        <v>898</v>
      </c>
      <c r="H721" t="s">
        <v>5654</v>
      </c>
      <c r="I721" t="s">
        <v>9582</v>
      </c>
      <c r="J721" t="s">
        <v>11644</v>
      </c>
      <c r="K721" t="s">
        <v>16042</v>
      </c>
      <c r="L721">
        <f>HYPERLINK("https://www2.assemblee-nationale.fr/sycomore/fiche/(num_dept)/1401", "1401")</f>
        <v>0</v>
      </c>
      <c r="N721">
        <f>HYPERLINK("https://www.wikidata.org/wiki/Q2934043", "Q2934043")</f>
        <v>0</v>
      </c>
      <c r="O721" t="s">
        <v>19987</v>
      </c>
      <c r="P721" t="s">
        <v>20404</v>
      </c>
      <c r="Q721" t="s">
        <v>20559</v>
      </c>
      <c r="R721" t="s">
        <v>410</v>
      </c>
      <c r="S721">
        <v>2051</v>
      </c>
    </row>
    <row r="722" spans="1:19">
      <c r="A722" t="s">
        <v>20</v>
      </c>
      <c r="B722" t="s">
        <v>148</v>
      </c>
      <c r="C722" t="s">
        <v>152</v>
      </c>
      <c r="D722" t="s">
        <v>281</v>
      </c>
      <c r="E722" t="s">
        <v>410</v>
      </c>
      <c r="F722">
        <f>HYPERLINK("https://www.wikidata.org/wiki/Q33528422", "Q33528422")</f>
        <v>0</v>
      </c>
      <c r="G722" t="s">
        <v>1100</v>
      </c>
      <c r="H722" t="s">
        <v>5841</v>
      </c>
      <c r="I722" t="s">
        <v>6707</v>
      </c>
      <c r="J722" t="s">
        <v>11836</v>
      </c>
      <c r="K722" t="s">
        <v>16236</v>
      </c>
      <c r="L722">
        <f>HYPERLINK("https://www2.assemblee-nationale.fr/sycomore/fiche/(num_dept)/1415", "1415")</f>
        <v>0</v>
      </c>
      <c r="N722">
        <f>HYPERLINK("https://www.wikidata.org/wiki/Q3115697", "Q3115697")</f>
        <v>0</v>
      </c>
      <c r="O722" t="s">
        <v>20028</v>
      </c>
      <c r="P722" t="s">
        <v>20415</v>
      </c>
      <c r="Q722" t="s">
        <v>20559</v>
      </c>
      <c r="R722" t="s">
        <v>410</v>
      </c>
      <c r="S722">
        <v>2051</v>
      </c>
    </row>
    <row r="723" spans="1:19">
      <c r="A723" t="s">
        <v>20</v>
      </c>
      <c r="B723" t="s">
        <v>148</v>
      </c>
      <c r="C723" t="s">
        <v>152</v>
      </c>
      <c r="D723" t="s">
        <v>281</v>
      </c>
      <c r="E723" t="s">
        <v>410</v>
      </c>
      <c r="F723">
        <f>HYPERLINK("https://www.wikidata.org/wiki/Q33528422", "Q33528422")</f>
        <v>0</v>
      </c>
      <c r="G723" t="s">
        <v>563</v>
      </c>
      <c r="H723" t="s">
        <v>5326</v>
      </c>
      <c r="I723" t="s">
        <v>9418</v>
      </c>
      <c r="J723" t="s">
        <v>11314</v>
      </c>
      <c r="K723" t="s">
        <v>15715</v>
      </c>
      <c r="L723">
        <f>HYPERLINK("https://www2.assemblee-nationale.fr/sycomore/fiche/(num_dept)/1555", "1555")</f>
        <v>0</v>
      </c>
      <c r="N723">
        <f>HYPERLINK("https://www.wikidata.org/wiki/Q15974261", "Q15974261")</f>
        <v>0</v>
      </c>
      <c r="O723" t="s">
        <v>19987</v>
      </c>
      <c r="P723" t="s">
        <v>20412</v>
      </c>
      <c r="Q723" t="s">
        <v>20559</v>
      </c>
      <c r="R723" t="s">
        <v>410</v>
      </c>
      <c r="S723">
        <v>2051</v>
      </c>
    </row>
    <row r="724" spans="1:19">
      <c r="A724" t="s">
        <v>20</v>
      </c>
      <c r="B724" t="s">
        <v>148</v>
      </c>
      <c r="C724" t="s">
        <v>152</v>
      </c>
      <c r="D724" t="s">
        <v>281</v>
      </c>
      <c r="E724" t="s">
        <v>410</v>
      </c>
      <c r="F724">
        <f>HYPERLINK("https://www.wikidata.org/wiki/Q33528422", "Q33528422")</f>
        <v>0</v>
      </c>
      <c r="G724" t="s">
        <v>564</v>
      </c>
      <c r="H724" t="s">
        <v>5327</v>
      </c>
      <c r="I724" t="s">
        <v>5574</v>
      </c>
      <c r="J724" t="s">
        <v>11315</v>
      </c>
      <c r="K724" t="s">
        <v>15716</v>
      </c>
      <c r="L724">
        <f>HYPERLINK("https://www2.assemblee-nationale.fr/sycomore/fiche/(num_dept)/1565", "1565")</f>
        <v>0</v>
      </c>
      <c r="N724">
        <f>HYPERLINK("https://www.wikidata.org/wiki/Q15974262", "Q15974262")</f>
        <v>0</v>
      </c>
      <c r="O724" t="s">
        <v>20003</v>
      </c>
      <c r="P724" t="s">
        <v>20413</v>
      </c>
      <c r="Q724" t="s">
        <v>20559</v>
      </c>
      <c r="R724" t="s">
        <v>410</v>
      </c>
      <c r="S724">
        <v>2051</v>
      </c>
    </row>
    <row r="725" spans="1:19">
      <c r="A725" t="s">
        <v>20</v>
      </c>
      <c r="B725" t="s">
        <v>148</v>
      </c>
      <c r="C725" t="s">
        <v>152</v>
      </c>
      <c r="D725" t="s">
        <v>281</v>
      </c>
      <c r="E725" t="s">
        <v>410</v>
      </c>
      <c r="F725">
        <f>HYPERLINK("https://www.wikidata.org/wiki/Q33528422", "Q33528422")</f>
        <v>0</v>
      </c>
      <c r="G725" t="s">
        <v>902</v>
      </c>
      <c r="H725" t="s">
        <v>5658</v>
      </c>
      <c r="I725" t="s">
        <v>8240</v>
      </c>
      <c r="J725" t="s">
        <v>11647</v>
      </c>
      <c r="K725" t="s">
        <v>16046</v>
      </c>
      <c r="L725">
        <f>HYPERLINK("https://www2.assemblee-nationale.fr/sycomore/fiche/(num_dept)/1568", "1568")</f>
        <v>0</v>
      </c>
      <c r="N725">
        <f>HYPERLINK("https://www.wikidata.org/wiki/Q3367326", "Q3367326")</f>
        <v>0</v>
      </c>
      <c r="O725" t="s">
        <v>20015</v>
      </c>
      <c r="P725" t="s">
        <v>20413</v>
      </c>
      <c r="Q725" t="s">
        <v>20559</v>
      </c>
      <c r="R725" t="s">
        <v>16046</v>
      </c>
      <c r="S725">
        <v>1655</v>
      </c>
    </row>
    <row r="726" spans="1:19">
      <c r="A726" t="s">
        <v>20</v>
      </c>
      <c r="B726" t="s">
        <v>148</v>
      </c>
      <c r="C726" t="s">
        <v>152</v>
      </c>
      <c r="D726" t="s">
        <v>281</v>
      </c>
      <c r="E726" t="s">
        <v>410</v>
      </c>
      <c r="F726">
        <f>HYPERLINK("https://www.wikidata.org/wiki/Q33528422", "Q33528422")</f>
        <v>0</v>
      </c>
      <c r="G726" t="s">
        <v>1131</v>
      </c>
      <c r="H726" t="s">
        <v>5868</v>
      </c>
      <c r="I726" t="s">
        <v>9552</v>
      </c>
      <c r="J726" t="s">
        <v>11865</v>
      </c>
      <c r="K726" t="s">
        <v>16267</v>
      </c>
      <c r="L726">
        <f>HYPERLINK("https://www2.assemblee-nationale.fr/sycomore/fiche/(num_dept)/1571", "1571")</f>
        <v>0</v>
      </c>
      <c r="N726">
        <f>HYPERLINK("https://www.wikidata.org/wiki/Q2871106", "Q2871106")</f>
        <v>0</v>
      </c>
      <c r="O726" t="s">
        <v>19992</v>
      </c>
      <c r="P726" t="s">
        <v>20412</v>
      </c>
      <c r="Q726" t="s">
        <v>20559</v>
      </c>
      <c r="R726" t="s">
        <v>410</v>
      </c>
      <c r="S726">
        <v>2051</v>
      </c>
    </row>
    <row r="727" spans="1:19">
      <c r="A727" t="s">
        <v>20</v>
      </c>
      <c r="B727" t="s">
        <v>148</v>
      </c>
      <c r="C727" t="s">
        <v>152</v>
      </c>
      <c r="D727" t="s">
        <v>281</v>
      </c>
      <c r="E727" t="s">
        <v>410</v>
      </c>
      <c r="F727">
        <f>HYPERLINK("https://www.wikidata.org/wiki/Q33528422", "Q33528422")</f>
        <v>0</v>
      </c>
      <c r="G727" t="s">
        <v>903</v>
      </c>
      <c r="H727" t="s">
        <v>5659</v>
      </c>
      <c r="I727" t="s">
        <v>6200</v>
      </c>
      <c r="J727" t="s">
        <v>11648</v>
      </c>
      <c r="K727" t="s">
        <v>16047</v>
      </c>
      <c r="L727">
        <f>HYPERLINK("https://www2.assemblee-nationale.fr/sycomore/fiche/(num_dept)/1572", "1572")</f>
        <v>0</v>
      </c>
      <c r="N727">
        <f>HYPERLINK("https://www.wikidata.org/wiki/Q3171180", "Q3171180")</f>
        <v>0</v>
      </c>
      <c r="O727" t="s">
        <v>20043</v>
      </c>
      <c r="P727" t="s">
        <v>20401</v>
      </c>
      <c r="Q727" t="s">
        <v>20559</v>
      </c>
      <c r="R727" t="s">
        <v>410</v>
      </c>
      <c r="S727">
        <v>2051</v>
      </c>
    </row>
    <row r="728" spans="1:19">
      <c r="A728" t="s">
        <v>20</v>
      </c>
      <c r="B728" t="s">
        <v>148</v>
      </c>
      <c r="C728" t="s">
        <v>152</v>
      </c>
      <c r="D728" t="s">
        <v>281</v>
      </c>
      <c r="E728" t="s">
        <v>410</v>
      </c>
      <c r="F728">
        <f>HYPERLINK("https://www.wikidata.org/wiki/Q33528422", "Q33528422")</f>
        <v>0</v>
      </c>
      <c r="G728" t="s">
        <v>565</v>
      </c>
      <c r="H728" t="s">
        <v>5328</v>
      </c>
      <c r="I728" t="s">
        <v>6860</v>
      </c>
      <c r="J728" t="s">
        <v>11316</v>
      </c>
      <c r="K728" t="s">
        <v>15717</v>
      </c>
      <c r="L728">
        <f>HYPERLINK("https://www2.assemblee-nationale.fr/sycomore/fiche/(num_dept)/1623", "1623")</f>
        <v>0</v>
      </c>
      <c r="M728">
        <f>HYPERLINK("https://www.senat.fr/senateur-3eme-republique/de_chambrun_pierre0856r3.html", "de_chambrun_pierre0856r3")</f>
        <v>0</v>
      </c>
      <c r="N728">
        <f>HYPERLINK("https://www.wikidata.org/wiki/Q3042196", "Q3042196")</f>
        <v>0</v>
      </c>
      <c r="O728" t="s">
        <v>20004</v>
      </c>
      <c r="P728" t="s">
        <v>20412</v>
      </c>
      <c r="Q728" t="s">
        <v>20559</v>
      </c>
      <c r="R728" t="s">
        <v>410</v>
      </c>
      <c r="S728">
        <v>2051</v>
      </c>
    </row>
    <row r="729" spans="1:19">
      <c r="A729" t="s">
        <v>20</v>
      </c>
      <c r="B729" t="s">
        <v>148</v>
      </c>
      <c r="C729" t="s">
        <v>152</v>
      </c>
      <c r="D729" t="s">
        <v>281</v>
      </c>
      <c r="E729" t="s">
        <v>410</v>
      </c>
      <c r="F729">
        <f>HYPERLINK("https://www.wikidata.org/wiki/Q33528422", "Q33528422")</f>
        <v>0</v>
      </c>
      <c r="G729" t="s">
        <v>906</v>
      </c>
      <c r="H729" t="s">
        <v>5662</v>
      </c>
      <c r="I729" t="s">
        <v>6495</v>
      </c>
      <c r="J729" t="s">
        <v>11377</v>
      </c>
      <c r="K729" t="s">
        <v>16050</v>
      </c>
      <c r="L729">
        <f>HYPERLINK("https://www2.assemblee-nationale.fr/sycomore/fiche/(num_dept)/1648", "1648")</f>
        <v>0</v>
      </c>
      <c r="N729">
        <f>HYPERLINK("https://www.wikidata.org/wiki/Q3263418", "Q3263418")</f>
        <v>0</v>
      </c>
      <c r="O729" t="s">
        <v>19964</v>
      </c>
      <c r="P729" t="s">
        <v>20409</v>
      </c>
      <c r="Q729" t="s">
        <v>20559</v>
      </c>
      <c r="R729" t="s">
        <v>410</v>
      </c>
      <c r="S729">
        <v>2051</v>
      </c>
    </row>
    <row r="730" spans="1:19">
      <c r="A730" t="s">
        <v>20</v>
      </c>
      <c r="B730" t="s">
        <v>148</v>
      </c>
      <c r="C730" t="s">
        <v>152</v>
      </c>
      <c r="D730" t="s">
        <v>281</v>
      </c>
      <c r="E730" t="s">
        <v>410</v>
      </c>
      <c r="F730">
        <f>HYPERLINK("https://www.wikidata.org/wiki/Q33528422", "Q33528422")</f>
        <v>0</v>
      </c>
      <c r="G730" t="s">
        <v>569</v>
      </c>
      <c r="H730" t="s">
        <v>5332</v>
      </c>
      <c r="I730" t="s">
        <v>9422</v>
      </c>
      <c r="J730" t="s">
        <v>11320</v>
      </c>
      <c r="K730" t="s">
        <v>15721</v>
      </c>
      <c r="L730">
        <f>HYPERLINK("https://www2.assemblee-nationale.fr/sycomore/fiche/(num_dept)/1693", "1693")</f>
        <v>0</v>
      </c>
      <c r="M730">
        <f>HYPERLINK("https://www.senat.fr/senateur-3eme-republique/chassaing_eugene0995r3.html", "chassaing_eugene0995r3")</f>
        <v>0</v>
      </c>
      <c r="N730">
        <f>HYPERLINK("https://www.wikidata.org/wiki/Q3059770", "Q3059770")</f>
        <v>0</v>
      </c>
      <c r="O730" t="s">
        <v>20005</v>
      </c>
      <c r="P730" t="s">
        <v>20413</v>
      </c>
      <c r="Q730" t="s">
        <v>20559</v>
      </c>
      <c r="R730" t="s">
        <v>410</v>
      </c>
      <c r="S730">
        <v>2051</v>
      </c>
    </row>
    <row r="731" spans="1:19">
      <c r="A731" t="s">
        <v>20</v>
      </c>
      <c r="B731" t="s">
        <v>148</v>
      </c>
      <c r="C731" t="s">
        <v>152</v>
      </c>
      <c r="D731" t="s">
        <v>281</v>
      </c>
      <c r="E731" t="s">
        <v>410</v>
      </c>
      <c r="F731">
        <f>HYPERLINK("https://www.wikidata.org/wiki/Q33528422", "Q33528422")</f>
        <v>0</v>
      </c>
      <c r="G731" t="s">
        <v>571</v>
      </c>
      <c r="H731" t="s">
        <v>5334</v>
      </c>
      <c r="I731" t="s">
        <v>9424</v>
      </c>
      <c r="J731" t="s">
        <v>11322</v>
      </c>
      <c r="K731" t="s">
        <v>15723</v>
      </c>
      <c r="L731">
        <f>HYPERLINK("https://www2.assemblee-nationale.fr/sycomore/fiche/(num_dept)/1710", "1710")</f>
        <v>0</v>
      </c>
      <c r="N731">
        <f>HYPERLINK("https://www.wikidata.org/wiki/Q16798442", "Q16798442")</f>
        <v>0</v>
      </c>
      <c r="O731" t="s">
        <v>19995</v>
      </c>
      <c r="P731" t="s">
        <v>20413</v>
      </c>
      <c r="Q731" t="s">
        <v>20559</v>
      </c>
      <c r="R731" t="s">
        <v>410</v>
      </c>
      <c r="S731">
        <v>2051</v>
      </c>
    </row>
    <row r="732" spans="1:19">
      <c r="A732" t="s">
        <v>20</v>
      </c>
      <c r="B732" t="s">
        <v>148</v>
      </c>
      <c r="C732" t="s">
        <v>152</v>
      </c>
      <c r="D732" t="s">
        <v>281</v>
      </c>
      <c r="E732" t="s">
        <v>410</v>
      </c>
      <c r="F732">
        <f>HYPERLINK("https://www.wikidata.org/wiki/Q33528422", "Q33528422")</f>
        <v>0</v>
      </c>
      <c r="G732" t="s">
        <v>572</v>
      </c>
      <c r="H732" t="s">
        <v>5335</v>
      </c>
      <c r="I732" t="s">
        <v>9425</v>
      </c>
      <c r="J732" t="s">
        <v>11323</v>
      </c>
      <c r="K732" t="s">
        <v>15724</v>
      </c>
      <c r="L732">
        <f>HYPERLINK("https://www2.assemblee-nationale.fr/sycomore/fiche/(num_dept)/1713", "1713")</f>
        <v>0</v>
      </c>
      <c r="N732">
        <f>HYPERLINK("https://www.wikidata.org/wiki/Q3171275", "Q3171275")</f>
        <v>0</v>
      </c>
      <c r="O732" t="s">
        <v>19984</v>
      </c>
      <c r="P732" t="s">
        <v>20413</v>
      </c>
      <c r="Q732" t="s">
        <v>20559</v>
      </c>
      <c r="R732" t="s">
        <v>410</v>
      </c>
      <c r="S732">
        <v>2051</v>
      </c>
    </row>
    <row r="733" spans="1:19">
      <c r="A733" t="s">
        <v>20</v>
      </c>
      <c r="B733" t="s">
        <v>148</v>
      </c>
      <c r="C733" t="s">
        <v>152</v>
      </c>
      <c r="D733" t="s">
        <v>281</v>
      </c>
      <c r="E733" t="s">
        <v>410</v>
      </c>
      <c r="F733">
        <f>HYPERLINK("https://www.wikidata.org/wiki/Q33528422", "Q33528422")</f>
        <v>0</v>
      </c>
      <c r="G733" t="s">
        <v>573</v>
      </c>
      <c r="H733" t="s">
        <v>5336</v>
      </c>
      <c r="I733" t="s">
        <v>9385</v>
      </c>
      <c r="J733" t="s">
        <v>11324</v>
      </c>
      <c r="K733" t="s">
        <v>15725</v>
      </c>
      <c r="L733">
        <f>HYPERLINK("https://www2.assemblee-nationale.fr/sycomore/fiche/(num_dept)/1716", "1716")</f>
        <v>0</v>
      </c>
      <c r="M733">
        <f>HYPERLINK("https://www.senat.fr/senateur-3eme-republique/chaumet_jean0195r3.html", "chaumet_jean0195r3")</f>
        <v>0</v>
      </c>
      <c r="N733">
        <f>HYPERLINK("https://www.wikidata.org/wiki/Q2958718", "Q2958718")</f>
        <v>0</v>
      </c>
      <c r="O733" t="s">
        <v>19987</v>
      </c>
      <c r="P733" t="s">
        <v>20412</v>
      </c>
      <c r="Q733" t="s">
        <v>20559</v>
      </c>
      <c r="R733" t="s">
        <v>410</v>
      </c>
      <c r="S733">
        <v>2051</v>
      </c>
    </row>
    <row r="734" spans="1:19">
      <c r="A734" t="s">
        <v>20</v>
      </c>
      <c r="B734" t="s">
        <v>148</v>
      </c>
      <c r="C734" t="s">
        <v>152</v>
      </c>
      <c r="D734" t="s">
        <v>281</v>
      </c>
      <c r="E734" t="s">
        <v>410</v>
      </c>
      <c r="F734">
        <f>HYPERLINK("https://www.wikidata.org/wiki/Q33528422", "Q33528422")</f>
        <v>0</v>
      </c>
      <c r="G734" t="s">
        <v>1158</v>
      </c>
      <c r="H734" t="s">
        <v>5892</v>
      </c>
      <c r="I734" t="s">
        <v>9686</v>
      </c>
      <c r="J734" t="s">
        <v>11834</v>
      </c>
      <c r="K734" t="s">
        <v>16293</v>
      </c>
      <c r="L734">
        <f>HYPERLINK("https://www2.assemblee-nationale.fr/sycomore/fiche/(num_dept)/1718", "1718")</f>
        <v>0</v>
      </c>
      <c r="N734">
        <f>HYPERLINK("https://www.wikidata.org/wiki/Q16025432", "Q16025432")</f>
        <v>0</v>
      </c>
      <c r="O734" t="s">
        <v>20043</v>
      </c>
      <c r="P734" t="s">
        <v>20413</v>
      </c>
      <c r="Q734" t="s">
        <v>20559</v>
      </c>
      <c r="R734" t="s">
        <v>410</v>
      </c>
      <c r="S734">
        <v>2051</v>
      </c>
    </row>
    <row r="735" spans="1:19">
      <c r="A735" t="s">
        <v>20</v>
      </c>
      <c r="B735" t="s">
        <v>148</v>
      </c>
      <c r="C735" t="s">
        <v>152</v>
      </c>
      <c r="D735" t="s">
        <v>281</v>
      </c>
      <c r="E735" t="s">
        <v>410</v>
      </c>
      <c r="F735">
        <f>HYPERLINK("https://www.wikidata.org/wiki/Q33528422", "Q33528422")</f>
        <v>0</v>
      </c>
      <c r="G735" t="s">
        <v>1159</v>
      </c>
      <c r="H735" t="s">
        <v>5893</v>
      </c>
      <c r="I735" t="s">
        <v>9687</v>
      </c>
      <c r="J735" t="s">
        <v>11892</v>
      </c>
      <c r="K735" t="s">
        <v>16294</v>
      </c>
      <c r="L735">
        <f>HYPERLINK("https://www2.assemblee-nationale.fr/sycomore/fiche/(num_dept)/1744", "1744")</f>
        <v>0</v>
      </c>
      <c r="N735">
        <f>HYPERLINK("https://www.wikidata.org/wiki/Q16025440", "Q16025440")</f>
        <v>0</v>
      </c>
      <c r="O735" t="s">
        <v>20010</v>
      </c>
      <c r="P735" t="s">
        <v>20413</v>
      </c>
      <c r="Q735" t="s">
        <v>20559</v>
      </c>
      <c r="R735" t="s">
        <v>410</v>
      </c>
      <c r="S735">
        <v>2051</v>
      </c>
    </row>
    <row r="736" spans="1:19">
      <c r="A736" t="s">
        <v>20</v>
      </c>
      <c r="B736" t="s">
        <v>148</v>
      </c>
      <c r="C736" t="s">
        <v>152</v>
      </c>
      <c r="D736" t="s">
        <v>281</v>
      </c>
      <c r="E736" t="s">
        <v>410</v>
      </c>
      <c r="F736">
        <f>HYPERLINK("https://www.wikidata.org/wiki/Q33528422", "Q33528422")</f>
        <v>0</v>
      </c>
      <c r="G736" t="s">
        <v>1125</v>
      </c>
      <c r="H736" t="s">
        <v>5863</v>
      </c>
      <c r="I736" t="s">
        <v>9612</v>
      </c>
      <c r="J736" t="s">
        <v>11859</v>
      </c>
      <c r="K736" t="s">
        <v>16261</v>
      </c>
      <c r="L736">
        <f>HYPERLINK("https://www2.assemblee-nationale.fr/sycomore/fiche/(num_dept)/1784", "1784")</f>
        <v>0</v>
      </c>
      <c r="N736">
        <f>HYPERLINK("https://www.wikidata.org/wiki/Q1471469", "Q1471469")</f>
        <v>0</v>
      </c>
      <c r="O736" t="s">
        <v>19990</v>
      </c>
      <c r="P736" t="s">
        <v>20401</v>
      </c>
      <c r="Q736" t="s">
        <v>20559</v>
      </c>
      <c r="R736" t="s">
        <v>16261</v>
      </c>
      <c r="S736">
        <v>301</v>
      </c>
    </row>
    <row r="737" spans="1:19">
      <c r="A737" t="s">
        <v>20</v>
      </c>
      <c r="B737" t="s">
        <v>148</v>
      </c>
      <c r="C737" t="s">
        <v>152</v>
      </c>
      <c r="D737" t="s">
        <v>281</v>
      </c>
      <c r="E737" t="s">
        <v>410</v>
      </c>
      <c r="F737">
        <f>HYPERLINK("https://www.wikidata.org/wiki/Q33528422", "Q33528422")</f>
        <v>0</v>
      </c>
      <c r="G737" t="s">
        <v>577</v>
      </c>
      <c r="H737" t="s">
        <v>5339</v>
      </c>
      <c r="I737" t="s">
        <v>9428</v>
      </c>
      <c r="J737" t="s">
        <v>11328</v>
      </c>
      <c r="K737" t="s">
        <v>15729</v>
      </c>
      <c r="L737">
        <f>HYPERLINK("https://www2.assemblee-nationale.fr/sycomore/fiche/(num_dept)/1822", "1822")</f>
        <v>0</v>
      </c>
      <c r="N737">
        <f>HYPERLINK("https://www.wikidata.org/wiki/Q2835023", "Q2835023")</f>
        <v>0</v>
      </c>
      <c r="O737" t="s">
        <v>19967</v>
      </c>
      <c r="P737" t="s">
        <v>20408</v>
      </c>
      <c r="Q737" t="s">
        <v>20559</v>
      </c>
      <c r="R737" t="s">
        <v>15729</v>
      </c>
      <c r="S737">
        <v>79</v>
      </c>
    </row>
    <row r="738" spans="1:19">
      <c r="A738" t="s">
        <v>20</v>
      </c>
      <c r="B738" t="s">
        <v>148</v>
      </c>
      <c r="C738" t="s">
        <v>152</v>
      </c>
      <c r="D738" t="s">
        <v>281</v>
      </c>
      <c r="E738" t="s">
        <v>410</v>
      </c>
      <c r="F738">
        <f>HYPERLINK("https://www.wikidata.org/wiki/Q33528422", "Q33528422")</f>
        <v>0</v>
      </c>
      <c r="G738" t="s">
        <v>1093</v>
      </c>
      <c r="H738" t="s">
        <v>5835</v>
      </c>
      <c r="I738" t="s">
        <v>9407</v>
      </c>
      <c r="J738" t="s">
        <v>11829</v>
      </c>
      <c r="K738" t="s">
        <v>16229</v>
      </c>
      <c r="L738">
        <f>HYPERLINK("https://www2.assemblee-nationale.fr/sycomore/fiche/(num_dept)/1839", "1839")</f>
        <v>0</v>
      </c>
      <c r="N738">
        <f>HYPERLINK("https://www.wikidata.org/wiki/Q3184763", "Q3184763")</f>
        <v>0</v>
      </c>
      <c r="O738" t="s">
        <v>20005</v>
      </c>
      <c r="P738" t="s">
        <v>20404</v>
      </c>
      <c r="Q738" t="s">
        <v>20559</v>
      </c>
      <c r="R738" t="s">
        <v>410</v>
      </c>
      <c r="S738">
        <v>2051</v>
      </c>
    </row>
    <row r="739" spans="1:19">
      <c r="A739" t="s">
        <v>20</v>
      </c>
      <c r="B739" t="s">
        <v>148</v>
      </c>
      <c r="C739" t="s">
        <v>152</v>
      </c>
      <c r="D739" t="s">
        <v>281</v>
      </c>
      <c r="E739" t="s">
        <v>410</v>
      </c>
      <c r="F739">
        <f>HYPERLINK("https://www.wikidata.org/wiki/Q33528422", "Q33528422")</f>
        <v>0</v>
      </c>
      <c r="G739" t="s">
        <v>579</v>
      </c>
      <c r="H739" t="s">
        <v>5341</v>
      </c>
      <c r="I739" t="s">
        <v>5394</v>
      </c>
      <c r="J739" t="s">
        <v>11330</v>
      </c>
      <c r="K739" t="s">
        <v>15731</v>
      </c>
      <c r="L739">
        <f>HYPERLINK("https://www2.assemblee-nationale.fr/sycomore/fiche/(num_dept)/1849", "1849")</f>
        <v>0</v>
      </c>
      <c r="M739">
        <f>HYPERLINK("https://www.senat.fr/senateur-3eme-republique/clementel_etienne1006r3.html", "clementel_etienne1006r3")</f>
        <v>0</v>
      </c>
      <c r="N739">
        <f>HYPERLINK("https://www.wikidata.org/wiki/Q3592114", "Q3592114")</f>
        <v>0</v>
      </c>
      <c r="O739" t="s">
        <v>20005</v>
      </c>
      <c r="P739" t="s">
        <v>20401</v>
      </c>
      <c r="Q739" t="s">
        <v>20559</v>
      </c>
      <c r="R739" t="s">
        <v>410</v>
      </c>
      <c r="S739">
        <v>2051</v>
      </c>
    </row>
    <row r="740" spans="1:19">
      <c r="A740" t="s">
        <v>20</v>
      </c>
      <c r="B740" t="s">
        <v>148</v>
      </c>
      <c r="C740" t="s">
        <v>152</v>
      </c>
      <c r="D740" t="s">
        <v>281</v>
      </c>
      <c r="E740" t="s">
        <v>410</v>
      </c>
      <c r="F740">
        <f>HYPERLINK("https://www.wikidata.org/wiki/Q33528422", "Q33528422")</f>
        <v>0</v>
      </c>
      <c r="G740" t="s">
        <v>580</v>
      </c>
      <c r="H740" t="s">
        <v>5342</v>
      </c>
      <c r="I740" t="s">
        <v>9430</v>
      </c>
      <c r="J740" t="s">
        <v>11331</v>
      </c>
      <c r="K740" t="s">
        <v>15732</v>
      </c>
      <c r="L740">
        <f>HYPERLINK("https://www2.assemblee-nationale.fr/sycomore/fiche/(num_dept)/1859", "1859")</f>
        <v>0</v>
      </c>
      <c r="N740">
        <f>HYPERLINK("https://www.wikidata.org/wiki/Q3588422", "Q3588422")</f>
        <v>0</v>
      </c>
      <c r="O740" t="s">
        <v>20011</v>
      </c>
      <c r="P740" t="s">
        <v>20412</v>
      </c>
      <c r="Q740" t="s">
        <v>20559</v>
      </c>
      <c r="R740" t="s">
        <v>15732</v>
      </c>
      <c r="S740">
        <v>78</v>
      </c>
    </row>
    <row r="741" spans="1:19">
      <c r="A741" t="s">
        <v>20</v>
      </c>
      <c r="B741" t="s">
        <v>148</v>
      </c>
      <c r="C741" t="s">
        <v>152</v>
      </c>
      <c r="D741" t="s">
        <v>281</v>
      </c>
      <c r="E741" t="s">
        <v>410</v>
      </c>
      <c r="F741">
        <f>HYPERLINK("https://www.wikidata.org/wiki/Q33528422", "Q33528422")</f>
        <v>0</v>
      </c>
      <c r="G741" t="s">
        <v>582</v>
      </c>
      <c r="H741" t="s">
        <v>5344</v>
      </c>
      <c r="I741" t="s">
        <v>6175</v>
      </c>
      <c r="J741" t="s">
        <v>11333</v>
      </c>
      <c r="K741" t="s">
        <v>15734</v>
      </c>
      <c r="L741">
        <f>HYPERLINK("https://www2.assemblee-nationale.fr/sycomore/fiche/(num_dept)/1869", "1869")</f>
        <v>0</v>
      </c>
      <c r="N741">
        <f>HYPERLINK("https://www.wikidata.org/wiki/Q2599226", "Q2599226")</f>
        <v>0</v>
      </c>
      <c r="O741" t="s">
        <v>19958</v>
      </c>
      <c r="P741" t="s">
        <v>20401</v>
      </c>
      <c r="Q741" t="s">
        <v>20559</v>
      </c>
      <c r="R741" t="s">
        <v>15734</v>
      </c>
      <c r="S741">
        <v>104</v>
      </c>
    </row>
    <row r="742" spans="1:19">
      <c r="A742" t="s">
        <v>20</v>
      </c>
      <c r="B742" t="s">
        <v>148</v>
      </c>
      <c r="C742" t="s">
        <v>152</v>
      </c>
      <c r="D742" t="s">
        <v>281</v>
      </c>
      <c r="E742" t="s">
        <v>410</v>
      </c>
      <c r="F742">
        <f>HYPERLINK("https://www.wikidata.org/wiki/Q33528422", "Q33528422")</f>
        <v>0</v>
      </c>
      <c r="G742" t="s">
        <v>1160</v>
      </c>
      <c r="H742" t="s">
        <v>5345</v>
      </c>
      <c r="I742" t="s">
        <v>9688</v>
      </c>
      <c r="J742" t="s">
        <v>11893</v>
      </c>
      <c r="K742" t="s">
        <v>16295</v>
      </c>
      <c r="L742">
        <f>HYPERLINK("https://www2.assemblee-nationale.fr/sycomore/fiche/(num_dept)/1873", "1873")</f>
        <v>0</v>
      </c>
      <c r="N742">
        <f>HYPERLINK("https://www.wikidata.org/wiki/Q2977199", "Q2977199")</f>
        <v>0</v>
      </c>
      <c r="O742" t="s">
        <v>20013</v>
      </c>
      <c r="P742" t="s">
        <v>20410</v>
      </c>
      <c r="Q742" t="s">
        <v>20559</v>
      </c>
      <c r="R742" t="s">
        <v>16295</v>
      </c>
      <c r="S742">
        <v>1710</v>
      </c>
    </row>
    <row r="743" spans="1:19">
      <c r="A743" t="s">
        <v>20</v>
      </c>
      <c r="B743" t="s">
        <v>148</v>
      </c>
      <c r="C743" t="s">
        <v>152</v>
      </c>
      <c r="D743" t="s">
        <v>281</v>
      </c>
      <c r="E743" t="s">
        <v>410</v>
      </c>
      <c r="F743">
        <f>HYPERLINK("https://www.wikidata.org/wiki/Q33528422", "Q33528422")</f>
        <v>0</v>
      </c>
      <c r="G743" t="s">
        <v>583</v>
      </c>
      <c r="H743" t="s">
        <v>5345</v>
      </c>
      <c r="I743" t="s">
        <v>9432</v>
      </c>
      <c r="J743" t="s">
        <v>11334</v>
      </c>
      <c r="K743" t="s">
        <v>15735</v>
      </c>
      <c r="L743">
        <f>HYPERLINK("https://www2.assemblee-nationale.fr/sycomore/fiche/(num_dept)/1874", "1874")</f>
        <v>0</v>
      </c>
      <c r="N743">
        <f>HYPERLINK("https://www.wikidata.org/wiki/Q3023401", "Q3023401")</f>
        <v>0</v>
      </c>
      <c r="O743" t="s">
        <v>19969</v>
      </c>
      <c r="P743" t="s">
        <v>20408</v>
      </c>
      <c r="Q743" t="s">
        <v>20559</v>
      </c>
      <c r="R743" t="s">
        <v>410</v>
      </c>
      <c r="S743">
        <v>2051</v>
      </c>
    </row>
    <row r="744" spans="1:19">
      <c r="A744" t="s">
        <v>20</v>
      </c>
      <c r="B744" t="s">
        <v>148</v>
      </c>
      <c r="C744" t="s">
        <v>152</v>
      </c>
      <c r="D744" t="s">
        <v>281</v>
      </c>
      <c r="E744" t="s">
        <v>410</v>
      </c>
      <c r="F744">
        <f>HYPERLINK("https://www.wikidata.org/wiki/Q33528422", "Q33528422")</f>
        <v>0</v>
      </c>
      <c r="G744" t="s">
        <v>587</v>
      </c>
      <c r="H744" t="s">
        <v>5348</v>
      </c>
      <c r="I744" t="s">
        <v>9436</v>
      </c>
      <c r="J744" t="s">
        <v>11338</v>
      </c>
      <c r="K744" t="s">
        <v>15739</v>
      </c>
      <c r="L744">
        <f>HYPERLINK("https://www2.assemblee-nationale.fr/sycomore/fiche/(num_dept)/1934", "1934")</f>
        <v>0</v>
      </c>
      <c r="N744">
        <f>HYPERLINK("https://www.wikidata.org/wiki/Q2825487", "Q2825487")</f>
        <v>0</v>
      </c>
      <c r="O744" t="s">
        <v>20014</v>
      </c>
      <c r="P744" t="s">
        <v>20404</v>
      </c>
      <c r="Q744" t="s">
        <v>20559</v>
      </c>
      <c r="R744" t="s">
        <v>410</v>
      </c>
      <c r="S744">
        <v>2051</v>
      </c>
    </row>
    <row r="745" spans="1:19">
      <c r="A745" t="s">
        <v>20</v>
      </c>
      <c r="B745" t="s">
        <v>148</v>
      </c>
      <c r="C745" t="s">
        <v>152</v>
      </c>
      <c r="D745" t="s">
        <v>281</v>
      </c>
      <c r="E745" t="s">
        <v>410</v>
      </c>
      <c r="F745">
        <f>HYPERLINK("https://www.wikidata.org/wiki/Q33528422", "Q33528422")</f>
        <v>0</v>
      </c>
      <c r="G745" t="s">
        <v>1161</v>
      </c>
      <c r="H745" t="s">
        <v>5867</v>
      </c>
      <c r="I745" t="s">
        <v>9689</v>
      </c>
      <c r="J745" t="s">
        <v>11894</v>
      </c>
      <c r="K745" t="s">
        <v>16296</v>
      </c>
      <c r="L745">
        <f>HYPERLINK("https://www2.assemblee-nationale.fr/sycomore/fiche/(num_dept)/1944", "1944")</f>
        <v>0</v>
      </c>
      <c r="N745">
        <f>HYPERLINK("https://www.wikidata.org/wiki/Q3370923", "Q3370923")</f>
        <v>0</v>
      </c>
      <c r="O745" t="s">
        <v>19999</v>
      </c>
      <c r="P745" t="s">
        <v>20404</v>
      </c>
      <c r="Q745" t="s">
        <v>20559</v>
      </c>
      <c r="R745" t="s">
        <v>410</v>
      </c>
      <c r="S745">
        <v>2051</v>
      </c>
    </row>
    <row r="746" spans="1:19">
      <c r="A746" t="s">
        <v>20</v>
      </c>
      <c r="B746" t="s">
        <v>148</v>
      </c>
      <c r="C746" t="s">
        <v>152</v>
      </c>
      <c r="D746" t="s">
        <v>281</v>
      </c>
      <c r="E746" t="s">
        <v>410</v>
      </c>
      <c r="F746">
        <f>HYPERLINK("https://www.wikidata.org/wiki/Q33528422", "Q33528422")</f>
        <v>0</v>
      </c>
      <c r="G746" t="s">
        <v>589</v>
      </c>
      <c r="H746" t="s">
        <v>5350</v>
      </c>
      <c r="I746" t="s">
        <v>9438</v>
      </c>
      <c r="J746" t="s">
        <v>11340</v>
      </c>
      <c r="K746" t="s">
        <v>15741</v>
      </c>
      <c r="L746">
        <f>HYPERLINK("https://www2.assemblee-nationale.fr/sycomore/fiche/(num_dept)/1979", "1979")</f>
        <v>0</v>
      </c>
      <c r="M746">
        <f>HYPERLINK("https://www.senat.fr/senateur-3eme-republique/cornudet_des_chaumettes_honore1635r3.html", "cornudet_des_chaumettes_honore1635r3")</f>
        <v>0</v>
      </c>
      <c r="N746">
        <f>HYPERLINK("https://www.wikidata.org/wiki/Q3140215", "Q3140215")</f>
        <v>0</v>
      </c>
      <c r="O746" t="s">
        <v>19976</v>
      </c>
      <c r="P746" t="s">
        <v>20402</v>
      </c>
      <c r="Q746" t="s">
        <v>20559</v>
      </c>
      <c r="R746" t="s">
        <v>410</v>
      </c>
      <c r="S746">
        <v>2051</v>
      </c>
    </row>
    <row r="747" spans="1:19">
      <c r="A747" t="s">
        <v>20</v>
      </c>
      <c r="B747" t="s">
        <v>148</v>
      </c>
      <c r="C747" t="s">
        <v>152</v>
      </c>
      <c r="D747" t="s">
        <v>281</v>
      </c>
      <c r="E747" t="s">
        <v>410</v>
      </c>
      <c r="F747">
        <f>HYPERLINK("https://www.wikidata.org/wiki/Q33528422", "Q33528422")</f>
        <v>0</v>
      </c>
      <c r="G747" t="s">
        <v>590</v>
      </c>
      <c r="H747" t="s">
        <v>5351</v>
      </c>
      <c r="I747" t="s">
        <v>9439</v>
      </c>
      <c r="J747" t="s">
        <v>11341</v>
      </c>
      <c r="K747" t="s">
        <v>15742</v>
      </c>
      <c r="L747">
        <f>HYPERLINK("https://www2.assemblee-nationale.fr/sycomore/fiche/(num_dept)/1989", "1989")</f>
        <v>0</v>
      </c>
      <c r="M747">
        <f>HYPERLINK("https://www.senat.fr/senateur-3eme-republique/cosnier_henri0280r3.html", "cosnier_henri0280r3")</f>
        <v>0</v>
      </c>
      <c r="N747">
        <f>HYPERLINK("https://www.wikidata.org/wiki/Q3130887", "Q3130887")</f>
        <v>0</v>
      </c>
      <c r="O747" t="s">
        <v>19975</v>
      </c>
      <c r="P747" t="s">
        <v>20413</v>
      </c>
      <c r="Q747" t="s">
        <v>20559</v>
      </c>
      <c r="R747" t="s">
        <v>410</v>
      </c>
      <c r="S747">
        <v>2051</v>
      </c>
    </row>
    <row r="748" spans="1:19">
      <c r="A748" t="s">
        <v>20</v>
      </c>
      <c r="B748" t="s">
        <v>148</v>
      </c>
      <c r="C748" t="s">
        <v>152</v>
      </c>
      <c r="D748" t="s">
        <v>281</v>
      </c>
      <c r="E748" t="s">
        <v>410</v>
      </c>
      <c r="F748">
        <f>HYPERLINK("https://www.wikidata.org/wiki/Q33528422", "Q33528422")</f>
        <v>0</v>
      </c>
      <c r="G748" t="s">
        <v>591</v>
      </c>
      <c r="H748" t="s">
        <v>5352</v>
      </c>
      <c r="I748" t="s">
        <v>9440</v>
      </c>
      <c r="J748" t="s">
        <v>11342</v>
      </c>
      <c r="K748" t="s">
        <v>15743</v>
      </c>
      <c r="L748">
        <f>HYPERLINK("https://www2.assemblee-nationale.fr/sycomore/fiche/(num_dept)/2013", "2013")</f>
        <v>0</v>
      </c>
      <c r="N748">
        <f>HYPERLINK("https://www.wikidata.org/wiki/Q8332247", "Q8332247")</f>
        <v>0</v>
      </c>
      <c r="O748" t="s">
        <v>20015</v>
      </c>
      <c r="P748" t="s">
        <v>20413</v>
      </c>
      <c r="Q748" t="s">
        <v>20559</v>
      </c>
      <c r="R748" t="s">
        <v>410</v>
      </c>
      <c r="S748">
        <v>2051</v>
      </c>
    </row>
    <row r="749" spans="1:19">
      <c r="A749" t="s">
        <v>20</v>
      </c>
      <c r="B749" t="s">
        <v>148</v>
      </c>
      <c r="C749" t="s">
        <v>152</v>
      </c>
      <c r="D749" t="s">
        <v>281</v>
      </c>
      <c r="E749" t="s">
        <v>410</v>
      </c>
      <c r="F749">
        <f>HYPERLINK("https://www.wikidata.org/wiki/Q33528422", "Q33528422")</f>
        <v>0</v>
      </c>
      <c r="G749" t="s">
        <v>1105</v>
      </c>
      <c r="H749" t="s">
        <v>5846</v>
      </c>
      <c r="I749" t="s">
        <v>6200</v>
      </c>
      <c r="J749" t="s">
        <v>11840</v>
      </c>
      <c r="K749" t="s">
        <v>16241</v>
      </c>
      <c r="L749">
        <f>HYPERLINK("https://www2.assemblee-nationale.fr/sycomore/fiche/(num_dept)/2060", "2060")</f>
        <v>0</v>
      </c>
      <c r="M749">
        <f>HYPERLINK("https://www.senat.fr/senateur-3eme-republique/coyrard_jean0408r3.html", "coyrard_jean0408r3")</f>
        <v>0</v>
      </c>
      <c r="N749">
        <f>HYPERLINK("https://www.wikidata.org/wiki/Q3171480", "Q3171480")</f>
        <v>0</v>
      </c>
      <c r="O749" t="s">
        <v>20037</v>
      </c>
      <c r="P749" t="s">
        <v>20401</v>
      </c>
      <c r="Q749" t="s">
        <v>20559</v>
      </c>
      <c r="R749" t="s">
        <v>410</v>
      </c>
      <c r="S749">
        <v>2051</v>
      </c>
    </row>
    <row r="750" spans="1:19">
      <c r="A750" t="s">
        <v>20</v>
      </c>
      <c r="B750" t="s">
        <v>148</v>
      </c>
      <c r="C750" t="s">
        <v>152</v>
      </c>
      <c r="D750" t="s">
        <v>281</v>
      </c>
      <c r="E750" t="s">
        <v>410</v>
      </c>
      <c r="F750">
        <f>HYPERLINK("https://www.wikidata.org/wiki/Q33528422", "Q33528422")</f>
        <v>0</v>
      </c>
      <c r="G750" t="s">
        <v>593</v>
      </c>
      <c r="H750" t="s">
        <v>5354</v>
      </c>
      <c r="I750" t="s">
        <v>9442</v>
      </c>
      <c r="J750" t="s">
        <v>11344</v>
      </c>
      <c r="K750" t="s">
        <v>15745</v>
      </c>
      <c r="L750">
        <f>HYPERLINK("https://www2.assemblee-nationale.fr/sycomore/fiche/(num_dept)/2066", "2066")</f>
        <v>0</v>
      </c>
      <c r="N750">
        <f>HYPERLINK("https://www.wikidata.org/wiki/Q16025503", "Q16025503")</f>
        <v>0</v>
      </c>
      <c r="O750" t="s">
        <v>19986</v>
      </c>
      <c r="P750" t="s">
        <v>20413</v>
      </c>
      <c r="Q750" t="s">
        <v>20559</v>
      </c>
      <c r="R750" t="s">
        <v>410</v>
      </c>
      <c r="S750">
        <v>2051</v>
      </c>
    </row>
    <row r="751" spans="1:19">
      <c r="A751" t="s">
        <v>20</v>
      </c>
      <c r="B751" t="s">
        <v>148</v>
      </c>
      <c r="C751" t="s">
        <v>152</v>
      </c>
      <c r="D751" t="s">
        <v>281</v>
      </c>
      <c r="E751" t="s">
        <v>410</v>
      </c>
      <c r="F751">
        <f>HYPERLINK("https://www.wikidata.org/wiki/Q33528422", "Q33528422")</f>
        <v>0</v>
      </c>
      <c r="G751" t="s">
        <v>596</v>
      </c>
      <c r="H751" t="s">
        <v>5357</v>
      </c>
      <c r="I751" t="s">
        <v>9443</v>
      </c>
      <c r="J751" t="s">
        <v>11347</v>
      </c>
      <c r="K751" t="s">
        <v>15748</v>
      </c>
      <c r="L751">
        <f>HYPERLINK("https://www2.assemblee-nationale.fr/sycomore/fiche/(num_dept)/2091", "2091")</f>
        <v>0</v>
      </c>
      <c r="M751">
        <f>HYPERLINK("https://www.senat.fr/senateur-3eme-republique/cuttoli_paul0695r3.html", "cuttoli_paul0695r3")</f>
        <v>0</v>
      </c>
      <c r="N751">
        <f>HYPERLINK("https://www.wikidata.org/wiki/Q3370965", "Q3370965")</f>
        <v>0</v>
      </c>
      <c r="O751" t="s">
        <v>20000</v>
      </c>
      <c r="P751" t="s">
        <v>20413</v>
      </c>
      <c r="Q751" t="s">
        <v>20559</v>
      </c>
      <c r="R751" t="s">
        <v>410</v>
      </c>
      <c r="S751">
        <v>2051</v>
      </c>
    </row>
    <row r="752" spans="1:19">
      <c r="A752" t="s">
        <v>20</v>
      </c>
      <c r="B752" t="s">
        <v>148</v>
      </c>
      <c r="C752" t="s">
        <v>152</v>
      </c>
      <c r="D752" t="s">
        <v>281</v>
      </c>
      <c r="E752" t="s">
        <v>410</v>
      </c>
      <c r="F752">
        <f>HYPERLINK("https://www.wikidata.org/wiki/Q33528422", "Q33528422")</f>
        <v>0</v>
      </c>
      <c r="G752" t="s">
        <v>918</v>
      </c>
      <c r="H752" t="s">
        <v>5674</v>
      </c>
      <c r="I752" t="s">
        <v>9483</v>
      </c>
      <c r="J752" t="s">
        <v>11661</v>
      </c>
      <c r="K752" t="s">
        <v>16061</v>
      </c>
      <c r="L752">
        <f>HYPERLINK("https://www2.assemblee-nationale.fr/sycomore/fiche/(num_dept)/2108", "2108")</f>
        <v>0</v>
      </c>
      <c r="M752">
        <f>HYPERLINK("https://www.senat.fr/senateur-3eme-republique/dalbiez_victor1098r3.html", "dalbiez_victor1098r3")</f>
        <v>0</v>
      </c>
      <c r="N752">
        <f>HYPERLINK("https://www.wikidata.org/wiki/Q3557251", "Q3557251")</f>
        <v>0</v>
      </c>
      <c r="O752" t="s">
        <v>20001</v>
      </c>
      <c r="P752" t="s">
        <v>20413</v>
      </c>
      <c r="Q752" t="s">
        <v>20559</v>
      </c>
      <c r="R752" t="s">
        <v>410</v>
      </c>
      <c r="S752">
        <v>2051</v>
      </c>
    </row>
    <row r="753" spans="1:19">
      <c r="A753" t="s">
        <v>20</v>
      </c>
      <c r="B753" t="s">
        <v>148</v>
      </c>
      <c r="C753" t="s">
        <v>152</v>
      </c>
      <c r="D753" t="s">
        <v>281</v>
      </c>
      <c r="E753" t="s">
        <v>410</v>
      </c>
      <c r="F753">
        <f>HYPERLINK("https://www.wikidata.org/wiki/Q33528422", "Q33528422")</f>
        <v>0</v>
      </c>
      <c r="G753" t="s">
        <v>598</v>
      </c>
      <c r="H753" t="s">
        <v>5359</v>
      </c>
      <c r="I753" t="s">
        <v>9444</v>
      </c>
      <c r="J753" t="s">
        <v>11349</v>
      </c>
      <c r="K753" t="s">
        <v>15750</v>
      </c>
      <c r="L753">
        <f>HYPERLINK("https://www2.assemblee-nationale.fr/sycomore/fiche/(num_dept)/2127", "2127")</f>
        <v>0</v>
      </c>
      <c r="N753">
        <f>HYPERLINK("https://www.wikidata.org/wiki/Q16025516", "Q16025516")</f>
        <v>0</v>
      </c>
      <c r="O753" t="s">
        <v>20013</v>
      </c>
      <c r="P753" t="s">
        <v>20410</v>
      </c>
      <c r="Q753" t="s">
        <v>20559</v>
      </c>
      <c r="R753" t="s">
        <v>15750</v>
      </c>
      <c r="S753">
        <v>1069</v>
      </c>
    </row>
    <row r="754" spans="1:19">
      <c r="A754" t="s">
        <v>20</v>
      </c>
      <c r="B754" t="s">
        <v>148</v>
      </c>
      <c r="C754" t="s">
        <v>152</v>
      </c>
      <c r="D754" t="s">
        <v>281</v>
      </c>
      <c r="E754" t="s">
        <v>410</v>
      </c>
      <c r="F754">
        <f>HYPERLINK("https://www.wikidata.org/wiki/Q33528422", "Q33528422")</f>
        <v>0</v>
      </c>
      <c r="G754" t="s">
        <v>599</v>
      </c>
      <c r="H754" t="s">
        <v>5360</v>
      </c>
      <c r="I754" t="s">
        <v>9445</v>
      </c>
      <c r="J754" t="s">
        <v>11350</v>
      </c>
      <c r="K754" t="s">
        <v>15751</v>
      </c>
      <c r="L754">
        <f>HYPERLINK("https://www2.assemblee-nationale.fr/sycomore/fiche/(num_dept)/2132", "2132")</f>
        <v>0</v>
      </c>
      <c r="N754">
        <f>HYPERLINK("https://www.wikidata.org/wiki/Q2825149", "Q2825149")</f>
        <v>0</v>
      </c>
      <c r="O754" t="s">
        <v>19957</v>
      </c>
      <c r="P754" t="s">
        <v>20412</v>
      </c>
      <c r="Q754" t="s">
        <v>20559</v>
      </c>
      <c r="R754" t="s">
        <v>410</v>
      </c>
      <c r="S754">
        <v>2051</v>
      </c>
    </row>
    <row r="755" spans="1:19">
      <c r="A755" t="s">
        <v>20</v>
      </c>
      <c r="B755" t="s">
        <v>148</v>
      </c>
      <c r="C755" t="s">
        <v>152</v>
      </c>
      <c r="D755" t="s">
        <v>281</v>
      </c>
      <c r="E755" t="s">
        <v>410</v>
      </c>
      <c r="F755">
        <f>HYPERLINK("https://www.wikidata.org/wiki/Q33528422", "Q33528422")</f>
        <v>0</v>
      </c>
      <c r="G755" t="s">
        <v>600</v>
      </c>
      <c r="H755" t="s">
        <v>5361</v>
      </c>
      <c r="I755" t="s">
        <v>9446</v>
      </c>
      <c r="J755" t="s">
        <v>11351</v>
      </c>
      <c r="K755" t="s">
        <v>15752</v>
      </c>
      <c r="L755">
        <f>HYPERLINK("https://www2.assemblee-nationale.fr/sycomore/fiche/(num_dept)/2171", "2171")</f>
        <v>0</v>
      </c>
      <c r="M755">
        <f>HYPERLINK("https://www.senat.fr/senateur-3eme-republique/david_fernand1309r3.html", "david_fernand1309r3")</f>
        <v>0</v>
      </c>
      <c r="N755">
        <f>HYPERLINK("https://www.wikidata.org/wiki/Q3069115", "Q3069115")</f>
        <v>0</v>
      </c>
      <c r="O755" t="s">
        <v>20018</v>
      </c>
      <c r="P755" t="s">
        <v>20401</v>
      </c>
      <c r="Q755" t="s">
        <v>20559</v>
      </c>
      <c r="R755" t="s">
        <v>410</v>
      </c>
      <c r="S755">
        <v>2051</v>
      </c>
    </row>
    <row r="756" spans="1:19">
      <c r="A756" t="s">
        <v>20</v>
      </c>
      <c r="B756" t="s">
        <v>148</v>
      </c>
      <c r="C756" t="s">
        <v>152</v>
      </c>
      <c r="D756" t="s">
        <v>281</v>
      </c>
      <c r="E756" t="s">
        <v>410</v>
      </c>
      <c r="F756">
        <f>HYPERLINK("https://www.wikidata.org/wiki/Q33528422", "Q33528422")</f>
        <v>0</v>
      </c>
      <c r="G756" t="s">
        <v>1162</v>
      </c>
      <c r="H756" t="s">
        <v>5894</v>
      </c>
      <c r="I756" t="s">
        <v>6495</v>
      </c>
      <c r="J756" t="s">
        <v>11895</v>
      </c>
      <c r="K756" t="s">
        <v>16297</v>
      </c>
      <c r="L756">
        <f>HYPERLINK("https://www2.assemblee-nationale.fr/sycomore/fiche/(num_dept)/2219", "2219")</f>
        <v>0</v>
      </c>
      <c r="N756">
        <f>HYPERLINK("https://www.wikidata.org/wiki/Q8298647", "Q8298647")</f>
        <v>0</v>
      </c>
      <c r="O756" t="s">
        <v>19999</v>
      </c>
      <c r="P756" t="s">
        <v>20406</v>
      </c>
      <c r="Q756" t="s">
        <v>20559</v>
      </c>
      <c r="R756" t="s">
        <v>16297</v>
      </c>
      <c r="S756">
        <v>1927</v>
      </c>
    </row>
    <row r="757" spans="1:19">
      <c r="A757" t="s">
        <v>20</v>
      </c>
      <c r="B757" t="s">
        <v>148</v>
      </c>
      <c r="C757" t="s">
        <v>152</v>
      </c>
      <c r="D757" t="s">
        <v>281</v>
      </c>
      <c r="E757" t="s">
        <v>410</v>
      </c>
      <c r="F757">
        <f>HYPERLINK("https://www.wikidata.org/wiki/Q33528422", "Q33528422")</f>
        <v>0</v>
      </c>
      <c r="G757" t="s">
        <v>603</v>
      </c>
      <c r="H757" t="s">
        <v>5363</v>
      </c>
      <c r="I757" t="s">
        <v>9447</v>
      </c>
      <c r="J757" t="s">
        <v>11354</v>
      </c>
      <c r="K757" t="s">
        <v>15755</v>
      </c>
      <c r="L757">
        <f>HYPERLINK("https://www2.assemblee-nationale.fr/sycomore/fiche/(num_dept)/2240", "2240")</f>
        <v>0</v>
      </c>
      <c r="N757">
        <f>HYPERLINK("https://www.wikidata.org/wiki/Q11954687", "Q11954687")</f>
        <v>0</v>
      </c>
      <c r="O757" t="s">
        <v>19969</v>
      </c>
      <c r="P757" t="s">
        <v>20404</v>
      </c>
      <c r="Q757" t="s">
        <v>20559</v>
      </c>
      <c r="R757" t="s">
        <v>410</v>
      </c>
      <c r="S757">
        <v>2051</v>
      </c>
    </row>
    <row r="758" spans="1:19">
      <c r="A758" t="s">
        <v>20</v>
      </c>
      <c r="B758" t="s">
        <v>148</v>
      </c>
      <c r="C758" t="s">
        <v>152</v>
      </c>
      <c r="D758" t="s">
        <v>281</v>
      </c>
      <c r="E758" t="s">
        <v>410</v>
      </c>
      <c r="F758">
        <f>HYPERLINK("https://www.wikidata.org/wiki/Q33528422", "Q33528422")</f>
        <v>0</v>
      </c>
      <c r="G758" t="s">
        <v>605</v>
      </c>
      <c r="H758" t="s">
        <v>5365</v>
      </c>
      <c r="I758" t="s">
        <v>9449</v>
      </c>
      <c r="J758" t="s">
        <v>11356</v>
      </c>
      <c r="K758" t="s">
        <v>15757</v>
      </c>
      <c r="L758">
        <f>HYPERLINK("https://www2.assemblee-nationale.fr/sycomore/fiche/(num_dept)/2249", "2249")</f>
        <v>0</v>
      </c>
      <c r="N758">
        <f>HYPERLINK("https://www.wikidata.org/wiki/Q3188520", "Q3188520")</f>
        <v>0</v>
      </c>
      <c r="O758" t="s">
        <v>20009</v>
      </c>
      <c r="P758" t="s">
        <v>20409</v>
      </c>
      <c r="Q758" t="s">
        <v>20559</v>
      </c>
      <c r="R758" t="s">
        <v>15757</v>
      </c>
      <c r="S758">
        <v>645</v>
      </c>
    </row>
    <row r="759" spans="1:19">
      <c r="A759" t="s">
        <v>20</v>
      </c>
      <c r="B759" t="s">
        <v>148</v>
      </c>
      <c r="C759" t="s">
        <v>152</v>
      </c>
      <c r="D759" t="s">
        <v>281</v>
      </c>
      <c r="E759" t="s">
        <v>410</v>
      </c>
      <c r="F759">
        <f>HYPERLINK("https://www.wikidata.org/wiki/Q33528422", "Q33528422")</f>
        <v>0</v>
      </c>
      <c r="G759" t="s">
        <v>607</v>
      </c>
      <c r="H759" t="s">
        <v>5367</v>
      </c>
      <c r="I759" t="s">
        <v>9450</v>
      </c>
      <c r="J759" t="s">
        <v>11358</v>
      </c>
      <c r="K759" t="s">
        <v>15759</v>
      </c>
      <c r="L759">
        <f>HYPERLINK("https://www2.assemblee-nationale.fr/sycomore/fiche/(num_dept)/2261", "2261")</f>
        <v>0</v>
      </c>
      <c r="N759">
        <f>HYPERLINK("https://www.wikidata.org/wiki/Q8323934", "Q8323934")</f>
        <v>0</v>
      </c>
      <c r="O759" t="s">
        <v>8449</v>
      </c>
      <c r="P759" t="s">
        <v>20402</v>
      </c>
      <c r="Q759" t="s">
        <v>20559</v>
      </c>
      <c r="R759" t="s">
        <v>410</v>
      </c>
      <c r="S759">
        <v>2051</v>
      </c>
    </row>
    <row r="760" spans="1:19">
      <c r="A760" t="s">
        <v>20</v>
      </c>
      <c r="B760" t="s">
        <v>148</v>
      </c>
      <c r="C760" t="s">
        <v>152</v>
      </c>
      <c r="D760" t="s">
        <v>281</v>
      </c>
      <c r="E760" t="s">
        <v>410</v>
      </c>
      <c r="F760">
        <f>HYPERLINK("https://www.wikidata.org/wiki/Q33528422", "Q33528422")</f>
        <v>0</v>
      </c>
      <c r="G760" t="s">
        <v>608</v>
      </c>
      <c r="H760" t="s">
        <v>5368</v>
      </c>
      <c r="I760" t="s">
        <v>9451</v>
      </c>
      <c r="J760" t="s">
        <v>11359</v>
      </c>
      <c r="K760" t="s">
        <v>15760</v>
      </c>
      <c r="L760">
        <f>HYPERLINK("https://www2.assemblee-nationale.fr/sycomore/fiche/(num_dept)/2283", "2283")</f>
        <v>0</v>
      </c>
      <c r="N760">
        <f>HYPERLINK("https://www.wikidata.org/wiki/Q503827", "Q503827")</f>
        <v>0</v>
      </c>
      <c r="O760" t="s">
        <v>20019</v>
      </c>
      <c r="P760" t="s">
        <v>20401</v>
      </c>
      <c r="Q760" t="s">
        <v>20559</v>
      </c>
      <c r="R760" t="s">
        <v>410</v>
      </c>
      <c r="S760">
        <v>2051</v>
      </c>
    </row>
    <row r="761" spans="1:19">
      <c r="A761" t="s">
        <v>20</v>
      </c>
      <c r="B761" t="s">
        <v>148</v>
      </c>
      <c r="C761" t="s">
        <v>152</v>
      </c>
      <c r="D761" t="s">
        <v>281</v>
      </c>
      <c r="E761" t="s">
        <v>410</v>
      </c>
      <c r="F761">
        <f>HYPERLINK("https://www.wikidata.org/wiki/Q33528422", "Q33528422")</f>
        <v>0</v>
      </c>
      <c r="G761" t="s">
        <v>609</v>
      </c>
      <c r="H761" t="s">
        <v>5369</v>
      </c>
      <c r="I761" t="s">
        <v>9401</v>
      </c>
      <c r="J761" t="s">
        <v>11360</v>
      </c>
      <c r="K761" t="s">
        <v>15761</v>
      </c>
      <c r="L761">
        <f>HYPERLINK("https://www2.assemblee-nationale.fr/sycomore/fiche/(num_dept)/2289", "2289")</f>
        <v>0</v>
      </c>
      <c r="N761">
        <f>HYPERLINK("https://www.wikidata.org/wiki/Q16025548", "Q16025548")</f>
        <v>0</v>
      </c>
      <c r="O761" t="s">
        <v>19988</v>
      </c>
      <c r="P761" t="s">
        <v>20401</v>
      </c>
      <c r="Q761" t="s">
        <v>20559</v>
      </c>
      <c r="R761" t="s">
        <v>15761</v>
      </c>
      <c r="S761">
        <v>1228</v>
      </c>
    </row>
    <row r="762" spans="1:19">
      <c r="A762" t="s">
        <v>20</v>
      </c>
      <c r="B762" t="s">
        <v>148</v>
      </c>
      <c r="C762" t="s">
        <v>152</v>
      </c>
      <c r="D762" t="s">
        <v>281</v>
      </c>
      <c r="E762" t="s">
        <v>410</v>
      </c>
      <c r="F762">
        <f>HYPERLINK("https://www.wikidata.org/wiki/Q33528422", "Q33528422")</f>
        <v>0</v>
      </c>
      <c r="G762" t="s">
        <v>1163</v>
      </c>
      <c r="H762" t="s">
        <v>5895</v>
      </c>
      <c r="I762" t="s">
        <v>9407</v>
      </c>
      <c r="J762" t="s">
        <v>11896</v>
      </c>
      <c r="K762" t="s">
        <v>16298</v>
      </c>
      <c r="L762">
        <f>HYPERLINK("https://www2.assemblee-nationale.fr/sycomore/fiche/(num_dept)/2323", "2323")</f>
        <v>0</v>
      </c>
      <c r="N762">
        <f>HYPERLINK("https://www.wikidata.org/wiki/Q16025557", "Q16025557")</f>
        <v>0</v>
      </c>
      <c r="O762" t="s">
        <v>19970</v>
      </c>
      <c r="P762" t="s">
        <v>20412</v>
      </c>
      <c r="Q762" t="s">
        <v>20559</v>
      </c>
      <c r="R762" t="s">
        <v>410</v>
      </c>
      <c r="S762">
        <v>2051</v>
      </c>
    </row>
    <row r="763" spans="1:19">
      <c r="A763" t="s">
        <v>20</v>
      </c>
      <c r="B763" t="s">
        <v>148</v>
      </c>
      <c r="C763" t="s">
        <v>152</v>
      </c>
      <c r="D763" t="s">
        <v>281</v>
      </c>
      <c r="E763" t="s">
        <v>410</v>
      </c>
      <c r="F763">
        <f>HYPERLINK("https://www.wikidata.org/wiki/Q33528422", "Q33528422")</f>
        <v>0</v>
      </c>
      <c r="G763" t="s">
        <v>926</v>
      </c>
      <c r="H763" t="s">
        <v>5682</v>
      </c>
      <c r="I763" t="s">
        <v>9421</v>
      </c>
      <c r="J763" t="s">
        <v>11668</v>
      </c>
      <c r="K763" t="s">
        <v>16069</v>
      </c>
      <c r="L763">
        <f>HYPERLINK("https://www2.assemblee-nationale.fr/sycomore/fiche/(num_dept)/2335", "2335")</f>
        <v>0</v>
      </c>
      <c r="N763">
        <f>HYPERLINK("https://www.wikidata.org/wiki/Q3121159", "Q3121159")</f>
        <v>0</v>
      </c>
      <c r="O763" t="s">
        <v>20013</v>
      </c>
      <c r="P763" t="s">
        <v>20404</v>
      </c>
      <c r="Q763" t="s">
        <v>20559</v>
      </c>
      <c r="R763" t="s">
        <v>410</v>
      </c>
      <c r="S763">
        <v>2051</v>
      </c>
    </row>
    <row r="764" spans="1:19">
      <c r="A764" t="s">
        <v>20</v>
      </c>
      <c r="B764" t="s">
        <v>148</v>
      </c>
      <c r="C764" t="s">
        <v>152</v>
      </c>
      <c r="D764" t="s">
        <v>281</v>
      </c>
      <c r="E764" t="s">
        <v>410</v>
      </c>
      <c r="F764">
        <f>HYPERLINK("https://www.wikidata.org/wiki/Q33528422", "Q33528422")</f>
        <v>0</v>
      </c>
      <c r="G764" t="s">
        <v>612</v>
      </c>
      <c r="H764" t="s">
        <v>5372</v>
      </c>
      <c r="I764" t="s">
        <v>6495</v>
      </c>
      <c r="J764" t="s">
        <v>11363</v>
      </c>
      <c r="K764" t="s">
        <v>15764</v>
      </c>
      <c r="L764">
        <f>HYPERLINK("https://www2.assemblee-nationale.fr/sycomore/fiche/(num_dept)/2362", "2362")</f>
        <v>0</v>
      </c>
      <c r="M764">
        <f>HYPERLINK("https://www.senat.fr/senateur-3eme-republique/demellier_louis1641r3.html", "demellier_louis1641r3")</f>
        <v>0</v>
      </c>
      <c r="N764">
        <f>HYPERLINK("https://www.wikidata.org/wiki/Q3261694", "Q3261694")</f>
        <v>0</v>
      </c>
      <c r="O764" t="s">
        <v>20021</v>
      </c>
      <c r="P764" t="s">
        <v>20413</v>
      </c>
      <c r="Q764" t="s">
        <v>20559</v>
      </c>
      <c r="R764" t="s">
        <v>410</v>
      </c>
      <c r="S764">
        <v>2051</v>
      </c>
    </row>
    <row r="765" spans="1:19">
      <c r="A765" t="s">
        <v>20</v>
      </c>
      <c r="B765" t="s">
        <v>148</v>
      </c>
      <c r="C765" t="s">
        <v>152</v>
      </c>
      <c r="D765" t="s">
        <v>281</v>
      </c>
      <c r="E765" t="s">
        <v>410</v>
      </c>
      <c r="F765">
        <f>HYPERLINK("https://www.wikidata.org/wiki/Q33528422", "Q33528422")</f>
        <v>0</v>
      </c>
      <c r="G765" t="s">
        <v>1141</v>
      </c>
      <c r="H765" t="s">
        <v>5876</v>
      </c>
      <c r="I765" t="s">
        <v>6495</v>
      </c>
      <c r="J765" t="s">
        <v>11875</v>
      </c>
      <c r="K765" t="s">
        <v>16277</v>
      </c>
      <c r="L765">
        <f>HYPERLINK("https://www2.assemblee-nationale.fr/sycomore/fiche/(num_dept)/2423", "2423")</f>
        <v>0</v>
      </c>
      <c r="N765">
        <f>HYPERLINK("https://www.wikidata.org/wiki/Q3261711", "Q3261711")</f>
        <v>0</v>
      </c>
      <c r="O765" t="s">
        <v>19998</v>
      </c>
      <c r="P765" t="s">
        <v>20401</v>
      </c>
      <c r="Q765" t="s">
        <v>20559</v>
      </c>
      <c r="R765" t="s">
        <v>410</v>
      </c>
      <c r="S765">
        <v>2051</v>
      </c>
    </row>
    <row r="766" spans="1:19">
      <c r="A766" t="s">
        <v>20</v>
      </c>
      <c r="B766" t="s">
        <v>148</v>
      </c>
      <c r="C766" t="s">
        <v>152</v>
      </c>
      <c r="D766" t="s">
        <v>281</v>
      </c>
      <c r="E766" t="s">
        <v>410</v>
      </c>
      <c r="F766">
        <f>HYPERLINK("https://www.wikidata.org/wiki/Q33528422", "Q33528422")</f>
        <v>0</v>
      </c>
      <c r="G766" t="s">
        <v>613</v>
      </c>
      <c r="H766" t="s">
        <v>5373</v>
      </c>
      <c r="I766" t="s">
        <v>9388</v>
      </c>
      <c r="J766" t="s">
        <v>11364</v>
      </c>
      <c r="K766" t="s">
        <v>15765</v>
      </c>
      <c r="L766">
        <f>HYPERLINK("https://www2.assemblee-nationale.fr/sycomore/fiche/(num_dept)/2425", "2425")</f>
        <v>0</v>
      </c>
      <c r="M766">
        <f>HYPERLINK("https://www.senat.fr/senateur-3eme-republique/deschanel_paul0768r3.html", "deschanel_paul0768r3")</f>
        <v>0</v>
      </c>
      <c r="N766">
        <f>HYPERLINK("https://www.wikidata.org/wiki/Q309995", "Q309995")</f>
        <v>0</v>
      </c>
      <c r="O766" t="s">
        <v>19971</v>
      </c>
      <c r="P766" t="s">
        <v>20412</v>
      </c>
      <c r="Q766" t="s">
        <v>20559</v>
      </c>
      <c r="R766" t="s">
        <v>410</v>
      </c>
      <c r="S766">
        <v>2051</v>
      </c>
    </row>
    <row r="767" spans="1:19">
      <c r="A767" t="s">
        <v>20</v>
      </c>
      <c r="B767" t="s">
        <v>148</v>
      </c>
      <c r="C767" t="s">
        <v>152</v>
      </c>
      <c r="D767" t="s">
        <v>281</v>
      </c>
      <c r="E767" t="s">
        <v>410</v>
      </c>
      <c r="F767">
        <f>HYPERLINK("https://www.wikidata.org/wiki/Q33528422", "Q33528422")</f>
        <v>0</v>
      </c>
      <c r="G767" t="s">
        <v>1164</v>
      </c>
      <c r="H767" t="s">
        <v>5896</v>
      </c>
      <c r="I767" t="s">
        <v>9375</v>
      </c>
      <c r="J767" t="s">
        <v>11897</v>
      </c>
      <c r="K767" t="s">
        <v>16299</v>
      </c>
      <c r="L767">
        <f>HYPERLINK("https://www2.assemblee-nationale.fr/sycomore/fiche/(num_dept)/2455", "2455")</f>
        <v>0</v>
      </c>
      <c r="N767">
        <f>HYPERLINK("https://www.wikidata.org/wiki/Q16025586", "Q16025586")</f>
        <v>0</v>
      </c>
      <c r="O767" t="s">
        <v>20022</v>
      </c>
      <c r="P767" t="s">
        <v>20402</v>
      </c>
      <c r="Q767" t="s">
        <v>20559</v>
      </c>
      <c r="R767" t="s">
        <v>410</v>
      </c>
      <c r="S767">
        <v>2051</v>
      </c>
    </row>
    <row r="768" spans="1:19">
      <c r="A768" t="s">
        <v>20</v>
      </c>
      <c r="B768" t="s">
        <v>148</v>
      </c>
      <c r="C768" t="s">
        <v>152</v>
      </c>
      <c r="D768" t="s">
        <v>281</v>
      </c>
      <c r="E768" t="s">
        <v>410</v>
      </c>
      <c r="F768">
        <f>HYPERLINK("https://www.wikidata.org/wiki/Q33528422", "Q33528422")</f>
        <v>0</v>
      </c>
      <c r="G768" t="s">
        <v>616</v>
      </c>
      <c r="H768" t="s">
        <v>5376</v>
      </c>
      <c r="I768" t="s">
        <v>6584</v>
      </c>
      <c r="J768" t="s">
        <v>11366</v>
      </c>
      <c r="K768" t="s">
        <v>15768</v>
      </c>
      <c r="L768">
        <f>HYPERLINK("https://www2.assemblee-nationale.fr/sycomore/fiche/(num_dept)/2521", "2521")</f>
        <v>0</v>
      </c>
      <c r="M768">
        <f>HYPERLINK("https://www.senat.fr/senateur-3eme-republique/de_dion_albert1292r3.html", "de_dion_albert1292r3")</f>
        <v>0</v>
      </c>
      <c r="N768">
        <f>HYPERLINK("https://www.wikidata.org/wiki/Q971548", "Q971548")</f>
        <v>0</v>
      </c>
      <c r="O768" t="s">
        <v>20023</v>
      </c>
      <c r="P768" t="s">
        <v>20409</v>
      </c>
      <c r="Q768" t="s">
        <v>20559</v>
      </c>
      <c r="R768" t="s">
        <v>410</v>
      </c>
      <c r="S768">
        <v>2051</v>
      </c>
    </row>
    <row r="769" spans="1:19">
      <c r="A769" t="s">
        <v>20</v>
      </c>
      <c r="B769" t="s">
        <v>148</v>
      </c>
      <c r="C769" t="s">
        <v>152</v>
      </c>
      <c r="D769" t="s">
        <v>281</v>
      </c>
      <c r="E769" t="s">
        <v>410</v>
      </c>
      <c r="F769">
        <f>HYPERLINK("https://www.wikidata.org/wiki/Q33528422", "Q33528422")</f>
        <v>0</v>
      </c>
      <c r="G769" t="s">
        <v>617</v>
      </c>
      <c r="H769" t="s">
        <v>5377</v>
      </c>
      <c r="I769" t="s">
        <v>9455</v>
      </c>
      <c r="J769" t="s">
        <v>11367</v>
      </c>
      <c r="K769" t="s">
        <v>15769</v>
      </c>
      <c r="L769">
        <f>HYPERLINK("https://www2.assemblee-nationale.fr/sycomore/fiche/(num_dept)/2522", "2522")</f>
        <v>0</v>
      </c>
      <c r="N769">
        <f>HYPERLINK("https://www.wikidata.org/wiki/Q3265475", "Q3265475")</f>
        <v>0</v>
      </c>
      <c r="O769" t="s">
        <v>19985</v>
      </c>
      <c r="P769" t="s">
        <v>20402</v>
      </c>
      <c r="Q769" t="s">
        <v>20559</v>
      </c>
      <c r="R769" t="s">
        <v>410</v>
      </c>
      <c r="S769">
        <v>2051</v>
      </c>
    </row>
    <row r="770" spans="1:19">
      <c r="A770" t="s">
        <v>20</v>
      </c>
      <c r="B770" t="s">
        <v>148</v>
      </c>
      <c r="C770" t="s">
        <v>152</v>
      </c>
      <c r="D770" t="s">
        <v>281</v>
      </c>
      <c r="E770" t="s">
        <v>410</v>
      </c>
      <c r="F770">
        <f>HYPERLINK("https://www.wikidata.org/wiki/Q33528422", "Q33528422")</f>
        <v>0</v>
      </c>
      <c r="G770" t="s">
        <v>619</v>
      </c>
      <c r="H770" t="s">
        <v>5379</v>
      </c>
      <c r="I770" t="s">
        <v>9457</v>
      </c>
      <c r="J770" t="s">
        <v>11369</v>
      </c>
      <c r="K770" t="s">
        <v>15771</v>
      </c>
      <c r="L770">
        <f>HYPERLINK("https://www2.assemblee-nationale.fr/sycomore/fiche/(num_dept)/2532", "2532")</f>
        <v>0</v>
      </c>
      <c r="N770">
        <f>HYPERLINK("https://www.wikidata.org/wiki/Q15971902", "Q15971902")</f>
        <v>0</v>
      </c>
      <c r="O770" t="s">
        <v>19959</v>
      </c>
      <c r="P770" t="s">
        <v>20404</v>
      </c>
      <c r="Q770" t="s">
        <v>20559</v>
      </c>
      <c r="R770" t="s">
        <v>410</v>
      </c>
      <c r="S770">
        <v>2051</v>
      </c>
    </row>
    <row r="771" spans="1:19">
      <c r="A771" t="s">
        <v>20</v>
      </c>
      <c r="B771" t="s">
        <v>148</v>
      </c>
      <c r="C771" t="s">
        <v>152</v>
      </c>
      <c r="D771" t="s">
        <v>281</v>
      </c>
      <c r="E771" t="s">
        <v>410</v>
      </c>
      <c r="F771">
        <f>HYPERLINK("https://www.wikidata.org/wiki/Q33528422", "Q33528422")</f>
        <v>0</v>
      </c>
      <c r="G771" t="s">
        <v>621</v>
      </c>
      <c r="H771" t="s">
        <v>5381</v>
      </c>
      <c r="I771" t="s">
        <v>9459</v>
      </c>
      <c r="J771" t="s">
        <v>11371</v>
      </c>
      <c r="K771" t="s">
        <v>15773</v>
      </c>
      <c r="L771">
        <f>HYPERLINK("https://www2.assemblee-nationale.fr/sycomore/fiche/(num_dept)/2585", "2585")</f>
        <v>0</v>
      </c>
      <c r="N771">
        <f>HYPERLINK("https://www.wikidata.org/wiki/Q16025610", "Q16025610")</f>
        <v>0</v>
      </c>
      <c r="O771" t="s">
        <v>20025</v>
      </c>
      <c r="P771" t="s">
        <v>20402</v>
      </c>
      <c r="Q771" t="s">
        <v>20559</v>
      </c>
      <c r="R771" t="s">
        <v>410</v>
      </c>
      <c r="S771">
        <v>2051</v>
      </c>
    </row>
    <row r="772" spans="1:19">
      <c r="A772" t="s">
        <v>20</v>
      </c>
      <c r="B772" t="s">
        <v>148</v>
      </c>
      <c r="C772" t="s">
        <v>152</v>
      </c>
      <c r="D772" t="s">
        <v>281</v>
      </c>
      <c r="E772" t="s">
        <v>410</v>
      </c>
      <c r="F772">
        <f>HYPERLINK("https://www.wikidata.org/wiki/Q33528422", "Q33528422")</f>
        <v>0</v>
      </c>
      <c r="G772" t="s">
        <v>934</v>
      </c>
      <c r="H772" t="s">
        <v>5690</v>
      </c>
      <c r="I772" t="s">
        <v>9470</v>
      </c>
      <c r="J772" t="s">
        <v>11588</v>
      </c>
      <c r="K772" t="s">
        <v>16076</v>
      </c>
      <c r="L772">
        <f>HYPERLINK("https://www2.assemblee-nationale.fr/sycomore/fiche/(num_dept)/2591", "2591")</f>
        <v>0</v>
      </c>
      <c r="N772">
        <f>HYPERLINK("https://www.wikidata.org/wiki/Q16025613", "Q16025613")</f>
        <v>0</v>
      </c>
      <c r="O772" t="s">
        <v>20027</v>
      </c>
      <c r="P772" t="s">
        <v>20413</v>
      </c>
      <c r="Q772" t="s">
        <v>20559</v>
      </c>
      <c r="R772" t="s">
        <v>16076</v>
      </c>
      <c r="S772">
        <v>1720</v>
      </c>
    </row>
    <row r="773" spans="1:19">
      <c r="A773" t="s">
        <v>20</v>
      </c>
      <c r="B773" t="s">
        <v>148</v>
      </c>
      <c r="C773" t="s">
        <v>152</v>
      </c>
      <c r="D773" t="s">
        <v>281</v>
      </c>
      <c r="E773" t="s">
        <v>410</v>
      </c>
      <c r="F773">
        <f>HYPERLINK("https://www.wikidata.org/wiki/Q33528422", "Q33528422")</f>
        <v>0</v>
      </c>
      <c r="G773" t="s">
        <v>622</v>
      </c>
      <c r="H773" t="s">
        <v>5382</v>
      </c>
      <c r="I773" t="s">
        <v>9389</v>
      </c>
      <c r="J773" t="s">
        <v>11372</v>
      </c>
      <c r="K773" t="s">
        <v>15774</v>
      </c>
      <c r="L773">
        <f>HYPERLINK("https://www2.assemblee-nationale.fr/sycomore/fiche/(num_dept)/2592", "2592")</f>
        <v>0</v>
      </c>
      <c r="N773">
        <f>HYPERLINK("https://www.wikidata.org/wiki/Q275053", "Q275053")</f>
        <v>0</v>
      </c>
      <c r="O773" t="s">
        <v>20007</v>
      </c>
      <c r="P773" t="s">
        <v>20410</v>
      </c>
      <c r="Q773" t="s">
        <v>20559</v>
      </c>
      <c r="R773" t="s">
        <v>15774</v>
      </c>
      <c r="S773">
        <v>667</v>
      </c>
    </row>
    <row r="774" spans="1:19">
      <c r="A774" t="s">
        <v>20</v>
      </c>
      <c r="B774" t="s">
        <v>148</v>
      </c>
      <c r="C774" t="s">
        <v>152</v>
      </c>
      <c r="D774" t="s">
        <v>281</v>
      </c>
      <c r="E774" t="s">
        <v>410</v>
      </c>
      <c r="F774">
        <f>HYPERLINK("https://www.wikidata.org/wiki/Q33528422", "Q33528422")</f>
        <v>0</v>
      </c>
      <c r="G774" t="s">
        <v>935</v>
      </c>
      <c r="H774" t="s">
        <v>5691</v>
      </c>
      <c r="I774" t="s">
        <v>9401</v>
      </c>
      <c r="J774" t="s">
        <v>11676</v>
      </c>
      <c r="K774" t="s">
        <v>16077</v>
      </c>
      <c r="L774">
        <f>HYPERLINK("https://www2.assemblee-nationale.fr/sycomore/fiche/(num_dept)/2593", "2593")</f>
        <v>0</v>
      </c>
      <c r="M774">
        <f>HYPERLINK("https://www.senat.fr/senateur-3eme-republique/drivet_antoine1373r3.html", "drivet_antoine1373r3")</f>
        <v>0</v>
      </c>
      <c r="N774">
        <f>HYPERLINK("https://www.wikidata.org/wiki/Q2853879", "Q2853879")</f>
        <v>0</v>
      </c>
      <c r="O774" t="s">
        <v>19997</v>
      </c>
      <c r="P774" t="s">
        <v>20413</v>
      </c>
      <c r="Q774" t="s">
        <v>20559</v>
      </c>
      <c r="R774" t="s">
        <v>410</v>
      </c>
      <c r="S774">
        <v>2051</v>
      </c>
    </row>
    <row r="775" spans="1:19">
      <c r="A775" t="s">
        <v>20</v>
      </c>
      <c r="B775" t="s">
        <v>148</v>
      </c>
      <c r="C775" t="s">
        <v>152</v>
      </c>
      <c r="D775" t="s">
        <v>281</v>
      </c>
      <c r="E775" t="s">
        <v>410</v>
      </c>
      <c r="F775">
        <f>HYPERLINK("https://www.wikidata.org/wiki/Q33528422", "Q33528422")</f>
        <v>0</v>
      </c>
      <c r="G775" t="s">
        <v>1165</v>
      </c>
      <c r="H775" t="s">
        <v>5897</v>
      </c>
      <c r="I775" t="s">
        <v>9446</v>
      </c>
      <c r="J775" t="s">
        <v>11898</v>
      </c>
      <c r="K775" t="s">
        <v>16300</v>
      </c>
      <c r="L775">
        <f>HYPERLINK("https://www2.assemblee-nationale.fr/sycomore/fiche/(num_dept)/2610", "2610")</f>
        <v>0</v>
      </c>
      <c r="N775">
        <f>HYPERLINK("https://www.wikidata.org/wiki/Q2646670", "Q2646670")</f>
        <v>0</v>
      </c>
      <c r="O775" t="s">
        <v>19994</v>
      </c>
      <c r="P775" t="s">
        <v>20413</v>
      </c>
      <c r="Q775" t="s">
        <v>20559</v>
      </c>
      <c r="R775" t="s">
        <v>16300</v>
      </c>
      <c r="S775">
        <v>770</v>
      </c>
    </row>
    <row r="776" spans="1:19">
      <c r="A776" t="s">
        <v>20</v>
      </c>
      <c r="B776" t="s">
        <v>148</v>
      </c>
      <c r="C776" t="s">
        <v>152</v>
      </c>
      <c r="D776" t="s">
        <v>281</v>
      </c>
      <c r="E776" t="s">
        <v>410</v>
      </c>
      <c r="F776">
        <f>HYPERLINK("https://www.wikidata.org/wiki/Q33528422", "Q33528422")</f>
        <v>0</v>
      </c>
      <c r="G776" t="s">
        <v>938</v>
      </c>
      <c r="H776" t="s">
        <v>5694</v>
      </c>
      <c r="I776" t="s">
        <v>9421</v>
      </c>
      <c r="J776" t="s">
        <v>11679</v>
      </c>
      <c r="K776" t="s">
        <v>16080</v>
      </c>
      <c r="L776">
        <f>HYPERLINK("https://www2.assemblee-nationale.fr/sycomore/fiche/(num_dept)/2611", "2611")</f>
        <v>0</v>
      </c>
      <c r="N776">
        <f>HYPERLINK("https://www.wikidata.org/wiki/Q16025615", "Q16025615")</f>
        <v>0</v>
      </c>
      <c r="O776" t="s">
        <v>20013</v>
      </c>
      <c r="P776" t="s">
        <v>20404</v>
      </c>
      <c r="Q776" t="s">
        <v>20559</v>
      </c>
      <c r="R776" t="s">
        <v>16080</v>
      </c>
      <c r="S776">
        <v>850</v>
      </c>
    </row>
    <row r="777" spans="1:19">
      <c r="A777" t="s">
        <v>20</v>
      </c>
      <c r="B777" t="s">
        <v>148</v>
      </c>
      <c r="C777" t="s">
        <v>152</v>
      </c>
      <c r="D777" t="s">
        <v>281</v>
      </c>
      <c r="E777" t="s">
        <v>410</v>
      </c>
      <c r="F777">
        <f>HYPERLINK("https://www.wikidata.org/wiki/Q33528422", "Q33528422")</f>
        <v>0</v>
      </c>
      <c r="G777" t="s">
        <v>1166</v>
      </c>
      <c r="H777" t="s">
        <v>5898</v>
      </c>
      <c r="I777" t="s">
        <v>9690</v>
      </c>
      <c r="J777" t="s">
        <v>11899</v>
      </c>
      <c r="K777" t="s">
        <v>16301</v>
      </c>
      <c r="L777">
        <f>HYPERLINK("https://www2.assemblee-nationale.fr/sycomore/fiche/(num_dept)/2634", "2634")</f>
        <v>0</v>
      </c>
      <c r="N777">
        <f>HYPERLINK("https://www.wikidata.org/wiki/Q3158781", "Q3158781")</f>
        <v>0</v>
      </c>
      <c r="O777" t="s">
        <v>19984</v>
      </c>
      <c r="P777" t="s">
        <v>20409</v>
      </c>
      <c r="Q777" t="s">
        <v>20559</v>
      </c>
      <c r="R777" t="s">
        <v>410</v>
      </c>
      <c r="S777">
        <v>2051</v>
      </c>
    </row>
    <row r="778" spans="1:19">
      <c r="A778" t="s">
        <v>20</v>
      </c>
      <c r="B778" t="s">
        <v>148</v>
      </c>
      <c r="C778" t="s">
        <v>152</v>
      </c>
      <c r="D778" t="s">
        <v>281</v>
      </c>
      <c r="E778" t="s">
        <v>410</v>
      </c>
      <c r="F778">
        <f>HYPERLINK("https://www.wikidata.org/wiki/Q33528422", "Q33528422")</f>
        <v>0</v>
      </c>
      <c r="G778" t="s">
        <v>942</v>
      </c>
      <c r="H778" t="s">
        <v>5698</v>
      </c>
      <c r="I778" t="s">
        <v>9449</v>
      </c>
      <c r="J778" t="s">
        <v>11683</v>
      </c>
      <c r="K778" t="s">
        <v>16084</v>
      </c>
      <c r="L778">
        <f>HYPERLINK("https://www2.assemblee-nationale.fr/sycomore/fiche/(num_dept)/2651", "2651")</f>
        <v>0</v>
      </c>
      <c r="M778">
        <f>HYPERLINK("https://www.senat.fr/senateur-3eme-republique/duclaux_monteil_jules0135r3.html", "duclaux_monteil_jules0135r3")</f>
        <v>0</v>
      </c>
      <c r="N778">
        <f>HYPERLINK("https://www.wikidata.org/wiki/Q3188550", "Q3188550")</f>
        <v>0</v>
      </c>
      <c r="O778" t="s">
        <v>19991</v>
      </c>
      <c r="P778" t="s">
        <v>20414</v>
      </c>
      <c r="Q778" t="s">
        <v>20559</v>
      </c>
      <c r="R778" t="s">
        <v>410</v>
      </c>
      <c r="S778">
        <v>2051</v>
      </c>
    </row>
    <row r="779" spans="1:19">
      <c r="A779" t="s">
        <v>20</v>
      </c>
      <c r="B779" t="s">
        <v>148</v>
      </c>
      <c r="C779" t="s">
        <v>152</v>
      </c>
      <c r="D779" t="s">
        <v>281</v>
      </c>
      <c r="E779" t="s">
        <v>410</v>
      </c>
      <c r="F779">
        <f>HYPERLINK("https://www.wikidata.org/wiki/Q33528422", "Q33528422")</f>
        <v>0</v>
      </c>
      <c r="G779" t="s">
        <v>945</v>
      </c>
      <c r="H779" t="s">
        <v>5701</v>
      </c>
      <c r="I779" t="s">
        <v>9553</v>
      </c>
      <c r="J779" t="s">
        <v>11686</v>
      </c>
      <c r="K779" t="s">
        <v>16087</v>
      </c>
      <c r="L779">
        <f>HYPERLINK("https://www2.assemblee-nationale.fr/sycomore/fiche/(num_dept)/2678", "2678")</f>
        <v>0</v>
      </c>
      <c r="N779">
        <f>HYPERLINK("https://www.wikidata.org/wiki/Q16025630", "Q16025630")</f>
        <v>0</v>
      </c>
      <c r="O779" t="s">
        <v>20003</v>
      </c>
      <c r="P779" t="s">
        <v>20413</v>
      </c>
      <c r="Q779" t="s">
        <v>20559</v>
      </c>
      <c r="R779" t="s">
        <v>16087</v>
      </c>
      <c r="S779">
        <v>1865</v>
      </c>
    </row>
    <row r="780" spans="1:19">
      <c r="A780" t="s">
        <v>20</v>
      </c>
      <c r="B780" t="s">
        <v>148</v>
      </c>
      <c r="C780" t="s">
        <v>152</v>
      </c>
      <c r="D780" t="s">
        <v>281</v>
      </c>
      <c r="E780" t="s">
        <v>410</v>
      </c>
      <c r="F780">
        <f>HYPERLINK("https://www.wikidata.org/wiki/Q33528422", "Q33528422")</f>
        <v>0</v>
      </c>
      <c r="G780" t="s">
        <v>947</v>
      </c>
      <c r="H780" t="s">
        <v>5702</v>
      </c>
      <c r="I780" t="s">
        <v>9597</v>
      </c>
      <c r="J780" t="s">
        <v>11688</v>
      </c>
      <c r="K780" t="s">
        <v>16089</v>
      </c>
      <c r="L780">
        <f>HYPERLINK("https://www2.assemblee-nationale.fr/sycomore/fiche/(num_dept)/2690", "2690")</f>
        <v>0</v>
      </c>
      <c r="N780">
        <f>HYPERLINK("https://www.wikidata.org/wiki/Q3588476", "Q3588476")</f>
        <v>0</v>
      </c>
      <c r="O780" t="s">
        <v>19996</v>
      </c>
      <c r="P780" t="s">
        <v>20404</v>
      </c>
      <c r="Q780" t="s">
        <v>20559</v>
      </c>
      <c r="R780" t="s">
        <v>410</v>
      </c>
      <c r="S780">
        <v>2051</v>
      </c>
    </row>
    <row r="781" spans="1:19">
      <c r="A781" t="s">
        <v>20</v>
      </c>
      <c r="B781" t="s">
        <v>148</v>
      </c>
      <c r="C781" t="s">
        <v>152</v>
      </c>
      <c r="D781" t="s">
        <v>281</v>
      </c>
      <c r="E781" t="s">
        <v>410</v>
      </c>
      <c r="F781">
        <f>HYPERLINK("https://www.wikidata.org/wiki/Q33528422", "Q33528422")</f>
        <v>0</v>
      </c>
      <c r="G781" t="s">
        <v>1167</v>
      </c>
      <c r="H781" t="s">
        <v>5385</v>
      </c>
      <c r="I781" t="s">
        <v>9470</v>
      </c>
      <c r="J781" t="s">
        <v>11900</v>
      </c>
      <c r="K781" t="s">
        <v>16302</v>
      </c>
      <c r="L781">
        <f>HYPERLINK("https://www2.assemblee-nationale.fr/sycomore/fiche/(num_dept)/2698", "2698")</f>
        <v>0</v>
      </c>
      <c r="N781">
        <f>HYPERLINK("https://www.wikidata.org/wiki/Q8299853", "Q8299853")</f>
        <v>0</v>
      </c>
      <c r="O781" t="s">
        <v>19980</v>
      </c>
      <c r="P781" t="s">
        <v>20414</v>
      </c>
      <c r="Q781" t="s">
        <v>20559</v>
      </c>
      <c r="R781" t="s">
        <v>16302</v>
      </c>
      <c r="S781">
        <v>1596</v>
      </c>
    </row>
    <row r="782" spans="1:19">
      <c r="A782" t="s">
        <v>20</v>
      </c>
      <c r="B782" t="s">
        <v>148</v>
      </c>
      <c r="C782" t="s">
        <v>152</v>
      </c>
      <c r="D782" t="s">
        <v>281</v>
      </c>
      <c r="E782" t="s">
        <v>410</v>
      </c>
      <c r="F782">
        <f>HYPERLINK("https://www.wikidata.org/wiki/Q33528422", "Q33528422")</f>
        <v>0</v>
      </c>
      <c r="G782" t="s">
        <v>951</v>
      </c>
      <c r="H782" t="s">
        <v>5387</v>
      </c>
      <c r="I782" t="s">
        <v>9600</v>
      </c>
      <c r="J782" t="s">
        <v>11692</v>
      </c>
      <c r="K782" t="s">
        <v>16093</v>
      </c>
      <c r="L782">
        <f>HYPERLINK("https://www2.assemblee-nationale.fr/sycomore/fiche/(num_dept)/2742", "2742")</f>
        <v>0</v>
      </c>
      <c r="N782">
        <f>HYPERLINK("https://www.wikidata.org/wiki/Q16025653", "Q16025653")</f>
        <v>0</v>
      </c>
      <c r="O782" t="s">
        <v>20045</v>
      </c>
      <c r="P782" t="s">
        <v>20401</v>
      </c>
      <c r="Q782" t="s">
        <v>20559</v>
      </c>
      <c r="R782" t="s">
        <v>410</v>
      </c>
      <c r="S782">
        <v>2051</v>
      </c>
    </row>
    <row r="783" spans="1:19">
      <c r="A783" t="s">
        <v>20</v>
      </c>
      <c r="B783" t="s">
        <v>148</v>
      </c>
      <c r="C783" t="s">
        <v>152</v>
      </c>
      <c r="D783" t="s">
        <v>281</v>
      </c>
      <c r="E783" t="s">
        <v>410</v>
      </c>
      <c r="F783">
        <f>HYPERLINK("https://www.wikidata.org/wiki/Q33528422", "Q33528422")</f>
        <v>0</v>
      </c>
      <c r="G783" t="s">
        <v>627</v>
      </c>
      <c r="H783" t="s">
        <v>5387</v>
      </c>
      <c r="I783" t="s">
        <v>6860</v>
      </c>
      <c r="J783" t="s">
        <v>11377</v>
      </c>
      <c r="K783" t="s">
        <v>15779</v>
      </c>
      <c r="L783">
        <f>HYPERLINK("https://www2.assemblee-nationale.fr/sycomore/fiche/(num_dept)/2743", "2743")</f>
        <v>0</v>
      </c>
      <c r="N783">
        <f>HYPERLINK("https://www.wikidata.org/wiki/Q3384871", "Q3384871")</f>
        <v>0</v>
      </c>
      <c r="O783" t="s">
        <v>19987</v>
      </c>
      <c r="P783" t="s">
        <v>20412</v>
      </c>
      <c r="Q783" t="s">
        <v>20559</v>
      </c>
      <c r="R783" t="s">
        <v>410</v>
      </c>
      <c r="S783">
        <v>2051</v>
      </c>
    </row>
    <row r="784" spans="1:19">
      <c r="A784" t="s">
        <v>20</v>
      </c>
      <c r="B784" t="s">
        <v>148</v>
      </c>
      <c r="C784" t="s">
        <v>152</v>
      </c>
      <c r="D784" t="s">
        <v>281</v>
      </c>
      <c r="E784" t="s">
        <v>410</v>
      </c>
      <c r="F784">
        <f>HYPERLINK("https://www.wikidata.org/wiki/Q33528422", "Q33528422")</f>
        <v>0</v>
      </c>
      <c r="G784" t="s">
        <v>952</v>
      </c>
      <c r="H784" t="s">
        <v>5704</v>
      </c>
      <c r="I784" t="s">
        <v>9401</v>
      </c>
      <c r="J784" t="s">
        <v>11693</v>
      </c>
      <c r="K784" t="s">
        <v>16094</v>
      </c>
      <c r="L784">
        <f>HYPERLINK("https://www2.assemblee-nationale.fr/sycomore/fiche/(num_dept)/2750", "2750")</f>
        <v>0</v>
      </c>
      <c r="N784">
        <f>HYPERLINK("https://www.wikidata.org/wiki/Q2853905", "Q2853905")</f>
        <v>0</v>
      </c>
      <c r="O784" t="s">
        <v>19997</v>
      </c>
      <c r="P784" t="s">
        <v>20413</v>
      </c>
      <c r="Q784" t="s">
        <v>20559</v>
      </c>
      <c r="R784" t="s">
        <v>410</v>
      </c>
      <c r="S784">
        <v>2051</v>
      </c>
    </row>
    <row r="785" spans="1:19">
      <c r="A785" t="s">
        <v>20</v>
      </c>
      <c r="B785" t="s">
        <v>148</v>
      </c>
      <c r="C785" t="s">
        <v>152</v>
      </c>
      <c r="D785" t="s">
        <v>281</v>
      </c>
      <c r="E785" t="s">
        <v>410</v>
      </c>
      <c r="F785">
        <f>HYPERLINK("https://www.wikidata.org/wiki/Q33528422", "Q33528422")</f>
        <v>0</v>
      </c>
      <c r="G785" t="s">
        <v>628</v>
      </c>
      <c r="H785" t="s">
        <v>5388</v>
      </c>
      <c r="I785" t="s">
        <v>6200</v>
      </c>
      <c r="J785" t="s">
        <v>11378</v>
      </c>
      <c r="K785" t="s">
        <v>15780</v>
      </c>
      <c r="L785">
        <f>HYPERLINK("https://www2.assemblee-nationale.fr/sycomore/fiche/(num_dept)/2757", "2757")</f>
        <v>0</v>
      </c>
      <c r="M785">
        <f>HYPERLINK("https://www.senat.fr/senateur-3eme-republique/durand_jean0270r3.html", "durand_jean0270r3")</f>
        <v>0</v>
      </c>
      <c r="N785">
        <f>HYPERLINK("https://www.wikidata.org/wiki/Q3171885", "Q3171885")</f>
        <v>0</v>
      </c>
      <c r="O785" t="s">
        <v>19960</v>
      </c>
      <c r="P785" t="s">
        <v>20413</v>
      </c>
      <c r="Q785" t="s">
        <v>20559</v>
      </c>
      <c r="R785" t="s">
        <v>410</v>
      </c>
      <c r="S785">
        <v>2051</v>
      </c>
    </row>
    <row r="786" spans="1:19">
      <c r="A786" t="s">
        <v>20</v>
      </c>
      <c r="B786" t="s">
        <v>148</v>
      </c>
      <c r="C786" t="s">
        <v>152</v>
      </c>
      <c r="D786" t="s">
        <v>281</v>
      </c>
      <c r="E786" t="s">
        <v>410</v>
      </c>
      <c r="F786">
        <f>HYPERLINK("https://www.wikidata.org/wiki/Q33528422", "Q33528422")</f>
        <v>0</v>
      </c>
      <c r="G786" t="s">
        <v>1168</v>
      </c>
      <c r="H786" t="s">
        <v>5899</v>
      </c>
      <c r="I786" t="s">
        <v>9553</v>
      </c>
      <c r="J786" t="s">
        <v>11901</v>
      </c>
      <c r="K786" t="s">
        <v>16303</v>
      </c>
      <c r="L786">
        <f>HYPERLINK("https://www2.assemblee-nationale.fr/sycomore/fiche/(num_dept)/2765", "2765")</f>
        <v>0</v>
      </c>
      <c r="N786">
        <f>HYPERLINK("https://www.wikidata.org/wiki/Q2833642", "Q2833642")</f>
        <v>0</v>
      </c>
      <c r="O786" t="s">
        <v>20024</v>
      </c>
      <c r="P786" t="s">
        <v>20401</v>
      </c>
      <c r="Q786" t="s">
        <v>20559</v>
      </c>
      <c r="R786" t="s">
        <v>410</v>
      </c>
      <c r="S786">
        <v>2051</v>
      </c>
    </row>
    <row r="787" spans="1:19">
      <c r="A787" t="s">
        <v>20</v>
      </c>
      <c r="B787" t="s">
        <v>148</v>
      </c>
      <c r="C787" t="s">
        <v>152</v>
      </c>
      <c r="D787" t="s">
        <v>281</v>
      </c>
      <c r="E787" t="s">
        <v>410</v>
      </c>
      <c r="F787">
        <f>HYPERLINK("https://www.wikidata.org/wiki/Q33528422", "Q33528422")</f>
        <v>0</v>
      </c>
      <c r="G787" t="s">
        <v>631</v>
      </c>
      <c r="H787" t="s">
        <v>5390</v>
      </c>
      <c r="I787" t="s">
        <v>7642</v>
      </c>
      <c r="J787" t="s">
        <v>11381</v>
      </c>
      <c r="K787" t="s">
        <v>15783</v>
      </c>
      <c r="L787">
        <f>HYPERLINK("https://www2.assemblee-nationale.fr/sycomore/fiche/(num_dept)/2795", "2795")</f>
        <v>0</v>
      </c>
      <c r="N787">
        <f>HYPERLINK("https://www.wikidata.org/wiki/Q3300740", "Q3300740")</f>
        <v>0</v>
      </c>
      <c r="O787" t="s">
        <v>19984</v>
      </c>
      <c r="P787" t="s">
        <v>20410</v>
      </c>
      <c r="Q787" t="s">
        <v>20559</v>
      </c>
      <c r="R787" t="s">
        <v>410</v>
      </c>
      <c r="S787">
        <v>2051</v>
      </c>
    </row>
    <row r="788" spans="1:19">
      <c r="A788" t="s">
        <v>20</v>
      </c>
      <c r="B788" t="s">
        <v>148</v>
      </c>
      <c r="C788" t="s">
        <v>152</v>
      </c>
      <c r="D788" t="s">
        <v>281</v>
      </c>
      <c r="E788" t="s">
        <v>410</v>
      </c>
      <c r="F788">
        <f>HYPERLINK("https://www.wikidata.org/wiki/Q33528422", "Q33528422")</f>
        <v>0</v>
      </c>
      <c r="G788" t="s">
        <v>633</v>
      </c>
      <c r="H788" t="s">
        <v>5392</v>
      </c>
      <c r="I788" t="s">
        <v>9446</v>
      </c>
      <c r="J788" t="s">
        <v>11383</v>
      </c>
      <c r="K788" t="s">
        <v>15785</v>
      </c>
      <c r="L788">
        <f>HYPERLINK("https://www2.assemblee-nationale.fr/sycomore/fiche/(num_dept)/2829", "2829")</f>
        <v>0</v>
      </c>
      <c r="N788">
        <f>HYPERLINK("https://www.wikidata.org/wiki/Q3069139", "Q3069139")</f>
        <v>0</v>
      </c>
      <c r="O788" t="s">
        <v>20009</v>
      </c>
      <c r="P788" t="s">
        <v>20410</v>
      </c>
      <c r="Q788" t="s">
        <v>20559</v>
      </c>
      <c r="R788" t="s">
        <v>410</v>
      </c>
      <c r="S788">
        <v>2051</v>
      </c>
    </row>
    <row r="789" spans="1:19">
      <c r="A789" t="s">
        <v>20</v>
      </c>
      <c r="B789" t="s">
        <v>148</v>
      </c>
      <c r="C789" t="s">
        <v>152</v>
      </c>
      <c r="D789" t="s">
        <v>281</v>
      </c>
      <c r="E789" t="s">
        <v>410</v>
      </c>
      <c r="F789">
        <f>HYPERLINK("https://www.wikidata.org/wiki/Q33528422", "Q33528422")</f>
        <v>0</v>
      </c>
      <c r="G789" t="s">
        <v>634</v>
      </c>
      <c r="H789" t="s">
        <v>5393</v>
      </c>
      <c r="I789" t="s">
        <v>9388</v>
      </c>
      <c r="J789" t="s">
        <v>11384</v>
      </c>
      <c r="K789" t="s">
        <v>15786</v>
      </c>
      <c r="L789">
        <f>HYPERLINK("https://www2.assemblee-nationale.fr/sycomore/fiche/(num_dept)/2844", "2844")</f>
        <v>0</v>
      </c>
      <c r="N789">
        <f>HYPERLINK("https://www.wikidata.org/wiki/Q13089371", "Q13089371")</f>
        <v>0</v>
      </c>
      <c r="O789" t="s">
        <v>19969</v>
      </c>
      <c r="P789" t="s">
        <v>20414</v>
      </c>
      <c r="Q789" t="s">
        <v>20559</v>
      </c>
      <c r="R789" t="s">
        <v>410</v>
      </c>
      <c r="S789">
        <v>2051</v>
      </c>
    </row>
    <row r="790" spans="1:19">
      <c r="A790" t="s">
        <v>20</v>
      </c>
      <c r="B790" t="s">
        <v>148</v>
      </c>
      <c r="C790" t="s">
        <v>152</v>
      </c>
      <c r="D790" t="s">
        <v>281</v>
      </c>
      <c r="E790" t="s">
        <v>410</v>
      </c>
      <c r="F790">
        <f>HYPERLINK("https://www.wikidata.org/wiki/Q33528422", "Q33528422")</f>
        <v>0</v>
      </c>
      <c r="G790" t="s">
        <v>1169</v>
      </c>
      <c r="H790" t="s">
        <v>5900</v>
      </c>
      <c r="I790" t="s">
        <v>9691</v>
      </c>
      <c r="J790" t="s">
        <v>11902</v>
      </c>
      <c r="K790" t="s">
        <v>16304</v>
      </c>
      <c r="L790">
        <f>HYPERLINK("https://www2.assemblee-nationale.fr/sycomore/fiche/(num_dept)/2850", "2850")</f>
        <v>0</v>
      </c>
      <c r="N790">
        <f>HYPERLINK("https://www.wikidata.org/wiki/Q2865088", "Q2865088")</f>
        <v>0</v>
      </c>
      <c r="O790" t="s">
        <v>19961</v>
      </c>
      <c r="P790" t="s">
        <v>20409</v>
      </c>
      <c r="Q790" t="s">
        <v>20559</v>
      </c>
      <c r="R790" t="s">
        <v>410</v>
      </c>
      <c r="S790">
        <v>2051</v>
      </c>
    </row>
    <row r="791" spans="1:19">
      <c r="A791" t="s">
        <v>20</v>
      </c>
      <c r="B791" t="s">
        <v>148</v>
      </c>
      <c r="C791" t="s">
        <v>152</v>
      </c>
      <c r="D791" t="s">
        <v>281</v>
      </c>
      <c r="E791" t="s">
        <v>410</v>
      </c>
      <c r="F791">
        <f>HYPERLINK("https://www.wikidata.org/wiki/Q33528422", "Q33528422")</f>
        <v>0</v>
      </c>
      <c r="G791" t="s">
        <v>635</v>
      </c>
      <c r="H791" t="s">
        <v>5394</v>
      </c>
      <c r="I791" t="s">
        <v>9465</v>
      </c>
      <c r="J791" t="s">
        <v>11385</v>
      </c>
      <c r="K791" t="s">
        <v>15787</v>
      </c>
      <c r="L791">
        <f>HYPERLINK("https://www2.assemblee-nationale.fr/sycomore/fiche/(num_dept)/2861", "2861")</f>
        <v>0</v>
      </c>
      <c r="M791">
        <f>HYPERLINK("https://www.senat.fr/senateur-3eme-republique/etienne_eugene1824r3.html", "etienne_eugene1824r3")</f>
        <v>0</v>
      </c>
      <c r="N791">
        <f>HYPERLINK("https://www.wikidata.org/wiki/Q2612305", "Q2612305")</f>
        <v>0</v>
      </c>
      <c r="O791" t="s">
        <v>20000</v>
      </c>
      <c r="P791" t="s">
        <v>20412</v>
      </c>
      <c r="Q791" t="s">
        <v>20559</v>
      </c>
      <c r="R791" t="s">
        <v>410</v>
      </c>
      <c r="S791">
        <v>2051</v>
      </c>
    </row>
    <row r="792" spans="1:19">
      <c r="A792" t="s">
        <v>20</v>
      </c>
      <c r="B792" t="s">
        <v>148</v>
      </c>
      <c r="C792" t="s">
        <v>152</v>
      </c>
      <c r="D792" t="s">
        <v>281</v>
      </c>
      <c r="E792" t="s">
        <v>410</v>
      </c>
      <c r="F792">
        <f>HYPERLINK("https://www.wikidata.org/wiki/Q33528422", "Q33528422")</f>
        <v>0</v>
      </c>
      <c r="G792" t="s">
        <v>953</v>
      </c>
      <c r="H792" t="s">
        <v>5705</v>
      </c>
      <c r="I792" t="s">
        <v>6860</v>
      </c>
      <c r="J792" t="s">
        <v>11694</v>
      </c>
      <c r="K792" t="s">
        <v>16095</v>
      </c>
      <c r="L792">
        <f>HYPERLINK("https://www2.assemblee-nationale.fr/sycomore/fiche/(num_dept)/2866", "2866")</f>
        <v>0</v>
      </c>
      <c r="M792">
        <f>HYPERLINK("https://www.senat.fr/senateur-3eme-republique/even_pierre0579r3.html", "even_pierre0579r3")</f>
        <v>0</v>
      </c>
      <c r="N792">
        <f>HYPERLINK("https://www.wikidata.org/wiki/Q3384931", "Q3384931")</f>
        <v>0</v>
      </c>
      <c r="O792" t="s">
        <v>19964</v>
      </c>
      <c r="P792" t="s">
        <v>20406</v>
      </c>
      <c r="Q792" t="s">
        <v>20559</v>
      </c>
      <c r="R792" t="s">
        <v>410</v>
      </c>
      <c r="S792">
        <v>2051</v>
      </c>
    </row>
    <row r="793" spans="1:19">
      <c r="A793" t="s">
        <v>20</v>
      </c>
      <c r="B793" t="s">
        <v>148</v>
      </c>
      <c r="C793" t="s">
        <v>152</v>
      </c>
      <c r="D793" t="s">
        <v>281</v>
      </c>
      <c r="E793" t="s">
        <v>410</v>
      </c>
      <c r="F793">
        <f>HYPERLINK("https://www.wikidata.org/wiki/Q33528422", "Q33528422")</f>
        <v>0</v>
      </c>
      <c r="G793" t="s">
        <v>1170</v>
      </c>
      <c r="H793" t="s">
        <v>5901</v>
      </c>
      <c r="I793" t="s">
        <v>5592</v>
      </c>
      <c r="J793" t="s">
        <v>11903</v>
      </c>
      <c r="K793" t="s">
        <v>16305</v>
      </c>
      <c r="L793">
        <f>HYPERLINK("https://www2.assemblee-nationale.fr/sycomore/fiche/(num_dept)/2874", "2874")</f>
        <v>0</v>
      </c>
      <c r="M793">
        <f>HYPERLINK("https://www.senat.fr/senateur-3eme-republique/eynac_laurent0520r3.html", "eynac_laurent0520r3")</f>
        <v>0</v>
      </c>
      <c r="N793">
        <f>HYPERLINK("https://www.wikidata.org/wiki/Q3219208", "Q3219208")</f>
        <v>0</v>
      </c>
      <c r="O793" t="s">
        <v>19993</v>
      </c>
      <c r="P793" t="s">
        <v>20412</v>
      </c>
      <c r="Q793" t="s">
        <v>20559</v>
      </c>
      <c r="R793" t="s">
        <v>410</v>
      </c>
      <c r="S793">
        <v>2051</v>
      </c>
    </row>
    <row r="794" spans="1:19">
      <c r="A794" t="s">
        <v>20</v>
      </c>
      <c r="B794" t="s">
        <v>148</v>
      </c>
      <c r="C794" t="s">
        <v>152</v>
      </c>
      <c r="D794" t="s">
        <v>281</v>
      </c>
      <c r="E794" t="s">
        <v>410</v>
      </c>
      <c r="F794">
        <f>HYPERLINK("https://www.wikidata.org/wiki/Q33528422", "Q33528422")</f>
        <v>0</v>
      </c>
      <c r="G794" t="s">
        <v>636</v>
      </c>
      <c r="H794" t="s">
        <v>5395</v>
      </c>
      <c r="I794" t="s">
        <v>9401</v>
      </c>
      <c r="J794" t="s">
        <v>11386</v>
      </c>
      <c r="K794" t="s">
        <v>15788</v>
      </c>
      <c r="L794">
        <f>HYPERLINK("https://www2.assemblee-nationale.fr/sycomore/fiche/(num_dept)/2878", "2878")</f>
        <v>0</v>
      </c>
      <c r="N794">
        <f>HYPERLINK("https://www.wikidata.org/wiki/Q17354514", "Q17354514")</f>
        <v>0</v>
      </c>
      <c r="O794" t="s">
        <v>20005</v>
      </c>
      <c r="P794" t="s">
        <v>20413</v>
      </c>
      <c r="Q794" t="s">
        <v>20559</v>
      </c>
      <c r="R794" t="s">
        <v>410</v>
      </c>
      <c r="S794">
        <v>2051</v>
      </c>
    </row>
    <row r="795" spans="1:19">
      <c r="A795" t="s">
        <v>20</v>
      </c>
      <c r="B795" t="s">
        <v>148</v>
      </c>
      <c r="C795" t="s">
        <v>152</v>
      </c>
      <c r="D795" t="s">
        <v>281</v>
      </c>
      <c r="E795" t="s">
        <v>410</v>
      </c>
      <c r="F795">
        <f>HYPERLINK("https://www.wikidata.org/wiki/Q33528422", "Q33528422")</f>
        <v>0</v>
      </c>
      <c r="G795" t="s">
        <v>637</v>
      </c>
      <c r="H795" t="s">
        <v>5396</v>
      </c>
      <c r="I795" t="s">
        <v>9466</v>
      </c>
      <c r="J795" t="s">
        <v>11387</v>
      </c>
      <c r="K795" t="s">
        <v>15789</v>
      </c>
      <c r="L795">
        <f>HYPERLINK("https://www2.assemblee-nationale.fr/sycomore/fiche/(num_dept)/2892", "2892")</f>
        <v>0</v>
      </c>
      <c r="N795">
        <f>HYPERLINK("https://www.wikidata.org/wiki/Q16025680", "Q16025680")</f>
        <v>0</v>
      </c>
      <c r="O795" t="s">
        <v>19969</v>
      </c>
      <c r="P795" t="s">
        <v>20402</v>
      </c>
      <c r="Q795" t="s">
        <v>20559</v>
      </c>
      <c r="R795" t="s">
        <v>410</v>
      </c>
      <c r="S795">
        <v>2051</v>
      </c>
    </row>
    <row r="796" spans="1:19">
      <c r="A796" t="s">
        <v>20</v>
      </c>
      <c r="B796" t="s">
        <v>148</v>
      </c>
      <c r="C796" t="s">
        <v>152</v>
      </c>
      <c r="D796" t="s">
        <v>281</v>
      </c>
      <c r="E796" t="s">
        <v>410</v>
      </c>
      <c r="F796">
        <f>HYPERLINK("https://www.wikidata.org/wiki/Q33528422", "Q33528422")</f>
        <v>0</v>
      </c>
      <c r="G796" t="s">
        <v>1171</v>
      </c>
      <c r="H796" t="s">
        <v>5902</v>
      </c>
      <c r="I796" t="s">
        <v>9407</v>
      </c>
      <c r="J796" t="s">
        <v>11904</v>
      </c>
      <c r="K796" t="s">
        <v>16306</v>
      </c>
      <c r="L796">
        <f>HYPERLINK("https://www2.assemblee-nationale.fr/sycomore/fiche/(num_dept)/2894", "2894")</f>
        <v>0</v>
      </c>
      <c r="N796">
        <f>HYPERLINK("https://www.wikidata.org/wiki/Q7123699", "Q7123699")</f>
        <v>0</v>
      </c>
      <c r="O796" t="s">
        <v>19994</v>
      </c>
      <c r="P796" t="s">
        <v>20413</v>
      </c>
      <c r="Q796" t="s">
        <v>20559</v>
      </c>
      <c r="R796" t="s">
        <v>410</v>
      </c>
      <c r="S796">
        <v>2051</v>
      </c>
    </row>
    <row r="797" spans="1:19">
      <c r="A797" t="s">
        <v>20</v>
      </c>
      <c r="B797" t="s">
        <v>148</v>
      </c>
      <c r="C797" t="s">
        <v>152</v>
      </c>
      <c r="D797" t="s">
        <v>281</v>
      </c>
      <c r="E797" t="s">
        <v>410</v>
      </c>
      <c r="F797">
        <f>HYPERLINK("https://www.wikidata.org/wiki/Q33528422", "Q33528422")</f>
        <v>0</v>
      </c>
      <c r="G797" t="s">
        <v>639</v>
      </c>
      <c r="H797" t="s">
        <v>5398</v>
      </c>
      <c r="I797" t="s">
        <v>9389</v>
      </c>
      <c r="J797" t="s">
        <v>11389</v>
      </c>
      <c r="K797" t="s">
        <v>15791</v>
      </c>
      <c r="L797">
        <f>HYPERLINK("https://www2.assemblee-nationale.fr/sycomore/fiche/(num_dept)/2938", "2938")</f>
        <v>0</v>
      </c>
      <c r="N797">
        <f>HYPERLINK("https://www.wikidata.org/wiki/Q3588494", "Q3588494")</f>
        <v>0</v>
      </c>
      <c r="O797" t="s">
        <v>20018</v>
      </c>
      <c r="P797" t="s">
        <v>20406</v>
      </c>
      <c r="Q797" t="s">
        <v>20559</v>
      </c>
      <c r="R797" t="s">
        <v>15791</v>
      </c>
      <c r="S797">
        <v>1659</v>
      </c>
    </row>
    <row r="798" spans="1:19">
      <c r="A798" t="s">
        <v>20</v>
      </c>
      <c r="B798" t="s">
        <v>148</v>
      </c>
      <c r="C798" t="s">
        <v>152</v>
      </c>
      <c r="D798" t="s">
        <v>281</v>
      </c>
      <c r="E798" t="s">
        <v>410</v>
      </c>
      <c r="F798">
        <f>HYPERLINK("https://www.wikidata.org/wiki/Q33528422", "Q33528422")</f>
        <v>0</v>
      </c>
      <c r="G798" t="s">
        <v>641</v>
      </c>
      <c r="H798" t="s">
        <v>5400</v>
      </c>
      <c r="I798" t="s">
        <v>8494</v>
      </c>
      <c r="J798" t="s">
        <v>11391</v>
      </c>
      <c r="K798" t="s">
        <v>15793</v>
      </c>
      <c r="L798">
        <f>HYPERLINK("https://www2.assemblee-nationale.fr/sycomore/fiche/(num_dept)/2983", "2983")</f>
        <v>0</v>
      </c>
      <c r="N798">
        <f>HYPERLINK("https://www.wikidata.org/wiki/Q2821507", "Q2821507")</f>
        <v>0</v>
      </c>
      <c r="O798" t="s">
        <v>20017</v>
      </c>
      <c r="P798" t="s">
        <v>20401</v>
      </c>
      <c r="Q798" t="s">
        <v>20559</v>
      </c>
      <c r="R798" t="s">
        <v>15793</v>
      </c>
      <c r="S798">
        <v>1603</v>
      </c>
    </row>
    <row r="799" spans="1:19">
      <c r="A799" t="s">
        <v>20</v>
      </c>
      <c r="B799" t="s">
        <v>148</v>
      </c>
      <c r="C799" t="s">
        <v>152</v>
      </c>
      <c r="D799" t="s">
        <v>281</v>
      </c>
      <c r="E799" t="s">
        <v>410</v>
      </c>
      <c r="F799">
        <f>HYPERLINK("https://www.wikidata.org/wiki/Q33528422", "Q33528422")</f>
        <v>0</v>
      </c>
      <c r="G799" t="s">
        <v>642</v>
      </c>
      <c r="H799" t="s">
        <v>5401</v>
      </c>
      <c r="I799" t="s">
        <v>9407</v>
      </c>
      <c r="J799" t="s">
        <v>11392</v>
      </c>
      <c r="K799" t="s">
        <v>15794</v>
      </c>
      <c r="L799">
        <f>HYPERLINK("https://www2.assemblee-nationale.fr/sycomore/fiche/(num_dept)/3017", "3017")</f>
        <v>0</v>
      </c>
      <c r="N799">
        <f>HYPERLINK("https://www.wikidata.org/wiki/Q16025704", "Q16025704")</f>
        <v>0</v>
      </c>
      <c r="O799" t="s">
        <v>20027</v>
      </c>
      <c r="P799" t="s">
        <v>20413</v>
      </c>
      <c r="Q799" t="s">
        <v>20559</v>
      </c>
      <c r="R799" t="s">
        <v>15794</v>
      </c>
      <c r="S799">
        <v>260</v>
      </c>
    </row>
    <row r="800" spans="1:19">
      <c r="A800" t="s">
        <v>20</v>
      </c>
      <c r="B800" t="s">
        <v>148</v>
      </c>
      <c r="C800" t="s">
        <v>152</v>
      </c>
      <c r="D800" t="s">
        <v>281</v>
      </c>
      <c r="E800" t="s">
        <v>410</v>
      </c>
      <c r="F800">
        <f>HYPERLINK("https://www.wikidata.org/wiki/Q33528422", "Q33528422")</f>
        <v>0</v>
      </c>
      <c r="G800" t="s">
        <v>643</v>
      </c>
      <c r="H800" t="s">
        <v>5402</v>
      </c>
      <c r="I800" t="s">
        <v>9442</v>
      </c>
      <c r="J800" t="s">
        <v>11393</v>
      </c>
      <c r="K800" t="s">
        <v>15795</v>
      </c>
      <c r="L800">
        <f>HYPERLINK("https://www2.assemblee-nationale.fr/sycomore/fiche/(num_dept)/3021", "3021")</f>
        <v>0</v>
      </c>
      <c r="N800">
        <f>HYPERLINK("https://www.wikidata.org/wiki/Q3056952", "Q3056952")</f>
        <v>0</v>
      </c>
      <c r="O800" t="s">
        <v>20009</v>
      </c>
      <c r="P800" t="s">
        <v>20409</v>
      </c>
      <c r="Q800" t="s">
        <v>20559</v>
      </c>
      <c r="R800" t="s">
        <v>410</v>
      </c>
      <c r="S800">
        <v>2051</v>
      </c>
    </row>
    <row r="801" spans="1:19">
      <c r="A801" t="s">
        <v>20</v>
      </c>
      <c r="B801" t="s">
        <v>148</v>
      </c>
      <c r="C801" t="s">
        <v>152</v>
      </c>
      <c r="D801" t="s">
        <v>281</v>
      </c>
      <c r="E801" t="s">
        <v>410</v>
      </c>
      <c r="F801">
        <f>HYPERLINK("https://www.wikidata.org/wiki/Q33528422", "Q33528422")</f>
        <v>0</v>
      </c>
      <c r="G801" t="s">
        <v>644</v>
      </c>
      <c r="H801" t="s">
        <v>5403</v>
      </c>
      <c r="I801" t="s">
        <v>7642</v>
      </c>
      <c r="J801" t="s">
        <v>11394</v>
      </c>
      <c r="K801" t="s">
        <v>15796</v>
      </c>
      <c r="L801">
        <f>HYPERLINK("https://www2.assemblee-nationale.fr/sycomore/fiche/(num_dept)/3025", "3025")</f>
        <v>0</v>
      </c>
      <c r="M801">
        <f>HYPERLINK("https://www.senat.fr/senateur-3eme-republique/flayelle_maurice1800r3.html", "flayelle_maurice1800r3")</f>
        <v>0</v>
      </c>
      <c r="N801">
        <f>HYPERLINK("https://www.wikidata.org/wiki/Q3300781", "Q3300781")</f>
        <v>0</v>
      </c>
      <c r="O801" t="s">
        <v>20017</v>
      </c>
      <c r="P801" t="s">
        <v>20409</v>
      </c>
      <c r="Q801" t="s">
        <v>20559</v>
      </c>
      <c r="R801" t="s">
        <v>410</v>
      </c>
      <c r="S801">
        <v>2051</v>
      </c>
    </row>
    <row r="802" spans="1:19">
      <c r="A802" t="s">
        <v>20</v>
      </c>
      <c r="B802" t="s">
        <v>148</v>
      </c>
      <c r="C802" t="s">
        <v>152</v>
      </c>
      <c r="D802" t="s">
        <v>281</v>
      </c>
      <c r="E802" t="s">
        <v>410</v>
      </c>
      <c r="F802">
        <f>HYPERLINK("https://www.wikidata.org/wiki/Q33528422", "Q33528422")</f>
        <v>0</v>
      </c>
      <c r="G802" t="s">
        <v>1172</v>
      </c>
      <c r="H802" t="s">
        <v>5903</v>
      </c>
      <c r="I802" t="s">
        <v>9483</v>
      </c>
      <c r="J802" t="s">
        <v>11905</v>
      </c>
      <c r="K802" t="s">
        <v>16307</v>
      </c>
      <c r="L802">
        <f>HYPERLINK("https://www2.assemblee-nationale.fr/sycomore/fiche/(num_dept)/3027", "3027")</f>
        <v>0</v>
      </c>
      <c r="N802">
        <f>HYPERLINK("https://www.wikidata.org/wiki/Q16025707", "Q16025707")</f>
        <v>0</v>
      </c>
      <c r="O802" t="s">
        <v>20021</v>
      </c>
      <c r="P802" t="s">
        <v>20413</v>
      </c>
      <c r="Q802" t="s">
        <v>20559</v>
      </c>
      <c r="R802" t="s">
        <v>410</v>
      </c>
      <c r="S802">
        <v>2051</v>
      </c>
    </row>
    <row r="803" spans="1:19">
      <c r="A803" t="s">
        <v>20</v>
      </c>
      <c r="B803" t="s">
        <v>148</v>
      </c>
      <c r="C803" t="s">
        <v>152</v>
      </c>
      <c r="D803" t="s">
        <v>281</v>
      </c>
      <c r="E803" t="s">
        <v>410</v>
      </c>
      <c r="F803">
        <f>HYPERLINK("https://www.wikidata.org/wiki/Q33528422", "Q33528422")</f>
        <v>0</v>
      </c>
      <c r="G803" t="s">
        <v>646</v>
      </c>
      <c r="H803" t="s">
        <v>5405</v>
      </c>
      <c r="I803" t="s">
        <v>9467</v>
      </c>
      <c r="J803" t="s">
        <v>11396</v>
      </c>
      <c r="K803" t="s">
        <v>15798</v>
      </c>
      <c r="L803">
        <f>HYPERLINK("https://www2.assemblee-nationale.fr/sycomore/fiche/(num_dept)/3039", "3039")</f>
        <v>0</v>
      </c>
      <c r="N803">
        <f>HYPERLINK("https://www.wikidata.org/wiki/Q3014859", "Q3014859")</f>
        <v>0</v>
      </c>
      <c r="O803" t="s">
        <v>19978</v>
      </c>
      <c r="P803" t="s">
        <v>20412</v>
      </c>
      <c r="Q803" t="s">
        <v>20559</v>
      </c>
      <c r="R803" t="s">
        <v>15798</v>
      </c>
      <c r="S803">
        <v>778</v>
      </c>
    </row>
    <row r="804" spans="1:19">
      <c r="A804" t="s">
        <v>20</v>
      </c>
      <c r="B804" t="s">
        <v>148</v>
      </c>
      <c r="C804" t="s">
        <v>152</v>
      </c>
      <c r="D804" t="s">
        <v>281</v>
      </c>
      <c r="E804" t="s">
        <v>410</v>
      </c>
      <c r="F804">
        <f>HYPERLINK("https://www.wikidata.org/wiki/Q33528422", "Q33528422")</f>
        <v>0</v>
      </c>
      <c r="G804" t="s">
        <v>1173</v>
      </c>
      <c r="H804" t="s">
        <v>5904</v>
      </c>
      <c r="I804" t="s">
        <v>9692</v>
      </c>
      <c r="J804" t="s">
        <v>11906</v>
      </c>
      <c r="K804" t="s">
        <v>16308</v>
      </c>
      <c r="L804">
        <f>HYPERLINK("https://www2.assemblee-nationale.fr/sycomore/fiche/(num_dept)/3045", "3045")</f>
        <v>0</v>
      </c>
      <c r="M804">
        <f>HYPERLINK("https://www.senat.fr/senateur-3eme-republique/de_fontaines_raymond1746r3.html", "de_fontaines_raymond1746r3")</f>
        <v>0</v>
      </c>
      <c r="N804">
        <f>HYPERLINK("https://www.wikidata.org/wiki/Q3421220", "Q3421220")</f>
        <v>0</v>
      </c>
      <c r="O804" t="s">
        <v>19972</v>
      </c>
      <c r="P804" t="s">
        <v>20409</v>
      </c>
      <c r="Q804" t="s">
        <v>20559</v>
      </c>
      <c r="R804" t="s">
        <v>410</v>
      </c>
      <c r="S804">
        <v>2051</v>
      </c>
    </row>
    <row r="805" spans="1:19">
      <c r="A805" t="s">
        <v>20</v>
      </c>
      <c r="B805" t="s">
        <v>148</v>
      </c>
      <c r="C805" t="s">
        <v>152</v>
      </c>
      <c r="D805" t="s">
        <v>281</v>
      </c>
      <c r="E805" t="s">
        <v>410</v>
      </c>
      <c r="F805">
        <f>HYPERLINK("https://www.wikidata.org/wiki/Q33528422", "Q33528422")</f>
        <v>0</v>
      </c>
      <c r="G805" t="s">
        <v>648</v>
      </c>
      <c r="H805" t="s">
        <v>5407</v>
      </c>
      <c r="I805" t="s">
        <v>9468</v>
      </c>
      <c r="J805" t="s">
        <v>11398</v>
      </c>
      <c r="K805" t="s">
        <v>15800</v>
      </c>
      <c r="L805">
        <f>HYPERLINK("https://www2.assemblee-nationale.fr/sycomore/fiche/(num_dept)/3072", "3072")</f>
        <v>0</v>
      </c>
      <c r="M805">
        <f>HYPERLINK("https://www.senat.fr/senateur-3eme-republique/foucher_octave0306r3.html", "foucher_octave0306r3")</f>
        <v>0</v>
      </c>
      <c r="N805">
        <f>HYPERLINK("https://www.wikidata.org/wiki/Q3348830", "Q3348830")</f>
        <v>0</v>
      </c>
      <c r="O805" t="s">
        <v>20008</v>
      </c>
      <c r="P805" t="s">
        <v>20413</v>
      </c>
      <c r="Q805" t="s">
        <v>20559</v>
      </c>
      <c r="R805" t="s">
        <v>410</v>
      </c>
      <c r="S805">
        <v>2051</v>
      </c>
    </row>
    <row r="806" spans="1:19">
      <c r="A806" t="s">
        <v>20</v>
      </c>
      <c r="B806" t="s">
        <v>148</v>
      </c>
      <c r="C806" t="s">
        <v>152</v>
      </c>
      <c r="D806" t="s">
        <v>281</v>
      </c>
      <c r="E806" t="s">
        <v>410</v>
      </c>
      <c r="F806">
        <f>HYPERLINK("https://www.wikidata.org/wiki/Q33528422", "Q33528422")</f>
        <v>0</v>
      </c>
      <c r="G806" t="s">
        <v>649</v>
      </c>
      <c r="H806" t="s">
        <v>5408</v>
      </c>
      <c r="I806" t="s">
        <v>9457</v>
      </c>
      <c r="J806" t="s">
        <v>11399</v>
      </c>
      <c r="K806" t="s">
        <v>15801</v>
      </c>
      <c r="L806">
        <f>HYPERLINK("https://www2.assemblee-nationale.fr/sycomore/fiche/(num_dept)/3078", "3078")</f>
        <v>0</v>
      </c>
      <c r="N806">
        <f>HYPERLINK("https://www.wikidata.org/wiki/Q8342835", "Q8342835")</f>
        <v>0</v>
      </c>
      <c r="O806" t="s">
        <v>19975</v>
      </c>
      <c r="P806" t="s">
        <v>20409</v>
      </c>
      <c r="Q806" t="s">
        <v>20559</v>
      </c>
      <c r="R806" t="s">
        <v>410</v>
      </c>
      <c r="S806">
        <v>2051</v>
      </c>
    </row>
    <row r="807" spans="1:19">
      <c r="A807" t="s">
        <v>20</v>
      </c>
      <c r="B807" t="s">
        <v>148</v>
      </c>
      <c r="C807" t="s">
        <v>152</v>
      </c>
      <c r="D807" t="s">
        <v>281</v>
      </c>
      <c r="E807" t="s">
        <v>410</v>
      </c>
      <c r="F807">
        <f>HYPERLINK("https://www.wikidata.org/wiki/Q33528422", "Q33528422")</f>
        <v>0</v>
      </c>
      <c r="G807" t="s">
        <v>956</v>
      </c>
      <c r="H807" t="s">
        <v>5708</v>
      </c>
      <c r="I807" t="s">
        <v>9421</v>
      </c>
      <c r="J807" t="s">
        <v>11697</v>
      </c>
      <c r="K807" t="s">
        <v>16098</v>
      </c>
      <c r="L807">
        <f>HYPERLINK("https://www2.assemblee-nationale.fr/sycomore/fiche/(num_dept)/3093", "3093")</f>
        <v>0</v>
      </c>
      <c r="M807">
        <f>HYPERLINK("https://www.senat.fr/senateur-3eme-republique/fourment_gustave1742r3.html", "fourment_gustave1742r3")</f>
        <v>0</v>
      </c>
      <c r="N807">
        <f>HYPERLINK("https://www.wikidata.org/wiki/Q3121186", "Q3121186")</f>
        <v>0</v>
      </c>
      <c r="O807" t="s">
        <v>20042</v>
      </c>
      <c r="P807" t="s">
        <v>20404</v>
      </c>
      <c r="Q807" t="s">
        <v>20559</v>
      </c>
      <c r="R807" t="s">
        <v>410</v>
      </c>
      <c r="S807">
        <v>2051</v>
      </c>
    </row>
    <row r="808" spans="1:19">
      <c r="A808" t="s">
        <v>20</v>
      </c>
      <c r="B808" t="s">
        <v>148</v>
      </c>
      <c r="C808" t="s">
        <v>152</v>
      </c>
      <c r="D808" t="s">
        <v>281</v>
      </c>
      <c r="E808" t="s">
        <v>410</v>
      </c>
      <c r="F808">
        <f>HYPERLINK("https://www.wikidata.org/wiki/Q33528422", "Q33528422")</f>
        <v>0</v>
      </c>
      <c r="G808" t="s">
        <v>652</v>
      </c>
      <c r="H808" t="s">
        <v>5411</v>
      </c>
      <c r="I808" t="s">
        <v>9375</v>
      </c>
      <c r="J808" t="s">
        <v>11402</v>
      </c>
      <c r="K808" t="s">
        <v>15804</v>
      </c>
      <c r="L808">
        <f>HYPERLINK("https://www2.assemblee-nationale.fr/sycomore/fiche/(num_dept)/3194", "3194")</f>
        <v>0</v>
      </c>
      <c r="N808">
        <f>HYPERLINK("https://www.wikidata.org/wiki/Q16025739", "Q16025739")</f>
        <v>0</v>
      </c>
      <c r="O808" t="s">
        <v>19967</v>
      </c>
      <c r="P808" t="s">
        <v>20402</v>
      </c>
      <c r="Q808" t="s">
        <v>20559</v>
      </c>
      <c r="R808" t="s">
        <v>410</v>
      </c>
      <c r="S808">
        <v>2051</v>
      </c>
    </row>
    <row r="809" spans="1:19">
      <c r="A809" t="s">
        <v>20</v>
      </c>
      <c r="B809" t="s">
        <v>148</v>
      </c>
      <c r="C809" t="s">
        <v>152</v>
      </c>
      <c r="D809" t="s">
        <v>281</v>
      </c>
      <c r="E809" t="s">
        <v>410</v>
      </c>
      <c r="F809">
        <f>HYPERLINK("https://www.wikidata.org/wiki/Q33528422", "Q33528422")</f>
        <v>0</v>
      </c>
      <c r="G809" t="s">
        <v>1112</v>
      </c>
      <c r="H809" t="s">
        <v>5853</v>
      </c>
      <c r="I809" t="s">
        <v>9666</v>
      </c>
      <c r="J809" t="s">
        <v>11846</v>
      </c>
      <c r="K809" t="s">
        <v>16248</v>
      </c>
      <c r="L809">
        <f>HYPERLINK("https://www2.assemblee-nationale.fr/sycomore/fiche/(num_dept)/3204", "3204")</f>
        <v>0</v>
      </c>
      <c r="N809">
        <f>HYPERLINK("https://www.wikidata.org/wiki/Q3143609", "Q3143609")</f>
        <v>0</v>
      </c>
      <c r="O809" t="s">
        <v>19991</v>
      </c>
      <c r="P809" t="s">
        <v>20410</v>
      </c>
      <c r="Q809" t="s">
        <v>20559</v>
      </c>
      <c r="R809" t="s">
        <v>410</v>
      </c>
      <c r="S809">
        <v>2051</v>
      </c>
    </row>
    <row r="810" spans="1:19">
      <c r="A810" t="s">
        <v>20</v>
      </c>
      <c r="B810" t="s">
        <v>148</v>
      </c>
      <c r="C810" t="s">
        <v>152</v>
      </c>
      <c r="D810" t="s">
        <v>281</v>
      </c>
      <c r="E810" t="s">
        <v>410</v>
      </c>
      <c r="F810">
        <f>HYPERLINK("https://www.wikidata.org/wiki/Q33528422", "Q33528422")</f>
        <v>0</v>
      </c>
      <c r="G810" t="s">
        <v>1174</v>
      </c>
      <c r="H810" t="s">
        <v>5905</v>
      </c>
      <c r="I810" t="s">
        <v>9693</v>
      </c>
      <c r="J810" t="s">
        <v>11907</v>
      </c>
      <c r="K810" t="s">
        <v>16309</v>
      </c>
      <c r="L810">
        <f>HYPERLINK("https://www2.assemblee-nationale.fr/sycomore/fiche/(num_dept)/3220", "3220")</f>
        <v>0</v>
      </c>
      <c r="N810">
        <f>HYPERLINK("https://www.wikidata.org/wiki/Q3131155", "Q3131155")</f>
        <v>0</v>
      </c>
      <c r="O810" t="s">
        <v>19969</v>
      </c>
      <c r="P810" t="s">
        <v>20402</v>
      </c>
      <c r="Q810" t="s">
        <v>20559</v>
      </c>
      <c r="R810" t="s">
        <v>410</v>
      </c>
      <c r="S810">
        <v>2051</v>
      </c>
    </row>
    <row r="811" spans="1:19">
      <c r="A811" t="s">
        <v>20</v>
      </c>
      <c r="B811" t="s">
        <v>148</v>
      </c>
      <c r="C811" t="s">
        <v>152</v>
      </c>
      <c r="D811" t="s">
        <v>281</v>
      </c>
      <c r="E811" t="s">
        <v>410</v>
      </c>
      <c r="F811">
        <f>HYPERLINK("https://www.wikidata.org/wiki/Q33528422", "Q33528422")</f>
        <v>0</v>
      </c>
      <c r="G811" t="s">
        <v>653</v>
      </c>
      <c r="H811" t="s">
        <v>5412</v>
      </c>
      <c r="I811" t="s">
        <v>9470</v>
      </c>
      <c r="J811" t="s">
        <v>11403</v>
      </c>
      <c r="K811" t="s">
        <v>15805</v>
      </c>
      <c r="L811">
        <f>HYPERLINK("https://www2.assemblee-nationale.fr/sycomore/fiche/(num_dept)/3229", "3229")</f>
        <v>0</v>
      </c>
      <c r="N811">
        <f>HYPERLINK("https://www.wikidata.org/wiki/Q8298734", "Q8298734")</f>
        <v>0</v>
      </c>
      <c r="O811" t="s">
        <v>19956</v>
      </c>
      <c r="P811" t="s">
        <v>20409</v>
      </c>
      <c r="Q811" t="s">
        <v>20559</v>
      </c>
      <c r="R811" t="s">
        <v>410</v>
      </c>
      <c r="S811">
        <v>2051</v>
      </c>
    </row>
    <row r="812" spans="1:19">
      <c r="A812" t="s">
        <v>20</v>
      </c>
      <c r="B812" t="s">
        <v>148</v>
      </c>
      <c r="C812" t="s">
        <v>152</v>
      </c>
      <c r="D812" t="s">
        <v>281</v>
      </c>
      <c r="E812" t="s">
        <v>410</v>
      </c>
      <c r="F812">
        <f>HYPERLINK("https://www.wikidata.org/wiki/Q33528422", "Q33528422")</f>
        <v>0</v>
      </c>
      <c r="G812" t="s">
        <v>654</v>
      </c>
      <c r="H812" t="s">
        <v>5413</v>
      </c>
      <c r="I812" t="s">
        <v>9442</v>
      </c>
      <c r="J812" t="s">
        <v>11404</v>
      </c>
      <c r="K812" t="s">
        <v>15806</v>
      </c>
      <c r="L812">
        <f>HYPERLINK("https://www2.assemblee-nationale.fr/sycomore/fiche/(num_dept)/3240", "3240")</f>
        <v>0</v>
      </c>
      <c r="N812">
        <f>HYPERLINK("https://www.wikidata.org/wiki/Q8311015", "Q8311015")</f>
        <v>0</v>
      </c>
      <c r="O812" t="s">
        <v>20015</v>
      </c>
      <c r="P812" t="s">
        <v>20401</v>
      </c>
      <c r="Q812" t="s">
        <v>20559</v>
      </c>
      <c r="R812" t="s">
        <v>410</v>
      </c>
      <c r="S812">
        <v>2051</v>
      </c>
    </row>
    <row r="813" spans="1:19">
      <c r="A813" t="s">
        <v>20</v>
      </c>
      <c r="B813" t="s">
        <v>148</v>
      </c>
      <c r="C813" t="s">
        <v>152</v>
      </c>
      <c r="D813" t="s">
        <v>281</v>
      </c>
      <c r="E813" t="s">
        <v>410</v>
      </c>
      <c r="F813">
        <f>HYPERLINK("https://www.wikidata.org/wiki/Q33528422", "Q33528422")</f>
        <v>0</v>
      </c>
      <c r="G813" t="s">
        <v>655</v>
      </c>
      <c r="H813" t="s">
        <v>5414</v>
      </c>
      <c r="I813" t="s">
        <v>9407</v>
      </c>
      <c r="J813" t="s">
        <v>11405</v>
      </c>
      <c r="K813" t="s">
        <v>15807</v>
      </c>
      <c r="L813">
        <f>HYPERLINK("https://www2.assemblee-nationale.fr/sycomore/fiche/(num_dept)/3247", "3247")</f>
        <v>0</v>
      </c>
      <c r="N813">
        <f>HYPERLINK("https://www.wikidata.org/wiki/Q3184989", "Q3184989")</f>
        <v>0</v>
      </c>
      <c r="O813" t="s">
        <v>19970</v>
      </c>
      <c r="P813" t="s">
        <v>20413</v>
      </c>
      <c r="Q813" t="s">
        <v>20559</v>
      </c>
      <c r="R813" t="s">
        <v>410</v>
      </c>
      <c r="S813">
        <v>2051</v>
      </c>
    </row>
    <row r="814" spans="1:19">
      <c r="A814" t="s">
        <v>20</v>
      </c>
      <c r="B814" t="s">
        <v>148</v>
      </c>
      <c r="C814" t="s">
        <v>152</v>
      </c>
      <c r="D814" t="s">
        <v>281</v>
      </c>
      <c r="E814" t="s">
        <v>410</v>
      </c>
      <c r="F814">
        <f>HYPERLINK("https://www.wikidata.org/wiki/Q33528422", "Q33528422")</f>
        <v>0</v>
      </c>
      <c r="G814" t="s">
        <v>1175</v>
      </c>
      <c r="H814" t="s">
        <v>5906</v>
      </c>
      <c r="I814" t="s">
        <v>8494</v>
      </c>
      <c r="J814" t="s">
        <v>11908</v>
      </c>
      <c r="K814" t="s">
        <v>16310</v>
      </c>
      <c r="L814">
        <f>HYPERLINK("https://www2.assemblee-nationale.fr/sycomore/fiche/(num_dept)/3254", "3254")</f>
        <v>0</v>
      </c>
      <c r="M814">
        <f>HYPERLINK("https://www.senat.fr/senateur-3eme-republique/gardey_abel0150r3.html", "gardey_abel0150r3")</f>
        <v>0</v>
      </c>
      <c r="N814">
        <f>HYPERLINK("https://www.wikidata.org/wiki/Q2821514", "Q2821514")</f>
        <v>0</v>
      </c>
      <c r="O814" t="s">
        <v>20003</v>
      </c>
      <c r="P814" t="s">
        <v>20413</v>
      </c>
      <c r="Q814" t="s">
        <v>20559</v>
      </c>
      <c r="R814" t="s">
        <v>410</v>
      </c>
      <c r="S814">
        <v>2051</v>
      </c>
    </row>
    <row r="815" spans="1:19">
      <c r="A815" t="s">
        <v>20</v>
      </c>
      <c r="B815" t="s">
        <v>148</v>
      </c>
      <c r="C815" t="s">
        <v>152</v>
      </c>
      <c r="D815" t="s">
        <v>281</v>
      </c>
      <c r="E815" t="s">
        <v>410</v>
      </c>
      <c r="F815">
        <f>HYPERLINK("https://www.wikidata.org/wiki/Q33528422", "Q33528422")</f>
        <v>0</v>
      </c>
      <c r="G815" t="s">
        <v>656</v>
      </c>
      <c r="H815" t="s">
        <v>5415</v>
      </c>
      <c r="I815" t="s">
        <v>9471</v>
      </c>
      <c r="J815" t="s">
        <v>11406</v>
      </c>
      <c r="K815" t="s">
        <v>15808</v>
      </c>
      <c r="L815">
        <f>HYPERLINK("https://www2.assemblee-nationale.fr/sycomore/fiche/(num_dept)/3276", "3276")</f>
        <v>0</v>
      </c>
      <c r="N815">
        <f>HYPERLINK("https://www.wikidata.org/wiki/Q3265516", "Q3265516")</f>
        <v>0</v>
      </c>
      <c r="O815" t="s">
        <v>19963</v>
      </c>
      <c r="P815" t="s">
        <v>20413</v>
      </c>
      <c r="Q815" t="s">
        <v>20559</v>
      </c>
      <c r="R815" t="s">
        <v>410</v>
      </c>
      <c r="S815">
        <v>2051</v>
      </c>
    </row>
    <row r="816" spans="1:19">
      <c r="A816" t="s">
        <v>20</v>
      </c>
      <c r="B816" t="s">
        <v>148</v>
      </c>
      <c r="C816" t="s">
        <v>152</v>
      </c>
      <c r="D816" t="s">
        <v>281</v>
      </c>
      <c r="E816" t="s">
        <v>410</v>
      </c>
      <c r="F816">
        <f>HYPERLINK("https://www.wikidata.org/wiki/Q33528422", "Q33528422")</f>
        <v>0</v>
      </c>
      <c r="G816" t="s">
        <v>658</v>
      </c>
      <c r="H816" t="s">
        <v>5417</v>
      </c>
      <c r="I816" t="s">
        <v>7642</v>
      </c>
      <c r="J816" t="s">
        <v>11408</v>
      </c>
      <c r="K816" t="s">
        <v>15810</v>
      </c>
      <c r="L816">
        <f>HYPERLINK("https://www2.assemblee-nationale.fr/sycomore/fiche/(num_dept)/3362", "3362")</f>
        <v>0</v>
      </c>
      <c r="N816">
        <f>HYPERLINK("https://www.wikidata.org/wiki/Q3300885", "Q3300885")</f>
        <v>0</v>
      </c>
      <c r="O816" t="s">
        <v>20009</v>
      </c>
      <c r="P816" t="s">
        <v>20408</v>
      </c>
      <c r="Q816" t="s">
        <v>20559</v>
      </c>
      <c r="R816" t="s">
        <v>410</v>
      </c>
      <c r="S816">
        <v>2051</v>
      </c>
    </row>
    <row r="817" spans="1:19">
      <c r="A817" t="s">
        <v>20</v>
      </c>
      <c r="B817" t="s">
        <v>148</v>
      </c>
      <c r="C817" t="s">
        <v>152</v>
      </c>
      <c r="D817" t="s">
        <v>281</v>
      </c>
      <c r="E817" t="s">
        <v>410</v>
      </c>
      <c r="F817">
        <f>HYPERLINK("https://www.wikidata.org/wiki/Q33528422", "Q33528422")</f>
        <v>0</v>
      </c>
      <c r="G817" t="s">
        <v>661</v>
      </c>
      <c r="H817" t="s">
        <v>5420</v>
      </c>
      <c r="I817" t="s">
        <v>9385</v>
      </c>
      <c r="J817" t="s">
        <v>11411</v>
      </c>
      <c r="K817" t="s">
        <v>15813</v>
      </c>
      <c r="L817">
        <f>HYPERLINK("https://www2.assemblee-nationale.fr/sycomore/fiche/(num_dept)/3418", "3418")</f>
        <v>0</v>
      </c>
      <c r="N817">
        <f>HYPERLINK("https://www.wikidata.org/wiki/Q2959214", "Q2959214")</f>
        <v>0</v>
      </c>
      <c r="O817" t="s">
        <v>20023</v>
      </c>
      <c r="P817" t="s">
        <v>20409</v>
      </c>
      <c r="Q817" t="s">
        <v>20559</v>
      </c>
      <c r="R817" t="s">
        <v>410</v>
      </c>
      <c r="S817">
        <v>2051</v>
      </c>
    </row>
    <row r="818" spans="1:19">
      <c r="A818" t="s">
        <v>20</v>
      </c>
      <c r="B818" t="s">
        <v>148</v>
      </c>
      <c r="C818" t="s">
        <v>152</v>
      </c>
      <c r="D818" t="s">
        <v>281</v>
      </c>
      <c r="E818" t="s">
        <v>410</v>
      </c>
      <c r="F818">
        <f>HYPERLINK("https://www.wikidata.org/wiki/Q33528422", "Q33528422")</f>
        <v>0</v>
      </c>
      <c r="G818" t="s">
        <v>1115</v>
      </c>
      <c r="H818" t="s">
        <v>5856</v>
      </c>
      <c r="I818" t="s">
        <v>9552</v>
      </c>
      <c r="J818" t="s">
        <v>11849</v>
      </c>
      <c r="K818" t="s">
        <v>16251</v>
      </c>
      <c r="L818">
        <f>HYPERLINK("https://www2.assemblee-nationale.fr/sycomore/fiche/(num_dept)/3427", "3427")</f>
        <v>0</v>
      </c>
      <c r="N818">
        <f>HYPERLINK("https://www.wikidata.org/wiki/Q16025776", "Q16025776")</f>
        <v>0</v>
      </c>
      <c r="O818" t="s">
        <v>19990</v>
      </c>
      <c r="P818" t="s">
        <v>20413</v>
      </c>
      <c r="Q818" t="s">
        <v>20559</v>
      </c>
      <c r="R818" t="s">
        <v>410</v>
      </c>
      <c r="S818">
        <v>2051</v>
      </c>
    </row>
    <row r="819" spans="1:19">
      <c r="A819" t="s">
        <v>20</v>
      </c>
      <c r="B819" t="s">
        <v>148</v>
      </c>
      <c r="C819" t="s">
        <v>152</v>
      </c>
      <c r="D819" t="s">
        <v>281</v>
      </c>
      <c r="E819" t="s">
        <v>410</v>
      </c>
      <c r="F819">
        <f>HYPERLINK("https://www.wikidata.org/wiki/Q33528422", "Q33528422")</f>
        <v>0</v>
      </c>
      <c r="G819" t="s">
        <v>1176</v>
      </c>
      <c r="H819" t="s">
        <v>5907</v>
      </c>
      <c r="I819" t="s">
        <v>9694</v>
      </c>
      <c r="J819" t="s">
        <v>11909</v>
      </c>
      <c r="K819" t="s">
        <v>16311</v>
      </c>
      <c r="L819">
        <f>HYPERLINK("https://www2.assemblee-nationale.fr/sycomore/fiche/(num_dept)/3433", "3433")</f>
        <v>0</v>
      </c>
      <c r="N819">
        <f>HYPERLINK("https://www.wikidata.org/wiki/Q16025773", "Q16025773")</f>
        <v>0</v>
      </c>
      <c r="O819" t="s">
        <v>19988</v>
      </c>
      <c r="P819" t="s">
        <v>20413</v>
      </c>
      <c r="Q819" t="s">
        <v>20559</v>
      </c>
      <c r="R819" t="s">
        <v>410</v>
      </c>
      <c r="S819">
        <v>2051</v>
      </c>
    </row>
    <row r="820" spans="1:19">
      <c r="A820" t="s">
        <v>20</v>
      </c>
      <c r="B820" t="s">
        <v>148</v>
      </c>
      <c r="C820" t="s">
        <v>152</v>
      </c>
      <c r="D820" t="s">
        <v>281</v>
      </c>
      <c r="E820" t="s">
        <v>410</v>
      </c>
      <c r="F820">
        <f>HYPERLINK("https://www.wikidata.org/wiki/Q33528422", "Q33528422")</f>
        <v>0</v>
      </c>
      <c r="G820" t="s">
        <v>663</v>
      </c>
      <c r="H820" t="s">
        <v>5422</v>
      </c>
      <c r="I820" t="s">
        <v>9475</v>
      </c>
      <c r="J820" t="s">
        <v>11413</v>
      </c>
      <c r="K820" t="s">
        <v>15815</v>
      </c>
      <c r="L820">
        <f>HYPERLINK("https://www2.assemblee-nationale.fr/sycomore/fiche/(num_dept)/3443", "3443")</f>
        <v>0</v>
      </c>
      <c r="N820">
        <f>HYPERLINK("https://www.wikidata.org/wiki/Q16025783", "Q16025783")</f>
        <v>0</v>
      </c>
      <c r="O820" t="s">
        <v>19973</v>
      </c>
      <c r="P820" t="s">
        <v>20413</v>
      </c>
      <c r="Q820" t="s">
        <v>20559</v>
      </c>
      <c r="R820" t="s">
        <v>410</v>
      </c>
      <c r="S820">
        <v>2051</v>
      </c>
    </row>
    <row r="821" spans="1:19">
      <c r="A821" t="s">
        <v>20</v>
      </c>
      <c r="B821" t="s">
        <v>148</v>
      </c>
      <c r="C821" t="s">
        <v>152</v>
      </c>
      <c r="D821" t="s">
        <v>281</v>
      </c>
      <c r="E821" t="s">
        <v>410</v>
      </c>
      <c r="F821">
        <f>HYPERLINK("https://www.wikidata.org/wiki/Q33528422", "Q33528422")</f>
        <v>0</v>
      </c>
      <c r="G821" t="s">
        <v>966</v>
      </c>
      <c r="H821" t="s">
        <v>5718</v>
      </c>
      <c r="I821" t="s">
        <v>9605</v>
      </c>
      <c r="J821" t="s">
        <v>11705</v>
      </c>
      <c r="K821" t="s">
        <v>16108</v>
      </c>
      <c r="L821">
        <f>HYPERLINK("https://www2.assemblee-nationale.fr/sycomore/fiche/(num_dept)/3460", "3460")</f>
        <v>0</v>
      </c>
      <c r="M821">
        <f>HYPERLINK("https://www.senat.fr/senateur-3eme-republique/godart_justin1138r3.html", "godart_justin1138r3")</f>
        <v>0</v>
      </c>
      <c r="N821">
        <f>HYPERLINK("https://www.wikidata.org/wiki/Q3190446", "Q3190446")</f>
        <v>0</v>
      </c>
      <c r="O821" t="s">
        <v>19965</v>
      </c>
      <c r="P821" t="s">
        <v>20413</v>
      </c>
      <c r="Q821" t="s">
        <v>20559</v>
      </c>
      <c r="R821" t="s">
        <v>410</v>
      </c>
      <c r="S821">
        <v>2051</v>
      </c>
    </row>
    <row r="822" spans="1:19">
      <c r="A822" t="s">
        <v>20</v>
      </c>
      <c r="B822" t="s">
        <v>148</v>
      </c>
      <c r="C822" t="s">
        <v>152</v>
      </c>
      <c r="D822" t="s">
        <v>281</v>
      </c>
      <c r="E822" t="s">
        <v>410</v>
      </c>
      <c r="F822">
        <f>HYPERLINK("https://www.wikidata.org/wiki/Q33528422", "Q33528422")</f>
        <v>0</v>
      </c>
      <c r="G822" t="s">
        <v>664</v>
      </c>
      <c r="H822" t="s">
        <v>5423</v>
      </c>
      <c r="I822" t="s">
        <v>9385</v>
      </c>
      <c r="J822" t="s">
        <v>11414</v>
      </c>
      <c r="K822" t="s">
        <v>15816</v>
      </c>
      <c r="L822">
        <f>HYPERLINK("https://www2.assemblee-nationale.fr/sycomore/fiche/(num_dept)/3477", "3477")</f>
        <v>0</v>
      </c>
      <c r="N822">
        <f>HYPERLINK("https://www.wikidata.org/wiki/Q16025794", "Q16025794")</f>
        <v>0</v>
      </c>
      <c r="O822" t="s">
        <v>20013</v>
      </c>
      <c r="P822" t="s">
        <v>20404</v>
      </c>
      <c r="Q822" t="s">
        <v>20559</v>
      </c>
      <c r="R822" t="s">
        <v>410</v>
      </c>
      <c r="S822">
        <v>2051</v>
      </c>
    </row>
    <row r="823" spans="1:19">
      <c r="A823" t="s">
        <v>20</v>
      </c>
      <c r="B823" t="s">
        <v>148</v>
      </c>
      <c r="C823" t="s">
        <v>152</v>
      </c>
      <c r="D823" t="s">
        <v>281</v>
      </c>
      <c r="E823" t="s">
        <v>410</v>
      </c>
      <c r="F823">
        <f>HYPERLINK("https://www.wikidata.org/wiki/Q33528422", "Q33528422")</f>
        <v>0</v>
      </c>
      <c r="G823" t="s">
        <v>968</v>
      </c>
      <c r="H823" t="s">
        <v>5720</v>
      </c>
      <c r="I823" t="s">
        <v>9389</v>
      </c>
      <c r="J823" t="s">
        <v>11707</v>
      </c>
      <c r="K823" t="s">
        <v>16110</v>
      </c>
      <c r="L823">
        <f>HYPERLINK("https://www2.assemblee-nationale.fr/sycomore/fiche/(num_dept)/3491", "3491")</f>
        <v>0</v>
      </c>
      <c r="N823">
        <f>HYPERLINK("https://www.wikidata.org/wiki/Q3588541", "Q3588541")</f>
        <v>0</v>
      </c>
      <c r="O823" t="s">
        <v>20011</v>
      </c>
      <c r="P823" t="s">
        <v>20404</v>
      </c>
      <c r="Q823" t="s">
        <v>20559</v>
      </c>
      <c r="R823" t="s">
        <v>410</v>
      </c>
      <c r="S823">
        <v>2051</v>
      </c>
    </row>
    <row r="824" spans="1:19">
      <c r="A824" t="s">
        <v>20</v>
      </c>
      <c r="B824" t="s">
        <v>148</v>
      </c>
      <c r="C824" t="s">
        <v>152</v>
      </c>
      <c r="D824" t="s">
        <v>281</v>
      </c>
      <c r="E824" t="s">
        <v>410</v>
      </c>
      <c r="F824">
        <f>HYPERLINK("https://www.wikidata.org/wiki/Q33528422", "Q33528422")</f>
        <v>0</v>
      </c>
      <c r="G824" t="s">
        <v>665</v>
      </c>
      <c r="H824" t="s">
        <v>5424</v>
      </c>
      <c r="I824" t="s">
        <v>6860</v>
      </c>
      <c r="J824" t="s">
        <v>11415</v>
      </c>
      <c r="K824" t="s">
        <v>15817</v>
      </c>
      <c r="L824">
        <f>HYPERLINK("https://www2.assemblee-nationale.fr/sycomore/fiche/(num_dept)/3501", "3501")</f>
        <v>0</v>
      </c>
      <c r="N824">
        <f>HYPERLINK("https://www.wikidata.org/wiki/Q3385281", "Q3385281")</f>
        <v>0</v>
      </c>
      <c r="O824" t="s">
        <v>19986</v>
      </c>
      <c r="P824" t="s">
        <v>20401</v>
      </c>
      <c r="Q824" t="s">
        <v>20559</v>
      </c>
      <c r="R824" t="s">
        <v>15817</v>
      </c>
      <c r="S824">
        <v>121</v>
      </c>
    </row>
    <row r="825" spans="1:19">
      <c r="A825" t="s">
        <v>20</v>
      </c>
      <c r="B825" t="s">
        <v>148</v>
      </c>
      <c r="C825" t="s">
        <v>152</v>
      </c>
      <c r="D825" t="s">
        <v>281</v>
      </c>
      <c r="E825" t="s">
        <v>410</v>
      </c>
      <c r="F825">
        <f>HYPERLINK("https://www.wikidata.org/wiki/Q33528422", "Q33528422")</f>
        <v>0</v>
      </c>
      <c r="G825" t="s">
        <v>666</v>
      </c>
      <c r="H825" t="s">
        <v>5425</v>
      </c>
      <c r="I825" t="s">
        <v>9426</v>
      </c>
      <c r="J825" t="s">
        <v>11416</v>
      </c>
      <c r="K825" t="s">
        <v>15818</v>
      </c>
      <c r="L825">
        <f>HYPERLINK("https://www2.assemblee-nationale.fr/sycomore/fiche/(num_dept)/3508", "3508")</f>
        <v>0</v>
      </c>
      <c r="N825">
        <f>HYPERLINK("https://www.wikidata.org/wiki/Q13626920", "Q13626920")</f>
        <v>0</v>
      </c>
      <c r="O825" t="s">
        <v>19965</v>
      </c>
      <c r="P825" t="s">
        <v>20414</v>
      </c>
      <c r="Q825" t="s">
        <v>20559</v>
      </c>
      <c r="R825" t="s">
        <v>410</v>
      </c>
      <c r="S825">
        <v>2051</v>
      </c>
    </row>
    <row r="826" spans="1:19">
      <c r="A826" t="s">
        <v>20</v>
      </c>
      <c r="B826" t="s">
        <v>148</v>
      </c>
      <c r="C826" t="s">
        <v>152</v>
      </c>
      <c r="D826" t="s">
        <v>281</v>
      </c>
      <c r="E826" t="s">
        <v>410</v>
      </c>
      <c r="F826">
        <f>HYPERLINK("https://www.wikidata.org/wiki/Q33528422", "Q33528422")</f>
        <v>0</v>
      </c>
      <c r="G826" t="s">
        <v>1177</v>
      </c>
      <c r="H826" t="s">
        <v>5908</v>
      </c>
      <c r="I826" t="s">
        <v>9552</v>
      </c>
      <c r="J826" t="s">
        <v>11910</v>
      </c>
      <c r="K826" t="s">
        <v>16312</v>
      </c>
      <c r="L826">
        <f>HYPERLINK("https://www2.assemblee-nationale.fr/sycomore/fiche/(num_dept)/3519", "3519")</f>
        <v>0</v>
      </c>
      <c r="N826">
        <f>HYPERLINK("https://www.wikidata.org/wiki/Q8331251", "Q8331251")</f>
        <v>0</v>
      </c>
      <c r="O826" t="s">
        <v>19976</v>
      </c>
      <c r="P826" t="s">
        <v>20413</v>
      </c>
      <c r="Q826" t="s">
        <v>20559</v>
      </c>
      <c r="R826" t="s">
        <v>410</v>
      </c>
      <c r="S826">
        <v>2051</v>
      </c>
    </row>
    <row r="827" spans="1:19">
      <c r="A827" t="s">
        <v>20</v>
      </c>
      <c r="B827" t="s">
        <v>148</v>
      </c>
      <c r="C827" t="s">
        <v>152</v>
      </c>
      <c r="D827" t="s">
        <v>281</v>
      </c>
      <c r="E827" t="s">
        <v>410</v>
      </c>
      <c r="F827">
        <f>HYPERLINK("https://www.wikidata.org/wiki/Q33528422", "Q33528422")</f>
        <v>0</v>
      </c>
      <c r="G827" t="s">
        <v>1178</v>
      </c>
      <c r="H827" t="s">
        <v>5909</v>
      </c>
      <c r="I827" t="s">
        <v>9695</v>
      </c>
      <c r="J827" t="s">
        <v>11911</v>
      </c>
      <c r="K827" t="s">
        <v>16313</v>
      </c>
      <c r="L827">
        <f>HYPERLINK("https://www2.assemblee-nationale.fr/sycomore/fiche/(num_dept)/3526", "3526")</f>
        <v>0</v>
      </c>
      <c r="N827">
        <f>HYPERLINK("https://www.wikidata.org/wiki/Q3185031", "Q3185031")</f>
        <v>0</v>
      </c>
      <c r="O827" t="s">
        <v>19961</v>
      </c>
      <c r="P827" t="s">
        <v>20408</v>
      </c>
      <c r="Q827" t="s">
        <v>20559</v>
      </c>
      <c r="R827" t="s">
        <v>410</v>
      </c>
      <c r="S827">
        <v>2051</v>
      </c>
    </row>
    <row r="828" spans="1:19">
      <c r="A828" t="s">
        <v>20</v>
      </c>
      <c r="B828" t="s">
        <v>148</v>
      </c>
      <c r="C828" t="s">
        <v>152</v>
      </c>
      <c r="D828" t="s">
        <v>281</v>
      </c>
      <c r="E828" t="s">
        <v>410</v>
      </c>
      <c r="F828">
        <f>HYPERLINK("https://www.wikidata.org/wiki/Q33528422", "Q33528422")</f>
        <v>0</v>
      </c>
      <c r="G828" t="s">
        <v>668</v>
      </c>
      <c r="H828" t="s">
        <v>5427</v>
      </c>
      <c r="I828" t="s">
        <v>6175</v>
      </c>
      <c r="J828" t="s">
        <v>11418</v>
      </c>
      <c r="K828" t="s">
        <v>15820</v>
      </c>
      <c r="L828">
        <f>HYPERLINK("https://www2.assemblee-nationale.fr/sycomore/fiche/(num_dept)/3542", "3542")</f>
        <v>0</v>
      </c>
      <c r="M828">
        <f>HYPERLINK("https://www.senat.fr/senateur-3eme-republique/de_grandmaison_georges1070r3.html", "de_grandmaison_georges1070r3")</f>
        <v>0</v>
      </c>
      <c r="N828">
        <f>HYPERLINK("https://www.wikidata.org/wiki/Q3103201", "Q3103201")</f>
        <v>0</v>
      </c>
      <c r="O828" t="s">
        <v>19980</v>
      </c>
      <c r="P828" t="s">
        <v>20414</v>
      </c>
      <c r="Q828" t="s">
        <v>20559</v>
      </c>
      <c r="R828" t="s">
        <v>410</v>
      </c>
      <c r="S828">
        <v>2051</v>
      </c>
    </row>
    <row r="829" spans="1:19">
      <c r="A829" t="s">
        <v>20</v>
      </c>
      <c r="B829" t="s">
        <v>148</v>
      </c>
      <c r="C829" t="s">
        <v>152</v>
      </c>
      <c r="D829" t="s">
        <v>281</v>
      </c>
      <c r="E829" t="s">
        <v>410</v>
      </c>
      <c r="F829">
        <f>HYPERLINK("https://www.wikidata.org/wiki/Q33528422", "Q33528422")</f>
        <v>0</v>
      </c>
      <c r="G829" t="s">
        <v>669</v>
      </c>
      <c r="H829" t="s">
        <v>5428</v>
      </c>
      <c r="I829" t="s">
        <v>6584</v>
      </c>
      <c r="J829" t="s">
        <v>11419</v>
      </c>
      <c r="K829" t="s">
        <v>320</v>
      </c>
      <c r="L829">
        <f>HYPERLINK("https://www2.assemblee-nationale.fr/sycomore/fiche/(num_dept)/3594", "3594")</f>
        <v>0</v>
      </c>
      <c r="N829">
        <f>HYPERLINK("https://www.wikidata.org/wiki/Q3260991", "Q3260991")</f>
        <v>0</v>
      </c>
      <c r="O829" t="s">
        <v>20029</v>
      </c>
      <c r="P829" t="s">
        <v>20406</v>
      </c>
      <c r="Q829" t="s">
        <v>20559</v>
      </c>
      <c r="R829" t="s">
        <v>410</v>
      </c>
      <c r="S829">
        <v>2051</v>
      </c>
    </row>
    <row r="830" spans="1:19">
      <c r="A830" t="s">
        <v>20</v>
      </c>
      <c r="B830" t="s">
        <v>148</v>
      </c>
      <c r="C830" t="s">
        <v>152</v>
      </c>
      <c r="D830" t="s">
        <v>281</v>
      </c>
      <c r="E830" t="s">
        <v>410</v>
      </c>
      <c r="F830">
        <f>HYPERLINK("https://www.wikidata.org/wiki/Q33528422", "Q33528422")</f>
        <v>0</v>
      </c>
      <c r="G830" t="s">
        <v>1179</v>
      </c>
      <c r="H830" t="s">
        <v>5910</v>
      </c>
      <c r="I830" t="s">
        <v>9388</v>
      </c>
      <c r="J830" t="s">
        <v>11912</v>
      </c>
      <c r="K830" t="s">
        <v>16314</v>
      </c>
      <c r="L830">
        <f>HYPERLINK("https://www2.assemblee-nationale.fr/sycomore/fiche/(num_dept)/3611", "3611")</f>
        <v>0</v>
      </c>
      <c r="N830">
        <f>HYPERLINK("https://www.wikidata.org/wiki/Q8344003", "Q8344003")</f>
        <v>0</v>
      </c>
      <c r="O830" t="s">
        <v>20002</v>
      </c>
      <c r="P830" t="s">
        <v>20413</v>
      </c>
      <c r="Q830" t="s">
        <v>20559</v>
      </c>
      <c r="R830" t="s">
        <v>410</v>
      </c>
      <c r="S830">
        <v>2051</v>
      </c>
    </row>
    <row r="831" spans="1:19">
      <c r="A831" t="s">
        <v>20</v>
      </c>
      <c r="B831" t="s">
        <v>148</v>
      </c>
      <c r="C831" t="s">
        <v>152</v>
      </c>
      <c r="D831" t="s">
        <v>281</v>
      </c>
      <c r="E831" t="s">
        <v>410</v>
      </c>
      <c r="F831">
        <f>HYPERLINK("https://www.wikidata.org/wiki/Q33528422", "Q33528422")</f>
        <v>0</v>
      </c>
      <c r="G831" t="s">
        <v>672</v>
      </c>
      <c r="H831" t="s">
        <v>5431</v>
      </c>
      <c r="I831" t="s">
        <v>9385</v>
      </c>
      <c r="J831" t="s">
        <v>11422</v>
      </c>
      <c r="K831" t="s">
        <v>15823</v>
      </c>
      <c r="L831">
        <f>HYPERLINK("https://www2.assemblee-nationale.fr/sycomore/fiche/(num_dept)/3634", "3634")</f>
        <v>0</v>
      </c>
      <c r="N831">
        <f>HYPERLINK("https://www.wikidata.org/wiki/Q2959267", "Q2959267")</f>
        <v>0</v>
      </c>
      <c r="O831" t="s">
        <v>19998</v>
      </c>
      <c r="P831" t="s">
        <v>20401</v>
      </c>
      <c r="Q831" t="s">
        <v>20559</v>
      </c>
      <c r="R831" t="s">
        <v>410</v>
      </c>
      <c r="S831">
        <v>2051</v>
      </c>
    </row>
    <row r="832" spans="1:19">
      <c r="A832" t="s">
        <v>20</v>
      </c>
      <c r="B832" t="s">
        <v>148</v>
      </c>
      <c r="C832" t="s">
        <v>152</v>
      </c>
      <c r="D832" t="s">
        <v>281</v>
      </c>
      <c r="E832" t="s">
        <v>410</v>
      </c>
      <c r="F832">
        <f>HYPERLINK("https://www.wikidata.org/wiki/Q33528422", "Q33528422")</f>
        <v>0</v>
      </c>
      <c r="G832" t="s">
        <v>673</v>
      </c>
      <c r="H832" t="s">
        <v>5432</v>
      </c>
      <c r="I832" t="s">
        <v>9449</v>
      </c>
      <c r="J832" t="s">
        <v>11423</v>
      </c>
      <c r="K832" t="s">
        <v>15824</v>
      </c>
      <c r="L832">
        <f>HYPERLINK("https://www2.assemblee-nationale.fr/sycomore/fiche/(num_dept)/3638", "3638")</f>
        <v>0</v>
      </c>
      <c r="N832">
        <f>HYPERLINK("https://www.wikidata.org/wiki/Q379699", "Q379699")</f>
        <v>0</v>
      </c>
      <c r="O832" t="s">
        <v>20013</v>
      </c>
      <c r="P832" t="s">
        <v>20404</v>
      </c>
      <c r="Q832" t="s">
        <v>20559</v>
      </c>
      <c r="R832" t="s">
        <v>410</v>
      </c>
      <c r="S832">
        <v>2051</v>
      </c>
    </row>
    <row r="833" spans="1:19">
      <c r="A833" t="s">
        <v>20</v>
      </c>
      <c r="B833" t="s">
        <v>148</v>
      </c>
      <c r="C833" t="s">
        <v>152</v>
      </c>
      <c r="D833" t="s">
        <v>281</v>
      </c>
      <c r="E833" t="s">
        <v>410</v>
      </c>
      <c r="F833">
        <f>HYPERLINK("https://www.wikidata.org/wiki/Q33528422", "Q33528422")</f>
        <v>0</v>
      </c>
      <c r="G833" t="s">
        <v>674</v>
      </c>
      <c r="H833" t="s">
        <v>5433</v>
      </c>
      <c r="I833" t="s">
        <v>5528</v>
      </c>
      <c r="J833" t="s">
        <v>11424</v>
      </c>
      <c r="K833" t="s">
        <v>15825</v>
      </c>
      <c r="L833">
        <f>HYPERLINK("https://www2.assemblee-nationale.fr/sycomore/fiche/(num_dept)/3654", "3654")</f>
        <v>0</v>
      </c>
      <c r="N833">
        <f>HYPERLINK("https://www.wikidata.org/wiki/Q16025827", "Q16025827")</f>
        <v>0</v>
      </c>
      <c r="O833" t="s">
        <v>19970</v>
      </c>
      <c r="P833" t="s">
        <v>20410</v>
      </c>
      <c r="Q833" t="s">
        <v>20559</v>
      </c>
      <c r="R833" t="s">
        <v>410</v>
      </c>
      <c r="S833">
        <v>2051</v>
      </c>
    </row>
    <row r="834" spans="1:19">
      <c r="A834" t="s">
        <v>20</v>
      </c>
      <c r="B834" t="s">
        <v>148</v>
      </c>
      <c r="C834" t="s">
        <v>152</v>
      </c>
      <c r="D834" t="s">
        <v>281</v>
      </c>
      <c r="E834" t="s">
        <v>410</v>
      </c>
      <c r="F834">
        <f>HYPERLINK("https://www.wikidata.org/wiki/Q33528422", "Q33528422")</f>
        <v>0</v>
      </c>
      <c r="G834" t="s">
        <v>972</v>
      </c>
      <c r="H834" t="s">
        <v>5724</v>
      </c>
      <c r="I834" t="s">
        <v>9606</v>
      </c>
      <c r="J834" t="s">
        <v>11710</v>
      </c>
      <c r="K834" t="s">
        <v>16114</v>
      </c>
      <c r="L834">
        <f>HYPERLINK("https://www2.assemblee-nationale.fr/sycomore/fiche/(num_dept)/3693", "3693")</f>
        <v>0</v>
      </c>
      <c r="N834">
        <f>HYPERLINK("https://www.wikidata.org/wiki/Q16025830", "Q16025830")</f>
        <v>0</v>
      </c>
      <c r="O834" t="s">
        <v>19962</v>
      </c>
      <c r="P834" t="s">
        <v>20413</v>
      </c>
      <c r="Q834" t="s">
        <v>20559</v>
      </c>
      <c r="R834" t="s">
        <v>410</v>
      </c>
      <c r="S834">
        <v>2051</v>
      </c>
    </row>
    <row r="835" spans="1:19">
      <c r="A835" t="s">
        <v>20</v>
      </c>
      <c r="B835" t="s">
        <v>148</v>
      </c>
      <c r="C835" t="s">
        <v>152</v>
      </c>
      <c r="D835" t="s">
        <v>281</v>
      </c>
      <c r="E835" t="s">
        <v>410</v>
      </c>
      <c r="F835">
        <f>HYPERLINK("https://www.wikidata.org/wiki/Q33528422", "Q33528422")</f>
        <v>0</v>
      </c>
      <c r="G835" t="s">
        <v>1180</v>
      </c>
      <c r="H835" t="s">
        <v>5911</v>
      </c>
      <c r="I835" t="s">
        <v>9696</v>
      </c>
      <c r="J835" t="s">
        <v>11913</v>
      </c>
      <c r="K835" t="s">
        <v>16315</v>
      </c>
      <c r="L835">
        <f>HYPERLINK("https://www2.assemblee-nationale.fr/sycomore/fiche/(num_dept)/3706", "3706")</f>
        <v>0</v>
      </c>
      <c r="N835">
        <f>HYPERLINK("https://www.wikidata.org/wiki/Q2997242", "Q2997242")</f>
        <v>0</v>
      </c>
      <c r="O835" t="s">
        <v>20011</v>
      </c>
      <c r="Q835" t="s">
        <v>20559</v>
      </c>
      <c r="R835" t="s">
        <v>21383</v>
      </c>
      <c r="S835">
        <v>68</v>
      </c>
    </row>
    <row r="836" spans="1:19">
      <c r="A836" t="s">
        <v>20</v>
      </c>
      <c r="B836" t="s">
        <v>148</v>
      </c>
      <c r="C836" t="s">
        <v>152</v>
      </c>
      <c r="D836" t="s">
        <v>281</v>
      </c>
      <c r="E836" t="s">
        <v>410</v>
      </c>
      <c r="F836">
        <f>HYPERLINK("https://www.wikidata.org/wiki/Q33528422", "Q33528422")</f>
        <v>0</v>
      </c>
      <c r="G836" t="s">
        <v>677</v>
      </c>
      <c r="H836" t="s">
        <v>5436</v>
      </c>
      <c r="I836" t="s">
        <v>9477</v>
      </c>
      <c r="J836" t="s">
        <v>11427</v>
      </c>
      <c r="K836" t="s">
        <v>15828</v>
      </c>
      <c r="L836">
        <f>HYPERLINK("https://www2.assemblee-nationale.fr/sycomore/fiche/(num_dept)/3731", "3731")</f>
        <v>0</v>
      </c>
      <c r="N836">
        <f>HYPERLINK("https://www.wikidata.org/wiki/Q3301571", "Q3301571")</f>
        <v>0</v>
      </c>
      <c r="O836" t="s">
        <v>19998</v>
      </c>
      <c r="P836" t="s">
        <v>20408</v>
      </c>
      <c r="Q836" t="s">
        <v>20559</v>
      </c>
      <c r="R836" t="s">
        <v>15828</v>
      </c>
      <c r="S836">
        <v>1801</v>
      </c>
    </row>
    <row r="837" spans="1:19">
      <c r="A837" t="s">
        <v>20</v>
      </c>
      <c r="B837" t="s">
        <v>148</v>
      </c>
      <c r="C837" t="s">
        <v>152</v>
      </c>
      <c r="D837" t="s">
        <v>281</v>
      </c>
      <c r="E837" t="s">
        <v>410</v>
      </c>
      <c r="F837">
        <f>HYPERLINK("https://www.wikidata.org/wiki/Q33528422", "Q33528422")</f>
        <v>0</v>
      </c>
      <c r="G837" t="s">
        <v>678</v>
      </c>
      <c r="H837" t="s">
        <v>5437</v>
      </c>
      <c r="I837" t="s">
        <v>9442</v>
      </c>
      <c r="J837" t="s">
        <v>11428</v>
      </c>
      <c r="K837" t="s">
        <v>15829</v>
      </c>
      <c r="L837">
        <f>HYPERLINK("https://www2.assemblee-nationale.fr/sycomore/fiche/(num_dept)/3760", "3760")</f>
        <v>0</v>
      </c>
      <c r="M837">
        <f>HYPERLINK("https://www.senat.fr/senateur-3eme-republique/haudos_ernest0650r3.html", "haudos_ernest0650r3")</f>
        <v>0</v>
      </c>
      <c r="N837">
        <f>HYPERLINK("https://www.wikidata.org/wiki/Q3057000", "Q3057000")</f>
        <v>0</v>
      </c>
      <c r="O837" t="s">
        <v>20025</v>
      </c>
      <c r="P837" t="s">
        <v>20413</v>
      </c>
      <c r="Q837" t="s">
        <v>20559</v>
      </c>
      <c r="R837" t="s">
        <v>410</v>
      </c>
      <c r="S837">
        <v>2051</v>
      </c>
    </row>
    <row r="838" spans="1:19">
      <c r="A838" t="s">
        <v>20</v>
      </c>
      <c r="B838" t="s">
        <v>148</v>
      </c>
      <c r="C838" t="s">
        <v>152</v>
      </c>
      <c r="D838" t="s">
        <v>281</v>
      </c>
      <c r="E838" t="s">
        <v>410</v>
      </c>
      <c r="F838">
        <f>HYPERLINK("https://www.wikidata.org/wiki/Q33528422", "Q33528422")</f>
        <v>0</v>
      </c>
      <c r="G838" t="s">
        <v>679</v>
      </c>
      <c r="H838" t="s">
        <v>5438</v>
      </c>
      <c r="I838" t="s">
        <v>6584</v>
      </c>
      <c r="J838" t="s">
        <v>11429</v>
      </c>
      <c r="K838" t="s">
        <v>15830</v>
      </c>
      <c r="L838">
        <f>HYPERLINK("https://www2.assemblee-nationale.fr/sycomore/fiche/(num_dept)/3762", "3762")</f>
        <v>0</v>
      </c>
      <c r="N838">
        <f>HYPERLINK("https://www.wikidata.org/wiki/Q2831231", "Q2831231")</f>
        <v>0</v>
      </c>
      <c r="O838" t="s">
        <v>20015</v>
      </c>
      <c r="P838" t="s">
        <v>20401</v>
      </c>
      <c r="Q838" t="s">
        <v>20559</v>
      </c>
      <c r="R838" t="s">
        <v>410</v>
      </c>
      <c r="S838">
        <v>2051</v>
      </c>
    </row>
    <row r="839" spans="1:19">
      <c r="A839" t="s">
        <v>20</v>
      </c>
      <c r="B839" t="s">
        <v>148</v>
      </c>
      <c r="C839" t="s">
        <v>152</v>
      </c>
      <c r="D839" t="s">
        <v>281</v>
      </c>
      <c r="E839" t="s">
        <v>410</v>
      </c>
      <c r="F839">
        <f>HYPERLINK("https://www.wikidata.org/wiki/Q33528422", "Q33528422")</f>
        <v>0</v>
      </c>
      <c r="G839" t="s">
        <v>681</v>
      </c>
      <c r="H839" t="s">
        <v>5440</v>
      </c>
      <c r="I839" t="s">
        <v>9478</v>
      </c>
      <c r="J839" t="s">
        <v>11431</v>
      </c>
      <c r="K839" t="s">
        <v>15832</v>
      </c>
      <c r="L839">
        <f>HYPERLINK("https://www2.assemblee-nationale.fr/sycomore/fiche/(num_dept)/3794", "3794")</f>
        <v>0</v>
      </c>
      <c r="M839">
        <f>HYPERLINK("https://www.senat.fr/senateur-3eme-republique/hennessy_james0392r3.html", "hennessy_james0392r3")</f>
        <v>0</v>
      </c>
      <c r="N839">
        <f>HYPERLINK("https://www.wikidata.org/wiki/Q3161145", "Q3161145")</f>
        <v>0</v>
      </c>
      <c r="O839" t="s">
        <v>20031</v>
      </c>
      <c r="Q839" t="s">
        <v>20559</v>
      </c>
      <c r="R839" t="s">
        <v>410</v>
      </c>
      <c r="S839">
        <v>2051</v>
      </c>
    </row>
    <row r="840" spans="1:19">
      <c r="A840" t="s">
        <v>20</v>
      </c>
      <c r="B840" t="s">
        <v>148</v>
      </c>
      <c r="C840" t="s">
        <v>152</v>
      </c>
      <c r="D840" t="s">
        <v>281</v>
      </c>
      <c r="E840" t="s">
        <v>410</v>
      </c>
      <c r="F840">
        <f>HYPERLINK("https://www.wikidata.org/wiki/Q33528422", "Q33528422")</f>
        <v>0</v>
      </c>
      <c r="G840" t="s">
        <v>682</v>
      </c>
      <c r="H840" t="s">
        <v>5440</v>
      </c>
      <c r="I840" t="s">
        <v>6200</v>
      </c>
      <c r="J840" t="s">
        <v>11432</v>
      </c>
      <c r="K840" t="s">
        <v>15833</v>
      </c>
      <c r="L840">
        <f>HYPERLINK("https://www2.assemblee-nationale.fr/sycomore/fiche/(num_dept)/3795", "3795")</f>
        <v>0</v>
      </c>
      <c r="N840">
        <f>HYPERLINK("https://www.wikidata.org/wiki/Q554679", "Q554679")</f>
        <v>0</v>
      </c>
      <c r="O840" t="s">
        <v>20031</v>
      </c>
      <c r="P840" t="s">
        <v>20402</v>
      </c>
      <c r="Q840" t="s">
        <v>20559</v>
      </c>
      <c r="R840" t="s">
        <v>410</v>
      </c>
      <c r="S840">
        <v>2051</v>
      </c>
    </row>
    <row r="841" spans="1:19">
      <c r="A841" t="s">
        <v>20</v>
      </c>
      <c r="B841" t="s">
        <v>148</v>
      </c>
      <c r="C841" t="s">
        <v>152</v>
      </c>
      <c r="D841" t="s">
        <v>281</v>
      </c>
      <c r="E841" t="s">
        <v>410</v>
      </c>
      <c r="F841">
        <f>HYPERLINK("https://www.wikidata.org/wiki/Q33528422", "Q33528422")</f>
        <v>0</v>
      </c>
      <c r="G841" t="s">
        <v>683</v>
      </c>
      <c r="H841" t="s">
        <v>5441</v>
      </c>
      <c r="I841" t="s">
        <v>9479</v>
      </c>
      <c r="J841" t="s">
        <v>11433</v>
      </c>
      <c r="K841" t="s">
        <v>15834</v>
      </c>
      <c r="L841">
        <f>HYPERLINK("https://www2.assemblee-nationale.fr/sycomore/fiche/(num_dept)/3809", "3809")</f>
        <v>0</v>
      </c>
      <c r="N841">
        <f>HYPERLINK("https://www.wikidata.org/wiki/Q3552173", "Q3552173")</f>
        <v>0</v>
      </c>
      <c r="O841" t="s">
        <v>19984</v>
      </c>
      <c r="P841" t="s">
        <v>20408</v>
      </c>
      <c r="Q841" t="s">
        <v>20559</v>
      </c>
      <c r="R841" t="s">
        <v>15834</v>
      </c>
      <c r="S841">
        <v>1352</v>
      </c>
    </row>
    <row r="842" spans="1:19">
      <c r="A842" t="s">
        <v>20</v>
      </c>
      <c r="B842" t="s">
        <v>148</v>
      </c>
      <c r="C842" t="s">
        <v>152</v>
      </c>
      <c r="D842" t="s">
        <v>281</v>
      </c>
      <c r="E842" t="s">
        <v>410</v>
      </c>
      <c r="F842">
        <f>HYPERLINK("https://www.wikidata.org/wiki/Q33528422", "Q33528422")</f>
        <v>0</v>
      </c>
      <c r="G842" t="s">
        <v>686</v>
      </c>
      <c r="H842" t="s">
        <v>5444</v>
      </c>
      <c r="I842" t="s">
        <v>6585</v>
      </c>
      <c r="J842" t="s">
        <v>11436</v>
      </c>
      <c r="K842" t="s">
        <v>15837</v>
      </c>
      <c r="L842">
        <f>HYPERLINK("https://www2.assemblee-nationale.fr/sycomore/fiche/(num_dept)/3859", "3859")</f>
        <v>0</v>
      </c>
      <c r="M842">
        <f>HYPERLINK("https://www.senat.fr/senateur-3eme-republique/honnorat_andre0070r3.html", "honnorat_andre0070r3")</f>
        <v>0</v>
      </c>
      <c r="N842">
        <f>HYPERLINK("https://www.wikidata.org/wiki/Q23762", "Q23762")</f>
        <v>0</v>
      </c>
      <c r="O842" t="s">
        <v>20033</v>
      </c>
      <c r="P842" t="s">
        <v>20401</v>
      </c>
      <c r="Q842" t="s">
        <v>20559</v>
      </c>
      <c r="R842" t="s">
        <v>410</v>
      </c>
      <c r="S842">
        <v>2051</v>
      </c>
    </row>
    <row r="843" spans="1:19">
      <c r="A843" t="s">
        <v>20</v>
      </c>
      <c r="B843" t="s">
        <v>148</v>
      </c>
      <c r="C843" t="s">
        <v>152</v>
      </c>
      <c r="D843" t="s">
        <v>281</v>
      </c>
      <c r="E843" t="s">
        <v>410</v>
      </c>
      <c r="F843">
        <f>HYPERLINK("https://www.wikidata.org/wiki/Q33528422", "Q33528422")</f>
        <v>0</v>
      </c>
      <c r="G843" t="s">
        <v>1117</v>
      </c>
      <c r="H843" t="s">
        <v>5857</v>
      </c>
      <c r="I843" t="s">
        <v>9668</v>
      </c>
      <c r="J843" t="s">
        <v>11851</v>
      </c>
      <c r="K843" t="s">
        <v>16253</v>
      </c>
      <c r="L843">
        <f>HYPERLINK("https://www2.assemblee-nationale.fr/sycomore/fiche/(num_dept)/3867", "3867")</f>
        <v>0</v>
      </c>
      <c r="N843">
        <f>HYPERLINK("https://www.wikidata.org/wiki/Q16626204", "Q16626204")</f>
        <v>0</v>
      </c>
      <c r="O843" t="s">
        <v>20000</v>
      </c>
      <c r="P843" t="s">
        <v>20402</v>
      </c>
      <c r="Q843" t="s">
        <v>20559</v>
      </c>
      <c r="R843" t="s">
        <v>410</v>
      </c>
      <c r="S843">
        <v>2051</v>
      </c>
    </row>
    <row r="844" spans="1:19">
      <c r="A844" t="s">
        <v>20</v>
      </c>
      <c r="B844" t="s">
        <v>148</v>
      </c>
      <c r="C844" t="s">
        <v>152</v>
      </c>
      <c r="D844" t="s">
        <v>281</v>
      </c>
      <c r="E844" t="s">
        <v>410</v>
      </c>
      <c r="F844">
        <f>HYPERLINK("https://www.wikidata.org/wiki/Q33528422", "Q33528422")</f>
        <v>0</v>
      </c>
      <c r="G844" t="s">
        <v>1181</v>
      </c>
      <c r="H844" t="s">
        <v>5912</v>
      </c>
      <c r="I844" t="s">
        <v>6860</v>
      </c>
      <c r="J844" t="s">
        <v>11914</v>
      </c>
      <c r="K844" t="s">
        <v>314</v>
      </c>
      <c r="L844">
        <f>HYPERLINK("https://www2.assemblee-nationale.fr/sycomore/fiche/(num_dept)/3891", "3891")</f>
        <v>0</v>
      </c>
      <c r="N844">
        <f>HYPERLINK("https://www.wikidata.org/wiki/Q16025855", "Q16025855")</f>
        <v>0</v>
      </c>
      <c r="O844" t="s">
        <v>19966</v>
      </c>
      <c r="P844" t="s">
        <v>20413</v>
      </c>
      <c r="Q844" t="s">
        <v>20559</v>
      </c>
      <c r="R844" t="s">
        <v>410</v>
      </c>
      <c r="S844">
        <v>2051</v>
      </c>
    </row>
    <row r="845" spans="1:19">
      <c r="A845" t="s">
        <v>20</v>
      </c>
      <c r="B845" t="s">
        <v>148</v>
      </c>
      <c r="C845" t="s">
        <v>152</v>
      </c>
      <c r="D845" t="s">
        <v>281</v>
      </c>
      <c r="E845" t="s">
        <v>410</v>
      </c>
      <c r="F845">
        <f>HYPERLINK("https://www.wikidata.org/wiki/Q33528422", "Q33528422")</f>
        <v>0</v>
      </c>
      <c r="G845" t="s">
        <v>688</v>
      </c>
      <c r="H845" t="s">
        <v>5446</v>
      </c>
      <c r="I845" t="s">
        <v>9480</v>
      </c>
      <c r="J845" t="s">
        <v>11438</v>
      </c>
      <c r="K845" t="s">
        <v>15839</v>
      </c>
      <c r="L845">
        <f>HYPERLINK("https://www2.assemblee-nationale.fr/sycomore/fiche/(num_dept)/3936", "3936")</f>
        <v>0</v>
      </c>
      <c r="N845">
        <f>HYPERLINK("https://www.wikidata.org/wiki/Q3263360", "Q3263360")</f>
        <v>0</v>
      </c>
      <c r="O845" t="s">
        <v>19970</v>
      </c>
      <c r="P845" t="s">
        <v>20412</v>
      </c>
      <c r="Q845" t="s">
        <v>20559</v>
      </c>
      <c r="R845" t="s">
        <v>410</v>
      </c>
      <c r="S845">
        <v>2051</v>
      </c>
    </row>
    <row r="846" spans="1:19">
      <c r="A846" t="s">
        <v>20</v>
      </c>
      <c r="B846" t="s">
        <v>148</v>
      </c>
      <c r="C846" t="s">
        <v>152</v>
      </c>
      <c r="D846" t="s">
        <v>281</v>
      </c>
      <c r="E846" t="s">
        <v>410</v>
      </c>
      <c r="F846">
        <f>HYPERLINK("https://www.wikidata.org/wiki/Q33528422", "Q33528422")</f>
        <v>0</v>
      </c>
      <c r="G846" t="s">
        <v>689</v>
      </c>
      <c r="H846" t="s">
        <v>5447</v>
      </c>
      <c r="I846" t="s">
        <v>9388</v>
      </c>
      <c r="J846" t="s">
        <v>11439</v>
      </c>
      <c r="K846" t="s">
        <v>15840</v>
      </c>
      <c r="L846">
        <f>HYPERLINK("https://www2.assemblee-nationale.fr/sycomore/fiche/(num_dept)/3970", "3970")</f>
        <v>0</v>
      </c>
      <c r="M846">
        <f>HYPERLINK("https://www.senat.fr/senateur-3eme-republique/jacquier_paul1310r3.html", "jacquier_paul1310r3")</f>
        <v>0</v>
      </c>
      <c r="N846">
        <f>HYPERLINK("https://www.wikidata.org/wiki/Q3371508", "Q3371508")</f>
        <v>0</v>
      </c>
      <c r="O846" t="s">
        <v>20018</v>
      </c>
      <c r="P846" t="s">
        <v>20413</v>
      </c>
      <c r="Q846" t="s">
        <v>20559</v>
      </c>
      <c r="R846" t="s">
        <v>410</v>
      </c>
      <c r="S846">
        <v>2051</v>
      </c>
    </row>
    <row r="847" spans="1:19">
      <c r="A847" t="s">
        <v>20</v>
      </c>
      <c r="B847" t="s">
        <v>148</v>
      </c>
      <c r="C847" t="s">
        <v>152</v>
      </c>
      <c r="D847" t="s">
        <v>281</v>
      </c>
      <c r="E847" t="s">
        <v>410</v>
      </c>
      <c r="F847">
        <f>HYPERLINK("https://www.wikidata.org/wiki/Q33528422", "Q33528422")</f>
        <v>0</v>
      </c>
      <c r="G847" t="s">
        <v>690</v>
      </c>
      <c r="H847" t="s">
        <v>5448</v>
      </c>
      <c r="I847" t="s">
        <v>6200</v>
      </c>
      <c r="J847" t="s">
        <v>11440</v>
      </c>
      <c r="K847" t="s">
        <v>15841</v>
      </c>
      <c r="L847">
        <f>HYPERLINK("https://www2.assemblee-nationale.fr/sycomore/fiche/(num_dept)/4011", "4011")</f>
        <v>0</v>
      </c>
      <c r="N847">
        <f>HYPERLINK("https://www.wikidata.org/wiki/Q12688", "Q12688")</f>
        <v>0</v>
      </c>
      <c r="O847" t="s">
        <v>19962</v>
      </c>
      <c r="P847" t="s">
        <v>20404</v>
      </c>
      <c r="Q847" t="s">
        <v>20559</v>
      </c>
      <c r="R847" t="s">
        <v>15841</v>
      </c>
      <c r="S847">
        <v>96</v>
      </c>
    </row>
    <row r="848" spans="1:19">
      <c r="A848" t="s">
        <v>20</v>
      </c>
      <c r="B848" t="s">
        <v>148</v>
      </c>
      <c r="C848" t="s">
        <v>152</v>
      </c>
      <c r="D848" t="s">
        <v>281</v>
      </c>
      <c r="E848" t="s">
        <v>410</v>
      </c>
      <c r="F848">
        <f>HYPERLINK("https://www.wikidata.org/wiki/Q33528422", "Q33528422")</f>
        <v>0</v>
      </c>
      <c r="G848" t="s">
        <v>1142</v>
      </c>
      <c r="H848" t="s">
        <v>5877</v>
      </c>
      <c r="I848" t="s">
        <v>9675</v>
      </c>
      <c r="J848" t="s">
        <v>11876</v>
      </c>
      <c r="K848" t="s">
        <v>16278</v>
      </c>
      <c r="L848">
        <f>HYPERLINK("https://www2.assemblee-nationale.fr/sycomore/fiche/(num_dept)/4053", "4053")</f>
        <v>0</v>
      </c>
      <c r="M848">
        <f>HYPERLINK("https://www.senat.fr/senateur-3eme-republique/josse_prosper0745r3.html", "josse_prosper0745r3")</f>
        <v>0</v>
      </c>
      <c r="N848">
        <f>HYPERLINK("https://www.wikidata.org/wiki/Q3407787", "Q3407787")</f>
        <v>0</v>
      </c>
      <c r="O848" t="s">
        <v>19992</v>
      </c>
      <c r="P848" t="s">
        <v>20414</v>
      </c>
      <c r="Q848" t="s">
        <v>20559</v>
      </c>
      <c r="R848" t="s">
        <v>410</v>
      </c>
      <c r="S848">
        <v>2051</v>
      </c>
    </row>
    <row r="849" spans="1:19">
      <c r="A849" t="s">
        <v>20</v>
      </c>
      <c r="B849" t="s">
        <v>148</v>
      </c>
      <c r="C849" t="s">
        <v>152</v>
      </c>
      <c r="D849" t="s">
        <v>281</v>
      </c>
      <c r="E849" t="s">
        <v>410</v>
      </c>
      <c r="F849">
        <f>HYPERLINK("https://www.wikidata.org/wiki/Q33528422", "Q33528422")</f>
        <v>0</v>
      </c>
      <c r="G849" t="s">
        <v>693</v>
      </c>
      <c r="H849" t="s">
        <v>5451</v>
      </c>
      <c r="I849" t="s">
        <v>9482</v>
      </c>
      <c r="J849" t="s">
        <v>11443</v>
      </c>
      <c r="K849" t="s">
        <v>15844</v>
      </c>
      <c r="L849">
        <f>HYPERLINK("https://www2.assemblee-nationale.fr/sycomore/fiche/(num_dept)/4055", "4055")</f>
        <v>0</v>
      </c>
      <c r="N849">
        <f>HYPERLINK("https://www.wikidata.org/wiki/Q16025876", "Q16025876")</f>
        <v>0</v>
      </c>
      <c r="O849" t="s">
        <v>20012</v>
      </c>
      <c r="P849" t="s">
        <v>20413</v>
      </c>
      <c r="Q849" t="s">
        <v>20559</v>
      </c>
      <c r="R849" t="s">
        <v>410</v>
      </c>
      <c r="S849">
        <v>2051</v>
      </c>
    </row>
    <row r="850" spans="1:19">
      <c r="A850" t="s">
        <v>20</v>
      </c>
      <c r="B850" t="s">
        <v>148</v>
      </c>
      <c r="C850" t="s">
        <v>152</v>
      </c>
      <c r="D850" t="s">
        <v>281</v>
      </c>
      <c r="E850" t="s">
        <v>410</v>
      </c>
      <c r="F850">
        <f>HYPERLINK("https://www.wikidata.org/wiki/Q33528422", "Q33528422")</f>
        <v>0</v>
      </c>
      <c r="G850" t="s">
        <v>694</v>
      </c>
      <c r="H850" t="s">
        <v>5452</v>
      </c>
      <c r="I850" t="s">
        <v>9483</v>
      </c>
      <c r="J850" t="s">
        <v>11444</v>
      </c>
      <c r="K850" t="s">
        <v>15845</v>
      </c>
      <c r="L850">
        <f>HYPERLINK("https://www2.assemblee-nationale.fr/sycomore/fiche/(num_dept)/4086", "4086")</f>
        <v>0</v>
      </c>
      <c r="M850">
        <f>HYPERLINK("https://www.senat.fr/senateur-3eme-republique/judet_victor0628r3.html", "judet_victor0628r3")</f>
        <v>0</v>
      </c>
      <c r="N850">
        <f>HYPERLINK("https://www.wikidata.org/wiki/Q2398706", "Q2398706")</f>
        <v>0</v>
      </c>
      <c r="O850" t="s">
        <v>19979</v>
      </c>
      <c r="P850" t="s">
        <v>20413</v>
      </c>
      <c r="Q850" t="s">
        <v>20559</v>
      </c>
      <c r="R850" t="s">
        <v>410</v>
      </c>
      <c r="S850">
        <v>2051</v>
      </c>
    </row>
    <row r="851" spans="1:19">
      <c r="A851" t="s">
        <v>20</v>
      </c>
      <c r="B851" t="s">
        <v>148</v>
      </c>
      <c r="C851" t="s">
        <v>152</v>
      </c>
      <c r="D851" t="s">
        <v>281</v>
      </c>
      <c r="E851" t="s">
        <v>410</v>
      </c>
      <c r="F851">
        <f>HYPERLINK("https://www.wikidata.org/wiki/Q33528422", "Q33528422")</f>
        <v>0</v>
      </c>
      <c r="G851" t="s">
        <v>1182</v>
      </c>
      <c r="H851" t="s">
        <v>5913</v>
      </c>
      <c r="I851" t="s">
        <v>9697</v>
      </c>
      <c r="J851" t="s">
        <v>11915</v>
      </c>
      <c r="K851" t="s">
        <v>16316</v>
      </c>
      <c r="L851">
        <f>HYPERLINK("https://www2.assemblee-nationale.fr/sycomore/fiche/(num_dept)/4089", "4089")</f>
        <v>0</v>
      </c>
      <c r="N851">
        <f>HYPERLINK("https://www.wikidata.org/wiki/Q16025885", "Q16025885")</f>
        <v>0</v>
      </c>
      <c r="O851" t="s">
        <v>20033</v>
      </c>
      <c r="P851" t="s">
        <v>20413</v>
      </c>
      <c r="Q851" t="s">
        <v>20559</v>
      </c>
      <c r="R851" t="s">
        <v>410</v>
      </c>
      <c r="S851">
        <v>2051</v>
      </c>
    </row>
    <row r="852" spans="1:19">
      <c r="A852" t="s">
        <v>20</v>
      </c>
      <c r="B852" t="s">
        <v>148</v>
      </c>
      <c r="C852" t="s">
        <v>152</v>
      </c>
      <c r="D852" t="s">
        <v>281</v>
      </c>
      <c r="E852" t="s">
        <v>410</v>
      </c>
      <c r="F852">
        <f>HYPERLINK("https://www.wikidata.org/wiki/Q33528422", "Q33528422")</f>
        <v>0</v>
      </c>
      <c r="G852" t="s">
        <v>1084</v>
      </c>
      <c r="H852" t="s">
        <v>5827</v>
      </c>
      <c r="I852" t="s">
        <v>7419</v>
      </c>
      <c r="J852" t="s">
        <v>11820</v>
      </c>
      <c r="K852" t="s">
        <v>16221</v>
      </c>
      <c r="L852">
        <f>HYPERLINK("https://www2.assemblee-nationale.fr/sycomore/fiche/(num_dept)/4090", "4090")</f>
        <v>0</v>
      </c>
      <c r="M852">
        <f>HYPERLINK("https://www.senat.fr/senateur-3eme-republique/de_juigne_jacques1286r3.html", "de_juigne_jacques1286r3")</f>
        <v>0</v>
      </c>
      <c r="N852">
        <f>HYPERLINK("https://www.wikidata.org/wiki/Q3158160", "Q3158160")</f>
        <v>0</v>
      </c>
      <c r="O852" t="s">
        <v>20023</v>
      </c>
      <c r="P852" t="s">
        <v>20408</v>
      </c>
      <c r="Q852" t="s">
        <v>20559</v>
      </c>
      <c r="R852" t="s">
        <v>410</v>
      </c>
      <c r="S852">
        <v>2051</v>
      </c>
    </row>
    <row r="853" spans="1:19">
      <c r="A853" t="s">
        <v>20</v>
      </c>
      <c r="B853" t="s">
        <v>148</v>
      </c>
      <c r="C853" t="s">
        <v>152</v>
      </c>
      <c r="D853" t="s">
        <v>281</v>
      </c>
      <c r="E853" t="s">
        <v>410</v>
      </c>
      <c r="F853">
        <f>HYPERLINK("https://www.wikidata.org/wiki/Q33528422", "Q33528422")</f>
        <v>0</v>
      </c>
      <c r="G853" t="s">
        <v>695</v>
      </c>
      <c r="H853" t="s">
        <v>5453</v>
      </c>
      <c r="I853" t="s">
        <v>9421</v>
      </c>
      <c r="J853" t="s">
        <v>11445</v>
      </c>
      <c r="K853" t="s">
        <v>15846</v>
      </c>
      <c r="L853">
        <f>HYPERLINK("https://www2.assemblee-nationale.fr/sycomore/fiche/(num_dept)/4128", "4128")</f>
        <v>0</v>
      </c>
      <c r="M853">
        <f>HYPERLINK("https://www.senat.fr/senateur-3eme-republique/de_kerguezec_gustave0567r3.html", "de_kerguezec_gustave0567r3")</f>
        <v>0</v>
      </c>
      <c r="N853">
        <f>HYPERLINK("https://www.wikidata.org/wiki/Q3121362", "Q3121362")</f>
        <v>0</v>
      </c>
      <c r="O853" t="s">
        <v>19964</v>
      </c>
      <c r="P853" t="s">
        <v>20406</v>
      </c>
      <c r="Q853" t="s">
        <v>20559</v>
      </c>
      <c r="R853" t="s">
        <v>410</v>
      </c>
      <c r="S853">
        <v>2051</v>
      </c>
    </row>
    <row r="854" spans="1:19">
      <c r="A854" t="s">
        <v>20</v>
      </c>
      <c r="B854" t="s">
        <v>148</v>
      </c>
      <c r="C854" t="s">
        <v>152</v>
      </c>
      <c r="D854" t="s">
        <v>281</v>
      </c>
      <c r="E854" t="s">
        <v>410</v>
      </c>
      <c r="F854">
        <f>HYPERLINK("https://www.wikidata.org/wiki/Q33528422", "Q33528422")</f>
        <v>0</v>
      </c>
      <c r="G854" t="s">
        <v>1120</v>
      </c>
      <c r="H854" t="s">
        <v>5860</v>
      </c>
      <c r="I854" t="s">
        <v>9670</v>
      </c>
      <c r="J854" t="s">
        <v>11854</v>
      </c>
      <c r="K854" t="s">
        <v>16256</v>
      </c>
      <c r="L854">
        <f>HYPERLINK("https://www2.assemblee-nationale.fr/sycomore/fiche/(num_dept)/4132", "4132")</f>
        <v>0</v>
      </c>
      <c r="N854">
        <f>HYPERLINK("https://www.wikidata.org/wiki/Q3159295", "Q3159295")</f>
        <v>0</v>
      </c>
      <c r="O854" t="s">
        <v>19998</v>
      </c>
      <c r="P854" t="s">
        <v>20408</v>
      </c>
      <c r="Q854" t="s">
        <v>20559</v>
      </c>
      <c r="R854" t="s">
        <v>410</v>
      </c>
      <c r="S854">
        <v>2051</v>
      </c>
    </row>
    <row r="855" spans="1:19">
      <c r="A855" t="s">
        <v>20</v>
      </c>
      <c r="B855" t="s">
        <v>148</v>
      </c>
      <c r="C855" t="s">
        <v>152</v>
      </c>
      <c r="D855" t="s">
        <v>281</v>
      </c>
      <c r="E855" t="s">
        <v>410</v>
      </c>
      <c r="F855">
        <f>HYPERLINK("https://www.wikidata.org/wiki/Q33528422", "Q33528422")</f>
        <v>0</v>
      </c>
      <c r="G855" t="s">
        <v>696</v>
      </c>
      <c r="H855" t="s">
        <v>5454</v>
      </c>
      <c r="I855" t="s">
        <v>9484</v>
      </c>
      <c r="J855" t="s">
        <v>11446</v>
      </c>
      <c r="K855" t="s">
        <v>15847</v>
      </c>
      <c r="L855">
        <f>HYPERLINK("https://www2.assemblee-nationale.fr/sycomore/fiche/(num_dept)/4148", "4148")</f>
        <v>0</v>
      </c>
      <c r="M855">
        <f>HYPERLINK("https://www.senat.fr/senateur-3eme-republique/klotz_louis1683r3.html", "klotz_louis1683r3")</f>
        <v>0</v>
      </c>
      <c r="N855">
        <f>HYPERLINK("https://www.wikidata.org/wiki/Q179586", "Q179586")</f>
        <v>0</v>
      </c>
      <c r="O855" t="s">
        <v>20012</v>
      </c>
      <c r="P855" t="s">
        <v>20415</v>
      </c>
      <c r="Q855" t="s">
        <v>20559</v>
      </c>
      <c r="R855" t="s">
        <v>410</v>
      </c>
      <c r="S855">
        <v>2051</v>
      </c>
    </row>
    <row r="856" spans="1:19">
      <c r="A856" t="s">
        <v>20</v>
      </c>
      <c r="B856" t="s">
        <v>148</v>
      </c>
      <c r="C856" t="s">
        <v>152</v>
      </c>
      <c r="D856" t="s">
        <v>281</v>
      </c>
      <c r="E856" t="s">
        <v>410</v>
      </c>
      <c r="F856">
        <f>HYPERLINK("https://www.wikidata.org/wiki/Q33528422", "Q33528422")</f>
        <v>0</v>
      </c>
      <c r="G856" t="s">
        <v>697</v>
      </c>
      <c r="H856" t="s">
        <v>5455</v>
      </c>
      <c r="I856" t="s">
        <v>9485</v>
      </c>
      <c r="J856" t="s">
        <v>11447</v>
      </c>
      <c r="K856" t="s">
        <v>15848</v>
      </c>
      <c r="L856">
        <f>HYPERLINK("https://www2.assemblee-nationale.fr/sycomore/fiche/(num_dept)/4166", "4166")</f>
        <v>0</v>
      </c>
      <c r="N856">
        <f>HYPERLINK("https://www.wikidata.org/wiki/Q3455687", "Q3455687")</f>
        <v>0</v>
      </c>
      <c r="O856" t="s">
        <v>19961</v>
      </c>
      <c r="P856" t="s">
        <v>20410</v>
      </c>
      <c r="Q856" t="s">
        <v>20559</v>
      </c>
      <c r="R856" t="s">
        <v>410</v>
      </c>
      <c r="S856">
        <v>2051</v>
      </c>
    </row>
    <row r="857" spans="1:19">
      <c r="A857" t="s">
        <v>20</v>
      </c>
      <c r="B857" t="s">
        <v>148</v>
      </c>
      <c r="C857" t="s">
        <v>152</v>
      </c>
      <c r="D857" t="s">
        <v>281</v>
      </c>
      <c r="E857" t="s">
        <v>410</v>
      </c>
      <c r="F857">
        <f>HYPERLINK("https://www.wikidata.org/wiki/Q33528422", "Q33528422")</f>
        <v>0</v>
      </c>
      <c r="G857" t="s">
        <v>700</v>
      </c>
      <c r="H857" t="s">
        <v>5458</v>
      </c>
      <c r="I857" t="s">
        <v>9486</v>
      </c>
      <c r="J857" t="s">
        <v>11450</v>
      </c>
      <c r="K857" t="s">
        <v>15851</v>
      </c>
      <c r="L857">
        <f>HYPERLINK("https://www2.assemblee-nationale.fr/sycomore/fiche/(num_dept)/4177", "4177")</f>
        <v>0</v>
      </c>
      <c r="N857">
        <f>HYPERLINK("https://www.wikidata.org/wiki/Q3132286", "Q3132286")</f>
        <v>0</v>
      </c>
      <c r="O857" t="s">
        <v>20023</v>
      </c>
      <c r="P857" t="s">
        <v>20408</v>
      </c>
      <c r="Q857" t="s">
        <v>20559</v>
      </c>
      <c r="R857" t="s">
        <v>410</v>
      </c>
      <c r="S857">
        <v>2051</v>
      </c>
    </row>
    <row r="858" spans="1:19">
      <c r="A858" t="s">
        <v>20</v>
      </c>
      <c r="B858" t="s">
        <v>148</v>
      </c>
      <c r="C858" t="s">
        <v>152</v>
      </c>
      <c r="D858" t="s">
        <v>281</v>
      </c>
      <c r="E858" t="s">
        <v>410</v>
      </c>
      <c r="F858">
        <f>HYPERLINK("https://www.wikidata.org/wiki/Q33528422", "Q33528422")</f>
        <v>0</v>
      </c>
      <c r="G858" t="s">
        <v>701</v>
      </c>
      <c r="H858" t="s">
        <v>5459</v>
      </c>
      <c r="I858" t="s">
        <v>9486</v>
      </c>
      <c r="J858" t="s">
        <v>11451</v>
      </c>
      <c r="K858" t="s">
        <v>15852</v>
      </c>
      <c r="L858">
        <f>HYPERLINK("https://www2.assemblee-nationale.fr/sycomore/fiche/(num_dept)/4184", "4184")</f>
        <v>0</v>
      </c>
      <c r="N858">
        <f>HYPERLINK("https://www.wikidata.org/wiki/Q16025896", "Q16025896")</f>
        <v>0</v>
      </c>
      <c r="O858" t="s">
        <v>20021</v>
      </c>
      <c r="P858" t="s">
        <v>20404</v>
      </c>
      <c r="Q858" t="s">
        <v>20559</v>
      </c>
      <c r="R858" t="s">
        <v>410</v>
      </c>
      <c r="S858">
        <v>2051</v>
      </c>
    </row>
    <row r="859" spans="1:19">
      <c r="A859" t="s">
        <v>20</v>
      </c>
      <c r="B859" t="s">
        <v>148</v>
      </c>
      <c r="C859" t="s">
        <v>152</v>
      </c>
      <c r="D859" t="s">
        <v>281</v>
      </c>
      <c r="E859" t="s">
        <v>410</v>
      </c>
      <c r="F859">
        <f>HYPERLINK("https://www.wikidata.org/wiki/Q33528422", "Q33528422")</f>
        <v>0</v>
      </c>
      <c r="G859" t="s">
        <v>702</v>
      </c>
      <c r="H859" t="s">
        <v>5460</v>
      </c>
      <c r="I859" t="s">
        <v>9487</v>
      </c>
      <c r="J859" t="s">
        <v>11452</v>
      </c>
      <c r="K859" t="s">
        <v>15853</v>
      </c>
      <c r="L859">
        <f>HYPERLINK("https://www2.assemblee-nationale.fr/sycomore/fiche/(num_dept)/4189", "4189")</f>
        <v>0</v>
      </c>
      <c r="N859">
        <f>HYPERLINK("https://www.wikidata.org/wiki/Q3261483", "Q3261483")</f>
        <v>0</v>
      </c>
      <c r="O859" t="s">
        <v>19987</v>
      </c>
      <c r="P859" t="s">
        <v>20412</v>
      </c>
      <c r="Q859" t="s">
        <v>20559</v>
      </c>
      <c r="R859" t="s">
        <v>410</v>
      </c>
      <c r="S859">
        <v>2051</v>
      </c>
    </row>
    <row r="860" spans="1:19">
      <c r="A860" t="s">
        <v>20</v>
      </c>
      <c r="B860" t="s">
        <v>148</v>
      </c>
      <c r="C860" t="s">
        <v>152</v>
      </c>
      <c r="D860" t="s">
        <v>281</v>
      </c>
      <c r="E860" t="s">
        <v>410</v>
      </c>
      <c r="F860">
        <f>HYPERLINK("https://www.wikidata.org/wiki/Q33528422", "Q33528422")</f>
        <v>0</v>
      </c>
      <c r="G860" t="s">
        <v>1183</v>
      </c>
      <c r="H860" t="s">
        <v>5914</v>
      </c>
      <c r="I860" t="s">
        <v>9388</v>
      </c>
      <c r="J860" t="s">
        <v>11916</v>
      </c>
      <c r="K860" t="s">
        <v>16317</v>
      </c>
      <c r="L860">
        <f>HYPERLINK("https://www2.assemblee-nationale.fr/sycomore/fiche/(num_dept)/4216", "4216")</f>
        <v>0</v>
      </c>
      <c r="N860">
        <f>HYPERLINK("https://www.wikidata.org/wiki/Q3371599", "Q3371599")</f>
        <v>0</v>
      </c>
      <c r="O860" t="s">
        <v>20027</v>
      </c>
      <c r="P860" t="s">
        <v>20402</v>
      </c>
      <c r="Q860" t="s">
        <v>20559</v>
      </c>
      <c r="R860" t="s">
        <v>410</v>
      </c>
      <c r="S860">
        <v>2051</v>
      </c>
    </row>
    <row r="861" spans="1:19">
      <c r="A861" t="s">
        <v>20</v>
      </c>
      <c r="B861" t="s">
        <v>148</v>
      </c>
      <c r="C861" t="s">
        <v>152</v>
      </c>
      <c r="D861" t="s">
        <v>281</v>
      </c>
      <c r="E861" t="s">
        <v>410</v>
      </c>
      <c r="F861">
        <f>HYPERLINK("https://www.wikidata.org/wiki/Q33528422", "Q33528422")</f>
        <v>0</v>
      </c>
      <c r="G861" t="s">
        <v>703</v>
      </c>
      <c r="H861" t="s">
        <v>5461</v>
      </c>
      <c r="I861" t="s">
        <v>9375</v>
      </c>
      <c r="J861" t="s">
        <v>11453</v>
      </c>
      <c r="K861" t="s">
        <v>15854</v>
      </c>
      <c r="L861">
        <f>HYPERLINK("https://www2.assemblee-nationale.fr/sycomore/fiche/(num_dept)/4220", "4220")</f>
        <v>0</v>
      </c>
      <c r="N861">
        <f>HYPERLINK("https://www.wikidata.org/wiki/Q16025910", "Q16025910")</f>
        <v>0</v>
      </c>
      <c r="O861" t="s">
        <v>20020</v>
      </c>
      <c r="P861" t="s">
        <v>20413</v>
      </c>
      <c r="Q861" t="s">
        <v>20559</v>
      </c>
      <c r="R861" t="s">
        <v>410</v>
      </c>
      <c r="S861">
        <v>2051</v>
      </c>
    </row>
    <row r="862" spans="1:19">
      <c r="A862" t="s">
        <v>20</v>
      </c>
      <c r="B862" t="s">
        <v>148</v>
      </c>
      <c r="C862" t="s">
        <v>152</v>
      </c>
      <c r="D862" t="s">
        <v>281</v>
      </c>
      <c r="E862" t="s">
        <v>410</v>
      </c>
      <c r="F862">
        <f>HYPERLINK("https://www.wikidata.org/wiki/Q33528422", "Q33528422")</f>
        <v>0</v>
      </c>
      <c r="G862" t="s">
        <v>980</v>
      </c>
      <c r="H862" t="s">
        <v>5732</v>
      </c>
      <c r="I862" t="s">
        <v>6495</v>
      </c>
      <c r="J862" t="s">
        <v>11718</v>
      </c>
      <c r="K862" t="s">
        <v>16122</v>
      </c>
      <c r="L862">
        <f>HYPERLINK("https://www2.assemblee-nationale.fr/sycomore/fiche/(num_dept)/4248", "4248")</f>
        <v>0</v>
      </c>
      <c r="M862">
        <f>HYPERLINK("https://www.senat.fr/senateur-3eme-republique/lafferre_antonin0251r3.html", "lafferre_antonin0251r3")</f>
        <v>0</v>
      </c>
      <c r="N862">
        <f>HYPERLINK("https://www.wikidata.org/wiki/Q3262422", "Q3262422")</f>
        <v>0</v>
      </c>
      <c r="O862" t="s">
        <v>7411</v>
      </c>
      <c r="P862" t="s">
        <v>20413</v>
      </c>
      <c r="Q862" t="s">
        <v>20559</v>
      </c>
      <c r="R862" t="s">
        <v>410</v>
      </c>
      <c r="S862">
        <v>2051</v>
      </c>
    </row>
    <row r="863" spans="1:19">
      <c r="A863" t="s">
        <v>20</v>
      </c>
      <c r="B863" t="s">
        <v>148</v>
      </c>
      <c r="C863" t="s">
        <v>152</v>
      </c>
      <c r="D863" t="s">
        <v>281</v>
      </c>
      <c r="E863" t="s">
        <v>410</v>
      </c>
      <c r="F863">
        <f>HYPERLINK("https://www.wikidata.org/wiki/Q33528422", "Q33528422")</f>
        <v>0</v>
      </c>
      <c r="G863" t="s">
        <v>705</v>
      </c>
      <c r="H863" t="s">
        <v>5463</v>
      </c>
      <c r="I863" t="s">
        <v>9489</v>
      </c>
      <c r="J863" t="s">
        <v>11455</v>
      </c>
      <c r="K863" t="s">
        <v>15856</v>
      </c>
      <c r="L863">
        <f>HYPERLINK("https://www2.assemblee-nationale.fr/sycomore/fiche/(num_dept)/4271", "4271")</f>
        <v>0</v>
      </c>
      <c r="N863">
        <f>HYPERLINK("https://www.wikidata.org/wiki/Q3185196", "Q3185196")</f>
        <v>0</v>
      </c>
      <c r="O863" t="s">
        <v>20035</v>
      </c>
      <c r="P863" t="s">
        <v>20409</v>
      </c>
      <c r="Q863" t="s">
        <v>20559</v>
      </c>
      <c r="R863" t="s">
        <v>410</v>
      </c>
      <c r="S863">
        <v>2051</v>
      </c>
    </row>
    <row r="864" spans="1:19">
      <c r="A864" t="s">
        <v>20</v>
      </c>
      <c r="B864" t="s">
        <v>148</v>
      </c>
      <c r="C864" t="s">
        <v>152</v>
      </c>
      <c r="D864" t="s">
        <v>281</v>
      </c>
      <c r="E864" t="s">
        <v>410</v>
      </c>
      <c r="F864">
        <f>HYPERLINK("https://www.wikidata.org/wiki/Q33528422", "Q33528422")</f>
        <v>0</v>
      </c>
      <c r="G864" t="s">
        <v>1184</v>
      </c>
      <c r="H864" t="s">
        <v>5733</v>
      </c>
      <c r="I864" t="s">
        <v>9698</v>
      </c>
      <c r="J864" t="s">
        <v>11917</v>
      </c>
      <c r="K864" t="s">
        <v>16318</v>
      </c>
      <c r="L864">
        <f>HYPERLINK("https://www2.assemblee-nationale.fr/sycomore/fiche/(num_dept)/4273", "4273")</f>
        <v>0</v>
      </c>
      <c r="N864">
        <f>HYPERLINK("https://www.wikidata.org/wiki/Q21274345", "Q21274345")</f>
        <v>0</v>
      </c>
      <c r="O864" t="s">
        <v>19986</v>
      </c>
      <c r="P864" t="s">
        <v>20413</v>
      </c>
      <c r="Q864" t="s">
        <v>20559</v>
      </c>
      <c r="R864" t="s">
        <v>410</v>
      </c>
      <c r="S864">
        <v>2051</v>
      </c>
    </row>
    <row r="865" spans="1:19">
      <c r="A865" t="s">
        <v>20</v>
      </c>
      <c r="B865" t="s">
        <v>148</v>
      </c>
      <c r="C865" t="s">
        <v>152</v>
      </c>
      <c r="D865" t="s">
        <v>281</v>
      </c>
      <c r="E865" t="s">
        <v>410</v>
      </c>
      <c r="F865">
        <f>HYPERLINK("https://www.wikidata.org/wiki/Q33528422", "Q33528422")</f>
        <v>0</v>
      </c>
      <c r="G865" t="s">
        <v>706</v>
      </c>
      <c r="H865" t="s">
        <v>5464</v>
      </c>
      <c r="I865" t="s">
        <v>9490</v>
      </c>
      <c r="J865" t="s">
        <v>11456</v>
      </c>
      <c r="K865" t="s">
        <v>15857</v>
      </c>
      <c r="L865">
        <f>HYPERLINK("https://www2.assemblee-nationale.fr/sycomore/fiche/(num_dept)/4280", "4280")</f>
        <v>0</v>
      </c>
      <c r="N865">
        <f>HYPERLINK("https://www.wikidata.org/wiki/Q3057030", "Q3057030")</f>
        <v>0</v>
      </c>
      <c r="O865" t="s">
        <v>20024</v>
      </c>
      <c r="P865" t="s">
        <v>20402</v>
      </c>
      <c r="Q865" t="s">
        <v>20559</v>
      </c>
      <c r="R865" t="s">
        <v>410</v>
      </c>
      <c r="S865">
        <v>2051</v>
      </c>
    </row>
    <row r="866" spans="1:19">
      <c r="A866" t="s">
        <v>20</v>
      </c>
      <c r="B866" t="s">
        <v>148</v>
      </c>
      <c r="C866" t="s">
        <v>152</v>
      </c>
      <c r="D866" t="s">
        <v>281</v>
      </c>
      <c r="E866" t="s">
        <v>410</v>
      </c>
      <c r="F866">
        <f>HYPERLINK("https://www.wikidata.org/wiki/Q33528422", "Q33528422")</f>
        <v>0</v>
      </c>
      <c r="G866" t="s">
        <v>707</v>
      </c>
      <c r="H866" t="s">
        <v>5465</v>
      </c>
      <c r="I866" t="s">
        <v>9453</v>
      </c>
      <c r="J866" t="s">
        <v>11457</v>
      </c>
      <c r="K866" t="s">
        <v>15858</v>
      </c>
      <c r="L866">
        <f>HYPERLINK("https://www2.assemblee-nationale.fr/sycomore/fiche/(num_dept)/4312", "4312")</f>
        <v>0</v>
      </c>
      <c r="N866">
        <f>HYPERLINK("https://www.wikidata.org/wiki/Q2865188", "Q2865188")</f>
        <v>0</v>
      </c>
      <c r="O866" t="s">
        <v>19968</v>
      </c>
      <c r="P866" t="s">
        <v>20404</v>
      </c>
      <c r="Q866" t="s">
        <v>20559</v>
      </c>
      <c r="R866" t="s">
        <v>410</v>
      </c>
      <c r="S866">
        <v>2051</v>
      </c>
    </row>
    <row r="867" spans="1:19">
      <c r="A867" t="s">
        <v>20</v>
      </c>
      <c r="B867" t="s">
        <v>148</v>
      </c>
      <c r="C867" t="s">
        <v>152</v>
      </c>
      <c r="D867" t="s">
        <v>281</v>
      </c>
      <c r="E867" t="s">
        <v>410</v>
      </c>
      <c r="F867">
        <f>HYPERLINK("https://www.wikidata.org/wiki/Q33528422", "Q33528422")</f>
        <v>0</v>
      </c>
      <c r="G867" t="s">
        <v>708</v>
      </c>
      <c r="H867" t="s">
        <v>5466</v>
      </c>
      <c r="I867" t="s">
        <v>9442</v>
      </c>
      <c r="J867" t="s">
        <v>11458</v>
      </c>
      <c r="K867" t="s">
        <v>15859</v>
      </c>
      <c r="L867">
        <f>HYPERLINK("https://www2.assemblee-nationale.fr/sycomore/fiche/(num_dept)/4320", "4320")</f>
        <v>0</v>
      </c>
      <c r="M867">
        <f>HYPERLINK("https://www.senat.fr/senateur-3eme-republique/lamy_ernest0911r3.html", "lamy_ernest0911r3")</f>
        <v>0</v>
      </c>
      <c r="N867">
        <f>HYPERLINK("https://www.wikidata.org/wiki/Q3057035", "Q3057035")</f>
        <v>0</v>
      </c>
      <c r="O867" t="s">
        <v>19961</v>
      </c>
      <c r="P867" t="s">
        <v>20410</v>
      </c>
      <c r="Q867" t="s">
        <v>20559</v>
      </c>
      <c r="R867" t="s">
        <v>410</v>
      </c>
      <c r="S867">
        <v>2051</v>
      </c>
    </row>
    <row r="868" spans="1:19">
      <c r="A868" t="s">
        <v>20</v>
      </c>
      <c r="B868" t="s">
        <v>148</v>
      </c>
      <c r="C868" t="s">
        <v>152</v>
      </c>
      <c r="D868" t="s">
        <v>281</v>
      </c>
      <c r="E868" t="s">
        <v>410</v>
      </c>
      <c r="F868">
        <f>HYPERLINK("https://www.wikidata.org/wiki/Q33528422", "Q33528422")</f>
        <v>0</v>
      </c>
      <c r="G868" t="s">
        <v>983</v>
      </c>
      <c r="H868" t="s">
        <v>5735</v>
      </c>
      <c r="I868" t="s">
        <v>9534</v>
      </c>
      <c r="J868" t="s">
        <v>11721</v>
      </c>
      <c r="K868" t="s">
        <v>16125</v>
      </c>
      <c r="L868">
        <f>HYPERLINK("https://www2.assemblee-nationale.fr/sycomore/fiche/(num_dept)/4326", "4326")</f>
        <v>0</v>
      </c>
      <c r="M868">
        <f>HYPERLINK("https://www.senat.fr/senateur-3eme-republique/landry_adolphe0199r4.html", "landry_adolphe0199r4")</f>
        <v>0</v>
      </c>
      <c r="N868">
        <f>HYPERLINK("https://www.wikidata.org/wiki/Q2824853", "Q2824853")</f>
        <v>0</v>
      </c>
      <c r="O868" t="s">
        <v>19955</v>
      </c>
      <c r="P868" t="s">
        <v>20415</v>
      </c>
      <c r="Q868" t="s">
        <v>20559</v>
      </c>
      <c r="R868" t="s">
        <v>410</v>
      </c>
      <c r="S868">
        <v>2051</v>
      </c>
    </row>
    <row r="869" spans="1:19">
      <c r="A869" t="s">
        <v>20</v>
      </c>
      <c r="B869" t="s">
        <v>148</v>
      </c>
      <c r="C869" t="s">
        <v>152</v>
      </c>
      <c r="D869" t="s">
        <v>281</v>
      </c>
      <c r="E869" t="s">
        <v>410</v>
      </c>
      <c r="F869">
        <f>HYPERLINK("https://www.wikidata.org/wiki/Q33528422", "Q33528422")</f>
        <v>0</v>
      </c>
      <c r="G869" t="s">
        <v>709</v>
      </c>
      <c r="H869" t="s">
        <v>5467</v>
      </c>
      <c r="I869" t="s">
        <v>9457</v>
      </c>
      <c r="J869" t="s">
        <v>11267</v>
      </c>
      <c r="K869" t="s">
        <v>15860</v>
      </c>
      <c r="L869">
        <f>HYPERLINK("https://www2.assemblee-nationale.fr/sycomore/fiche/(num_dept)/4337", "4337")</f>
        <v>0</v>
      </c>
      <c r="N869">
        <f>HYPERLINK("https://www.wikidata.org/wiki/Q3131419", "Q3131419")</f>
        <v>0</v>
      </c>
      <c r="O869" t="s">
        <v>20009</v>
      </c>
      <c r="P869" t="s">
        <v>20414</v>
      </c>
      <c r="Q869" t="s">
        <v>20559</v>
      </c>
      <c r="R869" t="s">
        <v>410</v>
      </c>
      <c r="S869">
        <v>2051</v>
      </c>
    </row>
    <row r="870" spans="1:19">
      <c r="A870" t="s">
        <v>20</v>
      </c>
      <c r="B870" t="s">
        <v>148</v>
      </c>
      <c r="C870" t="s">
        <v>152</v>
      </c>
      <c r="D870" t="s">
        <v>281</v>
      </c>
      <c r="E870" t="s">
        <v>410</v>
      </c>
      <c r="F870">
        <f>HYPERLINK("https://www.wikidata.org/wiki/Q33528422", "Q33528422")</f>
        <v>0</v>
      </c>
      <c r="G870" t="s">
        <v>712</v>
      </c>
      <c r="H870" t="s">
        <v>5470</v>
      </c>
      <c r="I870" t="s">
        <v>9472</v>
      </c>
      <c r="J870" t="s">
        <v>11461</v>
      </c>
      <c r="K870" t="s">
        <v>15863</v>
      </c>
      <c r="L870">
        <f>HYPERLINK("https://www2.assemblee-nationale.fr/sycomore/fiche/(num_dept)/4362", "4362")</f>
        <v>0</v>
      </c>
      <c r="N870">
        <f>HYPERLINK("https://www.wikidata.org/wiki/Q8313321", "Q8313321")</f>
        <v>0</v>
      </c>
      <c r="O870" t="s">
        <v>19956</v>
      </c>
      <c r="P870" t="s">
        <v>20401</v>
      </c>
      <c r="Q870" t="s">
        <v>20559</v>
      </c>
      <c r="R870" t="s">
        <v>15863</v>
      </c>
      <c r="S870">
        <v>141</v>
      </c>
    </row>
    <row r="871" spans="1:19">
      <c r="A871" t="s">
        <v>20</v>
      </c>
      <c r="B871" t="s">
        <v>148</v>
      </c>
      <c r="C871" t="s">
        <v>152</v>
      </c>
      <c r="D871" t="s">
        <v>281</v>
      </c>
      <c r="E871" t="s">
        <v>410</v>
      </c>
      <c r="F871">
        <f>HYPERLINK("https://www.wikidata.org/wiki/Q33528422", "Q33528422")</f>
        <v>0</v>
      </c>
      <c r="G871" t="s">
        <v>1185</v>
      </c>
      <c r="H871" t="s">
        <v>5915</v>
      </c>
      <c r="I871" t="s">
        <v>9407</v>
      </c>
      <c r="J871" t="s">
        <v>11918</v>
      </c>
      <c r="K871" t="s">
        <v>16319</v>
      </c>
      <c r="L871">
        <f>HYPERLINK("https://www2.assemblee-nationale.fr/sycomore/fiche/(num_dept)/4377", "4377")</f>
        <v>0</v>
      </c>
      <c r="N871">
        <f>HYPERLINK("https://www.wikidata.org/wiki/Q3185212", "Q3185212")</f>
        <v>0</v>
      </c>
      <c r="O871" t="s">
        <v>19969</v>
      </c>
      <c r="P871" t="s">
        <v>20409</v>
      </c>
      <c r="Q871" t="s">
        <v>20559</v>
      </c>
      <c r="R871" t="s">
        <v>410</v>
      </c>
      <c r="S871">
        <v>2051</v>
      </c>
    </row>
    <row r="872" spans="1:19">
      <c r="A872" t="s">
        <v>20</v>
      </c>
      <c r="B872" t="s">
        <v>148</v>
      </c>
      <c r="C872" t="s">
        <v>152</v>
      </c>
      <c r="D872" t="s">
        <v>281</v>
      </c>
      <c r="E872" t="s">
        <v>410</v>
      </c>
      <c r="F872">
        <f>HYPERLINK("https://www.wikidata.org/wiki/Q33528422", "Q33528422")</f>
        <v>0</v>
      </c>
      <c r="G872" t="s">
        <v>713</v>
      </c>
      <c r="H872" t="s">
        <v>5471</v>
      </c>
      <c r="I872" t="s">
        <v>6495</v>
      </c>
      <c r="J872" t="s">
        <v>11462</v>
      </c>
      <c r="K872" t="s">
        <v>15864</v>
      </c>
      <c r="L872">
        <f>HYPERLINK("https://www2.assemblee-nationale.fr/sycomore/fiche/(num_dept)/4810", "4810")</f>
        <v>0</v>
      </c>
      <c r="N872">
        <f>HYPERLINK("https://www.wikidata.org/wiki/Q16026009", "Q16026009")</f>
        <v>0</v>
      </c>
      <c r="O872" t="s">
        <v>20026</v>
      </c>
      <c r="P872" t="s">
        <v>20413</v>
      </c>
      <c r="Q872" t="s">
        <v>20559</v>
      </c>
      <c r="R872" t="s">
        <v>410</v>
      </c>
      <c r="S872">
        <v>2051</v>
      </c>
    </row>
    <row r="873" spans="1:19">
      <c r="A873" t="s">
        <v>20</v>
      </c>
      <c r="B873" t="s">
        <v>148</v>
      </c>
      <c r="C873" t="s">
        <v>152</v>
      </c>
      <c r="D873" t="s">
        <v>281</v>
      </c>
      <c r="E873" t="s">
        <v>410</v>
      </c>
      <c r="F873">
        <f>HYPERLINK("https://www.wikidata.org/wiki/Q33528422", "Q33528422")</f>
        <v>0</v>
      </c>
      <c r="G873" t="s">
        <v>1095</v>
      </c>
      <c r="H873" t="s">
        <v>5837</v>
      </c>
      <c r="I873" t="s">
        <v>9385</v>
      </c>
      <c r="J873" t="s">
        <v>11831</v>
      </c>
      <c r="K873" t="s">
        <v>16231</v>
      </c>
      <c r="L873">
        <f>HYPERLINK("https://www2.assemblee-nationale.fr/sycomore/fiche/(num_dept)/4812", "4812")</f>
        <v>0</v>
      </c>
      <c r="N873">
        <f>HYPERLINK("https://www.wikidata.org/wiki/Q2959663", "Q2959663")</f>
        <v>0</v>
      </c>
      <c r="O873" t="s">
        <v>19992</v>
      </c>
      <c r="P873" t="s">
        <v>20412</v>
      </c>
      <c r="Q873" t="s">
        <v>20559</v>
      </c>
      <c r="R873" t="s">
        <v>410</v>
      </c>
      <c r="S873">
        <v>2051</v>
      </c>
    </row>
    <row r="874" spans="1:19">
      <c r="A874" t="s">
        <v>20</v>
      </c>
      <c r="B874" t="s">
        <v>148</v>
      </c>
      <c r="C874" t="s">
        <v>152</v>
      </c>
      <c r="D874" t="s">
        <v>281</v>
      </c>
      <c r="E874" t="s">
        <v>410</v>
      </c>
      <c r="F874">
        <f>HYPERLINK("https://www.wikidata.org/wiki/Q33528422", "Q33528422")</f>
        <v>0</v>
      </c>
      <c r="G874" t="s">
        <v>989</v>
      </c>
      <c r="H874" t="s">
        <v>5741</v>
      </c>
      <c r="I874" t="s">
        <v>6495</v>
      </c>
      <c r="J874" t="s">
        <v>11727</v>
      </c>
      <c r="K874" t="s">
        <v>16131</v>
      </c>
      <c r="L874">
        <f>HYPERLINK("https://www2.assemblee-nationale.fr/sycomore/fiche/(num_dept)/4831", "4831")</f>
        <v>0</v>
      </c>
      <c r="N874">
        <f>HYPERLINK("https://www.wikidata.org/wiki/Q16026014", "Q16026014")</f>
        <v>0</v>
      </c>
      <c r="O874" t="s">
        <v>19995</v>
      </c>
      <c r="P874" t="s">
        <v>20413</v>
      </c>
      <c r="Q874" t="s">
        <v>20559</v>
      </c>
      <c r="R874" t="s">
        <v>410</v>
      </c>
      <c r="S874">
        <v>2051</v>
      </c>
    </row>
    <row r="875" spans="1:19">
      <c r="A875" t="s">
        <v>20</v>
      </c>
      <c r="B875" t="s">
        <v>148</v>
      </c>
      <c r="C875" t="s">
        <v>152</v>
      </c>
      <c r="D875" t="s">
        <v>281</v>
      </c>
      <c r="E875" t="s">
        <v>410</v>
      </c>
      <c r="F875">
        <f>HYPERLINK("https://www.wikidata.org/wiki/Q33528422", "Q33528422")</f>
        <v>0</v>
      </c>
      <c r="G875" t="s">
        <v>714</v>
      </c>
      <c r="H875" t="s">
        <v>5472</v>
      </c>
      <c r="I875" t="s">
        <v>9493</v>
      </c>
      <c r="J875" t="s">
        <v>11463</v>
      </c>
      <c r="K875" t="s">
        <v>15865</v>
      </c>
      <c r="L875">
        <f>HYPERLINK("https://www2.assemblee-nationale.fr/sycomore/fiche/(num_dept)/4848", "4848")</f>
        <v>0</v>
      </c>
      <c r="N875">
        <f>HYPERLINK("https://www.wikidata.org/wiki/Q3069783", "Q3069783")</f>
        <v>0</v>
      </c>
      <c r="O875" t="s">
        <v>20007</v>
      </c>
      <c r="P875" t="s">
        <v>20410</v>
      </c>
      <c r="Q875" t="s">
        <v>20559</v>
      </c>
      <c r="R875" t="s">
        <v>15865</v>
      </c>
      <c r="S875">
        <v>389</v>
      </c>
    </row>
    <row r="876" spans="1:19">
      <c r="A876" t="s">
        <v>20</v>
      </c>
      <c r="B876" t="s">
        <v>148</v>
      </c>
      <c r="C876" t="s">
        <v>152</v>
      </c>
      <c r="D876" t="s">
        <v>281</v>
      </c>
      <c r="E876" t="s">
        <v>410</v>
      </c>
      <c r="F876">
        <f>HYPERLINK("https://www.wikidata.org/wiki/Q33528422", "Q33528422")</f>
        <v>0</v>
      </c>
      <c r="G876" t="s">
        <v>716</v>
      </c>
      <c r="H876" t="s">
        <v>5474</v>
      </c>
      <c r="I876" t="s">
        <v>9495</v>
      </c>
      <c r="J876" t="s">
        <v>11465</v>
      </c>
      <c r="K876" t="s">
        <v>15867</v>
      </c>
      <c r="L876">
        <f>HYPERLINK("https://www2.assemblee-nationale.fr/sycomore/fiche/(num_dept)/4868", "4868")</f>
        <v>0</v>
      </c>
      <c r="N876">
        <f>HYPERLINK("https://www.wikidata.org/wiki/Q2862011", "Q2862011")</f>
        <v>0</v>
      </c>
      <c r="O876" t="s">
        <v>19957</v>
      </c>
      <c r="P876" t="s">
        <v>20410</v>
      </c>
      <c r="Q876" t="s">
        <v>20559</v>
      </c>
      <c r="R876" t="s">
        <v>15867</v>
      </c>
      <c r="S876">
        <v>1471</v>
      </c>
    </row>
    <row r="877" spans="1:19">
      <c r="A877" t="s">
        <v>20</v>
      </c>
      <c r="B877" t="s">
        <v>148</v>
      </c>
      <c r="C877" t="s">
        <v>152</v>
      </c>
      <c r="D877" t="s">
        <v>281</v>
      </c>
      <c r="E877" t="s">
        <v>410</v>
      </c>
      <c r="F877">
        <f>HYPERLINK("https://www.wikidata.org/wiki/Q33528422", "Q33528422")</f>
        <v>0</v>
      </c>
      <c r="G877" t="s">
        <v>717</v>
      </c>
      <c r="H877" t="s">
        <v>5475</v>
      </c>
      <c r="I877" t="s">
        <v>6585</v>
      </c>
      <c r="J877" t="s">
        <v>11466</v>
      </c>
      <c r="K877" t="s">
        <v>15868</v>
      </c>
      <c r="L877">
        <f>HYPERLINK("https://www2.assemblee-nationale.fr/sycomore/fiche/(num_dept)/4882", "4882")</f>
        <v>0</v>
      </c>
      <c r="N877">
        <f>HYPERLINK("https://www.wikidata.org/wiki/Q318617", "Q318617")</f>
        <v>0</v>
      </c>
      <c r="O877" t="s">
        <v>20030</v>
      </c>
      <c r="P877" t="s">
        <v>20412</v>
      </c>
      <c r="Q877" t="s">
        <v>20559</v>
      </c>
      <c r="R877" t="s">
        <v>410</v>
      </c>
      <c r="S877">
        <v>2051</v>
      </c>
    </row>
    <row r="878" spans="1:19">
      <c r="A878" t="s">
        <v>20</v>
      </c>
      <c r="B878" t="s">
        <v>148</v>
      </c>
      <c r="C878" t="s">
        <v>152</v>
      </c>
      <c r="D878" t="s">
        <v>281</v>
      </c>
      <c r="E878" t="s">
        <v>410</v>
      </c>
      <c r="F878">
        <f>HYPERLINK("https://www.wikidata.org/wiki/Q33528422", "Q33528422")</f>
        <v>0</v>
      </c>
      <c r="G878" t="s">
        <v>990</v>
      </c>
      <c r="H878" t="s">
        <v>5742</v>
      </c>
      <c r="I878" t="s">
        <v>9389</v>
      </c>
      <c r="J878" t="s">
        <v>11728</v>
      </c>
      <c r="K878" t="s">
        <v>16132</v>
      </c>
      <c r="L878">
        <f>HYPERLINK("https://www2.assemblee-nationale.fr/sycomore/fiche/(num_dept)/4888", "4888")</f>
        <v>0</v>
      </c>
      <c r="N878">
        <f>HYPERLINK("https://www.wikidata.org/wiki/Q8327328", "Q8327328")</f>
        <v>0</v>
      </c>
      <c r="O878" t="s">
        <v>20015</v>
      </c>
      <c r="P878" t="s">
        <v>20413</v>
      </c>
      <c r="Q878" t="s">
        <v>20559</v>
      </c>
      <c r="R878" t="s">
        <v>410</v>
      </c>
      <c r="S878">
        <v>2051</v>
      </c>
    </row>
    <row r="879" spans="1:19">
      <c r="A879" t="s">
        <v>20</v>
      </c>
      <c r="B879" t="s">
        <v>148</v>
      </c>
      <c r="C879" t="s">
        <v>152</v>
      </c>
      <c r="D879" t="s">
        <v>281</v>
      </c>
      <c r="E879" t="s">
        <v>410</v>
      </c>
      <c r="F879">
        <f>HYPERLINK("https://www.wikidata.org/wiki/Q33528422", "Q33528422")</f>
        <v>0</v>
      </c>
      <c r="G879" t="s">
        <v>718</v>
      </c>
      <c r="H879" t="s">
        <v>5476</v>
      </c>
      <c r="I879" t="s">
        <v>6584</v>
      </c>
      <c r="J879" t="s">
        <v>11467</v>
      </c>
      <c r="K879" t="s">
        <v>15869</v>
      </c>
      <c r="L879">
        <f>HYPERLINK("https://www2.assemblee-nationale.fr/sycomore/fiche/(num_dept)/4896", "4896")</f>
        <v>0</v>
      </c>
      <c r="N879">
        <f>HYPERLINK("https://www.wikidata.org/wiki/Q2831366", "Q2831366")</f>
        <v>0</v>
      </c>
      <c r="O879" t="s">
        <v>19985</v>
      </c>
      <c r="P879" t="s">
        <v>20406</v>
      </c>
      <c r="Q879" t="s">
        <v>20559</v>
      </c>
      <c r="R879" t="s">
        <v>410</v>
      </c>
      <c r="S879">
        <v>2051</v>
      </c>
    </row>
    <row r="880" spans="1:19">
      <c r="A880" t="s">
        <v>20</v>
      </c>
      <c r="B880" t="s">
        <v>148</v>
      </c>
      <c r="C880" t="s">
        <v>152</v>
      </c>
      <c r="D880" t="s">
        <v>281</v>
      </c>
      <c r="E880" t="s">
        <v>410</v>
      </c>
      <c r="F880">
        <f>HYPERLINK("https://www.wikidata.org/wiki/Q33528422", "Q33528422")</f>
        <v>0</v>
      </c>
      <c r="G880" t="s">
        <v>720</v>
      </c>
      <c r="H880" t="s">
        <v>5478</v>
      </c>
      <c r="I880" t="s">
        <v>5528</v>
      </c>
      <c r="J880" t="s">
        <v>11469</v>
      </c>
      <c r="K880" t="s">
        <v>15871</v>
      </c>
      <c r="L880">
        <f>HYPERLINK("https://www2.assemblee-nationale.fr/sycomore/fiche/(num_dept)/4921", "4921")</f>
        <v>0</v>
      </c>
      <c r="N880">
        <f>HYPERLINK("https://www.wikidata.org/wiki/Q13416934", "Q13416934")</f>
        <v>0</v>
      </c>
      <c r="O880" t="s">
        <v>19960</v>
      </c>
      <c r="P880" t="s">
        <v>20413</v>
      </c>
      <c r="Q880" t="s">
        <v>20559</v>
      </c>
      <c r="R880" t="s">
        <v>410</v>
      </c>
      <c r="S880">
        <v>2051</v>
      </c>
    </row>
    <row r="881" spans="1:19">
      <c r="A881" t="s">
        <v>20</v>
      </c>
      <c r="B881" t="s">
        <v>148</v>
      </c>
      <c r="C881" t="s">
        <v>152</v>
      </c>
      <c r="D881" t="s">
        <v>281</v>
      </c>
      <c r="E881" t="s">
        <v>410</v>
      </c>
      <c r="F881">
        <f>HYPERLINK("https://www.wikidata.org/wiki/Q33528422", "Q33528422")</f>
        <v>0</v>
      </c>
      <c r="G881" t="s">
        <v>721</v>
      </c>
      <c r="H881" t="s">
        <v>5479</v>
      </c>
      <c r="I881" t="s">
        <v>6495</v>
      </c>
      <c r="J881" t="s">
        <v>11470</v>
      </c>
      <c r="K881" t="s">
        <v>15872</v>
      </c>
      <c r="L881">
        <f>HYPERLINK("https://www2.assemblee-nationale.fr/sycomore/fiche/(num_dept)/4940", "4940")</f>
        <v>0</v>
      </c>
      <c r="N881">
        <f>HYPERLINK("https://www.wikidata.org/wiki/Q3262600", "Q3262600")</f>
        <v>0</v>
      </c>
      <c r="O881" t="s">
        <v>19974</v>
      </c>
      <c r="P881" t="s">
        <v>20413</v>
      </c>
      <c r="Q881" t="s">
        <v>20559</v>
      </c>
      <c r="R881" t="s">
        <v>410</v>
      </c>
      <c r="S881">
        <v>2051</v>
      </c>
    </row>
    <row r="882" spans="1:19">
      <c r="A882" t="s">
        <v>20</v>
      </c>
      <c r="B882" t="s">
        <v>148</v>
      </c>
      <c r="C882" t="s">
        <v>152</v>
      </c>
      <c r="D882" t="s">
        <v>281</v>
      </c>
      <c r="E882" t="s">
        <v>410</v>
      </c>
      <c r="F882">
        <f>HYPERLINK("https://www.wikidata.org/wiki/Q33528422", "Q33528422")</f>
        <v>0</v>
      </c>
      <c r="G882" t="s">
        <v>722</v>
      </c>
      <c r="H882" t="s">
        <v>5480</v>
      </c>
      <c r="I882" t="s">
        <v>9465</v>
      </c>
      <c r="J882" t="s">
        <v>11471</v>
      </c>
      <c r="K882" t="s">
        <v>15873</v>
      </c>
      <c r="L882">
        <f>HYPERLINK("https://www2.assemblee-nationale.fr/sycomore/fiche/(num_dept)/4954", "4954")</f>
        <v>0</v>
      </c>
      <c r="M882">
        <f>HYPERLINK("https://www.senat.fr/senateur-3eme-republique/mando_eugene0573r3.html", "mando_eugene0573r3")</f>
        <v>0</v>
      </c>
      <c r="N882">
        <f>HYPERLINK("https://www.wikidata.org/wiki/Q3060013", "Q3060013")</f>
        <v>0</v>
      </c>
      <c r="O882" t="s">
        <v>19964</v>
      </c>
      <c r="P882" t="s">
        <v>20412</v>
      </c>
      <c r="Q882" t="s">
        <v>20559</v>
      </c>
      <c r="R882" t="s">
        <v>410</v>
      </c>
      <c r="S882">
        <v>2051</v>
      </c>
    </row>
    <row r="883" spans="1:19">
      <c r="A883" t="s">
        <v>20</v>
      </c>
      <c r="B883" t="s">
        <v>148</v>
      </c>
      <c r="C883" t="s">
        <v>152</v>
      </c>
      <c r="D883" t="s">
        <v>281</v>
      </c>
      <c r="E883" t="s">
        <v>410</v>
      </c>
      <c r="F883">
        <f>HYPERLINK("https://www.wikidata.org/wiki/Q33528422", "Q33528422")</f>
        <v>0</v>
      </c>
      <c r="G883" t="s">
        <v>724</v>
      </c>
      <c r="H883" t="s">
        <v>5482</v>
      </c>
      <c r="I883" t="s">
        <v>6495</v>
      </c>
      <c r="J883" t="s">
        <v>11473</v>
      </c>
      <c r="K883" t="s">
        <v>15875</v>
      </c>
      <c r="L883">
        <f>HYPERLINK("https://www2.assemblee-nationale.fr/sycomore/fiche/(num_dept)/5001", "5001")</f>
        <v>0</v>
      </c>
      <c r="N883">
        <f>HYPERLINK("https://www.wikidata.org/wiki/Q1229977", "Q1229977")</f>
        <v>0</v>
      </c>
      <c r="O883" t="s">
        <v>20007</v>
      </c>
      <c r="P883" t="s">
        <v>20414</v>
      </c>
      <c r="Q883" t="s">
        <v>20559</v>
      </c>
      <c r="R883" t="s">
        <v>410</v>
      </c>
      <c r="S883">
        <v>2051</v>
      </c>
    </row>
    <row r="884" spans="1:19">
      <c r="A884" t="s">
        <v>20</v>
      </c>
      <c r="B884" t="s">
        <v>148</v>
      </c>
      <c r="C884" t="s">
        <v>152</v>
      </c>
      <c r="D884" t="s">
        <v>281</v>
      </c>
      <c r="E884" t="s">
        <v>410</v>
      </c>
      <c r="F884">
        <f>HYPERLINK("https://www.wikidata.org/wiki/Q33528422", "Q33528422")</f>
        <v>0</v>
      </c>
      <c r="G884" t="s">
        <v>725</v>
      </c>
      <c r="H884" t="s">
        <v>5483</v>
      </c>
      <c r="I884" t="s">
        <v>9497</v>
      </c>
      <c r="J884" t="s">
        <v>11474</v>
      </c>
      <c r="K884" t="s">
        <v>15876</v>
      </c>
      <c r="L884">
        <f>HYPERLINK("https://www2.assemblee-nationale.fr/sycomore/fiche/(num_dept)/5024", "5024")</f>
        <v>0</v>
      </c>
      <c r="M884">
        <f>HYPERLINK("https://www.senat.fr/senateur-3eme-republique/marrou_baptiste0987r3.html", "marrou_baptiste0987r3")</f>
        <v>0</v>
      </c>
      <c r="N884">
        <f>HYPERLINK("https://www.wikidata.org/wiki/Q2883668", "Q2883668")</f>
        <v>0</v>
      </c>
      <c r="O884" t="s">
        <v>20005</v>
      </c>
      <c r="P884" t="s">
        <v>20413</v>
      </c>
      <c r="Q884" t="s">
        <v>20559</v>
      </c>
      <c r="R884" t="s">
        <v>410</v>
      </c>
      <c r="S884">
        <v>2051</v>
      </c>
    </row>
    <row r="885" spans="1:19">
      <c r="A885" t="s">
        <v>20</v>
      </c>
      <c r="B885" t="s">
        <v>148</v>
      </c>
      <c r="C885" t="s">
        <v>152</v>
      </c>
      <c r="D885" t="s">
        <v>281</v>
      </c>
      <c r="E885" t="s">
        <v>410</v>
      </c>
      <c r="F885">
        <f>HYPERLINK("https://www.wikidata.org/wiki/Q33528422", "Q33528422")</f>
        <v>0</v>
      </c>
      <c r="G885" t="s">
        <v>1186</v>
      </c>
      <c r="H885" t="s">
        <v>5916</v>
      </c>
      <c r="I885" t="s">
        <v>6860</v>
      </c>
      <c r="J885" t="s">
        <v>11919</v>
      </c>
      <c r="K885" t="s">
        <v>16320</v>
      </c>
      <c r="L885">
        <f>HYPERLINK("https://www2.assemblee-nationale.fr/sycomore/fiche/(num_dept)/5078", "5078")</f>
        <v>0</v>
      </c>
      <c r="M885">
        <f>HYPERLINK("https://www.senat.fr/senateur-3eme-republique/masse_pierre0241r3.html", "masse_pierre0241r3")</f>
        <v>0</v>
      </c>
      <c r="N885">
        <f>HYPERLINK("https://www.wikidata.org/wiki/Q3386188", "Q3386188")</f>
        <v>0</v>
      </c>
      <c r="O885" t="s">
        <v>7411</v>
      </c>
      <c r="P885" t="s">
        <v>20401</v>
      </c>
      <c r="Q885" t="s">
        <v>20559</v>
      </c>
      <c r="R885" t="s">
        <v>410</v>
      </c>
      <c r="S885">
        <v>2051</v>
      </c>
    </row>
    <row r="886" spans="1:19">
      <c r="A886" t="s">
        <v>20</v>
      </c>
      <c r="B886" t="s">
        <v>148</v>
      </c>
      <c r="C886" t="s">
        <v>152</v>
      </c>
      <c r="D886" t="s">
        <v>281</v>
      </c>
      <c r="E886" t="s">
        <v>410</v>
      </c>
      <c r="F886">
        <f>HYPERLINK("https://www.wikidata.org/wiki/Q33528422", "Q33528422")</f>
        <v>0</v>
      </c>
      <c r="G886" t="s">
        <v>727</v>
      </c>
      <c r="H886" t="s">
        <v>5485</v>
      </c>
      <c r="I886" t="s">
        <v>9499</v>
      </c>
      <c r="J886" t="s">
        <v>11476</v>
      </c>
      <c r="K886" t="s">
        <v>15878</v>
      </c>
      <c r="L886">
        <f>HYPERLINK("https://www2.assemblee-nationale.fr/sycomore/fiche/(num_dept)/5102", "5102")</f>
        <v>0</v>
      </c>
      <c r="N886">
        <f>HYPERLINK("https://www.wikidata.org/wiki/Q16026067", "Q16026067")</f>
        <v>0</v>
      </c>
      <c r="O886" t="s">
        <v>20017</v>
      </c>
      <c r="P886" t="s">
        <v>20401</v>
      </c>
      <c r="Q886" t="s">
        <v>20559</v>
      </c>
      <c r="R886" t="s">
        <v>15878</v>
      </c>
      <c r="S886">
        <v>1141</v>
      </c>
    </row>
    <row r="887" spans="1:19">
      <c r="A887" t="s">
        <v>20</v>
      </c>
      <c r="B887" t="s">
        <v>148</v>
      </c>
      <c r="C887" t="s">
        <v>152</v>
      </c>
      <c r="D887" t="s">
        <v>281</v>
      </c>
      <c r="E887" t="s">
        <v>410</v>
      </c>
      <c r="F887">
        <f>HYPERLINK("https://www.wikidata.org/wiki/Q33528422", "Q33528422")</f>
        <v>0</v>
      </c>
      <c r="G887" t="s">
        <v>1000</v>
      </c>
      <c r="H887" t="s">
        <v>5751</v>
      </c>
      <c r="I887" t="s">
        <v>9615</v>
      </c>
      <c r="J887" t="s">
        <v>11349</v>
      </c>
      <c r="K887" t="s">
        <v>16141</v>
      </c>
      <c r="L887">
        <f>HYPERLINK("https://www2.assemblee-nationale.fr/sycomore/fiche/(num_dept)/5111", "5111")</f>
        <v>0</v>
      </c>
      <c r="M887">
        <f>HYPERLINK("https://www.senat.fr/senateur-3eme-republique/mauger_hippolyte0446r3.html", "mauger_hippolyte0446r3")</f>
        <v>0</v>
      </c>
      <c r="N887">
        <f>HYPERLINK("https://www.wikidata.org/wiki/Q3136085", "Q3136085")</f>
        <v>0</v>
      </c>
      <c r="O887" t="s">
        <v>19996</v>
      </c>
      <c r="P887" t="s">
        <v>20404</v>
      </c>
      <c r="Q887" t="s">
        <v>20559</v>
      </c>
      <c r="R887" t="s">
        <v>410</v>
      </c>
      <c r="S887">
        <v>2051</v>
      </c>
    </row>
    <row r="888" spans="1:19">
      <c r="A888" t="s">
        <v>20</v>
      </c>
      <c r="B888" t="s">
        <v>148</v>
      </c>
      <c r="C888" t="s">
        <v>152</v>
      </c>
      <c r="D888" t="s">
        <v>281</v>
      </c>
      <c r="E888" t="s">
        <v>410</v>
      </c>
      <c r="F888">
        <f>HYPERLINK("https://www.wikidata.org/wiki/Q33528422", "Q33528422")</f>
        <v>0</v>
      </c>
      <c r="G888" t="s">
        <v>1123</v>
      </c>
      <c r="H888" t="s">
        <v>5486</v>
      </c>
      <c r="I888" t="s">
        <v>7911</v>
      </c>
      <c r="J888" t="s">
        <v>11857</v>
      </c>
      <c r="K888" t="s">
        <v>16259</v>
      </c>
      <c r="L888">
        <f>HYPERLINK("https://www2.assemblee-nationale.fr/sycomore/fiche/(num_dept)/5119", "5119")</f>
        <v>0</v>
      </c>
      <c r="N888">
        <f>HYPERLINK("https://www.wikidata.org/wiki/Q8306400", "Q8306400")</f>
        <v>0</v>
      </c>
      <c r="O888" t="s">
        <v>19971</v>
      </c>
      <c r="P888" t="s">
        <v>20414</v>
      </c>
      <c r="Q888" t="s">
        <v>20559</v>
      </c>
      <c r="R888" t="s">
        <v>410</v>
      </c>
      <c r="S888">
        <v>2051</v>
      </c>
    </row>
    <row r="889" spans="1:19">
      <c r="A889" t="s">
        <v>20</v>
      </c>
      <c r="B889" t="s">
        <v>148</v>
      </c>
      <c r="C889" t="s">
        <v>152</v>
      </c>
      <c r="D889" t="s">
        <v>281</v>
      </c>
      <c r="E889" t="s">
        <v>410</v>
      </c>
      <c r="F889">
        <f>HYPERLINK("https://www.wikidata.org/wiki/Q33528422", "Q33528422")</f>
        <v>0</v>
      </c>
      <c r="G889" t="s">
        <v>729</v>
      </c>
      <c r="H889" t="s">
        <v>5487</v>
      </c>
      <c r="I889" t="s">
        <v>9500</v>
      </c>
      <c r="J889" t="s">
        <v>11478</v>
      </c>
      <c r="K889" t="s">
        <v>15880</v>
      </c>
      <c r="L889">
        <f>HYPERLINK("https://www2.assemblee-nationale.fr/sycomore/fiche/(num_dept)/5186", "5186")</f>
        <v>0</v>
      </c>
      <c r="N889">
        <f>HYPERLINK("https://www.wikidata.org/wiki/Q15971947", "Q15971947")</f>
        <v>0</v>
      </c>
      <c r="O889" t="s">
        <v>20007</v>
      </c>
      <c r="P889" t="s">
        <v>20412</v>
      </c>
      <c r="Q889" t="s">
        <v>20559</v>
      </c>
      <c r="R889" t="s">
        <v>15880</v>
      </c>
      <c r="S889">
        <v>1922</v>
      </c>
    </row>
    <row r="890" spans="1:19">
      <c r="A890" t="s">
        <v>20</v>
      </c>
      <c r="B890" t="s">
        <v>148</v>
      </c>
      <c r="C890" t="s">
        <v>152</v>
      </c>
      <c r="D890" t="s">
        <v>281</v>
      </c>
      <c r="E890" t="s">
        <v>410</v>
      </c>
      <c r="F890">
        <f>HYPERLINK("https://www.wikidata.org/wiki/Q33528422", "Q33528422")</f>
        <v>0</v>
      </c>
      <c r="G890" t="s">
        <v>1187</v>
      </c>
      <c r="H890" t="s">
        <v>5917</v>
      </c>
      <c r="I890" t="s">
        <v>6158</v>
      </c>
      <c r="J890" t="s">
        <v>11920</v>
      </c>
      <c r="K890" t="s">
        <v>16321</v>
      </c>
      <c r="L890">
        <f>HYPERLINK("https://www2.assemblee-nationale.fr/sycomore/fiche/(num_dept)/5215", "5215")</f>
        <v>0</v>
      </c>
      <c r="N890">
        <f>HYPERLINK("https://www.wikidata.org/wiki/Q16026092", "Q16026092")</f>
        <v>0</v>
      </c>
      <c r="O890" t="s">
        <v>19987</v>
      </c>
      <c r="P890" t="s">
        <v>20412</v>
      </c>
      <c r="Q890" t="s">
        <v>20559</v>
      </c>
      <c r="R890" t="s">
        <v>16321</v>
      </c>
      <c r="S890">
        <v>70</v>
      </c>
    </row>
    <row r="891" spans="1:19">
      <c r="A891" t="s">
        <v>20</v>
      </c>
      <c r="B891" t="s">
        <v>148</v>
      </c>
      <c r="C891" t="s">
        <v>152</v>
      </c>
      <c r="D891" t="s">
        <v>281</v>
      </c>
      <c r="E891" t="s">
        <v>410</v>
      </c>
      <c r="F891">
        <f>HYPERLINK("https://www.wikidata.org/wiki/Q33528422", "Q33528422")</f>
        <v>0</v>
      </c>
      <c r="G891" t="s">
        <v>1003</v>
      </c>
      <c r="H891" t="s">
        <v>5754</v>
      </c>
      <c r="I891" t="s">
        <v>9534</v>
      </c>
      <c r="J891" t="s">
        <v>11740</v>
      </c>
      <c r="K891" t="s">
        <v>16144</v>
      </c>
      <c r="L891">
        <f>HYPERLINK("https://www2.assemblee-nationale.fr/sycomore/fiche/(num_dept)/5219", "5219")</f>
        <v>0</v>
      </c>
      <c r="M891">
        <f>HYPERLINK("https://www.senat.fr/senateur-3eme-republique/messimy_adolphe0021r3.html", "messimy_adolphe0021r3")</f>
        <v>0</v>
      </c>
      <c r="N891">
        <f>HYPERLINK("https://www.wikidata.org/wiki/Q365771", "Q365771")</f>
        <v>0</v>
      </c>
      <c r="O891" t="s">
        <v>19986</v>
      </c>
      <c r="P891" t="s">
        <v>20413</v>
      </c>
      <c r="Q891" t="s">
        <v>20559</v>
      </c>
      <c r="R891" t="s">
        <v>410</v>
      </c>
      <c r="S891">
        <v>2051</v>
      </c>
    </row>
    <row r="892" spans="1:19">
      <c r="A892" t="s">
        <v>20</v>
      </c>
      <c r="B892" t="s">
        <v>148</v>
      </c>
      <c r="C892" t="s">
        <v>152</v>
      </c>
      <c r="D892" t="s">
        <v>281</v>
      </c>
      <c r="E892" t="s">
        <v>410</v>
      </c>
      <c r="F892">
        <f>HYPERLINK("https://www.wikidata.org/wiki/Q33528422", "Q33528422")</f>
        <v>0</v>
      </c>
      <c r="G892" t="s">
        <v>730</v>
      </c>
      <c r="H892" t="s">
        <v>5488</v>
      </c>
      <c r="I892" t="s">
        <v>6584</v>
      </c>
      <c r="J892" t="s">
        <v>11479</v>
      </c>
      <c r="K892" t="s">
        <v>15881</v>
      </c>
      <c r="L892">
        <f>HYPERLINK("https://www2.assemblee-nationale.fr/sycomore/fiche/(num_dept)/5228", "5228")</f>
        <v>0</v>
      </c>
      <c r="N892">
        <f>HYPERLINK("https://www.wikidata.org/wiki/Q2831425", "Q2831425")</f>
        <v>0</v>
      </c>
      <c r="O892" t="s">
        <v>19973</v>
      </c>
      <c r="P892" t="s">
        <v>20413</v>
      </c>
      <c r="Q892" t="s">
        <v>20559</v>
      </c>
      <c r="R892" t="s">
        <v>15881</v>
      </c>
      <c r="S892">
        <v>1572</v>
      </c>
    </row>
    <row r="893" spans="1:19">
      <c r="A893" t="s">
        <v>20</v>
      </c>
      <c r="B893" t="s">
        <v>148</v>
      </c>
      <c r="C893" t="s">
        <v>152</v>
      </c>
      <c r="D893" t="s">
        <v>281</v>
      </c>
      <c r="E893" t="s">
        <v>410</v>
      </c>
      <c r="F893">
        <f>HYPERLINK("https://www.wikidata.org/wiki/Q33528422", "Q33528422")</f>
        <v>0</v>
      </c>
      <c r="G893" t="s">
        <v>731</v>
      </c>
      <c r="H893" t="s">
        <v>5489</v>
      </c>
      <c r="I893" t="s">
        <v>9388</v>
      </c>
      <c r="J893" t="s">
        <v>11480</v>
      </c>
      <c r="K893" t="s">
        <v>15882</v>
      </c>
      <c r="L893">
        <f>HYPERLINK("https://www2.assemblee-nationale.fr/sycomore/fiche/(num_dept)/5235", "5235")</f>
        <v>0</v>
      </c>
      <c r="N893">
        <f>HYPERLINK("https://www.wikidata.org/wiki/Q13089612", "Q13089612")</f>
        <v>0</v>
      </c>
      <c r="O893" t="s">
        <v>8449</v>
      </c>
      <c r="P893" t="s">
        <v>20406</v>
      </c>
      <c r="Q893" t="s">
        <v>20559</v>
      </c>
      <c r="R893" t="s">
        <v>410</v>
      </c>
      <c r="S893">
        <v>2051</v>
      </c>
    </row>
    <row r="894" spans="1:19">
      <c r="A894" t="s">
        <v>20</v>
      </c>
      <c r="B894" t="s">
        <v>148</v>
      </c>
      <c r="C894" t="s">
        <v>152</v>
      </c>
      <c r="D894" t="s">
        <v>281</v>
      </c>
      <c r="E894" t="s">
        <v>410</v>
      </c>
      <c r="F894">
        <f>HYPERLINK("https://www.wikidata.org/wiki/Q33528422", "Q33528422")</f>
        <v>0</v>
      </c>
      <c r="G894" t="s">
        <v>1133</v>
      </c>
      <c r="H894" t="s">
        <v>5869</v>
      </c>
      <c r="I894" t="s">
        <v>9385</v>
      </c>
      <c r="J894" t="s">
        <v>11867</v>
      </c>
      <c r="K894" t="s">
        <v>16269</v>
      </c>
      <c r="L894">
        <f>HYPERLINK("https://www2.assemblee-nationale.fr/sycomore/fiche/(num_dept)/5237", "5237")</f>
        <v>0</v>
      </c>
      <c r="M894">
        <f>HYPERLINK("https://www.senat.fr/senateur-3eme-republique/meunier_surcouf_charles0593r3.html", "meunier_surcouf_charles0593r3")</f>
        <v>0</v>
      </c>
      <c r="N894">
        <f>HYPERLINK("https://www.wikidata.org/wiki/Q2959806", "Q2959806")</f>
        <v>0</v>
      </c>
      <c r="O894" t="s">
        <v>19964</v>
      </c>
      <c r="P894" t="s">
        <v>20409</v>
      </c>
      <c r="Q894" t="s">
        <v>20559</v>
      </c>
      <c r="R894" t="s">
        <v>410</v>
      </c>
      <c r="S894">
        <v>2051</v>
      </c>
    </row>
    <row r="895" spans="1:19">
      <c r="A895" t="s">
        <v>20</v>
      </c>
      <c r="B895" t="s">
        <v>148</v>
      </c>
      <c r="C895" t="s">
        <v>152</v>
      </c>
      <c r="D895" t="s">
        <v>281</v>
      </c>
      <c r="E895" t="s">
        <v>410</v>
      </c>
      <c r="F895">
        <f>HYPERLINK("https://www.wikidata.org/wiki/Q33528422", "Q33528422")</f>
        <v>0</v>
      </c>
      <c r="G895" t="s">
        <v>1124</v>
      </c>
      <c r="H895" t="s">
        <v>5862</v>
      </c>
      <c r="I895" t="s">
        <v>9457</v>
      </c>
      <c r="J895" t="s">
        <v>11858</v>
      </c>
      <c r="K895" t="s">
        <v>16260</v>
      </c>
      <c r="L895">
        <f>HYPERLINK("https://www2.assemblee-nationale.fr/sycomore/fiche/(num_dept)/5277", "5277")</f>
        <v>0</v>
      </c>
      <c r="N895">
        <f>HYPERLINK("https://www.wikidata.org/wiki/Q16026102", "Q16026102")</f>
        <v>0</v>
      </c>
      <c r="O895" t="s">
        <v>19971</v>
      </c>
      <c r="P895" t="s">
        <v>20402</v>
      </c>
      <c r="Q895" t="s">
        <v>20559</v>
      </c>
      <c r="R895" t="s">
        <v>410</v>
      </c>
      <c r="S895">
        <v>2051</v>
      </c>
    </row>
    <row r="896" spans="1:19">
      <c r="A896" t="s">
        <v>20</v>
      </c>
      <c r="B896" t="s">
        <v>148</v>
      </c>
      <c r="C896" t="s">
        <v>152</v>
      </c>
      <c r="D896" t="s">
        <v>281</v>
      </c>
      <c r="E896" t="s">
        <v>410</v>
      </c>
      <c r="F896">
        <f>HYPERLINK("https://www.wikidata.org/wiki/Q33528422", "Q33528422")</f>
        <v>0</v>
      </c>
      <c r="G896" t="s">
        <v>1005</v>
      </c>
      <c r="H896" t="s">
        <v>5756</v>
      </c>
      <c r="I896" t="s">
        <v>9553</v>
      </c>
      <c r="J896" t="s">
        <v>11742</v>
      </c>
      <c r="K896" t="s">
        <v>16146</v>
      </c>
      <c r="L896">
        <f>HYPERLINK("https://www2.assemblee-nationale.fr/sycomore/fiche/(num_dept)/5284", "5284")</f>
        <v>0</v>
      </c>
      <c r="M896">
        <f>HYPERLINK("https://www.senat.fr/senateur-3eme-republique/millerand_alexandre0910r3.html", "millerand_alexandre0910r3")</f>
        <v>0</v>
      </c>
      <c r="N896">
        <f>HYPERLINK("https://www.wikidata.org/wiki/Q274540", "Q274540")</f>
        <v>0</v>
      </c>
      <c r="O896" t="s">
        <v>19969</v>
      </c>
      <c r="P896" t="s">
        <v>20415</v>
      </c>
      <c r="Q896" t="s">
        <v>20559</v>
      </c>
      <c r="R896" t="s">
        <v>410</v>
      </c>
      <c r="S896">
        <v>2051</v>
      </c>
    </row>
    <row r="897" spans="1:19">
      <c r="A897" t="s">
        <v>20</v>
      </c>
      <c r="B897" t="s">
        <v>148</v>
      </c>
      <c r="C897" t="s">
        <v>152</v>
      </c>
      <c r="D897" t="s">
        <v>281</v>
      </c>
      <c r="E897" t="s">
        <v>410</v>
      </c>
      <c r="F897">
        <f>HYPERLINK("https://www.wikidata.org/wiki/Q33528422", "Q33528422")</f>
        <v>0</v>
      </c>
      <c r="G897" t="s">
        <v>732</v>
      </c>
      <c r="H897" t="s">
        <v>5490</v>
      </c>
      <c r="I897" t="s">
        <v>9455</v>
      </c>
      <c r="J897" t="s">
        <v>11481</v>
      </c>
      <c r="K897" t="s">
        <v>15883</v>
      </c>
      <c r="L897">
        <f>HYPERLINK("https://www2.assemblee-nationale.fr/sycomore/fiche/(num_dept)/5286", "5286")</f>
        <v>0</v>
      </c>
      <c r="N897">
        <f>HYPERLINK("https://www.wikidata.org/wiki/Q3265642", "Q3265642")</f>
        <v>0</v>
      </c>
      <c r="O897" t="s">
        <v>19969</v>
      </c>
      <c r="P897" t="s">
        <v>20409</v>
      </c>
      <c r="Q897" t="s">
        <v>20559</v>
      </c>
      <c r="R897" t="s">
        <v>15883</v>
      </c>
      <c r="S897">
        <v>1429</v>
      </c>
    </row>
    <row r="898" spans="1:19">
      <c r="A898" t="s">
        <v>20</v>
      </c>
      <c r="B898" t="s">
        <v>148</v>
      </c>
      <c r="C898" t="s">
        <v>152</v>
      </c>
      <c r="D898" t="s">
        <v>281</v>
      </c>
      <c r="E898" t="s">
        <v>410</v>
      </c>
      <c r="F898">
        <f>HYPERLINK("https://www.wikidata.org/wiki/Q33528422", "Q33528422")</f>
        <v>0</v>
      </c>
      <c r="G898" t="s">
        <v>733</v>
      </c>
      <c r="H898" t="s">
        <v>5491</v>
      </c>
      <c r="I898" t="s">
        <v>6158</v>
      </c>
      <c r="J898" t="s">
        <v>11482</v>
      </c>
      <c r="K898" t="s">
        <v>15884</v>
      </c>
      <c r="L898">
        <f>HYPERLINK("https://www2.assemblee-nationale.fr/sycomore/fiche/(num_dept)/5288", "5288")</f>
        <v>0</v>
      </c>
      <c r="N898">
        <f>HYPERLINK("https://www.wikidata.org/wiki/Q8300260", "Q8300260")</f>
        <v>0</v>
      </c>
      <c r="O898" t="s">
        <v>20034</v>
      </c>
      <c r="P898" t="s">
        <v>20401</v>
      </c>
      <c r="Q898" t="s">
        <v>20559</v>
      </c>
      <c r="R898" t="s">
        <v>410</v>
      </c>
      <c r="S898">
        <v>2051</v>
      </c>
    </row>
    <row r="899" spans="1:19">
      <c r="A899" t="s">
        <v>20</v>
      </c>
      <c r="B899" t="s">
        <v>148</v>
      </c>
      <c r="C899" t="s">
        <v>152</v>
      </c>
      <c r="D899" t="s">
        <v>281</v>
      </c>
      <c r="E899" t="s">
        <v>410</v>
      </c>
      <c r="F899">
        <f>HYPERLINK("https://www.wikidata.org/wiki/Q33528422", "Q33528422")</f>
        <v>0</v>
      </c>
      <c r="G899" t="s">
        <v>734</v>
      </c>
      <c r="H899" t="s">
        <v>5492</v>
      </c>
      <c r="I899" t="s">
        <v>6200</v>
      </c>
      <c r="J899" t="s">
        <v>11483</v>
      </c>
      <c r="K899" t="s">
        <v>15885</v>
      </c>
      <c r="L899">
        <f>HYPERLINK("https://www2.assemblee-nationale.fr/sycomore/fiche/(num_dept)/5337", "5337")</f>
        <v>0</v>
      </c>
      <c r="M899">
        <f>HYPERLINK("https://www.senat.fr/senateur-3eme-republique/monestier_clement0859r3.html", "monestier_clement0859r3")</f>
        <v>0</v>
      </c>
      <c r="N899">
        <f>HYPERLINK("https://www.wikidata.org/wiki/Q3173571", "Q3173571")</f>
        <v>0</v>
      </c>
      <c r="O899" t="s">
        <v>20004</v>
      </c>
      <c r="P899" t="s">
        <v>20413</v>
      </c>
      <c r="Q899" t="s">
        <v>20559</v>
      </c>
      <c r="R899" t="s">
        <v>410</v>
      </c>
      <c r="S899">
        <v>2051</v>
      </c>
    </row>
    <row r="900" spans="1:19">
      <c r="A900" t="s">
        <v>20</v>
      </c>
      <c r="B900" t="s">
        <v>148</v>
      </c>
      <c r="C900" t="s">
        <v>152</v>
      </c>
      <c r="D900" t="s">
        <v>281</v>
      </c>
      <c r="E900" t="s">
        <v>410</v>
      </c>
      <c r="F900">
        <f>HYPERLINK("https://www.wikidata.org/wiki/Q33528422", "Q33528422")</f>
        <v>0</v>
      </c>
      <c r="G900" t="s">
        <v>736</v>
      </c>
      <c r="H900" t="s">
        <v>5494</v>
      </c>
      <c r="I900" t="s">
        <v>9501</v>
      </c>
      <c r="J900" t="s">
        <v>11485</v>
      </c>
      <c r="K900" t="s">
        <v>15887</v>
      </c>
      <c r="L900">
        <f>HYPERLINK("https://www2.assemblee-nationale.fr/sycomore/fiche/(num_dept)/5363", "5363")</f>
        <v>0</v>
      </c>
      <c r="N900">
        <f>HYPERLINK("https://www.wikidata.org/wiki/Q3142134", "Q3142134")</f>
        <v>0</v>
      </c>
      <c r="O900" t="s">
        <v>20023</v>
      </c>
      <c r="P900" t="s">
        <v>20408</v>
      </c>
      <c r="Q900" t="s">
        <v>20559</v>
      </c>
      <c r="R900" t="s">
        <v>410</v>
      </c>
      <c r="S900">
        <v>2051</v>
      </c>
    </row>
    <row r="901" spans="1:19">
      <c r="A901" t="s">
        <v>20</v>
      </c>
      <c r="B901" t="s">
        <v>148</v>
      </c>
      <c r="C901" t="s">
        <v>152</v>
      </c>
      <c r="D901" t="s">
        <v>281</v>
      </c>
      <c r="E901" t="s">
        <v>410</v>
      </c>
      <c r="F901">
        <f>HYPERLINK("https://www.wikidata.org/wiki/Q33528422", "Q33528422")</f>
        <v>0</v>
      </c>
      <c r="G901" t="s">
        <v>1188</v>
      </c>
      <c r="H901" t="s">
        <v>5918</v>
      </c>
      <c r="I901" t="s">
        <v>9457</v>
      </c>
      <c r="J901" t="s">
        <v>11921</v>
      </c>
      <c r="K901" t="s">
        <v>16322</v>
      </c>
      <c r="L901">
        <f>HYPERLINK("https://www2.assemblee-nationale.fr/sycomore/fiche/(num_dept)/5387", "5387")</f>
        <v>0</v>
      </c>
      <c r="M901">
        <f>HYPERLINK("https://www.senat.fr/senateur-3eme-republique/de_monti_de_reze_henri0960r3.html", "de_monti_de_reze_henri0960r3")</f>
        <v>0</v>
      </c>
      <c r="N901">
        <f>HYPERLINK("https://www.wikidata.org/wiki/Q3132339", "Q3132339")</f>
        <v>0</v>
      </c>
      <c r="O901" t="s">
        <v>19984</v>
      </c>
      <c r="P901" t="s">
        <v>20409</v>
      </c>
      <c r="Q901" t="s">
        <v>20559</v>
      </c>
      <c r="R901" t="s">
        <v>410</v>
      </c>
      <c r="S901">
        <v>2051</v>
      </c>
    </row>
    <row r="902" spans="1:19">
      <c r="A902" t="s">
        <v>20</v>
      </c>
      <c r="B902" t="s">
        <v>148</v>
      </c>
      <c r="C902" t="s">
        <v>152</v>
      </c>
      <c r="D902" t="s">
        <v>281</v>
      </c>
      <c r="E902" t="s">
        <v>410</v>
      </c>
      <c r="F902">
        <f>HYPERLINK("https://www.wikidata.org/wiki/Q33528422", "Q33528422")</f>
        <v>0</v>
      </c>
      <c r="G902" t="s">
        <v>738</v>
      </c>
      <c r="H902" t="s">
        <v>5496</v>
      </c>
      <c r="I902" t="s">
        <v>9503</v>
      </c>
      <c r="J902" t="s">
        <v>11487</v>
      </c>
      <c r="K902" t="s">
        <v>15889</v>
      </c>
      <c r="L902">
        <f>HYPERLINK("https://www2.assemblee-nationale.fr/sycomore/fiche/(num_dept)/5394", "5394")</f>
        <v>0</v>
      </c>
      <c r="M902">
        <f>HYPERLINK("https://www.senat.fr/senateur-3eme-republique/de_monzie_anatole0605r3.html", "de_monzie_anatole0605r3")</f>
        <v>0</v>
      </c>
      <c r="N902">
        <f>HYPERLINK("https://www.wikidata.org/wiki/Q2845619", "Q2845619")</f>
        <v>0</v>
      </c>
      <c r="O902" t="s">
        <v>19974</v>
      </c>
      <c r="Q902" t="s">
        <v>20559</v>
      </c>
      <c r="R902" t="s">
        <v>410</v>
      </c>
      <c r="S902">
        <v>2051</v>
      </c>
    </row>
    <row r="903" spans="1:19">
      <c r="A903" t="s">
        <v>20</v>
      </c>
      <c r="B903" t="s">
        <v>148</v>
      </c>
      <c r="C903" t="s">
        <v>152</v>
      </c>
      <c r="D903" t="s">
        <v>281</v>
      </c>
      <c r="E903" t="s">
        <v>410</v>
      </c>
      <c r="F903">
        <f>HYPERLINK("https://www.wikidata.org/wiki/Q33528422", "Q33528422")</f>
        <v>0</v>
      </c>
      <c r="G903" t="s">
        <v>740</v>
      </c>
      <c r="H903" t="s">
        <v>5498</v>
      </c>
      <c r="I903" t="s">
        <v>9388</v>
      </c>
      <c r="J903" t="s">
        <v>11489</v>
      </c>
      <c r="K903" t="s">
        <v>15891</v>
      </c>
      <c r="L903">
        <f>HYPERLINK("https://www2.assemblee-nationale.fr/sycomore/fiche/(num_dept)/5413", "5413")</f>
        <v>0</v>
      </c>
      <c r="N903">
        <f>HYPERLINK("https://www.wikidata.org/wiki/Q3371866", "Q3371866")</f>
        <v>0</v>
      </c>
      <c r="O903" t="s">
        <v>20036</v>
      </c>
      <c r="P903" t="s">
        <v>20401</v>
      </c>
      <c r="Q903" t="s">
        <v>20559</v>
      </c>
      <c r="R903" t="s">
        <v>410</v>
      </c>
      <c r="S903">
        <v>2051</v>
      </c>
    </row>
    <row r="904" spans="1:19">
      <c r="A904" t="s">
        <v>20</v>
      </c>
      <c r="B904" t="s">
        <v>148</v>
      </c>
      <c r="C904" t="s">
        <v>152</v>
      </c>
      <c r="D904" t="s">
        <v>281</v>
      </c>
      <c r="E904" t="s">
        <v>410</v>
      </c>
      <c r="F904">
        <f>HYPERLINK("https://www.wikidata.org/wiki/Q33528422", "Q33528422")</f>
        <v>0</v>
      </c>
      <c r="G904" t="s">
        <v>1009</v>
      </c>
      <c r="H904" t="s">
        <v>5498</v>
      </c>
      <c r="I904" t="s">
        <v>9483</v>
      </c>
      <c r="J904" t="s">
        <v>11746</v>
      </c>
      <c r="K904" t="s">
        <v>16149</v>
      </c>
      <c r="L904">
        <f>HYPERLINK("https://www2.assemblee-nationale.fr/sycomore/fiche/(num_dept)/5414", "5414")</f>
        <v>0</v>
      </c>
      <c r="N904">
        <f>HYPERLINK("https://www.wikidata.org/wiki/Q16026151", "Q16026151")</f>
        <v>0</v>
      </c>
      <c r="O904" t="s">
        <v>19968</v>
      </c>
      <c r="P904" t="s">
        <v>20401</v>
      </c>
      <c r="Q904" t="s">
        <v>20559</v>
      </c>
      <c r="R904" t="s">
        <v>410</v>
      </c>
      <c r="S904">
        <v>2051</v>
      </c>
    </row>
    <row r="905" spans="1:19">
      <c r="A905" t="s">
        <v>20</v>
      </c>
      <c r="B905" t="s">
        <v>148</v>
      </c>
      <c r="C905" t="s">
        <v>152</v>
      </c>
      <c r="D905" t="s">
        <v>281</v>
      </c>
      <c r="E905" t="s">
        <v>410</v>
      </c>
      <c r="F905">
        <f>HYPERLINK("https://www.wikidata.org/wiki/Q33528422", "Q33528422")</f>
        <v>0</v>
      </c>
      <c r="G905" t="s">
        <v>741</v>
      </c>
      <c r="H905" t="s">
        <v>5499</v>
      </c>
      <c r="I905" t="s">
        <v>9476</v>
      </c>
      <c r="J905" t="s">
        <v>11490</v>
      </c>
      <c r="K905" t="s">
        <v>15892</v>
      </c>
      <c r="L905">
        <f>HYPERLINK("https://www2.assemblee-nationale.fr/sycomore/fiche/(num_dept)/5463", "5463")</f>
        <v>0</v>
      </c>
      <c r="M905">
        <f>HYPERLINK("https://www.senat.fr/senateur-3eme-republique/de_moustier_rene0688r3.html", "de_moustier_rene0688r3")</f>
        <v>0</v>
      </c>
      <c r="N905">
        <f>HYPERLINK("https://www.wikidata.org/wiki/Q3427071", "Q3427071")</f>
        <v>0</v>
      </c>
      <c r="O905" t="s">
        <v>19973</v>
      </c>
      <c r="P905" t="s">
        <v>20414</v>
      </c>
      <c r="Q905" t="s">
        <v>20559</v>
      </c>
      <c r="R905" t="s">
        <v>410</v>
      </c>
      <c r="S905">
        <v>2051</v>
      </c>
    </row>
    <row r="906" spans="1:19">
      <c r="A906" t="s">
        <v>20</v>
      </c>
      <c r="B906" t="s">
        <v>148</v>
      </c>
      <c r="C906" t="s">
        <v>152</v>
      </c>
      <c r="D906" t="s">
        <v>281</v>
      </c>
      <c r="E906" t="s">
        <v>410</v>
      </c>
      <c r="F906">
        <f>HYPERLINK("https://www.wikidata.org/wiki/Q33528422", "Q33528422")</f>
        <v>0</v>
      </c>
      <c r="G906" t="s">
        <v>742</v>
      </c>
      <c r="H906" t="s">
        <v>5500</v>
      </c>
      <c r="I906" t="s">
        <v>9505</v>
      </c>
      <c r="J906" t="s">
        <v>11491</v>
      </c>
      <c r="K906" t="s">
        <v>15893</v>
      </c>
      <c r="L906">
        <f>HYPERLINK("https://www2.assemblee-nationale.fr/sycomore/fiche/(num_dept)/5482", "5482")</f>
        <v>0</v>
      </c>
      <c r="N906">
        <f>HYPERLINK("https://www.wikidata.org/wiki/Q2475967", "Q2475967")</f>
        <v>0</v>
      </c>
      <c r="O906" t="s">
        <v>20011</v>
      </c>
      <c r="P906" t="s">
        <v>20410</v>
      </c>
      <c r="Q906" t="s">
        <v>20559</v>
      </c>
      <c r="R906" t="s">
        <v>15893</v>
      </c>
      <c r="S906">
        <v>163</v>
      </c>
    </row>
    <row r="907" spans="1:19">
      <c r="A907" t="s">
        <v>20</v>
      </c>
      <c r="B907" t="s">
        <v>148</v>
      </c>
      <c r="C907" t="s">
        <v>152</v>
      </c>
      <c r="D907" t="s">
        <v>281</v>
      </c>
      <c r="E907" t="s">
        <v>410</v>
      </c>
      <c r="F907">
        <f>HYPERLINK("https://www.wikidata.org/wiki/Q33528422", "Q33528422")</f>
        <v>0</v>
      </c>
      <c r="G907" t="s">
        <v>746</v>
      </c>
      <c r="H907" t="s">
        <v>5504</v>
      </c>
      <c r="I907" t="s">
        <v>6584</v>
      </c>
      <c r="J907" t="s">
        <v>11495</v>
      </c>
      <c r="K907" t="s">
        <v>15897</v>
      </c>
      <c r="L907">
        <f>HYPERLINK("https://www2.assemblee-nationale.fr/sycomore/fiche/(num_dept)/5562", "5562")</f>
        <v>0</v>
      </c>
      <c r="N907">
        <f>HYPERLINK("https://www.wikidata.org/wiki/Q16026206", "Q16026206")</f>
        <v>0</v>
      </c>
      <c r="O907" t="s">
        <v>20030</v>
      </c>
      <c r="P907" t="s">
        <v>20412</v>
      </c>
      <c r="Q907" t="s">
        <v>20559</v>
      </c>
      <c r="R907" t="s">
        <v>410</v>
      </c>
      <c r="S907">
        <v>2051</v>
      </c>
    </row>
    <row r="908" spans="1:19">
      <c r="A908" t="s">
        <v>20</v>
      </c>
      <c r="B908" t="s">
        <v>148</v>
      </c>
      <c r="C908" t="s">
        <v>152</v>
      </c>
      <c r="D908" t="s">
        <v>281</v>
      </c>
      <c r="E908" t="s">
        <v>410</v>
      </c>
      <c r="F908">
        <f>HYPERLINK("https://www.wikidata.org/wiki/Q33528422", "Q33528422")</f>
        <v>0</v>
      </c>
      <c r="G908" t="s">
        <v>747</v>
      </c>
      <c r="H908" t="s">
        <v>5505</v>
      </c>
      <c r="I908" t="s">
        <v>9507</v>
      </c>
      <c r="J908" t="s">
        <v>11496</v>
      </c>
      <c r="K908" t="s">
        <v>15898</v>
      </c>
      <c r="L908">
        <f>HYPERLINK("https://www2.assemblee-nationale.fr/sycomore/fiche/(num_dept)/5571", "5571")</f>
        <v>0</v>
      </c>
      <c r="M908">
        <f>HYPERLINK("https://www.senat.fr/senateur-3eme-republique/nogues_louis1080r3.html", "nogues_louis1080r3")</f>
        <v>0</v>
      </c>
      <c r="N908">
        <f>HYPERLINK("https://www.wikidata.org/wiki/Q3262803", "Q3262803")</f>
        <v>0</v>
      </c>
      <c r="O908" t="s">
        <v>20027</v>
      </c>
      <c r="P908" t="s">
        <v>20413</v>
      </c>
      <c r="Q908" t="s">
        <v>20559</v>
      </c>
      <c r="R908" t="s">
        <v>410</v>
      </c>
      <c r="S908">
        <v>2051</v>
      </c>
    </row>
    <row r="909" spans="1:19">
      <c r="A909" t="s">
        <v>20</v>
      </c>
      <c r="B909" t="s">
        <v>148</v>
      </c>
      <c r="C909" t="s">
        <v>152</v>
      </c>
      <c r="D909" t="s">
        <v>281</v>
      </c>
      <c r="E909" t="s">
        <v>410</v>
      </c>
      <c r="F909">
        <f>HYPERLINK("https://www.wikidata.org/wiki/Q33528422", "Q33528422")</f>
        <v>0</v>
      </c>
      <c r="G909" t="s">
        <v>748</v>
      </c>
      <c r="H909" t="s">
        <v>5506</v>
      </c>
      <c r="I909" t="s">
        <v>9407</v>
      </c>
      <c r="J909" t="s">
        <v>11330</v>
      </c>
      <c r="K909" t="s">
        <v>15899</v>
      </c>
      <c r="L909">
        <f>HYPERLINK("https://www2.assemblee-nationale.fr/sycomore/fiche/(num_dept)/5583", "5583")</f>
        <v>0</v>
      </c>
      <c r="M909">
        <f>HYPERLINK("https://www.senat.fr/senateur-3eme-republique/noulens_jean_baptiste0149r3.html", "noulens_jean_baptiste0149r3")</f>
        <v>0</v>
      </c>
      <c r="N909">
        <f>HYPERLINK("https://www.wikidata.org/wiki/Q3185419", "Q3185419")</f>
        <v>0</v>
      </c>
      <c r="O909" t="s">
        <v>20003</v>
      </c>
      <c r="P909" t="s">
        <v>20413</v>
      </c>
      <c r="Q909" t="s">
        <v>20559</v>
      </c>
      <c r="R909" t="s">
        <v>410</v>
      </c>
      <c r="S909">
        <v>2051</v>
      </c>
    </row>
    <row r="910" spans="1:19">
      <c r="A910" t="s">
        <v>20</v>
      </c>
      <c r="B910" t="s">
        <v>148</v>
      </c>
      <c r="C910" t="s">
        <v>152</v>
      </c>
      <c r="D910" t="s">
        <v>281</v>
      </c>
      <c r="E910" t="s">
        <v>410</v>
      </c>
      <c r="F910">
        <f>HYPERLINK("https://www.wikidata.org/wiki/Q33528422", "Q33528422")</f>
        <v>0</v>
      </c>
      <c r="G910" t="s">
        <v>1189</v>
      </c>
      <c r="H910" t="s">
        <v>5919</v>
      </c>
      <c r="I910" t="s">
        <v>9500</v>
      </c>
      <c r="J910" t="s">
        <v>11922</v>
      </c>
      <c r="K910" t="s">
        <v>16323</v>
      </c>
      <c r="L910">
        <f>HYPERLINK("https://www2.assemblee-nationale.fr/sycomore/fiche/(num_dept)/5642", "5642")</f>
        <v>0</v>
      </c>
      <c r="N910">
        <f>HYPERLINK("https://www.wikidata.org/wiki/Q16026241", "Q16026241")</f>
        <v>0</v>
      </c>
      <c r="O910" t="s">
        <v>19972</v>
      </c>
      <c r="P910" t="s">
        <v>20401</v>
      </c>
      <c r="Q910" t="s">
        <v>20559</v>
      </c>
      <c r="R910" t="s">
        <v>410</v>
      </c>
      <c r="S910">
        <v>2051</v>
      </c>
    </row>
    <row r="911" spans="1:19">
      <c r="A911" t="s">
        <v>20</v>
      </c>
      <c r="B911" t="s">
        <v>148</v>
      </c>
      <c r="C911" t="s">
        <v>152</v>
      </c>
      <c r="D911" t="s">
        <v>281</v>
      </c>
      <c r="E911" t="s">
        <v>410</v>
      </c>
      <c r="F911">
        <f>HYPERLINK("https://www.wikidata.org/wiki/Q33528422", "Q33528422")</f>
        <v>0</v>
      </c>
      <c r="G911" t="s">
        <v>749</v>
      </c>
      <c r="H911" t="s">
        <v>5507</v>
      </c>
      <c r="I911" t="s">
        <v>7642</v>
      </c>
      <c r="J911" t="s">
        <v>11497</v>
      </c>
      <c r="K911" t="s">
        <v>15900</v>
      </c>
      <c r="L911">
        <f>HYPERLINK("https://www2.assemblee-nationale.fr/sycomore/fiche/(num_dept)/5652", "5652")</f>
        <v>0</v>
      </c>
      <c r="N911">
        <f>HYPERLINK("https://www.wikidata.org/wiki/Q16026250", "Q16026250")</f>
        <v>0</v>
      </c>
      <c r="O911" t="s">
        <v>19982</v>
      </c>
      <c r="P911" t="s">
        <v>20410</v>
      </c>
      <c r="Q911" t="s">
        <v>20559</v>
      </c>
      <c r="R911" t="s">
        <v>410</v>
      </c>
      <c r="S911">
        <v>2051</v>
      </c>
    </row>
    <row r="912" spans="1:19">
      <c r="A912" t="s">
        <v>20</v>
      </c>
      <c r="B912" t="s">
        <v>148</v>
      </c>
      <c r="C912" t="s">
        <v>152</v>
      </c>
      <c r="D912" t="s">
        <v>281</v>
      </c>
      <c r="E912" t="s">
        <v>410</v>
      </c>
      <c r="F912">
        <f>HYPERLINK("https://www.wikidata.org/wiki/Q33528422", "Q33528422")</f>
        <v>0</v>
      </c>
      <c r="G912" t="s">
        <v>1190</v>
      </c>
      <c r="H912" t="s">
        <v>5920</v>
      </c>
      <c r="I912" t="s">
        <v>6585</v>
      </c>
      <c r="J912" t="s">
        <v>11923</v>
      </c>
      <c r="K912" t="s">
        <v>16324</v>
      </c>
      <c r="L912">
        <f>HYPERLINK("https://www2.assemblee-nationale.fr/sycomore/fiche/(num_dept)/5654", "5654")</f>
        <v>0</v>
      </c>
      <c r="N912">
        <f>HYPERLINK("https://www.wikidata.org/wiki/Q2848387", "Q2848387")</f>
        <v>0</v>
      </c>
      <c r="O912" t="s">
        <v>19989</v>
      </c>
      <c r="P912" t="s">
        <v>20415</v>
      </c>
      <c r="Q912" t="s">
        <v>20559</v>
      </c>
      <c r="R912" t="s">
        <v>410</v>
      </c>
      <c r="S912">
        <v>2051</v>
      </c>
    </row>
    <row r="913" spans="1:19">
      <c r="A913" t="s">
        <v>20</v>
      </c>
      <c r="B913" t="s">
        <v>148</v>
      </c>
      <c r="C913" t="s">
        <v>152</v>
      </c>
      <c r="D913" t="s">
        <v>281</v>
      </c>
      <c r="E913" t="s">
        <v>410</v>
      </c>
      <c r="F913">
        <f>HYPERLINK("https://www.wikidata.org/wiki/Q33528422", "Q33528422")</f>
        <v>0</v>
      </c>
      <c r="G913" t="s">
        <v>1140</v>
      </c>
      <c r="H913" t="s">
        <v>5875</v>
      </c>
      <c r="I913" t="s">
        <v>6860</v>
      </c>
      <c r="J913" t="s">
        <v>11874</v>
      </c>
      <c r="K913" t="s">
        <v>16276</v>
      </c>
      <c r="L913">
        <f>HYPERLINK("https://www2.assemblee-nationale.fr/sycomore/fiche/(num_dept)/5737", "5737")</f>
        <v>0</v>
      </c>
      <c r="N913">
        <f>HYPERLINK("https://www.wikidata.org/wiki/Q16026284", "Q16026284")</f>
        <v>0</v>
      </c>
      <c r="O913" t="s">
        <v>19965</v>
      </c>
      <c r="P913" t="s">
        <v>20414</v>
      </c>
      <c r="Q913" t="s">
        <v>20559</v>
      </c>
      <c r="R913" t="s">
        <v>410</v>
      </c>
      <c r="S913">
        <v>2051</v>
      </c>
    </row>
    <row r="914" spans="1:19">
      <c r="A914" t="s">
        <v>20</v>
      </c>
      <c r="B914" t="s">
        <v>148</v>
      </c>
      <c r="C914" t="s">
        <v>152</v>
      </c>
      <c r="D914" t="s">
        <v>281</v>
      </c>
      <c r="E914" t="s">
        <v>410</v>
      </c>
      <c r="F914">
        <f>HYPERLINK("https://www.wikidata.org/wiki/Q33528422", "Q33528422")</f>
        <v>0</v>
      </c>
      <c r="G914" t="s">
        <v>1023</v>
      </c>
      <c r="H914" t="s">
        <v>5773</v>
      </c>
      <c r="I914" t="s">
        <v>9623</v>
      </c>
      <c r="J914" t="s">
        <v>11760</v>
      </c>
      <c r="K914" t="s">
        <v>16161</v>
      </c>
      <c r="L914">
        <f>HYPERLINK("https://www2.assemblee-nationale.fr/sycomore/fiche/(num_dept)/5746", "5746")</f>
        <v>0</v>
      </c>
      <c r="N914">
        <f>HYPERLINK("https://www.wikidata.org/wiki/Q3121301", "Q3121301")</f>
        <v>0</v>
      </c>
      <c r="O914" t="s">
        <v>20019</v>
      </c>
      <c r="P914" t="s">
        <v>20413</v>
      </c>
      <c r="Q914" t="s">
        <v>20559</v>
      </c>
      <c r="R914" t="s">
        <v>410</v>
      </c>
      <c r="S914">
        <v>2051</v>
      </c>
    </row>
    <row r="915" spans="1:19">
      <c r="A915" t="s">
        <v>20</v>
      </c>
      <c r="B915" t="s">
        <v>148</v>
      </c>
      <c r="C915" t="s">
        <v>152</v>
      </c>
      <c r="D915" t="s">
        <v>281</v>
      </c>
      <c r="E915" t="s">
        <v>410</v>
      </c>
      <c r="F915">
        <f>HYPERLINK("https://www.wikidata.org/wiki/Q33528422", "Q33528422")</f>
        <v>0</v>
      </c>
      <c r="G915" t="s">
        <v>755</v>
      </c>
      <c r="H915" t="s">
        <v>5513</v>
      </c>
      <c r="I915" t="s">
        <v>9500</v>
      </c>
      <c r="J915" t="s">
        <v>11503</v>
      </c>
      <c r="K915" t="s">
        <v>15906</v>
      </c>
      <c r="L915">
        <f>HYPERLINK("https://www2.assemblee-nationale.fr/sycomore/fiche/(num_dept)/5779", "5779")</f>
        <v>0</v>
      </c>
      <c r="M915">
        <f>HYPERLINK("https://www.senat.fr/senateur-3eme-republique/peret_raoul1766r3.html", "peret_raoul1766r3")</f>
        <v>0</v>
      </c>
      <c r="N915">
        <f>HYPERLINK("https://www.wikidata.org/wiki/Q3419252", "Q3419252")</f>
        <v>0</v>
      </c>
      <c r="O915" t="s">
        <v>19982</v>
      </c>
      <c r="P915" t="s">
        <v>20401</v>
      </c>
      <c r="Q915" t="s">
        <v>20559</v>
      </c>
      <c r="R915" t="s">
        <v>410</v>
      </c>
      <c r="S915">
        <v>2051</v>
      </c>
    </row>
    <row r="916" spans="1:19">
      <c r="A916" t="s">
        <v>20</v>
      </c>
      <c r="B916" t="s">
        <v>148</v>
      </c>
      <c r="C916" t="s">
        <v>152</v>
      </c>
      <c r="D916" t="s">
        <v>281</v>
      </c>
      <c r="E916" t="s">
        <v>410</v>
      </c>
      <c r="F916">
        <f>HYPERLINK("https://www.wikidata.org/wiki/Q33528422", "Q33528422")</f>
        <v>0</v>
      </c>
      <c r="G916" t="s">
        <v>757</v>
      </c>
      <c r="H916" t="s">
        <v>5515</v>
      </c>
      <c r="I916" t="s">
        <v>7140</v>
      </c>
      <c r="J916" t="s">
        <v>11505</v>
      </c>
      <c r="K916" t="s">
        <v>15908</v>
      </c>
      <c r="L916">
        <f>HYPERLINK("https://www2.assemblee-nationale.fr/sycomore/fiche/(num_dept)/5788", "5788")</f>
        <v>0</v>
      </c>
      <c r="N916">
        <f>HYPERLINK("https://www.wikidata.org/wiki/Q8306474", "Q8306474")</f>
        <v>0</v>
      </c>
      <c r="O916" t="s">
        <v>19994</v>
      </c>
      <c r="P916" t="s">
        <v>20402</v>
      </c>
      <c r="Q916" t="s">
        <v>20559</v>
      </c>
      <c r="R916" t="s">
        <v>15908</v>
      </c>
      <c r="S916">
        <v>813</v>
      </c>
    </row>
    <row r="917" spans="1:19">
      <c r="A917" t="s">
        <v>20</v>
      </c>
      <c r="B917" t="s">
        <v>148</v>
      </c>
      <c r="C917" t="s">
        <v>152</v>
      </c>
      <c r="D917" t="s">
        <v>281</v>
      </c>
      <c r="E917" t="s">
        <v>410</v>
      </c>
      <c r="F917">
        <f>HYPERLINK("https://www.wikidata.org/wiki/Q33528422", "Q33528422")</f>
        <v>0</v>
      </c>
      <c r="G917" t="s">
        <v>1191</v>
      </c>
      <c r="H917" t="s">
        <v>5921</v>
      </c>
      <c r="I917" t="s">
        <v>9699</v>
      </c>
      <c r="J917" t="s">
        <v>11924</v>
      </c>
      <c r="K917" t="s">
        <v>16325</v>
      </c>
      <c r="L917">
        <f>HYPERLINK("https://www2.assemblee-nationale.fr/sycomore/fiche/(num_dept)/5804", "5804")</f>
        <v>0</v>
      </c>
      <c r="N917">
        <f>HYPERLINK("https://www.wikidata.org/wiki/Q2960060", "Q2960060")</f>
        <v>0</v>
      </c>
      <c r="O917" t="s">
        <v>19999</v>
      </c>
      <c r="P917" t="s">
        <v>20413</v>
      </c>
      <c r="Q917" t="s">
        <v>20559</v>
      </c>
      <c r="R917" t="s">
        <v>410</v>
      </c>
      <c r="S917">
        <v>2051</v>
      </c>
    </row>
    <row r="918" spans="1:19">
      <c r="A918" t="s">
        <v>20</v>
      </c>
      <c r="B918" t="s">
        <v>148</v>
      </c>
      <c r="C918" t="s">
        <v>152</v>
      </c>
      <c r="D918" t="s">
        <v>281</v>
      </c>
      <c r="E918" t="s">
        <v>410</v>
      </c>
      <c r="F918">
        <f>HYPERLINK("https://www.wikidata.org/wiki/Q33528422", "Q33528422")</f>
        <v>0</v>
      </c>
      <c r="G918" t="s">
        <v>1116</v>
      </c>
      <c r="H918" t="s">
        <v>5775</v>
      </c>
      <c r="I918" t="s">
        <v>6860</v>
      </c>
      <c r="J918" t="s">
        <v>11850</v>
      </c>
      <c r="K918" t="s">
        <v>16252</v>
      </c>
      <c r="L918">
        <f>HYPERLINK("https://www2.assemblee-nationale.fr/sycomore/fiche/(num_dept)/5808", "5808")</f>
        <v>0</v>
      </c>
      <c r="N918">
        <f>HYPERLINK("https://www.wikidata.org/wiki/Q3386559", "Q3386559")</f>
        <v>0</v>
      </c>
      <c r="O918" t="s">
        <v>20034</v>
      </c>
      <c r="P918" t="s">
        <v>20401</v>
      </c>
      <c r="Q918" t="s">
        <v>20559</v>
      </c>
      <c r="R918" t="s">
        <v>410</v>
      </c>
      <c r="S918">
        <v>2051</v>
      </c>
    </row>
    <row r="919" spans="1:19">
      <c r="A919" t="s">
        <v>20</v>
      </c>
      <c r="B919" t="s">
        <v>148</v>
      </c>
      <c r="C919" t="s">
        <v>152</v>
      </c>
      <c r="D919" t="s">
        <v>281</v>
      </c>
      <c r="E919" t="s">
        <v>410</v>
      </c>
      <c r="F919">
        <f>HYPERLINK("https://www.wikidata.org/wiki/Q33528422", "Q33528422")</f>
        <v>0</v>
      </c>
      <c r="G919" t="s">
        <v>1026</v>
      </c>
      <c r="H919" t="s">
        <v>5776</v>
      </c>
      <c r="I919" t="s">
        <v>5528</v>
      </c>
      <c r="J919" t="s">
        <v>11763</v>
      </c>
      <c r="K919" t="s">
        <v>16164</v>
      </c>
      <c r="L919">
        <f>HYPERLINK("https://www2.assemblee-nationale.fr/sycomore/fiche/(num_dept)/5811", "5811")</f>
        <v>0</v>
      </c>
      <c r="M919">
        <f>HYPERLINK("https://www.senat.fr/senateur-3eme-republique/perrier_leon1193r3.html", "perrier_leon1193r3")</f>
        <v>0</v>
      </c>
      <c r="N919">
        <f>HYPERLINK("https://www.wikidata.org/wiki/Q3271259", "Q3271259")</f>
        <v>0</v>
      </c>
      <c r="O919" t="s">
        <v>20006</v>
      </c>
      <c r="P919" t="s">
        <v>20413</v>
      </c>
      <c r="Q919" t="s">
        <v>20559</v>
      </c>
      <c r="R919" t="s">
        <v>410</v>
      </c>
      <c r="S919">
        <v>2051</v>
      </c>
    </row>
    <row r="920" spans="1:19">
      <c r="A920" t="s">
        <v>20</v>
      </c>
      <c r="B920" t="s">
        <v>148</v>
      </c>
      <c r="C920" t="s">
        <v>152</v>
      </c>
      <c r="D920" t="s">
        <v>281</v>
      </c>
      <c r="E920" t="s">
        <v>410</v>
      </c>
      <c r="F920">
        <f>HYPERLINK("https://www.wikidata.org/wiki/Q33528422", "Q33528422")</f>
        <v>0</v>
      </c>
      <c r="G920" t="s">
        <v>1027</v>
      </c>
      <c r="H920" t="s">
        <v>5777</v>
      </c>
      <c r="I920" t="s">
        <v>9506</v>
      </c>
      <c r="J920" t="s">
        <v>11764</v>
      </c>
      <c r="K920" t="s">
        <v>16165</v>
      </c>
      <c r="L920">
        <f>HYPERLINK("https://www2.assemblee-nationale.fr/sycomore/fiche/(num_dept)/5898", "5898")</f>
        <v>0</v>
      </c>
      <c r="N920">
        <f>HYPERLINK("https://www.wikidata.org/wiki/Q16026338", "Q16026338")</f>
        <v>0</v>
      </c>
      <c r="O920" t="s">
        <v>20017</v>
      </c>
      <c r="P920" t="s">
        <v>20401</v>
      </c>
      <c r="Q920" t="s">
        <v>20559</v>
      </c>
      <c r="R920" t="s">
        <v>410</v>
      </c>
      <c r="S920">
        <v>2051</v>
      </c>
    </row>
    <row r="921" spans="1:19">
      <c r="A921" t="s">
        <v>20</v>
      </c>
      <c r="B921" t="s">
        <v>148</v>
      </c>
      <c r="C921" t="s">
        <v>152</v>
      </c>
      <c r="D921" t="s">
        <v>281</v>
      </c>
      <c r="E921" t="s">
        <v>410</v>
      </c>
      <c r="F921">
        <f>HYPERLINK("https://www.wikidata.org/wiki/Q33528422", "Q33528422")</f>
        <v>0</v>
      </c>
      <c r="G921" t="s">
        <v>759</v>
      </c>
      <c r="H921" t="s">
        <v>5517</v>
      </c>
      <c r="I921" t="s">
        <v>6860</v>
      </c>
      <c r="J921" t="s">
        <v>11507</v>
      </c>
      <c r="K921" t="s">
        <v>15910</v>
      </c>
      <c r="L921">
        <f>HYPERLINK("https://www2.assemblee-nationale.fr/sycomore/fiche/(num_dept)/5903", "5903")</f>
        <v>0</v>
      </c>
      <c r="M921">
        <f>HYPERLINK("https://www.senat.fr/senateur-3eme-republique/pichery_pierre0386r3.html", "pichery_pierre0386r3")</f>
        <v>0</v>
      </c>
      <c r="N921">
        <f>HYPERLINK("https://www.wikidata.org/wiki/Q3386607", "Q3386607")</f>
        <v>0</v>
      </c>
      <c r="O921" t="s">
        <v>20039</v>
      </c>
      <c r="P921" t="s">
        <v>20401</v>
      </c>
      <c r="Q921" t="s">
        <v>20559</v>
      </c>
      <c r="R921" t="s">
        <v>410</v>
      </c>
      <c r="S921">
        <v>2051</v>
      </c>
    </row>
    <row r="922" spans="1:19">
      <c r="A922" t="s">
        <v>20</v>
      </c>
      <c r="B922" t="s">
        <v>148</v>
      </c>
      <c r="C922" t="s">
        <v>152</v>
      </c>
      <c r="D922" t="s">
        <v>281</v>
      </c>
      <c r="E922" t="s">
        <v>410</v>
      </c>
      <c r="F922">
        <f>HYPERLINK("https://www.wikidata.org/wiki/Q33528422", "Q33528422")</f>
        <v>0</v>
      </c>
      <c r="G922" t="s">
        <v>761</v>
      </c>
      <c r="H922" t="s">
        <v>5519</v>
      </c>
      <c r="I922" t="s">
        <v>9513</v>
      </c>
      <c r="J922" t="s">
        <v>11509</v>
      </c>
      <c r="K922" t="s">
        <v>15912</v>
      </c>
      <c r="L922">
        <f>HYPERLINK("https://www2.assemblee-nationale.fr/sycomore/fiche/(num_dept)/5956", "5956")</f>
        <v>0</v>
      </c>
      <c r="N922">
        <f>HYPERLINK("https://www.wikidata.org/wiki/Q3159775", "Q3159775")</f>
        <v>0</v>
      </c>
      <c r="O922" t="s">
        <v>20004</v>
      </c>
      <c r="P922" t="s">
        <v>20410</v>
      </c>
      <c r="Q922" t="s">
        <v>20559</v>
      </c>
      <c r="R922" t="s">
        <v>410</v>
      </c>
      <c r="S922">
        <v>2051</v>
      </c>
    </row>
    <row r="923" spans="1:19">
      <c r="A923" t="s">
        <v>20</v>
      </c>
      <c r="B923" t="s">
        <v>148</v>
      </c>
      <c r="C923" t="s">
        <v>152</v>
      </c>
      <c r="D923" t="s">
        <v>281</v>
      </c>
      <c r="E923" t="s">
        <v>410</v>
      </c>
      <c r="F923">
        <f>HYPERLINK("https://www.wikidata.org/wiki/Q33528422", "Q33528422")</f>
        <v>0</v>
      </c>
      <c r="G923" t="s">
        <v>762</v>
      </c>
      <c r="H923" t="s">
        <v>5520</v>
      </c>
      <c r="I923" t="s">
        <v>9514</v>
      </c>
      <c r="J923" t="s">
        <v>11507</v>
      </c>
      <c r="K923" t="s">
        <v>15913</v>
      </c>
      <c r="L923">
        <f>HYPERLINK("https://www2.assemblee-nationale.fr/sycomore/fiche/(num_dept)/5981", "5981")</f>
        <v>0</v>
      </c>
      <c r="M923">
        <f>HYPERLINK("https://www.senat.fr/senateur-3eme-republique/plichon_jean1422r3.html", "plichon_jean1422r3")</f>
        <v>0</v>
      </c>
      <c r="N923">
        <f>HYPERLINK("https://www.wikidata.org/wiki/Q3174051", "Q3174051")</f>
        <v>0</v>
      </c>
      <c r="O923" t="s">
        <v>20013</v>
      </c>
      <c r="P923" t="s">
        <v>20410</v>
      </c>
      <c r="Q923" t="s">
        <v>20559</v>
      </c>
      <c r="R923" t="s">
        <v>410</v>
      </c>
      <c r="S923">
        <v>2051</v>
      </c>
    </row>
    <row r="924" spans="1:19">
      <c r="A924" t="s">
        <v>20</v>
      </c>
      <c r="B924" t="s">
        <v>148</v>
      </c>
      <c r="C924" t="s">
        <v>152</v>
      </c>
      <c r="D924" t="s">
        <v>281</v>
      </c>
      <c r="E924" t="s">
        <v>410</v>
      </c>
      <c r="F924">
        <f>HYPERLINK("https://www.wikidata.org/wiki/Q33528422", "Q33528422")</f>
        <v>0</v>
      </c>
      <c r="G924" t="s">
        <v>763</v>
      </c>
      <c r="H924" t="s">
        <v>5521</v>
      </c>
      <c r="I924" t="s">
        <v>5800</v>
      </c>
      <c r="J924" t="s">
        <v>11510</v>
      </c>
      <c r="K924" t="s">
        <v>15914</v>
      </c>
      <c r="L924">
        <f>HYPERLINK("https://www2.assemblee-nationale.fr/sycomore/fiche/(num_dept)/5983", "5983")</f>
        <v>0</v>
      </c>
      <c r="N924">
        <f>HYPERLINK("https://www.wikidata.org/wiki/Q3484416", "Q3484416")</f>
        <v>0</v>
      </c>
      <c r="O924" t="s">
        <v>20006</v>
      </c>
      <c r="P924" t="s">
        <v>20415</v>
      </c>
      <c r="Q924" t="s">
        <v>20559</v>
      </c>
      <c r="R924" t="s">
        <v>410</v>
      </c>
      <c r="S924">
        <v>2051</v>
      </c>
    </row>
    <row r="925" spans="1:19">
      <c r="A925" t="s">
        <v>20</v>
      </c>
      <c r="B925" t="s">
        <v>148</v>
      </c>
      <c r="C925" t="s">
        <v>152</v>
      </c>
      <c r="D925" t="s">
        <v>281</v>
      </c>
      <c r="E925" t="s">
        <v>410</v>
      </c>
      <c r="F925">
        <f>HYPERLINK("https://www.wikidata.org/wiki/Q33528422", "Q33528422")</f>
        <v>0</v>
      </c>
      <c r="G925" t="s">
        <v>1192</v>
      </c>
      <c r="H925" t="s">
        <v>5922</v>
      </c>
      <c r="I925" t="s">
        <v>9700</v>
      </c>
      <c r="J925" t="s">
        <v>11925</v>
      </c>
      <c r="K925" t="s">
        <v>16326</v>
      </c>
      <c r="L925">
        <f>HYPERLINK("https://www2.assemblee-nationale.fr/sycomore/fiche/(num_dept)/6016", "6016")</f>
        <v>0</v>
      </c>
      <c r="M925">
        <f>HYPERLINK("https://www.senat.fr/senateur-3eme-republique/robert_pierre1327r3.html", "robert_pierre1327r3")</f>
        <v>0</v>
      </c>
      <c r="N925">
        <f>HYPERLINK("https://www.wikidata.org/wiki/Q3386818", "Q3386818")</f>
        <v>0</v>
      </c>
      <c r="O925" t="s">
        <v>19997</v>
      </c>
      <c r="P925" t="s">
        <v>20413</v>
      </c>
      <c r="Q925" t="s">
        <v>20559</v>
      </c>
      <c r="R925" t="s">
        <v>410</v>
      </c>
      <c r="S925">
        <v>2051</v>
      </c>
    </row>
    <row r="926" spans="1:19">
      <c r="A926" t="s">
        <v>20</v>
      </c>
      <c r="B926" t="s">
        <v>148</v>
      </c>
      <c r="C926" t="s">
        <v>152</v>
      </c>
      <c r="D926" t="s">
        <v>281</v>
      </c>
      <c r="E926" t="s">
        <v>410</v>
      </c>
      <c r="F926">
        <f>HYPERLINK("https://www.wikidata.org/wiki/Q33528422", "Q33528422")</f>
        <v>0</v>
      </c>
      <c r="G926" t="s">
        <v>1193</v>
      </c>
      <c r="H926" t="s">
        <v>5923</v>
      </c>
      <c r="I926" t="s">
        <v>9701</v>
      </c>
      <c r="J926" t="s">
        <v>11926</v>
      </c>
      <c r="K926" t="s">
        <v>16327</v>
      </c>
      <c r="L926">
        <f>HYPERLINK("https://www2.assemblee-nationale.fr/sycomore/fiche/(num_dept)/6018", "6018")</f>
        <v>0</v>
      </c>
      <c r="N926">
        <f>HYPERLINK("https://www.wikidata.org/wiki/Q3557548", "Q3557548")</f>
        <v>0</v>
      </c>
      <c r="O926" t="s">
        <v>19961</v>
      </c>
      <c r="P926" t="s">
        <v>20414</v>
      </c>
      <c r="Q926" t="s">
        <v>20559</v>
      </c>
      <c r="R926" t="s">
        <v>410</v>
      </c>
      <c r="S926">
        <v>2051</v>
      </c>
    </row>
    <row r="927" spans="1:19">
      <c r="A927" t="s">
        <v>20</v>
      </c>
      <c r="B927" t="s">
        <v>148</v>
      </c>
      <c r="C927" t="s">
        <v>152</v>
      </c>
      <c r="D927" t="s">
        <v>281</v>
      </c>
      <c r="E927" t="s">
        <v>410</v>
      </c>
      <c r="F927">
        <f>HYPERLINK("https://www.wikidata.org/wiki/Q33528422", "Q33528422")</f>
        <v>0</v>
      </c>
      <c r="G927" t="s">
        <v>765</v>
      </c>
      <c r="H927" t="s">
        <v>5523</v>
      </c>
      <c r="I927" t="s">
        <v>9515</v>
      </c>
      <c r="J927" t="s">
        <v>11512</v>
      </c>
      <c r="K927" t="s">
        <v>15916</v>
      </c>
      <c r="L927">
        <f>HYPERLINK("https://www2.assemblee-nationale.fr/sycomore/fiche/(num_dept)/6022", "6022")</f>
        <v>0</v>
      </c>
      <c r="N927">
        <f>HYPERLINK("https://www.wikidata.org/wiki/Q16026432", "Q16026432")</f>
        <v>0</v>
      </c>
      <c r="O927" t="s">
        <v>20032</v>
      </c>
      <c r="P927" t="s">
        <v>20404</v>
      </c>
      <c r="Q927" t="s">
        <v>20559</v>
      </c>
      <c r="R927" t="s">
        <v>15916</v>
      </c>
      <c r="S927">
        <v>654</v>
      </c>
    </row>
    <row r="928" spans="1:19">
      <c r="A928" t="s">
        <v>20</v>
      </c>
      <c r="B928" t="s">
        <v>148</v>
      </c>
      <c r="C928" t="s">
        <v>152</v>
      </c>
      <c r="D928" t="s">
        <v>281</v>
      </c>
      <c r="E928" t="s">
        <v>410</v>
      </c>
      <c r="F928">
        <f>HYPERLINK("https://www.wikidata.org/wiki/Q33528422", "Q33528422")</f>
        <v>0</v>
      </c>
      <c r="G928" t="s">
        <v>766</v>
      </c>
      <c r="H928" t="s">
        <v>5524</v>
      </c>
      <c r="I928" t="s">
        <v>9421</v>
      </c>
      <c r="J928" t="s">
        <v>11513</v>
      </c>
      <c r="K928" t="s">
        <v>15917</v>
      </c>
      <c r="L928">
        <f>HYPERLINK("https://www2.assemblee-nationale.fr/sycomore/fiche/(num_dept)/6027", "6027")</f>
        <v>0</v>
      </c>
      <c r="N928">
        <f>HYPERLINK("https://www.wikidata.org/wiki/Q3121311", "Q3121311")</f>
        <v>0</v>
      </c>
      <c r="O928" t="s">
        <v>20023</v>
      </c>
      <c r="P928" t="s">
        <v>20401</v>
      </c>
      <c r="Q928" t="s">
        <v>20559</v>
      </c>
      <c r="R928" t="s">
        <v>410</v>
      </c>
      <c r="S928">
        <v>2051</v>
      </c>
    </row>
    <row r="929" spans="1:19">
      <c r="A929" t="s">
        <v>20</v>
      </c>
      <c r="B929" t="s">
        <v>148</v>
      </c>
      <c r="C929" t="s">
        <v>152</v>
      </c>
      <c r="D929" t="s">
        <v>281</v>
      </c>
      <c r="E929" t="s">
        <v>410</v>
      </c>
      <c r="F929">
        <f>HYPERLINK("https://www.wikidata.org/wiki/Q33528422", "Q33528422")</f>
        <v>0</v>
      </c>
      <c r="G929" t="s">
        <v>767</v>
      </c>
      <c r="H929" t="s">
        <v>5525</v>
      </c>
      <c r="I929" t="s">
        <v>9449</v>
      </c>
      <c r="J929" t="s">
        <v>11514</v>
      </c>
      <c r="K929" t="s">
        <v>15918</v>
      </c>
      <c r="L929">
        <f>HYPERLINK("https://www2.assemblee-nationale.fr/sycomore/fiche/(num_dept)/6031", "6031")</f>
        <v>0</v>
      </c>
      <c r="N929">
        <f>HYPERLINK("https://www.wikidata.org/wiki/Q3188891", "Q3188891")</f>
        <v>0</v>
      </c>
      <c r="O929" t="s">
        <v>19991</v>
      </c>
      <c r="P929" t="s">
        <v>20414</v>
      </c>
      <c r="Q929" t="s">
        <v>20559</v>
      </c>
      <c r="R929" t="s">
        <v>410</v>
      </c>
      <c r="S929">
        <v>2051</v>
      </c>
    </row>
    <row r="930" spans="1:19">
      <c r="A930" t="s">
        <v>20</v>
      </c>
      <c r="B930" t="s">
        <v>148</v>
      </c>
      <c r="C930" t="s">
        <v>152</v>
      </c>
      <c r="D930" t="s">
        <v>281</v>
      </c>
      <c r="E930" t="s">
        <v>410</v>
      </c>
      <c r="F930">
        <f>HYPERLINK("https://www.wikidata.org/wiki/Q33528422", "Q33528422")</f>
        <v>0</v>
      </c>
      <c r="G930" t="s">
        <v>1194</v>
      </c>
      <c r="H930" t="s">
        <v>5924</v>
      </c>
      <c r="I930" t="s">
        <v>9483</v>
      </c>
      <c r="J930" t="s">
        <v>11927</v>
      </c>
      <c r="K930" t="s">
        <v>16328</v>
      </c>
      <c r="L930">
        <f>HYPERLINK("https://www2.assemblee-nationale.fr/sycomore/fiche/(num_dept)/6039", "6039")</f>
        <v>0</v>
      </c>
      <c r="N930">
        <f>HYPERLINK("https://www.wikidata.org/wiki/Q3557551", "Q3557551")</f>
        <v>0</v>
      </c>
      <c r="O930" t="s">
        <v>19972</v>
      </c>
      <c r="P930" t="s">
        <v>20410</v>
      </c>
      <c r="Q930" t="s">
        <v>20559</v>
      </c>
      <c r="R930" t="s">
        <v>410</v>
      </c>
      <c r="S930">
        <v>2051</v>
      </c>
    </row>
    <row r="931" spans="1:19">
      <c r="A931" t="s">
        <v>20</v>
      </c>
      <c r="B931" t="s">
        <v>148</v>
      </c>
      <c r="C931" t="s">
        <v>152</v>
      </c>
      <c r="D931" t="s">
        <v>281</v>
      </c>
      <c r="E931" t="s">
        <v>410</v>
      </c>
      <c r="F931">
        <f>HYPERLINK("https://www.wikidata.org/wiki/Q33528422", "Q33528422")</f>
        <v>0</v>
      </c>
      <c r="G931" t="s">
        <v>768</v>
      </c>
      <c r="H931" t="s">
        <v>5526</v>
      </c>
      <c r="I931" t="s">
        <v>5349</v>
      </c>
      <c r="J931" t="s">
        <v>11515</v>
      </c>
      <c r="K931" t="s">
        <v>15919</v>
      </c>
      <c r="L931">
        <f>HYPERLINK("https://www2.assemblee-nationale.fr/sycomore/fiche/(num_dept)/6044", "6044")</f>
        <v>0</v>
      </c>
      <c r="N931">
        <f>HYPERLINK("https://www.wikidata.org/wiki/Q2994888", "Q2994888")</f>
        <v>0</v>
      </c>
      <c r="O931" t="s">
        <v>19968</v>
      </c>
      <c r="P931" t="s">
        <v>20412</v>
      </c>
      <c r="Q931" t="s">
        <v>20559</v>
      </c>
      <c r="R931" t="s">
        <v>15919</v>
      </c>
      <c r="S931">
        <v>1424</v>
      </c>
    </row>
    <row r="932" spans="1:19">
      <c r="A932" t="s">
        <v>20</v>
      </c>
      <c r="B932" t="s">
        <v>148</v>
      </c>
      <c r="C932" t="s">
        <v>152</v>
      </c>
      <c r="D932" t="s">
        <v>281</v>
      </c>
      <c r="E932" t="s">
        <v>410</v>
      </c>
      <c r="F932">
        <f>HYPERLINK("https://www.wikidata.org/wiki/Q33528422", "Q33528422")</f>
        <v>0</v>
      </c>
      <c r="G932" t="s">
        <v>769</v>
      </c>
      <c r="H932" t="s">
        <v>5527</v>
      </c>
      <c r="I932" t="s">
        <v>9516</v>
      </c>
      <c r="J932" t="s">
        <v>11516</v>
      </c>
      <c r="K932" t="s">
        <v>15920</v>
      </c>
      <c r="L932">
        <f>HYPERLINK("https://www2.assemblee-nationale.fr/sycomore/fiche/(num_dept)/6053", "6053")</f>
        <v>0</v>
      </c>
      <c r="N932">
        <f>HYPERLINK("https://www.wikidata.org/wiki/Q13091126", "Q13091126")</f>
        <v>0</v>
      </c>
      <c r="O932" t="s">
        <v>19965</v>
      </c>
      <c r="P932" t="s">
        <v>20404</v>
      </c>
      <c r="Q932" t="s">
        <v>20559</v>
      </c>
      <c r="R932" t="s">
        <v>410</v>
      </c>
      <c r="S932">
        <v>2051</v>
      </c>
    </row>
    <row r="933" spans="1:19">
      <c r="A933" t="s">
        <v>20</v>
      </c>
      <c r="B933" t="s">
        <v>148</v>
      </c>
      <c r="C933" t="s">
        <v>152</v>
      </c>
      <c r="D933" t="s">
        <v>281</v>
      </c>
      <c r="E933" t="s">
        <v>410</v>
      </c>
      <c r="F933">
        <f>HYPERLINK("https://www.wikidata.org/wiki/Q33528422", "Q33528422")</f>
        <v>0</v>
      </c>
      <c r="G933" t="s">
        <v>1195</v>
      </c>
      <c r="H933" t="s">
        <v>5925</v>
      </c>
      <c r="I933" t="s">
        <v>9702</v>
      </c>
      <c r="J933" t="s">
        <v>11928</v>
      </c>
      <c r="K933" t="s">
        <v>16329</v>
      </c>
      <c r="L933">
        <f>HYPERLINK("https://www2.assemblee-nationale.fr/sycomore/fiche/(num_dept)/6055", "6055")</f>
        <v>0</v>
      </c>
      <c r="N933">
        <f>HYPERLINK("https://www.wikidata.org/wiki/Q3186104", "Q3186104")</f>
        <v>0</v>
      </c>
      <c r="O933" t="s">
        <v>19961</v>
      </c>
      <c r="P933" t="s">
        <v>20408</v>
      </c>
      <c r="Q933" t="s">
        <v>20559</v>
      </c>
      <c r="R933" t="s">
        <v>16329</v>
      </c>
      <c r="S933">
        <v>809</v>
      </c>
    </row>
    <row r="934" spans="1:19">
      <c r="A934" t="s">
        <v>20</v>
      </c>
      <c r="B934" t="s">
        <v>148</v>
      </c>
      <c r="C934" t="s">
        <v>152</v>
      </c>
      <c r="D934" t="s">
        <v>281</v>
      </c>
      <c r="E934" t="s">
        <v>410</v>
      </c>
      <c r="F934">
        <f>HYPERLINK("https://www.wikidata.org/wiki/Q33528422", "Q33528422")</f>
        <v>0</v>
      </c>
      <c r="G934" t="s">
        <v>774</v>
      </c>
      <c r="H934" t="s">
        <v>5532</v>
      </c>
      <c r="I934" t="s">
        <v>9520</v>
      </c>
      <c r="J934" t="s">
        <v>11521</v>
      </c>
      <c r="K934" t="s">
        <v>15925</v>
      </c>
      <c r="L934">
        <f>HYPERLINK("https://www2.assemblee-nationale.fr/sycomore/fiche/(num_dept)/6124", "6124")</f>
        <v>0</v>
      </c>
      <c r="N934">
        <f>HYPERLINK("https://www.wikidata.org/wiki/Q8329099", "Q8329099")</f>
        <v>0</v>
      </c>
      <c r="O934" t="s">
        <v>19957</v>
      </c>
      <c r="P934" t="s">
        <v>20414</v>
      </c>
      <c r="Q934" t="s">
        <v>20559</v>
      </c>
      <c r="R934" t="s">
        <v>410</v>
      </c>
      <c r="S934">
        <v>2051</v>
      </c>
    </row>
    <row r="935" spans="1:19">
      <c r="A935" t="s">
        <v>20</v>
      </c>
      <c r="B935" t="s">
        <v>148</v>
      </c>
      <c r="C935" t="s">
        <v>152</v>
      </c>
      <c r="D935" t="s">
        <v>281</v>
      </c>
      <c r="E935" t="s">
        <v>410</v>
      </c>
      <c r="F935">
        <f>HYPERLINK("https://www.wikidata.org/wiki/Q33528422", "Q33528422")</f>
        <v>0</v>
      </c>
      <c r="G935" t="s">
        <v>1032</v>
      </c>
      <c r="H935" t="s">
        <v>5781</v>
      </c>
      <c r="I935" t="s">
        <v>9457</v>
      </c>
      <c r="J935" t="s">
        <v>11769</v>
      </c>
      <c r="K935" t="s">
        <v>16170</v>
      </c>
      <c r="L935">
        <f>HYPERLINK("https://www2.assemblee-nationale.fr/sycomore/fiche/(num_dept)/6171", "6171")</f>
        <v>0</v>
      </c>
      <c r="M935">
        <f>HYPERLINK("https://www.senat.fr/senateur-3eme-republique/roy_henri0510r3.html", "roy_henri0510r3")</f>
        <v>0</v>
      </c>
      <c r="N935">
        <f>HYPERLINK("https://www.wikidata.org/wiki/Q3131955", "Q3131955")</f>
        <v>0</v>
      </c>
      <c r="O935" t="s">
        <v>19958</v>
      </c>
      <c r="P935" t="s">
        <v>20413</v>
      </c>
      <c r="Q935" t="s">
        <v>20559</v>
      </c>
      <c r="R935" t="s">
        <v>410</v>
      </c>
      <c r="S935">
        <v>2051</v>
      </c>
    </row>
    <row r="936" spans="1:19">
      <c r="A936" t="s">
        <v>20</v>
      </c>
      <c r="B936" t="s">
        <v>148</v>
      </c>
      <c r="C936" t="s">
        <v>152</v>
      </c>
      <c r="D936" t="s">
        <v>281</v>
      </c>
      <c r="E936" t="s">
        <v>410</v>
      </c>
      <c r="F936">
        <f>HYPERLINK("https://www.wikidata.org/wiki/Q33528422", "Q33528422")</f>
        <v>0</v>
      </c>
      <c r="G936" t="s">
        <v>775</v>
      </c>
      <c r="H936" t="s">
        <v>5533</v>
      </c>
      <c r="I936" t="s">
        <v>9453</v>
      </c>
      <c r="J936" t="s">
        <v>11522</v>
      </c>
      <c r="K936" t="s">
        <v>15926</v>
      </c>
      <c r="L936">
        <f>HYPERLINK("https://www2.assemblee-nationale.fr/sycomore/fiche/(num_dept)/6180", "6180")</f>
        <v>0</v>
      </c>
      <c r="N936">
        <f>HYPERLINK("https://www.wikidata.org/wiki/Q2865323", "Q2865323")</f>
        <v>0</v>
      </c>
      <c r="O936" t="s">
        <v>19969</v>
      </c>
      <c r="P936" t="s">
        <v>20404</v>
      </c>
      <c r="Q936" t="s">
        <v>20559</v>
      </c>
      <c r="R936" t="s">
        <v>410</v>
      </c>
      <c r="S936">
        <v>2051</v>
      </c>
    </row>
    <row r="937" spans="1:19">
      <c r="A937" t="s">
        <v>20</v>
      </c>
      <c r="B937" t="s">
        <v>148</v>
      </c>
      <c r="C937" t="s">
        <v>152</v>
      </c>
      <c r="D937" t="s">
        <v>281</v>
      </c>
      <c r="E937" t="s">
        <v>410</v>
      </c>
      <c r="F937">
        <f>HYPERLINK("https://www.wikidata.org/wiki/Q33528422", "Q33528422")</f>
        <v>0</v>
      </c>
      <c r="G937" t="s">
        <v>778</v>
      </c>
      <c r="H937" t="s">
        <v>5536</v>
      </c>
      <c r="I937" t="s">
        <v>6584</v>
      </c>
      <c r="J937" t="s">
        <v>11525</v>
      </c>
      <c r="K937" t="s">
        <v>15929</v>
      </c>
      <c r="L937">
        <f>HYPERLINK("https://www2.assemblee-nationale.fr/sycomore/fiche/(num_dept)/6293", "6293")</f>
        <v>0</v>
      </c>
      <c r="M937">
        <f>HYPERLINK("https://www.senat.fr/senateur-3eme-republique/sarraut_albert0265r3.html", "sarraut_albert0265r3")</f>
        <v>0</v>
      </c>
      <c r="N937">
        <f>HYPERLINK("https://www.wikidata.org/wiki/Q460318", "Q460318")</f>
        <v>0</v>
      </c>
      <c r="O937" t="s">
        <v>19960</v>
      </c>
      <c r="P937" t="s">
        <v>20413</v>
      </c>
      <c r="Q937" t="s">
        <v>20559</v>
      </c>
      <c r="R937" t="s">
        <v>410</v>
      </c>
      <c r="S937">
        <v>2051</v>
      </c>
    </row>
    <row r="938" spans="1:19">
      <c r="A938" t="s">
        <v>20</v>
      </c>
      <c r="B938" t="s">
        <v>148</v>
      </c>
      <c r="C938" t="s">
        <v>152</v>
      </c>
      <c r="D938" t="s">
        <v>281</v>
      </c>
      <c r="E938" t="s">
        <v>410</v>
      </c>
      <c r="F938">
        <f>HYPERLINK("https://www.wikidata.org/wiki/Q33528422", "Q33528422")</f>
        <v>0</v>
      </c>
      <c r="G938" t="s">
        <v>779</v>
      </c>
      <c r="H938" t="s">
        <v>5537</v>
      </c>
      <c r="I938" t="s">
        <v>6175</v>
      </c>
      <c r="J938" t="s">
        <v>11526</v>
      </c>
      <c r="K938" t="s">
        <v>15930</v>
      </c>
      <c r="L938">
        <f>HYPERLINK("https://www2.assemblee-nationale.fr/sycomore/fiche/(num_dept)/6306", "6306")</f>
        <v>0</v>
      </c>
      <c r="N938">
        <f>HYPERLINK("https://www.wikidata.org/wiki/Q16026484", "Q16026484")</f>
        <v>0</v>
      </c>
      <c r="O938" t="s">
        <v>20010</v>
      </c>
      <c r="P938" t="s">
        <v>20412</v>
      </c>
      <c r="Q938" t="s">
        <v>20559</v>
      </c>
      <c r="R938" t="s">
        <v>410</v>
      </c>
      <c r="S938">
        <v>2051</v>
      </c>
    </row>
    <row r="939" spans="1:19">
      <c r="A939" t="s">
        <v>20</v>
      </c>
      <c r="B939" t="s">
        <v>148</v>
      </c>
      <c r="C939" t="s">
        <v>152</v>
      </c>
      <c r="D939" t="s">
        <v>281</v>
      </c>
      <c r="E939" t="s">
        <v>410</v>
      </c>
      <c r="F939">
        <f>HYPERLINK("https://www.wikidata.org/wiki/Q33528422", "Q33528422")</f>
        <v>0</v>
      </c>
      <c r="G939" t="s">
        <v>783</v>
      </c>
      <c r="H939" t="s">
        <v>5540</v>
      </c>
      <c r="I939" t="s">
        <v>9385</v>
      </c>
      <c r="J939" t="s">
        <v>11530</v>
      </c>
      <c r="K939" t="s">
        <v>15934</v>
      </c>
      <c r="L939">
        <f>HYPERLINK("https://www2.assemblee-nationale.fr/sycomore/fiche/(num_dept)/6350", "6350")</f>
        <v>0</v>
      </c>
      <c r="N939">
        <f>HYPERLINK("https://www.wikidata.org/wiki/Q2960201", "Q2960201")</f>
        <v>0</v>
      </c>
      <c r="O939" t="s">
        <v>20040</v>
      </c>
      <c r="P939" t="s">
        <v>20413</v>
      </c>
      <c r="Q939" t="s">
        <v>20559</v>
      </c>
      <c r="R939" t="s">
        <v>15934</v>
      </c>
      <c r="S939">
        <v>226</v>
      </c>
    </row>
    <row r="940" spans="1:19">
      <c r="A940" t="s">
        <v>20</v>
      </c>
      <c r="B940" t="s">
        <v>148</v>
      </c>
      <c r="C940" t="s">
        <v>152</v>
      </c>
      <c r="D940" t="s">
        <v>281</v>
      </c>
      <c r="E940" t="s">
        <v>410</v>
      </c>
      <c r="F940">
        <f>HYPERLINK("https://www.wikidata.org/wiki/Q33528422", "Q33528422")</f>
        <v>0</v>
      </c>
      <c r="G940" t="s">
        <v>786</v>
      </c>
      <c r="H940" t="s">
        <v>5543</v>
      </c>
      <c r="I940" t="s">
        <v>9523</v>
      </c>
      <c r="J940" t="s">
        <v>11533</v>
      </c>
      <c r="K940" t="s">
        <v>15937</v>
      </c>
      <c r="L940">
        <f>HYPERLINK("https://www2.assemblee-nationale.fr/sycomore/fiche/(num_dept)/6379", "6379")</f>
        <v>0</v>
      </c>
      <c r="N940">
        <f>HYPERLINK("https://www.wikidata.org/wiki/Q2019775", "Q2019775")</f>
        <v>0</v>
      </c>
      <c r="O940" t="s">
        <v>19969</v>
      </c>
      <c r="P940" t="s">
        <v>20404</v>
      </c>
      <c r="Q940" t="s">
        <v>20559</v>
      </c>
      <c r="R940" t="s">
        <v>410</v>
      </c>
      <c r="S940">
        <v>2051</v>
      </c>
    </row>
    <row r="941" spans="1:19">
      <c r="A941" t="s">
        <v>20</v>
      </c>
      <c r="B941" t="s">
        <v>148</v>
      </c>
      <c r="C941" t="s">
        <v>152</v>
      </c>
      <c r="D941" t="s">
        <v>281</v>
      </c>
      <c r="E941" t="s">
        <v>410</v>
      </c>
      <c r="F941">
        <f>HYPERLINK("https://www.wikidata.org/wiki/Q33528422", "Q33528422")</f>
        <v>0</v>
      </c>
      <c r="G941" t="s">
        <v>787</v>
      </c>
      <c r="H941" t="s">
        <v>5544</v>
      </c>
      <c r="I941" t="s">
        <v>6941</v>
      </c>
      <c r="J941" t="s">
        <v>11534</v>
      </c>
      <c r="K941" t="s">
        <v>15938</v>
      </c>
      <c r="L941">
        <f>HYPERLINK("https://www2.assemblee-nationale.fr/sycomore/fiche/(num_dept)/6407", "6407")</f>
        <v>0</v>
      </c>
      <c r="M941">
        <f>HYPERLINK("https://www.senat.fr/senateur-3eme-republique/de_pomereu_michel1598r3.html", "de_pomereu_michel1598r3")</f>
        <v>0</v>
      </c>
      <c r="N941">
        <f>HYPERLINK("https://www.wikidata.org/wiki/Q3436712", "Q3436712")</f>
        <v>0</v>
      </c>
      <c r="O941" t="s">
        <v>19978</v>
      </c>
      <c r="P941" t="s">
        <v>20410</v>
      </c>
      <c r="Q941" t="s">
        <v>20559</v>
      </c>
      <c r="R941" t="s">
        <v>410</v>
      </c>
      <c r="S941">
        <v>2051</v>
      </c>
    </row>
    <row r="942" spans="1:19">
      <c r="A942" t="s">
        <v>20</v>
      </c>
      <c r="B942" t="s">
        <v>148</v>
      </c>
      <c r="C942" t="s">
        <v>152</v>
      </c>
      <c r="D942" t="s">
        <v>281</v>
      </c>
      <c r="E942" t="s">
        <v>410</v>
      </c>
      <c r="F942">
        <f>HYPERLINK("https://www.wikidata.org/wiki/Q33528422", "Q33528422")</f>
        <v>0</v>
      </c>
      <c r="G942" t="s">
        <v>788</v>
      </c>
      <c r="H942" t="s">
        <v>5545</v>
      </c>
      <c r="I942" t="s">
        <v>6175</v>
      </c>
      <c r="J942" t="s">
        <v>11535</v>
      </c>
      <c r="K942" t="s">
        <v>15939</v>
      </c>
      <c r="L942">
        <f>HYPERLINK("https://www2.assemblee-nationale.fr/sycomore/fiche/(num_dept)/6421", "6421")</f>
        <v>0</v>
      </c>
      <c r="N942">
        <f>HYPERLINK("https://www.wikidata.org/wiki/Q8308559", "Q8308559")</f>
        <v>0</v>
      </c>
      <c r="O942" t="s">
        <v>20041</v>
      </c>
      <c r="P942" t="s">
        <v>20413</v>
      </c>
      <c r="Q942" t="s">
        <v>20559</v>
      </c>
      <c r="R942" t="s">
        <v>410</v>
      </c>
      <c r="S942">
        <v>2051</v>
      </c>
    </row>
    <row r="943" spans="1:19">
      <c r="A943" t="s">
        <v>20</v>
      </c>
      <c r="B943" t="s">
        <v>148</v>
      </c>
      <c r="C943" t="s">
        <v>152</v>
      </c>
      <c r="D943" t="s">
        <v>281</v>
      </c>
      <c r="E943" t="s">
        <v>410</v>
      </c>
      <c r="F943">
        <f>HYPERLINK("https://www.wikidata.org/wiki/Q33528422", "Q33528422")</f>
        <v>0</v>
      </c>
      <c r="G943" t="s">
        <v>789</v>
      </c>
      <c r="H943" t="s">
        <v>5546</v>
      </c>
      <c r="I943" t="s">
        <v>9524</v>
      </c>
      <c r="J943" t="s">
        <v>11536</v>
      </c>
      <c r="K943" t="s">
        <v>15940</v>
      </c>
      <c r="L943">
        <f>HYPERLINK("https://www2.assemblee-nationale.fr/sycomore/fiche/(num_dept)/6433", "6433")</f>
        <v>0</v>
      </c>
      <c r="M943">
        <f>HYPERLINK("https://www.senat.fr/senateur-3eme-republique/porteu_andre0542r3.html", "porteu_andre0542r3")</f>
        <v>0</v>
      </c>
      <c r="N943">
        <f>HYPERLINK("https://www.wikidata.org/wiki/Q2848467", "Q2848467")</f>
        <v>0</v>
      </c>
      <c r="O943" t="s">
        <v>19998</v>
      </c>
      <c r="P943" t="s">
        <v>20410</v>
      </c>
      <c r="Q943" t="s">
        <v>20559</v>
      </c>
      <c r="R943" t="s">
        <v>410</v>
      </c>
      <c r="S943">
        <v>2051</v>
      </c>
    </row>
    <row r="944" spans="1:19">
      <c r="A944" t="s">
        <v>20</v>
      </c>
      <c r="B944" t="s">
        <v>148</v>
      </c>
      <c r="C944" t="s">
        <v>152</v>
      </c>
      <c r="D944" t="s">
        <v>281</v>
      </c>
      <c r="E944" t="s">
        <v>410</v>
      </c>
      <c r="F944">
        <f>HYPERLINK("https://www.wikidata.org/wiki/Q33528422", "Q33528422")</f>
        <v>0</v>
      </c>
      <c r="G944" t="s">
        <v>790</v>
      </c>
      <c r="H944" t="s">
        <v>5547</v>
      </c>
      <c r="I944" t="s">
        <v>6158</v>
      </c>
      <c r="J944" t="s">
        <v>11537</v>
      </c>
      <c r="K944" t="s">
        <v>15941</v>
      </c>
      <c r="L944">
        <f>HYPERLINK("https://www2.assemblee-nationale.fr/sycomore/fiche/(num_dept)/6451", "6451")</f>
        <v>0</v>
      </c>
      <c r="N944">
        <f>HYPERLINK("https://www.wikidata.org/wiki/Q3092579", "Q3092579")</f>
        <v>0</v>
      </c>
      <c r="O944" t="s">
        <v>20024</v>
      </c>
      <c r="P944" t="s">
        <v>20412</v>
      </c>
      <c r="Q944" t="s">
        <v>20559</v>
      </c>
      <c r="R944" t="s">
        <v>15941</v>
      </c>
      <c r="S944">
        <v>1389</v>
      </c>
    </row>
    <row r="945" spans="1:19">
      <c r="A945" t="s">
        <v>20</v>
      </c>
      <c r="B945" t="s">
        <v>148</v>
      </c>
      <c r="C945" t="s">
        <v>152</v>
      </c>
      <c r="D945" t="s">
        <v>281</v>
      </c>
      <c r="E945" t="s">
        <v>410</v>
      </c>
      <c r="F945">
        <f>HYPERLINK("https://www.wikidata.org/wiki/Q33528422", "Q33528422")</f>
        <v>0</v>
      </c>
      <c r="G945" t="s">
        <v>1196</v>
      </c>
      <c r="H945" t="s">
        <v>5926</v>
      </c>
      <c r="I945" t="s">
        <v>9703</v>
      </c>
      <c r="J945" t="s">
        <v>11929</v>
      </c>
      <c r="K945" t="s">
        <v>16330</v>
      </c>
      <c r="L945">
        <f>HYPERLINK("https://www2.assemblee-nationale.fr/sycomore/fiche/(num_dept)/6481", "6481")</f>
        <v>0</v>
      </c>
      <c r="N945">
        <f>HYPERLINK("https://www.wikidata.org/wiki/Q8338178", "Q8338178")</f>
        <v>0</v>
      </c>
      <c r="O945" t="s">
        <v>19976</v>
      </c>
      <c r="P945" t="s">
        <v>20414</v>
      </c>
      <c r="Q945" t="s">
        <v>20559</v>
      </c>
      <c r="R945" t="s">
        <v>410</v>
      </c>
      <c r="S945">
        <v>2051</v>
      </c>
    </row>
    <row r="946" spans="1:19">
      <c r="A946" t="s">
        <v>20</v>
      </c>
      <c r="B946" t="s">
        <v>148</v>
      </c>
      <c r="C946" t="s">
        <v>152</v>
      </c>
      <c r="D946" t="s">
        <v>281</v>
      </c>
      <c r="E946" t="s">
        <v>410</v>
      </c>
      <c r="F946">
        <f>HYPERLINK("https://www.wikidata.org/wiki/Q33528422", "Q33528422")</f>
        <v>0</v>
      </c>
      <c r="G946" t="s">
        <v>1197</v>
      </c>
      <c r="H946" t="s">
        <v>5927</v>
      </c>
      <c r="I946" t="s">
        <v>9445</v>
      </c>
      <c r="J946" t="s">
        <v>11930</v>
      </c>
      <c r="K946" t="s">
        <v>16331</v>
      </c>
      <c r="L946">
        <f>HYPERLINK("https://www2.assemblee-nationale.fr/sycomore/fiche/(num_dept)/6492", "6492")</f>
        <v>0</v>
      </c>
      <c r="N946">
        <f>HYPERLINK("https://www.wikidata.org/wiki/Q4685656", "Q4685656")</f>
        <v>0</v>
      </c>
      <c r="O946" t="s">
        <v>19977</v>
      </c>
      <c r="P946" t="s">
        <v>20404</v>
      </c>
      <c r="Q946" t="s">
        <v>20559</v>
      </c>
      <c r="R946" t="s">
        <v>410</v>
      </c>
      <c r="S946">
        <v>2051</v>
      </c>
    </row>
    <row r="947" spans="1:19">
      <c r="A947" t="s">
        <v>20</v>
      </c>
      <c r="B947" t="s">
        <v>148</v>
      </c>
      <c r="C947" t="s">
        <v>152</v>
      </c>
      <c r="D947" t="s">
        <v>281</v>
      </c>
      <c r="E947" t="s">
        <v>410</v>
      </c>
      <c r="F947">
        <f>HYPERLINK("https://www.wikidata.org/wiki/Q33528422", "Q33528422")</f>
        <v>0</v>
      </c>
      <c r="G947" t="s">
        <v>792</v>
      </c>
      <c r="H947" t="s">
        <v>5549</v>
      </c>
      <c r="I947" t="s">
        <v>6495</v>
      </c>
      <c r="J947" t="s">
        <v>11539</v>
      </c>
      <c r="K947" t="s">
        <v>15943</v>
      </c>
      <c r="L947">
        <f>HYPERLINK("https://www2.assemblee-nationale.fr/sycomore/fiche/(num_dept)/6531", "6531")</f>
        <v>0</v>
      </c>
      <c r="N947">
        <f>HYPERLINK("https://www.wikidata.org/wiki/Q3262963", "Q3262963")</f>
        <v>0</v>
      </c>
      <c r="O947" t="s">
        <v>19969</v>
      </c>
      <c r="P947" t="s">
        <v>20413</v>
      </c>
      <c r="Q947" t="s">
        <v>20559</v>
      </c>
      <c r="R947" t="s">
        <v>410</v>
      </c>
      <c r="S947">
        <v>2051</v>
      </c>
    </row>
    <row r="948" spans="1:19">
      <c r="A948" t="s">
        <v>20</v>
      </c>
      <c r="B948" t="s">
        <v>148</v>
      </c>
      <c r="C948" t="s">
        <v>152</v>
      </c>
      <c r="D948" t="s">
        <v>281</v>
      </c>
      <c r="E948" t="s">
        <v>410</v>
      </c>
      <c r="F948">
        <f>HYPERLINK("https://www.wikidata.org/wiki/Q33528422", "Q33528422")</f>
        <v>0</v>
      </c>
      <c r="G948" t="s">
        <v>1041</v>
      </c>
      <c r="H948" t="s">
        <v>5550</v>
      </c>
      <c r="I948" t="s">
        <v>9636</v>
      </c>
      <c r="J948" t="s">
        <v>11778</v>
      </c>
      <c r="K948" t="s">
        <v>16179</v>
      </c>
      <c r="L948">
        <f>HYPERLINK("https://www2.assemblee-nationale.fr/sycomore/fiche/(num_dept)/6534", "6534")</f>
        <v>0</v>
      </c>
      <c r="N948">
        <f>HYPERLINK("https://www.wikidata.org/wiki/Q16026381", "Q16026381")</f>
        <v>0</v>
      </c>
      <c r="O948" t="s">
        <v>19955</v>
      </c>
      <c r="P948" t="s">
        <v>20409</v>
      </c>
      <c r="Q948" t="s">
        <v>20559</v>
      </c>
      <c r="R948" t="s">
        <v>410</v>
      </c>
      <c r="S948">
        <v>2051</v>
      </c>
    </row>
    <row r="949" spans="1:19">
      <c r="A949" t="s">
        <v>20</v>
      </c>
      <c r="B949" t="s">
        <v>148</v>
      </c>
      <c r="C949" t="s">
        <v>152</v>
      </c>
      <c r="D949" t="s">
        <v>281</v>
      </c>
      <c r="E949" t="s">
        <v>410</v>
      </c>
      <c r="F949">
        <f>HYPERLINK("https://www.wikidata.org/wiki/Q33528422", "Q33528422")</f>
        <v>0</v>
      </c>
      <c r="G949" t="s">
        <v>793</v>
      </c>
      <c r="H949" t="s">
        <v>5550</v>
      </c>
      <c r="I949" t="s">
        <v>9526</v>
      </c>
      <c r="J949" t="s">
        <v>11540</v>
      </c>
      <c r="K949" t="s">
        <v>15944</v>
      </c>
      <c r="L949">
        <f>HYPERLINK("https://www2.assemblee-nationale.fr/sycomore/fiche/(num_dept)/6535", "6535")</f>
        <v>0</v>
      </c>
      <c r="N949">
        <f>HYPERLINK("https://www.wikidata.org/wiki/Q13089737", "Q13089737")</f>
        <v>0</v>
      </c>
      <c r="O949" t="s">
        <v>19969</v>
      </c>
      <c r="P949" t="s">
        <v>20409</v>
      </c>
      <c r="Q949" t="s">
        <v>20559</v>
      </c>
      <c r="R949" t="s">
        <v>410</v>
      </c>
      <c r="S949">
        <v>2051</v>
      </c>
    </row>
    <row r="950" spans="1:19">
      <c r="A950" t="s">
        <v>20</v>
      </c>
      <c r="B950" t="s">
        <v>148</v>
      </c>
      <c r="C950" t="s">
        <v>152</v>
      </c>
      <c r="D950" t="s">
        <v>281</v>
      </c>
      <c r="E950" t="s">
        <v>410</v>
      </c>
      <c r="F950">
        <f>HYPERLINK("https://www.wikidata.org/wiki/Q33528422", "Q33528422")</f>
        <v>0</v>
      </c>
      <c r="G950" t="s">
        <v>796</v>
      </c>
      <c r="H950" t="s">
        <v>5553</v>
      </c>
      <c r="I950" t="s">
        <v>9527</v>
      </c>
      <c r="J950" t="s">
        <v>11543</v>
      </c>
      <c r="K950" t="s">
        <v>15947</v>
      </c>
      <c r="L950">
        <f>HYPERLINK("https://www2.assemblee-nationale.fr/sycomore/fiche/(num_dept)/6567", "6567")</f>
        <v>0</v>
      </c>
      <c r="M950">
        <f>HYPERLINK("https://www.senat.fr/senateur-3eme-republique/rabier_fernand0501r3.html", "rabier_fernand0501r3")</f>
        <v>0</v>
      </c>
      <c r="N950">
        <f>HYPERLINK("https://www.wikidata.org/wiki/Q3069308", "Q3069308")</f>
        <v>0</v>
      </c>
      <c r="O950" t="s">
        <v>19958</v>
      </c>
      <c r="P950" t="s">
        <v>20413</v>
      </c>
      <c r="Q950" t="s">
        <v>20559</v>
      </c>
      <c r="R950" t="s">
        <v>410</v>
      </c>
      <c r="S950">
        <v>2051</v>
      </c>
    </row>
    <row r="951" spans="1:19">
      <c r="A951" t="s">
        <v>20</v>
      </c>
      <c r="B951" t="s">
        <v>148</v>
      </c>
      <c r="C951" t="s">
        <v>152</v>
      </c>
      <c r="D951" t="s">
        <v>281</v>
      </c>
      <c r="E951" t="s">
        <v>410</v>
      </c>
      <c r="F951">
        <f>HYPERLINK("https://www.wikidata.org/wiki/Q33528422", "Q33528422")</f>
        <v>0</v>
      </c>
      <c r="G951" t="s">
        <v>1198</v>
      </c>
      <c r="H951" t="s">
        <v>5928</v>
      </c>
      <c r="I951" t="s">
        <v>9458</v>
      </c>
      <c r="J951" t="s">
        <v>11931</v>
      </c>
      <c r="K951" t="s">
        <v>16332</v>
      </c>
      <c r="L951">
        <f>HYPERLINK("https://www2.assemblee-nationale.fr/sycomore/fiche/(num_dept)/6570", "6570")</f>
        <v>0</v>
      </c>
      <c r="N951">
        <f>HYPERLINK("https://www.wikidata.org/wiki/Q2835410", "Q2835410")</f>
        <v>0</v>
      </c>
      <c r="O951" t="s">
        <v>19980</v>
      </c>
      <c r="P951" t="s">
        <v>20412</v>
      </c>
      <c r="Q951" t="s">
        <v>20559</v>
      </c>
      <c r="R951" t="s">
        <v>410</v>
      </c>
      <c r="S951">
        <v>2051</v>
      </c>
    </row>
    <row r="952" spans="1:19">
      <c r="A952" t="s">
        <v>20</v>
      </c>
      <c r="B952" t="s">
        <v>148</v>
      </c>
      <c r="C952" t="s">
        <v>152</v>
      </c>
      <c r="D952" t="s">
        <v>281</v>
      </c>
      <c r="E952" t="s">
        <v>410</v>
      </c>
      <c r="F952">
        <f>HYPERLINK("https://www.wikidata.org/wiki/Q33528422", "Q33528422")</f>
        <v>0</v>
      </c>
      <c r="G952" t="s">
        <v>797</v>
      </c>
      <c r="H952" t="s">
        <v>5554</v>
      </c>
      <c r="I952" t="s">
        <v>9528</v>
      </c>
      <c r="J952" t="s">
        <v>11544</v>
      </c>
      <c r="K952" t="s">
        <v>15948</v>
      </c>
      <c r="L952">
        <f>HYPERLINK("https://www2.assemblee-nationale.fr/sycomore/fiche/(num_dept)/6578", "6578")</f>
        <v>0</v>
      </c>
      <c r="N952">
        <f>HYPERLINK("https://www.wikidata.org/wiki/Q16026388", "Q16026388")</f>
        <v>0</v>
      </c>
      <c r="O952" t="s">
        <v>20036</v>
      </c>
      <c r="P952" t="s">
        <v>20401</v>
      </c>
      <c r="Q952" t="s">
        <v>20559</v>
      </c>
      <c r="R952" t="s">
        <v>15948</v>
      </c>
      <c r="S952">
        <v>305</v>
      </c>
    </row>
    <row r="953" spans="1:19">
      <c r="A953" t="s">
        <v>20</v>
      </c>
      <c r="B953" t="s">
        <v>148</v>
      </c>
      <c r="C953" t="s">
        <v>152</v>
      </c>
      <c r="D953" t="s">
        <v>281</v>
      </c>
      <c r="E953" t="s">
        <v>410</v>
      </c>
      <c r="F953">
        <f>HYPERLINK("https://www.wikidata.org/wiki/Q33528422", "Q33528422")</f>
        <v>0</v>
      </c>
      <c r="G953" t="s">
        <v>1199</v>
      </c>
      <c r="H953" t="s">
        <v>5929</v>
      </c>
      <c r="I953" t="s">
        <v>9704</v>
      </c>
      <c r="J953" t="s">
        <v>11932</v>
      </c>
      <c r="K953" t="s">
        <v>16333</v>
      </c>
      <c r="L953">
        <f>HYPERLINK("https://www2.assemblee-nationale.fr/sycomore/fiche/(num_dept)/6579", "6579")</f>
        <v>0</v>
      </c>
      <c r="N953">
        <f>HYPERLINK("https://www.wikidata.org/wiki/Q16026389", "Q16026389")</f>
        <v>0</v>
      </c>
      <c r="O953" t="s">
        <v>20013</v>
      </c>
      <c r="P953" t="s">
        <v>20404</v>
      </c>
      <c r="Q953" t="s">
        <v>20559</v>
      </c>
      <c r="R953" t="s">
        <v>410</v>
      </c>
      <c r="S953">
        <v>2051</v>
      </c>
    </row>
    <row r="954" spans="1:19">
      <c r="A954" t="s">
        <v>20</v>
      </c>
      <c r="B954" t="s">
        <v>148</v>
      </c>
      <c r="C954" t="s">
        <v>152</v>
      </c>
      <c r="D954" t="s">
        <v>281</v>
      </c>
      <c r="E954" t="s">
        <v>410</v>
      </c>
      <c r="F954">
        <f>HYPERLINK("https://www.wikidata.org/wiki/Q33528422", "Q33528422")</f>
        <v>0</v>
      </c>
      <c r="G954" t="s">
        <v>798</v>
      </c>
      <c r="H954" t="s">
        <v>5555</v>
      </c>
      <c r="I954" t="s">
        <v>9529</v>
      </c>
      <c r="J954" t="s">
        <v>11545</v>
      </c>
      <c r="K954" t="s">
        <v>15949</v>
      </c>
      <c r="L954">
        <f>HYPERLINK("https://www2.assemblee-nationale.fr/sycomore/fiche/(num_dept)/6581", "6581")</f>
        <v>0</v>
      </c>
      <c r="M954">
        <f>HYPERLINK("https://www.senat.fr/senateur-3eme-republique/raiberti_flaminius0124r3.html", "raiberti_flaminius0124r3")</f>
        <v>0</v>
      </c>
      <c r="N954">
        <f>HYPERLINK("https://www.wikidata.org/wiki/Q3073302", "Q3073302")</f>
        <v>0</v>
      </c>
      <c r="O954" t="s">
        <v>20024</v>
      </c>
      <c r="P954" t="s">
        <v>20402</v>
      </c>
      <c r="Q954" t="s">
        <v>20559</v>
      </c>
      <c r="R954" t="s">
        <v>410</v>
      </c>
      <c r="S954">
        <v>2051</v>
      </c>
    </row>
    <row r="955" spans="1:19">
      <c r="A955" t="s">
        <v>20</v>
      </c>
      <c r="B955" t="s">
        <v>148</v>
      </c>
      <c r="C955" t="s">
        <v>152</v>
      </c>
      <c r="D955" t="s">
        <v>281</v>
      </c>
      <c r="E955" t="s">
        <v>410</v>
      </c>
      <c r="F955">
        <f>HYPERLINK("https://www.wikidata.org/wiki/Q33528422", "Q33528422")</f>
        <v>0</v>
      </c>
      <c r="G955" t="s">
        <v>799</v>
      </c>
      <c r="H955" t="s">
        <v>5556</v>
      </c>
      <c r="I955" t="s">
        <v>9530</v>
      </c>
      <c r="J955" t="s">
        <v>11546</v>
      </c>
      <c r="K955" t="s">
        <v>15950</v>
      </c>
      <c r="L955">
        <f>HYPERLINK("https://www2.assemblee-nationale.fr/sycomore/fiche/(num_dept)/6614", "6614")</f>
        <v>0</v>
      </c>
      <c r="N955">
        <f>HYPERLINK("https://www.wikidata.org/wiki/Q3289321", "Q3289321")</f>
        <v>0</v>
      </c>
      <c r="O955" t="s">
        <v>19985</v>
      </c>
      <c r="P955" t="s">
        <v>20409</v>
      </c>
      <c r="Q955" t="s">
        <v>20559</v>
      </c>
      <c r="R955" t="s">
        <v>410</v>
      </c>
      <c r="S955">
        <v>2051</v>
      </c>
    </row>
    <row r="956" spans="1:19">
      <c r="A956" t="s">
        <v>20</v>
      </c>
      <c r="B956" t="s">
        <v>148</v>
      </c>
      <c r="C956" t="s">
        <v>152</v>
      </c>
      <c r="D956" t="s">
        <v>281</v>
      </c>
      <c r="E956" t="s">
        <v>410</v>
      </c>
      <c r="F956">
        <f>HYPERLINK("https://www.wikidata.org/wiki/Q33528422", "Q33528422")</f>
        <v>0</v>
      </c>
      <c r="G956" t="s">
        <v>800</v>
      </c>
      <c r="H956" t="s">
        <v>5557</v>
      </c>
      <c r="I956" t="s">
        <v>9531</v>
      </c>
      <c r="J956" t="s">
        <v>11547</v>
      </c>
      <c r="K956" t="s">
        <v>15951</v>
      </c>
      <c r="L956">
        <f>HYPERLINK("https://www2.assemblee-nationale.fr/sycomore/fiche/(num_dept)/6635", "6635")</f>
        <v>0</v>
      </c>
      <c r="N956">
        <f>HYPERLINK("https://www.wikidata.org/wiki/Q2441215", "Q2441215")</f>
        <v>0</v>
      </c>
      <c r="O956" t="s">
        <v>20031</v>
      </c>
      <c r="P956" t="s">
        <v>20413</v>
      </c>
      <c r="Q956" t="s">
        <v>20559</v>
      </c>
      <c r="R956" t="s">
        <v>410</v>
      </c>
      <c r="S956">
        <v>2051</v>
      </c>
    </row>
    <row r="957" spans="1:19">
      <c r="A957" t="s">
        <v>20</v>
      </c>
      <c r="B957" t="s">
        <v>148</v>
      </c>
      <c r="C957" t="s">
        <v>152</v>
      </c>
      <c r="D957" t="s">
        <v>281</v>
      </c>
      <c r="E957" t="s">
        <v>410</v>
      </c>
      <c r="F957">
        <f>HYPERLINK("https://www.wikidata.org/wiki/Q33528422", "Q33528422")</f>
        <v>0</v>
      </c>
      <c r="G957" t="s">
        <v>1200</v>
      </c>
      <c r="H957" t="s">
        <v>5559</v>
      </c>
      <c r="I957" t="s">
        <v>9476</v>
      </c>
      <c r="J957" t="s">
        <v>11933</v>
      </c>
      <c r="K957" t="s">
        <v>16334</v>
      </c>
      <c r="L957">
        <f>HYPERLINK("https://www2.assemblee-nationale.fr/sycomore/fiche/(num_dept)/6660", "6660")</f>
        <v>0</v>
      </c>
      <c r="N957">
        <f>HYPERLINK("https://www.wikidata.org/wiki/Q3426804", "Q3426804")</f>
        <v>0</v>
      </c>
      <c r="O957" t="s">
        <v>19962</v>
      </c>
      <c r="P957" t="s">
        <v>20409</v>
      </c>
      <c r="Q957" t="s">
        <v>20559</v>
      </c>
      <c r="R957" t="s">
        <v>16334</v>
      </c>
      <c r="S957">
        <v>1151</v>
      </c>
    </row>
    <row r="958" spans="1:19">
      <c r="A958" t="s">
        <v>20</v>
      </c>
      <c r="B958" t="s">
        <v>148</v>
      </c>
      <c r="C958" t="s">
        <v>152</v>
      </c>
      <c r="D958" t="s">
        <v>281</v>
      </c>
      <c r="E958" t="s">
        <v>410</v>
      </c>
      <c r="F958">
        <f>HYPERLINK("https://www.wikidata.org/wiki/Q33528422", "Q33528422")</f>
        <v>0</v>
      </c>
      <c r="G958" t="s">
        <v>804</v>
      </c>
      <c r="H958" t="s">
        <v>5561</v>
      </c>
      <c r="I958" t="s">
        <v>9476</v>
      </c>
      <c r="J958" t="s">
        <v>11551</v>
      </c>
      <c r="K958" t="s">
        <v>15955</v>
      </c>
      <c r="L958">
        <f>HYPERLINK("https://www2.assemblee-nationale.fr/sycomore/fiche/(num_dept)/6684", "6684")</f>
        <v>0</v>
      </c>
      <c r="M958">
        <f>HYPERLINK("https://www.senat.fr/senateur-3eme-republique/renoult_rene1734r3.html", "renoult_rene1734r3")</f>
        <v>0</v>
      </c>
      <c r="N958">
        <f>HYPERLINK("https://www.wikidata.org/wiki/Q3426810", "Q3426810")</f>
        <v>0</v>
      </c>
      <c r="O958" t="s">
        <v>20036</v>
      </c>
      <c r="P958" t="s">
        <v>20413</v>
      </c>
      <c r="Q958" t="s">
        <v>20559</v>
      </c>
      <c r="R958" t="s">
        <v>410</v>
      </c>
      <c r="S958">
        <v>2051</v>
      </c>
    </row>
    <row r="959" spans="1:19">
      <c r="A959" t="s">
        <v>20</v>
      </c>
      <c r="B959" t="s">
        <v>148</v>
      </c>
      <c r="C959" t="s">
        <v>152</v>
      </c>
      <c r="D959" t="s">
        <v>281</v>
      </c>
      <c r="E959" t="s">
        <v>410</v>
      </c>
      <c r="F959">
        <f>HYPERLINK("https://www.wikidata.org/wiki/Q33528422", "Q33528422")</f>
        <v>0</v>
      </c>
      <c r="G959" t="s">
        <v>1201</v>
      </c>
      <c r="H959" t="s">
        <v>5930</v>
      </c>
      <c r="I959" t="s">
        <v>9407</v>
      </c>
      <c r="J959" t="s">
        <v>11934</v>
      </c>
      <c r="K959" t="s">
        <v>16335</v>
      </c>
      <c r="L959">
        <f>HYPERLINK("https://www2.assemblee-nationale.fr/sycomore/fiche/(num_dept)/6721", "6721")</f>
        <v>0</v>
      </c>
      <c r="N959">
        <f>HYPERLINK("https://www.wikidata.org/wiki/Q16026416", "Q16026416")</f>
        <v>0</v>
      </c>
      <c r="O959" t="s">
        <v>20016</v>
      </c>
      <c r="P959" t="s">
        <v>20401</v>
      </c>
      <c r="Q959" t="s">
        <v>20559</v>
      </c>
      <c r="R959" t="s">
        <v>16335</v>
      </c>
      <c r="S959">
        <v>746</v>
      </c>
    </row>
    <row r="960" spans="1:19">
      <c r="A960" t="s">
        <v>20</v>
      </c>
      <c r="B960" t="s">
        <v>148</v>
      </c>
      <c r="C960" t="s">
        <v>152</v>
      </c>
      <c r="D960" t="s">
        <v>281</v>
      </c>
      <c r="E960" t="s">
        <v>410</v>
      </c>
      <c r="F960">
        <f>HYPERLINK("https://www.wikidata.org/wiki/Q33528422", "Q33528422")</f>
        <v>0</v>
      </c>
      <c r="G960" t="s">
        <v>1202</v>
      </c>
      <c r="H960" t="s">
        <v>5931</v>
      </c>
      <c r="I960" t="s">
        <v>9388</v>
      </c>
      <c r="J960" t="s">
        <v>11935</v>
      </c>
      <c r="K960" t="s">
        <v>16336</v>
      </c>
      <c r="L960">
        <f>HYPERLINK("https://www2.assemblee-nationale.fr/sycomore/fiche/(num_dept)/6723", "6723")</f>
        <v>0</v>
      </c>
      <c r="N960">
        <f>HYPERLINK("https://www.wikidata.org/wiki/Q8304272", "Q8304272")</f>
        <v>0</v>
      </c>
      <c r="O960" t="s">
        <v>19993</v>
      </c>
      <c r="P960" t="s">
        <v>20402</v>
      </c>
      <c r="Q960" t="s">
        <v>20559</v>
      </c>
      <c r="R960" t="s">
        <v>410</v>
      </c>
      <c r="S960">
        <v>2051</v>
      </c>
    </row>
    <row r="961" spans="1:19">
      <c r="A961" t="s">
        <v>20</v>
      </c>
      <c r="B961" t="s">
        <v>148</v>
      </c>
      <c r="C961" t="s">
        <v>152</v>
      </c>
      <c r="D961" t="s">
        <v>281</v>
      </c>
      <c r="E961" t="s">
        <v>410</v>
      </c>
      <c r="F961">
        <f>HYPERLINK("https://www.wikidata.org/wiki/Q33528422", "Q33528422")</f>
        <v>0</v>
      </c>
      <c r="G961" t="s">
        <v>1203</v>
      </c>
      <c r="H961" t="s">
        <v>5932</v>
      </c>
      <c r="I961" t="s">
        <v>9705</v>
      </c>
      <c r="J961" t="s">
        <v>11936</v>
      </c>
      <c r="K961" t="s">
        <v>16337</v>
      </c>
      <c r="L961">
        <f>HYPERLINK("https://www2.assemblee-nationale.fr/sycomore/fiche/(num_dept)/6764", "6764")</f>
        <v>0</v>
      </c>
      <c r="N961">
        <f>HYPERLINK("https://www.wikidata.org/wiki/Q16026426", "Q16026426")</f>
        <v>0</v>
      </c>
      <c r="O961" t="s">
        <v>19966</v>
      </c>
      <c r="P961" t="s">
        <v>20413</v>
      </c>
      <c r="Q961" t="s">
        <v>20559</v>
      </c>
      <c r="R961" t="s">
        <v>410</v>
      </c>
      <c r="S961">
        <v>2051</v>
      </c>
    </row>
    <row r="962" spans="1:19">
      <c r="A962" t="s">
        <v>20</v>
      </c>
      <c r="B962" t="s">
        <v>148</v>
      </c>
      <c r="C962" t="s">
        <v>152</v>
      </c>
      <c r="D962" t="s">
        <v>281</v>
      </c>
      <c r="E962" t="s">
        <v>410</v>
      </c>
      <c r="F962">
        <f>HYPERLINK("https://www.wikidata.org/wiki/Q33528422", "Q33528422")</f>
        <v>0</v>
      </c>
      <c r="G962" t="s">
        <v>1051</v>
      </c>
      <c r="H962" t="s">
        <v>5798</v>
      </c>
      <c r="I962" t="s">
        <v>9644</v>
      </c>
      <c r="J962" t="s">
        <v>11788</v>
      </c>
      <c r="K962" t="s">
        <v>16189</v>
      </c>
      <c r="L962">
        <f>HYPERLINK("https://www2.assemblee-nationale.fr/sycomore/fiche/(num_dept)/6780", "6780")</f>
        <v>0</v>
      </c>
      <c r="N962">
        <f>HYPERLINK("https://www.wikidata.org/wiki/Q15972018", "Q15972018")</f>
        <v>0</v>
      </c>
      <c r="O962" t="s">
        <v>20015</v>
      </c>
      <c r="P962" t="s">
        <v>20404</v>
      </c>
      <c r="Q962" t="s">
        <v>20559</v>
      </c>
      <c r="R962" t="s">
        <v>410</v>
      </c>
      <c r="S962">
        <v>2051</v>
      </c>
    </row>
    <row r="963" spans="1:19">
      <c r="A963" t="s">
        <v>20</v>
      </c>
      <c r="B963" t="s">
        <v>148</v>
      </c>
      <c r="C963" t="s">
        <v>152</v>
      </c>
      <c r="D963" t="s">
        <v>281</v>
      </c>
      <c r="E963" t="s">
        <v>410</v>
      </c>
      <c r="F963">
        <f>HYPERLINK("https://www.wikidata.org/wiki/Q33528422", "Q33528422")</f>
        <v>0</v>
      </c>
      <c r="G963" t="s">
        <v>808</v>
      </c>
      <c r="H963" t="s">
        <v>5565</v>
      </c>
      <c r="I963" t="s">
        <v>6584</v>
      </c>
      <c r="J963" t="s">
        <v>11555</v>
      </c>
      <c r="K963" t="s">
        <v>15959</v>
      </c>
      <c r="L963">
        <f>HYPERLINK("https://www2.assemblee-nationale.fr/sycomore/fiche/(num_dept)/6817", "6817")</f>
        <v>0</v>
      </c>
      <c r="N963">
        <f>HYPERLINK("https://www.wikidata.org/wiki/Q2831554", "Q2831554")</f>
        <v>0</v>
      </c>
      <c r="O963" t="s">
        <v>20013</v>
      </c>
      <c r="P963" t="s">
        <v>20402</v>
      </c>
      <c r="Q963" t="s">
        <v>20559</v>
      </c>
      <c r="R963" t="s">
        <v>15959</v>
      </c>
      <c r="S963">
        <v>1615</v>
      </c>
    </row>
    <row r="964" spans="1:19">
      <c r="A964" t="s">
        <v>20</v>
      </c>
      <c r="B964" t="s">
        <v>148</v>
      </c>
      <c r="C964" t="s">
        <v>152</v>
      </c>
      <c r="D964" t="s">
        <v>281</v>
      </c>
      <c r="E964" t="s">
        <v>410</v>
      </c>
      <c r="F964">
        <f>HYPERLINK("https://www.wikidata.org/wiki/Q33528422", "Q33528422")</f>
        <v>0</v>
      </c>
      <c r="G964" t="s">
        <v>1052</v>
      </c>
      <c r="H964" t="s">
        <v>5799</v>
      </c>
      <c r="I964" t="s">
        <v>9449</v>
      </c>
      <c r="J964" t="s">
        <v>11789</v>
      </c>
      <c r="K964" t="s">
        <v>16190</v>
      </c>
      <c r="L964">
        <f>HYPERLINK("https://www2.assemblee-nationale.fr/sycomore/fiche/(num_dept)/6832", "6832")</f>
        <v>0</v>
      </c>
      <c r="M964">
        <f>HYPERLINK("https://www.senat.fr/senateur-3eme-republique/siegfried_jules1584r3.html", "siegfried_jules1584r3")</f>
        <v>0</v>
      </c>
      <c r="N964">
        <f>HYPERLINK("https://www.wikidata.org/wiki/Q3188910", "Q3188910")</f>
        <v>0</v>
      </c>
      <c r="O964" t="s">
        <v>19978</v>
      </c>
      <c r="P964" t="s">
        <v>20412</v>
      </c>
      <c r="Q964" t="s">
        <v>20559</v>
      </c>
      <c r="R964" t="s">
        <v>410</v>
      </c>
      <c r="S964">
        <v>2051</v>
      </c>
    </row>
    <row r="965" spans="1:19">
      <c r="A965" t="s">
        <v>20</v>
      </c>
      <c r="B965" t="s">
        <v>148</v>
      </c>
      <c r="C965" t="s">
        <v>152</v>
      </c>
      <c r="D965" t="s">
        <v>281</v>
      </c>
      <c r="E965" t="s">
        <v>410</v>
      </c>
      <c r="F965">
        <f>HYPERLINK("https://www.wikidata.org/wiki/Q33528422", "Q33528422")</f>
        <v>0</v>
      </c>
      <c r="G965" t="s">
        <v>1132</v>
      </c>
      <c r="H965" t="s">
        <v>5800</v>
      </c>
      <c r="I965" t="s">
        <v>9388</v>
      </c>
      <c r="J965" t="s">
        <v>11866</v>
      </c>
      <c r="K965" t="s">
        <v>16268</v>
      </c>
      <c r="L965">
        <f>HYPERLINK("https://www2.assemblee-nationale.fr/sycomore/fiche/(num_dept)/6845", "6845")</f>
        <v>0</v>
      </c>
      <c r="N965">
        <f>HYPERLINK("https://www.wikidata.org/wiki/Q3372205", "Q3372205")</f>
        <v>0</v>
      </c>
      <c r="O965" t="s">
        <v>20011</v>
      </c>
      <c r="P965" t="s">
        <v>20409</v>
      </c>
      <c r="Q965" t="s">
        <v>20559</v>
      </c>
      <c r="R965" t="s">
        <v>410</v>
      </c>
      <c r="S965">
        <v>2051</v>
      </c>
    </row>
    <row r="966" spans="1:19">
      <c r="A966" t="s">
        <v>20</v>
      </c>
      <c r="B966" t="s">
        <v>148</v>
      </c>
      <c r="C966" t="s">
        <v>152</v>
      </c>
      <c r="D966" t="s">
        <v>281</v>
      </c>
      <c r="E966" t="s">
        <v>410</v>
      </c>
      <c r="F966">
        <f>HYPERLINK("https://www.wikidata.org/wiki/Q33528422", "Q33528422")</f>
        <v>0</v>
      </c>
      <c r="G966" t="s">
        <v>1204</v>
      </c>
      <c r="H966" t="s">
        <v>5567</v>
      </c>
      <c r="I966" t="s">
        <v>6495</v>
      </c>
      <c r="J966" t="s">
        <v>11937</v>
      </c>
      <c r="K966" t="s">
        <v>16338</v>
      </c>
      <c r="L966">
        <f>HYPERLINK("https://www2.assemblee-nationale.fr/sycomore/fiche/(num_dept)/6849", "6849")</f>
        <v>0</v>
      </c>
      <c r="N966">
        <f>HYPERLINK("https://www.wikidata.org/wiki/Q3263117", "Q3263117")</f>
        <v>0</v>
      </c>
      <c r="O966" t="s">
        <v>20017</v>
      </c>
      <c r="P966" t="s">
        <v>20401</v>
      </c>
      <c r="Q966" t="s">
        <v>20559</v>
      </c>
      <c r="R966" t="s">
        <v>410</v>
      </c>
      <c r="S966">
        <v>2051</v>
      </c>
    </row>
    <row r="967" spans="1:19">
      <c r="A967" t="s">
        <v>20</v>
      </c>
      <c r="B967" t="s">
        <v>148</v>
      </c>
      <c r="C967" t="s">
        <v>152</v>
      </c>
      <c r="D967" t="s">
        <v>281</v>
      </c>
      <c r="E967" t="s">
        <v>410</v>
      </c>
      <c r="F967">
        <f>HYPERLINK("https://www.wikidata.org/wiki/Q33528422", "Q33528422")</f>
        <v>0</v>
      </c>
      <c r="G967" t="s">
        <v>811</v>
      </c>
      <c r="H967" t="s">
        <v>5568</v>
      </c>
      <c r="I967" t="s">
        <v>9535</v>
      </c>
      <c r="J967" t="s">
        <v>11558</v>
      </c>
      <c r="K967" t="s">
        <v>15962</v>
      </c>
      <c r="L967">
        <f>HYPERLINK("https://www2.assemblee-nationale.fr/sycomore/fiche/(num_dept)/6854", "6854")</f>
        <v>0</v>
      </c>
      <c r="M967">
        <f>HYPERLINK("https://www.senat.fr/senateur-3eme-republique/simyan_julien1227r3.html", "simyan_julien1227r3")</f>
        <v>0</v>
      </c>
      <c r="N967">
        <f>HYPERLINK("https://www.wikidata.org/wiki/Q3189661", "Q3189661")</f>
        <v>0</v>
      </c>
      <c r="O967" t="s">
        <v>19994</v>
      </c>
      <c r="P967" t="s">
        <v>20413</v>
      </c>
      <c r="Q967" t="s">
        <v>20559</v>
      </c>
      <c r="R967" t="s">
        <v>410</v>
      </c>
      <c r="S967">
        <v>2051</v>
      </c>
    </row>
    <row r="968" spans="1:19">
      <c r="A968" t="s">
        <v>20</v>
      </c>
      <c r="B968" t="s">
        <v>148</v>
      </c>
      <c r="C968" t="s">
        <v>152</v>
      </c>
      <c r="D968" t="s">
        <v>281</v>
      </c>
      <c r="E968" t="s">
        <v>410</v>
      </c>
      <c r="F968">
        <f>HYPERLINK("https://www.wikidata.org/wiki/Q33528422", "Q33528422")</f>
        <v>0</v>
      </c>
      <c r="G968" t="s">
        <v>812</v>
      </c>
      <c r="H968" t="s">
        <v>5569</v>
      </c>
      <c r="I968" t="s">
        <v>5528</v>
      </c>
      <c r="J968" t="s">
        <v>11559</v>
      </c>
      <c r="K968" t="s">
        <v>15963</v>
      </c>
      <c r="L968">
        <f>HYPERLINK("https://www2.assemblee-nationale.fr/sycomore/fiche/(num_dept)/6857", "6857")</f>
        <v>0</v>
      </c>
      <c r="M968">
        <f>HYPERLINK("https://www.senat.fr/senateur-3eme-republique/sireyjol_leon0664r3.html", "sireyjol_leon0664r3")</f>
        <v>0</v>
      </c>
      <c r="N968">
        <f>HYPERLINK("https://www.wikidata.org/wiki/Q3271332", "Q3271332")</f>
        <v>0</v>
      </c>
      <c r="O968" t="s">
        <v>20010</v>
      </c>
      <c r="P968" t="s">
        <v>20413</v>
      </c>
      <c r="Q968" t="s">
        <v>20559</v>
      </c>
      <c r="R968" t="s">
        <v>410</v>
      </c>
      <c r="S968">
        <v>2051</v>
      </c>
    </row>
    <row r="969" spans="1:19">
      <c r="A969" t="s">
        <v>20</v>
      </c>
      <c r="B969" t="s">
        <v>148</v>
      </c>
      <c r="C969" t="s">
        <v>152</v>
      </c>
      <c r="D969" t="s">
        <v>281</v>
      </c>
      <c r="E969" t="s">
        <v>410</v>
      </c>
      <c r="F969">
        <f>HYPERLINK("https://www.wikidata.org/wiki/Q33528422", "Q33528422")</f>
        <v>0</v>
      </c>
      <c r="G969" t="s">
        <v>1108</v>
      </c>
      <c r="H969" t="s">
        <v>5849</v>
      </c>
      <c r="I969" t="s">
        <v>6495</v>
      </c>
      <c r="J969" t="s">
        <v>11842</v>
      </c>
      <c r="K969" t="s">
        <v>16244</v>
      </c>
      <c r="L969">
        <f>HYPERLINK("https://www2.assemblee-nationale.fr/sycomore/fiche/(num_dept)/6876", "6876")</f>
        <v>0</v>
      </c>
      <c r="N969">
        <f>HYPERLINK("https://www.wikidata.org/wiki/Q3263127", "Q3263127")</f>
        <v>0</v>
      </c>
      <c r="O969" t="s">
        <v>20011</v>
      </c>
      <c r="P969" t="s">
        <v>20414</v>
      </c>
      <c r="Q969" t="s">
        <v>20559</v>
      </c>
      <c r="R969" t="s">
        <v>16244</v>
      </c>
      <c r="S969">
        <v>178</v>
      </c>
    </row>
    <row r="970" spans="1:19">
      <c r="A970" t="s">
        <v>20</v>
      </c>
      <c r="B970" t="s">
        <v>148</v>
      </c>
      <c r="C970" t="s">
        <v>152</v>
      </c>
      <c r="D970" t="s">
        <v>281</v>
      </c>
      <c r="E970" t="s">
        <v>410</v>
      </c>
      <c r="F970">
        <f>HYPERLINK("https://www.wikidata.org/wiki/Q33528422", "Q33528422")</f>
        <v>0</v>
      </c>
      <c r="G970" t="s">
        <v>813</v>
      </c>
      <c r="H970" t="s">
        <v>5570</v>
      </c>
      <c r="I970" t="s">
        <v>7642</v>
      </c>
      <c r="J970" t="s">
        <v>11560</v>
      </c>
      <c r="K970" t="s">
        <v>15964</v>
      </c>
      <c r="L970">
        <f>HYPERLINK("https://www2.assemblee-nationale.fr/sycomore/fiche/(num_dept)/6900", "6900")</f>
        <v>0</v>
      </c>
      <c r="N970">
        <f>HYPERLINK("https://www.wikidata.org/wiki/Q13085412", "Q13085412")</f>
        <v>0</v>
      </c>
      <c r="O970" t="s">
        <v>19969</v>
      </c>
      <c r="P970" t="s">
        <v>20414</v>
      </c>
      <c r="Q970" t="s">
        <v>20559</v>
      </c>
      <c r="R970" t="s">
        <v>410</v>
      </c>
      <c r="S970">
        <v>2051</v>
      </c>
    </row>
    <row r="971" spans="1:19">
      <c r="A971" t="s">
        <v>20</v>
      </c>
      <c r="B971" t="s">
        <v>148</v>
      </c>
      <c r="C971" t="s">
        <v>152</v>
      </c>
      <c r="D971" t="s">
        <v>281</v>
      </c>
      <c r="E971" t="s">
        <v>410</v>
      </c>
      <c r="F971">
        <f>HYPERLINK("https://www.wikidata.org/wiki/Q33528422", "Q33528422")</f>
        <v>0</v>
      </c>
      <c r="G971" t="s">
        <v>815</v>
      </c>
      <c r="H971" t="s">
        <v>5572</v>
      </c>
      <c r="I971" t="s">
        <v>6759</v>
      </c>
      <c r="J971" t="s">
        <v>11562</v>
      </c>
      <c r="K971" t="s">
        <v>15966</v>
      </c>
      <c r="L971">
        <f>HYPERLINK("https://www2.assemblee-nationale.fr/sycomore/fiche/(num_dept)/6923", "6923")</f>
        <v>0</v>
      </c>
      <c r="N971">
        <f>HYPERLINK("https://www.wikidata.org/wiki/Q3435381", "Q3435381")</f>
        <v>0</v>
      </c>
      <c r="O971" t="s">
        <v>19998</v>
      </c>
      <c r="P971" t="s">
        <v>20401</v>
      </c>
      <c r="Q971" t="s">
        <v>20559</v>
      </c>
      <c r="R971" t="s">
        <v>410</v>
      </c>
      <c r="S971">
        <v>2051</v>
      </c>
    </row>
    <row r="972" spans="1:19">
      <c r="A972" t="s">
        <v>20</v>
      </c>
      <c r="B972" t="s">
        <v>148</v>
      </c>
      <c r="C972" t="s">
        <v>152</v>
      </c>
      <c r="D972" t="s">
        <v>281</v>
      </c>
      <c r="E972" t="s">
        <v>410</v>
      </c>
      <c r="F972">
        <f>HYPERLINK("https://www.wikidata.org/wiki/Q33528422", "Q33528422")</f>
        <v>0</v>
      </c>
      <c r="G972" t="s">
        <v>1205</v>
      </c>
      <c r="H972" t="s">
        <v>5933</v>
      </c>
      <c r="I972" t="s">
        <v>9706</v>
      </c>
      <c r="J972" t="s">
        <v>11938</v>
      </c>
      <c r="K972" t="s">
        <v>16339</v>
      </c>
      <c r="L972">
        <f>HYPERLINK("https://www2.assemblee-nationale.fr/sycomore/fiche/(num_dept)/6944", "6944")</f>
        <v>0</v>
      </c>
      <c r="N972">
        <f>HYPERLINK("https://www.wikidata.org/wiki/Q16026532", "Q16026532")</f>
        <v>0</v>
      </c>
      <c r="O972" t="s">
        <v>19967</v>
      </c>
      <c r="P972" t="s">
        <v>20401</v>
      </c>
      <c r="Q972" t="s">
        <v>20559</v>
      </c>
      <c r="R972" t="s">
        <v>410</v>
      </c>
      <c r="S972">
        <v>2051</v>
      </c>
    </row>
    <row r="973" spans="1:19">
      <c r="A973" t="s">
        <v>20</v>
      </c>
      <c r="B973" t="s">
        <v>148</v>
      </c>
      <c r="C973" t="s">
        <v>152</v>
      </c>
      <c r="D973" t="s">
        <v>281</v>
      </c>
      <c r="E973" t="s">
        <v>410</v>
      </c>
      <c r="F973">
        <f>HYPERLINK("https://www.wikidata.org/wiki/Q33528422", "Q33528422")</f>
        <v>0</v>
      </c>
      <c r="G973" t="s">
        <v>1206</v>
      </c>
      <c r="H973" t="s">
        <v>5934</v>
      </c>
      <c r="I973" t="s">
        <v>6585</v>
      </c>
      <c r="J973" t="s">
        <v>11939</v>
      </c>
      <c r="K973" t="s">
        <v>16340</v>
      </c>
      <c r="L973">
        <f>HYPERLINK("https://www2.assemblee-nationale.fr/sycomore/fiche/(num_dept)/6953", "6953")</f>
        <v>0</v>
      </c>
      <c r="N973">
        <f>HYPERLINK("https://www.wikidata.org/wiki/Q346648", "Q346648")</f>
        <v>0</v>
      </c>
      <c r="O973" t="s">
        <v>19976</v>
      </c>
      <c r="P973" t="s">
        <v>20415</v>
      </c>
      <c r="Q973" t="s">
        <v>20559</v>
      </c>
      <c r="R973" t="s">
        <v>410</v>
      </c>
      <c r="S973">
        <v>2051</v>
      </c>
    </row>
    <row r="974" spans="1:19">
      <c r="A974" t="s">
        <v>20</v>
      </c>
      <c r="B974" t="s">
        <v>148</v>
      </c>
      <c r="C974" t="s">
        <v>152</v>
      </c>
      <c r="D974" t="s">
        <v>281</v>
      </c>
      <c r="E974" t="s">
        <v>410</v>
      </c>
      <c r="F974">
        <f>HYPERLINK("https://www.wikidata.org/wiki/Q33528422", "Q33528422")</f>
        <v>0</v>
      </c>
      <c r="G974" t="s">
        <v>1134</v>
      </c>
      <c r="H974" t="s">
        <v>5870</v>
      </c>
      <c r="I974" t="s">
        <v>9673</v>
      </c>
      <c r="J974" t="s">
        <v>11868</v>
      </c>
      <c r="K974" t="s">
        <v>16270</v>
      </c>
      <c r="L974">
        <f>HYPERLINK("https://www2.assemblee-nationale.fr/sycomore/fiche/(num_dept)/6966", "6966")</f>
        <v>0</v>
      </c>
      <c r="N974">
        <f>HYPERLINK("https://www.wikidata.org/wiki/Q16026536", "Q16026536")</f>
        <v>0</v>
      </c>
      <c r="O974" t="s">
        <v>20021</v>
      </c>
      <c r="Q974" t="s">
        <v>20559</v>
      </c>
      <c r="R974" t="s">
        <v>16270</v>
      </c>
      <c r="S974">
        <v>11</v>
      </c>
    </row>
    <row r="975" spans="1:19">
      <c r="A975" t="s">
        <v>20</v>
      </c>
      <c r="B975" t="s">
        <v>148</v>
      </c>
      <c r="C975" t="s">
        <v>152</v>
      </c>
      <c r="D975" t="s">
        <v>281</v>
      </c>
      <c r="E975" t="s">
        <v>410</v>
      </c>
      <c r="F975">
        <f>HYPERLINK("https://www.wikidata.org/wiki/Q33528422", "Q33528422")</f>
        <v>0</v>
      </c>
      <c r="G975" t="s">
        <v>1087</v>
      </c>
      <c r="H975" t="s">
        <v>5830</v>
      </c>
      <c r="I975" t="s">
        <v>9657</v>
      </c>
      <c r="J975" t="s">
        <v>11823</v>
      </c>
      <c r="K975" t="s">
        <v>16224</v>
      </c>
      <c r="L975">
        <f>HYPERLINK("https://www2.assemblee-nationale.fr/sycomore/fiche/(num_dept)/6988", "6988")</f>
        <v>0</v>
      </c>
      <c r="N975">
        <f>HYPERLINK("https://www.wikidata.org/wiki/Q16026546", "Q16026546")</f>
        <v>0</v>
      </c>
      <c r="O975" t="s">
        <v>20012</v>
      </c>
      <c r="P975" t="s">
        <v>20413</v>
      </c>
      <c r="Q975" t="s">
        <v>20559</v>
      </c>
      <c r="R975" t="s">
        <v>410</v>
      </c>
      <c r="S975">
        <v>2051</v>
      </c>
    </row>
    <row r="976" spans="1:19">
      <c r="A976" t="s">
        <v>20</v>
      </c>
      <c r="B976" t="s">
        <v>148</v>
      </c>
      <c r="C976" t="s">
        <v>152</v>
      </c>
      <c r="D976" t="s">
        <v>281</v>
      </c>
      <c r="E976" t="s">
        <v>410</v>
      </c>
      <c r="F976">
        <f>HYPERLINK("https://www.wikidata.org/wiki/Q33528422", "Q33528422")</f>
        <v>0</v>
      </c>
      <c r="G976" t="s">
        <v>817</v>
      </c>
      <c r="H976" t="s">
        <v>5574</v>
      </c>
      <c r="I976" t="s">
        <v>9407</v>
      </c>
      <c r="J976" t="s">
        <v>11564</v>
      </c>
      <c r="K976" t="s">
        <v>15968</v>
      </c>
      <c r="L976">
        <f>HYPERLINK("https://www2.assemblee-nationale.fr/sycomore/fiche/(num_dept)/7030", "7030")</f>
        <v>0</v>
      </c>
      <c r="N976">
        <f>HYPERLINK("https://www.wikidata.org/wiki/Q3185677", "Q3185677")</f>
        <v>0</v>
      </c>
      <c r="O976" t="s">
        <v>19990</v>
      </c>
      <c r="P976" t="s">
        <v>20402</v>
      </c>
      <c r="Q976" t="s">
        <v>20559</v>
      </c>
      <c r="R976" t="s">
        <v>15968</v>
      </c>
      <c r="S976">
        <v>1610</v>
      </c>
    </row>
    <row r="977" spans="1:19">
      <c r="A977" t="s">
        <v>20</v>
      </c>
      <c r="B977" t="s">
        <v>148</v>
      </c>
      <c r="C977" t="s">
        <v>152</v>
      </c>
      <c r="D977" t="s">
        <v>281</v>
      </c>
      <c r="E977" t="s">
        <v>410</v>
      </c>
      <c r="F977">
        <f>HYPERLINK("https://www.wikidata.org/wiki/Q33528422", "Q33528422")</f>
        <v>0</v>
      </c>
      <c r="G977" t="s">
        <v>1135</v>
      </c>
      <c r="H977" t="s">
        <v>5871</v>
      </c>
      <c r="I977" t="s">
        <v>6584</v>
      </c>
      <c r="J977" t="s">
        <v>11869</v>
      </c>
      <c r="K977" t="s">
        <v>16271</v>
      </c>
      <c r="L977">
        <f>HYPERLINK("https://www2.assemblee-nationale.fr/sycomore/fiche/(num_dept)/7033", "7033")</f>
        <v>0</v>
      </c>
      <c r="N977">
        <f>HYPERLINK("https://www.wikidata.org/wiki/Q16026552", "Q16026552")</f>
        <v>0</v>
      </c>
      <c r="O977" t="s">
        <v>20030</v>
      </c>
      <c r="P977" t="s">
        <v>20412</v>
      </c>
      <c r="Q977" t="s">
        <v>20559</v>
      </c>
      <c r="R977" t="s">
        <v>410</v>
      </c>
      <c r="S977">
        <v>2051</v>
      </c>
    </row>
    <row r="978" spans="1:19">
      <c r="A978" t="s">
        <v>20</v>
      </c>
      <c r="B978" t="s">
        <v>148</v>
      </c>
      <c r="C978" t="s">
        <v>152</v>
      </c>
      <c r="D978" t="s">
        <v>281</v>
      </c>
      <c r="E978" t="s">
        <v>410</v>
      </c>
      <c r="F978">
        <f>HYPERLINK("https://www.wikidata.org/wiki/Q33528422", "Q33528422")</f>
        <v>0</v>
      </c>
      <c r="G978" t="s">
        <v>1061</v>
      </c>
      <c r="H978" t="s">
        <v>5807</v>
      </c>
      <c r="I978" t="s">
        <v>9647</v>
      </c>
      <c r="J978" t="s">
        <v>11798</v>
      </c>
      <c r="K978" t="s">
        <v>16198</v>
      </c>
      <c r="L978">
        <f>HYPERLINK("https://www2.assemblee-nationale.fr/sycomore/fiche/(num_dept)/7040", "7040")</f>
        <v>0</v>
      </c>
      <c r="N978">
        <f>HYPERLINK("https://www.wikidata.org/wiki/Q16026554", "Q16026554")</f>
        <v>0</v>
      </c>
      <c r="O978" t="s">
        <v>19999</v>
      </c>
      <c r="P978" t="s">
        <v>20404</v>
      </c>
      <c r="Q978" t="s">
        <v>20559</v>
      </c>
      <c r="R978" t="s">
        <v>410</v>
      </c>
      <c r="S978">
        <v>2051</v>
      </c>
    </row>
    <row r="979" spans="1:19">
      <c r="A979" t="s">
        <v>20</v>
      </c>
      <c r="B979" t="s">
        <v>148</v>
      </c>
      <c r="C979" t="s">
        <v>152</v>
      </c>
      <c r="D979" t="s">
        <v>281</v>
      </c>
      <c r="E979" t="s">
        <v>410</v>
      </c>
      <c r="F979">
        <f>HYPERLINK("https://www.wikidata.org/wiki/Q33528422", "Q33528422")</f>
        <v>0</v>
      </c>
      <c r="G979" t="s">
        <v>1207</v>
      </c>
      <c r="H979" t="s">
        <v>5935</v>
      </c>
      <c r="I979" t="s">
        <v>6585</v>
      </c>
      <c r="J979" t="s">
        <v>11934</v>
      </c>
      <c r="K979" t="s">
        <v>16341</v>
      </c>
      <c r="L979">
        <f>HYPERLINK("https://www2.assemblee-nationale.fr/sycomore/fiche/(num_dept)/7053", "7053")</f>
        <v>0</v>
      </c>
      <c r="N979">
        <f>HYPERLINK("https://www.wikidata.org/wiki/Q8329700", "Q8329700")</f>
        <v>0</v>
      </c>
      <c r="O979" t="s">
        <v>19976</v>
      </c>
      <c r="P979" t="s">
        <v>20402</v>
      </c>
      <c r="Q979" t="s">
        <v>20559</v>
      </c>
      <c r="R979" t="s">
        <v>16341</v>
      </c>
      <c r="S979">
        <v>684</v>
      </c>
    </row>
    <row r="980" spans="1:19">
      <c r="A980" t="s">
        <v>20</v>
      </c>
      <c r="B980" t="s">
        <v>148</v>
      </c>
      <c r="C980" t="s">
        <v>152</v>
      </c>
      <c r="D980" t="s">
        <v>281</v>
      </c>
      <c r="E980" t="s">
        <v>410</v>
      </c>
      <c r="F980">
        <f>HYPERLINK("https://www.wikidata.org/wiki/Q33528422", "Q33528422")</f>
        <v>0</v>
      </c>
      <c r="G980" t="s">
        <v>818</v>
      </c>
      <c r="H980" t="s">
        <v>5575</v>
      </c>
      <c r="I980" t="s">
        <v>9470</v>
      </c>
      <c r="J980" t="s">
        <v>11565</v>
      </c>
      <c r="K980" t="s">
        <v>15969</v>
      </c>
      <c r="L980">
        <f>HYPERLINK("https://www2.assemblee-nationale.fr/sycomore/fiche/(num_dept)/7055", "7055")</f>
        <v>0</v>
      </c>
      <c r="N980">
        <f>HYPERLINK("https://www.wikidata.org/wiki/Q2246519", "Q2246519")</f>
        <v>0</v>
      </c>
      <c r="O980" t="s">
        <v>20000</v>
      </c>
      <c r="P980" t="s">
        <v>20412</v>
      </c>
      <c r="Q980" t="s">
        <v>20559</v>
      </c>
      <c r="R980" t="s">
        <v>410</v>
      </c>
      <c r="S980">
        <v>2051</v>
      </c>
    </row>
    <row r="981" spans="1:19">
      <c r="A981" t="s">
        <v>20</v>
      </c>
      <c r="B981" t="s">
        <v>148</v>
      </c>
      <c r="C981" t="s">
        <v>152</v>
      </c>
      <c r="D981" t="s">
        <v>281</v>
      </c>
      <c r="E981" t="s">
        <v>410</v>
      </c>
      <c r="F981">
        <f>HYPERLINK("https://www.wikidata.org/wiki/Q33528422", "Q33528422")</f>
        <v>0</v>
      </c>
      <c r="G981" t="s">
        <v>1064</v>
      </c>
      <c r="H981" t="s">
        <v>5810</v>
      </c>
      <c r="I981" t="s">
        <v>9650</v>
      </c>
      <c r="J981" t="s">
        <v>11801</v>
      </c>
      <c r="K981" t="s">
        <v>16201</v>
      </c>
      <c r="L981">
        <f>HYPERLINK("https://www2.assemblee-nationale.fr/sycomore/fiche/(num_dept)/7115", "7115")</f>
        <v>0</v>
      </c>
      <c r="M981">
        <f>HYPERLINK("https://www.senat.fr/senateur-3eme-republique/tournan_isidore0158r3.html", "tournan_isidore0158r3")</f>
        <v>0</v>
      </c>
      <c r="N981">
        <f>HYPERLINK("https://www.wikidata.org/wiki/Q3155332", "Q3155332")</f>
        <v>0</v>
      </c>
      <c r="O981" t="s">
        <v>20003</v>
      </c>
      <c r="P981" t="s">
        <v>20406</v>
      </c>
      <c r="Q981" t="s">
        <v>20559</v>
      </c>
      <c r="R981" t="s">
        <v>410</v>
      </c>
      <c r="S981">
        <v>2051</v>
      </c>
    </row>
    <row r="982" spans="1:19">
      <c r="A982" t="s">
        <v>20</v>
      </c>
      <c r="B982" t="s">
        <v>148</v>
      </c>
      <c r="C982" t="s">
        <v>152</v>
      </c>
      <c r="D982" t="s">
        <v>281</v>
      </c>
      <c r="E982" t="s">
        <v>410</v>
      </c>
      <c r="F982">
        <f>HYPERLINK("https://www.wikidata.org/wiki/Q33528422", "Q33528422")</f>
        <v>0</v>
      </c>
      <c r="G982" t="s">
        <v>819</v>
      </c>
      <c r="H982" t="s">
        <v>5576</v>
      </c>
      <c r="I982" t="s">
        <v>9537</v>
      </c>
      <c r="J982" t="s">
        <v>11566</v>
      </c>
      <c r="K982" t="s">
        <v>15970</v>
      </c>
      <c r="L982">
        <f>HYPERLINK("https://www2.assemblee-nationale.fr/sycomore/fiche/(num_dept)/7135", "7135")</f>
        <v>0</v>
      </c>
      <c r="N982">
        <f>HYPERLINK("https://www.wikidata.org/wiki/Q3060196", "Q3060196")</f>
        <v>0</v>
      </c>
      <c r="O982" t="s">
        <v>20039</v>
      </c>
      <c r="P982" t="s">
        <v>20413</v>
      </c>
      <c r="Q982" t="s">
        <v>20559</v>
      </c>
      <c r="R982" t="s">
        <v>15970</v>
      </c>
      <c r="S982">
        <v>1965</v>
      </c>
    </row>
    <row r="983" spans="1:19">
      <c r="A983" t="s">
        <v>20</v>
      </c>
      <c r="B983" t="s">
        <v>148</v>
      </c>
      <c r="C983" t="s">
        <v>152</v>
      </c>
      <c r="D983" t="s">
        <v>281</v>
      </c>
      <c r="E983" t="s">
        <v>410</v>
      </c>
      <c r="F983">
        <f>HYPERLINK("https://www.wikidata.org/wiki/Q33528422", "Q33528422")</f>
        <v>0</v>
      </c>
      <c r="G983" t="s">
        <v>820</v>
      </c>
      <c r="H983" t="s">
        <v>5577</v>
      </c>
      <c r="I983" t="s">
        <v>9538</v>
      </c>
      <c r="J983" t="s">
        <v>11567</v>
      </c>
      <c r="K983" t="s">
        <v>15880</v>
      </c>
      <c r="L983">
        <f>HYPERLINK("https://www2.assemblee-nationale.fr/sycomore/fiche/(num_dept)/7164", "7164")</f>
        <v>0</v>
      </c>
      <c r="N983">
        <f>HYPERLINK("https://www.wikidata.org/wiki/Q15235896", "Q15235896")</f>
        <v>0</v>
      </c>
      <c r="O983" t="s">
        <v>20000</v>
      </c>
      <c r="P983" t="s">
        <v>20413</v>
      </c>
      <c r="Q983" t="s">
        <v>20559</v>
      </c>
      <c r="R983" t="s">
        <v>15880</v>
      </c>
      <c r="S983">
        <v>1922</v>
      </c>
    </row>
    <row r="984" spans="1:19">
      <c r="A984" t="s">
        <v>20</v>
      </c>
      <c r="B984" t="s">
        <v>148</v>
      </c>
      <c r="C984" t="s">
        <v>152</v>
      </c>
      <c r="D984" t="s">
        <v>281</v>
      </c>
      <c r="E984" t="s">
        <v>410</v>
      </c>
      <c r="F984">
        <f>HYPERLINK("https://www.wikidata.org/wiki/Q33528422", "Q33528422")</f>
        <v>0</v>
      </c>
      <c r="G984" t="s">
        <v>822</v>
      </c>
      <c r="H984" t="s">
        <v>5579</v>
      </c>
      <c r="I984" t="s">
        <v>9540</v>
      </c>
      <c r="J984" t="s">
        <v>11569</v>
      </c>
      <c r="K984" t="s">
        <v>15972</v>
      </c>
      <c r="L984">
        <f>HYPERLINK("https://www2.assemblee-nationale.fr/sycomore/fiche/(num_dept)/7177", "7177")</f>
        <v>0</v>
      </c>
      <c r="N984">
        <f>HYPERLINK("https://www.wikidata.org/wiki/Q3263224", "Q3263224")</f>
        <v>0</v>
      </c>
      <c r="O984" t="s">
        <v>19964</v>
      </c>
      <c r="P984" t="s">
        <v>20413</v>
      </c>
      <c r="Q984" t="s">
        <v>20559</v>
      </c>
      <c r="R984" t="s">
        <v>410</v>
      </c>
      <c r="S984">
        <v>2051</v>
      </c>
    </row>
    <row r="985" spans="1:19">
      <c r="A985" t="s">
        <v>20</v>
      </c>
      <c r="B985" t="s">
        <v>148</v>
      </c>
      <c r="C985" t="s">
        <v>152</v>
      </c>
      <c r="D985" t="s">
        <v>281</v>
      </c>
      <c r="E985" t="s">
        <v>410</v>
      </c>
      <c r="F985">
        <f>HYPERLINK("https://www.wikidata.org/wiki/Q33528422", "Q33528422")</f>
        <v>0</v>
      </c>
      <c r="G985" t="s">
        <v>823</v>
      </c>
      <c r="H985" t="s">
        <v>5580</v>
      </c>
      <c r="I985" t="s">
        <v>7642</v>
      </c>
      <c r="J985" t="s">
        <v>11570</v>
      </c>
      <c r="K985" t="s">
        <v>15973</v>
      </c>
      <c r="L985">
        <f>HYPERLINK("https://www2.assemblee-nationale.fr/sycomore/fiche/(num_dept)/7238", "7238")</f>
        <v>0</v>
      </c>
      <c r="M985">
        <f>HYPERLINK("https://www.senat.fr/senateur-3eme-republique/viollette_maurice0773r3.html", "viollette_maurice0773r3")</f>
        <v>0</v>
      </c>
      <c r="N985">
        <f>HYPERLINK("https://www.wikidata.org/wiki/Q3301513", "Q3301513")</f>
        <v>0</v>
      </c>
      <c r="O985" t="s">
        <v>19971</v>
      </c>
      <c r="P985" t="s">
        <v>20413</v>
      </c>
      <c r="Q985" t="s">
        <v>20559</v>
      </c>
      <c r="R985" t="s">
        <v>410</v>
      </c>
      <c r="S985">
        <v>2051</v>
      </c>
    </row>
    <row r="986" spans="1:19">
      <c r="A986" t="s">
        <v>20</v>
      </c>
      <c r="B986" t="s">
        <v>148</v>
      </c>
      <c r="C986" t="s">
        <v>152</v>
      </c>
      <c r="D986" t="s">
        <v>281</v>
      </c>
      <c r="E986" t="s">
        <v>410</v>
      </c>
      <c r="F986">
        <f>HYPERLINK("https://www.wikidata.org/wiki/Q33528422", "Q33528422")</f>
        <v>0</v>
      </c>
      <c r="G986" t="s">
        <v>1208</v>
      </c>
      <c r="H986" t="s">
        <v>5936</v>
      </c>
      <c r="I986" t="s">
        <v>6200</v>
      </c>
      <c r="J986" t="s">
        <v>11940</v>
      </c>
      <c r="K986" t="s">
        <v>16342</v>
      </c>
      <c r="L986">
        <f>HYPERLINK("https://www2.assemblee-nationale.fr/sycomore/fiche/(num_dept)/7299", "7299")</f>
        <v>0</v>
      </c>
      <c r="N986">
        <f>HYPERLINK("https://www.wikidata.org/wiki/Q2624477", "Q2624477")</f>
        <v>0</v>
      </c>
      <c r="O986" t="s">
        <v>19970</v>
      </c>
      <c r="P986" t="s">
        <v>20409</v>
      </c>
      <c r="Q986" t="s">
        <v>20559</v>
      </c>
      <c r="R986" t="s">
        <v>410</v>
      </c>
      <c r="S986">
        <v>2051</v>
      </c>
    </row>
    <row r="987" spans="1:19">
      <c r="A987" t="s">
        <v>20</v>
      </c>
      <c r="B987" t="s">
        <v>148</v>
      </c>
      <c r="C987" t="s">
        <v>152</v>
      </c>
      <c r="D987" t="s">
        <v>281</v>
      </c>
      <c r="E987" t="s">
        <v>410</v>
      </c>
      <c r="F987">
        <f>HYPERLINK("https://www.wikidata.org/wiki/Q33528422", "Q33528422")</f>
        <v>0</v>
      </c>
      <c r="G987" t="s">
        <v>1209</v>
      </c>
      <c r="H987" t="s">
        <v>5937</v>
      </c>
      <c r="I987" t="s">
        <v>6166</v>
      </c>
      <c r="J987" t="s">
        <v>11941</v>
      </c>
      <c r="K987" t="s">
        <v>16343</v>
      </c>
      <c r="L987">
        <f>HYPERLINK("https://www2.assemblee-nationale.fr/sycomore/fiche/(num_dept)/7335", "7335")</f>
        <v>0</v>
      </c>
      <c r="M987">
        <f>HYPERLINK("https://www.senat.fr/senateur-3eme-republique/de_wendel_francois0946r3.html", "de_wendel_francois0946r3")</f>
        <v>0</v>
      </c>
      <c r="N987">
        <f>HYPERLINK("https://www.wikidata.org/wiki/Q3086338", "Q3086338")</f>
        <v>0</v>
      </c>
      <c r="O987" t="s">
        <v>20007</v>
      </c>
      <c r="P987" t="s">
        <v>20414</v>
      </c>
      <c r="Q987" t="s">
        <v>20559</v>
      </c>
      <c r="R987" t="s">
        <v>410</v>
      </c>
      <c r="S987">
        <v>2051</v>
      </c>
    </row>
    <row r="988" spans="1:19">
      <c r="A988" t="s">
        <v>20</v>
      </c>
      <c r="B988" t="s">
        <v>148</v>
      </c>
      <c r="C988" t="s">
        <v>152</v>
      </c>
      <c r="D988" t="s">
        <v>281</v>
      </c>
      <c r="E988" t="s">
        <v>410</v>
      </c>
      <c r="F988">
        <f>HYPERLINK("https://www.wikidata.org/wiki/Q33528422", "Q33528422")</f>
        <v>0</v>
      </c>
      <c r="G988" t="s">
        <v>824</v>
      </c>
      <c r="H988" t="s">
        <v>5581</v>
      </c>
      <c r="I988" t="s">
        <v>5349</v>
      </c>
      <c r="J988" t="s">
        <v>11571</v>
      </c>
      <c r="K988" t="s">
        <v>15947</v>
      </c>
      <c r="L988">
        <f>HYPERLINK("https://www2.assemblee-nationale.fr/sycomore/fiche/(num_dept)/7341", "7341")</f>
        <v>0</v>
      </c>
      <c r="N988">
        <f>HYPERLINK("https://www.wikidata.org/wiki/Q2994900", "Q2994900")</f>
        <v>0</v>
      </c>
      <c r="O988" t="s">
        <v>20017</v>
      </c>
      <c r="P988" t="s">
        <v>20401</v>
      </c>
      <c r="Q988" t="s">
        <v>20559</v>
      </c>
      <c r="R988" t="s">
        <v>410</v>
      </c>
      <c r="S988">
        <v>2051</v>
      </c>
    </row>
    <row r="989" spans="1:19">
      <c r="A989" t="s">
        <v>20</v>
      </c>
      <c r="B989" t="s">
        <v>148</v>
      </c>
      <c r="C989" t="s">
        <v>152</v>
      </c>
      <c r="D989" t="s">
        <v>281</v>
      </c>
      <c r="E989" t="s">
        <v>410</v>
      </c>
      <c r="F989">
        <f>HYPERLINK("https://www.wikidata.org/wiki/Q33528422", "Q33528422")</f>
        <v>0</v>
      </c>
      <c r="G989" t="s">
        <v>825</v>
      </c>
      <c r="H989" t="s">
        <v>5582</v>
      </c>
      <c r="I989" t="s">
        <v>6200</v>
      </c>
      <c r="J989" t="s">
        <v>11572</v>
      </c>
      <c r="K989" t="s">
        <v>15974</v>
      </c>
      <c r="L989">
        <f>HYPERLINK("https://www2.assemblee-nationale.fr/sycomore/fiche/(num_dept)/7358", "7358")</f>
        <v>0</v>
      </c>
      <c r="M989">
        <f>HYPERLINK("https://www.senat.fr/senateur-3eme-republique/villault_duchesnois_jean1032r3.html", "villault_duchesnois_jean1032r3")</f>
        <v>0</v>
      </c>
      <c r="N989">
        <f>HYPERLINK("https://www.wikidata.org/wiki/Q3175043", "Q3175043")</f>
        <v>0</v>
      </c>
      <c r="O989" t="s">
        <v>19985</v>
      </c>
      <c r="P989" t="s">
        <v>20412</v>
      </c>
      <c r="Q989" t="s">
        <v>20559</v>
      </c>
      <c r="R989" t="s">
        <v>410</v>
      </c>
      <c r="S989">
        <v>2051</v>
      </c>
    </row>
    <row r="990" spans="1:19">
      <c r="A990" t="s">
        <v>20</v>
      </c>
      <c r="B990" t="s">
        <v>148</v>
      </c>
      <c r="C990" t="s">
        <v>152</v>
      </c>
      <c r="D990" t="s">
        <v>281</v>
      </c>
      <c r="E990" t="s">
        <v>410</v>
      </c>
      <c r="F990">
        <f>HYPERLINK("https://www.wikidata.org/wiki/Q33528422", "Q33528422")</f>
        <v>0</v>
      </c>
      <c r="G990" t="s">
        <v>1067</v>
      </c>
      <c r="H990" t="s">
        <v>5812</v>
      </c>
      <c r="I990" t="s">
        <v>9488</v>
      </c>
      <c r="J990" t="s">
        <v>11804</v>
      </c>
      <c r="K990" t="s">
        <v>16204</v>
      </c>
      <c r="L990">
        <f>HYPERLINK("https://www2.assemblee-nationale.fr/sycomore/fiche/(num_dept)/7361", "7361")</f>
        <v>0</v>
      </c>
      <c r="M990">
        <f>HYPERLINK("https://www.senat.fr/senateur-3eme-republique/daniel_vincent_charles1382r3.html", "daniel_vincent_charles1382r3")</f>
        <v>0</v>
      </c>
      <c r="N990">
        <f>HYPERLINK("https://www.wikidata.org/wiki/Q3014792", "Q3014792")</f>
        <v>0</v>
      </c>
      <c r="O990" t="s">
        <v>20013</v>
      </c>
      <c r="P990" t="s">
        <v>20413</v>
      </c>
      <c r="Q990" t="s">
        <v>20559</v>
      </c>
      <c r="R990" t="s">
        <v>410</v>
      </c>
      <c r="S990">
        <v>2051</v>
      </c>
    </row>
    <row r="991" spans="1:19">
      <c r="A991" t="s">
        <v>20</v>
      </c>
      <c r="B991" t="s">
        <v>148</v>
      </c>
      <c r="C991" t="s">
        <v>152</v>
      </c>
      <c r="D991" t="s">
        <v>281</v>
      </c>
      <c r="E991" t="s">
        <v>410</v>
      </c>
      <c r="F991">
        <f>HYPERLINK("https://www.wikidata.org/wiki/Q33528422", "Q33528422")</f>
        <v>0</v>
      </c>
      <c r="G991" t="s">
        <v>826</v>
      </c>
      <c r="H991" t="s">
        <v>5583</v>
      </c>
      <c r="I991" t="s">
        <v>9455</v>
      </c>
      <c r="J991" t="s">
        <v>11573</v>
      </c>
      <c r="K991" t="s">
        <v>15975</v>
      </c>
      <c r="L991">
        <f>HYPERLINK("https://www2.assemblee-nationale.fr/sycomore/fiche/(num_dept)/7364", "7364")</f>
        <v>0</v>
      </c>
      <c r="M991">
        <f>HYPERLINK("https://www.senat.fr/senateur-3eme-republique/voilin_lucien1366r3.html", "voilin_lucien1366r3")</f>
        <v>0</v>
      </c>
      <c r="N991">
        <f>HYPERLINK("https://www.wikidata.org/wiki/Q3265740", "Q3265740")</f>
        <v>0</v>
      </c>
      <c r="O991" t="s">
        <v>19969</v>
      </c>
      <c r="P991" t="s">
        <v>20404</v>
      </c>
      <c r="Q991" t="s">
        <v>20559</v>
      </c>
      <c r="R991" t="s">
        <v>410</v>
      </c>
      <c r="S991">
        <v>2051</v>
      </c>
    </row>
    <row r="992" spans="1:19">
      <c r="A992" t="s">
        <v>20</v>
      </c>
      <c r="B992" t="s">
        <v>148</v>
      </c>
      <c r="C992" t="s">
        <v>152</v>
      </c>
      <c r="D992" t="s">
        <v>281</v>
      </c>
      <c r="E992" t="s">
        <v>410</v>
      </c>
      <c r="F992">
        <f>HYPERLINK("https://www.wikidata.org/wiki/Q33528422", "Q33528422")</f>
        <v>0</v>
      </c>
      <c r="G992" t="s">
        <v>827</v>
      </c>
      <c r="H992" t="s">
        <v>5584</v>
      </c>
      <c r="I992" t="s">
        <v>9476</v>
      </c>
      <c r="J992" t="s">
        <v>11574</v>
      </c>
      <c r="K992" t="s">
        <v>15976</v>
      </c>
      <c r="L992">
        <f>HYPERLINK("https://www2.assemblee-nationale.fr/sycomore/fiche/(num_dept)/7368", "7368")</f>
        <v>0</v>
      </c>
      <c r="M992">
        <f>HYPERLINK("https://www.senat.fr/senateur-3eme-republique/viviani_rene0627r3.html", "viviani_rene0627r3")</f>
        <v>0</v>
      </c>
      <c r="N992">
        <f>HYPERLINK("https://www.wikidata.org/wiki/Q431074", "Q431074")</f>
        <v>0</v>
      </c>
      <c r="O992" t="s">
        <v>19979</v>
      </c>
      <c r="P992" t="s">
        <v>20406</v>
      </c>
      <c r="Q992" t="s">
        <v>20559</v>
      </c>
      <c r="R992" t="s">
        <v>410</v>
      </c>
      <c r="S992">
        <v>2051</v>
      </c>
    </row>
    <row r="993" spans="1:19">
      <c r="A993" t="s">
        <v>20</v>
      </c>
      <c r="B993" t="s">
        <v>148</v>
      </c>
      <c r="C993" t="s">
        <v>152</v>
      </c>
      <c r="D993" t="s">
        <v>281</v>
      </c>
      <c r="E993" t="s">
        <v>410</v>
      </c>
      <c r="F993">
        <f>HYPERLINK("https://www.wikidata.org/wiki/Q33528422", "Q33528422")</f>
        <v>0</v>
      </c>
      <c r="G993" t="s">
        <v>1069</v>
      </c>
      <c r="H993" t="s">
        <v>5814</v>
      </c>
      <c r="I993" t="s">
        <v>9653</v>
      </c>
      <c r="J993" t="s">
        <v>11795</v>
      </c>
      <c r="K993" t="s">
        <v>16206</v>
      </c>
      <c r="L993">
        <f>HYPERLINK("https://www2.assemblee-nationale.fr/sycomore/fiche/(num_dept)/7371", "7371")</f>
        <v>0</v>
      </c>
      <c r="N993">
        <f>HYPERLINK("https://www.wikidata.org/wiki/Q16026582", "Q16026582")</f>
        <v>0</v>
      </c>
      <c r="O993" t="s">
        <v>20013</v>
      </c>
      <c r="P993" t="s">
        <v>20414</v>
      </c>
      <c r="Q993" t="s">
        <v>20559</v>
      </c>
      <c r="R993" t="s">
        <v>410</v>
      </c>
      <c r="S993">
        <v>2051</v>
      </c>
    </row>
    <row r="994" spans="1:19">
      <c r="A994" t="s">
        <v>20</v>
      </c>
      <c r="B994" t="s">
        <v>148</v>
      </c>
      <c r="C994" t="s">
        <v>152</v>
      </c>
      <c r="D994" t="s">
        <v>281</v>
      </c>
      <c r="E994" t="s">
        <v>410</v>
      </c>
      <c r="F994">
        <f>HYPERLINK("https://www.wikidata.org/wiki/Q33528422", "Q33528422")</f>
        <v>0</v>
      </c>
      <c r="G994" t="s">
        <v>1210</v>
      </c>
      <c r="H994" t="s">
        <v>5938</v>
      </c>
      <c r="I994" t="s">
        <v>6495</v>
      </c>
      <c r="J994" t="s">
        <v>11942</v>
      </c>
      <c r="K994" t="s">
        <v>16344</v>
      </c>
      <c r="L994">
        <f>HYPERLINK("https://www2.assemblee-nationale.fr/sycomore/fiche/(num_dept)/7388", "7388")</f>
        <v>0</v>
      </c>
      <c r="M994">
        <f>HYPERLINK("https://www.senat.fr/senateur-3eme-republique/viellard_louis1820r3.html", "viellard_louis1820r3")</f>
        <v>0</v>
      </c>
      <c r="N994">
        <f>HYPERLINK("https://www.wikidata.org/wiki/Q3263279", "Q3263279")</f>
        <v>0</v>
      </c>
      <c r="O994" t="s">
        <v>20040</v>
      </c>
      <c r="P994" t="s">
        <v>20409</v>
      </c>
      <c r="Q994" t="s">
        <v>20559</v>
      </c>
      <c r="R994" t="s">
        <v>410</v>
      </c>
      <c r="S994">
        <v>2051</v>
      </c>
    </row>
    <row r="995" spans="1:19">
      <c r="A995" t="s">
        <v>20</v>
      </c>
      <c r="B995" t="s">
        <v>148</v>
      </c>
      <c r="C995" t="s">
        <v>152</v>
      </c>
      <c r="D995" t="s">
        <v>281</v>
      </c>
      <c r="E995" t="s">
        <v>410</v>
      </c>
      <c r="F995">
        <f>HYPERLINK("https://www.wikidata.org/wiki/Q33528422", "Q33528422")</f>
        <v>0</v>
      </c>
      <c r="G995" t="s">
        <v>1070</v>
      </c>
      <c r="H995" t="s">
        <v>5815</v>
      </c>
      <c r="I995" t="s">
        <v>6584</v>
      </c>
      <c r="J995" t="s">
        <v>11806</v>
      </c>
      <c r="K995" t="s">
        <v>16207</v>
      </c>
      <c r="L995">
        <f>HYPERLINK("https://www2.assemblee-nationale.fr/sycomore/fiche/(num_dept)/7390", "7390")</f>
        <v>0</v>
      </c>
      <c r="N995">
        <f>HYPERLINK("https://www.wikidata.org/wiki/Q13080029", "Q13080029")</f>
        <v>0</v>
      </c>
      <c r="O995" t="s">
        <v>19969</v>
      </c>
      <c r="P995" t="s">
        <v>20404</v>
      </c>
      <c r="Q995" t="s">
        <v>20559</v>
      </c>
      <c r="R995" t="s">
        <v>16207</v>
      </c>
      <c r="S995">
        <v>1782</v>
      </c>
    </row>
    <row r="996" spans="1:19">
      <c r="A996" t="s">
        <v>20</v>
      </c>
      <c r="B996" t="s">
        <v>148</v>
      </c>
      <c r="C996" t="s">
        <v>152</v>
      </c>
      <c r="D996" t="s">
        <v>281</v>
      </c>
      <c r="E996" t="s">
        <v>410</v>
      </c>
      <c r="F996">
        <f>HYPERLINK("https://www.wikidata.org/wiki/Q33528422", "Q33528422")</f>
        <v>0</v>
      </c>
      <c r="G996" t="s">
        <v>1071</v>
      </c>
      <c r="H996" t="s">
        <v>5816</v>
      </c>
      <c r="I996" t="s">
        <v>9445</v>
      </c>
      <c r="J996" t="s">
        <v>11807</v>
      </c>
      <c r="K996" t="s">
        <v>16208</v>
      </c>
      <c r="L996">
        <f>HYPERLINK("https://www2.assemblee-nationale.fr/sycomore/fiche/(num_dept)/7391", "7391")</f>
        <v>0</v>
      </c>
      <c r="N996">
        <f>HYPERLINK("https://www.wikidata.org/wiki/Q13078835", "Q13078835")</f>
        <v>0</v>
      </c>
      <c r="O996" t="s">
        <v>19969</v>
      </c>
      <c r="P996" t="s">
        <v>20404</v>
      </c>
      <c r="Q996" t="s">
        <v>20559</v>
      </c>
      <c r="R996" t="s">
        <v>410</v>
      </c>
      <c r="S996">
        <v>2051</v>
      </c>
    </row>
    <row r="997" spans="1:19">
      <c r="A997" t="s">
        <v>20</v>
      </c>
      <c r="B997" t="s">
        <v>148</v>
      </c>
      <c r="C997" t="s">
        <v>152</v>
      </c>
      <c r="D997" t="s">
        <v>281</v>
      </c>
      <c r="E997" t="s">
        <v>410</v>
      </c>
      <c r="F997">
        <f>HYPERLINK("https://www.wikidata.org/wiki/Q33528422", "Q33528422")</f>
        <v>0</v>
      </c>
      <c r="G997" t="s">
        <v>828</v>
      </c>
      <c r="H997" t="s">
        <v>5585</v>
      </c>
      <c r="I997" t="s">
        <v>9375</v>
      </c>
      <c r="J997" t="s">
        <v>11575</v>
      </c>
      <c r="K997" t="s">
        <v>15977</v>
      </c>
      <c r="L997">
        <f>HYPERLINK("https://www2.assemblee-nationale.fr/sycomore/fiche/(num_dept)/7392", "7392")</f>
        <v>0</v>
      </c>
      <c r="N997">
        <f>HYPERLINK("https://www.wikidata.org/wiki/Q274464", "Q274464")</f>
        <v>0</v>
      </c>
      <c r="O997" t="s">
        <v>19969</v>
      </c>
      <c r="P997" t="s">
        <v>20404</v>
      </c>
      <c r="Q997" t="s">
        <v>20559</v>
      </c>
      <c r="R997" t="s">
        <v>15977</v>
      </c>
      <c r="S997">
        <v>601</v>
      </c>
    </row>
    <row r="998" spans="1:19">
      <c r="A998" t="s">
        <v>20</v>
      </c>
      <c r="B998" t="s">
        <v>148</v>
      </c>
      <c r="C998" t="s">
        <v>152</v>
      </c>
      <c r="D998" t="s">
        <v>281</v>
      </c>
      <c r="E998" t="s">
        <v>410</v>
      </c>
      <c r="F998">
        <f>HYPERLINK("https://www.wikidata.org/wiki/Q33528422", "Q33528422")</f>
        <v>0</v>
      </c>
      <c r="G998" t="s">
        <v>829</v>
      </c>
      <c r="H998" t="s">
        <v>5586</v>
      </c>
      <c r="I998" t="s">
        <v>9468</v>
      </c>
      <c r="J998" t="s">
        <v>11576</v>
      </c>
      <c r="K998" t="s">
        <v>15978</v>
      </c>
      <c r="L998">
        <f>HYPERLINK("https://www2.assemblee-nationale.fr/sycomore/fiche/(num_dept)/7393", "7393")</f>
        <v>0</v>
      </c>
      <c r="N998">
        <f>HYPERLINK("https://www.wikidata.org/wiki/Q16026605", "Q16026605")</f>
        <v>0</v>
      </c>
      <c r="O998" t="s">
        <v>20042</v>
      </c>
      <c r="P998" t="s">
        <v>20404</v>
      </c>
      <c r="Q998" t="s">
        <v>20559</v>
      </c>
      <c r="R998" t="s">
        <v>410</v>
      </c>
      <c r="S998">
        <v>2051</v>
      </c>
    </row>
    <row r="999" spans="1:19">
      <c r="A999" t="s">
        <v>20</v>
      </c>
      <c r="B999" t="s">
        <v>148</v>
      </c>
      <c r="C999" t="s">
        <v>152</v>
      </c>
      <c r="D999" t="s">
        <v>281</v>
      </c>
      <c r="E999" t="s">
        <v>410</v>
      </c>
      <c r="F999">
        <f>HYPERLINK("https://www.wikidata.org/wiki/Q33528422", "Q33528422")</f>
        <v>0</v>
      </c>
      <c r="G999" t="s">
        <v>835</v>
      </c>
      <c r="H999" t="s">
        <v>5592</v>
      </c>
      <c r="I999" t="s">
        <v>7671</v>
      </c>
      <c r="J999" t="s">
        <v>11582</v>
      </c>
      <c r="K999" t="s">
        <v>15984</v>
      </c>
      <c r="L999">
        <f>HYPERLINK("https://www2.assemblee-nationale.fr/sycomore/fiche/(num_dept)/7506", "7506")</f>
        <v>0</v>
      </c>
      <c r="N999">
        <f>HYPERLINK("https://www.wikidata.org/wiki/Q16025953", "Q16025953")</f>
        <v>0</v>
      </c>
      <c r="O999" t="s">
        <v>19997</v>
      </c>
      <c r="P999" t="s">
        <v>20402</v>
      </c>
      <c r="Q999" t="s">
        <v>20559</v>
      </c>
      <c r="R999" t="s">
        <v>410</v>
      </c>
      <c r="S999">
        <v>2051</v>
      </c>
    </row>
    <row r="1000" spans="1:19">
      <c r="A1000" t="s">
        <v>20</v>
      </c>
      <c r="B1000" t="s">
        <v>148</v>
      </c>
      <c r="C1000" t="s">
        <v>152</v>
      </c>
      <c r="D1000" t="s">
        <v>281</v>
      </c>
      <c r="E1000" t="s">
        <v>410</v>
      </c>
      <c r="F1000">
        <f>HYPERLINK("https://www.wikidata.org/wiki/Q33528422", "Q33528422")</f>
        <v>0</v>
      </c>
      <c r="G1000" t="s">
        <v>1114</v>
      </c>
      <c r="H1000" t="s">
        <v>5855</v>
      </c>
      <c r="I1000" t="s">
        <v>6585</v>
      </c>
      <c r="J1000" t="s">
        <v>11848</v>
      </c>
      <c r="K1000" t="s">
        <v>16250</v>
      </c>
      <c r="L1000">
        <f>HYPERLINK("https://www2.assemblee-nationale.fr/sycomore/fiche/(num_dept)/7530", "7530")</f>
        <v>0</v>
      </c>
      <c r="M1000">
        <f>HYPERLINK("https://www.senat.fr/senateur-3eme-republique/lavoinne_andre1612r3.html", "lavoinne_andre1612r3")</f>
        <v>0</v>
      </c>
      <c r="N1000">
        <f>HYPERLINK("https://www.wikidata.org/wiki/Q2848110", "Q2848110")</f>
        <v>0</v>
      </c>
      <c r="O1000" t="s">
        <v>19978</v>
      </c>
      <c r="P1000" t="s">
        <v>20412</v>
      </c>
      <c r="Q1000" t="s">
        <v>20559</v>
      </c>
      <c r="R1000" t="s">
        <v>410</v>
      </c>
      <c r="S1000">
        <v>2051</v>
      </c>
    </row>
    <row r="1001" spans="1:19">
      <c r="A1001" t="s">
        <v>20</v>
      </c>
      <c r="B1001" t="s">
        <v>148</v>
      </c>
      <c r="C1001" t="s">
        <v>152</v>
      </c>
      <c r="D1001" t="s">
        <v>281</v>
      </c>
      <c r="E1001" t="s">
        <v>410</v>
      </c>
      <c r="F1001">
        <f>HYPERLINK("https://www.wikidata.org/wiki/Q33528422", "Q33528422")</f>
        <v>0</v>
      </c>
      <c r="G1001" t="s">
        <v>836</v>
      </c>
      <c r="H1001" t="s">
        <v>5593</v>
      </c>
      <c r="I1001" t="s">
        <v>9457</v>
      </c>
      <c r="J1001" t="s">
        <v>11583</v>
      </c>
      <c r="K1001" t="s">
        <v>15985</v>
      </c>
      <c r="L1001">
        <f>HYPERLINK("https://www2.assemblee-nationale.fr/sycomore/fiche/(num_dept)/7531", "7531")</f>
        <v>0</v>
      </c>
      <c r="M1001">
        <f>HYPERLINK("https://www.senat.fr/senateur-3eme-republique/de_lavrignais_henri1754r3.html", "de_lavrignais_henri1754r3")</f>
        <v>0</v>
      </c>
      <c r="N1001">
        <f>HYPERLINK("https://www.wikidata.org/wiki/Q3132304", "Q3132304")</f>
        <v>0</v>
      </c>
      <c r="O1001" t="s">
        <v>19972</v>
      </c>
      <c r="P1001" t="s">
        <v>20408</v>
      </c>
      <c r="Q1001" t="s">
        <v>20559</v>
      </c>
      <c r="R1001" t="s">
        <v>410</v>
      </c>
      <c r="S1001">
        <v>2051</v>
      </c>
    </row>
    <row r="1002" spans="1:19">
      <c r="A1002" t="s">
        <v>20</v>
      </c>
      <c r="B1002" t="s">
        <v>148</v>
      </c>
      <c r="C1002" t="s">
        <v>152</v>
      </c>
      <c r="D1002" t="s">
        <v>281</v>
      </c>
      <c r="E1002" t="s">
        <v>410</v>
      </c>
      <c r="F1002">
        <f>HYPERLINK("https://www.wikidata.org/wiki/Q33528422", "Q33528422")</f>
        <v>0</v>
      </c>
      <c r="G1002" t="s">
        <v>838</v>
      </c>
      <c r="H1002" t="s">
        <v>5595</v>
      </c>
      <c r="I1002" t="s">
        <v>9546</v>
      </c>
      <c r="J1002" t="s">
        <v>11585</v>
      </c>
      <c r="K1002" t="s">
        <v>15987</v>
      </c>
      <c r="L1002">
        <f>HYPERLINK("https://www2.assemblee-nationale.fr/sycomore/fiche/(num_dept)/7547", "7547")</f>
        <v>0</v>
      </c>
      <c r="N1002">
        <f>HYPERLINK("https://www.wikidata.org/wiki/Q2959588", "Q2959588")</f>
        <v>0</v>
      </c>
      <c r="O1002" t="s">
        <v>19969</v>
      </c>
      <c r="P1002" t="s">
        <v>20415</v>
      </c>
      <c r="Q1002" t="s">
        <v>20559</v>
      </c>
      <c r="R1002" t="s">
        <v>410</v>
      </c>
      <c r="S1002">
        <v>2051</v>
      </c>
    </row>
    <row r="1003" spans="1:19">
      <c r="A1003" t="s">
        <v>20</v>
      </c>
      <c r="B1003" t="s">
        <v>148</v>
      </c>
      <c r="C1003" t="s">
        <v>152</v>
      </c>
      <c r="D1003" t="s">
        <v>281</v>
      </c>
      <c r="E1003" t="s">
        <v>410</v>
      </c>
      <c r="F1003">
        <f>HYPERLINK("https://www.wikidata.org/wiki/Q33528422", "Q33528422")</f>
        <v>0</v>
      </c>
      <c r="G1003" t="s">
        <v>839</v>
      </c>
      <c r="H1003" t="s">
        <v>5596</v>
      </c>
      <c r="I1003" t="s">
        <v>9407</v>
      </c>
      <c r="J1003" t="s">
        <v>11586</v>
      </c>
      <c r="K1003" t="s">
        <v>15988</v>
      </c>
      <c r="L1003">
        <f>HYPERLINK("https://www2.assemblee-nationale.fr/sycomore/fiche/(num_dept)/7553", "7553")</f>
        <v>0</v>
      </c>
      <c r="N1003">
        <f>HYPERLINK("https://www.wikidata.org/wiki/Q3185225", "Q3185225")</f>
        <v>0</v>
      </c>
      <c r="O1003" t="s">
        <v>20009</v>
      </c>
      <c r="P1003" t="s">
        <v>20412</v>
      </c>
      <c r="Q1003" t="s">
        <v>20559</v>
      </c>
      <c r="R1003" t="s">
        <v>410</v>
      </c>
      <c r="S1003">
        <v>2051</v>
      </c>
    </row>
    <row r="1004" spans="1:19">
      <c r="A1004" t="s">
        <v>20</v>
      </c>
      <c r="B1004" t="s">
        <v>148</v>
      </c>
      <c r="C1004" t="s">
        <v>152</v>
      </c>
      <c r="D1004" t="s">
        <v>281</v>
      </c>
      <c r="E1004" t="s">
        <v>410</v>
      </c>
      <c r="F1004">
        <f>HYPERLINK("https://www.wikidata.org/wiki/Q33528422", "Q33528422")</f>
        <v>0</v>
      </c>
      <c r="G1004" t="s">
        <v>843</v>
      </c>
      <c r="H1004" t="s">
        <v>5600</v>
      </c>
      <c r="I1004" t="s">
        <v>9550</v>
      </c>
      <c r="J1004" t="s">
        <v>11590</v>
      </c>
      <c r="K1004" t="s">
        <v>15992</v>
      </c>
      <c r="L1004">
        <f>HYPERLINK("https://www2.assemblee-nationale.fr/sycomore/fiche/(num_dept)/7617", "7617")</f>
        <v>0</v>
      </c>
      <c r="N1004">
        <f>HYPERLINK("https://www.wikidata.org/wiki/Q3185233", "Q3185233")</f>
        <v>0</v>
      </c>
      <c r="O1004" t="s">
        <v>19961</v>
      </c>
      <c r="P1004" t="s">
        <v>20413</v>
      </c>
      <c r="Q1004" t="s">
        <v>20559</v>
      </c>
      <c r="R1004" t="s">
        <v>410</v>
      </c>
      <c r="S1004">
        <v>2051</v>
      </c>
    </row>
    <row r="1005" spans="1:19">
      <c r="A1005" t="s">
        <v>20</v>
      </c>
      <c r="B1005" t="s">
        <v>148</v>
      </c>
      <c r="C1005" t="s">
        <v>152</v>
      </c>
      <c r="D1005" t="s">
        <v>281</v>
      </c>
      <c r="E1005" t="s">
        <v>410</v>
      </c>
      <c r="F1005">
        <f>HYPERLINK("https://www.wikidata.org/wiki/Q33528422", "Q33528422")</f>
        <v>0</v>
      </c>
      <c r="G1005" t="s">
        <v>844</v>
      </c>
      <c r="H1005" t="s">
        <v>5601</v>
      </c>
      <c r="I1005" t="s">
        <v>9551</v>
      </c>
      <c r="J1005" t="s">
        <v>11591</v>
      </c>
      <c r="K1005" t="s">
        <v>15993</v>
      </c>
      <c r="L1005">
        <f>HYPERLINK("https://www2.assemblee-nationale.fr/sycomore/fiche/(num_dept)/7628", "7628")</f>
        <v>0</v>
      </c>
      <c r="M1005">
        <f>HYPERLINK("https://www.senat.fr/senateur-3eme-republique/le_troadec_paul0586r3.html", "le_troadec_paul0586r3")</f>
        <v>0</v>
      </c>
      <c r="N1005">
        <f>HYPERLINK("https://www.wikidata.org/wiki/Q3371653", "Q3371653")</f>
        <v>0</v>
      </c>
      <c r="O1005" t="s">
        <v>19964</v>
      </c>
      <c r="P1005" t="s">
        <v>20401</v>
      </c>
      <c r="Q1005" t="s">
        <v>20559</v>
      </c>
      <c r="R1005" t="s">
        <v>410</v>
      </c>
      <c r="S1005">
        <v>2051</v>
      </c>
    </row>
    <row r="1006" spans="1:19">
      <c r="A1006" t="s">
        <v>20</v>
      </c>
      <c r="B1006" t="s">
        <v>148</v>
      </c>
      <c r="C1006" t="s">
        <v>152</v>
      </c>
      <c r="D1006" t="s">
        <v>281</v>
      </c>
      <c r="E1006" t="s">
        <v>410</v>
      </c>
      <c r="F1006">
        <f>HYPERLINK("https://www.wikidata.org/wiki/Q33528422", "Q33528422")</f>
        <v>0</v>
      </c>
      <c r="G1006" t="s">
        <v>846</v>
      </c>
      <c r="H1006" t="s">
        <v>5603</v>
      </c>
      <c r="I1006" t="s">
        <v>6584</v>
      </c>
      <c r="J1006" t="s">
        <v>11593</v>
      </c>
      <c r="K1006" t="s">
        <v>15784</v>
      </c>
      <c r="L1006">
        <f>HYPERLINK("https://www2.assemblee-nationale.fr/sycomore/fiche/(num_dept)/7652", "7652")</f>
        <v>0</v>
      </c>
      <c r="M1006">
        <f>HYPERLINK("https://www.senat.fr/senateur-3eme-republique/lebrun_albert0945r3.html", "lebrun_albert0945r3")</f>
        <v>0</v>
      </c>
      <c r="N1006">
        <f>HYPERLINK("https://www.wikidata.org/wiki/Q158749", "Q158749")</f>
        <v>0</v>
      </c>
      <c r="O1006" t="s">
        <v>20007</v>
      </c>
      <c r="P1006" t="s">
        <v>20412</v>
      </c>
      <c r="Q1006" t="s">
        <v>20559</v>
      </c>
      <c r="R1006" t="s">
        <v>410</v>
      </c>
      <c r="S1006">
        <v>2051</v>
      </c>
    </row>
    <row r="1007" spans="1:19">
      <c r="A1007" t="s">
        <v>20</v>
      </c>
      <c r="B1007" t="s">
        <v>148</v>
      </c>
      <c r="C1007" t="s">
        <v>152</v>
      </c>
      <c r="D1007" t="s">
        <v>281</v>
      </c>
      <c r="E1007" t="s">
        <v>410</v>
      </c>
      <c r="F1007">
        <f>HYPERLINK("https://www.wikidata.org/wiki/Q33528422", "Q33528422")</f>
        <v>0</v>
      </c>
      <c r="G1007" t="s">
        <v>847</v>
      </c>
      <c r="H1007" t="s">
        <v>5604</v>
      </c>
      <c r="I1007" t="s">
        <v>9455</v>
      </c>
      <c r="J1007" t="s">
        <v>11576</v>
      </c>
      <c r="K1007" t="s">
        <v>15995</v>
      </c>
      <c r="L1007">
        <f>HYPERLINK("https://www2.assemblee-nationale.fr/sycomore/fiche/(num_dept)/7664", "7664")</f>
        <v>0</v>
      </c>
      <c r="N1007">
        <f>HYPERLINK("https://www.wikidata.org/wiki/Q3265604", "Q3265604")</f>
        <v>0</v>
      </c>
      <c r="O1007" t="s">
        <v>20012</v>
      </c>
      <c r="P1007" t="s">
        <v>20404</v>
      </c>
      <c r="Q1007" t="s">
        <v>20559</v>
      </c>
      <c r="R1007" t="s">
        <v>410</v>
      </c>
      <c r="S1007">
        <v>2051</v>
      </c>
    </row>
    <row r="1008" spans="1:19">
      <c r="A1008" t="s">
        <v>20</v>
      </c>
      <c r="B1008" t="s">
        <v>148</v>
      </c>
      <c r="C1008" t="s">
        <v>152</v>
      </c>
      <c r="D1008" t="s">
        <v>281</v>
      </c>
      <c r="E1008" t="s">
        <v>410</v>
      </c>
      <c r="F1008">
        <f>HYPERLINK("https://www.wikidata.org/wiki/Q33528422", "Q33528422")</f>
        <v>0</v>
      </c>
      <c r="G1008" t="s">
        <v>848</v>
      </c>
      <c r="H1008" t="s">
        <v>5605</v>
      </c>
      <c r="I1008" t="s">
        <v>9553</v>
      </c>
      <c r="J1008" t="s">
        <v>11594</v>
      </c>
      <c r="K1008" t="s">
        <v>15996</v>
      </c>
      <c r="L1008">
        <f>HYPERLINK("https://www2.assemblee-nationale.fr/sycomore/fiche/(num_dept)/7683", "7683")</f>
        <v>0</v>
      </c>
      <c r="M1008">
        <f>HYPERLINK("https://www.senat.fr/senateur-3eme-republique/lefas_alexandre0535r3.html", "lefas_alexandre0535r3")</f>
        <v>0</v>
      </c>
      <c r="N1008">
        <f>HYPERLINK("https://www.wikidata.org/wiki/Q2833822", "Q2833822")</f>
        <v>0</v>
      </c>
      <c r="O1008" t="s">
        <v>19998</v>
      </c>
      <c r="P1008" t="s">
        <v>20414</v>
      </c>
      <c r="Q1008" t="s">
        <v>20559</v>
      </c>
      <c r="R1008" t="s">
        <v>410</v>
      </c>
      <c r="S1008">
        <v>2051</v>
      </c>
    </row>
    <row r="1009" spans="1:19">
      <c r="A1009" t="s">
        <v>20</v>
      </c>
      <c r="B1009" t="s">
        <v>148</v>
      </c>
      <c r="C1009" t="s">
        <v>152</v>
      </c>
      <c r="D1009" t="s">
        <v>281</v>
      </c>
      <c r="E1009" t="s">
        <v>410</v>
      </c>
      <c r="F1009">
        <f>HYPERLINK("https://www.wikidata.org/wiki/Q33528422", "Q33528422")</f>
        <v>0</v>
      </c>
      <c r="G1009" t="s">
        <v>1211</v>
      </c>
      <c r="H1009" t="s">
        <v>5939</v>
      </c>
      <c r="I1009" t="s">
        <v>6166</v>
      </c>
      <c r="J1009" t="s">
        <v>11943</v>
      </c>
      <c r="K1009" t="s">
        <v>16345</v>
      </c>
      <c r="L1009">
        <f>HYPERLINK("https://www2.assemblee-nationale.fr/sycomore/fiche/(num_dept)/7688", "7688")</f>
        <v>0</v>
      </c>
      <c r="N1009">
        <f>HYPERLINK("https://www.wikidata.org/wiki/Q16025975", "Q16025975")</f>
        <v>0</v>
      </c>
      <c r="O1009" t="s">
        <v>20013</v>
      </c>
      <c r="P1009" t="s">
        <v>20404</v>
      </c>
      <c r="Q1009" t="s">
        <v>20559</v>
      </c>
      <c r="R1009" t="s">
        <v>410</v>
      </c>
      <c r="S1009">
        <v>2051</v>
      </c>
    </row>
    <row r="1010" spans="1:19">
      <c r="A1010" t="s">
        <v>20</v>
      </c>
      <c r="B1010" t="s">
        <v>148</v>
      </c>
      <c r="C1010" t="s">
        <v>152</v>
      </c>
      <c r="D1010" t="s">
        <v>281</v>
      </c>
      <c r="E1010" t="s">
        <v>410</v>
      </c>
      <c r="F1010">
        <f>HYPERLINK("https://www.wikidata.org/wiki/Q33528422", "Q33528422")</f>
        <v>0</v>
      </c>
      <c r="G1010" t="s">
        <v>1076</v>
      </c>
      <c r="H1010" t="s">
        <v>5820</v>
      </c>
      <c r="I1010" t="s">
        <v>9602</v>
      </c>
      <c r="J1010" t="s">
        <v>11812</v>
      </c>
      <c r="K1010" t="s">
        <v>16213</v>
      </c>
      <c r="L1010">
        <f>HYPERLINK("https://www2.assemblee-nationale.fr/sycomore/fiche/(num_dept)/7691", "7691")</f>
        <v>0</v>
      </c>
      <c r="M1010">
        <f>HYPERLINK("https://www.senat.fr/senateur-3eme-republique/lefebvre_du_prey_edmond0976r3.html", "lefebvre_du_prey_edmond0976r3")</f>
        <v>0</v>
      </c>
      <c r="N1010">
        <f>HYPERLINK("https://www.wikidata.org/wiki/Q1285694", "Q1285694")</f>
        <v>0</v>
      </c>
      <c r="O1010" t="s">
        <v>19968</v>
      </c>
      <c r="P1010" t="s">
        <v>20414</v>
      </c>
      <c r="Q1010" t="s">
        <v>20559</v>
      </c>
      <c r="R1010" t="s">
        <v>410</v>
      </c>
      <c r="S1010">
        <v>2051</v>
      </c>
    </row>
    <row r="1011" spans="1:19">
      <c r="A1011" t="s">
        <v>20</v>
      </c>
      <c r="B1011" t="s">
        <v>148</v>
      </c>
      <c r="C1011" t="s">
        <v>152</v>
      </c>
      <c r="D1011" t="s">
        <v>281</v>
      </c>
      <c r="E1011" t="s">
        <v>410</v>
      </c>
      <c r="F1011">
        <f>HYPERLINK("https://www.wikidata.org/wiki/Q33528422", "Q33528422")</f>
        <v>0</v>
      </c>
      <c r="G1011" t="s">
        <v>850</v>
      </c>
      <c r="H1011" t="s">
        <v>5607</v>
      </c>
      <c r="I1011" t="s">
        <v>8494</v>
      </c>
      <c r="J1011" t="s">
        <v>11596</v>
      </c>
      <c r="K1011" t="s">
        <v>15998</v>
      </c>
      <c r="L1011">
        <f>HYPERLINK("https://www2.assemblee-nationale.fr/sycomore/fiche/(num_dept)/7692", "7692")</f>
        <v>0</v>
      </c>
      <c r="M1011">
        <f>HYPERLINK("https://www.senat.fr/senateur-3eme-republique/lefevre_abel0761r3.html", "lefevre_abel0761r3")</f>
        <v>0</v>
      </c>
      <c r="N1011">
        <f>HYPERLINK("https://www.wikidata.org/wiki/Q2821523", "Q2821523")</f>
        <v>0</v>
      </c>
      <c r="O1011" t="s">
        <v>19992</v>
      </c>
      <c r="P1011" t="s">
        <v>20413</v>
      </c>
      <c r="Q1011" t="s">
        <v>20559</v>
      </c>
      <c r="R1011" t="s">
        <v>410</v>
      </c>
      <c r="S1011">
        <v>2051</v>
      </c>
    </row>
    <row r="1012" spans="1:19">
      <c r="A1012" t="s">
        <v>20</v>
      </c>
      <c r="B1012" t="s">
        <v>148</v>
      </c>
      <c r="C1012" t="s">
        <v>152</v>
      </c>
      <c r="D1012" t="s">
        <v>281</v>
      </c>
      <c r="E1012" t="s">
        <v>410</v>
      </c>
      <c r="F1012">
        <f>HYPERLINK("https://www.wikidata.org/wiki/Q33528422", "Q33528422")</f>
        <v>0</v>
      </c>
      <c r="G1012" t="s">
        <v>851</v>
      </c>
      <c r="H1012" t="s">
        <v>5607</v>
      </c>
      <c r="I1012" t="s">
        <v>6585</v>
      </c>
      <c r="J1012" t="s">
        <v>11597</v>
      </c>
      <c r="K1012" t="s">
        <v>15999</v>
      </c>
      <c r="L1012">
        <f>HYPERLINK("https://www2.assemblee-nationale.fr/sycomore/fiche/(num_dept)/7693", "7693")</f>
        <v>0</v>
      </c>
      <c r="N1012">
        <f>HYPERLINK("https://www.wikidata.org/wiki/Q768982", "Q768982")</f>
        <v>0</v>
      </c>
      <c r="O1012" t="s">
        <v>19990</v>
      </c>
      <c r="P1012" t="s">
        <v>20415</v>
      </c>
      <c r="Q1012" t="s">
        <v>20559</v>
      </c>
      <c r="R1012" t="s">
        <v>410</v>
      </c>
      <c r="S1012">
        <v>2051</v>
      </c>
    </row>
    <row r="1013" spans="1:19">
      <c r="A1013" t="s">
        <v>20</v>
      </c>
      <c r="B1013" t="s">
        <v>148</v>
      </c>
      <c r="C1013" t="s">
        <v>152</v>
      </c>
      <c r="D1013" t="s">
        <v>281</v>
      </c>
      <c r="E1013" t="s">
        <v>410</v>
      </c>
      <c r="F1013">
        <f>HYPERLINK("https://www.wikidata.org/wiki/Q33528422", "Q33528422")</f>
        <v>0</v>
      </c>
      <c r="G1013" t="s">
        <v>854</v>
      </c>
      <c r="H1013" t="s">
        <v>5610</v>
      </c>
      <c r="I1013" t="s">
        <v>9556</v>
      </c>
      <c r="J1013" t="s">
        <v>11600</v>
      </c>
      <c r="K1013" t="s">
        <v>16002</v>
      </c>
      <c r="L1013">
        <f>HYPERLINK("https://www2.assemblee-nationale.fr/sycomore/fiche/(num_dept)/7723", "7723")</f>
        <v>0</v>
      </c>
      <c r="N1013">
        <f>HYPERLINK("https://www.wikidata.org/wiki/Q8327019", "Q8327019")</f>
        <v>0</v>
      </c>
      <c r="O1013" t="s">
        <v>19985</v>
      </c>
      <c r="P1013" t="s">
        <v>20409</v>
      </c>
      <c r="Q1013" t="s">
        <v>20559</v>
      </c>
      <c r="R1013" t="s">
        <v>16002</v>
      </c>
      <c r="S1013">
        <v>743</v>
      </c>
    </row>
    <row r="1014" spans="1:19">
      <c r="A1014" t="s">
        <v>20</v>
      </c>
      <c r="B1014" t="s">
        <v>148</v>
      </c>
      <c r="C1014" t="s">
        <v>152</v>
      </c>
      <c r="D1014" t="s">
        <v>281</v>
      </c>
      <c r="E1014" t="s">
        <v>410</v>
      </c>
      <c r="F1014">
        <f>HYPERLINK("https://www.wikidata.org/wiki/Q33528422", "Q33528422")</f>
        <v>0</v>
      </c>
      <c r="G1014" t="s">
        <v>1212</v>
      </c>
      <c r="H1014" t="s">
        <v>5940</v>
      </c>
      <c r="I1014" t="s">
        <v>6478</v>
      </c>
      <c r="J1014" t="s">
        <v>11944</v>
      </c>
      <c r="K1014" t="s">
        <v>16346</v>
      </c>
      <c r="L1014">
        <f>HYPERLINK("https://www2.assemblee-nationale.fr/sycomore/fiche/(num_dept)/7751", "7751")</f>
        <v>0</v>
      </c>
      <c r="M1014">
        <f>HYPERLINK("https://www.senat.fr/senateur-3eme-republique/lemery_henry0701r3.html", "lemery_henry0701r3")</f>
        <v>0</v>
      </c>
      <c r="N1014">
        <f>HYPERLINK("https://www.wikidata.org/wiki/Q3132926", "Q3132926")</f>
        <v>0</v>
      </c>
      <c r="O1014" t="s">
        <v>20035</v>
      </c>
      <c r="P1014" t="s">
        <v>20415</v>
      </c>
      <c r="Q1014" t="s">
        <v>20559</v>
      </c>
      <c r="R1014" t="s">
        <v>410</v>
      </c>
      <c r="S1014">
        <v>2051</v>
      </c>
    </row>
    <row r="1015" spans="1:19">
      <c r="A1015" t="s">
        <v>20</v>
      </c>
      <c r="B1015" t="s">
        <v>148</v>
      </c>
      <c r="C1015" t="s">
        <v>152</v>
      </c>
      <c r="D1015" t="s">
        <v>281</v>
      </c>
      <c r="E1015" t="s">
        <v>410</v>
      </c>
      <c r="F1015">
        <f>HYPERLINK("https://www.wikidata.org/wiki/Q33528422", "Q33528422")</f>
        <v>0</v>
      </c>
      <c r="G1015" t="s">
        <v>1078</v>
      </c>
      <c r="H1015" t="s">
        <v>5822</v>
      </c>
      <c r="I1015" t="s">
        <v>9449</v>
      </c>
      <c r="J1015" t="s">
        <v>11814</v>
      </c>
      <c r="K1015" t="s">
        <v>16215</v>
      </c>
      <c r="L1015">
        <f>HYPERLINK("https://www2.assemblee-nationale.fr/sycomore/fiche/(num_dept)/7752", "7752")</f>
        <v>0</v>
      </c>
      <c r="N1015">
        <f>HYPERLINK("https://www.wikidata.org/wiki/Q3085048", "Q3085048")</f>
        <v>0</v>
      </c>
      <c r="O1015" t="s">
        <v>20013</v>
      </c>
      <c r="P1015" t="s">
        <v>20409</v>
      </c>
      <c r="Q1015" t="s">
        <v>20559</v>
      </c>
      <c r="R1015" t="s">
        <v>410</v>
      </c>
      <c r="S1015">
        <v>2051</v>
      </c>
    </row>
    <row r="1016" spans="1:19">
      <c r="A1016" t="s">
        <v>20</v>
      </c>
      <c r="B1016" t="s">
        <v>148</v>
      </c>
      <c r="C1016" t="s">
        <v>152</v>
      </c>
      <c r="D1016" t="s">
        <v>281</v>
      </c>
      <c r="E1016" t="s">
        <v>410</v>
      </c>
      <c r="F1016">
        <f>HYPERLINK("https://www.wikidata.org/wiki/Q33528422", "Q33528422")</f>
        <v>0</v>
      </c>
      <c r="G1016" t="s">
        <v>1213</v>
      </c>
      <c r="H1016" t="s">
        <v>5941</v>
      </c>
      <c r="I1016" t="s">
        <v>9535</v>
      </c>
      <c r="J1016" t="s">
        <v>11945</v>
      </c>
      <c r="K1016" t="s">
        <v>16347</v>
      </c>
      <c r="L1016">
        <f>HYPERLINK("https://www2.assemblee-nationale.fr/sycomore/fiche/(num_dept)/7755", "7755")</f>
        <v>0</v>
      </c>
      <c r="N1016">
        <f>HYPERLINK("https://www.wikidata.org/wiki/Q16025982", "Q16025982")</f>
        <v>0</v>
      </c>
      <c r="O1016" t="s">
        <v>19968</v>
      </c>
      <c r="P1016" t="s">
        <v>20412</v>
      </c>
      <c r="Q1016" t="s">
        <v>20559</v>
      </c>
      <c r="R1016" t="s">
        <v>410</v>
      </c>
      <c r="S1016">
        <v>2051</v>
      </c>
    </row>
    <row r="1017" spans="1:19">
      <c r="A1017" t="s">
        <v>20</v>
      </c>
      <c r="B1017" t="s">
        <v>148</v>
      </c>
      <c r="C1017" t="s">
        <v>152</v>
      </c>
      <c r="D1017" t="s">
        <v>281</v>
      </c>
      <c r="E1017" t="s">
        <v>410</v>
      </c>
      <c r="F1017">
        <f>HYPERLINK("https://www.wikidata.org/wiki/Q33528422", "Q33528422")</f>
        <v>0</v>
      </c>
      <c r="G1017" t="s">
        <v>1079</v>
      </c>
      <c r="H1017" t="s">
        <v>5823</v>
      </c>
      <c r="I1017" t="s">
        <v>9506</v>
      </c>
      <c r="J1017" t="s">
        <v>11815</v>
      </c>
      <c r="K1017" t="s">
        <v>16216</v>
      </c>
      <c r="L1017">
        <f>HYPERLINK("https://www2.assemblee-nationale.fr/sycomore/fiche/(num_dept)/7762", "7762")</f>
        <v>0</v>
      </c>
      <c r="N1017">
        <f>HYPERLINK("https://www.wikidata.org/wiki/Q2934989", "Q2934989")</f>
        <v>0</v>
      </c>
      <c r="O1017" t="s">
        <v>20025</v>
      </c>
      <c r="P1017" t="s">
        <v>20406</v>
      </c>
      <c r="Q1017" t="s">
        <v>20559</v>
      </c>
      <c r="R1017" t="s">
        <v>410</v>
      </c>
      <c r="S1017">
        <v>2051</v>
      </c>
    </row>
    <row r="1018" spans="1:19">
      <c r="A1018" t="s">
        <v>20</v>
      </c>
      <c r="B1018" t="s">
        <v>148</v>
      </c>
      <c r="C1018" t="s">
        <v>152</v>
      </c>
      <c r="D1018" t="s">
        <v>281</v>
      </c>
      <c r="E1018" t="s">
        <v>410</v>
      </c>
      <c r="F1018">
        <f>HYPERLINK("https://www.wikidata.org/wiki/Q33528422", "Q33528422")</f>
        <v>0</v>
      </c>
      <c r="G1018" t="s">
        <v>1129</v>
      </c>
      <c r="H1018" t="s">
        <v>5611</v>
      </c>
      <c r="I1018" t="s">
        <v>6200</v>
      </c>
      <c r="J1018" t="s">
        <v>11863</v>
      </c>
      <c r="K1018" t="s">
        <v>16265</v>
      </c>
      <c r="L1018">
        <f>HYPERLINK("https://www2.assemblee-nationale.fr/sycomore/fiche/(num_dept)/7790", "7790")</f>
        <v>0</v>
      </c>
      <c r="N1018">
        <f>HYPERLINK("https://www.wikidata.org/wiki/Q13080902", "Q13080902")</f>
        <v>0</v>
      </c>
      <c r="O1018" t="s">
        <v>19969</v>
      </c>
      <c r="P1018" t="s">
        <v>20410</v>
      </c>
      <c r="Q1018" t="s">
        <v>20559</v>
      </c>
      <c r="R1018" t="s">
        <v>410</v>
      </c>
      <c r="S1018">
        <v>2051</v>
      </c>
    </row>
    <row r="1019" spans="1:19">
      <c r="A1019" t="s">
        <v>20</v>
      </c>
      <c r="B1019" t="s">
        <v>148</v>
      </c>
      <c r="C1019" t="s">
        <v>152</v>
      </c>
      <c r="D1019" t="s">
        <v>281</v>
      </c>
      <c r="E1019" t="s">
        <v>410</v>
      </c>
      <c r="F1019">
        <f>HYPERLINK("https://www.wikidata.org/wiki/Q33528422", "Q33528422")</f>
        <v>0</v>
      </c>
      <c r="G1019" t="s">
        <v>856</v>
      </c>
      <c r="H1019" t="s">
        <v>5612</v>
      </c>
      <c r="I1019" t="s">
        <v>9558</v>
      </c>
      <c r="J1019" t="s">
        <v>11602</v>
      </c>
      <c r="K1019" t="s">
        <v>16004</v>
      </c>
      <c r="L1019">
        <f>HYPERLINK("https://www2.assemblee-nationale.fr/sycomore/fiche/(num_dept)/7801", "7801")</f>
        <v>0</v>
      </c>
      <c r="N1019">
        <f>HYPERLINK("https://www.wikidata.org/wiki/Q3317903", "Q3317903")</f>
        <v>0</v>
      </c>
      <c r="O1019" t="s">
        <v>19992</v>
      </c>
      <c r="P1019" t="s">
        <v>20412</v>
      </c>
      <c r="Q1019" t="s">
        <v>20559</v>
      </c>
      <c r="R1019" t="s">
        <v>410</v>
      </c>
      <c r="S1019">
        <v>2051</v>
      </c>
    </row>
    <row r="1020" spans="1:19">
      <c r="A1020" t="s">
        <v>20</v>
      </c>
      <c r="B1020" t="s">
        <v>148</v>
      </c>
      <c r="C1020" t="s">
        <v>152</v>
      </c>
      <c r="D1020" t="s">
        <v>281</v>
      </c>
      <c r="E1020" t="s">
        <v>410</v>
      </c>
      <c r="F1020">
        <f>HYPERLINK("https://www.wikidata.org/wiki/Q33528422", "Q33528422")</f>
        <v>0</v>
      </c>
      <c r="G1020" t="s">
        <v>857</v>
      </c>
      <c r="H1020" t="s">
        <v>5613</v>
      </c>
      <c r="I1020" t="s">
        <v>6175</v>
      </c>
      <c r="J1020" t="s">
        <v>11603</v>
      </c>
      <c r="K1020" t="s">
        <v>16005</v>
      </c>
      <c r="L1020">
        <f>HYPERLINK("https://www2.assemblee-nationale.fr/sycomore/fiche/(num_dept)/7840", "7840")</f>
        <v>0</v>
      </c>
      <c r="N1020">
        <f>HYPERLINK("https://www.wikidata.org/wiki/Q728806", "Q728806")</f>
        <v>0</v>
      </c>
      <c r="O1020" t="s">
        <v>20043</v>
      </c>
      <c r="P1020" t="s">
        <v>20412</v>
      </c>
      <c r="Q1020" t="s">
        <v>20559</v>
      </c>
      <c r="R1020" t="s">
        <v>410</v>
      </c>
      <c r="S1020">
        <v>2051</v>
      </c>
    </row>
    <row r="1021" spans="1:19">
      <c r="A1021" t="s">
        <v>20</v>
      </c>
      <c r="B1021" t="s">
        <v>148</v>
      </c>
      <c r="C1021" t="s">
        <v>152</v>
      </c>
      <c r="D1021" t="s">
        <v>281</v>
      </c>
      <c r="E1021" t="s">
        <v>410</v>
      </c>
      <c r="F1021">
        <f>HYPERLINK("https://www.wikidata.org/wiki/Q33528422", "Q33528422")</f>
        <v>0</v>
      </c>
      <c r="G1021" t="s">
        <v>1214</v>
      </c>
      <c r="H1021" t="s">
        <v>5942</v>
      </c>
      <c r="I1021" t="s">
        <v>9707</v>
      </c>
      <c r="J1021" t="s">
        <v>11946</v>
      </c>
      <c r="K1021" t="s">
        <v>16348</v>
      </c>
      <c r="L1021">
        <f>HYPERLINK("https://www2.assemblee-nationale.fr/sycomore/fiche/(num_dept)/27", "27")</f>
        <v>0</v>
      </c>
      <c r="N1021">
        <f>HYPERLINK("https://www.wikidata.org/wiki/Q3270670", "Q3270670")</f>
        <v>0</v>
      </c>
      <c r="O1021" t="s">
        <v>20015</v>
      </c>
      <c r="P1021" t="s">
        <v>20413</v>
      </c>
      <c r="Q1021" t="s">
        <v>20560</v>
      </c>
      <c r="R1021" t="s">
        <v>410</v>
      </c>
      <c r="S1021">
        <v>2037</v>
      </c>
    </row>
    <row r="1022" spans="1:19">
      <c r="A1022" t="s">
        <v>20</v>
      </c>
      <c r="B1022" t="s">
        <v>148</v>
      </c>
      <c r="C1022" t="s">
        <v>152</v>
      </c>
      <c r="D1022" t="s">
        <v>281</v>
      </c>
      <c r="E1022" t="s">
        <v>410</v>
      </c>
      <c r="F1022">
        <f>HYPERLINK("https://www.wikidata.org/wiki/Q33528422", "Q33528422")</f>
        <v>0</v>
      </c>
      <c r="G1022" t="s">
        <v>497</v>
      </c>
      <c r="H1022" t="s">
        <v>5262</v>
      </c>
      <c r="I1022" t="s">
        <v>9368</v>
      </c>
      <c r="J1022" t="s">
        <v>11249</v>
      </c>
      <c r="K1022" t="s">
        <v>15649</v>
      </c>
      <c r="L1022">
        <f>HYPERLINK("https://www2.assemblee-nationale.fr/sycomore/fiche/(num_dept)/67", "67")</f>
        <v>0</v>
      </c>
      <c r="M1022">
        <f>HYPERLINK("https://www.senat.fr/senateur-3eme-republique/alasseur_gustave0506r3.html", "alasseur_gustave0506r3")</f>
        <v>0</v>
      </c>
      <c r="N1022">
        <f>HYPERLINK("https://www.wikidata.org/wiki/Q3121099", "Q3121099")</f>
        <v>0</v>
      </c>
      <c r="O1022" t="s">
        <v>19958</v>
      </c>
      <c r="P1022" t="s">
        <v>20413</v>
      </c>
      <c r="Q1022" t="s">
        <v>20560</v>
      </c>
      <c r="R1022" t="s">
        <v>15649</v>
      </c>
      <c r="S1022">
        <v>755</v>
      </c>
    </row>
    <row r="1023" spans="1:19">
      <c r="A1023" t="s">
        <v>20</v>
      </c>
      <c r="B1023" t="s">
        <v>148</v>
      </c>
      <c r="C1023" t="s">
        <v>152</v>
      </c>
      <c r="D1023" t="s">
        <v>281</v>
      </c>
      <c r="E1023" t="s">
        <v>410</v>
      </c>
      <c r="F1023">
        <f>HYPERLINK("https://www.wikidata.org/wiki/Q33528422", "Q33528422")</f>
        <v>0</v>
      </c>
      <c r="G1023" t="s">
        <v>1215</v>
      </c>
      <c r="H1023" t="s">
        <v>5943</v>
      </c>
      <c r="I1023" t="s">
        <v>9442</v>
      </c>
      <c r="J1023" t="s">
        <v>11947</v>
      </c>
      <c r="K1023" t="s">
        <v>16349</v>
      </c>
      <c r="L1023">
        <f>HYPERLINK("https://www2.assemblee-nationale.fr/sycomore/fiche/(num_dept)/70", "70")</f>
        <v>0</v>
      </c>
      <c r="N1023">
        <f>HYPERLINK("https://www.wikidata.org/wiki/Q2830887", "Q2830887")</f>
        <v>0</v>
      </c>
      <c r="O1023" t="s">
        <v>20037</v>
      </c>
      <c r="P1023" t="s">
        <v>20401</v>
      </c>
      <c r="Q1023" t="s">
        <v>20560</v>
      </c>
      <c r="R1023" t="s">
        <v>410</v>
      </c>
      <c r="S1023">
        <v>2037</v>
      </c>
    </row>
    <row r="1024" spans="1:19">
      <c r="A1024" t="s">
        <v>20</v>
      </c>
      <c r="B1024" t="s">
        <v>148</v>
      </c>
      <c r="C1024" t="s">
        <v>152</v>
      </c>
      <c r="D1024" t="s">
        <v>281</v>
      </c>
      <c r="E1024" t="s">
        <v>410</v>
      </c>
      <c r="F1024">
        <f>HYPERLINK("https://www.wikidata.org/wiki/Q33528422", "Q33528422")</f>
        <v>0</v>
      </c>
      <c r="G1024" t="s">
        <v>859</v>
      </c>
      <c r="H1024" t="s">
        <v>5615</v>
      </c>
      <c r="I1024" t="s">
        <v>9559</v>
      </c>
      <c r="J1024" t="s">
        <v>11605</v>
      </c>
      <c r="K1024" t="s">
        <v>16007</v>
      </c>
      <c r="L1024">
        <f>HYPERLINK("https://www2.assemblee-nationale.fr/sycomore/fiche/(num_dept)/112", "112")</f>
        <v>0</v>
      </c>
      <c r="M1024">
        <f>HYPERLINK("https://www.senat.fr/senateur-3eme-republique/amiard_louis1670r3.html", "amiard_louis1670r3")</f>
        <v>0</v>
      </c>
      <c r="N1024">
        <f>HYPERLINK("https://www.wikidata.org/wiki/Q3261035", "Q3261035")</f>
        <v>0</v>
      </c>
      <c r="O1024" t="s">
        <v>19976</v>
      </c>
      <c r="P1024" t="s">
        <v>20413</v>
      </c>
      <c r="Q1024" t="s">
        <v>20560</v>
      </c>
      <c r="R1024" t="s">
        <v>410</v>
      </c>
      <c r="S1024">
        <v>2037</v>
      </c>
    </row>
    <row r="1025" spans="1:19">
      <c r="A1025" t="s">
        <v>20</v>
      </c>
      <c r="B1025" t="s">
        <v>148</v>
      </c>
      <c r="C1025" t="s">
        <v>152</v>
      </c>
      <c r="D1025" t="s">
        <v>281</v>
      </c>
      <c r="E1025" t="s">
        <v>410</v>
      </c>
      <c r="F1025">
        <f>HYPERLINK("https://www.wikidata.org/wiki/Q33528422", "Q33528422")</f>
        <v>0</v>
      </c>
      <c r="G1025" t="s">
        <v>861</v>
      </c>
      <c r="H1025" t="s">
        <v>5617</v>
      </c>
      <c r="I1025" t="s">
        <v>6495</v>
      </c>
      <c r="J1025" t="s">
        <v>11607</v>
      </c>
      <c r="K1025" t="s">
        <v>16009</v>
      </c>
      <c r="L1025">
        <f>HYPERLINK("https://www2.assemblee-nationale.fr/sycomore/fiche/(num_dept)/139", "139")</f>
        <v>0</v>
      </c>
      <c r="M1025">
        <f>HYPERLINK("https://www.senat.fr/senateur-3eme-republique/andrieux_louis0059r3.html", "andrieux_louis0059r3")</f>
        <v>0</v>
      </c>
      <c r="N1025">
        <f>HYPERLINK("https://www.wikidata.org/wiki/Q1507996", "Q1507996")</f>
        <v>0</v>
      </c>
      <c r="O1025" t="s">
        <v>20033</v>
      </c>
      <c r="P1025" t="s">
        <v>20412</v>
      </c>
      <c r="Q1025" t="s">
        <v>20560</v>
      </c>
      <c r="R1025" t="s">
        <v>410</v>
      </c>
      <c r="S1025">
        <v>2037</v>
      </c>
    </row>
    <row r="1026" spans="1:19">
      <c r="A1026" t="s">
        <v>20</v>
      </c>
      <c r="B1026" t="s">
        <v>148</v>
      </c>
      <c r="C1026" t="s">
        <v>152</v>
      </c>
      <c r="D1026" t="s">
        <v>281</v>
      </c>
      <c r="E1026" t="s">
        <v>410</v>
      </c>
      <c r="F1026">
        <f>HYPERLINK("https://www.wikidata.org/wiki/Q33528422", "Q33528422")</f>
        <v>0</v>
      </c>
      <c r="G1026" t="s">
        <v>1216</v>
      </c>
      <c r="H1026" t="s">
        <v>5944</v>
      </c>
      <c r="I1026" t="s">
        <v>9708</v>
      </c>
      <c r="J1026" t="s">
        <v>11948</v>
      </c>
      <c r="K1026" t="s">
        <v>16350</v>
      </c>
      <c r="L1026">
        <f>HYPERLINK("https://www2.assemblee-nationale.fr/sycomore/fiche/(num_dept)/236", "236")</f>
        <v>0</v>
      </c>
      <c r="N1026">
        <f>HYPERLINK("https://www.wikidata.org/wiki/Q7125983", "Q7125983")</f>
        <v>0</v>
      </c>
      <c r="O1026" t="s">
        <v>19956</v>
      </c>
      <c r="P1026" t="s">
        <v>20414</v>
      </c>
      <c r="Q1026" t="s">
        <v>20560</v>
      </c>
      <c r="R1026" t="s">
        <v>410</v>
      </c>
      <c r="S1026">
        <v>2037</v>
      </c>
    </row>
    <row r="1027" spans="1:19">
      <c r="A1027" t="s">
        <v>20</v>
      </c>
      <c r="B1027" t="s">
        <v>148</v>
      </c>
      <c r="C1027" t="s">
        <v>152</v>
      </c>
      <c r="D1027" t="s">
        <v>281</v>
      </c>
      <c r="E1027" t="s">
        <v>410</v>
      </c>
      <c r="F1027">
        <f>HYPERLINK("https://www.wikidata.org/wiki/Q33528422", "Q33528422")</f>
        <v>0</v>
      </c>
      <c r="G1027" t="s">
        <v>865</v>
      </c>
      <c r="H1027" t="s">
        <v>5621</v>
      </c>
      <c r="I1027" t="s">
        <v>9563</v>
      </c>
      <c r="J1027" t="s">
        <v>11611</v>
      </c>
      <c r="K1027" t="s">
        <v>16013</v>
      </c>
      <c r="L1027">
        <f>HYPERLINK("https://www2.assemblee-nationale.fr/sycomore/fiche/(num_dept)/238", "238")</f>
        <v>0</v>
      </c>
      <c r="N1027">
        <f>HYPERLINK("https://www.wikidata.org/wiki/Q3188406", "Q3188406")</f>
        <v>0</v>
      </c>
      <c r="O1027" t="s">
        <v>19969</v>
      </c>
      <c r="P1027" t="s">
        <v>20404</v>
      </c>
      <c r="Q1027" t="s">
        <v>20560</v>
      </c>
      <c r="R1027" t="s">
        <v>410</v>
      </c>
      <c r="S1027">
        <v>2037</v>
      </c>
    </row>
    <row r="1028" spans="1:19">
      <c r="A1028" t="s">
        <v>20</v>
      </c>
      <c r="B1028" t="s">
        <v>148</v>
      </c>
      <c r="C1028" t="s">
        <v>152</v>
      </c>
      <c r="D1028" t="s">
        <v>281</v>
      </c>
      <c r="E1028" t="s">
        <v>410</v>
      </c>
      <c r="F1028">
        <f>HYPERLINK("https://www.wikidata.org/wiki/Q33528422", "Q33528422")</f>
        <v>0</v>
      </c>
      <c r="G1028" t="s">
        <v>504</v>
      </c>
      <c r="H1028" t="s">
        <v>5269</v>
      </c>
      <c r="I1028" t="s">
        <v>9374</v>
      </c>
      <c r="J1028" t="s">
        <v>11256</v>
      </c>
      <c r="K1028" t="s">
        <v>15656</v>
      </c>
      <c r="L1028">
        <f>HYPERLINK("https://www2.assemblee-nationale.fr/sycomore/fiche/(num_dept)/261", "261")</f>
        <v>0</v>
      </c>
      <c r="N1028">
        <f>HYPERLINK("https://www.wikidata.org/wiki/Q653621", "Q653621")</f>
        <v>0</v>
      </c>
      <c r="O1028" t="s">
        <v>19965</v>
      </c>
      <c r="P1028" t="s">
        <v>20406</v>
      </c>
      <c r="Q1028" t="s">
        <v>20560</v>
      </c>
      <c r="R1028" t="s">
        <v>410</v>
      </c>
      <c r="S1028">
        <v>2037</v>
      </c>
    </row>
    <row r="1029" spans="1:19">
      <c r="A1029" t="s">
        <v>20</v>
      </c>
      <c r="B1029" t="s">
        <v>148</v>
      </c>
      <c r="C1029" t="s">
        <v>152</v>
      </c>
      <c r="D1029" t="s">
        <v>281</v>
      </c>
      <c r="E1029" t="s">
        <v>410</v>
      </c>
      <c r="F1029">
        <f>HYPERLINK("https://www.wikidata.org/wiki/Q33528422", "Q33528422")</f>
        <v>0</v>
      </c>
      <c r="G1029" t="s">
        <v>1217</v>
      </c>
      <c r="H1029" t="s">
        <v>5622</v>
      </c>
      <c r="I1029" t="s">
        <v>5812</v>
      </c>
      <c r="J1029" t="s">
        <v>11949</v>
      </c>
      <c r="K1029" t="s">
        <v>16351</v>
      </c>
      <c r="L1029">
        <f>HYPERLINK("https://www2.assemblee-nationale.fr/sycomore/fiche/(num_dept)/285", "285")</f>
        <v>0</v>
      </c>
      <c r="N1029">
        <f>HYPERLINK("https://www.wikidata.org/wiki/Q158772", "Q158772")</f>
        <v>0</v>
      </c>
      <c r="O1029" t="s">
        <v>20016</v>
      </c>
      <c r="P1029" t="s">
        <v>20404</v>
      </c>
      <c r="Q1029" t="s">
        <v>20560</v>
      </c>
      <c r="R1029" t="s">
        <v>410</v>
      </c>
      <c r="S1029">
        <v>2037</v>
      </c>
    </row>
    <row r="1030" spans="1:19">
      <c r="A1030" t="s">
        <v>20</v>
      </c>
      <c r="B1030" t="s">
        <v>148</v>
      </c>
      <c r="C1030" t="s">
        <v>152</v>
      </c>
      <c r="D1030" t="s">
        <v>281</v>
      </c>
      <c r="E1030" t="s">
        <v>410</v>
      </c>
      <c r="F1030">
        <f>HYPERLINK("https://www.wikidata.org/wiki/Q33528422", "Q33528422")</f>
        <v>0</v>
      </c>
      <c r="G1030" t="s">
        <v>867</v>
      </c>
      <c r="H1030" t="s">
        <v>5623</v>
      </c>
      <c r="I1030" t="s">
        <v>9565</v>
      </c>
      <c r="J1030" t="s">
        <v>11613</v>
      </c>
      <c r="K1030" t="s">
        <v>16015</v>
      </c>
      <c r="L1030">
        <f>HYPERLINK("https://www2.assemblee-nationale.fr/sycomore/fiche/(num_dept)/310", "310")</f>
        <v>0</v>
      </c>
      <c r="N1030">
        <f>HYPERLINK("https://www.wikidata.org/wiki/Q2853627", "Q2853627")</f>
        <v>0</v>
      </c>
      <c r="O1030" t="s">
        <v>20031</v>
      </c>
      <c r="P1030" t="s">
        <v>20412</v>
      </c>
      <c r="Q1030" t="s">
        <v>20560</v>
      </c>
      <c r="R1030" t="s">
        <v>410</v>
      </c>
      <c r="S1030">
        <v>2037</v>
      </c>
    </row>
    <row r="1031" spans="1:19">
      <c r="A1031" t="s">
        <v>20</v>
      </c>
      <c r="B1031" t="s">
        <v>148</v>
      </c>
      <c r="C1031" t="s">
        <v>152</v>
      </c>
      <c r="D1031" t="s">
        <v>281</v>
      </c>
      <c r="E1031" t="s">
        <v>410</v>
      </c>
      <c r="F1031">
        <f>HYPERLINK("https://www.wikidata.org/wiki/Q33528422", "Q33528422")</f>
        <v>0</v>
      </c>
      <c r="G1031" t="s">
        <v>868</v>
      </c>
      <c r="H1031" t="s">
        <v>5624</v>
      </c>
      <c r="I1031" t="s">
        <v>6166</v>
      </c>
      <c r="J1031" t="s">
        <v>11614</v>
      </c>
      <c r="K1031" t="s">
        <v>16016</v>
      </c>
      <c r="L1031">
        <f>HYPERLINK("https://www2.assemblee-nationale.fr/sycomore/fiche/(num_dept)/317", "317")</f>
        <v>0</v>
      </c>
      <c r="N1031">
        <f>HYPERLINK("https://www.wikidata.org/wiki/Q15973432", "Q15973432")</f>
        <v>0</v>
      </c>
      <c r="O1031" t="s">
        <v>8449</v>
      </c>
      <c r="P1031" t="s">
        <v>20413</v>
      </c>
      <c r="Q1031" t="s">
        <v>20560</v>
      </c>
      <c r="R1031" t="s">
        <v>410</v>
      </c>
      <c r="S1031">
        <v>2037</v>
      </c>
    </row>
    <row r="1032" spans="1:19">
      <c r="A1032" t="s">
        <v>20</v>
      </c>
      <c r="B1032" t="s">
        <v>148</v>
      </c>
      <c r="C1032" t="s">
        <v>152</v>
      </c>
      <c r="D1032" t="s">
        <v>281</v>
      </c>
      <c r="E1032" t="s">
        <v>410</v>
      </c>
      <c r="F1032">
        <f>HYPERLINK("https://www.wikidata.org/wiki/Q33528422", "Q33528422")</f>
        <v>0</v>
      </c>
      <c r="G1032" t="s">
        <v>507</v>
      </c>
      <c r="H1032" t="s">
        <v>5272</v>
      </c>
      <c r="I1032" t="s">
        <v>9377</v>
      </c>
      <c r="J1032" t="s">
        <v>11259</v>
      </c>
      <c r="K1032" t="s">
        <v>15659</v>
      </c>
      <c r="L1032">
        <f>HYPERLINK("https://www2.assemblee-nationale.fr/sycomore/fiche/(num_dept)/348", "348")</f>
        <v>0</v>
      </c>
      <c r="N1032">
        <f>HYPERLINK("https://www.wikidata.org/wiki/Q15973419", "Q15973419")</f>
        <v>0</v>
      </c>
      <c r="O1032" t="s">
        <v>19967</v>
      </c>
      <c r="P1032" t="s">
        <v>20413</v>
      </c>
      <c r="Q1032" t="s">
        <v>20560</v>
      </c>
      <c r="R1032" t="s">
        <v>410</v>
      </c>
      <c r="S1032">
        <v>2037</v>
      </c>
    </row>
    <row r="1033" spans="1:19">
      <c r="A1033" t="s">
        <v>20</v>
      </c>
      <c r="B1033" t="s">
        <v>148</v>
      </c>
      <c r="C1033" t="s">
        <v>152</v>
      </c>
      <c r="D1033" t="s">
        <v>281</v>
      </c>
      <c r="E1033" t="s">
        <v>410</v>
      </c>
      <c r="F1033">
        <f>HYPERLINK("https://www.wikidata.org/wiki/Q33528422", "Q33528422")</f>
        <v>0</v>
      </c>
      <c r="G1033" t="s">
        <v>1218</v>
      </c>
      <c r="H1033" t="s">
        <v>5945</v>
      </c>
      <c r="I1033" t="s">
        <v>9709</v>
      </c>
      <c r="J1033" t="s">
        <v>11950</v>
      </c>
      <c r="K1033" t="s">
        <v>16352</v>
      </c>
      <c r="L1033">
        <f>HYPERLINK("https://www2.assemblee-nationale.fr/sycomore/fiche/(num_dept)/368", "368")</f>
        <v>0</v>
      </c>
      <c r="N1033">
        <f>HYPERLINK("https://www.wikidata.org/wiki/Q3130610", "Q3130610")</f>
        <v>0</v>
      </c>
      <c r="O1033" t="s">
        <v>20002</v>
      </c>
      <c r="P1033" t="s">
        <v>20404</v>
      </c>
      <c r="Q1033" t="s">
        <v>20560</v>
      </c>
      <c r="R1033" t="s">
        <v>410</v>
      </c>
      <c r="S1033">
        <v>2037</v>
      </c>
    </row>
    <row r="1034" spans="1:19">
      <c r="A1034" t="s">
        <v>20</v>
      </c>
      <c r="B1034" t="s">
        <v>148</v>
      </c>
      <c r="C1034" t="s">
        <v>152</v>
      </c>
      <c r="D1034" t="s">
        <v>281</v>
      </c>
      <c r="E1034" t="s">
        <v>410</v>
      </c>
      <c r="F1034">
        <f>HYPERLINK("https://www.wikidata.org/wiki/Q33528422", "Q33528422")</f>
        <v>0</v>
      </c>
      <c r="G1034" t="s">
        <v>871</v>
      </c>
      <c r="H1034" t="s">
        <v>5627</v>
      </c>
      <c r="I1034" t="s">
        <v>6584</v>
      </c>
      <c r="J1034" t="s">
        <v>11617</v>
      </c>
      <c r="K1034" t="s">
        <v>16019</v>
      </c>
      <c r="L1034">
        <f>HYPERLINK("https://www2.assemblee-nationale.fr/sycomore/fiche/(num_dept)/564", "564")</f>
        <v>0</v>
      </c>
      <c r="N1034">
        <f>HYPERLINK("https://www.wikidata.org/wiki/Q2830945", "Q2830945")</f>
        <v>0</v>
      </c>
      <c r="O1034" t="s">
        <v>20016</v>
      </c>
      <c r="P1034" t="s">
        <v>20404</v>
      </c>
      <c r="Q1034" t="s">
        <v>20560</v>
      </c>
      <c r="R1034" t="s">
        <v>410</v>
      </c>
      <c r="S1034">
        <v>2037</v>
      </c>
    </row>
    <row r="1035" spans="1:19">
      <c r="A1035" t="s">
        <v>20</v>
      </c>
      <c r="B1035" t="s">
        <v>148</v>
      </c>
      <c r="C1035" t="s">
        <v>152</v>
      </c>
      <c r="D1035" t="s">
        <v>281</v>
      </c>
      <c r="E1035" t="s">
        <v>410</v>
      </c>
      <c r="F1035">
        <f>HYPERLINK("https://www.wikidata.org/wiki/Q33528422", "Q33528422")</f>
        <v>0</v>
      </c>
      <c r="G1035" t="s">
        <v>520</v>
      </c>
      <c r="H1035" t="s">
        <v>5284</v>
      </c>
      <c r="I1035" t="s">
        <v>9388</v>
      </c>
      <c r="J1035" t="s">
        <v>11272</v>
      </c>
      <c r="K1035" t="s">
        <v>15672</v>
      </c>
      <c r="L1035">
        <f>HYPERLINK("https://www2.assemblee-nationale.fr/sycomore/fiche/(num_dept)/608", "608")</f>
        <v>0</v>
      </c>
      <c r="M1035">
        <f>HYPERLINK("https://www.senat.fr/senateur-3eme-republique/benazet_paul_louis0281r3.html", "benazet_paul_louis0281r3")</f>
        <v>0</v>
      </c>
      <c r="N1035">
        <f>HYPERLINK("https://www.wikidata.org/wiki/Q3370779", "Q3370779")</f>
        <v>0</v>
      </c>
      <c r="O1035" t="s">
        <v>19975</v>
      </c>
      <c r="P1035" t="s">
        <v>20401</v>
      </c>
      <c r="Q1035" t="s">
        <v>20560</v>
      </c>
      <c r="R1035" t="s">
        <v>410</v>
      </c>
      <c r="S1035">
        <v>2037</v>
      </c>
    </row>
    <row r="1036" spans="1:19">
      <c r="A1036" t="s">
        <v>20</v>
      </c>
      <c r="B1036" t="s">
        <v>148</v>
      </c>
      <c r="C1036" t="s">
        <v>152</v>
      </c>
      <c r="D1036" t="s">
        <v>281</v>
      </c>
      <c r="E1036" t="s">
        <v>410</v>
      </c>
      <c r="F1036">
        <f>HYPERLINK("https://www.wikidata.org/wiki/Q33528422", "Q33528422")</f>
        <v>0</v>
      </c>
      <c r="G1036" t="s">
        <v>1219</v>
      </c>
      <c r="H1036" t="s">
        <v>5946</v>
      </c>
      <c r="I1036" t="s">
        <v>9710</v>
      </c>
      <c r="J1036" t="s">
        <v>11951</v>
      </c>
      <c r="K1036" t="s">
        <v>16353</v>
      </c>
      <c r="L1036">
        <f>HYPERLINK("https://www2.assemblee-nationale.fr/sycomore/fiche/(num_dept)/668", "668")</f>
        <v>0</v>
      </c>
      <c r="M1036">
        <f>HYPERLINK("https://www.senat.fr/senateur-3eme-republique/berger_pierre0378r3.html", "berger_pierre0378r3")</f>
        <v>0</v>
      </c>
      <c r="N1036">
        <f>HYPERLINK("https://www.wikidata.org/wiki/Q3383934", "Q3383934")</f>
        <v>0</v>
      </c>
      <c r="O1036" t="s">
        <v>20039</v>
      </c>
      <c r="P1036" t="s">
        <v>20401</v>
      </c>
      <c r="Q1036" t="s">
        <v>20560</v>
      </c>
      <c r="R1036" t="s">
        <v>410</v>
      </c>
      <c r="S1036">
        <v>2037</v>
      </c>
    </row>
    <row r="1037" spans="1:19">
      <c r="A1037" t="s">
        <v>20</v>
      </c>
      <c r="B1037" t="s">
        <v>148</v>
      </c>
      <c r="C1037" t="s">
        <v>152</v>
      </c>
      <c r="D1037" t="s">
        <v>281</v>
      </c>
      <c r="E1037" t="s">
        <v>410</v>
      </c>
      <c r="F1037">
        <f>HYPERLINK("https://www.wikidata.org/wiki/Q33528422", "Q33528422")</f>
        <v>0</v>
      </c>
      <c r="G1037" t="s">
        <v>1220</v>
      </c>
      <c r="H1037" t="s">
        <v>5947</v>
      </c>
      <c r="I1037" t="s">
        <v>9711</v>
      </c>
      <c r="J1037" t="s">
        <v>11952</v>
      </c>
      <c r="K1037" t="s">
        <v>16354</v>
      </c>
      <c r="L1037">
        <f>HYPERLINK("https://www2.assemblee-nationale.fr/sycomore/fiche/(num_dept)/681", "681")</f>
        <v>0</v>
      </c>
      <c r="N1037">
        <f>HYPERLINK("https://www.wikidata.org/wiki/Q13080822", "Q13080822")</f>
        <v>0</v>
      </c>
      <c r="O1037" t="s">
        <v>19969</v>
      </c>
      <c r="P1037" t="s">
        <v>20409</v>
      </c>
      <c r="Q1037" t="s">
        <v>20560</v>
      </c>
      <c r="R1037" t="s">
        <v>410</v>
      </c>
      <c r="S1037">
        <v>2037</v>
      </c>
    </row>
    <row r="1038" spans="1:19">
      <c r="A1038" t="s">
        <v>20</v>
      </c>
      <c r="B1038" t="s">
        <v>148</v>
      </c>
      <c r="C1038" t="s">
        <v>152</v>
      </c>
      <c r="D1038" t="s">
        <v>281</v>
      </c>
      <c r="E1038" t="s">
        <v>410</v>
      </c>
      <c r="F1038">
        <f>HYPERLINK("https://www.wikidata.org/wiki/Q33528422", "Q33528422")</f>
        <v>0</v>
      </c>
      <c r="G1038" t="s">
        <v>1221</v>
      </c>
      <c r="H1038" t="s">
        <v>5948</v>
      </c>
      <c r="I1038" t="s">
        <v>6495</v>
      </c>
      <c r="J1038" t="s">
        <v>11953</v>
      </c>
      <c r="K1038" t="s">
        <v>16355</v>
      </c>
      <c r="L1038">
        <f>HYPERLINK("https://www2.assemblee-nationale.fr/sycomore/fiche/(num_dept)/688", "688")</f>
        <v>0</v>
      </c>
      <c r="N1038">
        <f>HYPERLINK("https://www.wikidata.org/wiki/Q3261225", "Q3261225")</f>
        <v>0</v>
      </c>
      <c r="O1038" t="s">
        <v>20014</v>
      </c>
      <c r="P1038" t="s">
        <v>20404</v>
      </c>
      <c r="Q1038" t="s">
        <v>20560</v>
      </c>
      <c r="R1038" t="s">
        <v>410</v>
      </c>
      <c r="S1038">
        <v>2037</v>
      </c>
    </row>
    <row r="1039" spans="1:19">
      <c r="A1039" t="s">
        <v>20</v>
      </c>
      <c r="B1039" t="s">
        <v>148</v>
      </c>
      <c r="C1039" t="s">
        <v>152</v>
      </c>
      <c r="D1039" t="s">
        <v>281</v>
      </c>
      <c r="E1039" t="s">
        <v>410</v>
      </c>
      <c r="F1039">
        <f>HYPERLINK("https://www.wikidata.org/wiki/Q33528422", "Q33528422")</f>
        <v>0</v>
      </c>
      <c r="G1039" t="s">
        <v>1222</v>
      </c>
      <c r="H1039" t="s">
        <v>5948</v>
      </c>
      <c r="I1039" t="s">
        <v>7642</v>
      </c>
      <c r="J1039" t="s">
        <v>11954</v>
      </c>
      <c r="K1039" t="s">
        <v>16356</v>
      </c>
      <c r="L1039">
        <f>HYPERLINK("https://www2.assemblee-nationale.fr/sycomore/fiche/(num_dept)/690", "690")</f>
        <v>0</v>
      </c>
      <c r="N1039">
        <f>HYPERLINK("https://www.wikidata.org/wiki/Q3300399", "Q3300399")</f>
        <v>0</v>
      </c>
      <c r="O1039" t="s">
        <v>19973</v>
      </c>
      <c r="P1039" t="s">
        <v>20401</v>
      </c>
      <c r="Q1039" t="s">
        <v>20560</v>
      </c>
      <c r="R1039" t="s">
        <v>16356</v>
      </c>
      <c r="S1039">
        <v>884</v>
      </c>
    </row>
    <row r="1040" spans="1:19">
      <c r="A1040" t="s">
        <v>20</v>
      </c>
      <c r="B1040" t="s">
        <v>148</v>
      </c>
      <c r="C1040" t="s">
        <v>152</v>
      </c>
      <c r="D1040" t="s">
        <v>281</v>
      </c>
      <c r="E1040" t="s">
        <v>410</v>
      </c>
      <c r="F1040">
        <f>HYPERLINK("https://www.wikidata.org/wiki/Q33528422", "Q33528422")</f>
        <v>0</v>
      </c>
      <c r="G1040" t="s">
        <v>1223</v>
      </c>
      <c r="H1040" t="s">
        <v>5949</v>
      </c>
      <c r="I1040" t="s">
        <v>9552</v>
      </c>
      <c r="J1040" t="s">
        <v>11955</v>
      </c>
      <c r="K1040" t="s">
        <v>16357</v>
      </c>
      <c r="L1040">
        <f>HYPERLINK("https://www2.assemblee-nationale.fr/sycomore/fiche/(num_dept)/736", "736")</f>
        <v>0</v>
      </c>
      <c r="N1040">
        <f>HYPERLINK("https://www.wikidata.org/wiki/Q15973643", "Q15973643")</f>
        <v>0</v>
      </c>
      <c r="O1040" t="s">
        <v>20042</v>
      </c>
      <c r="P1040" t="s">
        <v>20404</v>
      </c>
      <c r="Q1040" t="s">
        <v>20560</v>
      </c>
      <c r="R1040" t="s">
        <v>410</v>
      </c>
      <c r="S1040">
        <v>2037</v>
      </c>
    </row>
    <row r="1041" spans="1:19">
      <c r="A1041" t="s">
        <v>20</v>
      </c>
      <c r="B1041" t="s">
        <v>148</v>
      </c>
      <c r="C1041" t="s">
        <v>152</v>
      </c>
      <c r="D1041" t="s">
        <v>281</v>
      </c>
      <c r="E1041" t="s">
        <v>410</v>
      </c>
      <c r="F1041">
        <f>HYPERLINK("https://www.wikidata.org/wiki/Q33528422", "Q33528422")</f>
        <v>0</v>
      </c>
      <c r="G1041" t="s">
        <v>874</v>
      </c>
      <c r="H1041" t="s">
        <v>5630</v>
      </c>
      <c r="I1041" t="s">
        <v>9569</v>
      </c>
      <c r="J1041" t="s">
        <v>11620</v>
      </c>
      <c r="K1041" t="s">
        <v>16022</v>
      </c>
      <c r="L1041">
        <f>HYPERLINK("https://www2.assemblee-nationale.fr/sycomore/fiche/(num_dept)/746", "746")</f>
        <v>0</v>
      </c>
      <c r="N1041">
        <f>HYPERLINK("https://www.wikidata.org/wiki/Q15973707", "Q15973707")</f>
        <v>0</v>
      </c>
      <c r="O1041" t="s">
        <v>20044</v>
      </c>
      <c r="P1041" t="s">
        <v>20413</v>
      </c>
      <c r="Q1041" t="s">
        <v>20560</v>
      </c>
      <c r="R1041" t="s">
        <v>410</v>
      </c>
      <c r="S1041">
        <v>2037</v>
      </c>
    </row>
    <row r="1042" spans="1:19">
      <c r="A1042" t="s">
        <v>20</v>
      </c>
      <c r="B1042" t="s">
        <v>148</v>
      </c>
      <c r="C1042" t="s">
        <v>152</v>
      </c>
      <c r="D1042" t="s">
        <v>281</v>
      </c>
      <c r="E1042" t="s">
        <v>410</v>
      </c>
      <c r="F1042">
        <f>HYPERLINK("https://www.wikidata.org/wiki/Q33528422", "Q33528422")</f>
        <v>0</v>
      </c>
      <c r="G1042" t="s">
        <v>1224</v>
      </c>
      <c r="H1042" t="s">
        <v>5630</v>
      </c>
      <c r="I1042" t="s">
        <v>9712</v>
      </c>
      <c r="J1042" t="s">
        <v>11956</v>
      </c>
      <c r="K1042" t="s">
        <v>16358</v>
      </c>
      <c r="L1042">
        <f>HYPERLINK("https://www2.assemblee-nationale.fr/sycomore/fiche/(num_dept)/748", "748")</f>
        <v>0</v>
      </c>
      <c r="M1042">
        <f>HYPERLINK("https://www.senat.fr/senateur-3eme-republique/bertrand_williams0414r3.html", "bertrand_williams0414r3")</f>
        <v>0</v>
      </c>
      <c r="N1042">
        <f>HYPERLINK("https://www.wikidata.org/wiki/Q3568432", "Q3568432")</f>
        <v>0</v>
      </c>
      <c r="O1042" t="s">
        <v>20037</v>
      </c>
      <c r="P1042" t="s">
        <v>20413</v>
      </c>
      <c r="Q1042" t="s">
        <v>20560</v>
      </c>
      <c r="R1042" t="s">
        <v>410</v>
      </c>
      <c r="S1042">
        <v>2037</v>
      </c>
    </row>
    <row r="1043" spans="1:19">
      <c r="A1043" t="s">
        <v>20</v>
      </c>
      <c r="B1043" t="s">
        <v>148</v>
      </c>
      <c r="C1043" t="s">
        <v>152</v>
      </c>
      <c r="D1043" t="s">
        <v>281</v>
      </c>
      <c r="E1043" t="s">
        <v>410</v>
      </c>
      <c r="F1043">
        <f>HYPERLINK("https://www.wikidata.org/wiki/Q33528422", "Q33528422")</f>
        <v>0</v>
      </c>
      <c r="G1043" t="s">
        <v>1225</v>
      </c>
      <c r="H1043" t="s">
        <v>5950</v>
      </c>
      <c r="I1043" t="s">
        <v>9506</v>
      </c>
      <c r="J1043" t="s">
        <v>11957</v>
      </c>
      <c r="K1043" t="s">
        <v>16359</v>
      </c>
      <c r="L1043">
        <f>HYPERLINK("https://www2.assemblee-nationale.fr/sycomore/fiche/(num_dept)/842", "842")</f>
        <v>0</v>
      </c>
      <c r="N1043">
        <f>HYPERLINK("https://www.wikidata.org/wiki/Q2934871", "Q2934871")</f>
        <v>0</v>
      </c>
      <c r="O1043" t="s">
        <v>20009</v>
      </c>
      <c r="P1043" t="s">
        <v>20409</v>
      </c>
      <c r="Q1043" t="s">
        <v>20560</v>
      </c>
      <c r="R1043" t="s">
        <v>410</v>
      </c>
      <c r="S1043">
        <v>2037</v>
      </c>
    </row>
    <row r="1044" spans="1:19">
      <c r="A1044" t="s">
        <v>20</v>
      </c>
      <c r="B1044" t="s">
        <v>148</v>
      </c>
      <c r="C1044" t="s">
        <v>152</v>
      </c>
      <c r="D1044" t="s">
        <v>281</v>
      </c>
      <c r="E1044" t="s">
        <v>410</v>
      </c>
      <c r="F1044">
        <f>HYPERLINK("https://www.wikidata.org/wiki/Q33528422", "Q33528422")</f>
        <v>0</v>
      </c>
      <c r="G1044" t="s">
        <v>1226</v>
      </c>
      <c r="H1044" t="s">
        <v>5951</v>
      </c>
      <c r="I1044" t="s">
        <v>9713</v>
      </c>
      <c r="J1044" t="s">
        <v>11958</v>
      </c>
      <c r="K1044" t="s">
        <v>16360</v>
      </c>
      <c r="L1044">
        <f>HYPERLINK("https://www2.assemblee-nationale.fr/sycomore/fiche/(num_dept)/843", "843")</f>
        <v>0</v>
      </c>
      <c r="N1044">
        <f>HYPERLINK("https://www.wikidata.org/wiki/Q2833471", "Q2833471")</f>
        <v>0</v>
      </c>
      <c r="O1044" t="s">
        <v>20047</v>
      </c>
      <c r="P1044" t="s">
        <v>20404</v>
      </c>
      <c r="Q1044" t="s">
        <v>20560</v>
      </c>
      <c r="R1044" t="s">
        <v>410</v>
      </c>
      <c r="S1044">
        <v>2037</v>
      </c>
    </row>
    <row r="1045" spans="1:19">
      <c r="A1045" t="s">
        <v>20</v>
      </c>
      <c r="B1045" t="s">
        <v>148</v>
      </c>
      <c r="C1045" t="s">
        <v>152</v>
      </c>
      <c r="D1045" t="s">
        <v>281</v>
      </c>
      <c r="E1045" t="s">
        <v>410</v>
      </c>
      <c r="F1045">
        <f>HYPERLINK("https://www.wikidata.org/wiki/Q33528422", "Q33528422")</f>
        <v>0</v>
      </c>
      <c r="G1045" t="s">
        <v>1227</v>
      </c>
      <c r="H1045" t="s">
        <v>5952</v>
      </c>
      <c r="I1045" t="s">
        <v>7642</v>
      </c>
      <c r="J1045" t="s">
        <v>11959</v>
      </c>
      <c r="K1045" t="s">
        <v>16361</v>
      </c>
      <c r="L1045">
        <f>HYPERLINK("https://www2.assemblee-nationale.fr/sycomore/fiche/(num_dept)/916", "916")</f>
        <v>0</v>
      </c>
      <c r="N1045">
        <f>HYPERLINK("https://www.wikidata.org/wiki/Q3300454", "Q3300454")</f>
        <v>0</v>
      </c>
      <c r="O1045" t="s">
        <v>19969</v>
      </c>
      <c r="P1045" t="s">
        <v>20413</v>
      </c>
      <c r="Q1045" t="s">
        <v>20560</v>
      </c>
      <c r="R1045" t="s">
        <v>410</v>
      </c>
      <c r="S1045">
        <v>2037</v>
      </c>
    </row>
    <row r="1046" spans="1:19">
      <c r="A1046" t="s">
        <v>20</v>
      </c>
      <c r="B1046" t="s">
        <v>148</v>
      </c>
      <c r="C1046" t="s">
        <v>152</v>
      </c>
      <c r="D1046" t="s">
        <v>281</v>
      </c>
      <c r="E1046" t="s">
        <v>410</v>
      </c>
      <c r="F1046">
        <f>HYPERLINK("https://www.wikidata.org/wiki/Q33528422", "Q33528422")</f>
        <v>0</v>
      </c>
      <c r="G1046" t="s">
        <v>1228</v>
      </c>
      <c r="H1046" t="s">
        <v>5953</v>
      </c>
      <c r="I1046" t="s">
        <v>9714</v>
      </c>
      <c r="J1046" t="s">
        <v>11960</v>
      </c>
      <c r="K1046" t="s">
        <v>16362</v>
      </c>
      <c r="L1046">
        <f>HYPERLINK("https://www2.assemblee-nationale.fr/sycomore/fiche/(num_dept)/923", "923")</f>
        <v>0</v>
      </c>
      <c r="N1046">
        <f>HYPERLINK("https://www.wikidata.org/wiki/Q15973785", "Q15973785")</f>
        <v>0</v>
      </c>
      <c r="O1046" t="s">
        <v>19969</v>
      </c>
      <c r="P1046" t="s">
        <v>20404</v>
      </c>
      <c r="Q1046" t="s">
        <v>20560</v>
      </c>
      <c r="R1046" t="s">
        <v>410</v>
      </c>
      <c r="S1046">
        <v>2037</v>
      </c>
    </row>
    <row r="1047" spans="1:19">
      <c r="A1047" t="s">
        <v>20</v>
      </c>
      <c r="B1047" t="s">
        <v>148</v>
      </c>
      <c r="C1047" t="s">
        <v>152</v>
      </c>
      <c r="D1047" t="s">
        <v>281</v>
      </c>
      <c r="E1047" t="s">
        <v>410</v>
      </c>
      <c r="F1047">
        <f>HYPERLINK("https://www.wikidata.org/wiki/Q33528422", "Q33528422")</f>
        <v>0</v>
      </c>
      <c r="G1047" t="s">
        <v>877</v>
      </c>
      <c r="H1047" t="s">
        <v>5633</v>
      </c>
      <c r="I1047" t="s">
        <v>9483</v>
      </c>
      <c r="J1047" t="s">
        <v>11623</v>
      </c>
      <c r="K1047" t="s">
        <v>343</v>
      </c>
      <c r="L1047">
        <f>HYPERLINK("https://www2.assemblee-nationale.fr/sycomore/fiche/(num_dept)/956", "956")</f>
        <v>0</v>
      </c>
      <c r="M1047">
        <f>HYPERLINK("https://www.senat.fr/senateur-3eme-republique/bonniard_victor0085r3.html", "bonniard_victor0085r3")</f>
        <v>0</v>
      </c>
      <c r="N1047">
        <f>HYPERLINK("https://www.wikidata.org/wiki/Q3557172", "Q3557172")</f>
        <v>0</v>
      </c>
      <c r="O1047" t="s">
        <v>19981</v>
      </c>
      <c r="P1047" t="s">
        <v>20412</v>
      </c>
      <c r="Q1047" t="s">
        <v>20560</v>
      </c>
      <c r="R1047" t="s">
        <v>410</v>
      </c>
      <c r="S1047">
        <v>2037</v>
      </c>
    </row>
    <row r="1048" spans="1:19">
      <c r="A1048" t="s">
        <v>20</v>
      </c>
      <c r="B1048" t="s">
        <v>148</v>
      </c>
      <c r="C1048" t="s">
        <v>152</v>
      </c>
      <c r="D1048" t="s">
        <v>281</v>
      </c>
      <c r="E1048" t="s">
        <v>410</v>
      </c>
      <c r="F1048">
        <f>HYPERLINK("https://www.wikidata.org/wiki/Q33528422", "Q33528422")</f>
        <v>0</v>
      </c>
      <c r="G1048" t="s">
        <v>878</v>
      </c>
      <c r="H1048" t="s">
        <v>5634</v>
      </c>
      <c r="I1048" t="s">
        <v>9483</v>
      </c>
      <c r="J1048" t="s">
        <v>11624</v>
      </c>
      <c r="K1048" t="s">
        <v>16025</v>
      </c>
      <c r="L1048">
        <f>HYPERLINK("https://www2.assemblee-nationale.fr/sycomore/fiche/(num_dept)/976", "976")</f>
        <v>0</v>
      </c>
      <c r="M1048">
        <f>HYPERLINK("https://www.senat.fr/senateur-3eme-republique/boret_victor1774r3.html", "boret_victor1774r3")</f>
        <v>0</v>
      </c>
      <c r="N1048">
        <f>HYPERLINK("https://www.wikidata.org/wiki/Q3557173", "Q3557173")</f>
        <v>0</v>
      </c>
      <c r="O1048" t="s">
        <v>19982</v>
      </c>
      <c r="P1048" t="s">
        <v>20401</v>
      </c>
      <c r="Q1048" t="s">
        <v>20560</v>
      </c>
      <c r="R1048" t="s">
        <v>410</v>
      </c>
      <c r="S1048">
        <v>2037</v>
      </c>
    </row>
    <row r="1049" spans="1:19">
      <c r="A1049" t="s">
        <v>20</v>
      </c>
      <c r="B1049" t="s">
        <v>148</v>
      </c>
      <c r="C1049" t="s">
        <v>152</v>
      </c>
      <c r="D1049" t="s">
        <v>281</v>
      </c>
      <c r="E1049" t="s">
        <v>410</v>
      </c>
      <c r="F1049">
        <f>HYPERLINK("https://www.wikidata.org/wiki/Q33528422", "Q33528422")</f>
        <v>0</v>
      </c>
      <c r="G1049" t="s">
        <v>1104</v>
      </c>
      <c r="H1049" t="s">
        <v>5845</v>
      </c>
      <c r="I1049" t="s">
        <v>9662</v>
      </c>
      <c r="J1049" t="s">
        <v>11839</v>
      </c>
      <c r="K1049" t="s">
        <v>16240</v>
      </c>
      <c r="L1049">
        <f>HYPERLINK("https://www2.assemblee-nationale.fr/sycomore/fiche/(num_dept)/994", "994")</f>
        <v>0</v>
      </c>
      <c r="N1049">
        <f>HYPERLINK("https://www.wikidata.org/wiki/Q15972019", "Q15972019")</f>
        <v>0</v>
      </c>
      <c r="O1049" t="s">
        <v>19959</v>
      </c>
      <c r="P1049" t="s">
        <v>20413</v>
      </c>
      <c r="Q1049" t="s">
        <v>20560</v>
      </c>
      <c r="R1049" t="s">
        <v>410</v>
      </c>
      <c r="S1049">
        <v>2037</v>
      </c>
    </row>
    <row r="1050" spans="1:19">
      <c r="A1050" t="s">
        <v>20</v>
      </c>
      <c r="B1050" t="s">
        <v>148</v>
      </c>
      <c r="C1050" t="s">
        <v>152</v>
      </c>
      <c r="D1050" t="s">
        <v>281</v>
      </c>
      <c r="E1050" t="s">
        <v>410</v>
      </c>
      <c r="F1050">
        <f>HYPERLINK("https://www.wikidata.org/wiki/Q33528422", "Q33528422")</f>
        <v>0</v>
      </c>
      <c r="G1050" t="s">
        <v>1229</v>
      </c>
      <c r="H1050" t="s">
        <v>5954</v>
      </c>
      <c r="I1050" t="s">
        <v>7642</v>
      </c>
      <c r="J1050" t="s">
        <v>11961</v>
      </c>
      <c r="K1050" t="s">
        <v>16363</v>
      </c>
      <c r="L1050">
        <f>HYPERLINK("https://www2.assemblee-nationale.fr/sycomore/fiche/(num_dept)/1041", "1041")</f>
        <v>0</v>
      </c>
      <c r="N1050">
        <f>HYPERLINK("https://www.wikidata.org/wiki/Q3300465", "Q3300465")</f>
        <v>0</v>
      </c>
      <c r="O1050" t="s">
        <v>20011</v>
      </c>
      <c r="P1050" t="s">
        <v>20412</v>
      </c>
      <c r="Q1050" t="s">
        <v>20560</v>
      </c>
      <c r="R1050" t="s">
        <v>410</v>
      </c>
      <c r="S1050">
        <v>2037</v>
      </c>
    </row>
    <row r="1051" spans="1:19">
      <c r="A1051" t="s">
        <v>20</v>
      </c>
      <c r="B1051" t="s">
        <v>148</v>
      </c>
      <c r="C1051" t="s">
        <v>152</v>
      </c>
      <c r="D1051" t="s">
        <v>281</v>
      </c>
      <c r="E1051" t="s">
        <v>410</v>
      </c>
      <c r="F1051">
        <f>HYPERLINK("https://www.wikidata.org/wiki/Q33528422", "Q33528422")</f>
        <v>0</v>
      </c>
      <c r="G1051" t="s">
        <v>1230</v>
      </c>
      <c r="H1051" t="s">
        <v>5955</v>
      </c>
      <c r="I1051" t="s">
        <v>9715</v>
      </c>
      <c r="J1051" t="s">
        <v>11962</v>
      </c>
      <c r="K1051" t="s">
        <v>16364</v>
      </c>
      <c r="L1051">
        <f>HYPERLINK("https://www2.assemblee-nationale.fr/sycomore/fiche/(num_dept)/1048", "1048")</f>
        <v>0</v>
      </c>
      <c r="N1051">
        <f>HYPERLINK("https://www.wikidata.org/wiki/Q15973886", "Q15973886")</f>
        <v>0</v>
      </c>
      <c r="O1051" t="s">
        <v>19968</v>
      </c>
      <c r="P1051" t="s">
        <v>20412</v>
      </c>
      <c r="Q1051" t="s">
        <v>20560</v>
      </c>
      <c r="R1051" t="s">
        <v>410</v>
      </c>
      <c r="S1051">
        <v>2037</v>
      </c>
    </row>
    <row r="1052" spans="1:19">
      <c r="A1052" t="s">
        <v>20</v>
      </c>
      <c r="B1052" t="s">
        <v>148</v>
      </c>
      <c r="C1052" t="s">
        <v>152</v>
      </c>
      <c r="D1052" t="s">
        <v>281</v>
      </c>
      <c r="E1052" t="s">
        <v>410</v>
      </c>
      <c r="F1052">
        <f>HYPERLINK("https://www.wikidata.org/wiki/Q33528422", "Q33528422")</f>
        <v>0</v>
      </c>
      <c r="G1052" t="s">
        <v>888</v>
      </c>
      <c r="H1052" t="s">
        <v>5644</v>
      </c>
      <c r="I1052" t="s">
        <v>9576</v>
      </c>
      <c r="J1052" t="s">
        <v>11634</v>
      </c>
      <c r="K1052" t="s">
        <v>16034</v>
      </c>
      <c r="L1052">
        <f>HYPERLINK("https://www2.assemblee-nationale.fr/sycomore/fiche/(num_dept)/1169", "1169")</f>
        <v>0</v>
      </c>
      <c r="N1052">
        <f>HYPERLINK("https://www.wikidata.org/wiki/Q13085293", "Q13085293")</f>
        <v>0</v>
      </c>
      <c r="O1052" t="s">
        <v>19959</v>
      </c>
      <c r="P1052" t="s">
        <v>20401</v>
      </c>
      <c r="Q1052" t="s">
        <v>20560</v>
      </c>
      <c r="R1052" t="s">
        <v>410</v>
      </c>
      <c r="S1052">
        <v>2037</v>
      </c>
    </row>
    <row r="1053" spans="1:19">
      <c r="A1053" t="s">
        <v>20</v>
      </c>
      <c r="B1053" t="s">
        <v>148</v>
      </c>
      <c r="C1053" t="s">
        <v>152</v>
      </c>
      <c r="D1053" t="s">
        <v>281</v>
      </c>
      <c r="E1053" t="s">
        <v>410</v>
      </c>
      <c r="F1053">
        <f>HYPERLINK("https://www.wikidata.org/wiki/Q33528422", "Q33528422")</f>
        <v>0</v>
      </c>
      <c r="G1053" t="s">
        <v>1231</v>
      </c>
      <c r="H1053" t="s">
        <v>5956</v>
      </c>
      <c r="I1053" t="s">
        <v>9716</v>
      </c>
      <c r="J1053" t="s">
        <v>11963</v>
      </c>
      <c r="K1053" t="s">
        <v>16365</v>
      </c>
      <c r="L1053">
        <f>HYPERLINK("https://www2.assemblee-nationale.fr/sycomore/fiche/(num_dept)/1181", "1181")</f>
        <v>0</v>
      </c>
      <c r="N1053">
        <f>HYPERLINK("https://www.wikidata.org/wiki/Q3102360", "Q3102360")</f>
        <v>0</v>
      </c>
      <c r="O1053" t="s">
        <v>19994</v>
      </c>
      <c r="P1053" t="s">
        <v>20404</v>
      </c>
      <c r="Q1053" t="s">
        <v>20560</v>
      </c>
      <c r="R1053" t="s">
        <v>410</v>
      </c>
      <c r="S1053">
        <v>2037</v>
      </c>
    </row>
    <row r="1054" spans="1:19">
      <c r="A1054" t="s">
        <v>20</v>
      </c>
      <c r="B1054" t="s">
        <v>148</v>
      </c>
      <c r="C1054" t="s">
        <v>152</v>
      </c>
      <c r="D1054" t="s">
        <v>281</v>
      </c>
      <c r="E1054" t="s">
        <v>410</v>
      </c>
      <c r="F1054">
        <f>HYPERLINK("https://www.wikidata.org/wiki/Q33528422", "Q33528422")</f>
        <v>0</v>
      </c>
      <c r="G1054" t="s">
        <v>889</v>
      </c>
      <c r="H1054" t="s">
        <v>5645</v>
      </c>
      <c r="I1054" t="s">
        <v>9407</v>
      </c>
      <c r="J1054" t="s">
        <v>11635</v>
      </c>
      <c r="K1054" t="s">
        <v>16035</v>
      </c>
      <c r="L1054">
        <f>HYPERLINK("https://www2.assemblee-nationale.fr/sycomore/fiche/(num_dept)/1192", "1192")</f>
        <v>0</v>
      </c>
      <c r="M1054">
        <f>HYPERLINK("https://www.senat.fr/senateur-3eme-republique/brenier_joseph1199r3.html", "brenier_joseph1199r3")</f>
        <v>0</v>
      </c>
      <c r="N1054">
        <f>HYPERLINK("https://www.wikidata.org/wiki/Q3184661", "Q3184661")</f>
        <v>0</v>
      </c>
      <c r="O1054" t="s">
        <v>20006</v>
      </c>
      <c r="P1054" t="s">
        <v>20404</v>
      </c>
      <c r="Q1054" t="s">
        <v>20560</v>
      </c>
      <c r="R1054" t="s">
        <v>410</v>
      </c>
      <c r="S1054">
        <v>2037</v>
      </c>
    </row>
    <row r="1055" spans="1:19">
      <c r="A1055" t="s">
        <v>20</v>
      </c>
      <c r="B1055" t="s">
        <v>148</v>
      </c>
      <c r="C1055" t="s">
        <v>152</v>
      </c>
      <c r="D1055" t="s">
        <v>281</v>
      </c>
      <c r="E1055" t="s">
        <v>410</v>
      </c>
      <c r="F1055">
        <f>HYPERLINK("https://www.wikidata.org/wiki/Q33528422", "Q33528422")</f>
        <v>0</v>
      </c>
      <c r="G1055" t="s">
        <v>891</v>
      </c>
      <c r="H1055" t="s">
        <v>5647</v>
      </c>
      <c r="I1055" t="s">
        <v>9500</v>
      </c>
      <c r="J1055" t="s">
        <v>11637</v>
      </c>
      <c r="K1055" t="s">
        <v>16037</v>
      </c>
      <c r="L1055">
        <f>HYPERLINK("https://www2.assemblee-nationale.fr/sycomore/fiche/(num_dept)/1239", "1239")</f>
        <v>0</v>
      </c>
      <c r="N1055">
        <f>HYPERLINK("https://www.wikidata.org/wiki/Q15974005", "Q15974005")</f>
        <v>0</v>
      </c>
      <c r="O1055" t="s">
        <v>19968</v>
      </c>
      <c r="P1055" t="s">
        <v>20404</v>
      </c>
      <c r="Q1055" t="s">
        <v>20560</v>
      </c>
      <c r="R1055" t="s">
        <v>16037</v>
      </c>
      <c r="S1055">
        <v>1050</v>
      </c>
    </row>
    <row r="1056" spans="1:19">
      <c r="A1056" t="s">
        <v>20</v>
      </c>
      <c r="B1056" t="s">
        <v>148</v>
      </c>
      <c r="C1056" t="s">
        <v>152</v>
      </c>
      <c r="D1056" t="s">
        <v>281</v>
      </c>
      <c r="E1056" t="s">
        <v>410</v>
      </c>
      <c r="F1056">
        <f>HYPERLINK("https://www.wikidata.org/wiki/Q33528422", "Q33528422")</f>
        <v>0</v>
      </c>
      <c r="G1056" t="s">
        <v>556</v>
      </c>
      <c r="H1056" t="s">
        <v>5319</v>
      </c>
      <c r="I1056" t="s">
        <v>9413</v>
      </c>
      <c r="J1056" t="s">
        <v>11307</v>
      </c>
      <c r="K1056" t="s">
        <v>15708</v>
      </c>
      <c r="L1056">
        <f>HYPERLINK("https://www2.assemblee-nationale.fr/sycomore/fiche/(num_dept)/1258", "1258")</f>
        <v>0</v>
      </c>
      <c r="N1056">
        <f>HYPERLINK("https://www.wikidata.org/wiki/Q15996056", "Q15996056")</f>
        <v>0</v>
      </c>
      <c r="O1056" t="s">
        <v>20000</v>
      </c>
      <c r="P1056" t="s">
        <v>20413</v>
      </c>
      <c r="Q1056" t="s">
        <v>20560</v>
      </c>
      <c r="R1056" t="s">
        <v>410</v>
      </c>
      <c r="S1056">
        <v>2037</v>
      </c>
    </row>
    <row r="1057" spans="1:19">
      <c r="A1057" t="s">
        <v>20</v>
      </c>
      <c r="B1057" t="s">
        <v>148</v>
      </c>
      <c r="C1057" t="s">
        <v>152</v>
      </c>
      <c r="D1057" t="s">
        <v>281</v>
      </c>
      <c r="E1057" t="s">
        <v>410</v>
      </c>
      <c r="F1057">
        <f>HYPERLINK("https://www.wikidata.org/wiki/Q33528422", "Q33528422")</f>
        <v>0</v>
      </c>
      <c r="G1057" t="s">
        <v>893</v>
      </c>
      <c r="H1057" t="s">
        <v>5649</v>
      </c>
      <c r="I1057" t="s">
        <v>9578</v>
      </c>
      <c r="J1057" t="s">
        <v>11639</v>
      </c>
      <c r="K1057" t="s">
        <v>15822</v>
      </c>
      <c r="L1057">
        <f>HYPERLINK("https://www2.assemblee-nationale.fr/sycomore/fiche/(num_dept)/1275", "1275")</f>
        <v>0</v>
      </c>
      <c r="N1057">
        <f>HYPERLINK("https://www.wikidata.org/wiki/Q15973958", "Q15973958")</f>
        <v>0</v>
      </c>
      <c r="O1057" t="s">
        <v>19966</v>
      </c>
      <c r="P1057" t="s">
        <v>20413</v>
      </c>
      <c r="Q1057" t="s">
        <v>20560</v>
      </c>
      <c r="R1057" t="s">
        <v>410</v>
      </c>
      <c r="S1057">
        <v>2037</v>
      </c>
    </row>
    <row r="1058" spans="1:19">
      <c r="A1058" t="s">
        <v>20</v>
      </c>
      <c r="B1058" t="s">
        <v>148</v>
      </c>
      <c r="C1058" t="s">
        <v>152</v>
      </c>
      <c r="D1058" t="s">
        <v>281</v>
      </c>
      <c r="E1058" t="s">
        <v>410</v>
      </c>
      <c r="F1058">
        <f>HYPERLINK("https://www.wikidata.org/wiki/Q33528422", "Q33528422")</f>
        <v>0</v>
      </c>
      <c r="G1058" t="s">
        <v>1232</v>
      </c>
      <c r="H1058" t="s">
        <v>5957</v>
      </c>
      <c r="I1058" t="s">
        <v>9717</v>
      </c>
      <c r="J1058" t="s">
        <v>11964</v>
      </c>
      <c r="K1058" t="s">
        <v>16366</v>
      </c>
      <c r="L1058">
        <f>HYPERLINK("https://www2.assemblee-nationale.fr/sycomore/fiche/(num_dept)/1304", "1304")</f>
        <v>0</v>
      </c>
      <c r="N1058">
        <f>HYPERLINK("https://www.wikidata.org/wiki/Q3511108", "Q3511108")</f>
        <v>0</v>
      </c>
      <c r="O1058" t="s">
        <v>20006</v>
      </c>
      <c r="P1058" t="s">
        <v>20404</v>
      </c>
      <c r="Q1058" t="s">
        <v>20560</v>
      </c>
      <c r="R1058" t="s">
        <v>410</v>
      </c>
      <c r="S1058">
        <v>2037</v>
      </c>
    </row>
    <row r="1059" spans="1:19">
      <c r="A1059" t="s">
        <v>20</v>
      </c>
      <c r="B1059" t="s">
        <v>148</v>
      </c>
      <c r="C1059" t="s">
        <v>152</v>
      </c>
      <c r="D1059" t="s">
        <v>281</v>
      </c>
      <c r="E1059" t="s">
        <v>410</v>
      </c>
      <c r="F1059">
        <f>HYPERLINK("https://www.wikidata.org/wiki/Q33528422", "Q33528422")</f>
        <v>0</v>
      </c>
      <c r="G1059" t="s">
        <v>1233</v>
      </c>
      <c r="H1059" t="s">
        <v>5958</v>
      </c>
      <c r="I1059" t="s">
        <v>9718</v>
      </c>
      <c r="J1059" t="s">
        <v>11965</v>
      </c>
      <c r="K1059" t="s">
        <v>16367</v>
      </c>
      <c r="L1059">
        <f>HYPERLINK("https://www2.assemblee-nationale.fr/sycomore/fiche/(num_dept)/1330", "1330")</f>
        <v>0</v>
      </c>
      <c r="N1059">
        <f>HYPERLINK("https://www.wikidata.org/wiki/Q3348818", "Q3348818")</f>
        <v>0</v>
      </c>
      <c r="O1059" t="s">
        <v>19989</v>
      </c>
      <c r="P1059" t="s">
        <v>20401</v>
      </c>
      <c r="Q1059" t="s">
        <v>20560</v>
      </c>
      <c r="R1059" t="s">
        <v>410</v>
      </c>
      <c r="S1059">
        <v>2037</v>
      </c>
    </row>
    <row r="1060" spans="1:19">
      <c r="A1060" t="s">
        <v>20</v>
      </c>
      <c r="B1060" t="s">
        <v>148</v>
      </c>
      <c r="C1060" t="s">
        <v>152</v>
      </c>
      <c r="D1060" t="s">
        <v>281</v>
      </c>
      <c r="E1060" t="s">
        <v>410</v>
      </c>
      <c r="F1060">
        <f>HYPERLINK("https://www.wikidata.org/wiki/Q33528422", "Q33528422")</f>
        <v>0</v>
      </c>
      <c r="G1060" t="s">
        <v>1234</v>
      </c>
      <c r="H1060" t="s">
        <v>5959</v>
      </c>
      <c r="I1060" t="s">
        <v>9719</v>
      </c>
      <c r="J1060" t="s">
        <v>11489</v>
      </c>
      <c r="K1060" t="s">
        <v>16368</v>
      </c>
      <c r="L1060">
        <f>HYPERLINK("https://www2.assemblee-nationale.fr/sycomore/fiche/(num_dept)/1346", "1346")</f>
        <v>0</v>
      </c>
      <c r="M1060">
        <f>HYPERLINK("https://www.senat.fr/senateur-3eme-republique/cachin_marcel1405r3.html", "cachin_marcel1405r3")</f>
        <v>0</v>
      </c>
      <c r="N1060">
        <f>HYPERLINK("https://www.wikidata.org/wiki/Q658479", "Q658479")</f>
        <v>0</v>
      </c>
      <c r="O1060" t="s">
        <v>19969</v>
      </c>
      <c r="P1060" t="s">
        <v>20404</v>
      </c>
      <c r="Q1060" t="s">
        <v>20560</v>
      </c>
      <c r="R1060" t="s">
        <v>410</v>
      </c>
      <c r="S1060">
        <v>2037</v>
      </c>
    </row>
    <row r="1061" spans="1:19">
      <c r="A1061" t="s">
        <v>20</v>
      </c>
      <c r="B1061" t="s">
        <v>148</v>
      </c>
      <c r="C1061" t="s">
        <v>152</v>
      </c>
      <c r="D1061" t="s">
        <v>281</v>
      </c>
      <c r="E1061" t="s">
        <v>410</v>
      </c>
      <c r="F1061">
        <f>HYPERLINK("https://www.wikidata.org/wiki/Q33528422", "Q33528422")</f>
        <v>0</v>
      </c>
      <c r="G1061" t="s">
        <v>559</v>
      </c>
      <c r="H1061" t="s">
        <v>5322</v>
      </c>
      <c r="I1061" t="s">
        <v>5948</v>
      </c>
      <c r="J1061" t="s">
        <v>11310</v>
      </c>
      <c r="K1061" t="s">
        <v>15711</v>
      </c>
      <c r="L1061">
        <f>HYPERLINK("https://www2.assemblee-nationale.fr/sycomore/fiche/(num_dept)/1347", "1347")</f>
        <v>0</v>
      </c>
      <c r="N1061">
        <f>HYPERLINK("https://www.wikidata.org/wiki/Q822341", "Q822341")</f>
        <v>0</v>
      </c>
      <c r="O1061" t="s">
        <v>19990</v>
      </c>
      <c r="P1061" t="s">
        <v>20404</v>
      </c>
      <c r="Q1061" t="s">
        <v>20560</v>
      </c>
      <c r="R1061" t="s">
        <v>410</v>
      </c>
      <c r="S1061">
        <v>2037</v>
      </c>
    </row>
    <row r="1062" spans="1:19">
      <c r="A1062" t="s">
        <v>20</v>
      </c>
      <c r="B1062" t="s">
        <v>148</v>
      </c>
      <c r="C1062" t="s">
        <v>152</v>
      </c>
      <c r="D1062" t="s">
        <v>281</v>
      </c>
      <c r="E1062" t="s">
        <v>410</v>
      </c>
      <c r="F1062">
        <f>HYPERLINK("https://www.wikidata.org/wiki/Q33528422", "Q33528422")</f>
        <v>0</v>
      </c>
      <c r="G1062" t="s">
        <v>561</v>
      </c>
      <c r="H1062" t="s">
        <v>5324</v>
      </c>
      <c r="I1062" t="s">
        <v>9416</v>
      </c>
      <c r="J1062" t="s">
        <v>11312</v>
      </c>
      <c r="K1062" t="s">
        <v>15713</v>
      </c>
      <c r="L1062">
        <f>HYPERLINK("https://www2.assemblee-nationale.fr/sycomore/fiche/(num_dept)/1408", "1408")</f>
        <v>0</v>
      </c>
      <c r="N1062">
        <f>HYPERLINK("https://www.wikidata.org/wiki/Q15974169", "Q15974169")</f>
        <v>0</v>
      </c>
      <c r="O1062" t="s">
        <v>20002</v>
      </c>
      <c r="P1062" t="s">
        <v>20406</v>
      </c>
      <c r="Q1062" t="s">
        <v>20560</v>
      </c>
      <c r="R1062" t="s">
        <v>410</v>
      </c>
      <c r="S1062">
        <v>2037</v>
      </c>
    </row>
    <row r="1063" spans="1:19">
      <c r="A1063" t="s">
        <v>20</v>
      </c>
      <c r="B1063" t="s">
        <v>148</v>
      </c>
      <c r="C1063" t="s">
        <v>152</v>
      </c>
      <c r="D1063" t="s">
        <v>281</v>
      </c>
      <c r="E1063" t="s">
        <v>410</v>
      </c>
      <c r="F1063">
        <f>HYPERLINK("https://www.wikidata.org/wiki/Q33528422", "Q33528422")</f>
        <v>0</v>
      </c>
      <c r="G1063" t="s">
        <v>1235</v>
      </c>
      <c r="H1063" t="s">
        <v>5960</v>
      </c>
      <c r="I1063" t="s">
        <v>9720</v>
      </c>
      <c r="J1063" t="s">
        <v>11966</v>
      </c>
      <c r="K1063" t="s">
        <v>16369</v>
      </c>
      <c r="L1063">
        <f>HYPERLINK("https://www2.assemblee-nationale.fr/sycomore/fiche/(num_dept)/1465", "1465")</f>
        <v>0</v>
      </c>
      <c r="M1063">
        <f>HYPERLINK("https://www.senat.fr/senateur-3eme-republique/carre_bonvalet_rene0423r3.html", "carre_bonvalet_rene0423r3")</f>
        <v>0</v>
      </c>
      <c r="N1063">
        <f>HYPERLINK("https://www.wikidata.org/wiki/Q3425970", "Q3425970")</f>
        <v>0</v>
      </c>
      <c r="O1063" t="s">
        <v>20037</v>
      </c>
      <c r="P1063" t="s">
        <v>20415</v>
      </c>
      <c r="Q1063" t="s">
        <v>20560</v>
      </c>
      <c r="R1063" t="s">
        <v>410</v>
      </c>
      <c r="S1063">
        <v>2037</v>
      </c>
    </row>
    <row r="1064" spans="1:19">
      <c r="A1064" t="s">
        <v>20</v>
      </c>
      <c r="B1064" t="s">
        <v>148</v>
      </c>
      <c r="C1064" t="s">
        <v>152</v>
      </c>
      <c r="D1064" t="s">
        <v>281</v>
      </c>
      <c r="E1064" t="s">
        <v>410</v>
      </c>
      <c r="F1064">
        <f>HYPERLINK("https://www.wikidata.org/wiki/Q33528422", "Q33528422")</f>
        <v>0</v>
      </c>
      <c r="G1064" t="s">
        <v>1236</v>
      </c>
      <c r="H1064" t="s">
        <v>5961</v>
      </c>
      <c r="I1064" t="s">
        <v>9721</v>
      </c>
      <c r="J1064" t="s">
        <v>11967</v>
      </c>
      <c r="K1064" t="s">
        <v>16370</v>
      </c>
      <c r="L1064">
        <f>HYPERLINK("https://www2.assemblee-nationale.fr/sycomore/fiche/(num_dept)/1507", "1507")</f>
        <v>0</v>
      </c>
      <c r="N1064">
        <f>HYPERLINK("https://www.wikidata.org/wiki/Q15974417", "Q15974417")</f>
        <v>0</v>
      </c>
      <c r="O1064" t="s">
        <v>19967</v>
      </c>
      <c r="P1064" t="s">
        <v>20409</v>
      </c>
      <c r="Q1064" t="s">
        <v>20560</v>
      </c>
      <c r="R1064" t="s">
        <v>410</v>
      </c>
      <c r="S1064">
        <v>2037</v>
      </c>
    </row>
    <row r="1065" spans="1:19">
      <c r="A1065" t="s">
        <v>20</v>
      </c>
      <c r="B1065" t="s">
        <v>148</v>
      </c>
      <c r="C1065" t="s">
        <v>152</v>
      </c>
      <c r="D1065" t="s">
        <v>281</v>
      </c>
      <c r="E1065" t="s">
        <v>410</v>
      </c>
      <c r="F1065">
        <f>HYPERLINK("https://www.wikidata.org/wiki/Q33528422", "Q33528422")</f>
        <v>0</v>
      </c>
      <c r="G1065" t="s">
        <v>1237</v>
      </c>
      <c r="H1065" t="s">
        <v>5962</v>
      </c>
      <c r="I1065" t="s">
        <v>5592</v>
      </c>
      <c r="J1065" t="s">
        <v>11968</v>
      </c>
      <c r="K1065" t="s">
        <v>16371</v>
      </c>
      <c r="L1065">
        <f>HYPERLINK("https://www2.assemblee-nationale.fr/sycomore/fiche/(num_dept)/1552", "1552")</f>
        <v>0</v>
      </c>
      <c r="N1065">
        <f>HYPERLINK("https://www.wikidata.org/wiki/Q12949337", "Q12949337")</f>
        <v>0</v>
      </c>
      <c r="O1065" t="s">
        <v>20016</v>
      </c>
      <c r="P1065" t="s">
        <v>20413</v>
      </c>
      <c r="Q1065" t="s">
        <v>20560</v>
      </c>
      <c r="R1065" t="s">
        <v>410</v>
      </c>
      <c r="S1065">
        <v>2037</v>
      </c>
    </row>
    <row r="1066" spans="1:19">
      <c r="A1066" t="s">
        <v>20</v>
      </c>
      <c r="B1066" t="s">
        <v>148</v>
      </c>
      <c r="C1066" t="s">
        <v>152</v>
      </c>
      <c r="D1066" t="s">
        <v>281</v>
      </c>
      <c r="E1066" t="s">
        <v>410</v>
      </c>
      <c r="F1066">
        <f>HYPERLINK("https://www.wikidata.org/wiki/Q33528422", "Q33528422")</f>
        <v>0</v>
      </c>
      <c r="G1066" t="s">
        <v>1238</v>
      </c>
      <c r="H1066" t="s">
        <v>5963</v>
      </c>
      <c r="I1066" t="s">
        <v>9722</v>
      </c>
      <c r="J1066" t="s">
        <v>11969</v>
      </c>
      <c r="K1066" t="s">
        <v>16372</v>
      </c>
      <c r="L1066">
        <f>HYPERLINK("https://www2.assemblee-nationale.fr/sycomore/fiche/(num_dept)/1630", "1630")</f>
        <v>0</v>
      </c>
      <c r="N1066">
        <f>HYPERLINK("https://www.wikidata.org/wiki/Q15974270", "Q15974270")</f>
        <v>0</v>
      </c>
      <c r="O1066" t="s">
        <v>19991</v>
      </c>
      <c r="P1066" t="s">
        <v>20413</v>
      </c>
      <c r="Q1066" t="s">
        <v>20560</v>
      </c>
      <c r="R1066" t="s">
        <v>410</v>
      </c>
      <c r="S1066">
        <v>2037</v>
      </c>
    </row>
    <row r="1067" spans="1:19">
      <c r="A1067" t="s">
        <v>20</v>
      </c>
      <c r="B1067" t="s">
        <v>148</v>
      </c>
      <c r="C1067" t="s">
        <v>152</v>
      </c>
      <c r="D1067" t="s">
        <v>281</v>
      </c>
      <c r="E1067" t="s">
        <v>410</v>
      </c>
      <c r="F1067">
        <f>HYPERLINK("https://www.wikidata.org/wiki/Q33528422", "Q33528422")</f>
        <v>0</v>
      </c>
      <c r="G1067" t="s">
        <v>904</v>
      </c>
      <c r="H1067" t="s">
        <v>5660</v>
      </c>
      <c r="I1067" t="s">
        <v>9583</v>
      </c>
      <c r="J1067" t="s">
        <v>11649</v>
      </c>
      <c r="K1067" t="s">
        <v>16048</v>
      </c>
      <c r="L1067">
        <f>HYPERLINK("https://www2.assemblee-nationale.fr/sycomore/fiche/(num_dept)/1634", "1634")</f>
        <v>0</v>
      </c>
      <c r="M1067">
        <f>HYPERLINK("https://www.senat.fr/senateur-3eme-republique/chanal_jean0017r3.html", "chanal_jean0017r3")</f>
        <v>0</v>
      </c>
      <c r="N1067">
        <f>HYPERLINK("https://www.wikidata.org/wiki/Q3059763", "Q3059763")</f>
        <v>0</v>
      </c>
      <c r="O1067" t="s">
        <v>19986</v>
      </c>
      <c r="P1067" t="s">
        <v>20413</v>
      </c>
      <c r="Q1067" t="s">
        <v>20560</v>
      </c>
      <c r="R1067" t="s">
        <v>410</v>
      </c>
      <c r="S1067">
        <v>2037</v>
      </c>
    </row>
    <row r="1068" spans="1:19">
      <c r="A1068" t="s">
        <v>20</v>
      </c>
      <c r="B1068" t="s">
        <v>148</v>
      </c>
      <c r="C1068" t="s">
        <v>152</v>
      </c>
      <c r="D1068" t="s">
        <v>281</v>
      </c>
      <c r="E1068" t="s">
        <v>410</v>
      </c>
      <c r="F1068">
        <f>HYPERLINK("https://www.wikidata.org/wiki/Q33528422", "Q33528422")</f>
        <v>0</v>
      </c>
      <c r="G1068" t="s">
        <v>1239</v>
      </c>
      <c r="H1068" t="s">
        <v>5964</v>
      </c>
      <c r="I1068" t="s">
        <v>9723</v>
      </c>
      <c r="J1068" t="s">
        <v>11970</v>
      </c>
      <c r="K1068" t="s">
        <v>16373</v>
      </c>
      <c r="L1068">
        <f>HYPERLINK("https://www2.assemblee-nationale.fr/sycomore/fiche/(num_dept)/1678", "1678")</f>
        <v>0</v>
      </c>
      <c r="M1068">
        <f>HYPERLINK("https://www.senat.fr/senateur-3eme-republique/charpentier_leon0163r3.html", "charpentier_leon0163r3")</f>
        <v>0</v>
      </c>
      <c r="N1068">
        <f>HYPERLINK("https://www.wikidata.org/wiki/Q3270817", "Q3270817")</f>
        <v>0</v>
      </c>
      <c r="O1068" t="s">
        <v>19959</v>
      </c>
      <c r="P1068" t="s">
        <v>20401</v>
      </c>
      <c r="Q1068" t="s">
        <v>20560</v>
      </c>
      <c r="R1068" t="s">
        <v>410</v>
      </c>
      <c r="S1068">
        <v>2037</v>
      </c>
    </row>
    <row r="1069" spans="1:19">
      <c r="A1069" t="s">
        <v>20</v>
      </c>
      <c r="B1069" t="s">
        <v>148</v>
      </c>
      <c r="C1069" t="s">
        <v>152</v>
      </c>
      <c r="D1069" t="s">
        <v>281</v>
      </c>
      <c r="E1069" t="s">
        <v>410</v>
      </c>
      <c r="F1069">
        <f>HYPERLINK("https://www.wikidata.org/wiki/Q33528422", "Q33528422")</f>
        <v>0</v>
      </c>
      <c r="G1069" t="s">
        <v>574</v>
      </c>
      <c r="H1069" t="s">
        <v>5337</v>
      </c>
      <c r="I1069" t="s">
        <v>9426</v>
      </c>
      <c r="J1069" t="s">
        <v>11325</v>
      </c>
      <c r="K1069" t="s">
        <v>15726</v>
      </c>
      <c r="L1069">
        <f>HYPERLINK("https://www2.assemblee-nationale.fr/sycomore/fiche/(num_dept)/1725", "1725")</f>
        <v>0</v>
      </c>
      <c r="M1069">
        <f>HYPERLINK("https://www.senat.fr/senateur-3eme-republique/chautemps_alphonse0309r3.html", "chautemps_alphonse0309r3")</f>
        <v>0</v>
      </c>
      <c r="N1069">
        <f>HYPERLINK("https://www.wikidata.org/wiki/Q2839734", "Q2839734")</f>
        <v>0</v>
      </c>
      <c r="O1069" t="s">
        <v>20008</v>
      </c>
      <c r="P1069" t="s">
        <v>20413</v>
      </c>
      <c r="Q1069" t="s">
        <v>20560</v>
      </c>
      <c r="R1069" t="s">
        <v>410</v>
      </c>
      <c r="S1069">
        <v>2037</v>
      </c>
    </row>
    <row r="1070" spans="1:19">
      <c r="A1070" t="s">
        <v>20</v>
      </c>
      <c r="B1070" t="s">
        <v>148</v>
      </c>
      <c r="C1070" t="s">
        <v>152</v>
      </c>
      <c r="D1070" t="s">
        <v>281</v>
      </c>
      <c r="E1070" t="s">
        <v>410</v>
      </c>
      <c r="F1070">
        <f>HYPERLINK("https://www.wikidata.org/wiki/Q33528422", "Q33528422")</f>
        <v>0</v>
      </c>
      <c r="G1070" t="s">
        <v>578</v>
      </c>
      <c r="H1070" t="s">
        <v>5340</v>
      </c>
      <c r="I1070" t="s">
        <v>9429</v>
      </c>
      <c r="J1070" t="s">
        <v>11329</v>
      </c>
      <c r="K1070" t="s">
        <v>15730</v>
      </c>
      <c r="L1070">
        <f>HYPERLINK("https://www2.assemblee-nationale.fr/sycomore/fiche/(num_dept)/1831", "1831")</f>
        <v>0</v>
      </c>
      <c r="N1070">
        <f>HYPERLINK("https://www.wikidata.org/wiki/Q16025454", "Q16025454")</f>
        <v>0</v>
      </c>
      <c r="O1070" t="s">
        <v>20010</v>
      </c>
      <c r="P1070" t="s">
        <v>20412</v>
      </c>
      <c r="Q1070" t="s">
        <v>20560</v>
      </c>
      <c r="R1070" t="s">
        <v>410</v>
      </c>
      <c r="S1070">
        <v>2037</v>
      </c>
    </row>
    <row r="1071" spans="1:19">
      <c r="A1071" t="s">
        <v>20</v>
      </c>
      <c r="B1071" t="s">
        <v>148</v>
      </c>
      <c r="C1071" t="s">
        <v>152</v>
      </c>
      <c r="D1071" t="s">
        <v>281</v>
      </c>
      <c r="E1071" t="s">
        <v>410</v>
      </c>
      <c r="F1071">
        <f>HYPERLINK("https://www.wikidata.org/wiki/Q33528422", "Q33528422")</f>
        <v>0</v>
      </c>
      <c r="G1071" t="s">
        <v>913</v>
      </c>
      <c r="H1071" t="s">
        <v>5669</v>
      </c>
      <c r="I1071" t="s">
        <v>6860</v>
      </c>
      <c r="J1071" t="s">
        <v>11657</v>
      </c>
      <c r="K1071" t="s">
        <v>16056</v>
      </c>
      <c r="L1071">
        <f>HYPERLINK("https://www2.assemblee-nationale.fr/sycomore/fiche/(num_dept)/1906", "1906")</f>
        <v>0</v>
      </c>
      <c r="N1071">
        <f>HYPERLINK("https://www.wikidata.org/wiki/Q3384481", "Q3384481")</f>
        <v>0</v>
      </c>
      <c r="O1071" t="s">
        <v>19965</v>
      </c>
      <c r="P1071" t="s">
        <v>20406</v>
      </c>
      <c r="Q1071" t="s">
        <v>20560</v>
      </c>
      <c r="R1071" t="s">
        <v>410</v>
      </c>
      <c r="S1071">
        <v>2037</v>
      </c>
    </row>
    <row r="1072" spans="1:19">
      <c r="A1072" t="s">
        <v>20</v>
      </c>
      <c r="B1072" t="s">
        <v>148</v>
      </c>
      <c r="C1072" t="s">
        <v>152</v>
      </c>
      <c r="D1072" t="s">
        <v>281</v>
      </c>
      <c r="E1072" t="s">
        <v>410</v>
      </c>
      <c r="F1072">
        <f>HYPERLINK("https://www.wikidata.org/wiki/Q33528422", "Q33528422")</f>
        <v>0</v>
      </c>
      <c r="G1072" t="s">
        <v>586</v>
      </c>
      <c r="H1072" t="s">
        <v>5347</v>
      </c>
      <c r="I1072" t="s">
        <v>9435</v>
      </c>
      <c r="J1072" t="s">
        <v>11337</v>
      </c>
      <c r="K1072" t="s">
        <v>15738</v>
      </c>
      <c r="L1072">
        <f>HYPERLINK("https://www2.assemblee-nationale.fr/sycomore/fiche/(num_dept)/1926", "1926")</f>
        <v>0</v>
      </c>
      <c r="N1072">
        <f>HYPERLINK("https://www.wikidata.org/wiki/Q16025476", "Q16025476")</f>
        <v>0</v>
      </c>
      <c r="O1072" t="s">
        <v>19987</v>
      </c>
      <c r="P1072" t="s">
        <v>20401</v>
      </c>
      <c r="Q1072" t="s">
        <v>20560</v>
      </c>
      <c r="R1072" t="s">
        <v>410</v>
      </c>
      <c r="S1072">
        <v>2037</v>
      </c>
    </row>
    <row r="1073" spans="1:19">
      <c r="A1073" t="s">
        <v>20</v>
      </c>
      <c r="B1073" t="s">
        <v>148</v>
      </c>
      <c r="C1073" t="s">
        <v>152</v>
      </c>
      <c r="D1073" t="s">
        <v>281</v>
      </c>
      <c r="E1073" t="s">
        <v>410</v>
      </c>
      <c r="F1073">
        <f>HYPERLINK("https://www.wikidata.org/wiki/Q33528422", "Q33528422")</f>
        <v>0</v>
      </c>
      <c r="G1073" t="s">
        <v>1240</v>
      </c>
      <c r="H1073" t="s">
        <v>5965</v>
      </c>
      <c r="I1073" t="s">
        <v>9457</v>
      </c>
      <c r="J1073" t="s">
        <v>11971</v>
      </c>
      <c r="K1073" t="s">
        <v>16374</v>
      </c>
      <c r="L1073">
        <f>HYPERLINK("https://www2.assemblee-nationale.fr/sycomore/fiche/(num_dept)/1939", "1939")</f>
        <v>0</v>
      </c>
      <c r="M1073">
        <f>HYPERLINK("https://www.senat.fr/senateur-3eme-republique/connevot_henri0649r3.html", "connevot_henri0649r3")</f>
        <v>0</v>
      </c>
      <c r="N1073">
        <f>HYPERLINK("https://www.wikidata.org/wiki/Q3130867", "Q3130867")</f>
        <v>0</v>
      </c>
      <c r="O1073" t="s">
        <v>19979</v>
      </c>
      <c r="P1073" t="s">
        <v>20413</v>
      </c>
      <c r="Q1073" t="s">
        <v>20560</v>
      </c>
      <c r="R1073" t="s">
        <v>410</v>
      </c>
      <c r="S1073">
        <v>2037</v>
      </c>
    </row>
    <row r="1074" spans="1:19">
      <c r="A1074" t="s">
        <v>20</v>
      </c>
      <c r="B1074" t="s">
        <v>148</v>
      </c>
      <c r="C1074" t="s">
        <v>152</v>
      </c>
      <c r="D1074" t="s">
        <v>281</v>
      </c>
      <c r="E1074" t="s">
        <v>410</v>
      </c>
      <c r="F1074">
        <f>HYPERLINK("https://www.wikidata.org/wiki/Q33528422", "Q33528422")</f>
        <v>0</v>
      </c>
      <c r="G1074" t="s">
        <v>1130</v>
      </c>
      <c r="H1074" t="s">
        <v>5867</v>
      </c>
      <c r="I1074" t="s">
        <v>9445</v>
      </c>
      <c r="J1074" t="s">
        <v>11864</v>
      </c>
      <c r="K1074" t="s">
        <v>16266</v>
      </c>
      <c r="L1074">
        <f>HYPERLINK("https://www2.assemblee-nationale.fr/sycomore/fiche/(num_dept)/1941", "1941")</f>
        <v>0</v>
      </c>
      <c r="N1074">
        <f>HYPERLINK("https://www.wikidata.org/wiki/Q16025480", "Q16025480")</f>
        <v>0</v>
      </c>
      <c r="O1074" t="s">
        <v>20045</v>
      </c>
      <c r="P1074" t="s">
        <v>20410</v>
      </c>
      <c r="Q1074" t="s">
        <v>20560</v>
      </c>
      <c r="R1074" t="s">
        <v>410</v>
      </c>
      <c r="S1074">
        <v>2037</v>
      </c>
    </row>
    <row r="1075" spans="1:19">
      <c r="A1075" t="s">
        <v>20</v>
      </c>
      <c r="B1075" t="s">
        <v>148</v>
      </c>
      <c r="C1075" t="s">
        <v>152</v>
      </c>
      <c r="D1075" t="s">
        <v>281</v>
      </c>
      <c r="E1075" t="s">
        <v>410</v>
      </c>
      <c r="F1075">
        <f>HYPERLINK("https://www.wikidata.org/wiki/Q33528422", "Q33528422")</f>
        <v>0</v>
      </c>
      <c r="G1075" t="s">
        <v>588</v>
      </c>
      <c r="H1075" t="s">
        <v>5349</v>
      </c>
      <c r="I1075" t="s">
        <v>9437</v>
      </c>
      <c r="J1075" t="s">
        <v>11339</v>
      </c>
      <c r="K1075" t="s">
        <v>15740</v>
      </c>
      <c r="L1075">
        <f>HYPERLINK("https://www2.assemblee-nationale.fr/sycomore/fiche/(num_dept)/1947", "1947")</f>
        <v>0</v>
      </c>
      <c r="N1075">
        <f>HYPERLINK("https://www.wikidata.org/wiki/Q3588426", "Q3588426")</f>
        <v>0</v>
      </c>
      <c r="O1075" t="s">
        <v>19987</v>
      </c>
      <c r="P1075" t="s">
        <v>20401</v>
      </c>
      <c r="Q1075" t="s">
        <v>20560</v>
      </c>
      <c r="R1075" t="s">
        <v>410</v>
      </c>
      <c r="S1075">
        <v>2037</v>
      </c>
    </row>
    <row r="1076" spans="1:19">
      <c r="A1076" t="s">
        <v>20</v>
      </c>
      <c r="B1076" t="s">
        <v>148</v>
      </c>
      <c r="C1076" t="s">
        <v>152</v>
      </c>
      <c r="D1076" t="s">
        <v>281</v>
      </c>
      <c r="E1076" t="s">
        <v>410</v>
      </c>
      <c r="F1076">
        <f>HYPERLINK("https://www.wikidata.org/wiki/Q33528422", "Q33528422")</f>
        <v>0</v>
      </c>
      <c r="G1076" t="s">
        <v>1144</v>
      </c>
      <c r="H1076" t="s">
        <v>5879</v>
      </c>
      <c r="I1076" t="s">
        <v>9676</v>
      </c>
      <c r="J1076" t="s">
        <v>11878</v>
      </c>
      <c r="K1076" t="s">
        <v>16280</v>
      </c>
      <c r="L1076">
        <f>HYPERLINK("https://www2.assemblee-nationale.fr/sycomore/fiche/(num_dept)/2045", "2045")</f>
        <v>0</v>
      </c>
      <c r="N1076">
        <f>HYPERLINK("https://www.wikidata.org/wiki/Q16025497", "Q16025497")</f>
        <v>0</v>
      </c>
      <c r="O1076" t="s">
        <v>19969</v>
      </c>
      <c r="P1076" t="s">
        <v>20406</v>
      </c>
      <c r="Q1076" t="s">
        <v>20560</v>
      </c>
      <c r="R1076" t="s">
        <v>410</v>
      </c>
      <c r="S1076">
        <v>2037</v>
      </c>
    </row>
    <row r="1077" spans="1:19">
      <c r="A1077" t="s">
        <v>20</v>
      </c>
      <c r="B1077" t="s">
        <v>148</v>
      </c>
      <c r="C1077" t="s">
        <v>152</v>
      </c>
      <c r="D1077" t="s">
        <v>281</v>
      </c>
      <c r="E1077" t="s">
        <v>410</v>
      </c>
      <c r="F1077">
        <f>HYPERLINK("https://www.wikidata.org/wiki/Q33528422", "Q33528422")</f>
        <v>0</v>
      </c>
      <c r="G1077" t="s">
        <v>917</v>
      </c>
      <c r="H1077" t="s">
        <v>5673</v>
      </c>
      <c r="I1077" t="s">
        <v>6584</v>
      </c>
      <c r="J1077" t="s">
        <v>11660</v>
      </c>
      <c r="K1077" t="s">
        <v>16060</v>
      </c>
      <c r="L1077">
        <f>HYPERLINK("https://www2.assemblee-nationale.fr/sycomore/fiche/(num_dept)/2075", "2075")</f>
        <v>0</v>
      </c>
      <c r="N1077">
        <f>HYPERLINK("https://www.wikidata.org/wiki/Q2831067", "Q2831067")</f>
        <v>0</v>
      </c>
      <c r="O1077" t="s">
        <v>20018</v>
      </c>
      <c r="P1077" t="s">
        <v>20414</v>
      </c>
      <c r="Q1077" t="s">
        <v>20560</v>
      </c>
      <c r="R1077" t="s">
        <v>410</v>
      </c>
      <c r="S1077">
        <v>2037</v>
      </c>
    </row>
    <row r="1078" spans="1:19">
      <c r="A1078" t="s">
        <v>20</v>
      </c>
      <c r="B1078" t="s">
        <v>148</v>
      </c>
      <c r="C1078" t="s">
        <v>152</v>
      </c>
      <c r="D1078" t="s">
        <v>281</v>
      </c>
      <c r="E1078" t="s">
        <v>410</v>
      </c>
      <c r="F1078">
        <f>HYPERLINK("https://www.wikidata.org/wiki/Q33528422", "Q33528422")</f>
        <v>0</v>
      </c>
      <c r="G1078" t="s">
        <v>594</v>
      </c>
      <c r="H1078" t="s">
        <v>5355</v>
      </c>
      <c r="I1078" t="s">
        <v>6200</v>
      </c>
      <c r="J1078" t="s">
        <v>11345</v>
      </c>
      <c r="K1078" t="s">
        <v>15746</v>
      </c>
      <c r="L1078">
        <f>HYPERLINK("https://www2.assemblee-nationale.fr/sycomore/fiche/(num_dept)/2080", "2080")</f>
        <v>0</v>
      </c>
      <c r="M1078">
        <f>HYPERLINK("https://www.senat.fr/senateur-3eme-republique/cruppi_jean0109r3.html", "cruppi_jean0109r3")</f>
        <v>0</v>
      </c>
      <c r="N1078">
        <f>HYPERLINK("https://www.wikidata.org/wiki/Q730383", "Q730383")</f>
        <v>0</v>
      </c>
      <c r="O1078" t="s">
        <v>20016</v>
      </c>
      <c r="P1078" t="s">
        <v>20413</v>
      </c>
      <c r="Q1078" t="s">
        <v>20560</v>
      </c>
      <c r="R1078" t="s">
        <v>410</v>
      </c>
      <c r="S1078">
        <v>2037</v>
      </c>
    </row>
    <row r="1079" spans="1:19">
      <c r="A1079" t="s">
        <v>20</v>
      </c>
      <c r="B1079" t="s">
        <v>148</v>
      </c>
      <c r="C1079" t="s">
        <v>152</v>
      </c>
      <c r="D1079" t="s">
        <v>281</v>
      </c>
      <c r="E1079" t="s">
        <v>410</v>
      </c>
      <c r="F1079">
        <f>HYPERLINK("https://www.wikidata.org/wiki/Q33528422", "Q33528422")</f>
        <v>0</v>
      </c>
      <c r="G1079" t="s">
        <v>597</v>
      </c>
      <c r="H1079" t="s">
        <v>5358</v>
      </c>
      <c r="I1079" t="s">
        <v>6584</v>
      </c>
      <c r="J1079" t="s">
        <v>11348</v>
      </c>
      <c r="K1079" t="s">
        <v>15749</v>
      </c>
      <c r="L1079">
        <f>HYPERLINK("https://www2.assemblee-nationale.fr/sycomore/fiche/(num_dept)/2110", "2110")</f>
        <v>0</v>
      </c>
      <c r="N1079">
        <f>HYPERLINK("https://www.wikidata.org/wiki/Q2831073", "Q2831073")</f>
        <v>0</v>
      </c>
      <c r="O1079" t="s">
        <v>19976</v>
      </c>
      <c r="P1079" t="s">
        <v>20413</v>
      </c>
      <c r="Q1079" t="s">
        <v>20560</v>
      </c>
      <c r="R1079" t="s">
        <v>410</v>
      </c>
      <c r="S1079">
        <v>2037</v>
      </c>
    </row>
    <row r="1080" spans="1:19">
      <c r="A1080" t="s">
        <v>20</v>
      </c>
      <c r="B1080" t="s">
        <v>148</v>
      </c>
      <c r="C1080" t="s">
        <v>152</v>
      </c>
      <c r="D1080" t="s">
        <v>281</v>
      </c>
      <c r="E1080" t="s">
        <v>410</v>
      </c>
      <c r="F1080">
        <f>HYPERLINK("https://www.wikidata.org/wiki/Q33528422", "Q33528422")</f>
        <v>0</v>
      </c>
      <c r="G1080" t="s">
        <v>919</v>
      </c>
      <c r="H1080" t="s">
        <v>5675</v>
      </c>
      <c r="I1080" t="s">
        <v>9589</v>
      </c>
      <c r="J1080" t="s">
        <v>11549</v>
      </c>
      <c r="K1080" t="s">
        <v>16062</v>
      </c>
      <c r="L1080">
        <f>HYPERLINK("https://www2.assemblee-nationale.fr/sycomore/fiche/(num_dept)/2117", "2117")</f>
        <v>0</v>
      </c>
      <c r="N1080">
        <f>HYPERLINK("https://www.wikidata.org/wiki/Q16025512", "Q16025512")</f>
        <v>0</v>
      </c>
      <c r="O1080" t="s">
        <v>19995</v>
      </c>
      <c r="P1080" t="s">
        <v>20409</v>
      </c>
      <c r="Q1080" t="s">
        <v>20560</v>
      </c>
      <c r="R1080" t="s">
        <v>410</v>
      </c>
      <c r="S1080">
        <v>2037</v>
      </c>
    </row>
    <row r="1081" spans="1:19">
      <c r="A1081" t="s">
        <v>20</v>
      </c>
      <c r="B1081" t="s">
        <v>148</v>
      </c>
      <c r="C1081" t="s">
        <v>152</v>
      </c>
      <c r="D1081" t="s">
        <v>281</v>
      </c>
      <c r="E1081" t="s">
        <v>410</v>
      </c>
      <c r="F1081">
        <f>HYPERLINK("https://www.wikidata.org/wiki/Q33528422", "Q33528422")</f>
        <v>0</v>
      </c>
      <c r="G1081" t="s">
        <v>922</v>
      </c>
      <c r="H1081" t="s">
        <v>5678</v>
      </c>
      <c r="I1081" t="s">
        <v>6495</v>
      </c>
      <c r="J1081" t="s">
        <v>11664</v>
      </c>
      <c r="K1081" t="s">
        <v>16065</v>
      </c>
      <c r="L1081">
        <f>HYPERLINK("https://www2.assemblee-nationale.fr/sycomore/fiche/(num_dept)/2185", "2185")</f>
        <v>0</v>
      </c>
      <c r="N1081">
        <f>HYPERLINK("https://www.wikidata.org/wiki/Q3261668", "Q3261668")</f>
        <v>0</v>
      </c>
      <c r="O1081" t="s">
        <v>19996</v>
      </c>
      <c r="P1081" t="s">
        <v>20413</v>
      </c>
      <c r="Q1081" t="s">
        <v>20560</v>
      </c>
      <c r="R1081" t="s">
        <v>410</v>
      </c>
      <c r="S1081">
        <v>2037</v>
      </c>
    </row>
    <row r="1082" spans="1:19">
      <c r="A1082" t="s">
        <v>20</v>
      </c>
      <c r="B1082" t="s">
        <v>148</v>
      </c>
      <c r="C1082" t="s">
        <v>152</v>
      </c>
      <c r="D1082" t="s">
        <v>281</v>
      </c>
      <c r="E1082" t="s">
        <v>410</v>
      </c>
      <c r="F1082">
        <f>HYPERLINK("https://www.wikidata.org/wiki/Q33528422", "Q33528422")</f>
        <v>0</v>
      </c>
      <c r="G1082" t="s">
        <v>1241</v>
      </c>
      <c r="H1082" t="s">
        <v>5966</v>
      </c>
      <c r="I1082" t="s">
        <v>6175</v>
      </c>
      <c r="J1082" t="s">
        <v>11972</v>
      </c>
      <c r="K1082" t="s">
        <v>16375</v>
      </c>
      <c r="L1082">
        <f>HYPERLINK("https://www2.assemblee-nationale.fr/sycomore/fiche/(num_dept)/2213", "2213")</f>
        <v>0</v>
      </c>
      <c r="M1082">
        <f>HYPERLINK("https://www.senat.fr/senateur-3eme-republique/decroze_georges0886r3.html", "decroze_georges0886r3")</f>
        <v>0</v>
      </c>
      <c r="N1082">
        <f>HYPERLINK("https://www.wikidata.org/wiki/Q3102567", "Q3102567")</f>
        <v>0</v>
      </c>
      <c r="O1082" t="s">
        <v>19989</v>
      </c>
      <c r="P1082" t="s">
        <v>20413</v>
      </c>
      <c r="Q1082" t="s">
        <v>20560</v>
      </c>
      <c r="R1082" t="s">
        <v>410</v>
      </c>
      <c r="S1082">
        <v>2037</v>
      </c>
    </row>
    <row r="1083" spans="1:19">
      <c r="A1083" t="s">
        <v>20</v>
      </c>
      <c r="B1083" t="s">
        <v>148</v>
      </c>
      <c r="C1083" t="s">
        <v>152</v>
      </c>
      <c r="D1083" t="s">
        <v>281</v>
      </c>
      <c r="E1083" t="s">
        <v>410</v>
      </c>
      <c r="F1083">
        <f>HYPERLINK("https://www.wikidata.org/wiki/Q33528422", "Q33528422")</f>
        <v>0</v>
      </c>
      <c r="G1083" t="s">
        <v>602</v>
      </c>
      <c r="H1083" t="s">
        <v>5362</v>
      </c>
      <c r="I1083" t="s">
        <v>6158</v>
      </c>
      <c r="J1083" t="s">
        <v>11353</v>
      </c>
      <c r="K1083" t="s">
        <v>15754</v>
      </c>
      <c r="L1083">
        <f>HYPERLINK("https://www2.assemblee-nationale.fr/sycomore/fiche/(num_dept)/2217", "2217")</f>
        <v>0</v>
      </c>
      <c r="N1083">
        <f>HYPERLINK("https://www.wikidata.org/wiki/Q16025535", "Q16025535")</f>
        <v>0</v>
      </c>
      <c r="O1083" t="s">
        <v>20013</v>
      </c>
      <c r="P1083" t="s">
        <v>20413</v>
      </c>
      <c r="Q1083" t="s">
        <v>20560</v>
      </c>
      <c r="R1083" t="s">
        <v>15754</v>
      </c>
      <c r="S1083">
        <v>1388</v>
      </c>
    </row>
    <row r="1084" spans="1:19">
      <c r="A1084" t="s">
        <v>20</v>
      </c>
      <c r="B1084" t="s">
        <v>148</v>
      </c>
      <c r="C1084" t="s">
        <v>152</v>
      </c>
      <c r="D1084" t="s">
        <v>281</v>
      </c>
      <c r="E1084" t="s">
        <v>410</v>
      </c>
      <c r="F1084">
        <f>HYPERLINK("https://www.wikidata.org/wiki/Q33528422", "Q33528422")</f>
        <v>0</v>
      </c>
      <c r="G1084" t="s">
        <v>1242</v>
      </c>
      <c r="H1084" t="s">
        <v>5967</v>
      </c>
      <c r="I1084" t="s">
        <v>9724</v>
      </c>
      <c r="J1084" t="s">
        <v>11973</v>
      </c>
      <c r="K1084" t="s">
        <v>16376</v>
      </c>
      <c r="L1084">
        <f>HYPERLINK("https://www2.assemblee-nationale.fr/sycomore/fiche/(num_dept)/2221", "2221")</f>
        <v>0</v>
      </c>
      <c r="N1084">
        <f>HYPERLINK("https://www.wikidata.org/wiki/Q2824756", "Q2824756")</f>
        <v>0</v>
      </c>
      <c r="O1084" t="s">
        <v>20013</v>
      </c>
      <c r="P1084" t="s">
        <v>20413</v>
      </c>
      <c r="Q1084" t="s">
        <v>20560</v>
      </c>
      <c r="R1084" t="s">
        <v>410</v>
      </c>
      <c r="S1084">
        <v>2037</v>
      </c>
    </row>
    <row r="1085" spans="1:19">
      <c r="A1085" t="s">
        <v>20</v>
      </c>
      <c r="B1085" t="s">
        <v>148</v>
      </c>
      <c r="C1085" t="s">
        <v>152</v>
      </c>
      <c r="D1085" t="s">
        <v>281</v>
      </c>
      <c r="E1085" t="s">
        <v>410</v>
      </c>
      <c r="F1085">
        <f>HYPERLINK("https://www.wikidata.org/wiki/Q33528422", "Q33528422")</f>
        <v>0</v>
      </c>
      <c r="G1085" t="s">
        <v>1243</v>
      </c>
      <c r="H1085" t="s">
        <v>5968</v>
      </c>
      <c r="I1085" t="s">
        <v>9725</v>
      </c>
      <c r="J1085" t="s">
        <v>11974</v>
      </c>
      <c r="K1085" t="s">
        <v>16377</v>
      </c>
      <c r="L1085">
        <f>HYPERLINK("https://www2.assemblee-nationale.fr/sycomore/fiche/(num_dept)/2231", "2231")</f>
        <v>0</v>
      </c>
      <c r="N1085">
        <f>HYPERLINK("https://www.wikidata.org/wiki/Q13088594", "Q13088594")</f>
        <v>0</v>
      </c>
      <c r="O1085" t="s">
        <v>20015</v>
      </c>
      <c r="P1085" t="s">
        <v>20404</v>
      </c>
      <c r="Q1085" t="s">
        <v>20560</v>
      </c>
      <c r="R1085" t="s">
        <v>410</v>
      </c>
      <c r="S1085">
        <v>2037</v>
      </c>
    </row>
    <row r="1086" spans="1:19">
      <c r="A1086" t="s">
        <v>20</v>
      </c>
      <c r="B1086" t="s">
        <v>148</v>
      </c>
      <c r="C1086" t="s">
        <v>152</v>
      </c>
      <c r="D1086" t="s">
        <v>281</v>
      </c>
      <c r="E1086" t="s">
        <v>410</v>
      </c>
      <c r="F1086">
        <f>HYPERLINK("https://www.wikidata.org/wiki/Q33528422", "Q33528422")</f>
        <v>0</v>
      </c>
      <c r="G1086" t="s">
        <v>606</v>
      </c>
      <c r="H1086" t="s">
        <v>5366</v>
      </c>
      <c r="I1086" t="s">
        <v>9449</v>
      </c>
      <c r="J1086" t="s">
        <v>11357</v>
      </c>
      <c r="K1086" t="s">
        <v>15758</v>
      </c>
      <c r="L1086">
        <f>HYPERLINK("https://www2.assemblee-nationale.fr/sycomore/fiche/(num_dept)/2254", "2254")</f>
        <v>0</v>
      </c>
      <c r="M1086">
        <f>HYPERLINK("https://www.senat.fr/senateur-3eme-republique/delahaye_jules1154r3.html", "delahaye_jules1154r3")</f>
        <v>0</v>
      </c>
      <c r="N1086">
        <f>HYPERLINK("https://www.wikidata.org/wiki/Q3188522", "Q3188522")</f>
        <v>0</v>
      </c>
      <c r="O1086" t="s">
        <v>19980</v>
      </c>
      <c r="P1086" t="s">
        <v>20408</v>
      </c>
      <c r="Q1086" t="s">
        <v>20560</v>
      </c>
      <c r="R1086" t="s">
        <v>410</v>
      </c>
      <c r="S1086">
        <v>2037</v>
      </c>
    </row>
    <row r="1087" spans="1:19">
      <c r="A1087" t="s">
        <v>20</v>
      </c>
      <c r="B1087" t="s">
        <v>148</v>
      </c>
      <c r="C1087" t="s">
        <v>152</v>
      </c>
      <c r="D1087" t="s">
        <v>281</v>
      </c>
      <c r="E1087" t="s">
        <v>410</v>
      </c>
      <c r="F1087">
        <f>HYPERLINK("https://www.wikidata.org/wiki/Q33528422", "Q33528422")</f>
        <v>0</v>
      </c>
      <c r="G1087" t="s">
        <v>1244</v>
      </c>
      <c r="H1087" t="s">
        <v>5366</v>
      </c>
      <c r="I1087" t="s">
        <v>9593</v>
      </c>
      <c r="J1087" t="s">
        <v>11975</v>
      </c>
      <c r="K1087" t="s">
        <v>16378</v>
      </c>
      <c r="L1087">
        <f>HYPERLINK("https://www2.assemblee-nationale.fr/sycomore/fiche/(num_dept)/2255", "2255")</f>
        <v>0</v>
      </c>
      <c r="N1087">
        <f>HYPERLINK("https://www.wikidata.org/wiki/Q16025542", "Q16025542")</f>
        <v>0</v>
      </c>
      <c r="O1087" t="s">
        <v>20012</v>
      </c>
      <c r="P1087" t="s">
        <v>20413</v>
      </c>
      <c r="Q1087" t="s">
        <v>20560</v>
      </c>
      <c r="R1087" t="s">
        <v>16378</v>
      </c>
      <c r="S1087">
        <v>1623</v>
      </c>
    </row>
    <row r="1088" spans="1:19">
      <c r="A1088" t="s">
        <v>20</v>
      </c>
      <c r="B1088" t="s">
        <v>148</v>
      </c>
      <c r="C1088" t="s">
        <v>152</v>
      </c>
      <c r="D1088" t="s">
        <v>281</v>
      </c>
      <c r="E1088" t="s">
        <v>410</v>
      </c>
      <c r="F1088">
        <f>HYPERLINK("https://www.wikidata.org/wiki/Q33528422", "Q33528422")</f>
        <v>0</v>
      </c>
      <c r="G1088" t="s">
        <v>923</v>
      </c>
      <c r="H1088" t="s">
        <v>5679</v>
      </c>
      <c r="I1088" t="s">
        <v>7265</v>
      </c>
      <c r="J1088" t="s">
        <v>11665</v>
      </c>
      <c r="K1088" t="s">
        <v>16066</v>
      </c>
      <c r="L1088">
        <f>HYPERLINK("https://www2.assemblee-nationale.fr/sycomore/fiche/(num_dept)/2264", "2264")</f>
        <v>0</v>
      </c>
      <c r="N1088">
        <f>HYPERLINK("https://www.wikidata.org/wiki/Q8323949", "Q8323949")</f>
        <v>0</v>
      </c>
      <c r="O1088" t="s">
        <v>20023</v>
      </c>
      <c r="P1088" t="s">
        <v>20413</v>
      </c>
      <c r="Q1088" t="s">
        <v>20560</v>
      </c>
      <c r="R1088" t="s">
        <v>410</v>
      </c>
      <c r="S1088">
        <v>2037</v>
      </c>
    </row>
    <row r="1089" spans="1:19">
      <c r="A1089" t="s">
        <v>20</v>
      </c>
      <c r="B1089" t="s">
        <v>148</v>
      </c>
      <c r="C1089" t="s">
        <v>152</v>
      </c>
      <c r="D1089" t="s">
        <v>281</v>
      </c>
      <c r="E1089" t="s">
        <v>410</v>
      </c>
      <c r="F1089">
        <f>HYPERLINK("https://www.wikidata.org/wiki/Q33528422", "Q33528422")</f>
        <v>0</v>
      </c>
      <c r="G1089" t="s">
        <v>1245</v>
      </c>
      <c r="H1089" t="s">
        <v>5969</v>
      </c>
      <c r="I1089" t="s">
        <v>9465</v>
      </c>
      <c r="J1089" t="s">
        <v>11976</v>
      </c>
      <c r="K1089" t="s">
        <v>16379</v>
      </c>
      <c r="L1089">
        <f>HYPERLINK("https://www2.assemblee-nationale.fr/sycomore/fiche/(num_dept)/2265", "2265")</f>
        <v>0</v>
      </c>
      <c r="N1089">
        <f>HYPERLINK("https://www.wikidata.org/wiki/Q16025544", "Q16025544")</f>
        <v>0</v>
      </c>
      <c r="O1089" t="s">
        <v>20026</v>
      </c>
      <c r="P1089" t="s">
        <v>20413</v>
      </c>
      <c r="Q1089" t="s">
        <v>20560</v>
      </c>
      <c r="R1089" t="s">
        <v>410</v>
      </c>
      <c r="S1089">
        <v>2037</v>
      </c>
    </row>
    <row r="1090" spans="1:19">
      <c r="A1090" t="s">
        <v>20</v>
      </c>
      <c r="B1090" t="s">
        <v>148</v>
      </c>
      <c r="C1090" t="s">
        <v>152</v>
      </c>
      <c r="D1090" t="s">
        <v>281</v>
      </c>
      <c r="E1090" t="s">
        <v>410</v>
      </c>
      <c r="F1090">
        <f>HYPERLINK("https://www.wikidata.org/wiki/Q33528422", "Q33528422")</f>
        <v>0</v>
      </c>
      <c r="G1090" t="s">
        <v>610</v>
      </c>
      <c r="H1090" t="s">
        <v>5370</v>
      </c>
      <c r="I1090" t="s">
        <v>6166</v>
      </c>
      <c r="J1090" t="s">
        <v>11361</v>
      </c>
      <c r="K1090" t="s">
        <v>15762</v>
      </c>
      <c r="L1090">
        <f>HYPERLINK("https://www2.assemblee-nationale.fr/sycomore/fiche/(num_dept)/2292", "2292")</f>
        <v>0</v>
      </c>
      <c r="N1090">
        <f>HYPERLINK("https://www.wikidata.org/wiki/Q16025549", "Q16025549")</f>
        <v>0</v>
      </c>
      <c r="O1090" t="s">
        <v>19968</v>
      </c>
      <c r="P1090" t="s">
        <v>20412</v>
      </c>
      <c r="Q1090" t="s">
        <v>20560</v>
      </c>
      <c r="R1090" t="s">
        <v>410</v>
      </c>
      <c r="S1090">
        <v>2037</v>
      </c>
    </row>
    <row r="1091" spans="1:19">
      <c r="A1091" t="s">
        <v>20</v>
      </c>
      <c r="B1091" t="s">
        <v>148</v>
      </c>
      <c r="C1091" t="s">
        <v>152</v>
      </c>
      <c r="D1091" t="s">
        <v>281</v>
      </c>
      <c r="E1091" t="s">
        <v>410</v>
      </c>
      <c r="F1091">
        <f>HYPERLINK("https://www.wikidata.org/wiki/Q33528422", "Q33528422")</f>
        <v>0</v>
      </c>
      <c r="G1091" t="s">
        <v>927</v>
      </c>
      <c r="H1091" t="s">
        <v>5683</v>
      </c>
      <c r="I1091" t="s">
        <v>9483</v>
      </c>
      <c r="J1091" t="s">
        <v>11669</v>
      </c>
      <c r="K1091" t="s">
        <v>16070</v>
      </c>
      <c r="L1091">
        <f>HYPERLINK("https://www2.assemblee-nationale.fr/sycomore/fiche/(num_dept)/2342", "2342")</f>
        <v>0</v>
      </c>
      <c r="M1091">
        <f>HYPERLINK("https://www.senat.fr/senateur-3eme-republique/delpierre_casimir0891r3.html", "delpierre_casimir0891r3")</f>
        <v>0</v>
      </c>
      <c r="N1091">
        <f>HYPERLINK("https://www.wikidata.org/wiki/Q3557252", "Q3557252")</f>
        <v>0</v>
      </c>
      <c r="O1091" t="s">
        <v>19989</v>
      </c>
      <c r="P1091" t="s">
        <v>20401</v>
      </c>
      <c r="Q1091" t="s">
        <v>20560</v>
      </c>
      <c r="R1091" t="s">
        <v>410</v>
      </c>
      <c r="S1091">
        <v>2037</v>
      </c>
    </row>
    <row r="1092" spans="1:19">
      <c r="A1092" t="s">
        <v>20</v>
      </c>
      <c r="B1092" t="s">
        <v>148</v>
      </c>
      <c r="C1092" t="s">
        <v>152</v>
      </c>
      <c r="D1092" t="s">
        <v>281</v>
      </c>
      <c r="E1092" t="s">
        <v>410</v>
      </c>
      <c r="F1092">
        <f>HYPERLINK("https://www.wikidata.org/wiki/Q33528422", "Q33528422")</f>
        <v>0</v>
      </c>
      <c r="G1092" t="s">
        <v>1246</v>
      </c>
      <c r="H1092" t="s">
        <v>5970</v>
      </c>
      <c r="I1092" t="s">
        <v>6584</v>
      </c>
      <c r="J1092" t="s">
        <v>11309</v>
      </c>
      <c r="K1092" t="s">
        <v>16380</v>
      </c>
      <c r="L1092">
        <f>HYPERLINK("https://www2.assemblee-nationale.fr/sycomore/fiche/(num_dept)/2363", "2363")</f>
        <v>0</v>
      </c>
      <c r="N1092">
        <f>HYPERLINK("https://www.wikidata.org/wiki/Q2831104", "Q2831104")</f>
        <v>0</v>
      </c>
      <c r="O1092" t="s">
        <v>19959</v>
      </c>
      <c r="P1092" t="s">
        <v>20404</v>
      </c>
      <c r="Q1092" t="s">
        <v>20560</v>
      </c>
      <c r="R1092" t="s">
        <v>410</v>
      </c>
      <c r="S1092">
        <v>2037</v>
      </c>
    </row>
    <row r="1093" spans="1:19">
      <c r="A1093" t="s">
        <v>20</v>
      </c>
      <c r="B1093" t="s">
        <v>148</v>
      </c>
      <c r="C1093" t="s">
        <v>152</v>
      </c>
      <c r="D1093" t="s">
        <v>281</v>
      </c>
      <c r="E1093" t="s">
        <v>410</v>
      </c>
      <c r="F1093">
        <f>HYPERLINK("https://www.wikidata.org/wiki/Q33528422", "Q33528422")</f>
        <v>0</v>
      </c>
      <c r="G1093" t="s">
        <v>1247</v>
      </c>
      <c r="H1093" t="s">
        <v>5971</v>
      </c>
      <c r="I1093" t="s">
        <v>6860</v>
      </c>
      <c r="J1093" t="s">
        <v>11977</v>
      </c>
      <c r="K1093" t="s">
        <v>313</v>
      </c>
      <c r="L1093">
        <f>HYPERLINK("https://www2.assemblee-nationale.fr/sycomore/fiche/(num_dept)/2401", "2401")</f>
        <v>0</v>
      </c>
      <c r="N1093">
        <f>HYPERLINK("https://www.wikidata.org/wiki/Q16025568", "Q16025568")</f>
        <v>0</v>
      </c>
      <c r="O1093" t="s">
        <v>20032</v>
      </c>
      <c r="P1093" t="s">
        <v>20413</v>
      </c>
      <c r="Q1093" t="s">
        <v>20560</v>
      </c>
      <c r="R1093" t="s">
        <v>410</v>
      </c>
      <c r="S1093">
        <v>2037</v>
      </c>
    </row>
    <row r="1094" spans="1:19">
      <c r="A1094" t="s">
        <v>20</v>
      </c>
      <c r="B1094" t="s">
        <v>148</v>
      </c>
      <c r="C1094" t="s">
        <v>152</v>
      </c>
      <c r="D1094" t="s">
        <v>281</v>
      </c>
      <c r="E1094" t="s">
        <v>410</v>
      </c>
      <c r="F1094">
        <f>HYPERLINK("https://www.wikidata.org/wiki/Q33528422", "Q33528422")</f>
        <v>0</v>
      </c>
      <c r="G1094" t="s">
        <v>1248</v>
      </c>
      <c r="H1094" t="s">
        <v>5972</v>
      </c>
      <c r="I1094" t="s">
        <v>9726</v>
      </c>
      <c r="J1094" t="s">
        <v>11978</v>
      </c>
      <c r="K1094" t="s">
        <v>16381</v>
      </c>
      <c r="L1094">
        <f>HYPERLINK("https://www2.assemblee-nationale.fr/sycomore/fiche/(num_dept)/2407", "2407")</f>
        <v>0</v>
      </c>
      <c r="N1094">
        <f>HYPERLINK("https://www.wikidata.org/wiki/Q16025570", "Q16025570")</f>
        <v>0</v>
      </c>
      <c r="O1094" t="s">
        <v>19986</v>
      </c>
      <c r="P1094" t="s">
        <v>20401</v>
      </c>
      <c r="Q1094" t="s">
        <v>20560</v>
      </c>
      <c r="R1094" t="s">
        <v>410</v>
      </c>
      <c r="S1094">
        <v>2037</v>
      </c>
    </row>
    <row r="1095" spans="1:19">
      <c r="A1095" t="s">
        <v>20</v>
      </c>
      <c r="B1095" t="s">
        <v>148</v>
      </c>
      <c r="C1095" t="s">
        <v>152</v>
      </c>
      <c r="D1095" t="s">
        <v>281</v>
      </c>
      <c r="E1095" t="s">
        <v>410</v>
      </c>
      <c r="F1095">
        <f>HYPERLINK("https://www.wikidata.org/wiki/Q33528422", "Q33528422")</f>
        <v>0</v>
      </c>
      <c r="G1095" t="s">
        <v>929</v>
      </c>
      <c r="H1095" t="s">
        <v>5685</v>
      </c>
      <c r="I1095" t="s">
        <v>9465</v>
      </c>
      <c r="J1095" t="s">
        <v>11671</v>
      </c>
      <c r="K1095" t="s">
        <v>16072</v>
      </c>
      <c r="L1095">
        <f>HYPERLINK("https://www2.assemblee-nationale.fr/sycomore/fiche/(num_dept)/2411", "2411")</f>
        <v>0</v>
      </c>
      <c r="N1095">
        <f>HYPERLINK("https://www.wikidata.org/wiki/Q16025569", "Q16025569")</f>
        <v>0</v>
      </c>
      <c r="O1095" t="s">
        <v>20026</v>
      </c>
      <c r="P1095" t="s">
        <v>20413</v>
      </c>
      <c r="Q1095" t="s">
        <v>20560</v>
      </c>
      <c r="R1095" t="s">
        <v>410</v>
      </c>
      <c r="S1095">
        <v>2037</v>
      </c>
    </row>
    <row r="1096" spans="1:19">
      <c r="A1096" t="s">
        <v>20</v>
      </c>
      <c r="B1096" t="s">
        <v>148</v>
      </c>
      <c r="C1096" t="s">
        <v>152</v>
      </c>
      <c r="D1096" t="s">
        <v>281</v>
      </c>
      <c r="E1096" t="s">
        <v>410</v>
      </c>
      <c r="F1096">
        <f>HYPERLINK("https://www.wikidata.org/wiki/Q33528422", "Q33528422")</f>
        <v>0</v>
      </c>
      <c r="G1096" t="s">
        <v>1249</v>
      </c>
      <c r="H1096" t="s">
        <v>5973</v>
      </c>
      <c r="I1096" t="s">
        <v>6495</v>
      </c>
      <c r="J1096" t="s">
        <v>11979</v>
      </c>
      <c r="K1096" t="s">
        <v>16382</v>
      </c>
      <c r="L1096">
        <f>HYPERLINK("https://www2.assemblee-nationale.fr/sycomore/fiche/(num_dept)/2438", "2438")</f>
        <v>0</v>
      </c>
      <c r="N1096">
        <f>HYPERLINK("https://www.wikidata.org/wiki/Q16025578", "Q16025578")</f>
        <v>0</v>
      </c>
      <c r="O1096" t="s">
        <v>19989</v>
      </c>
      <c r="P1096" t="s">
        <v>20413</v>
      </c>
      <c r="Q1096" t="s">
        <v>20560</v>
      </c>
      <c r="R1096" t="s">
        <v>410</v>
      </c>
      <c r="S1096">
        <v>2037</v>
      </c>
    </row>
    <row r="1097" spans="1:19">
      <c r="A1097" t="s">
        <v>20</v>
      </c>
      <c r="B1097" t="s">
        <v>148</v>
      </c>
      <c r="C1097" t="s">
        <v>152</v>
      </c>
      <c r="D1097" t="s">
        <v>281</v>
      </c>
      <c r="E1097" t="s">
        <v>410</v>
      </c>
      <c r="F1097">
        <f>HYPERLINK("https://www.wikidata.org/wiki/Q33528422", "Q33528422")</f>
        <v>0</v>
      </c>
      <c r="G1097" t="s">
        <v>931</v>
      </c>
      <c r="H1097" t="s">
        <v>5687</v>
      </c>
      <c r="I1097" t="s">
        <v>6175</v>
      </c>
      <c r="J1097" t="s">
        <v>11673</v>
      </c>
      <c r="K1097" t="s">
        <v>16073</v>
      </c>
      <c r="L1097">
        <f>HYPERLINK("https://www2.assemblee-nationale.fr/sycomore/fiche/(num_dept)/2450", "2450")</f>
        <v>0</v>
      </c>
      <c r="N1097">
        <f>HYPERLINK("https://www.wikidata.org/wiki/Q3102597", "Q3102597")</f>
        <v>0</v>
      </c>
      <c r="O1097" t="s">
        <v>19969</v>
      </c>
      <c r="P1097" t="s">
        <v>20401</v>
      </c>
      <c r="Q1097" t="s">
        <v>20560</v>
      </c>
      <c r="R1097" t="s">
        <v>410</v>
      </c>
      <c r="S1097">
        <v>2037</v>
      </c>
    </row>
    <row r="1098" spans="1:19">
      <c r="A1098" t="s">
        <v>20</v>
      </c>
      <c r="B1098" t="s">
        <v>148</v>
      </c>
      <c r="C1098" t="s">
        <v>152</v>
      </c>
      <c r="D1098" t="s">
        <v>281</v>
      </c>
      <c r="E1098" t="s">
        <v>410</v>
      </c>
      <c r="F1098">
        <f>HYPERLINK("https://www.wikidata.org/wiki/Q33528422", "Q33528422")</f>
        <v>0</v>
      </c>
      <c r="G1098" t="s">
        <v>614</v>
      </c>
      <c r="H1098" t="s">
        <v>5374</v>
      </c>
      <c r="I1098" t="s">
        <v>9453</v>
      </c>
      <c r="J1098" t="s">
        <v>11365</v>
      </c>
      <c r="K1098" t="s">
        <v>15766</v>
      </c>
      <c r="L1098">
        <f>HYPERLINK("https://www2.assemblee-nationale.fr/sycomore/fiche/(num_dept)/2457", "2457")</f>
        <v>0</v>
      </c>
      <c r="N1098">
        <f>HYPERLINK("https://www.wikidata.org/wiki/Q2865038", "Q2865038")</f>
        <v>0</v>
      </c>
      <c r="O1098" t="s">
        <v>20022</v>
      </c>
      <c r="P1098" t="s">
        <v>20401</v>
      </c>
      <c r="Q1098" t="s">
        <v>20560</v>
      </c>
      <c r="R1098" t="s">
        <v>410</v>
      </c>
      <c r="S1098">
        <v>2037</v>
      </c>
    </row>
    <row r="1099" spans="1:19">
      <c r="A1099" t="s">
        <v>20</v>
      </c>
      <c r="B1099" t="s">
        <v>148</v>
      </c>
      <c r="C1099" t="s">
        <v>152</v>
      </c>
      <c r="D1099" t="s">
        <v>281</v>
      </c>
      <c r="E1099" t="s">
        <v>410</v>
      </c>
      <c r="F1099">
        <f>HYPERLINK("https://www.wikidata.org/wiki/Q33528422", "Q33528422")</f>
        <v>0</v>
      </c>
      <c r="G1099" t="s">
        <v>1250</v>
      </c>
      <c r="H1099" t="s">
        <v>5974</v>
      </c>
      <c r="I1099" t="s">
        <v>6860</v>
      </c>
      <c r="J1099" t="s">
        <v>11980</v>
      </c>
      <c r="K1099" t="s">
        <v>16383</v>
      </c>
      <c r="L1099">
        <f>HYPERLINK("https://www2.assemblee-nationale.fr/sycomore/fiche/(num_dept)/2488", "2488")</f>
        <v>0</v>
      </c>
      <c r="N1099">
        <f>HYPERLINK("https://www.wikidata.org/wiki/Q16025596", "Q16025596")</f>
        <v>0</v>
      </c>
      <c r="O1099" t="s">
        <v>19995</v>
      </c>
      <c r="P1099" t="s">
        <v>20409</v>
      </c>
      <c r="Q1099" t="s">
        <v>20560</v>
      </c>
      <c r="R1099" t="s">
        <v>410</v>
      </c>
      <c r="S1099">
        <v>2037</v>
      </c>
    </row>
    <row r="1100" spans="1:19">
      <c r="A1100" t="s">
        <v>20</v>
      </c>
      <c r="B1100" t="s">
        <v>148</v>
      </c>
      <c r="C1100" t="s">
        <v>152</v>
      </c>
      <c r="D1100" t="s">
        <v>281</v>
      </c>
      <c r="E1100" t="s">
        <v>410</v>
      </c>
      <c r="F1100">
        <f>HYPERLINK("https://www.wikidata.org/wiki/Q33528422", "Q33528422")</f>
        <v>0</v>
      </c>
      <c r="G1100" t="s">
        <v>1251</v>
      </c>
      <c r="H1100" t="s">
        <v>5975</v>
      </c>
      <c r="I1100" t="s">
        <v>9727</v>
      </c>
      <c r="J1100" t="s">
        <v>11981</v>
      </c>
      <c r="K1100" t="s">
        <v>16384</v>
      </c>
      <c r="L1100">
        <f>HYPERLINK("https://www2.assemblee-nationale.fr/sycomore/fiche/(num_dept)/2496", "2496")</f>
        <v>0</v>
      </c>
      <c r="N1100">
        <f>HYPERLINK("https://www.wikidata.org/wiki/Q725749", "Q725749")</f>
        <v>0</v>
      </c>
      <c r="O1100" t="s">
        <v>20046</v>
      </c>
      <c r="P1100" t="s">
        <v>20415</v>
      </c>
      <c r="Q1100" t="s">
        <v>20560</v>
      </c>
      <c r="R1100" t="s">
        <v>410</v>
      </c>
      <c r="S1100">
        <v>2037</v>
      </c>
    </row>
    <row r="1101" spans="1:19">
      <c r="A1101" t="s">
        <v>20</v>
      </c>
      <c r="B1101" t="s">
        <v>148</v>
      </c>
      <c r="C1101" t="s">
        <v>152</v>
      </c>
      <c r="D1101" t="s">
        <v>281</v>
      </c>
      <c r="E1101" t="s">
        <v>410</v>
      </c>
      <c r="F1101">
        <f>HYPERLINK("https://www.wikidata.org/wiki/Q33528422", "Q33528422")</f>
        <v>0</v>
      </c>
      <c r="G1101" t="s">
        <v>618</v>
      </c>
      <c r="H1101" t="s">
        <v>5378</v>
      </c>
      <c r="I1101" t="s">
        <v>9456</v>
      </c>
      <c r="J1101" t="s">
        <v>11368</v>
      </c>
      <c r="K1101" t="s">
        <v>15770</v>
      </c>
      <c r="L1101">
        <f>HYPERLINK("https://www2.assemblee-nationale.fr/sycomore/fiche/(num_dept)/2524", "2524")</f>
        <v>0</v>
      </c>
      <c r="N1101">
        <f>HYPERLINK("https://www.wikidata.org/wiki/Q16025600", "Q16025600")</f>
        <v>0</v>
      </c>
      <c r="O1101" t="s">
        <v>20021</v>
      </c>
      <c r="P1101" t="s">
        <v>20402</v>
      </c>
      <c r="Q1101" t="s">
        <v>20560</v>
      </c>
      <c r="R1101" t="s">
        <v>15770</v>
      </c>
      <c r="S1101">
        <v>226</v>
      </c>
    </row>
    <row r="1102" spans="1:19">
      <c r="A1102" t="s">
        <v>20</v>
      </c>
      <c r="B1102" t="s">
        <v>148</v>
      </c>
      <c r="C1102" t="s">
        <v>152</v>
      </c>
      <c r="D1102" t="s">
        <v>281</v>
      </c>
      <c r="E1102" t="s">
        <v>410</v>
      </c>
      <c r="F1102">
        <f>HYPERLINK("https://www.wikidata.org/wiki/Q33528422", "Q33528422")</f>
        <v>0</v>
      </c>
      <c r="G1102" t="s">
        <v>939</v>
      </c>
      <c r="H1102" t="s">
        <v>5695</v>
      </c>
      <c r="I1102" t="s">
        <v>9594</v>
      </c>
      <c r="J1102" t="s">
        <v>11680</v>
      </c>
      <c r="K1102" t="s">
        <v>16081</v>
      </c>
      <c r="L1102">
        <f>HYPERLINK("https://www2.assemblee-nationale.fr/sycomore/fiche/(num_dept)/2622", "2622")</f>
        <v>0</v>
      </c>
      <c r="N1102">
        <f>HYPERLINK("https://www.wikidata.org/wiki/Q3261768", "Q3261768")</f>
        <v>0</v>
      </c>
      <c r="O1102" t="s">
        <v>19969</v>
      </c>
      <c r="P1102" t="s">
        <v>20414</v>
      </c>
      <c r="Q1102" t="s">
        <v>20560</v>
      </c>
      <c r="R1102" t="s">
        <v>410</v>
      </c>
      <c r="S1102">
        <v>2037</v>
      </c>
    </row>
    <row r="1103" spans="1:19">
      <c r="A1103" t="s">
        <v>20</v>
      </c>
      <c r="B1103" t="s">
        <v>148</v>
      </c>
      <c r="C1103" t="s">
        <v>152</v>
      </c>
      <c r="D1103" t="s">
        <v>281</v>
      </c>
      <c r="E1103" t="s">
        <v>410</v>
      </c>
      <c r="F1103">
        <f>HYPERLINK("https://www.wikidata.org/wiki/Q33528422", "Q33528422")</f>
        <v>0</v>
      </c>
      <c r="G1103" t="s">
        <v>625</v>
      </c>
      <c r="H1103" t="s">
        <v>5385</v>
      </c>
      <c r="I1103" t="s">
        <v>9460</v>
      </c>
      <c r="J1103" t="s">
        <v>11375</v>
      </c>
      <c r="K1103" t="s">
        <v>15777</v>
      </c>
      <c r="L1103">
        <f>HYPERLINK("https://www2.assemblee-nationale.fr/sycomore/fiche/(num_dept)/2699", "2699")</f>
        <v>0</v>
      </c>
      <c r="M1103">
        <f>HYPERLINK("https://www.senat.fr/senateur-3eme-republique/dumesnil_jacques1613r3.html", "dumesnil_jacques1613r3")</f>
        <v>0</v>
      </c>
      <c r="N1103">
        <f>HYPERLINK("https://www.wikidata.org/wiki/Q3157989", "Q3157989")</f>
        <v>0</v>
      </c>
      <c r="O1103" t="s">
        <v>20026</v>
      </c>
      <c r="P1103" t="s">
        <v>20413</v>
      </c>
      <c r="Q1103" t="s">
        <v>20560</v>
      </c>
      <c r="R1103" t="s">
        <v>410</v>
      </c>
      <c r="S1103">
        <v>2037</v>
      </c>
    </row>
    <row r="1104" spans="1:19">
      <c r="A1104" t="s">
        <v>20</v>
      </c>
      <c r="B1104" t="s">
        <v>148</v>
      </c>
      <c r="C1104" t="s">
        <v>152</v>
      </c>
      <c r="D1104" t="s">
        <v>281</v>
      </c>
      <c r="E1104" t="s">
        <v>410</v>
      </c>
      <c r="F1104">
        <f>HYPERLINK("https://www.wikidata.org/wiki/Q33528422", "Q33528422")</f>
        <v>0</v>
      </c>
      <c r="G1104" t="s">
        <v>948</v>
      </c>
      <c r="H1104" t="s">
        <v>5386</v>
      </c>
      <c r="I1104" t="s">
        <v>9385</v>
      </c>
      <c r="J1104" t="s">
        <v>11689</v>
      </c>
      <c r="K1104" t="s">
        <v>16090</v>
      </c>
      <c r="L1104">
        <f>HYPERLINK("https://www2.assemblee-nationale.fr/sycomore/fiche/(num_dept)/2702", "2702")</f>
        <v>0</v>
      </c>
      <c r="M1104">
        <f>HYPERLINK("https://www.senat.fr/senateur-3eme-republique/dumont_charles0432r3.html", "dumont_charles0432r3")</f>
        <v>0</v>
      </c>
      <c r="N1104">
        <f>HYPERLINK("https://www.wikidata.org/wiki/Q2958960", "Q2958960")</f>
        <v>0</v>
      </c>
      <c r="O1104" t="s">
        <v>20041</v>
      </c>
      <c r="P1104" t="s">
        <v>20401</v>
      </c>
      <c r="Q1104" t="s">
        <v>20560</v>
      </c>
      <c r="R1104" t="s">
        <v>410</v>
      </c>
      <c r="S1104">
        <v>2037</v>
      </c>
    </row>
    <row r="1105" spans="1:19">
      <c r="A1105" t="s">
        <v>20</v>
      </c>
      <c r="B1105" t="s">
        <v>148</v>
      </c>
      <c r="C1105" t="s">
        <v>152</v>
      </c>
      <c r="D1105" t="s">
        <v>281</v>
      </c>
      <c r="E1105" t="s">
        <v>410</v>
      </c>
      <c r="F1105">
        <f>HYPERLINK("https://www.wikidata.org/wiki/Q33528422", "Q33528422")</f>
        <v>0</v>
      </c>
      <c r="G1105" t="s">
        <v>1136</v>
      </c>
      <c r="H1105" t="s">
        <v>5386</v>
      </c>
      <c r="I1105" t="s">
        <v>9674</v>
      </c>
      <c r="J1105" t="s">
        <v>11870</v>
      </c>
      <c r="K1105" t="s">
        <v>16272</v>
      </c>
      <c r="L1105">
        <f>HYPERLINK("https://www2.assemblee-nationale.fr/sycomore/fiche/(num_dept)/2706", "2706")</f>
        <v>0</v>
      </c>
      <c r="N1105">
        <f>HYPERLINK("https://www.wikidata.org/wiki/Q16025641", "Q16025641")</f>
        <v>0</v>
      </c>
      <c r="O1105" t="s">
        <v>19975</v>
      </c>
      <c r="P1105" t="s">
        <v>20415</v>
      </c>
      <c r="Q1105" t="s">
        <v>20560</v>
      </c>
      <c r="R1105" t="s">
        <v>410</v>
      </c>
      <c r="S1105">
        <v>2037</v>
      </c>
    </row>
    <row r="1106" spans="1:19">
      <c r="A1106" t="s">
        <v>20</v>
      </c>
      <c r="B1106" t="s">
        <v>148</v>
      </c>
      <c r="C1106" t="s">
        <v>152</v>
      </c>
      <c r="D1106" t="s">
        <v>281</v>
      </c>
      <c r="E1106" t="s">
        <v>410</v>
      </c>
      <c r="F1106">
        <f>HYPERLINK("https://www.wikidata.org/wiki/Q33528422", "Q33528422")</f>
        <v>0</v>
      </c>
      <c r="G1106" t="s">
        <v>1252</v>
      </c>
      <c r="H1106" t="s">
        <v>5976</v>
      </c>
      <c r="I1106" t="s">
        <v>9457</v>
      </c>
      <c r="J1106" t="s">
        <v>11982</v>
      </c>
      <c r="K1106" t="s">
        <v>16385</v>
      </c>
      <c r="L1106">
        <f>HYPERLINK("https://www2.assemblee-nationale.fr/sycomore/fiche/(num_dept)/2779", "2779")</f>
        <v>0</v>
      </c>
      <c r="N1106">
        <f>HYPERLINK("https://www.wikidata.org/wiki/Q3131027", "Q3131027")</f>
        <v>0</v>
      </c>
      <c r="O1106" t="s">
        <v>20013</v>
      </c>
      <c r="P1106" t="s">
        <v>20404</v>
      </c>
      <c r="Q1106" t="s">
        <v>20560</v>
      </c>
      <c r="R1106" t="s">
        <v>16385</v>
      </c>
      <c r="S1106">
        <v>1632</v>
      </c>
    </row>
    <row r="1107" spans="1:19">
      <c r="A1107" t="s">
        <v>20</v>
      </c>
      <c r="B1107" t="s">
        <v>148</v>
      </c>
      <c r="C1107" t="s">
        <v>152</v>
      </c>
      <c r="D1107" t="s">
        <v>281</v>
      </c>
      <c r="E1107" t="s">
        <v>410</v>
      </c>
      <c r="F1107">
        <f>HYPERLINK("https://www.wikidata.org/wiki/Q33528422", "Q33528422")</f>
        <v>0</v>
      </c>
      <c r="G1107" t="s">
        <v>1106</v>
      </c>
      <c r="H1107" t="s">
        <v>5847</v>
      </c>
      <c r="I1107" t="s">
        <v>9375</v>
      </c>
      <c r="J1107" t="s">
        <v>11258</v>
      </c>
      <c r="K1107" t="s">
        <v>16242</v>
      </c>
      <c r="L1107">
        <f>HYPERLINK("https://www2.assemblee-nationale.fr/sycomore/fiche/(num_dept)/2873", "2873")</f>
        <v>0</v>
      </c>
      <c r="N1107">
        <f>HYPERLINK("https://www.wikidata.org/wiki/Q16025679", "Q16025679")</f>
        <v>0</v>
      </c>
      <c r="O1107" t="s">
        <v>19987</v>
      </c>
      <c r="P1107" t="s">
        <v>20412</v>
      </c>
      <c r="Q1107" t="s">
        <v>20560</v>
      </c>
      <c r="R1107" t="s">
        <v>410</v>
      </c>
      <c r="S1107">
        <v>2037</v>
      </c>
    </row>
    <row r="1108" spans="1:19">
      <c r="A1108" t="s">
        <v>20</v>
      </c>
      <c r="B1108" t="s">
        <v>148</v>
      </c>
      <c r="C1108" t="s">
        <v>152</v>
      </c>
      <c r="D1108" t="s">
        <v>281</v>
      </c>
      <c r="E1108" t="s">
        <v>410</v>
      </c>
      <c r="F1108">
        <f>HYPERLINK("https://www.wikidata.org/wiki/Q33528422", "Q33528422")</f>
        <v>0</v>
      </c>
      <c r="G1108" t="s">
        <v>638</v>
      </c>
      <c r="H1108" t="s">
        <v>5397</v>
      </c>
      <c r="I1108" t="s">
        <v>9389</v>
      </c>
      <c r="J1108" t="s">
        <v>11388</v>
      </c>
      <c r="K1108" t="s">
        <v>15790</v>
      </c>
      <c r="L1108">
        <f>HYPERLINK("https://www2.assemblee-nationale.fr/sycomore/fiche/(num_dept)/2924", "2924")</f>
        <v>0</v>
      </c>
      <c r="N1108">
        <f>HYPERLINK("https://www.wikidata.org/wiki/Q8316772", "Q8316772")</f>
        <v>0</v>
      </c>
      <c r="O1108" t="s">
        <v>20008</v>
      </c>
      <c r="P1108" t="s">
        <v>20406</v>
      </c>
      <c r="Q1108" t="s">
        <v>20560</v>
      </c>
      <c r="R1108" t="s">
        <v>410</v>
      </c>
      <c r="S1108">
        <v>2037</v>
      </c>
    </row>
    <row r="1109" spans="1:19">
      <c r="A1109" t="s">
        <v>20</v>
      </c>
      <c r="B1109" t="s">
        <v>148</v>
      </c>
      <c r="C1109" t="s">
        <v>152</v>
      </c>
      <c r="D1109" t="s">
        <v>281</v>
      </c>
      <c r="E1109" t="s">
        <v>410</v>
      </c>
      <c r="F1109">
        <f>HYPERLINK("https://www.wikidata.org/wiki/Q33528422", "Q33528422")</f>
        <v>0</v>
      </c>
      <c r="G1109" t="s">
        <v>1253</v>
      </c>
      <c r="H1109" t="s">
        <v>5977</v>
      </c>
      <c r="I1109" t="s">
        <v>9535</v>
      </c>
      <c r="J1109" t="s">
        <v>11983</v>
      </c>
      <c r="K1109" t="s">
        <v>16386</v>
      </c>
      <c r="L1109">
        <f>HYPERLINK("https://www2.assemblee-nationale.fr/sycomore/fiche/(num_dept)/2943", "2943")</f>
        <v>0</v>
      </c>
      <c r="M1109">
        <f>HYPERLINK("https://www.senat.fr/senateur-3eme-republique/fayolle_julien0519r3.html", "fayolle_julien0519r3")</f>
        <v>0</v>
      </c>
      <c r="N1109">
        <f>HYPERLINK("https://www.wikidata.org/wiki/Q3189490", "Q3189490")</f>
        <v>0</v>
      </c>
      <c r="O1109" t="s">
        <v>19993</v>
      </c>
      <c r="P1109" t="s">
        <v>20413</v>
      </c>
      <c r="Q1109" t="s">
        <v>20560</v>
      </c>
      <c r="R1109" t="s">
        <v>410</v>
      </c>
      <c r="S1109">
        <v>2037</v>
      </c>
    </row>
    <row r="1110" spans="1:19">
      <c r="A1110" t="s">
        <v>20</v>
      </c>
      <c r="B1110" t="s">
        <v>148</v>
      </c>
      <c r="C1110" t="s">
        <v>152</v>
      </c>
      <c r="D1110" t="s">
        <v>281</v>
      </c>
      <c r="E1110" t="s">
        <v>410</v>
      </c>
      <c r="F1110">
        <f>HYPERLINK("https://www.wikidata.org/wiki/Q33528422", "Q33528422")</f>
        <v>0</v>
      </c>
      <c r="G1110" t="s">
        <v>1254</v>
      </c>
      <c r="H1110" t="s">
        <v>5978</v>
      </c>
      <c r="I1110" t="s">
        <v>6860</v>
      </c>
      <c r="J1110" t="s">
        <v>11984</v>
      </c>
      <c r="K1110" t="s">
        <v>16387</v>
      </c>
      <c r="L1110">
        <f>HYPERLINK("https://www2.assemblee-nationale.fr/sycomore/fiche/(num_dept)/3057", "3057")</f>
        <v>0</v>
      </c>
      <c r="N1110">
        <f>HYPERLINK("https://www.wikidata.org/wiki/Q3385030", "Q3385030")</f>
        <v>0</v>
      </c>
      <c r="O1110" t="s">
        <v>20025</v>
      </c>
      <c r="P1110" t="s">
        <v>20402</v>
      </c>
      <c r="Q1110" t="s">
        <v>20560</v>
      </c>
      <c r="R1110" t="s">
        <v>410</v>
      </c>
      <c r="S1110">
        <v>2037</v>
      </c>
    </row>
    <row r="1111" spans="1:19">
      <c r="A1111" t="s">
        <v>20</v>
      </c>
      <c r="B1111" t="s">
        <v>148</v>
      </c>
      <c r="C1111" t="s">
        <v>152</v>
      </c>
      <c r="D1111" t="s">
        <v>281</v>
      </c>
      <c r="E1111" t="s">
        <v>410</v>
      </c>
      <c r="F1111">
        <f>HYPERLINK("https://www.wikidata.org/wiki/Q33528422", "Q33528422")</f>
        <v>0</v>
      </c>
      <c r="G1111" t="s">
        <v>957</v>
      </c>
      <c r="H1111" t="s">
        <v>5709</v>
      </c>
      <c r="I1111" t="s">
        <v>6166</v>
      </c>
      <c r="J1111" t="s">
        <v>11698</v>
      </c>
      <c r="K1111" t="s">
        <v>16099</v>
      </c>
      <c r="L1111">
        <f>HYPERLINK("https://www2.assemblee-nationale.fr/sycomore/fiche/(num_dept)/3097", "3097")</f>
        <v>0</v>
      </c>
      <c r="N1111">
        <f>HYPERLINK("https://www.wikidata.org/wiki/Q868324", "Q868324")</f>
        <v>0</v>
      </c>
      <c r="O1111" t="s">
        <v>20014</v>
      </c>
      <c r="P1111" t="s">
        <v>20406</v>
      </c>
      <c r="Q1111" t="s">
        <v>20560</v>
      </c>
      <c r="R1111" t="s">
        <v>410</v>
      </c>
      <c r="S1111">
        <v>2037</v>
      </c>
    </row>
    <row r="1112" spans="1:19">
      <c r="A1112" t="s">
        <v>20</v>
      </c>
      <c r="B1112" t="s">
        <v>148</v>
      </c>
      <c r="C1112" t="s">
        <v>152</v>
      </c>
      <c r="D1112" t="s">
        <v>281</v>
      </c>
      <c r="E1112" t="s">
        <v>410</v>
      </c>
      <c r="F1112">
        <f>HYPERLINK("https://www.wikidata.org/wiki/Q33528422", "Q33528422")</f>
        <v>0</v>
      </c>
      <c r="G1112" t="s">
        <v>960</v>
      </c>
      <c r="H1112" t="s">
        <v>5712</v>
      </c>
      <c r="I1112" t="s">
        <v>9457</v>
      </c>
      <c r="J1112" t="s">
        <v>11570</v>
      </c>
      <c r="K1112" t="s">
        <v>16102</v>
      </c>
      <c r="L1112">
        <f>HYPERLINK("https://www2.assemblee-nationale.fr/sycomore/fiche/(num_dept)/3134", "3134")</f>
        <v>0</v>
      </c>
      <c r="N1112">
        <f>HYPERLINK("https://www.wikidata.org/wiki/Q3132784", "Q3132784")</f>
        <v>0</v>
      </c>
      <c r="O1112" t="s">
        <v>19976</v>
      </c>
      <c r="P1112" t="s">
        <v>20413</v>
      </c>
      <c r="Q1112" t="s">
        <v>20560</v>
      </c>
      <c r="R1112" t="s">
        <v>410</v>
      </c>
      <c r="S1112">
        <v>2037</v>
      </c>
    </row>
    <row r="1113" spans="1:19">
      <c r="A1113" t="s">
        <v>20</v>
      </c>
      <c r="B1113" t="s">
        <v>148</v>
      </c>
      <c r="C1113" t="s">
        <v>152</v>
      </c>
      <c r="D1113" t="s">
        <v>281</v>
      </c>
      <c r="E1113" t="s">
        <v>410</v>
      </c>
      <c r="F1113">
        <f>HYPERLINK("https://www.wikidata.org/wiki/Q33528422", "Q33528422")</f>
        <v>0</v>
      </c>
      <c r="G1113" t="s">
        <v>1255</v>
      </c>
      <c r="H1113" t="s">
        <v>5979</v>
      </c>
      <c r="I1113" t="s">
        <v>9385</v>
      </c>
      <c r="J1113" t="s">
        <v>11985</v>
      </c>
      <c r="K1113" t="s">
        <v>16388</v>
      </c>
      <c r="L1113">
        <f>HYPERLINK("https://www2.assemblee-nationale.fr/sycomore/fiche/(num_dept)/3156", "3156")</f>
        <v>0</v>
      </c>
      <c r="N1113">
        <f>HYPERLINK("https://www.wikidata.org/wiki/Q16025733", "Q16025733")</f>
        <v>0</v>
      </c>
      <c r="O1113" t="s">
        <v>20007</v>
      </c>
      <c r="P1113" t="s">
        <v>20401</v>
      </c>
      <c r="Q1113" t="s">
        <v>20560</v>
      </c>
      <c r="R1113" t="s">
        <v>410</v>
      </c>
      <c r="S1113">
        <v>2037</v>
      </c>
    </row>
    <row r="1114" spans="1:19">
      <c r="A1114" t="s">
        <v>20</v>
      </c>
      <c r="B1114" t="s">
        <v>148</v>
      </c>
      <c r="C1114" t="s">
        <v>152</v>
      </c>
      <c r="D1114" t="s">
        <v>281</v>
      </c>
      <c r="E1114" t="s">
        <v>410</v>
      </c>
      <c r="F1114">
        <f>HYPERLINK("https://www.wikidata.org/wiki/Q33528422", "Q33528422")</f>
        <v>0</v>
      </c>
      <c r="G1114" t="s">
        <v>1256</v>
      </c>
      <c r="H1114" t="s">
        <v>5980</v>
      </c>
      <c r="I1114" t="s">
        <v>6158</v>
      </c>
      <c r="J1114" t="s">
        <v>11986</v>
      </c>
      <c r="K1114" t="s">
        <v>16389</v>
      </c>
      <c r="L1114">
        <f>HYPERLINK("https://www2.assemblee-nationale.fr/sycomore/fiche/(num_dept)/3184", "3184")</f>
        <v>0</v>
      </c>
      <c r="N1114">
        <f>HYPERLINK("https://www.wikidata.org/wiki/Q16025736", "Q16025736")</f>
        <v>0</v>
      </c>
      <c r="O1114" t="s">
        <v>20026</v>
      </c>
      <c r="P1114" t="s">
        <v>20401</v>
      </c>
      <c r="Q1114" t="s">
        <v>20560</v>
      </c>
      <c r="R1114" t="s">
        <v>410</v>
      </c>
      <c r="S1114">
        <v>2037</v>
      </c>
    </row>
    <row r="1115" spans="1:19">
      <c r="A1115" t="s">
        <v>20</v>
      </c>
      <c r="B1115" t="s">
        <v>148</v>
      </c>
      <c r="C1115" t="s">
        <v>152</v>
      </c>
      <c r="D1115" t="s">
        <v>281</v>
      </c>
      <c r="E1115" t="s">
        <v>410</v>
      </c>
      <c r="F1115">
        <f>HYPERLINK("https://www.wikidata.org/wiki/Q33528422", "Q33528422")</f>
        <v>0</v>
      </c>
      <c r="G1115" t="s">
        <v>1097</v>
      </c>
      <c r="H1115" t="s">
        <v>5838</v>
      </c>
      <c r="I1115" t="s">
        <v>6175</v>
      </c>
      <c r="J1115" t="s">
        <v>11833</v>
      </c>
      <c r="K1115" t="s">
        <v>16233</v>
      </c>
      <c r="L1115">
        <f>HYPERLINK("https://www2.assemblee-nationale.fr/sycomore/fiche/(num_dept)/3349", "3349")</f>
        <v>0</v>
      </c>
      <c r="N1115">
        <f>HYPERLINK("https://www.wikidata.org/wiki/Q16025763", "Q16025763")</f>
        <v>0</v>
      </c>
      <c r="O1115" t="s">
        <v>20031</v>
      </c>
      <c r="P1115" t="s">
        <v>20412</v>
      </c>
      <c r="Q1115" t="s">
        <v>20560</v>
      </c>
      <c r="R1115" t="s">
        <v>410</v>
      </c>
      <c r="S1115">
        <v>2037</v>
      </c>
    </row>
    <row r="1116" spans="1:19">
      <c r="A1116" t="s">
        <v>20</v>
      </c>
      <c r="B1116" t="s">
        <v>148</v>
      </c>
      <c r="C1116" t="s">
        <v>152</v>
      </c>
      <c r="D1116" t="s">
        <v>281</v>
      </c>
      <c r="E1116" t="s">
        <v>410</v>
      </c>
      <c r="F1116">
        <f>HYPERLINK("https://www.wikidata.org/wiki/Q33528422", "Q33528422")</f>
        <v>0</v>
      </c>
      <c r="G1116" t="s">
        <v>964</v>
      </c>
      <c r="H1116" t="s">
        <v>5716</v>
      </c>
      <c r="I1116" t="s">
        <v>9457</v>
      </c>
      <c r="J1116" t="s">
        <v>11703</v>
      </c>
      <c r="K1116" t="s">
        <v>16106</v>
      </c>
      <c r="L1116">
        <f>HYPERLINK("https://www2.assemblee-nationale.fr/sycomore/fiche/(num_dept)/3394", "3394")</f>
        <v>0</v>
      </c>
      <c r="N1116">
        <f>HYPERLINK("https://www.wikidata.org/wiki/Q16011304", "Q16011304")</f>
        <v>0</v>
      </c>
      <c r="O1116" t="s">
        <v>20013</v>
      </c>
      <c r="P1116" t="s">
        <v>20404</v>
      </c>
      <c r="Q1116" t="s">
        <v>20560</v>
      </c>
      <c r="R1116" t="s">
        <v>16106</v>
      </c>
      <c r="S1116">
        <v>1575</v>
      </c>
    </row>
    <row r="1117" spans="1:19">
      <c r="A1117" t="s">
        <v>20</v>
      </c>
      <c r="B1117" t="s">
        <v>148</v>
      </c>
      <c r="C1117" t="s">
        <v>152</v>
      </c>
      <c r="D1117" t="s">
        <v>281</v>
      </c>
      <c r="E1117" t="s">
        <v>410</v>
      </c>
      <c r="F1117">
        <f>HYPERLINK("https://www.wikidata.org/wiki/Q33528422", "Q33528422")</f>
        <v>0</v>
      </c>
      <c r="G1117" t="s">
        <v>1257</v>
      </c>
      <c r="H1117" t="s">
        <v>5981</v>
      </c>
      <c r="I1117" t="s">
        <v>9593</v>
      </c>
      <c r="J1117" t="s">
        <v>11987</v>
      </c>
      <c r="K1117" t="s">
        <v>16390</v>
      </c>
      <c r="L1117">
        <f>HYPERLINK("https://www2.assemblee-nationale.fr/sycomore/fiche/(num_dept)/3398", "3398")</f>
        <v>0</v>
      </c>
      <c r="M1117">
        <f>HYPERLINK("https://www.senat.fr/senateur-3eme-republique/giaccobi_jules0472r3.html", "giaccobi_jules0472r3")</f>
        <v>0</v>
      </c>
      <c r="N1117">
        <f>HYPERLINK("https://www.wikidata.org/wiki/Q3293802", "Q3293802")</f>
        <v>0</v>
      </c>
      <c r="O1117" t="s">
        <v>19955</v>
      </c>
      <c r="P1117" t="s">
        <v>20413</v>
      </c>
      <c r="Q1117" t="s">
        <v>20560</v>
      </c>
      <c r="R1117" t="s">
        <v>410</v>
      </c>
      <c r="S1117">
        <v>2037</v>
      </c>
    </row>
    <row r="1118" spans="1:19">
      <c r="A1118" t="s">
        <v>20</v>
      </c>
      <c r="B1118" t="s">
        <v>148</v>
      </c>
      <c r="C1118" t="s">
        <v>152</v>
      </c>
      <c r="D1118" t="s">
        <v>281</v>
      </c>
      <c r="E1118" t="s">
        <v>410</v>
      </c>
      <c r="F1118">
        <f>HYPERLINK("https://www.wikidata.org/wiki/Q33528422", "Q33528422")</f>
        <v>0</v>
      </c>
      <c r="G1118" t="s">
        <v>1101</v>
      </c>
      <c r="H1118" t="s">
        <v>5842</v>
      </c>
      <c r="I1118" t="s">
        <v>9407</v>
      </c>
      <c r="J1118" t="s">
        <v>11837</v>
      </c>
      <c r="K1118" t="s">
        <v>16237</v>
      </c>
      <c r="L1118">
        <f>HYPERLINK("https://www2.assemblee-nationale.fr/sycomore/fiche/(num_dept)/3420", "3420")</f>
        <v>0</v>
      </c>
      <c r="M1118">
        <f>HYPERLINK("https://www.senat.fr/senateur-3eme-republique/giordan_joseph0494r3.html", "giordan_joseph0494r3")</f>
        <v>0</v>
      </c>
      <c r="N1118">
        <f>HYPERLINK("https://www.wikidata.org/wiki/Q3185017", "Q3185017")</f>
        <v>0</v>
      </c>
      <c r="O1118" t="s">
        <v>19955</v>
      </c>
      <c r="P1118" t="s">
        <v>20413</v>
      </c>
      <c r="Q1118" t="s">
        <v>20560</v>
      </c>
      <c r="R1118" t="s">
        <v>410</v>
      </c>
      <c r="S1118">
        <v>2037</v>
      </c>
    </row>
    <row r="1119" spans="1:19">
      <c r="A1119" t="s">
        <v>20</v>
      </c>
      <c r="B1119" t="s">
        <v>148</v>
      </c>
      <c r="C1119" t="s">
        <v>152</v>
      </c>
      <c r="D1119" t="s">
        <v>281</v>
      </c>
      <c r="E1119" t="s">
        <v>410</v>
      </c>
      <c r="F1119">
        <f>HYPERLINK("https://www.wikidata.org/wiki/Q33528422", "Q33528422")</f>
        <v>0</v>
      </c>
      <c r="G1119" t="s">
        <v>1258</v>
      </c>
      <c r="H1119" t="s">
        <v>5982</v>
      </c>
      <c r="I1119" t="s">
        <v>9474</v>
      </c>
      <c r="J1119" t="s">
        <v>11988</v>
      </c>
      <c r="K1119" t="s">
        <v>16391</v>
      </c>
      <c r="L1119">
        <f>HYPERLINK("https://www2.assemblee-nationale.fr/sycomore/fiche/(num_dept)/3442", "3442")</f>
        <v>0</v>
      </c>
      <c r="N1119">
        <f>HYPERLINK("https://www.wikidata.org/wiki/Q16025782", "Q16025782")</f>
        <v>0</v>
      </c>
      <c r="O1119" t="s">
        <v>20006</v>
      </c>
      <c r="P1119" t="s">
        <v>20404</v>
      </c>
      <c r="Q1119" t="s">
        <v>20560</v>
      </c>
      <c r="R1119" t="s">
        <v>410</v>
      </c>
      <c r="S1119">
        <v>2037</v>
      </c>
    </row>
    <row r="1120" spans="1:19">
      <c r="A1120" t="s">
        <v>20</v>
      </c>
      <c r="B1120" t="s">
        <v>148</v>
      </c>
      <c r="C1120" t="s">
        <v>152</v>
      </c>
      <c r="D1120" t="s">
        <v>281</v>
      </c>
      <c r="E1120" t="s">
        <v>410</v>
      </c>
      <c r="F1120">
        <f>HYPERLINK("https://www.wikidata.org/wiki/Q33528422", "Q33528422")</f>
        <v>0</v>
      </c>
      <c r="G1120" t="s">
        <v>1259</v>
      </c>
      <c r="H1120" t="s">
        <v>5983</v>
      </c>
      <c r="I1120" t="s">
        <v>9612</v>
      </c>
      <c r="J1120" t="s">
        <v>11989</v>
      </c>
      <c r="K1120" t="s">
        <v>16392</v>
      </c>
      <c r="L1120">
        <f>HYPERLINK("https://www2.assemblee-nationale.fr/sycomore/fiche/(num_dept)/3463", "3463")</f>
        <v>0</v>
      </c>
      <c r="N1120">
        <f>HYPERLINK("https://www.wikidata.org/wiki/Q16025792", "Q16025792")</f>
        <v>0</v>
      </c>
      <c r="O1120" t="s">
        <v>19982</v>
      </c>
      <c r="P1120" t="s">
        <v>20413</v>
      </c>
      <c r="Q1120" t="s">
        <v>20560</v>
      </c>
      <c r="R1120" t="s">
        <v>410</v>
      </c>
      <c r="S1120">
        <v>2037</v>
      </c>
    </row>
    <row r="1121" spans="1:19">
      <c r="A1121" t="s">
        <v>20</v>
      </c>
      <c r="B1121" t="s">
        <v>148</v>
      </c>
      <c r="C1121" t="s">
        <v>152</v>
      </c>
      <c r="D1121" t="s">
        <v>281</v>
      </c>
      <c r="E1121" t="s">
        <v>410</v>
      </c>
      <c r="F1121">
        <f>HYPERLINK("https://www.wikidata.org/wiki/Q33528422", "Q33528422")</f>
        <v>0</v>
      </c>
      <c r="G1121" t="s">
        <v>1260</v>
      </c>
      <c r="H1121" t="s">
        <v>5984</v>
      </c>
      <c r="I1121" t="s">
        <v>6166</v>
      </c>
      <c r="J1121" t="s">
        <v>11990</v>
      </c>
      <c r="K1121" t="s">
        <v>16393</v>
      </c>
      <c r="L1121">
        <f>HYPERLINK("https://www2.assemblee-nationale.fr/sycomore/fiche/(num_dept)/3524", "3524")</f>
        <v>0</v>
      </c>
      <c r="N1121">
        <f>HYPERLINK("https://www.wikidata.org/wiki/Q16025801", "Q16025801")</f>
        <v>0</v>
      </c>
      <c r="O1121" t="s">
        <v>20020</v>
      </c>
      <c r="P1121" t="s">
        <v>20413</v>
      </c>
      <c r="Q1121" t="s">
        <v>20560</v>
      </c>
      <c r="R1121" t="s">
        <v>410</v>
      </c>
      <c r="S1121">
        <v>2037</v>
      </c>
    </row>
    <row r="1122" spans="1:19">
      <c r="A1122" t="s">
        <v>20</v>
      </c>
      <c r="B1122" t="s">
        <v>148</v>
      </c>
      <c r="C1122" t="s">
        <v>152</v>
      </c>
      <c r="D1122" t="s">
        <v>281</v>
      </c>
      <c r="E1122" t="s">
        <v>410</v>
      </c>
      <c r="F1122">
        <f>HYPERLINK("https://www.wikidata.org/wiki/Q33528422", "Q33528422")</f>
        <v>0</v>
      </c>
      <c r="G1122" t="s">
        <v>671</v>
      </c>
      <c r="H1122" t="s">
        <v>5430</v>
      </c>
      <c r="I1122" t="s">
        <v>9457</v>
      </c>
      <c r="J1122" t="s">
        <v>11421</v>
      </c>
      <c r="K1122" t="s">
        <v>15822</v>
      </c>
      <c r="L1122">
        <f>HYPERLINK("https://www2.assemblee-nationale.fr/sycomore/fiche/(num_dept)/3605", "3605")</f>
        <v>0</v>
      </c>
      <c r="N1122">
        <f>HYPERLINK("https://www.wikidata.org/wiki/Q3130359", "Q3130359")</f>
        <v>0</v>
      </c>
      <c r="O1122" t="s">
        <v>20013</v>
      </c>
      <c r="P1122" t="s">
        <v>20410</v>
      </c>
      <c r="Q1122" t="s">
        <v>20560</v>
      </c>
      <c r="R1122" t="s">
        <v>410</v>
      </c>
      <c r="S1122">
        <v>2037</v>
      </c>
    </row>
    <row r="1123" spans="1:19">
      <c r="A1123" t="s">
        <v>20</v>
      </c>
      <c r="B1123" t="s">
        <v>148</v>
      </c>
      <c r="C1123" t="s">
        <v>152</v>
      </c>
      <c r="D1123" t="s">
        <v>281</v>
      </c>
      <c r="E1123" t="s">
        <v>410</v>
      </c>
      <c r="F1123">
        <f>HYPERLINK("https://www.wikidata.org/wiki/Q33528422", "Q33528422")</f>
        <v>0</v>
      </c>
      <c r="G1123" t="s">
        <v>969</v>
      </c>
      <c r="H1123" t="s">
        <v>5721</v>
      </c>
      <c r="I1123" t="s">
        <v>9453</v>
      </c>
      <c r="J1123" t="s">
        <v>11590</v>
      </c>
      <c r="K1123" t="s">
        <v>16111</v>
      </c>
      <c r="L1123">
        <f>HYPERLINK("https://www2.assemblee-nationale.fr/sycomore/fiche/(num_dept)/3609", "3609")</f>
        <v>0</v>
      </c>
      <c r="N1123">
        <f>HYPERLINK("https://www.wikidata.org/wiki/Q2865129", "Q2865129")</f>
        <v>0</v>
      </c>
      <c r="O1123" t="s">
        <v>19969</v>
      </c>
      <c r="P1123" t="s">
        <v>20404</v>
      </c>
      <c r="Q1123" t="s">
        <v>20560</v>
      </c>
      <c r="R1123" t="s">
        <v>410</v>
      </c>
      <c r="S1123">
        <v>2037</v>
      </c>
    </row>
    <row r="1124" spans="1:19">
      <c r="A1124" t="s">
        <v>20</v>
      </c>
      <c r="B1124" t="s">
        <v>148</v>
      </c>
      <c r="C1124" t="s">
        <v>152</v>
      </c>
      <c r="D1124" t="s">
        <v>281</v>
      </c>
      <c r="E1124" t="s">
        <v>410</v>
      </c>
      <c r="F1124">
        <f>HYPERLINK("https://www.wikidata.org/wiki/Q33528422", "Q33528422")</f>
        <v>0</v>
      </c>
      <c r="G1124" t="s">
        <v>971</v>
      </c>
      <c r="H1124" t="s">
        <v>5723</v>
      </c>
      <c r="I1124" t="s">
        <v>6495</v>
      </c>
      <c r="J1124" t="s">
        <v>11709</v>
      </c>
      <c r="K1124" t="s">
        <v>16113</v>
      </c>
      <c r="L1124">
        <f>HYPERLINK("https://www2.assemblee-nationale.fr/sycomore/fiche/(num_dept)/3650", "3650")</f>
        <v>0</v>
      </c>
      <c r="N1124">
        <f>HYPERLINK("https://www.wikidata.org/wiki/Q3262102", "Q3262102")</f>
        <v>0</v>
      </c>
      <c r="O1124" t="s">
        <v>20047</v>
      </c>
      <c r="P1124" t="s">
        <v>20413</v>
      </c>
      <c r="Q1124" t="s">
        <v>20560</v>
      </c>
      <c r="R1124" t="s">
        <v>410</v>
      </c>
      <c r="S1124">
        <v>2037</v>
      </c>
    </row>
    <row r="1125" spans="1:19">
      <c r="A1125" t="s">
        <v>20</v>
      </c>
      <c r="B1125" t="s">
        <v>148</v>
      </c>
      <c r="C1125" t="s">
        <v>152</v>
      </c>
      <c r="D1125" t="s">
        <v>281</v>
      </c>
      <c r="E1125" t="s">
        <v>410</v>
      </c>
      <c r="F1125">
        <f>HYPERLINK("https://www.wikidata.org/wiki/Q33528422", "Q33528422")</f>
        <v>0</v>
      </c>
      <c r="G1125" t="s">
        <v>973</v>
      </c>
      <c r="H1125" t="s">
        <v>5725</v>
      </c>
      <c r="I1125" t="s">
        <v>6495</v>
      </c>
      <c r="J1125" t="s">
        <v>11711</v>
      </c>
      <c r="K1125" t="s">
        <v>16115</v>
      </c>
      <c r="L1125">
        <f>HYPERLINK("https://www2.assemblee-nationale.fr/sycomore/fiche/(num_dept)/3694", "3694")</f>
        <v>0</v>
      </c>
      <c r="N1125">
        <f>HYPERLINK("https://www.wikidata.org/wiki/Q16025831", "Q16025831")</f>
        <v>0</v>
      </c>
      <c r="O1125" t="s">
        <v>20013</v>
      </c>
      <c r="P1125" t="s">
        <v>20413</v>
      </c>
      <c r="Q1125" t="s">
        <v>20560</v>
      </c>
      <c r="R1125" t="s">
        <v>410</v>
      </c>
      <c r="S1125">
        <v>2037</v>
      </c>
    </row>
    <row r="1126" spans="1:19">
      <c r="A1126" t="s">
        <v>20</v>
      </c>
      <c r="B1126" t="s">
        <v>148</v>
      </c>
      <c r="C1126" t="s">
        <v>152</v>
      </c>
      <c r="D1126" t="s">
        <v>281</v>
      </c>
      <c r="E1126" t="s">
        <v>410</v>
      </c>
      <c r="F1126">
        <f>HYPERLINK("https://www.wikidata.org/wiki/Q33528422", "Q33528422")</f>
        <v>0</v>
      </c>
      <c r="G1126" t="s">
        <v>675</v>
      </c>
      <c r="H1126" t="s">
        <v>5434</v>
      </c>
      <c r="I1126" t="s">
        <v>7911</v>
      </c>
      <c r="J1126" t="s">
        <v>11425</v>
      </c>
      <c r="K1126" t="s">
        <v>15826</v>
      </c>
      <c r="L1126">
        <f>HYPERLINK("https://www2.assemblee-nationale.fr/sycomore/fiche/(num_dept)/3697", "3697")</f>
        <v>0</v>
      </c>
      <c r="N1126">
        <f>HYPERLINK("https://www.wikidata.org/wiki/Q2404053", "Q2404053")</f>
        <v>0</v>
      </c>
      <c r="O1126" t="s">
        <v>20023</v>
      </c>
      <c r="Q1126" t="s">
        <v>20560</v>
      </c>
      <c r="R1126" t="s">
        <v>410</v>
      </c>
      <c r="S1126">
        <v>2037</v>
      </c>
    </row>
    <row r="1127" spans="1:19">
      <c r="A1127" t="s">
        <v>20</v>
      </c>
      <c r="B1127" t="s">
        <v>148</v>
      </c>
      <c r="C1127" t="s">
        <v>152</v>
      </c>
      <c r="D1127" t="s">
        <v>281</v>
      </c>
      <c r="E1127" t="s">
        <v>410</v>
      </c>
      <c r="F1127">
        <f>HYPERLINK("https://www.wikidata.org/wiki/Q33528422", "Q33528422")</f>
        <v>0</v>
      </c>
      <c r="G1127" t="s">
        <v>1261</v>
      </c>
      <c r="H1127" t="s">
        <v>5985</v>
      </c>
      <c r="I1127" t="s">
        <v>9728</v>
      </c>
      <c r="J1127" t="s">
        <v>11991</v>
      </c>
      <c r="K1127" t="s">
        <v>16394</v>
      </c>
      <c r="L1127">
        <f>HYPERLINK("https://www2.assemblee-nationale.fr/sycomore/fiche/(num_dept)/3926", "3926")</f>
        <v>0</v>
      </c>
      <c r="N1127">
        <f>HYPERLINK("https://www.wikidata.org/wiki/Q3579897", "Q3579897")</f>
        <v>0</v>
      </c>
      <c r="O1127" t="s">
        <v>19969</v>
      </c>
      <c r="P1127" t="s">
        <v>20415</v>
      </c>
      <c r="Q1127" t="s">
        <v>20560</v>
      </c>
      <c r="R1127" t="s">
        <v>410</v>
      </c>
      <c r="S1127">
        <v>2037</v>
      </c>
    </row>
    <row r="1128" spans="1:19">
      <c r="A1128" t="s">
        <v>20</v>
      </c>
      <c r="B1128" t="s">
        <v>148</v>
      </c>
      <c r="C1128" t="s">
        <v>152</v>
      </c>
      <c r="D1128" t="s">
        <v>281</v>
      </c>
      <c r="E1128" t="s">
        <v>410</v>
      </c>
      <c r="F1128">
        <f>HYPERLINK("https://www.wikidata.org/wiki/Q33528422", "Q33528422")</f>
        <v>0</v>
      </c>
      <c r="G1128" t="s">
        <v>1262</v>
      </c>
      <c r="H1128" t="s">
        <v>5986</v>
      </c>
      <c r="I1128" t="s">
        <v>6584</v>
      </c>
      <c r="J1128" t="s">
        <v>11992</v>
      </c>
      <c r="K1128" t="s">
        <v>16395</v>
      </c>
      <c r="L1128">
        <f>HYPERLINK("https://www2.assemblee-nationale.fr/sycomore/fiche/(num_dept)/3932", "3932")</f>
        <v>0</v>
      </c>
      <c r="N1128">
        <f>HYPERLINK("https://www.wikidata.org/wiki/Q16011383", "Q16011383")</f>
        <v>0</v>
      </c>
      <c r="O1128" t="s">
        <v>20013</v>
      </c>
      <c r="P1128" t="s">
        <v>20404</v>
      </c>
      <c r="Q1128" t="s">
        <v>20560</v>
      </c>
      <c r="R1128" t="s">
        <v>410</v>
      </c>
      <c r="S1128">
        <v>2037</v>
      </c>
    </row>
    <row r="1129" spans="1:19">
      <c r="A1129" t="s">
        <v>20</v>
      </c>
      <c r="B1129" t="s">
        <v>148</v>
      </c>
      <c r="C1129" t="s">
        <v>152</v>
      </c>
      <c r="D1129" t="s">
        <v>281</v>
      </c>
      <c r="E1129" t="s">
        <v>410</v>
      </c>
      <c r="F1129">
        <f>HYPERLINK("https://www.wikidata.org/wiki/Q33528422", "Q33528422")</f>
        <v>0</v>
      </c>
      <c r="G1129" t="s">
        <v>1263</v>
      </c>
      <c r="H1129" t="s">
        <v>5987</v>
      </c>
      <c r="I1129" t="s">
        <v>9411</v>
      </c>
      <c r="J1129" t="s">
        <v>11993</v>
      </c>
      <c r="K1129" t="s">
        <v>16396</v>
      </c>
      <c r="L1129">
        <f>HYPERLINK("https://www2.assemblee-nationale.fr/sycomore/fiche/(num_dept)/4033", "4033")</f>
        <v>0</v>
      </c>
      <c r="N1129">
        <f>HYPERLINK("https://www.wikidata.org/wiki/Q16025872", "Q16025872")</f>
        <v>0</v>
      </c>
      <c r="O1129" t="s">
        <v>20034</v>
      </c>
      <c r="P1129" t="s">
        <v>20404</v>
      </c>
      <c r="Q1129" t="s">
        <v>20560</v>
      </c>
      <c r="R1129" t="s">
        <v>410</v>
      </c>
      <c r="S1129">
        <v>2037</v>
      </c>
    </row>
    <row r="1130" spans="1:19">
      <c r="A1130" t="s">
        <v>20</v>
      </c>
      <c r="B1130" t="s">
        <v>148</v>
      </c>
      <c r="C1130" t="s">
        <v>152</v>
      </c>
      <c r="D1130" t="s">
        <v>281</v>
      </c>
      <c r="E1130" t="s">
        <v>410</v>
      </c>
      <c r="F1130">
        <f>HYPERLINK("https://www.wikidata.org/wiki/Q33528422", "Q33528422")</f>
        <v>0</v>
      </c>
      <c r="G1130" t="s">
        <v>1264</v>
      </c>
      <c r="H1130" t="s">
        <v>5988</v>
      </c>
      <c r="I1130" t="s">
        <v>9442</v>
      </c>
      <c r="J1130" t="s">
        <v>11994</v>
      </c>
      <c r="K1130" t="s">
        <v>16397</v>
      </c>
      <c r="L1130">
        <f>HYPERLINK("https://www2.assemblee-nationale.fr/sycomore/fiche/(num_dept)/4060", "4060")</f>
        <v>0</v>
      </c>
      <c r="N1130">
        <f>HYPERLINK("https://www.wikidata.org/wiki/Q8345356", "Q8345356")</f>
        <v>0</v>
      </c>
      <c r="O1130" t="s">
        <v>19993</v>
      </c>
      <c r="P1130" t="s">
        <v>20413</v>
      </c>
      <c r="Q1130" t="s">
        <v>20560</v>
      </c>
      <c r="R1130" t="s">
        <v>410</v>
      </c>
      <c r="S1130">
        <v>2037</v>
      </c>
    </row>
    <row r="1131" spans="1:19">
      <c r="A1131" t="s">
        <v>20</v>
      </c>
      <c r="B1131" t="s">
        <v>148</v>
      </c>
      <c r="C1131" t="s">
        <v>152</v>
      </c>
      <c r="D1131" t="s">
        <v>281</v>
      </c>
      <c r="E1131" t="s">
        <v>410</v>
      </c>
      <c r="F1131">
        <f>HYPERLINK("https://www.wikidata.org/wiki/Q33528422", "Q33528422")</f>
        <v>0</v>
      </c>
      <c r="G1131" t="s">
        <v>1265</v>
      </c>
      <c r="H1131" t="s">
        <v>5989</v>
      </c>
      <c r="I1131" t="s">
        <v>9729</v>
      </c>
      <c r="J1131" t="s">
        <v>11995</v>
      </c>
      <c r="K1131" t="s">
        <v>16398</v>
      </c>
      <c r="L1131">
        <f>HYPERLINK("https://www2.assemblee-nationale.fr/sycomore/fiche/(num_dept)/4079", "4079")</f>
        <v>0</v>
      </c>
      <c r="M1131">
        <f>HYPERLINK("https://www.senat.fr/senateur-3eme-republique/jovelet_anatole1661r3.html", "jovelet_anatole1661r3")</f>
        <v>0</v>
      </c>
      <c r="N1131">
        <f>HYPERLINK("https://www.wikidata.org/wiki/Q2845585", "Q2845585")</f>
        <v>0</v>
      </c>
      <c r="O1131" t="s">
        <v>20012</v>
      </c>
      <c r="P1131" t="s">
        <v>20413</v>
      </c>
      <c r="Q1131" t="s">
        <v>20560</v>
      </c>
      <c r="R1131" t="s">
        <v>410</v>
      </c>
      <c r="S1131">
        <v>2037</v>
      </c>
    </row>
    <row r="1132" spans="1:19">
      <c r="A1132" t="s">
        <v>20</v>
      </c>
      <c r="B1132" t="s">
        <v>148</v>
      </c>
      <c r="C1132" t="s">
        <v>152</v>
      </c>
      <c r="D1132" t="s">
        <v>281</v>
      </c>
      <c r="E1132" t="s">
        <v>410</v>
      </c>
      <c r="F1132">
        <f>HYPERLINK("https://www.wikidata.org/wiki/Q33528422", "Q33528422")</f>
        <v>0</v>
      </c>
      <c r="G1132" t="s">
        <v>1266</v>
      </c>
      <c r="H1132" t="s">
        <v>5990</v>
      </c>
      <c r="I1132" t="s">
        <v>9457</v>
      </c>
      <c r="J1132" t="s">
        <v>11996</v>
      </c>
      <c r="K1132" t="s">
        <v>16399</v>
      </c>
      <c r="L1132">
        <f>HYPERLINK("https://www2.assemblee-nationale.fr/sycomore/fiche/(num_dept)/4207", "4207")</f>
        <v>0</v>
      </c>
      <c r="N1132">
        <f>HYPERLINK("https://www.wikidata.org/wiki/Q16025906", "Q16025906")</f>
        <v>0</v>
      </c>
      <c r="O1132" t="s">
        <v>19987</v>
      </c>
      <c r="P1132" t="s">
        <v>20413</v>
      </c>
      <c r="Q1132" t="s">
        <v>20560</v>
      </c>
      <c r="R1132" t="s">
        <v>410</v>
      </c>
      <c r="S1132">
        <v>2037</v>
      </c>
    </row>
    <row r="1133" spans="1:19">
      <c r="A1133" t="s">
        <v>20</v>
      </c>
      <c r="B1133" t="s">
        <v>148</v>
      </c>
      <c r="C1133" t="s">
        <v>152</v>
      </c>
      <c r="D1133" t="s">
        <v>281</v>
      </c>
      <c r="E1133" t="s">
        <v>410</v>
      </c>
      <c r="F1133">
        <f>HYPERLINK("https://www.wikidata.org/wiki/Q33528422", "Q33528422")</f>
        <v>0</v>
      </c>
      <c r="G1133" t="s">
        <v>1267</v>
      </c>
      <c r="H1133" t="s">
        <v>5991</v>
      </c>
      <c r="I1133" t="s">
        <v>9388</v>
      </c>
      <c r="J1133" t="s">
        <v>11997</v>
      </c>
      <c r="K1133" t="s">
        <v>16400</v>
      </c>
      <c r="L1133">
        <f>HYPERLINK("https://www2.assemblee-nationale.fr/sycomore/fiche/(num_dept)/4253", "4253")</f>
        <v>0</v>
      </c>
      <c r="M1133">
        <f>HYPERLINK("https://www.senat.fr/senateur-3eme-republique/laffont_paul0184r3.html", "laffont_paul0184r3")</f>
        <v>0</v>
      </c>
      <c r="N1133">
        <f>HYPERLINK("https://www.wikidata.org/wiki/Q3371619", "Q3371619")</f>
        <v>0</v>
      </c>
      <c r="O1133" t="s">
        <v>20019</v>
      </c>
      <c r="P1133" t="s">
        <v>20413</v>
      </c>
      <c r="Q1133" t="s">
        <v>20560</v>
      </c>
      <c r="R1133" t="s">
        <v>410</v>
      </c>
      <c r="S1133">
        <v>2037</v>
      </c>
    </row>
    <row r="1134" spans="1:19">
      <c r="A1134" t="s">
        <v>20</v>
      </c>
      <c r="B1134" t="s">
        <v>148</v>
      </c>
      <c r="C1134" t="s">
        <v>152</v>
      </c>
      <c r="D1134" t="s">
        <v>281</v>
      </c>
      <c r="E1134" t="s">
        <v>410</v>
      </c>
      <c r="F1134">
        <f>HYPERLINK("https://www.wikidata.org/wiki/Q33528422", "Q33528422")</f>
        <v>0</v>
      </c>
      <c r="G1134" t="s">
        <v>1268</v>
      </c>
      <c r="H1134" t="s">
        <v>5992</v>
      </c>
      <c r="I1134" t="s">
        <v>9730</v>
      </c>
      <c r="J1134" t="s">
        <v>11998</v>
      </c>
      <c r="K1134" t="s">
        <v>16401</v>
      </c>
      <c r="L1134">
        <f>HYPERLINK("https://www2.assemblee-nationale.fr/sycomore/fiche/(num_dept)/4259", "4259")</f>
        <v>0</v>
      </c>
      <c r="N1134">
        <f>HYPERLINK("https://www.wikidata.org/wiki/Q3057034", "Q3057034")</f>
        <v>0</v>
      </c>
      <c r="O1134" t="s">
        <v>19997</v>
      </c>
      <c r="P1134" t="s">
        <v>20404</v>
      </c>
      <c r="Q1134" t="s">
        <v>20560</v>
      </c>
      <c r="R1134" t="s">
        <v>410</v>
      </c>
      <c r="S1134">
        <v>2037</v>
      </c>
    </row>
    <row r="1135" spans="1:19">
      <c r="A1135" t="s">
        <v>20</v>
      </c>
      <c r="B1135" t="s">
        <v>148</v>
      </c>
      <c r="C1135" t="s">
        <v>152</v>
      </c>
      <c r="D1135" t="s">
        <v>281</v>
      </c>
      <c r="E1135" t="s">
        <v>410</v>
      </c>
      <c r="F1135">
        <f>HYPERLINK("https://www.wikidata.org/wiki/Q33528422", "Q33528422")</f>
        <v>0</v>
      </c>
      <c r="G1135" t="s">
        <v>1269</v>
      </c>
      <c r="H1135" t="s">
        <v>5993</v>
      </c>
      <c r="I1135" t="s">
        <v>6495</v>
      </c>
      <c r="J1135" t="s">
        <v>11999</v>
      </c>
      <c r="K1135" t="s">
        <v>16402</v>
      </c>
      <c r="L1135">
        <f>HYPERLINK("https://www2.assemblee-nationale.fr/sycomore/fiche/(num_dept)/4283", "4283")</f>
        <v>0</v>
      </c>
      <c r="N1135">
        <f>HYPERLINK("https://www.wikidata.org/wiki/Q16025925", "Q16025925")</f>
        <v>0</v>
      </c>
      <c r="O1135" t="s">
        <v>19969</v>
      </c>
      <c r="P1135" t="s">
        <v>20406</v>
      </c>
      <c r="Q1135" t="s">
        <v>20560</v>
      </c>
      <c r="R1135" t="s">
        <v>410</v>
      </c>
      <c r="S1135">
        <v>2037</v>
      </c>
    </row>
    <row r="1136" spans="1:19">
      <c r="A1136" t="s">
        <v>20</v>
      </c>
      <c r="B1136" t="s">
        <v>148</v>
      </c>
      <c r="C1136" t="s">
        <v>152</v>
      </c>
      <c r="D1136" t="s">
        <v>281</v>
      </c>
      <c r="E1136" t="s">
        <v>410</v>
      </c>
      <c r="F1136">
        <f>HYPERLINK("https://www.wikidata.org/wiki/Q33528422", "Q33528422")</f>
        <v>0</v>
      </c>
      <c r="G1136" t="s">
        <v>1270</v>
      </c>
      <c r="H1136" t="s">
        <v>5994</v>
      </c>
      <c r="I1136" t="s">
        <v>9376</v>
      </c>
      <c r="J1136" t="s">
        <v>12000</v>
      </c>
      <c r="K1136" t="s">
        <v>16403</v>
      </c>
      <c r="L1136">
        <f>HYPERLINK("https://www2.assemblee-nationale.fr/sycomore/fiche/(num_dept)/4323", "4323")</f>
        <v>0</v>
      </c>
      <c r="M1136">
        <f>HYPERLINK("https://www.senat.fr/senateur-3eme-republique/lancien_ferdinand0803r3.html", "lancien_ferdinand0803r3")</f>
        <v>0</v>
      </c>
      <c r="N1136">
        <f>HYPERLINK("https://www.wikidata.org/wiki/Q3068602", "Q3068602")</f>
        <v>0</v>
      </c>
      <c r="O1136" t="s">
        <v>20011</v>
      </c>
      <c r="P1136" t="s">
        <v>20406</v>
      </c>
      <c r="Q1136" t="s">
        <v>20560</v>
      </c>
      <c r="R1136" t="s">
        <v>410</v>
      </c>
      <c r="S1136">
        <v>2037</v>
      </c>
    </row>
    <row r="1137" spans="1:19">
      <c r="A1137" t="s">
        <v>20</v>
      </c>
      <c r="B1137" t="s">
        <v>148</v>
      </c>
      <c r="C1137" t="s">
        <v>152</v>
      </c>
      <c r="D1137" t="s">
        <v>281</v>
      </c>
      <c r="E1137" t="s">
        <v>410</v>
      </c>
      <c r="F1137">
        <f>HYPERLINK("https://www.wikidata.org/wiki/Q33528422", "Q33528422")</f>
        <v>0</v>
      </c>
      <c r="G1137" t="s">
        <v>986</v>
      </c>
      <c r="H1137" t="s">
        <v>5738</v>
      </c>
      <c r="I1137" t="s">
        <v>7419</v>
      </c>
      <c r="J1137" t="s">
        <v>11724</v>
      </c>
      <c r="K1137" t="s">
        <v>16128</v>
      </c>
      <c r="L1137">
        <f>HYPERLINK("https://www2.assemblee-nationale.fr/sycomore/fiche/(num_dept)/4392", "4392")</f>
        <v>0</v>
      </c>
      <c r="N1137">
        <f>HYPERLINK("https://www.wikidata.org/wiki/Q13080898", "Q13080898")</f>
        <v>0</v>
      </c>
      <c r="O1137" t="s">
        <v>19969</v>
      </c>
      <c r="P1137" t="s">
        <v>20404</v>
      </c>
      <c r="Q1137" t="s">
        <v>20560</v>
      </c>
      <c r="R1137" t="s">
        <v>410</v>
      </c>
      <c r="S1137">
        <v>2037</v>
      </c>
    </row>
    <row r="1138" spans="1:19">
      <c r="A1138" t="s">
        <v>20</v>
      </c>
      <c r="B1138" t="s">
        <v>148</v>
      </c>
      <c r="C1138" t="s">
        <v>152</v>
      </c>
      <c r="D1138" t="s">
        <v>281</v>
      </c>
      <c r="E1138" t="s">
        <v>410</v>
      </c>
      <c r="F1138">
        <f>HYPERLINK("https://www.wikidata.org/wiki/Q33528422", "Q33528422")</f>
        <v>0</v>
      </c>
      <c r="G1138" t="s">
        <v>988</v>
      </c>
      <c r="H1138" t="s">
        <v>5740</v>
      </c>
      <c r="I1138" t="s">
        <v>9457</v>
      </c>
      <c r="J1138" t="s">
        <v>11726</v>
      </c>
      <c r="K1138" t="s">
        <v>16130</v>
      </c>
      <c r="L1138">
        <f>HYPERLINK("https://www2.assemblee-nationale.fr/sycomore/fiche/(num_dept)/4828", "4828")</f>
        <v>0</v>
      </c>
      <c r="N1138">
        <f>HYPERLINK("https://www.wikidata.org/wiki/Q16026012", "Q16026012")</f>
        <v>0</v>
      </c>
      <c r="O1138" t="s">
        <v>20034</v>
      </c>
      <c r="P1138" t="s">
        <v>20413</v>
      </c>
      <c r="Q1138" t="s">
        <v>20560</v>
      </c>
      <c r="R1138" t="s">
        <v>410</v>
      </c>
      <c r="S1138">
        <v>2037</v>
      </c>
    </row>
    <row r="1139" spans="1:19">
      <c r="A1139" t="s">
        <v>20</v>
      </c>
      <c r="B1139" t="s">
        <v>148</v>
      </c>
      <c r="C1139" t="s">
        <v>152</v>
      </c>
      <c r="D1139" t="s">
        <v>281</v>
      </c>
      <c r="E1139" t="s">
        <v>410</v>
      </c>
      <c r="F1139">
        <f>HYPERLINK("https://www.wikidata.org/wiki/Q33528422", "Q33528422")</f>
        <v>0</v>
      </c>
      <c r="G1139" t="s">
        <v>1271</v>
      </c>
      <c r="H1139" t="s">
        <v>5995</v>
      </c>
      <c r="I1139" t="s">
        <v>6584</v>
      </c>
      <c r="J1139" t="s">
        <v>12001</v>
      </c>
      <c r="K1139" t="s">
        <v>16404</v>
      </c>
      <c r="L1139">
        <f>HYPERLINK("https://www2.assemblee-nationale.fr/sycomore/fiche/(num_dept)/4829", "4829")</f>
        <v>0</v>
      </c>
      <c r="M1139">
        <f>HYPERLINK("https://www.senat.fr/senateur-3eme-republique/louppe_albert0786r3.html", "louppe_albert0786r3")</f>
        <v>0</v>
      </c>
      <c r="N1139">
        <f>HYPERLINK("https://www.wikidata.org/wiki/Q2831353", "Q2831353")</f>
        <v>0</v>
      </c>
      <c r="O1139" t="s">
        <v>20011</v>
      </c>
      <c r="P1139" t="s">
        <v>20401</v>
      </c>
      <c r="Q1139" t="s">
        <v>20560</v>
      </c>
      <c r="R1139" t="s">
        <v>410</v>
      </c>
      <c r="S1139">
        <v>2037</v>
      </c>
    </row>
    <row r="1140" spans="1:19">
      <c r="A1140" t="s">
        <v>20</v>
      </c>
      <c r="B1140" t="s">
        <v>148</v>
      </c>
      <c r="C1140" t="s">
        <v>152</v>
      </c>
      <c r="D1140" t="s">
        <v>281</v>
      </c>
      <c r="E1140" t="s">
        <v>410</v>
      </c>
      <c r="F1140">
        <f>HYPERLINK("https://www.wikidata.org/wiki/Q33528422", "Q33528422")</f>
        <v>0</v>
      </c>
      <c r="G1140" t="s">
        <v>1272</v>
      </c>
      <c r="H1140" t="s">
        <v>5996</v>
      </c>
      <c r="I1140" t="s">
        <v>9476</v>
      </c>
      <c r="J1140" t="s">
        <v>12002</v>
      </c>
      <c r="K1140" t="s">
        <v>16405</v>
      </c>
      <c r="L1140">
        <f>HYPERLINK("https://www2.assemblee-nationale.fr/sycomore/fiche/(num_dept)/4849", "4849")</f>
        <v>0</v>
      </c>
      <c r="M1140">
        <f>HYPERLINK("https://www.senat.fr/senateur-3eme-republique/de_ludre_frolois_rene0897r3.html", "de_ludre_frolois_rene0897r3")</f>
        <v>0</v>
      </c>
      <c r="N1140">
        <f>HYPERLINK("https://www.wikidata.org/wiki/Q3427060", "Q3427060")</f>
        <v>0</v>
      </c>
      <c r="O1140" t="s">
        <v>19957</v>
      </c>
      <c r="P1140" t="s">
        <v>20414</v>
      </c>
      <c r="Q1140" t="s">
        <v>20560</v>
      </c>
      <c r="R1140" t="s">
        <v>410</v>
      </c>
      <c r="S1140">
        <v>2037</v>
      </c>
    </row>
    <row r="1141" spans="1:19">
      <c r="A1141" t="s">
        <v>20</v>
      </c>
      <c r="B1141" t="s">
        <v>148</v>
      </c>
      <c r="C1141" t="s">
        <v>152</v>
      </c>
      <c r="D1141" t="s">
        <v>281</v>
      </c>
      <c r="E1141" t="s">
        <v>410</v>
      </c>
      <c r="F1141">
        <f>HYPERLINK("https://www.wikidata.org/wiki/Q33528422", "Q33528422")</f>
        <v>0</v>
      </c>
      <c r="G1141" t="s">
        <v>1273</v>
      </c>
      <c r="H1141" t="s">
        <v>5997</v>
      </c>
      <c r="I1141" t="s">
        <v>6175</v>
      </c>
      <c r="J1141" t="s">
        <v>12003</v>
      </c>
      <c r="K1141" t="s">
        <v>16406</v>
      </c>
      <c r="L1141">
        <f>HYPERLINK("https://www2.assemblee-nationale.fr/sycomore/fiche/(num_dept)/4850", "4850")</f>
        <v>0</v>
      </c>
      <c r="M1141">
        <f>HYPERLINK("https://www.senat.fr/senateur-3eme-republique/lugol_georges1591r3.html", "lugol_georges1591r3")</f>
        <v>0</v>
      </c>
      <c r="N1141">
        <f>HYPERLINK("https://www.wikidata.org/wiki/Q3188745", "Q3188745")</f>
        <v>0</v>
      </c>
      <c r="O1141" t="s">
        <v>20026</v>
      </c>
      <c r="P1141" t="s">
        <v>20401</v>
      </c>
      <c r="Q1141" t="s">
        <v>20560</v>
      </c>
      <c r="R1141" t="s">
        <v>410</v>
      </c>
      <c r="S1141">
        <v>2037</v>
      </c>
    </row>
    <row r="1142" spans="1:19">
      <c r="A1142" t="s">
        <v>20</v>
      </c>
      <c r="B1142" t="s">
        <v>148</v>
      </c>
      <c r="C1142" t="s">
        <v>152</v>
      </c>
      <c r="D1142" t="s">
        <v>281</v>
      </c>
      <c r="E1142" t="s">
        <v>410</v>
      </c>
      <c r="F1142">
        <f>HYPERLINK("https://www.wikidata.org/wiki/Q33528422", "Q33528422")</f>
        <v>0</v>
      </c>
      <c r="G1142" t="s">
        <v>991</v>
      </c>
      <c r="H1142" t="s">
        <v>5743</v>
      </c>
      <c r="I1142" t="s">
        <v>9389</v>
      </c>
      <c r="J1142" t="s">
        <v>11729</v>
      </c>
      <c r="K1142" t="s">
        <v>16133</v>
      </c>
      <c r="L1142">
        <f>HYPERLINK("https://www2.assemblee-nationale.fr/sycomore/fiche/(num_dept)/4890", "4890")</f>
        <v>0</v>
      </c>
      <c r="N1142">
        <f>HYPERLINK("https://www.wikidata.org/wiki/Q3588635", "Q3588635")</f>
        <v>0</v>
      </c>
      <c r="O1142" t="s">
        <v>20012</v>
      </c>
      <c r="P1142" t="s">
        <v>20415</v>
      </c>
      <c r="Q1142" t="s">
        <v>20560</v>
      </c>
      <c r="R1142" t="s">
        <v>16133</v>
      </c>
      <c r="S1142">
        <v>1988</v>
      </c>
    </row>
    <row r="1143" spans="1:19">
      <c r="A1143" t="s">
        <v>20</v>
      </c>
      <c r="B1143" t="s">
        <v>148</v>
      </c>
      <c r="C1143" t="s">
        <v>152</v>
      </c>
      <c r="D1143" t="s">
        <v>281</v>
      </c>
      <c r="E1143" t="s">
        <v>410</v>
      </c>
      <c r="F1143">
        <f>HYPERLINK("https://www.wikidata.org/wiki/Q33528422", "Q33528422")</f>
        <v>0</v>
      </c>
      <c r="G1143" t="s">
        <v>993</v>
      </c>
      <c r="H1143" t="s">
        <v>5745</v>
      </c>
      <c r="I1143" t="s">
        <v>9611</v>
      </c>
      <c r="J1143" t="s">
        <v>11731</v>
      </c>
      <c r="K1143" t="s">
        <v>16134</v>
      </c>
      <c r="L1143">
        <f>HYPERLINK("https://www2.assemblee-nationale.fr/sycomore/fiche/(num_dept)/4913", "4913")</f>
        <v>0</v>
      </c>
      <c r="N1143">
        <f>HYPERLINK("https://www.wikidata.org/wiki/Q16026028", "Q16026028")</f>
        <v>0</v>
      </c>
      <c r="O1143" t="s">
        <v>19994</v>
      </c>
      <c r="P1143" t="s">
        <v>20406</v>
      </c>
      <c r="Q1143" t="s">
        <v>20560</v>
      </c>
      <c r="R1143" t="s">
        <v>410</v>
      </c>
      <c r="S1143">
        <v>2037</v>
      </c>
    </row>
    <row r="1144" spans="1:19">
      <c r="A1144" t="s">
        <v>20</v>
      </c>
      <c r="B1144" t="s">
        <v>148</v>
      </c>
      <c r="C1144" t="s">
        <v>152</v>
      </c>
      <c r="D1144" t="s">
        <v>281</v>
      </c>
      <c r="E1144" t="s">
        <v>410</v>
      </c>
      <c r="F1144">
        <f>HYPERLINK("https://www.wikidata.org/wiki/Q33528422", "Q33528422")</f>
        <v>0</v>
      </c>
      <c r="G1144" t="s">
        <v>995</v>
      </c>
      <c r="H1144" t="s">
        <v>5747</v>
      </c>
      <c r="I1144" t="s">
        <v>6860</v>
      </c>
      <c r="J1144" t="s">
        <v>11733</v>
      </c>
      <c r="K1144" t="s">
        <v>16136</v>
      </c>
      <c r="L1144">
        <f>HYPERLINK("https://www2.assemblee-nationale.fr/sycomore/fiche/(num_dept)/4961", "4961")</f>
        <v>0</v>
      </c>
      <c r="N1144">
        <f>HYPERLINK("https://www.wikidata.org/wiki/Q16026036", "Q16026036")</f>
        <v>0</v>
      </c>
      <c r="O1144" t="s">
        <v>19965</v>
      </c>
      <c r="P1144" t="s">
        <v>20404</v>
      </c>
      <c r="Q1144" t="s">
        <v>20560</v>
      </c>
      <c r="R1144" t="s">
        <v>410</v>
      </c>
      <c r="S1144">
        <v>2037</v>
      </c>
    </row>
    <row r="1145" spans="1:19">
      <c r="A1145" t="s">
        <v>20</v>
      </c>
      <c r="B1145" t="s">
        <v>148</v>
      </c>
      <c r="C1145" t="s">
        <v>152</v>
      </c>
      <c r="D1145" t="s">
        <v>281</v>
      </c>
      <c r="E1145" t="s">
        <v>410</v>
      </c>
      <c r="F1145">
        <f>HYPERLINK("https://www.wikidata.org/wiki/Q33528422", "Q33528422")</f>
        <v>0</v>
      </c>
      <c r="G1145" t="s">
        <v>723</v>
      </c>
      <c r="H1145" t="s">
        <v>5481</v>
      </c>
      <c r="I1145" t="s">
        <v>9458</v>
      </c>
      <c r="J1145" t="s">
        <v>11472</v>
      </c>
      <c r="K1145" t="s">
        <v>15874</v>
      </c>
      <c r="L1145">
        <f>HYPERLINK("https://www2.assemblee-nationale.fr/sycomore/fiche/(num_dept)/4991", "4991")</f>
        <v>0</v>
      </c>
      <c r="N1145">
        <f>HYPERLINK("https://www.wikidata.org/wiki/Q2835305", "Q2835305")</f>
        <v>0</v>
      </c>
      <c r="O1145" t="s">
        <v>20025</v>
      </c>
      <c r="P1145" t="s">
        <v>20401</v>
      </c>
      <c r="Q1145" t="s">
        <v>20560</v>
      </c>
      <c r="R1145" t="s">
        <v>410</v>
      </c>
      <c r="S1145">
        <v>2037</v>
      </c>
    </row>
    <row r="1146" spans="1:19">
      <c r="A1146" t="s">
        <v>20</v>
      </c>
      <c r="B1146" t="s">
        <v>148</v>
      </c>
      <c r="C1146" t="s">
        <v>152</v>
      </c>
      <c r="D1146" t="s">
        <v>281</v>
      </c>
      <c r="E1146" t="s">
        <v>410</v>
      </c>
      <c r="F1146">
        <f>HYPERLINK("https://www.wikidata.org/wiki/Q33528422", "Q33528422")</f>
        <v>0</v>
      </c>
      <c r="G1146" t="s">
        <v>996</v>
      </c>
      <c r="H1146" t="s">
        <v>5748</v>
      </c>
      <c r="I1146" t="s">
        <v>9613</v>
      </c>
      <c r="J1146" t="s">
        <v>11734</v>
      </c>
      <c r="K1146" t="s">
        <v>16137</v>
      </c>
      <c r="L1146">
        <f>HYPERLINK("https://www2.assemblee-nationale.fr/sycomore/fiche/(num_dept)/5000", "5000")</f>
        <v>0</v>
      </c>
      <c r="N1146">
        <f>HYPERLINK("https://www.wikidata.org/wiki/Q3179709", "Q3179709")</f>
        <v>0</v>
      </c>
      <c r="O1146" t="s">
        <v>19965</v>
      </c>
      <c r="P1146" t="s">
        <v>20404</v>
      </c>
      <c r="Q1146" t="s">
        <v>20560</v>
      </c>
      <c r="R1146" t="s">
        <v>16137</v>
      </c>
      <c r="S1146">
        <v>17</v>
      </c>
    </row>
    <row r="1147" spans="1:19">
      <c r="A1147" t="s">
        <v>20</v>
      </c>
      <c r="B1147" t="s">
        <v>148</v>
      </c>
      <c r="C1147" t="s">
        <v>152</v>
      </c>
      <c r="D1147" t="s">
        <v>281</v>
      </c>
      <c r="E1147" t="s">
        <v>410</v>
      </c>
      <c r="F1147">
        <f>HYPERLINK("https://www.wikidata.org/wiki/Q33528422", "Q33528422")</f>
        <v>0</v>
      </c>
      <c r="G1147" t="s">
        <v>999</v>
      </c>
      <c r="H1147" t="s">
        <v>5485</v>
      </c>
      <c r="I1147" t="s">
        <v>9614</v>
      </c>
      <c r="J1147" t="s">
        <v>11737</v>
      </c>
      <c r="K1147" t="s">
        <v>16140</v>
      </c>
      <c r="L1147">
        <f>HYPERLINK("https://www2.assemblee-nationale.fr/sycomore/fiche/(num_dept)/5100", "5100")</f>
        <v>0</v>
      </c>
      <c r="N1147">
        <f>HYPERLINK("https://www.wikidata.org/wiki/Q2958995", "Q2958995")</f>
        <v>0</v>
      </c>
      <c r="O1147" t="s">
        <v>20036</v>
      </c>
      <c r="P1147" t="s">
        <v>20401</v>
      </c>
      <c r="Q1147" t="s">
        <v>20560</v>
      </c>
      <c r="R1147" t="s">
        <v>410</v>
      </c>
      <c r="S1147">
        <v>2037</v>
      </c>
    </row>
    <row r="1148" spans="1:19">
      <c r="A1148" t="s">
        <v>20</v>
      </c>
      <c r="B1148" t="s">
        <v>148</v>
      </c>
      <c r="C1148" t="s">
        <v>152</v>
      </c>
      <c r="D1148" t="s">
        <v>281</v>
      </c>
      <c r="E1148" t="s">
        <v>410</v>
      </c>
      <c r="F1148">
        <f>HYPERLINK("https://www.wikidata.org/wiki/Q33528422", "Q33528422")</f>
        <v>0</v>
      </c>
      <c r="G1148" t="s">
        <v>728</v>
      </c>
      <c r="H1148" t="s">
        <v>5486</v>
      </c>
      <c r="I1148" t="s">
        <v>7642</v>
      </c>
      <c r="J1148" t="s">
        <v>11477</v>
      </c>
      <c r="K1148" t="s">
        <v>15879</v>
      </c>
      <c r="L1148">
        <f>HYPERLINK("https://www2.assemblee-nationale.fr/sycomore/fiche/(num_dept)/5121", "5121")</f>
        <v>0</v>
      </c>
      <c r="N1148">
        <f>HYPERLINK("https://www.wikidata.org/wiki/Q3301152", "Q3301152")</f>
        <v>0</v>
      </c>
      <c r="O1148" t="s">
        <v>19971</v>
      </c>
      <c r="P1148" t="s">
        <v>20401</v>
      </c>
      <c r="Q1148" t="s">
        <v>20560</v>
      </c>
      <c r="R1148" t="s">
        <v>410</v>
      </c>
      <c r="S1148">
        <v>2037</v>
      </c>
    </row>
    <row r="1149" spans="1:19">
      <c r="A1149" t="s">
        <v>20</v>
      </c>
      <c r="B1149" t="s">
        <v>148</v>
      </c>
      <c r="C1149" t="s">
        <v>152</v>
      </c>
      <c r="D1149" t="s">
        <v>281</v>
      </c>
      <c r="E1149" t="s">
        <v>410</v>
      </c>
      <c r="F1149">
        <f>HYPERLINK("https://www.wikidata.org/wiki/Q33528422", "Q33528422")</f>
        <v>0</v>
      </c>
      <c r="G1149" t="s">
        <v>1274</v>
      </c>
      <c r="H1149" t="s">
        <v>5998</v>
      </c>
      <c r="I1149" t="s">
        <v>9731</v>
      </c>
      <c r="J1149" t="s">
        <v>12004</v>
      </c>
      <c r="K1149" t="s">
        <v>16407</v>
      </c>
      <c r="L1149">
        <f>HYPERLINK("https://www2.assemblee-nationale.fr/sycomore/fiche/(num_dept)/5139", "5139")</f>
        <v>0</v>
      </c>
      <c r="N1149">
        <f>HYPERLINK("https://www.wikidata.org/wiki/Q16026073", "Q16026073")</f>
        <v>0</v>
      </c>
      <c r="O1149" t="s">
        <v>19969</v>
      </c>
      <c r="P1149" t="s">
        <v>20404</v>
      </c>
      <c r="Q1149" t="s">
        <v>20560</v>
      </c>
      <c r="R1149" t="s">
        <v>410</v>
      </c>
      <c r="S1149">
        <v>2037</v>
      </c>
    </row>
    <row r="1150" spans="1:19">
      <c r="A1150" t="s">
        <v>20</v>
      </c>
      <c r="B1150" t="s">
        <v>148</v>
      </c>
      <c r="C1150" t="s">
        <v>152</v>
      </c>
      <c r="D1150" t="s">
        <v>281</v>
      </c>
      <c r="E1150" t="s">
        <v>410</v>
      </c>
      <c r="F1150">
        <f>HYPERLINK("https://www.wikidata.org/wiki/Q33528422", "Q33528422")</f>
        <v>0</v>
      </c>
      <c r="G1150" t="s">
        <v>1275</v>
      </c>
      <c r="H1150" t="s">
        <v>5999</v>
      </c>
      <c r="I1150" t="s">
        <v>6860</v>
      </c>
      <c r="J1150" t="s">
        <v>12005</v>
      </c>
      <c r="K1150" t="s">
        <v>16408</v>
      </c>
      <c r="L1150">
        <f>HYPERLINK("https://www2.assemblee-nationale.fr/sycomore/fiche/(num_dept)/5167", "5167")</f>
        <v>0</v>
      </c>
      <c r="N1150">
        <f>HYPERLINK("https://www.wikidata.org/wiki/Q3386394", "Q3386394")</f>
        <v>0</v>
      </c>
      <c r="O1150" t="s">
        <v>20013</v>
      </c>
      <c r="P1150" t="s">
        <v>20404</v>
      </c>
      <c r="Q1150" t="s">
        <v>20560</v>
      </c>
      <c r="R1150" t="s">
        <v>410</v>
      </c>
      <c r="S1150">
        <v>2037</v>
      </c>
    </row>
    <row r="1151" spans="1:19">
      <c r="A1151" t="s">
        <v>20</v>
      </c>
      <c r="B1151" t="s">
        <v>148</v>
      </c>
      <c r="C1151" t="s">
        <v>152</v>
      </c>
      <c r="D1151" t="s">
        <v>281</v>
      </c>
      <c r="E1151" t="s">
        <v>410</v>
      </c>
      <c r="F1151">
        <f>HYPERLINK("https://www.wikidata.org/wiki/Q33528422", "Q33528422")</f>
        <v>0</v>
      </c>
      <c r="G1151" t="s">
        <v>1276</v>
      </c>
      <c r="H1151" t="s">
        <v>6000</v>
      </c>
      <c r="I1151" t="s">
        <v>9446</v>
      </c>
      <c r="J1151" t="s">
        <v>12006</v>
      </c>
      <c r="K1151" t="s">
        <v>16409</v>
      </c>
      <c r="L1151">
        <f>HYPERLINK("https://www2.assemblee-nationale.fr/sycomore/fiche/(num_dept)/5208", "5208")</f>
        <v>0</v>
      </c>
      <c r="M1151">
        <f>HYPERLINK("https://www.senat.fr/senateur-3eme-republique/merlin_fernand1341r3.html", "merlin_fernand1341r3")</f>
        <v>0</v>
      </c>
      <c r="N1151">
        <f>HYPERLINK("https://www.wikidata.org/wiki/Q3069270", "Q3069270")</f>
        <v>0</v>
      </c>
      <c r="O1151" t="s">
        <v>19997</v>
      </c>
      <c r="P1151" t="s">
        <v>20413</v>
      </c>
      <c r="Q1151" t="s">
        <v>20560</v>
      </c>
      <c r="R1151" t="s">
        <v>410</v>
      </c>
      <c r="S1151">
        <v>2037</v>
      </c>
    </row>
    <row r="1152" spans="1:19">
      <c r="A1152" t="s">
        <v>20</v>
      </c>
      <c r="B1152" t="s">
        <v>148</v>
      </c>
      <c r="C1152" t="s">
        <v>152</v>
      </c>
      <c r="D1152" t="s">
        <v>281</v>
      </c>
      <c r="E1152" t="s">
        <v>410</v>
      </c>
      <c r="F1152">
        <f>HYPERLINK("https://www.wikidata.org/wiki/Q33528422", "Q33528422")</f>
        <v>0</v>
      </c>
      <c r="G1152" t="s">
        <v>1006</v>
      </c>
      <c r="H1152" t="s">
        <v>5757</v>
      </c>
      <c r="I1152" t="s">
        <v>9388</v>
      </c>
      <c r="J1152" t="s">
        <v>11743</v>
      </c>
      <c r="K1152" t="s">
        <v>16147</v>
      </c>
      <c r="L1152">
        <f>HYPERLINK("https://www2.assemblee-nationale.fr/sycomore/fiche/(num_dept)/5311", "5311")</f>
        <v>0</v>
      </c>
      <c r="N1152">
        <f>HYPERLINK("https://www.wikidata.org/wiki/Q3371849", "Q3371849")</f>
        <v>0</v>
      </c>
      <c r="O1152" t="s">
        <v>20006</v>
      </c>
      <c r="P1152" t="s">
        <v>20404</v>
      </c>
      <c r="Q1152" t="s">
        <v>20560</v>
      </c>
      <c r="R1152" t="s">
        <v>410</v>
      </c>
      <c r="S1152">
        <v>2037</v>
      </c>
    </row>
    <row r="1153" spans="1:19">
      <c r="A1153" t="s">
        <v>20</v>
      </c>
      <c r="B1153" t="s">
        <v>148</v>
      </c>
      <c r="C1153" t="s">
        <v>152</v>
      </c>
      <c r="D1153" t="s">
        <v>281</v>
      </c>
      <c r="E1153" t="s">
        <v>410</v>
      </c>
      <c r="F1153">
        <f>HYPERLINK("https://www.wikidata.org/wiki/Q33528422", "Q33528422")</f>
        <v>0</v>
      </c>
      <c r="G1153" t="s">
        <v>1007</v>
      </c>
      <c r="H1153" t="s">
        <v>5758</v>
      </c>
      <c r="I1153" t="s">
        <v>9618</v>
      </c>
      <c r="J1153" t="s">
        <v>11744</v>
      </c>
      <c r="K1153" t="s">
        <v>15959</v>
      </c>
      <c r="L1153">
        <f>HYPERLINK("https://www2.assemblee-nationale.fr/sycomore/fiche/(num_dept)/5331", "5331")</f>
        <v>0</v>
      </c>
      <c r="N1153">
        <f>HYPERLINK("https://www.wikidata.org/wiki/Q16026439", "Q16026439")</f>
        <v>0</v>
      </c>
      <c r="O1153" t="s">
        <v>7411</v>
      </c>
      <c r="P1153" t="s">
        <v>20415</v>
      </c>
      <c r="Q1153" t="s">
        <v>20560</v>
      </c>
      <c r="R1153" t="s">
        <v>15959</v>
      </c>
      <c r="S1153">
        <v>1601</v>
      </c>
    </row>
    <row r="1154" spans="1:19">
      <c r="A1154" t="s">
        <v>20</v>
      </c>
      <c r="B1154" t="s">
        <v>148</v>
      </c>
      <c r="C1154" t="s">
        <v>152</v>
      </c>
      <c r="D1154" t="s">
        <v>281</v>
      </c>
      <c r="E1154" t="s">
        <v>410</v>
      </c>
      <c r="F1154">
        <f>HYPERLINK("https://www.wikidata.org/wiki/Q33528422", "Q33528422")</f>
        <v>0</v>
      </c>
      <c r="G1154" t="s">
        <v>1277</v>
      </c>
      <c r="H1154" t="s">
        <v>6001</v>
      </c>
      <c r="I1154" t="s">
        <v>9732</v>
      </c>
      <c r="J1154" t="s">
        <v>12007</v>
      </c>
      <c r="K1154" t="s">
        <v>16410</v>
      </c>
      <c r="L1154">
        <f>HYPERLINK("https://www2.assemblee-nationale.fr/sycomore/fiche/(num_dept)/5353", "5353")</f>
        <v>0</v>
      </c>
      <c r="N1154">
        <f>HYPERLINK("https://www.wikidata.org/wiki/Q3131240", "Q3131240")</f>
        <v>0</v>
      </c>
      <c r="O1154" t="s">
        <v>19982</v>
      </c>
      <c r="P1154" t="s">
        <v>20409</v>
      </c>
      <c r="Q1154" t="s">
        <v>20560</v>
      </c>
      <c r="R1154" t="s">
        <v>410</v>
      </c>
      <c r="S1154">
        <v>2037</v>
      </c>
    </row>
    <row r="1155" spans="1:19">
      <c r="A1155" t="s">
        <v>20</v>
      </c>
      <c r="B1155" t="s">
        <v>148</v>
      </c>
      <c r="C1155" t="s">
        <v>152</v>
      </c>
      <c r="D1155" t="s">
        <v>281</v>
      </c>
      <c r="E1155" t="s">
        <v>410</v>
      </c>
      <c r="F1155">
        <f>HYPERLINK("https://www.wikidata.org/wiki/Q33528422", "Q33528422")</f>
        <v>0</v>
      </c>
      <c r="G1155" t="s">
        <v>735</v>
      </c>
      <c r="H1155" t="s">
        <v>5493</v>
      </c>
      <c r="I1155" t="s">
        <v>9426</v>
      </c>
      <c r="J1155" t="s">
        <v>11484</v>
      </c>
      <c r="K1155" t="s">
        <v>15886</v>
      </c>
      <c r="L1155">
        <f>HYPERLINK("https://www2.assemblee-nationale.fr/sycomore/fiche/(num_dept)/5355", "5355")</f>
        <v>0</v>
      </c>
      <c r="N1155">
        <f>HYPERLINK("https://www.wikidata.org/wiki/Q16026122", "Q16026122")</f>
        <v>0</v>
      </c>
      <c r="O1155" t="s">
        <v>20020</v>
      </c>
      <c r="P1155" t="s">
        <v>20413</v>
      </c>
      <c r="Q1155" t="s">
        <v>20560</v>
      </c>
      <c r="R1155" t="s">
        <v>410</v>
      </c>
      <c r="S1155">
        <v>2037</v>
      </c>
    </row>
    <row r="1156" spans="1:19">
      <c r="A1156" t="s">
        <v>20</v>
      </c>
      <c r="B1156" t="s">
        <v>148</v>
      </c>
      <c r="C1156" t="s">
        <v>152</v>
      </c>
      <c r="D1156" t="s">
        <v>281</v>
      </c>
      <c r="E1156" t="s">
        <v>410</v>
      </c>
      <c r="F1156">
        <f>HYPERLINK("https://www.wikidata.org/wiki/Q33528422", "Q33528422")</f>
        <v>0</v>
      </c>
      <c r="G1156" t="s">
        <v>737</v>
      </c>
      <c r="H1156" t="s">
        <v>5495</v>
      </c>
      <c r="I1156" t="s">
        <v>9502</v>
      </c>
      <c r="J1156" t="s">
        <v>11486</v>
      </c>
      <c r="K1156" t="s">
        <v>15888</v>
      </c>
      <c r="L1156">
        <f>HYPERLINK("https://www2.assemblee-nationale.fr/sycomore/fiche/(num_dept)/5390", "5390")</f>
        <v>0</v>
      </c>
      <c r="N1156">
        <f>HYPERLINK("https://www.wikidata.org/wiki/Q3580083", "Q3580083")</f>
        <v>0</v>
      </c>
      <c r="O1156" t="s">
        <v>19982</v>
      </c>
      <c r="P1156" t="s">
        <v>20414</v>
      </c>
      <c r="Q1156" t="s">
        <v>20560</v>
      </c>
      <c r="R1156" t="s">
        <v>410</v>
      </c>
      <c r="S1156">
        <v>2037</v>
      </c>
    </row>
    <row r="1157" spans="1:19">
      <c r="A1157" t="s">
        <v>20</v>
      </c>
      <c r="B1157" t="s">
        <v>148</v>
      </c>
      <c r="C1157" t="s">
        <v>152</v>
      </c>
      <c r="D1157" t="s">
        <v>281</v>
      </c>
      <c r="E1157" t="s">
        <v>410</v>
      </c>
      <c r="F1157">
        <f>HYPERLINK("https://www.wikidata.org/wiki/Q33528422", "Q33528422")</f>
        <v>0</v>
      </c>
      <c r="G1157" t="s">
        <v>1278</v>
      </c>
      <c r="H1157" t="s">
        <v>5760</v>
      </c>
      <c r="I1157" t="s">
        <v>9376</v>
      </c>
      <c r="J1157" t="s">
        <v>12008</v>
      </c>
      <c r="K1157" t="s">
        <v>16411</v>
      </c>
      <c r="L1157">
        <f>HYPERLINK("https://www2.assemblee-nationale.fr/sycomore/fiche/(num_dept)/5421", "5421")</f>
        <v>0</v>
      </c>
      <c r="N1157">
        <f>HYPERLINK("https://www.wikidata.org/wiki/Q3068631", "Q3068631")</f>
        <v>0</v>
      </c>
      <c r="O1157" t="s">
        <v>20008</v>
      </c>
      <c r="P1157" t="s">
        <v>20404</v>
      </c>
      <c r="Q1157" t="s">
        <v>20560</v>
      </c>
      <c r="R1157" t="s">
        <v>410</v>
      </c>
      <c r="S1157">
        <v>2037</v>
      </c>
    </row>
    <row r="1158" spans="1:19">
      <c r="A1158" t="s">
        <v>20</v>
      </c>
      <c r="B1158" t="s">
        <v>148</v>
      </c>
      <c r="C1158" t="s">
        <v>152</v>
      </c>
      <c r="D1158" t="s">
        <v>281</v>
      </c>
      <c r="E1158" t="s">
        <v>410</v>
      </c>
      <c r="F1158">
        <f>HYPERLINK("https://www.wikidata.org/wiki/Q33528422", "Q33528422")</f>
        <v>0</v>
      </c>
      <c r="G1158" t="s">
        <v>1010</v>
      </c>
      <c r="H1158" t="s">
        <v>5760</v>
      </c>
      <c r="I1158" t="s">
        <v>9474</v>
      </c>
      <c r="J1158" t="s">
        <v>11747</v>
      </c>
      <c r="K1158" t="s">
        <v>16150</v>
      </c>
      <c r="L1158">
        <f>HYPERLINK("https://www2.assemblee-nationale.fr/sycomore/fiche/(num_dept)/5423", "5423")</f>
        <v>0</v>
      </c>
      <c r="N1158">
        <f>HYPERLINK("https://www.wikidata.org/wiki/Q3164301", "Q3164301")</f>
        <v>0</v>
      </c>
      <c r="O1158" t="s">
        <v>19996</v>
      </c>
      <c r="P1158" t="s">
        <v>20413</v>
      </c>
      <c r="Q1158" t="s">
        <v>20560</v>
      </c>
      <c r="R1158" t="s">
        <v>16150</v>
      </c>
      <c r="S1158">
        <v>1916</v>
      </c>
    </row>
    <row r="1159" spans="1:19">
      <c r="A1159" t="s">
        <v>20</v>
      </c>
      <c r="B1159" t="s">
        <v>148</v>
      </c>
      <c r="C1159" t="s">
        <v>152</v>
      </c>
      <c r="D1159" t="s">
        <v>281</v>
      </c>
      <c r="E1159" t="s">
        <v>410</v>
      </c>
      <c r="F1159">
        <f>HYPERLINK("https://www.wikidata.org/wiki/Q33528422", "Q33528422")</f>
        <v>0</v>
      </c>
      <c r="G1159" t="s">
        <v>1279</v>
      </c>
      <c r="H1159" t="s">
        <v>6002</v>
      </c>
      <c r="I1159" t="s">
        <v>6495</v>
      </c>
      <c r="J1159" t="s">
        <v>12009</v>
      </c>
      <c r="K1159" t="s">
        <v>16412</v>
      </c>
      <c r="L1159">
        <f>HYPERLINK("https://www2.assemblee-nationale.fr/sycomore/fiche/(num_dept)/5456", "5456")</f>
        <v>0</v>
      </c>
      <c r="M1159">
        <f>HYPERLINK("https://www.senat.fr/senateur-3eme-republique/mourier_louis0823r3.html", "mourier_louis0823r3")</f>
        <v>0</v>
      </c>
      <c r="N1159">
        <f>HYPERLINK("https://www.wikidata.org/wiki/Q1871877", "Q1871877")</f>
        <v>0</v>
      </c>
      <c r="O1159" t="s">
        <v>20014</v>
      </c>
      <c r="P1159" t="s">
        <v>20413</v>
      </c>
      <c r="Q1159" t="s">
        <v>20560</v>
      </c>
      <c r="R1159" t="s">
        <v>410</v>
      </c>
      <c r="S1159">
        <v>2037</v>
      </c>
    </row>
    <row r="1160" spans="1:19">
      <c r="A1160" t="s">
        <v>20</v>
      </c>
      <c r="B1160" t="s">
        <v>148</v>
      </c>
      <c r="C1160" t="s">
        <v>152</v>
      </c>
      <c r="D1160" t="s">
        <v>281</v>
      </c>
      <c r="E1160" t="s">
        <v>410</v>
      </c>
      <c r="F1160">
        <f>HYPERLINK("https://www.wikidata.org/wiki/Q33528422", "Q33528422")</f>
        <v>0</v>
      </c>
      <c r="G1160" t="s">
        <v>1280</v>
      </c>
      <c r="H1160" t="s">
        <v>5500</v>
      </c>
      <c r="I1160" t="s">
        <v>9733</v>
      </c>
      <c r="J1160" t="s">
        <v>12010</v>
      </c>
      <c r="K1160" t="s">
        <v>16413</v>
      </c>
      <c r="L1160">
        <f>HYPERLINK("https://www2.assemblee-nationale.fr/sycomore/fiche/(num_dept)/5483", "5483")</f>
        <v>0</v>
      </c>
      <c r="N1160">
        <f>HYPERLINK("https://www.wikidata.org/wiki/Q2899751", "Q2899751")</f>
        <v>0</v>
      </c>
      <c r="O1160" t="s">
        <v>20025</v>
      </c>
      <c r="P1160" t="s">
        <v>20409</v>
      </c>
      <c r="Q1160" t="s">
        <v>20560</v>
      </c>
      <c r="R1160" t="s">
        <v>410</v>
      </c>
      <c r="S1160">
        <v>2037</v>
      </c>
    </row>
    <row r="1161" spans="1:19">
      <c r="A1161" t="s">
        <v>20</v>
      </c>
      <c r="B1161" t="s">
        <v>148</v>
      </c>
      <c r="C1161" t="s">
        <v>152</v>
      </c>
      <c r="D1161" t="s">
        <v>281</v>
      </c>
      <c r="E1161" t="s">
        <v>410</v>
      </c>
      <c r="F1161">
        <f>HYPERLINK("https://www.wikidata.org/wiki/Q33528422", "Q33528422")</f>
        <v>0</v>
      </c>
      <c r="G1161" t="s">
        <v>1281</v>
      </c>
      <c r="H1161" t="s">
        <v>6003</v>
      </c>
      <c r="I1161" t="s">
        <v>9734</v>
      </c>
      <c r="J1161" t="s">
        <v>12011</v>
      </c>
      <c r="K1161" t="s">
        <v>16414</v>
      </c>
      <c r="L1161">
        <f>HYPERLINK("https://www2.assemblee-nationale.fr/sycomore/fiche/(num_dept)/5499", "5499")</f>
        <v>0</v>
      </c>
      <c r="N1161">
        <f>HYPERLINK("https://www.wikidata.org/wiki/Q3188821", "Q3188821")</f>
        <v>0</v>
      </c>
      <c r="O1161" t="s">
        <v>20044</v>
      </c>
      <c r="P1161" t="s">
        <v>20404</v>
      </c>
      <c r="Q1161" t="s">
        <v>20560</v>
      </c>
      <c r="R1161" t="s">
        <v>410</v>
      </c>
      <c r="S1161">
        <v>2037</v>
      </c>
    </row>
    <row r="1162" spans="1:19">
      <c r="A1162" t="s">
        <v>20</v>
      </c>
      <c r="B1162" t="s">
        <v>148</v>
      </c>
      <c r="C1162" t="s">
        <v>152</v>
      </c>
      <c r="D1162" t="s">
        <v>281</v>
      </c>
      <c r="E1162" t="s">
        <v>410</v>
      </c>
      <c r="F1162">
        <f>HYPERLINK("https://www.wikidata.org/wiki/Q33528422", "Q33528422")</f>
        <v>0</v>
      </c>
      <c r="G1162" t="s">
        <v>1013</v>
      </c>
      <c r="H1162" t="s">
        <v>5763</v>
      </c>
      <c r="I1162" t="s">
        <v>6495</v>
      </c>
      <c r="J1162" t="s">
        <v>11750</v>
      </c>
      <c r="K1162" t="s">
        <v>16153</v>
      </c>
      <c r="L1162">
        <f>HYPERLINK("https://www2.assemblee-nationale.fr/sycomore/fiche/(num_dept)/5502", "5502")</f>
        <v>0</v>
      </c>
      <c r="N1162">
        <f>HYPERLINK("https://www.wikidata.org/wiki/Q3262775", "Q3262775")</f>
        <v>0</v>
      </c>
      <c r="O1162" t="s">
        <v>19961</v>
      </c>
      <c r="P1162" t="s">
        <v>20413</v>
      </c>
      <c r="Q1162" t="s">
        <v>20560</v>
      </c>
      <c r="R1162" t="s">
        <v>410</v>
      </c>
      <c r="S1162">
        <v>2037</v>
      </c>
    </row>
    <row r="1163" spans="1:19">
      <c r="A1163" t="s">
        <v>20</v>
      </c>
      <c r="B1163" t="s">
        <v>148</v>
      </c>
      <c r="C1163" t="s">
        <v>152</v>
      </c>
      <c r="D1163" t="s">
        <v>281</v>
      </c>
      <c r="E1163" t="s">
        <v>410</v>
      </c>
      <c r="F1163">
        <f>HYPERLINK("https://www.wikidata.org/wiki/Q33528422", "Q33528422")</f>
        <v>0</v>
      </c>
      <c r="G1163" t="s">
        <v>1282</v>
      </c>
      <c r="H1163" t="s">
        <v>6004</v>
      </c>
      <c r="I1163" t="s">
        <v>6495</v>
      </c>
      <c r="J1163" t="s">
        <v>12012</v>
      </c>
      <c r="K1163" t="s">
        <v>16415</v>
      </c>
      <c r="L1163">
        <f>HYPERLINK("https://www2.assemblee-nationale.fr/sycomore/fiche/(num_dept)/5517", "5517")</f>
        <v>0</v>
      </c>
      <c r="N1163">
        <f>HYPERLINK("https://www.wikidata.org/wiki/Q13080935", "Q13080935")</f>
        <v>0</v>
      </c>
      <c r="O1163" t="s">
        <v>19969</v>
      </c>
      <c r="P1163" t="s">
        <v>20404</v>
      </c>
      <c r="Q1163" t="s">
        <v>20560</v>
      </c>
      <c r="R1163" t="s">
        <v>410</v>
      </c>
      <c r="S1163">
        <v>2037</v>
      </c>
    </row>
    <row r="1164" spans="1:19">
      <c r="A1164" t="s">
        <v>20</v>
      </c>
      <c r="B1164" t="s">
        <v>148</v>
      </c>
      <c r="C1164" t="s">
        <v>152</v>
      </c>
      <c r="D1164" t="s">
        <v>281</v>
      </c>
      <c r="E1164" t="s">
        <v>410</v>
      </c>
      <c r="F1164">
        <f>HYPERLINK("https://www.wikidata.org/wiki/Q33528422", "Q33528422")</f>
        <v>0</v>
      </c>
      <c r="G1164" t="s">
        <v>1014</v>
      </c>
      <c r="H1164" t="s">
        <v>5764</v>
      </c>
      <c r="I1164" t="s">
        <v>9391</v>
      </c>
      <c r="J1164" t="s">
        <v>11751</v>
      </c>
      <c r="K1164" t="s">
        <v>16154</v>
      </c>
      <c r="L1164">
        <f>HYPERLINK("https://www2.assemblee-nationale.fr/sycomore/fiche/(num_dept)/5521", "5521")</f>
        <v>0</v>
      </c>
      <c r="N1164">
        <f>HYPERLINK("https://www.wikidata.org/wiki/Q16026182", "Q16026182")</f>
        <v>0</v>
      </c>
      <c r="O1164" t="s">
        <v>19969</v>
      </c>
      <c r="P1164" t="s">
        <v>20404</v>
      </c>
      <c r="Q1164" t="s">
        <v>20560</v>
      </c>
      <c r="R1164" t="s">
        <v>410</v>
      </c>
      <c r="S1164">
        <v>2037</v>
      </c>
    </row>
    <row r="1165" spans="1:19">
      <c r="A1165" t="s">
        <v>20</v>
      </c>
      <c r="B1165" t="s">
        <v>148</v>
      </c>
      <c r="C1165" t="s">
        <v>152</v>
      </c>
      <c r="D1165" t="s">
        <v>281</v>
      </c>
      <c r="E1165" t="s">
        <v>410</v>
      </c>
      <c r="F1165">
        <f>HYPERLINK("https://www.wikidata.org/wiki/Q33528422", "Q33528422")</f>
        <v>0</v>
      </c>
      <c r="G1165" t="s">
        <v>1283</v>
      </c>
      <c r="H1165" t="s">
        <v>6005</v>
      </c>
      <c r="I1165" t="s">
        <v>5528</v>
      </c>
      <c r="J1165" t="s">
        <v>12013</v>
      </c>
      <c r="K1165" t="s">
        <v>16416</v>
      </c>
      <c r="L1165">
        <f>HYPERLINK("https://www2.assemblee-nationale.fr/sycomore/fiche/(num_dept)/5527", "5527")</f>
        <v>0</v>
      </c>
      <c r="N1165">
        <f>HYPERLINK("https://www.wikidata.org/wiki/Q16026184", "Q16026184")</f>
        <v>0</v>
      </c>
      <c r="O1165" t="s">
        <v>20001</v>
      </c>
      <c r="P1165" t="s">
        <v>20402</v>
      </c>
      <c r="Q1165" t="s">
        <v>20560</v>
      </c>
      <c r="R1165" t="s">
        <v>410</v>
      </c>
      <c r="S1165">
        <v>2037</v>
      </c>
    </row>
    <row r="1166" spans="1:19">
      <c r="A1166" t="s">
        <v>20</v>
      </c>
      <c r="B1166" t="s">
        <v>148</v>
      </c>
      <c r="C1166" t="s">
        <v>152</v>
      </c>
      <c r="D1166" t="s">
        <v>281</v>
      </c>
      <c r="E1166" t="s">
        <v>410</v>
      </c>
      <c r="F1166">
        <f>HYPERLINK("https://www.wikidata.org/wiki/Q33528422", "Q33528422")</f>
        <v>0</v>
      </c>
      <c r="G1166" t="s">
        <v>1284</v>
      </c>
      <c r="H1166" t="s">
        <v>6006</v>
      </c>
      <c r="I1166" t="s">
        <v>9727</v>
      </c>
      <c r="J1166" t="s">
        <v>12014</v>
      </c>
      <c r="K1166" t="s">
        <v>16417</v>
      </c>
      <c r="L1166">
        <f>HYPERLINK("https://www2.assemblee-nationale.fr/sycomore/fiche/(num_dept)/5538", "5538")</f>
        <v>0</v>
      </c>
      <c r="N1166">
        <f>HYPERLINK("https://www.wikidata.org/wiki/Q16026189", "Q16026189")</f>
        <v>0</v>
      </c>
      <c r="O1166" t="s">
        <v>19997</v>
      </c>
      <c r="P1166" t="s">
        <v>20414</v>
      </c>
      <c r="Q1166" t="s">
        <v>20560</v>
      </c>
      <c r="R1166" t="s">
        <v>410</v>
      </c>
      <c r="S1166">
        <v>2037</v>
      </c>
    </row>
    <row r="1167" spans="1:19">
      <c r="A1167" t="s">
        <v>20</v>
      </c>
      <c r="B1167" t="s">
        <v>148</v>
      </c>
      <c r="C1167" t="s">
        <v>152</v>
      </c>
      <c r="D1167" t="s">
        <v>281</v>
      </c>
      <c r="E1167" t="s">
        <v>410</v>
      </c>
      <c r="F1167">
        <f>HYPERLINK("https://www.wikidata.org/wiki/Q33528422", "Q33528422")</f>
        <v>0</v>
      </c>
      <c r="G1167" t="s">
        <v>1285</v>
      </c>
      <c r="H1167" t="s">
        <v>6007</v>
      </c>
      <c r="I1167" t="s">
        <v>7642</v>
      </c>
      <c r="J1167" t="s">
        <v>12015</v>
      </c>
      <c r="K1167" t="s">
        <v>16418</v>
      </c>
      <c r="L1167">
        <f>HYPERLINK("https://www2.assemblee-nationale.fr/sycomore/fiche/(num_dept)/5540", "5540")</f>
        <v>0</v>
      </c>
      <c r="N1167">
        <f>HYPERLINK("https://www.wikidata.org/wiki/Q16026191", "Q16026191")</f>
        <v>0</v>
      </c>
      <c r="O1167" t="s">
        <v>19978</v>
      </c>
      <c r="P1167" t="s">
        <v>20413</v>
      </c>
      <c r="Q1167" t="s">
        <v>20560</v>
      </c>
      <c r="R1167" t="s">
        <v>410</v>
      </c>
      <c r="S1167">
        <v>2037</v>
      </c>
    </row>
    <row r="1168" spans="1:19">
      <c r="A1168" t="s">
        <v>20</v>
      </c>
      <c r="B1168" t="s">
        <v>148</v>
      </c>
      <c r="C1168" t="s">
        <v>152</v>
      </c>
      <c r="D1168" t="s">
        <v>281</v>
      </c>
      <c r="E1168" t="s">
        <v>410</v>
      </c>
      <c r="F1168">
        <f>HYPERLINK("https://www.wikidata.org/wiki/Q33528422", "Q33528422")</f>
        <v>0</v>
      </c>
      <c r="G1168" t="s">
        <v>1099</v>
      </c>
      <c r="H1168" t="s">
        <v>5840</v>
      </c>
      <c r="I1168" t="s">
        <v>9375</v>
      </c>
      <c r="J1168" t="s">
        <v>11835</v>
      </c>
      <c r="K1168" t="s">
        <v>16235</v>
      </c>
      <c r="L1168">
        <f>HYPERLINK("https://www2.assemblee-nationale.fr/sycomore/fiche/(num_dept)/5578", "5578")</f>
        <v>0</v>
      </c>
      <c r="N1168">
        <f>HYPERLINK("https://www.wikidata.org/wiki/Q16026211", "Q16026211")</f>
        <v>0</v>
      </c>
      <c r="O1168" t="s">
        <v>19969</v>
      </c>
      <c r="Q1168" t="s">
        <v>20560</v>
      </c>
      <c r="R1168" t="s">
        <v>16235</v>
      </c>
      <c r="S1168">
        <v>180</v>
      </c>
    </row>
    <row r="1169" spans="1:19">
      <c r="A1169" t="s">
        <v>20</v>
      </c>
      <c r="B1169" t="s">
        <v>148</v>
      </c>
      <c r="C1169" t="s">
        <v>152</v>
      </c>
      <c r="D1169" t="s">
        <v>281</v>
      </c>
      <c r="E1169" t="s">
        <v>410</v>
      </c>
      <c r="F1169">
        <f>HYPERLINK("https://www.wikidata.org/wiki/Q33528422", "Q33528422")</f>
        <v>0</v>
      </c>
      <c r="G1169" t="s">
        <v>1016</v>
      </c>
      <c r="H1169" t="s">
        <v>5766</v>
      </c>
      <c r="I1169" t="s">
        <v>6495</v>
      </c>
      <c r="J1169" t="s">
        <v>11753</v>
      </c>
      <c r="K1169" t="s">
        <v>16156</v>
      </c>
      <c r="L1169">
        <f>HYPERLINK("https://www2.assemblee-nationale.fr/sycomore/fiche/(num_dept)/5582", "5582")</f>
        <v>0</v>
      </c>
      <c r="N1169">
        <f>HYPERLINK("https://www.wikidata.org/wiki/Q16026218", "Q16026218")</f>
        <v>0</v>
      </c>
      <c r="O1169" t="s">
        <v>19977</v>
      </c>
      <c r="P1169" t="s">
        <v>20413</v>
      </c>
      <c r="Q1169" t="s">
        <v>20560</v>
      </c>
      <c r="R1169" t="s">
        <v>410</v>
      </c>
      <c r="S1169">
        <v>2037</v>
      </c>
    </row>
    <row r="1170" spans="1:19">
      <c r="A1170" t="s">
        <v>20</v>
      </c>
      <c r="B1170" t="s">
        <v>148</v>
      </c>
      <c r="C1170" t="s">
        <v>152</v>
      </c>
      <c r="D1170" t="s">
        <v>281</v>
      </c>
      <c r="E1170" t="s">
        <v>410</v>
      </c>
      <c r="F1170">
        <f>HYPERLINK("https://www.wikidata.org/wiki/Q33528422", "Q33528422")</f>
        <v>0</v>
      </c>
      <c r="G1170" t="s">
        <v>1286</v>
      </c>
      <c r="H1170" t="s">
        <v>6008</v>
      </c>
      <c r="I1170" t="s">
        <v>6200</v>
      </c>
      <c r="J1170" t="s">
        <v>12016</v>
      </c>
      <c r="K1170" t="s">
        <v>16419</v>
      </c>
      <c r="L1170">
        <f>HYPERLINK("https://www2.assemblee-nationale.fr/sycomore/fiche/(num_dept)/5624", "5624")</f>
        <v>0</v>
      </c>
      <c r="N1170">
        <f>HYPERLINK("https://www.wikidata.org/wiki/Q3173799", "Q3173799")</f>
        <v>0</v>
      </c>
      <c r="O1170" t="s">
        <v>20024</v>
      </c>
      <c r="P1170" t="s">
        <v>20401</v>
      </c>
      <c r="Q1170" t="s">
        <v>20560</v>
      </c>
      <c r="R1170" t="s">
        <v>410</v>
      </c>
      <c r="S1170">
        <v>2037</v>
      </c>
    </row>
    <row r="1171" spans="1:19">
      <c r="A1171" t="s">
        <v>20</v>
      </c>
      <c r="B1171" t="s">
        <v>148</v>
      </c>
      <c r="C1171" t="s">
        <v>152</v>
      </c>
      <c r="D1171" t="s">
        <v>281</v>
      </c>
      <c r="E1171" t="s">
        <v>410</v>
      </c>
      <c r="F1171">
        <f>HYPERLINK("https://www.wikidata.org/wiki/Q33528422", "Q33528422")</f>
        <v>0</v>
      </c>
      <c r="G1171" t="s">
        <v>1287</v>
      </c>
      <c r="H1171" t="s">
        <v>6009</v>
      </c>
      <c r="I1171" t="s">
        <v>9442</v>
      </c>
      <c r="J1171" t="s">
        <v>12017</v>
      </c>
      <c r="K1171" t="s">
        <v>16420</v>
      </c>
      <c r="L1171">
        <f>HYPERLINK("https://www2.assemblee-nationale.fr/sycomore/fiche/(num_dept)/5636", "5636")</f>
        <v>0</v>
      </c>
      <c r="N1171">
        <f>HYPERLINK("https://www.wikidata.org/wiki/Q3057112", "Q3057112")</f>
        <v>0</v>
      </c>
      <c r="O1171" t="s">
        <v>20038</v>
      </c>
      <c r="P1171" t="s">
        <v>20401</v>
      </c>
      <c r="Q1171" t="s">
        <v>20560</v>
      </c>
      <c r="R1171" t="s">
        <v>410</v>
      </c>
      <c r="S1171">
        <v>2037</v>
      </c>
    </row>
    <row r="1172" spans="1:19">
      <c r="A1172" t="s">
        <v>20</v>
      </c>
      <c r="B1172" t="s">
        <v>148</v>
      </c>
      <c r="C1172" t="s">
        <v>152</v>
      </c>
      <c r="D1172" t="s">
        <v>281</v>
      </c>
      <c r="E1172" t="s">
        <v>410</v>
      </c>
      <c r="F1172">
        <f>HYPERLINK("https://www.wikidata.org/wiki/Q33528422", "Q33528422")</f>
        <v>0</v>
      </c>
      <c r="G1172" t="s">
        <v>1017</v>
      </c>
      <c r="H1172" t="s">
        <v>5767</v>
      </c>
      <c r="I1172" t="s">
        <v>9388</v>
      </c>
      <c r="J1172" t="s">
        <v>11754</v>
      </c>
      <c r="K1172" t="s">
        <v>16157</v>
      </c>
      <c r="L1172">
        <f>HYPERLINK("https://www2.assemblee-nationale.fr/sycomore/fiche/(num_dept)/5653", "5653")</f>
        <v>0</v>
      </c>
      <c r="N1172">
        <f>HYPERLINK("https://www.wikidata.org/wiki/Q315434", "Q315434")</f>
        <v>0</v>
      </c>
      <c r="O1172" t="s">
        <v>19969</v>
      </c>
      <c r="P1172" t="s">
        <v>20406</v>
      </c>
      <c r="Q1172" t="s">
        <v>20560</v>
      </c>
      <c r="R1172" t="s">
        <v>410</v>
      </c>
      <c r="S1172">
        <v>2037</v>
      </c>
    </row>
    <row r="1173" spans="1:19">
      <c r="A1173" t="s">
        <v>20</v>
      </c>
      <c r="B1173" t="s">
        <v>148</v>
      </c>
      <c r="C1173" t="s">
        <v>152</v>
      </c>
      <c r="D1173" t="s">
        <v>281</v>
      </c>
      <c r="E1173" t="s">
        <v>410</v>
      </c>
      <c r="F1173">
        <f>HYPERLINK("https://www.wikidata.org/wiki/Q33528422", "Q33528422")</f>
        <v>0</v>
      </c>
      <c r="G1173" t="s">
        <v>1288</v>
      </c>
      <c r="H1173" t="s">
        <v>6010</v>
      </c>
      <c r="I1173" t="s">
        <v>6200</v>
      </c>
      <c r="J1173" t="s">
        <v>12018</v>
      </c>
      <c r="K1173" t="s">
        <v>16421</v>
      </c>
      <c r="L1173">
        <f>HYPERLINK("https://www2.assemblee-nationale.fr/sycomore/fiche/(num_dept)/5693", "5693")</f>
        <v>0</v>
      </c>
      <c r="N1173">
        <f>HYPERLINK("https://www.wikidata.org/wiki/Q16026269", "Q16026269")</f>
        <v>0</v>
      </c>
      <c r="O1173" t="s">
        <v>19977</v>
      </c>
      <c r="P1173" t="s">
        <v>20404</v>
      </c>
      <c r="Q1173" t="s">
        <v>20560</v>
      </c>
      <c r="R1173" t="s">
        <v>410</v>
      </c>
      <c r="S1173">
        <v>2037</v>
      </c>
    </row>
    <row r="1174" spans="1:19">
      <c r="A1174" t="s">
        <v>20</v>
      </c>
      <c r="B1174" t="s">
        <v>148</v>
      </c>
      <c r="C1174" t="s">
        <v>152</v>
      </c>
      <c r="D1174" t="s">
        <v>281</v>
      </c>
      <c r="E1174" t="s">
        <v>410</v>
      </c>
      <c r="F1174">
        <f>HYPERLINK("https://www.wikidata.org/wiki/Q33528422", "Q33528422")</f>
        <v>0</v>
      </c>
      <c r="G1174" t="s">
        <v>1018</v>
      </c>
      <c r="H1174" t="s">
        <v>5768</v>
      </c>
      <c r="I1174" t="s">
        <v>5528</v>
      </c>
      <c r="J1174" t="s">
        <v>11755</v>
      </c>
      <c r="K1174" t="s">
        <v>16032</v>
      </c>
      <c r="L1174">
        <f>HYPERLINK("https://www2.assemblee-nationale.fr/sycomore/fiche/(num_dept)/5699", "5699")</f>
        <v>0</v>
      </c>
      <c r="M1174">
        <f>HYPERLINK("https://www.senat.fr/senateur-3eme-republique/pasqual_leon1381r3.html", "pasqual_leon1381r3")</f>
        <v>0</v>
      </c>
      <c r="N1174">
        <f>HYPERLINK("https://www.wikidata.org/wiki/Q3271250", "Q3271250")</f>
        <v>0</v>
      </c>
      <c r="O1174" t="s">
        <v>20013</v>
      </c>
      <c r="P1174" t="s">
        <v>20413</v>
      </c>
      <c r="Q1174" t="s">
        <v>20560</v>
      </c>
      <c r="R1174" t="s">
        <v>410</v>
      </c>
      <c r="S1174">
        <v>2037</v>
      </c>
    </row>
    <row r="1175" spans="1:19">
      <c r="A1175" t="s">
        <v>20</v>
      </c>
      <c r="B1175" t="s">
        <v>148</v>
      </c>
      <c r="C1175" t="s">
        <v>152</v>
      </c>
      <c r="D1175" t="s">
        <v>281</v>
      </c>
      <c r="E1175" t="s">
        <v>410</v>
      </c>
      <c r="F1175">
        <f>HYPERLINK("https://www.wikidata.org/wiki/Q33528422", "Q33528422")</f>
        <v>0</v>
      </c>
      <c r="G1175" t="s">
        <v>1019</v>
      </c>
      <c r="H1175" t="s">
        <v>5769</v>
      </c>
      <c r="I1175" t="s">
        <v>6478</v>
      </c>
      <c r="J1175" t="s">
        <v>11756</v>
      </c>
      <c r="K1175" t="s">
        <v>16158</v>
      </c>
      <c r="L1175">
        <f>HYPERLINK("https://www2.assemblee-nationale.fr/sycomore/fiche/(num_dept)/5706", "5706")</f>
        <v>0</v>
      </c>
      <c r="N1175">
        <f>HYPERLINK("https://www.wikidata.org/wiki/Q3132997", "Q3132997")</f>
        <v>0</v>
      </c>
      <c r="O1175" t="s">
        <v>19969</v>
      </c>
      <c r="P1175" t="s">
        <v>20412</v>
      </c>
      <c r="Q1175" t="s">
        <v>20560</v>
      </c>
      <c r="R1175" t="s">
        <v>410</v>
      </c>
      <c r="S1175">
        <v>2037</v>
      </c>
    </row>
    <row r="1176" spans="1:19">
      <c r="A1176" t="s">
        <v>20</v>
      </c>
      <c r="B1176" t="s">
        <v>148</v>
      </c>
      <c r="C1176" t="s">
        <v>152</v>
      </c>
      <c r="D1176" t="s">
        <v>281</v>
      </c>
      <c r="E1176" t="s">
        <v>410</v>
      </c>
      <c r="F1176">
        <f>HYPERLINK("https://www.wikidata.org/wiki/Q33528422", "Q33528422")</f>
        <v>0</v>
      </c>
      <c r="G1176" t="s">
        <v>1289</v>
      </c>
      <c r="H1176" t="s">
        <v>6011</v>
      </c>
      <c r="I1176" t="s">
        <v>9388</v>
      </c>
      <c r="J1176" t="s">
        <v>12019</v>
      </c>
      <c r="K1176" t="s">
        <v>16422</v>
      </c>
      <c r="L1176">
        <f>HYPERLINK("https://www2.assemblee-nationale.fr/sycomore/fiche/(num_dept)/5716", "5716")</f>
        <v>0</v>
      </c>
      <c r="N1176">
        <f>HYPERLINK("https://www.wikidata.org/wiki/Q3371965", "Q3371965")</f>
        <v>0</v>
      </c>
      <c r="O1176" t="s">
        <v>19975</v>
      </c>
      <c r="P1176" t="s">
        <v>20413</v>
      </c>
      <c r="Q1176" t="s">
        <v>20560</v>
      </c>
      <c r="R1176" t="s">
        <v>410</v>
      </c>
      <c r="S1176">
        <v>2037</v>
      </c>
    </row>
    <row r="1177" spans="1:19">
      <c r="A1177" t="s">
        <v>20</v>
      </c>
      <c r="B1177" t="s">
        <v>148</v>
      </c>
      <c r="C1177" t="s">
        <v>152</v>
      </c>
      <c r="D1177" t="s">
        <v>281</v>
      </c>
      <c r="E1177" t="s">
        <v>410</v>
      </c>
      <c r="F1177">
        <f>HYPERLINK("https://www.wikidata.org/wiki/Q33528422", "Q33528422")</f>
        <v>0</v>
      </c>
      <c r="G1177" t="s">
        <v>1022</v>
      </c>
      <c r="H1177" t="s">
        <v>5772</v>
      </c>
      <c r="I1177" t="s">
        <v>9622</v>
      </c>
      <c r="J1177" t="s">
        <v>11759</v>
      </c>
      <c r="K1177" t="s">
        <v>16160</v>
      </c>
      <c r="L1177">
        <f>HYPERLINK("https://www2.assemblee-nationale.fr/sycomore/fiche/(num_dept)/5742", "5742")</f>
        <v>0</v>
      </c>
      <c r="N1177">
        <f>HYPERLINK("https://www.wikidata.org/wiki/Q16026287", "Q16026287")</f>
        <v>0</v>
      </c>
      <c r="O1177" t="s">
        <v>20025</v>
      </c>
      <c r="P1177" t="s">
        <v>20413</v>
      </c>
      <c r="Q1177" t="s">
        <v>20560</v>
      </c>
      <c r="R1177" t="s">
        <v>410</v>
      </c>
      <c r="S1177">
        <v>2037</v>
      </c>
    </row>
    <row r="1178" spans="1:19">
      <c r="A1178" t="s">
        <v>20</v>
      </c>
      <c r="B1178" t="s">
        <v>148</v>
      </c>
      <c r="C1178" t="s">
        <v>152</v>
      </c>
      <c r="D1178" t="s">
        <v>281</v>
      </c>
      <c r="E1178" t="s">
        <v>410</v>
      </c>
      <c r="F1178">
        <f>HYPERLINK("https://www.wikidata.org/wiki/Q33528422", "Q33528422")</f>
        <v>0</v>
      </c>
      <c r="G1178" t="s">
        <v>756</v>
      </c>
      <c r="H1178" t="s">
        <v>5514</v>
      </c>
      <c r="I1178" t="s">
        <v>9511</v>
      </c>
      <c r="J1178" t="s">
        <v>11504</v>
      </c>
      <c r="K1178" t="s">
        <v>15907</v>
      </c>
      <c r="L1178">
        <f>HYPERLINK("https://www2.assemblee-nationale.fr/sycomore/fiche/(num_dept)/5787", "5787")</f>
        <v>0</v>
      </c>
      <c r="N1178">
        <f>HYPERLINK("https://www.wikidata.org/wiki/Q16026305", "Q16026305")</f>
        <v>0</v>
      </c>
      <c r="O1178" t="s">
        <v>19972</v>
      </c>
      <c r="P1178" t="s">
        <v>20413</v>
      </c>
      <c r="Q1178" t="s">
        <v>20560</v>
      </c>
      <c r="R1178" t="s">
        <v>410</v>
      </c>
      <c r="S1178">
        <v>2037</v>
      </c>
    </row>
    <row r="1179" spans="1:19">
      <c r="A1179" t="s">
        <v>20</v>
      </c>
      <c r="B1179" t="s">
        <v>148</v>
      </c>
      <c r="C1179" t="s">
        <v>152</v>
      </c>
      <c r="D1179" t="s">
        <v>281</v>
      </c>
      <c r="E1179" t="s">
        <v>410</v>
      </c>
      <c r="F1179">
        <f>HYPERLINK("https://www.wikidata.org/wiki/Q33528422", "Q33528422")</f>
        <v>0</v>
      </c>
      <c r="G1179" t="s">
        <v>1290</v>
      </c>
      <c r="H1179" t="s">
        <v>6012</v>
      </c>
      <c r="I1179" t="s">
        <v>9735</v>
      </c>
      <c r="J1179" t="s">
        <v>12020</v>
      </c>
      <c r="K1179" t="s">
        <v>16423</v>
      </c>
      <c r="L1179">
        <f>HYPERLINK("https://www2.assemblee-nationale.fr/sycomore/fiche/(num_dept)/5851", "5851")</f>
        <v>0</v>
      </c>
      <c r="N1179">
        <f>HYPERLINK("https://www.wikidata.org/wiki/Q13080923", "Q13080923")</f>
        <v>0</v>
      </c>
      <c r="O1179" t="s">
        <v>19969</v>
      </c>
      <c r="P1179" t="s">
        <v>20413</v>
      </c>
      <c r="Q1179" t="s">
        <v>20560</v>
      </c>
      <c r="R1179" t="s">
        <v>410</v>
      </c>
      <c r="S1179">
        <v>2037</v>
      </c>
    </row>
    <row r="1180" spans="1:19">
      <c r="A1180" t="s">
        <v>20</v>
      </c>
      <c r="B1180" t="s">
        <v>148</v>
      </c>
      <c r="C1180" t="s">
        <v>152</v>
      </c>
      <c r="D1180" t="s">
        <v>281</v>
      </c>
      <c r="E1180" t="s">
        <v>410</v>
      </c>
      <c r="F1180">
        <f>HYPERLINK("https://www.wikidata.org/wiki/Q33528422", "Q33528422")</f>
        <v>0</v>
      </c>
      <c r="G1180" t="s">
        <v>1291</v>
      </c>
      <c r="H1180" t="s">
        <v>6013</v>
      </c>
      <c r="I1180" t="s">
        <v>6200</v>
      </c>
      <c r="J1180" t="s">
        <v>12021</v>
      </c>
      <c r="K1180" t="s">
        <v>16424</v>
      </c>
      <c r="L1180">
        <f>HYPERLINK("https://www2.assemblee-nationale.fr/sycomore/fiche/(num_dept)/5864", "5864")</f>
        <v>0</v>
      </c>
      <c r="N1180">
        <f>HYPERLINK("https://www.wikidata.org/wiki/Q16026333", "Q16026333")</f>
        <v>0</v>
      </c>
      <c r="O1180" t="s">
        <v>19965</v>
      </c>
      <c r="P1180" t="s">
        <v>20413</v>
      </c>
      <c r="Q1180" t="s">
        <v>20560</v>
      </c>
      <c r="R1180" t="s">
        <v>410</v>
      </c>
      <c r="S1180">
        <v>2037</v>
      </c>
    </row>
    <row r="1181" spans="1:19">
      <c r="A1181" t="s">
        <v>20</v>
      </c>
      <c r="B1181" t="s">
        <v>148</v>
      </c>
      <c r="C1181" t="s">
        <v>152</v>
      </c>
      <c r="D1181" t="s">
        <v>281</v>
      </c>
      <c r="E1181" t="s">
        <v>410</v>
      </c>
      <c r="F1181">
        <f>HYPERLINK("https://www.wikidata.org/wiki/Q33528422", "Q33528422")</f>
        <v>0</v>
      </c>
      <c r="G1181" t="s">
        <v>1102</v>
      </c>
      <c r="H1181" t="s">
        <v>5843</v>
      </c>
      <c r="I1181" t="s">
        <v>9660</v>
      </c>
      <c r="J1181" t="s">
        <v>11838</v>
      </c>
      <c r="K1181" t="s">
        <v>16238</v>
      </c>
      <c r="L1181">
        <f>HYPERLINK("https://www2.assemblee-nationale.fr/sycomore/fiche/(num_dept)/5870", "5870")</f>
        <v>0</v>
      </c>
      <c r="N1181">
        <f>HYPERLINK("https://www.wikidata.org/wiki/Q16026334", "Q16026334")</f>
        <v>0</v>
      </c>
      <c r="O1181" t="s">
        <v>19978</v>
      </c>
      <c r="P1181" t="s">
        <v>20414</v>
      </c>
      <c r="Q1181" t="s">
        <v>20560</v>
      </c>
      <c r="R1181" t="s">
        <v>410</v>
      </c>
      <c r="S1181">
        <v>2037</v>
      </c>
    </row>
    <row r="1182" spans="1:19">
      <c r="A1182" t="s">
        <v>20</v>
      </c>
      <c r="B1182" t="s">
        <v>148</v>
      </c>
      <c r="C1182" t="s">
        <v>152</v>
      </c>
      <c r="D1182" t="s">
        <v>281</v>
      </c>
      <c r="E1182" t="s">
        <v>410</v>
      </c>
      <c r="F1182">
        <f>HYPERLINK("https://www.wikidata.org/wiki/Q33528422", "Q33528422")</f>
        <v>0</v>
      </c>
      <c r="G1182" t="s">
        <v>1107</v>
      </c>
      <c r="H1182" t="s">
        <v>5848</v>
      </c>
      <c r="I1182" t="s">
        <v>9483</v>
      </c>
      <c r="J1182" t="s">
        <v>11841</v>
      </c>
      <c r="K1182" t="s">
        <v>16243</v>
      </c>
      <c r="L1182">
        <f>HYPERLINK("https://www2.assemblee-nationale.fr/sycomore/fiche/(num_dept)/5874", "5874")</f>
        <v>0</v>
      </c>
      <c r="M1182">
        <f>HYPERLINK("https://www.senat.fr/senateur-3eme-republique/peytral_victor0076r3.html", "peytral_victor0076r3")</f>
        <v>0</v>
      </c>
      <c r="N1182">
        <f>HYPERLINK("https://www.wikidata.org/wiki/Q3557505", "Q3557505")</f>
        <v>0</v>
      </c>
      <c r="O1182" t="s">
        <v>19981</v>
      </c>
      <c r="P1182" t="s">
        <v>20413</v>
      </c>
      <c r="Q1182" t="s">
        <v>20560</v>
      </c>
      <c r="R1182" t="s">
        <v>410</v>
      </c>
      <c r="S1182">
        <v>2037</v>
      </c>
    </row>
    <row r="1183" spans="1:19">
      <c r="A1183" t="s">
        <v>20</v>
      </c>
      <c r="B1183" t="s">
        <v>148</v>
      </c>
      <c r="C1183" t="s">
        <v>152</v>
      </c>
      <c r="D1183" t="s">
        <v>281</v>
      </c>
      <c r="E1183" t="s">
        <v>410</v>
      </c>
      <c r="F1183">
        <f>HYPERLINK("https://www.wikidata.org/wiki/Q33528422", "Q33528422")</f>
        <v>0</v>
      </c>
      <c r="G1183" t="s">
        <v>1292</v>
      </c>
      <c r="H1183" t="s">
        <v>6014</v>
      </c>
      <c r="I1183" t="s">
        <v>9388</v>
      </c>
      <c r="J1183" t="s">
        <v>12022</v>
      </c>
      <c r="K1183" t="s">
        <v>16425</v>
      </c>
      <c r="L1183">
        <f>HYPERLINK("https://www2.assemblee-nationale.fr/sycomore/fiche/(num_dept)/5878", "5878")</f>
        <v>0</v>
      </c>
      <c r="N1183">
        <f>HYPERLINK("https://www.wikidata.org/wiki/Q16026336", "Q16026336")</f>
        <v>0</v>
      </c>
      <c r="O1183" t="s">
        <v>7411</v>
      </c>
      <c r="P1183" t="s">
        <v>20413</v>
      </c>
      <c r="Q1183" t="s">
        <v>20560</v>
      </c>
      <c r="R1183" t="s">
        <v>410</v>
      </c>
      <c r="S1183">
        <v>2037</v>
      </c>
    </row>
    <row r="1184" spans="1:19">
      <c r="A1184" t="s">
        <v>20</v>
      </c>
      <c r="B1184" t="s">
        <v>148</v>
      </c>
      <c r="C1184" t="s">
        <v>152</v>
      </c>
      <c r="D1184" t="s">
        <v>281</v>
      </c>
      <c r="E1184" t="s">
        <v>410</v>
      </c>
      <c r="F1184">
        <f>HYPERLINK("https://www.wikidata.org/wiki/Q33528422", "Q33528422")</f>
        <v>0</v>
      </c>
      <c r="G1184" t="s">
        <v>1293</v>
      </c>
      <c r="H1184" t="s">
        <v>6015</v>
      </c>
      <c r="I1184" t="s">
        <v>9736</v>
      </c>
      <c r="J1184" t="s">
        <v>12023</v>
      </c>
      <c r="K1184" t="s">
        <v>16426</v>
      </c>
      <c r="L1184">
        <f>HYPERLINK("https://www2.assemblee-nationale.fr/sycomore/fiche/(num_dept)/5882", "5882")</f>
        <v>0</v>
      </c>
      <c r="N1184">
        <f>HYPERLINK("https://www.wikidata.org/wiki/Q16026337", "Q16026337")</f>
        <v>0</v>
      </c>
      <c r="O1184" t="s">
        <v>8449</v>
      </c>
      <c r="Q1184" t="s">
        <v>20560</v>
      </c>
      <c r="R1184" t="s">
        <v>410</v>
      </c>
      <c r="S1184">
        <v>2037</v>
      </c>
    </row>
    <row r="1185" spans="1:19">
      <c r="A1185" t="s">
        <v>20</v>
      </c>
      <c r="B1185" t="s">
        <v>148</v>
      </c>
      <c r="C1185" t="s">
        <v>152</v>
      </c>
      <c r="D1185" t="s">
        <v>281</v>
      </c>
      <c r="E1185" t="s">
        <v>410</v>
      </c>
      <c r="F1185">
        <f>HYPERLINK("https://www.wikidata.org/wiki/Q33528422", "Q33528422")</f>
        <v>0</v>
      </c>
      <c r="G1185" t="s">
        <v>760</v>
      </c>
      <c r="H1185" t="s">
        <v>5518</v>
      </c>
      <c r="I1185" t="s">
        <v>9457</v>
      </c>
      <c r="J1185" t="s">
        <v>11508</v>
      </c>
      <c r="K1185" t="s">
        <v>15911</v>
      </c>
      <c r="L1185">
        <f>HYPERLINK("https://www2.assemblee-nationale.fr/sycomore/fiche/(num_dept)/5913", "5913")</f>
        <v>0</v>
      </c>
      <c r="N1185">
        <f>HYPERLINK("https://www.wikidata.org/wiki/Q16026342", "Q16026342")</f>
        <v>0</v>
      </c>
      <c r="O1185" t="s">
        <v>19955</v>
      </c>
      <c r="P1185" t="s">
        <v>20412</v>
      </c>
      <c r="Q1185" t="s">
        <v>20560</v>
      </c>
      <c r="R1185" t="s">
        <v>410</v>
      </c>
      <c r="S1185">
        <v>2037</v>
      </c>
    </row>
    <row r="1186" spans="1:19">
      <c r="A1186" t="s">
        <v>20</v>
      </c>
      <c r="B1186" t="s">
        <v>148</v>
      </c>
      <c r="C1186" t="s">
        <v>152</v>
      </c>
      <c r="D1186" t="s">
        <v>281</v>
      </c>
      <c r="E1186" t="s">
        <v>410</v>
      </c>
      <c r="F1186">
        <f>HYPERLINK("https://www.wikidata.org/wiki/Q33528422", "Q33528422")</f>
        <v>0</v>
      </c>
      <c r="G1186" t="s">
        <v>1294</v>
      </c>
      <c r="H1186" t="s">
        <v>6016</v>
      </c>
      <c r="I1186" t="s">
        <v>7671</v>
      </c>
      <c r="J1186" t="s">
        <v>12024</v>
      </c>
      <c r="K1186" t="s">
        <v>16427</v>
      </c>
      <c r="L1186">
        <f>HYPERLINK("https://www2.assemblee-nationale.fr/sycomore/fiche/(num_dept)/5967", "5967")</f>
        <v>0</v>
      </c>
      <c r="N1186">
        <f>HYPERLINK("https://www.wikidata.org/wiki/Q3084727", "Q3084727")</f>
        <v>0</v>
      </c>
      <c r="O1186" t="s">
        <v>19981</v>
      </c>
      <c r="P1186" t="s">
        <v>20413</v>
      </c>
      <c r="Q1186" t="s">
        <v>20560</v>
      </c>
      <c r="R1186" t="s">
        <v>410</v>
      </c>
      <c r="S1186">
        <v>2037</v>
      </c>
    </row>
    <row r="1187" spans="1:19">
      <c r="A1187" t="s">
        <v>20</v>
      </c>
      <c r="B1187" t="s">
        <v>148</v>
      </c>
      <c r="C1187" t="s">
        <v>152</v>
      </c>
      <c r="D1187" t="s">
        <v>281</v>
      </c>
      <c r="E1187" t="s">
        <v>410</v>
      </c>
      <c r="F1187">
        <f>HYPERLINK("https://www.wikidata.org/wiki/Q33528422", "Q33528422")</f>
        <v>0</v>
      </c>
      <c r="G1187" t="s">
        <v>1295</v>
      </c>
      <c r="H1187" t="s">
        <v>6017</v>
      </c>
      <c r="I1187" t="s">
        <v>9737</v>
      </c>
      <c r="J1187" t="s">
        <v>12025</v>
      </c>
      <c r="K1187" t="s">
        <v>16428</v>
      </c>
      <c r="L1187">
        <f>HYPERLINK("https://www2.assemblee-nationale.fr/sycomore/fiche/(num_dept)/5998", "5998")</f>
        <v>0</v>
      </c>
      <c r="N1187">
        <f>HYPERLINK("https://www.wikidata.org/wiki/Q13091115", "Q13091115")</f>
        <v>0</v>
      </c>
      <c r="O1187" t="s">
        <v>19969</v>
      </c>
      <c r="P1187" t="s">
        <v>20409</v>
      </c>
      <c r="Q1187" t="s">
        <v>20560</v>
      </c>
      <c r="R1187" t="s">
        <v>16428</v>
      </c>
      <c r="S1187">
        <v>1638</v>
      </c>
    </row>
    <row r="1188" spans="1:19">
      <c r="A1188" t="s">
        <v>20</v>
      </c>
      <c r="B1188" t="s">
        <v>148</v>
      </c>
      <c r="C1188" t="s">
        <v>152</v>
      </c>
      <c r="D1188" t="s">
        <v>281</v>
      </c>
      <c r="E1188" t="s">
        <v>410</v>
      </c>
      <c r="F1188">
        <f>HYPERLINK("https://www.wikidata.org/wiki/Q33528422", "Q33528422")</f>
        <v>0</v>
      </c>
      <c r="G1188" t="s">
        <v>1296</v>
      </c>
      <c r="H1188" t="s">
        <v>6018</v>
      </c>
      <c r="I1188" t="s">
        <v>9589</v>
      </c>
      <c r="J1188" t="s">
        <v>12026</v>
      </c>
      <c r="K1188" t="s">
        <v>16378</v>
      </c>
      <c r="L1188">
        <f>HYPERLINK("https://www2.assemblee-nationale.fr/sycomore/fiche/(num_dept)/6076", "6076")</f>
        <v>0</v>
      </c>
      <c r="N1188">
        <f>HYPERLINK("https://www.wikidata.org/wiki/Q16026446", "Q16026446")</f>
        <v>0</v>
      </c>
      <c r="O1188" t="s">
        <v>20043</v>
      </c>
      <c r="P1188" t="s">
        <v>20413</v>
      </c>
      <c r="Q1188" t="s">
        <v>20560</v>
      </c>
      <c r="R1188" t="s">
        <v>16378</v>
      </c>
      <c r="S1188">
        <v>1623</v>
      </c>
    </row>
    <row r="1189" spans="1:19">
      <c r="A1189" t="s">
        <v>20</v>
      </c>
      <c r="B1189" t="s">
        <v>148</v>
      </c>
      <c r="C1189" t="s">
        <v>152</v>
      </c>
      <c r="D1189" t="s">
        <v>281</v>
      </c>
      <c r="E1189" t="s">
        <v>410</v>
      </c>
      <c r="F1189">
        <f>HYPERLINK("https://www.wikidata.org/wiki/Q33528422", "Q33528422")</f>
        <v>0</v>
      </c>
      <c r="G1189" t="s">
        <v>772</v>
      </c>
      <c r="H1189" t="s">
        <v>5530</v>
      </c>
      <c r="I1189" t="s">
        <v>5445</v>
      </c>
      <c r="J1189" t="s">
        <v>11519</v>
      </c>
      <c r="K1189" t="s">
        <v>15923</v>
      </c>
      <c r="L1189">
        <f>HYPERLINK("https://www2.assemblee-nationale.fr/sycomore/fiche/(num_dept)/6116", "6116")</f>
        <v>0</v>
      </c>
      <c r="N1189">
        <f>HYPERLINK("https://www.wikidata.org/wiki/Q29767", "Q29767")</f>
        <v>0</v>
      </c>
      <c r="O1189" t="s">
        <v>20014</v>
      </c>
      <c r="P1189" t="s">
        <v>20404</v>
      </c>
      <c r="Q1189" t="s">
        <v>20560</v>
      </c>
      <c r="R1189" t="s">
        <v>410</v>
      </c>
      <c r="S1189">
        <v>2037</v>
      </c>
    </row>
    <row r="1190" spans="1:19">
      <c r="A1190" t="s">
        <v>20</v>
      </c>
      <c r="B1190" t="s">
        <v>148</v>
      </c>
      <c r="C1190" t="s">
        <v>152</v>
      </c>
      <c r="D1190" t="s">
        <v>281</v>
      </c>
      <c r="E1190" t="s">
        <v>410</v>
      </c>
      <c r="F1190">
        <f>HYPERLINK("https://www.wikidata.org/wiki/Q33528422", "Q33528422")</f>
        <v>0</v>
      </c>
      <c r="G1190" t="s">
        <v>1031</v>
      </c>
      <c r="H1190" t="s">
        <v>5780</v>
      </c>
      <c r="I1190" t="s">
        <v>9629</v>
      </c>
      <c r="J1190" t="s">
        <v>11768</v>
      </c>
      <c r="K1190" t="s">
        <v>16169</v>
      </c>
      <c r="L1190">
        <f>HYPERLINK("https://www2.assemblee-nationale.fr/sycomore/fiche/(num_dept)/6165", "6165")</f>
        <v>0</v>
      </c>
      <c r="N1190">
        <f>HYPERLINK("https://www.wikidata.org/wiki/Q16026454", "Q16026454")</f>
        <v>0</v>
      </c>
      <c r="O1190" t="s">
        <v>20044</v>
      </c>
      <c r="P1190" t="s">
        <v>20404</v>
      </c>
      <c r="Q1190" t="s">
        <v>20560</v>
      </c>
      <c r="R1190" t="s">
        <v>410</v>
      </c>
      <c r="S1190">
        <v>2037</v>
      </c>
    </row>
    <row r="1191" spans="1:19">
      <c r="A1191" t="s">
        <v>20</v>
      </c>
      <c r="B1191" t="s">
        <v>148</v>
      </c>
      <c r="C1191" t="s">
        <v>152</v>
      </c>
      <c r="D1191" t="s">
        <v>281</v>
      </c>
      <c r="E1191" t="s">
        <v>410</v>
      </c>
      <c r="F1191">
        <f>HYPERLINK("https://www.wikidata.org/wiki/Q33528422", "Q33528422")</f>
        <v>0</v>
      </c>
      <c r="G1191" t="s">
        <v>1033</v>
      </c>
      <c r="H1191" t="s">
        <v>5782</v>
      </c>
      <c r="I1191" t="s">
        <v>9630</v>
      </c>
      <c r="J1191" t="s">
        <v>11770</v>
      </c>
      <c r="K1191" t="s">
        <v>16171</v>
      </c>
      <c r="L1191">
        <f>HYPERLINK("https://www2.assemblee-nationale.fr/sycomore/fiche/(num_dept)/6179", "6179")</f>
        <v>0</v>
      </c>
      <c r="N1191">
        <f>HYPERLINK("https://www.wikidata.org/wiki/Q13077219", "Q13077219")</f>
        <v>0</v>
      </c>
      <c r="O1191" t="s">
        <v>20022</v>
      </c>
      <c r="P1191" t="s">
        <v>20401</v>
      </c>
      <c r="Q1191" t="s">
        <v>20560</v>
      </c>
      <c r="R1191" t="s">
        <v>16171</v>
      </c>
      <c r="S1191">
        <v>491</v>
      </c>
    </row>
    <row r="1192" spans="1:19">
      <c r="A1192" t="s">
        <v>20</v>
      </c>
      <c r="B1192" t="s">
        <v>148</v>
      </c>
      <c r="C1192" t="s">
        <v>152</v>
      </c>
      <c r="D1192" t="s">
        <v>281</v>
      </c>
      <c r="E1192" t="s">
        <v>410</v>
      </c>
      <c r="F1192">
        <f>HYPERLINK("https://www.wikidata.org/wiki/Q33528422", "Q33528422")</f>
        <v>0</v>
      </c>
      <c r="G1192" t="s">
        <v>1034</v>
      </c>
      <c r="H1192" t="s">
        <v>5783</v>
      </c>
      <c r="I1192" t="s">
        <v>9631</v>
      </c>
      <c r="J1192" t="s">
        <v>11771</v>
      </c>
      <c r="K1192" t="s">
        <v>16172</v>
      </c>
      <c r="L1192">
        <f>HYPERLINK("https://www2.assemblee-nationale.fr/sycomore/fiche/(num_dept)/6201", "6201")</f>
        <v>0</v>
      </c>
      <c r="N1192">
        <f>HYPERLINK("https://www.wikidata.org/wiki/Q16026462", "Q16026462")</f>
        <v>0</v>
      </c>
      <c r="O1192" t="s">
        <v>19962</v>
      </c>
      <c r="P1192" t="s">
        <v>20404</v>
      </c>
      <c r="Q1192" t="s">
        <v>20560</v>
      </c>
      <c r="R1192" t="s">
        <v>410</v>
      </c>
      <c r="S1192">
        <v>2037</v>
      </c>
    </row>
    <row r="1193" spans="1:19">
      <c r="A1193" t="s">
        <v>20</v>
      </c>
      <c r="B1193" t="s">
        <v>148</v>
      </c>
      <c r="C1193" t="s">
        <v>152</v>
      </c>
      <c r="D1193" t="s">
        <v>281</v>
      </c>
      <c r="E1193" t="s">
        <v>410</v>
      </c>
      <c r="F1193">
        <f>HYPERLINK("https://www.wikidata.org/wiki/Q33528422", "Q33528422")</f>
        <v>0</v>
      </c>
      <c r="G1193" t="s">
        <v>1297</v>
      </c>
      <c r="H1193" t="s">
        <v>6019</v>
      </c>
      <c r="I1193" t="s">
        <v>9738</v>
      </c>
      <c r="J1193" t="s">
        <v>12027</v>
      </c>
      <c r="K1193" t="s">
        <v>16429</v>
      </c>
      <c r="L1193">
        <f>HYPERLINK("https://www2.assemblee-nationale.fr/sycomore/fiche/(num_dept)/6243", "6243")</f>
        <v>0</v>
      </c>
      <c r="N1193">
        <f>HYPERLINK("https://www.wikidata.org/wiki/Q16026469", "Q16026469")</f>
        <v>0</v>
      </c>
      <c r="O1193" t="s">
        <v>19968</v>
      </c>
      <c r="P1193" t="s">
        <v>20404</v>
      </c>
      <c r="Q1193" t="s">
        <v>20560</v>
      </c>
      <c r="R1193" t="s">
        <v>16429</v>
      </c>
      <c r="S1193">
        <v>1858</v>
      </c>
    </row>
    <row r="1194" spans="1:19">
      <c r="A1194" t="s">
        <v>20</v>
      </c>
      <c r="B1194" t="s">
        <v>148</v>
      </c>
      <c r="C1194" t="s">
        <v>152</v>
      </c>
      <c r="D1194" t="s">
        <v>281</v>
      </c>
      <c r="E1194" t="s">
        <v>410</v>
      </c>
      <c r="F1194">
        <f>HYPERLINK("https://www.wikidata.org/wiki/Q33528422", "Q33528422")</f>
        <v>0</v>
      </c>
      <c r="G1194" t="s">
        <v>1035</v>
      </c>
      <c r="H1194" t="s">
        <v>5784</v>
      </c>
      <c r="I1194" t="s">
        <v>6860</v>
      </c>
      <c r="J1194" t="s">
        <v>11772</v>
      </c>
      <c r="K1194" t="s">
        <v>16173</v>
      </c>
      <c r="L1194">
        <f>HYPERLINK("https://www2.assemblee-nationale.fr/sycomore/fiche/(num_dept)/6294", "6294")</f>
        <v>0</v>
      </c>
      <c r="N1194">
        <f>HYPERLINK("https://www.wikidata.org/wiki/Q3386933", "Q3386933")</f>
        <v>0</v>
      </c>
      <c r="O1194" t="s">
        <v>20010</v>
      </c>
      <c r="P1194" t="s">
        <v>20401</v>
      </c>
      <c r="Q1194" t="s">
        <v>20560</v>
      </c>
      <c r="R1194" t="s">
        <v>410</v>
      </c>
      <c r="S1194">
        <v>2037</v>
      </c>
    </row>
    <row r="1195" spans="1:19">
      <c r="A1195" t="s">
        <v>20</v>
      </c>
      <c r="B1195" t="s">
        <v>148</v>
      </c>
      <c r="C1195" t="s">
        <v>152</v>
      </c>
      <c r="D1195" t="s">
        <v>281</v>
      </c>
      <c r="E1195" t="s">
        <v>410</v>
      </c>
      <c r="F1195">
        <f>HYPERLINK("https://www.wikidata.org/wiki/Q33528422", "Q33528422")</f>
        <v>0</v>
      </c>
      <c r="G1195" t="s">
        <v>1036</v>
      </c>
      <c r="H1195" t="s">
        <v>5785</v>
      </c>
      <c r="I1195" t="s">
        <v>9457</v>
      </c>
      <c r="J1195" t="s">
        <v>11773</v>
      </c>
      <c r="K1195" t="s">
        <v>16174</v>
      </c>
      <c r="L1195">
        <f>HYPERLINK("https://www2.assemblee-nationale.fr/sycomore/fiche/(num_dept)/6342", "6342")</f>
        <v>0</v>
      </c>
      <c r="N1195">
        <f>HYPERLINK("https://www.wikidata.org/wiki/Q16026491", "Q16026491")</f>
        <v>0</v>
      </c>
      <c r="O1195" t="s">
        <v>20017</v>
      </c>
      <c r="P1195" t="s">
        <v>20413</v>
      </c>
      <c r="Q1195" t="s">
        <v>20560</v>
      </c>
      <c r="R1195" t="s">
        <v>410</v>
      </c>
      <c r="S1195">
        <v>2037</v>
      </c>
    </row>
    <row r="1196" spans="1:19">
      <c r="A1196" t="s">
        <v>20</v>
      </c>
      <c r="B1196" t="s">
        <v>148</v>
      </c>
      <c r="C1196" t="s">
        <v>152</v>
      </c>
      <c r="D1196" t="s">
        <v>281</v>
      </c>
      <c r="E1196" t="s">
        <v>410</v>
      </c>
      <c r="F1196">
        <f>HYPERLINK("https://www.wikidata.org/wiki/Q33528422", "Q33528422")</f>
        <v>0</v>
      </c>
      <c r="G1196" t="s">
        <v>1298</v>
      </c>
      <c r="H1196" t="s">
        <v>6020</v>
      </c>
      <c r="I1196" t="s">
        <v>6495</v>
      </c>
      <c r="J1196" t="s">
        <v>12028</v>
      </c>
      <c r="K1196" t="s">
        <v>16430</v>
      </c>
      <c r="L1196">
        <f>HYPERLINK("https://www2.assemblee-nationale.fr/sycomore/fiche/(num_dept)/6399", "6399")</f>
        <v>0</v>
      </c>
      <c r="M1196">
        <f>HYPERLINK("https://www.senat.fr/senateur-3eme-republique/serre_louis1705r3.html", "serre_louis1705r3")</f>
        <v>0</v>
      </c>
      <c r="N1196">
        <f>HYPERLINK("https://www.wikidata.org/wiki/Q195990", "Q195990")</f>
        <v>0</v>
      </c>
      <c r="O1196" t="s">
        <v>20047</v>
      </c>
      <c r="P1196" t="s">
        <v>20413</v>
      </c>
      <c r="Q1196" t="s">
        <v>20560</v>
      </c>
      <c r="R1196" t="s">
        <v>410</v>
      </c>
      <c r="S1196">
        <v>2037</v>
      </c>
    </row>
    <row r="1197" spans="1:19">
      <c r="A1197" t="s">
        <v>20</v>
      </c>
      <c r="B1197" t="s">
        <v>148</v>
      </c>
      <c r="C1197" t="s">
        <v>152</v>
      </c>
      <c r="D1197" t="s">
        <v>281</v>
      </c>
      <c r="E1197" t="s">
        <v>410</v>
      </c>
      <c r="F1197">
        <f>HYPERLINK("https://www.wikidata.org/wiki/Q33528422", "Q33528422")</f>
        <v>0</v>
      </c>
      <c r="G1197" t="s">
        <v>1299</v>
      </c>
      <c r="H1197" t="s">
        <v>6021</v>
      </c>
      <c r="I1197" t="s">
        <v>9611</v>
      </c>
      <c r="J1197" t="s">
        <v>12029</v>
      </c>
      <c r="K1197" t="s">
        <v>15976</v>
      </c>
      <c r="L1197">
        <f>HYPERLINK("https://www2.assemblee-nationale.fr/sycomore/fiche/(num_dept)/6413", "6413")</f>
        <v>0</v>
      </c>
      <c r="N1197">
        <f>HYPERLINK("https://www.wikidata.org/wiki/Q16026352", "Q16026352")</f>
        <v>0</v>
      </c>
      <c r="O1197" t="s">
        <v>19994</v>
      </c>
      <c r="P1197" t="s">
        <v>20413</v>
      </c>
      <c r="Q1197" t="s">
        <v>20560</v>
      </c>
      <c r="R1197" t="s">
        <v>410</v>
      </c>
      <c r="S1197">
        <v>2037</v>
      </c>
    </row>
    <row r="1198" spans="1:19">
      <c r="A1198" t="s">
        <v>20</v>
      </c>
      <c r="B1198" t="s">
        <v>148</v>
      </c>
      <c r="C1198" t="s">
        <v>152</v>
      </c>
      <c r="D1198" t="s">
        <v>281</v>
      </c>
      <c r="E1198" t="s">
        <v>410</v>
      </c>
      <c r="F1198">
        <f>HYPERLINK("https://www.wikidata.org/wiki/Q33528422", "Q33528422")</f>
        <v>0</v>
      </c>
      <c r="G1198" t="s">
        <v>1300</v>
      </c>
      <c r="H1198" t="s">
        <v>6021</v>
      </c>
      <c r="I1198" t="s">
        <v>9739</v>
      </c>
      <c r="J1198" t="s">
        <v>12030</v>
      </c>
      <c r="K1198" t="s">
        <v>16431</v>
      </c>
      <c r="L1198">
        <f>HYPERLINK("https://www2.assemblee-nationale.fr/sycomore/fiche/(num_dept)/6414", "6414")</f>
        <v>0</v>
      </c>
      <c r="N1198">
        <f>HYPERLINK("https://www.wikidata.org/wiki/Q3372024", "Q3372024")</f>
        <v>0</v>
      </c>
      <c r="O1198" t="s">
        <v>19969</v>
      </c>
      <c r="P1198" t="s">
        <v>20404</v>
      </c>
      <c r="Q1198" t="s">
        <v>20560</v>
      </c>
      <c r="R1198" t="s">
        <v>410</v>
      </c>
      <c r="S1198">
        <v>2037</v>
      </c>
    </row>
    <row r="1199" spans="1:19">
      <c r="A1199" t="s">
        <v>20</v>
      </c>
      <c r="B1199" t="s">
        <v>148</v>
      </c>
      <c r="C1199" t="s">
        <v>152</v>
      </c>
      <c r="D1199" t="s">
        <v>281</v>
      </c>
      <c r="E1199" t="s">
        <v>410</v>
      </c>
      <c r="F1199">
        <f>HYPERLINK("https://www.wikidata.org/wiki/Q33528422", "Q33528422")</f>
        <v>0</v>
      </c>
      <c r="G1199" t="s">
        <v>1301</v>
      </c>
      <c r="H1199" t="s">
        <v>6022</v>
      </c>
      <c r="I1199" t="s">
        <v>9740</v>
      </c>
      <c r="J1199" t="s">
        <v>12031</v>
      </c>
      <c r="K1199" t="s">
        <v>16432</v>
      </c>
      <c r="L1199">
        <f>HYPERLINK("https://www2.assemblee-nationale.fr/sycomore/fiche/(num_dept)/6441", "6441")</f>
        <v>0</v>
      </c>
      <c r="M1199">
        <f>HYPERLINK("https://www.senat.fr/senateur-3eme-republique/pottevin_henri1717r3.html", "pottevin_henri1717r3")</f>
        <v>0</v>
      </c>
      <c r="N1199">
        <f>HYPERLINK("https://www.wikidata.org/wiki/Q3131827", "Q3131827")</f>
        <v>0</v>
      </c>
      <c r="O1199" t="s">
        <v>20045</v>
      </c>
      <c r="P1199" t="s">
        <v>20413</v>
      </c>
      <c r="Q1199" t="s">
        <v>20560</v>
      </c>
      <c r="R1199" t="s">
        <v>410</v>
      </c>
      <c r="S1199">
        <v>2037</v>
      </c>
    </row>
    <row r="1200" spans="1:19">
      <c r="A1200" t="s">
        <v>20</v>
      </c>
      <c r="B1200" t="s">
        <v>148</v>
      </c>
      <c r="C1200" t="s">
        <v>152</v>
      </c>
      <c r="D1200" t="s">
        <v>281</v>
      </c>
      <c r="E1200" t="s">
        <v>410</v>
      </c>
      <c r="F1200">
        <f>HYPERLINK("https://www.wikidata.org/wiki/Q33528422", "Q33528422")</f>
        <v>0</v>
      </c>
      <c r="G1200" t="s">
        <v>1302</v>
      </c>
      <c r="H1200" t="s">
        <v>6023</v>
      </c>
      <c r="I1200" t="s">
        <v>9375</v>
      </c>
      <c r="J1200" t="s">
        <v>12032</v>
      </c>
      <c r="K1200" t="s">
        <v>16433</v>
      </c>
      <c r="L1200">
        <f>HYPERLINK("https://www2.assemblee-nationale.fr/sycomore/fiche/(num_dept)/6467", "6467")</f>
        <v>0</v>
      </c>
      <c r="N1200">
        <f>HYPERLINK("https://www.wikidata.org/wiki/Q16026362", "Q16026362")</f>
        <v>0</v>
      </c>
      <c r="O1200" t="s">
        <v>20037</v>
      </c>
      <c r="P1200" t="s">
        <v>20404</v>
      </c>
      <c r="Q1200" t="s">
        <v>20560</v>
      </c>
      <c r="R1200" t="s">
        <v>410</v>
      </c>
      <c r="S1200">
        <v>2037</v>
      </c>
    </row>
    <row r="1201" spans="1:19">
      <c r="A1201" t="s">
        <v>20</v>
      </c>
      <c r="B1201" t="s">
        <v>148</v>
      </c>
      <c r="C1201" t="s">
        <v>152</v>
      </c>
      <c r="D1201" t="s">
        <v>281</v>
      </c>
      <c r="E1201" t="s">
        <v>410</v>
      </c>
      <c r="F1201">
        <f>HYPERLINK("https://www.wikidata.org/wiki/Q33528422", "Q33528422")</f>
        <v>0</v>
      </c>
      <c r="G1201" t="s">
        <v>1040</v>
      </c>
      <c r="H1201" t="s">
        <v>5789</v>
      </c>
      <c r="I1201" t="s">
        <v>9635</v>
      </c>
      <c r="J1201" t="s">
        <v>11777</v>
      </c>
      <c r="K1201" t="s">
        <v>16178</v>
      </c>
      <c r="L1201">
        <f>HYPERLINK("https://www2.assemblee-nationale.fr/sycomore/fiche/(num_dept)/6498", "6498")</f>
        <v>0</v>
      </c>
      <c r="N1201">
        <f>HYPERLINK("https://www.wikidata.org/wiki/Q2853915", "Q2853915")</f>
        <v>0</v>
      </c>
      <c r="O1201" t="s">
        <v>20016</v>
      </c>
      <c r="P1201" t="s">
        <v>20404</v>
      </c>
      <c r="Q1201" t="s">
        <v>20560</v>
      </c>
      <c r="R1201" t="s">
        <v>410</v>
      </c>
      <c r="S1201">
        <v>2037</v>
      </c>
    </row>
    <row r="1202" spans="1:19">
      <c r="A1202" t="s">
        <v>20</v>
      </c>
      <c r="B1202" t="s">
        <v>148</v>
      </c>
      <c r="C1202" t="s">
        <v>152</v>
      </c>
      <c r="D1202" t="s">
        <v>281</v>
      </c>
      <c r="E1202" t="s">
        <v>410</v>
      </c>
      <c r="F1202">
        <f>HYPERLINK("https://www.wikidata.org/wiki/Q33528422", "Q33528422")</f>
        <v>0</v>
      </c>
      <c r="G1202" t="s">
        <v>1303</v>
      </c>
      <c r="H1202" t="s">
        <v>6024</v>
      </c>
      <c r="I1202" t="s">
        <v>9388</v>
      </c>
      <c r="J1202" t="s">
        <v>12033</v>
      </c>
      <c r="K1202" t="s">
        <v>16434</v>
      </c>
      <c r="L1202">
        <f>HYPERLINK("https://www2.assemblee-nationale.fr/sycomore/fiche/(num_dept)/6519", "6519")</f>
        <v>0</v>
      </c>
      <c r="N1202">
        <f>HYPERLINK("https://www.wikidata.org/wiki/Q3372040", "Q3372040")</f>
        <v>0</v>
      </c>
      <c r="O1202" t="s">
        <v>19988</v>
      </c>
      <c r="P1202" t="s">
        <v>20409</v>
      </c>
      <c r="Q1202" t="s">
        <v>20560</v>
      </c>
      <c r="R1202" t="s">
        <v>16434</v>
      </c>
      <c r="S1202">
        <v>167</v>
      </c>
    </row>
    <row r="1203" spans="1:19">
      <c r="A1203" t="s">
        <v>20</v>
      </c>
      <c r="B1203" t="s">
        <v>148</v>
      </c>
      <c r="C1203" t="s">
        <v>152</v>
      </c>
      <c r="D1203" t="s">
        <v>281</v>
      </c>
      <c r="E1203" t="s">
        <v>410</v>
      </c>
      <c r="F1203">
        <f>HYPERLINK("https://www.wikidata.org/wiki/Q33528422", "Q33528422")</f>
        <v>0</v>
      </c>
      <c r="G1203" t="s">
        <v>1304</v>
      </c>
      <c r="H1203" t="s">
        <v>6025</v>
      </c>
      <c r="I1203" t="s">
        <v>9457</v>
      </c>
      <c r="J1203" t="s">
        <v>12034</v>
      </c>
      <c r="K1203" t="s">
        <v>16435</v>
      </c>
      <c r="L1203">
        <f>HYPERLINK("https://www2.assemblee-nationale.fr/sycomore/fiche/(num_dept)/6554", "6554")</f>
        <v>0</v>
      </c>
      <c r="M1203">
        <f>HYPERLINK("https://www.senat.fr/senateur-3eme-republique/queuille_henri0469r3.html", "queuille_henri0469r3")</f>
        <v>0</v>
      </c>
      <c r="N1203">
        <f>HYPERLINK("https://www.wikidata.org/wiki/Q455655", "Q455655")</f>
        <v>0</v>
      </c>
      <c r="O1203" t="s">
        <v>20020</v>
      </c>
      <c r="P1203" t="s">
        <v>20413</v>
      </c>
      <c r="Q1203" t="s">
        <v>20560</v>
      </c>
      <c r="R1203" t="s">
        <v>410</v>
      </c>
      <c r="S1203">
        <v>2037</v>
      </c>
    </row>
    <row r="1204" spans="1:19">
      <c r="A1204" t="s">
        <v>20</v>
      </c>
      <c r="B1204" t="s">
        <v>148</v>
      </c>
      <c r="C1204" t="s">
        <v>152</v>
      </c>
      <c r="D1204" t="s">
        <v>281</v>
      </c>
      <c r="E1204" t="s">
        <v>410</v>
      </c>
      <c r="F1204">
        <f>HYPERLINK("https://www.wikidata.org/wiki/Q33528422", "Q33528422")</f>
        <v>0</v>
      </c>
      <c r="G1204" t="s">
        <v>1044</v>
      </c>
      <c r="H1204" t="s">
        <v>5792</v>
      </c>
      <c r="I1204" t="s">
        <v>9638</v>
      </c>
      <c r="J1204" t="s">
        <v>11781</v>
      </c>
      <c r="K1204" t="s">
        <v>16182</v>
      </c>
      <c r="L1204">
        <f>HYPERLINK("https://www2.assemblee-nationale.fr/sycomore/fiche/(num_dept)/6577", "6577")</f>
        <v>0</v>
      </c>
      <c r="N1204">
        <f>HYPERLINK("https://www.wikidata.org/wiki/Q14925927", "Q14925927")</f>
        <v>0</v>
      </c>
      <c r="O1204" t="s">
        <v>20006</v>
      </c>
      <c r="P1204" t="s">
        <v>20404</v>
      </c>
      <c r="Q1204" t="s">
        <v>20560</v>
      </c>
      <c r="R1204" t="s">
        <v>410</v>
      </c>
      <c r="S1204">
        <v>2037</v>
      </c>
    </row>
    <row r="1205" spans="1:19">
      <c r="A1205" t="s">
        <v>20</v>
      </c>
      <c r="B1205" t="s">
        <v>148</v>
      </c>
      <c r="C1205" t="s">
        <v>152</v>
      </c>
      <c r="D1205" t="s">
        <v>281</v>
      </c>
      <c r="E1205" t="s">
        <v>410</v>
      </c>
      <c r="F1205">
        <f>HYPERLINK("https://www.wikidata.org/wiki/Q33528422", "Q33528422")</f>
        <v>0</v>
      </c>
      <c r="G1205" t="s">
        <v>1305</v>
      </c>
      <c r="H1205" t="s">
        <v>6026</v>
      </c>
      <c r="I1205" t="s">
        <v>9741</v>
      </c>
      <c r="J1205" t="s">
        <v>12035</v>
      </c>
      <c r="K1205" t="s">
        <v>16436</v>
      </c>
      <c r="L1205">
        <f>HYPERLINK("https://www2.assemblee-nationale.fr/sycomore/fiche/(num_dept)/6585", "6585")</f>
        <v>0</v>
      </c>
      <c r="M1205">
        <f>HYPERLINK("https://www.senat.fr/senateur-3eme-republique/rajon_claude1188r3.html", "rajon_claude1188r3")</f>
        <v>0</v>
      </c>
      <c r="N1205">
        <f>HYPERLINK("https://www.wikidata.org/wiki/Q2978029", "Q2978029")</f>
        <v>0</v>
      </c>
      <c r="O1205" t="s">
        <v>20006</v>
      </c>
      <c r="P1205" t="s">
        <v>20413</v>
      </c>
      <c r="Q1205" t="s">
        <v>20560</v>
      </c>
      <c r="R1205" t="s">
        <v>410</v>
      </c>
      <c r="S1205">
        <v>2037</v>
      </c>
    </row>
    <row r="1206" spans="1:19">
      <c r="A1206" t="s">
        <v>20</v>
      </c>
      <c r="B1206" t="s">
        <v>148</v>
      </c>
      <c r="C1206" t="s">
        <v>152</v>
      </c>
      <c r="D1206" t="s">
        <v>281</v>
      </c>
      <c r="E1206" t="s">
        <v>410</v>
      </c>
      <c r="F1206">
        <f>HYPERLINK("https://www.wikidata.org/wiki/Q33528422", "Q33528422")</f>
        <v>0</v>
      </c>
      <c r="G1206" t="s">
        <v>1306</v>
      </c>
      <c r="H1206" t="s">
        <v>6027</v>
      </c>
      <c r="I1206" t="s">
        <v>6860</v>
      </c>
      <c r="J1206" t="s">
        <v>12036</v>
      </c>
      <c r="K1206" t="s">
        <v>16437</v>
      </c>
      <c r="L1206">
        <f>HYPERLINK("https://www2.assemblee-nationale.fr/sycomore/fiche/(num_dept)/6591", "6591")</f>
        <v>0</v>
      </c>
      <c r="M1206">
        <f>HYPERLINK("https://www.senat.fr/senateur-3eme-republique/rameil_pierre1090r3.html", "rameil_pierre1090r3")</f>
        <v>0</v>
      </c>
      <c r="N1206">
        <f>HYPERLINK("https://www.wikidata.org/wiki/Q3386748", "Q3386748")</f>
        <v>0</v>
      </c>
      <c r="O1206" t="s">
        <v>20001</v>
      </c>
      <c r="P1206" t="s">
        <v>20406</v>
      </c>
      <c r="Q1206" t="s">
        <v>20560</v>
      </c>
      <c r="R1206" t="s">
        <v>410</v>
      </c>
      <c r="S1206">
        <v>2037</v>
      </c>
    </row>
    <row r="1207" spans="1:19">
      <c r="A1207" t="s">
        <v>20</v>
      </c>
      <c r="B1207" t="s">
        <v>148</v>
      </c>
      <c r="C1207" t="s">
        <v>152</v>
      </c>
      <c r="D1207" t="s">
        <v>281</v>
      </c>
      <c r="E1207" t="s">
        <v>410</v>
      </c>
      <c r="F1207">
        <f>HYPERLINK("https://www.wikidata.org/wiki/Q33528422", "Q33528422")</f>
        <v>0</v>
      </c>
      <c r="G1207" t="s">
        <v>1046</v>
      </c>
      <c r="H1207" t="s">
        <v>5794</v>
      </c>
      <c r="I1207" t="s">
        <v>9640</v>
      </c>
      <c r="J1207" t="s">
        <v>11783</v>
      </c>
      <c r="K1207" t="s">
        <v>16184</v>
      </c>
      <c r="L1207">
        <f>HYPERLINK("https://www2.assemblee-nationale.fr/sycomore/fiche/(num_dept)/6625", "6625")</f>
        <v>0</v>
      </c>
      <c r="N1207">
        <f>HYPERLINK("https://www.wikidata.org/wiki/Q16026396", "Q16026396")</f>
        <v>0</v>
      </c>
      <c r="O1207" t="s">
        <v>20044</v>
      </c>
      <c r="P1207" t="s">
        <v>20413</v>
      </c>
      <c r="Q1207" t="s">
        <v>20560</v>
      </c>
      <c r="R1207" t="s">
        <v>410</v>
      </c>
      <c r="S1207">
        <v>2037</v>
      </c>
    </row>
    <row r="1208" spans="1:19">
      <c r="A1208" t="s">
        <v>20</v>
      </c>
      <c r="B1208" t="s">
        <v>148</v>
      </c>
      <c r="C1208" t="s">
        <v>152</v>
      </c>
      <c r="D1208" t="s">
        <v>281</v>
      </c>
      <c r="E1208" t="s">
        <v>410</v>
      </c>
      <c r="F1208">
        <f>HYPERLINK("https://www.wikidata.org/wiki/Q33528422", "Q33528422")</f>
        <v>0</v>
      </c>
      <c r="G1208" t="s">
        <v>1047</v>
      </c>
      <c r="H1208" t="s">
        <v>5795</v>
      </c>
      <c r="I1208" t="s">
        <v>9641</v>
      </c>
      <c r="J1208" t="s">
        <v>11784</v>
      </c>
      <c r="K1208" t="s">
        <v>16185</v>
      </c>
      <c r="L1208">
        <f>HYPERLINK("https://www2.assemblee-nationale.fr/sycomore/fiche/(num_dept)/6641", "6641")</f>
        <v>0</v>
      </c>
      <c r="M1208">
        <f>HYPERLINK("https://www.senat.fr/senateur-3eme-republique/reboul_camille0252r3.html", "reboul_camille0252r3")</f>
        <v>0</v>
      </c>
      <c r="N1208">
        <f>HYPERLINK("https://www.wikidata.org/wiki/Q2935052", "Q2935052")</f>
        <v>0</v>
      </c>
      <c r="O1208" t="s">
        <v>7411</v>
      </c>
      <c r="P1208" t="s">
        <v>20404</v>
      </c>
      <c r="Q1208" t="s">
        <v>20560</v>
      </c>
      <c r="R1208" t="s">
        <v>410</v>
      </c>
      <c r="S1208">
        <v>2037</v>
      </c>
    </row>
    <row r="1209" spans="1:19">
      <c r="A1209" t="s">
        <v>20</v>
      </c>
      <c r="B1209" t="s">
        <v>148</v>
      </c>
      <c r="C1209" t="s">
        <v>152</v>
      </c>
      <c r="D1209" t="s">
        <v>281</v>
      </c>
      <c r="E1209" t="s">
        <v>410</v>
      </c>
      <c r="F1209">
        <f>HYPERLINK("https://www.wikidata.org/wiki/Q33528422", "Q33528422")</f>
        <v>0</v>
      </c>
      <c r="G1209" t="s">
        <v>1049</v>
      </c>
      <c r="H1209" t="s">
        <v>5796</v>
      </c>
      <c r="I1209" t="s">
        <v>9642</v>
      </c>
      <c r="J1209" t="s">
        <v>11786</v>
      </c>
      <c r="K1209" t="s">
        <v>16187</v>
      </c>
      <c r="L1209">
        <f>HYPERLINK("https://www2.assemblee-nationale.fr/sycomore/fiche/(num_dept)/6671", "6671")</f>
        <v>0</v>
      </c>
      <c r="N1209">
        <f>HYPERLINK("https://www.wikidata.org/wiki/Q2848513", "Q2848513")</f>
        <v>0</v>
      </c>
      <c r="O1209" t="s">
        <v>20032</v>
      </c>
      <c r="P1209" t="s">
        <v>20413</v>
      </c>
      <c r="Q1209" t="s">
        <v>20560</v>
      </c>
      <c r="R1209" t="s">
        <v>410</v>
      </c>
      <c r="S1209">
        <v>2037</v>
      </c>
    </row>
    <row r="1210" spans="1:19">
      <c r="A1210" t="s">
        <v>20</v>
      </c>
      <c r="B1210" t="s">
        <v>148</v>
      </c>
      <c r="C1210" t="s">
        <v>152</v>
      </c>
      <c r="D1210" t="s">
        <v>281</v>
      </c>
      <c r="E1210" t="s">
        <v>410</v>
      </c>
      <c r="F1210">
        <f>HYPERLINK("https://www.wikidata.org/wiki/Q33528422", "Q33528422")</f>
        <v>0</v>
      </c>
      <c r="G1210" t="s">
        <v>1307</v>
      </c>
      <c r="H1210" t="s">
        <v>6028</v>
      </c>
      <c r="I1210" t="s">
        <v>9742</v>
      </c>
      <c r="J1210" t="s">
        <v>12037</v>
      </c>
      <c r="K1210" t="s">
        <v>16438</v>
      </c>
      <c r="L1210">
        <f>HYPERLINK("https://www2.assemblee-nationale.fr/sycomore/fiche/(num_dept)/6676", "6676")</f>
        <v>0</v>
      </c>
      <c r="N1210">
        <f>HYPERLINK("https://www.wikidata.org/wiki/Q3386778", "Q3386778")</f>
        <v>0</v>
      </c>
      <c r="O1210" t="s">
        <v>20042</v>
      </c>
      <c r="P1210" t="s">
        <v>20404</v>
      </c>
      <c r="Q1210" t="s">
        <v>20560</v>
      </c>
      <c r="R1210" t="s">
        <v>410</v>
      </c>
      <c r="S1210">
        <v>2037</v>
      </c>
    </row>
    <row r="1211" spans="1:19">
      <c r="A1211" t="s">
        <v>20</v>
      </c>
      <c r="B1211" t="s">
        <v>148</v>
      </c>
      <c r="C1211" t="s">
        <v>152</v>
      </c>
      <c r="D1211" t="s">
        <v>281</v>
      </c>
      <c r="E1211" t="s">
        <v>410</v>
      </c>
      <c r="F1211">
        <f>HYPERLINK("https://www.wikidata.org/wiki/Q33528422", "Q33528422")</f>
        <v>0</v>
      </c>
      <c r="G1211" t="s">
        <v>1308</v>
      </c>
      <c r="H1211" t="s">
        <v>6029</v>
      </c>
      <c r="I1211" t="s">
        <v>6495</v>
      </c>
      <c r="J1211" t="s">
        <v>12038</v>
      </c>
      <c r="K1211" t="s">
        <v>16439</v>
      </c>
      <c r="L1211">
        <f>HYPERLINK("https://www2.assemblee-nationale.fr/sycomore/fiche/(num_dept)/6691", "6691")</f>
        <v>0</v>
      </c>
      <c r="N1211">
        <f>HYPERLINK("https://www.wikidata.org/wiki/Q16026406", "Q16026406")</f>
        <v>0</v>
      </c>
      <c r="O1211" t="s">
        <v>20030</v>
      </c>
      <c r="P1211" t="s">
        <v>20412</v>
      </c>
      <c r="Q1211" t="s">
        <v>20560</v>
      </c>
      <c r="R1211" t="s">
        <v>410</v>
      </c>
      <c r="S1211">
        <v>2037</v>
      </c>
    </row>
    <row r="1212" spans="1:19">
      <c r="A1212" t="s">
        <v>20</v>
      </c>
      <c r="B1212" t="s">
        <v>148</v>
      </c>
      <c r="C1212" t="s">
        <v>152</v>
      </c>
      <c r="D1212" t="s">
        <v>281</v>
      </c>
      <c r="E1212" t="s">
        <v>410</v>
      </c>
      <c r="F1212">
        <f>HYPERLINK("https://www.wikidata.org/wiki/Q33528422", "Q33528422")</f>
        <v>0</v>
      </c>
      <c r="G1212" t="s">
        <v>805</v>
      </c>
      <c r="H1212" t="s">
        <v>5562</v>
      </c>
      <c r="I1212" t="s">
        <v>9499</v>
      </c>
      <c r="J1212" t="s">
        <v>11552</v>
      </c>
      <c r="K1212" t="s">
        <v>15956</v>
      </c>
      <c r="L1212">
        <f>HYPERLINK("https://www2.assemblee-nationale.fr/sycomore/fiche/(num_dept)/6696", "6696")</f>
        <v>0</v>
      </c>
      <c r="N1212">
        <f>HYPERLINK("https://www.wikidata.org/wiki/Q3288371", "Q3288371")</f>
        <v>0</v>
      </c>
      <c r="O1212" t="s">
        <v>19973</v>
      </c>
      <c r="P1212" t="s">
        <v>20401</v>
      </c>
      <c r="Q1212" t="s">
        <v>20560</v>
      </c>
      <c r="R1212" t="s">
        <v>410</v>
      </c>
      <c r="S1212">
        <v>2037</v>
      </c>
    </row>
    <row r="1213" spans="1:19">
      <c r="A1213" t="s">
        <v>20</v>
      </c>
      <c r="B1213" t="s">
        <v>148</v>
      </c>
      <c r="C1213" t="s">
        <v>152</v>
      </c>
      <c r="D1213" t="s">
        <v>281</v>
      </c>
      <c r="E1213" t="s">
        <v>410</v>
      </c>
      <c r="F1213">
        <f>HYPERLINK("https://www.wikidata.org/wiki/Q33528422", "Q33528422")</f>
        <v>0</v>
      </c>
      <c r="G1213" t="s">
        <v>1309</v>
      </c>
      <c r="H1213" t="s">
        <v>6030</v>
      </c>
      <c r="I1213" t="s">
        <v>9407</v>
      </c>
      <c r="J1213" t="s">
        <v>12039</v>
      </c>
      <c r="K1213" t="s">
        <v>16440</v>
      </c>
      <c r="L1213">
        <f>HYPERLINK("https://www2.assemblee-nationale.fr/sycomore/fiche/(num_dept)/6713", "6713")</f>
        <v>0</v>
      </c>
      <c r="N1213">
        <f>HYPERLINK("https://www.wikidata.org/wiki/Q16026412", "Q16026412")</f>
        <v>0</v>
      </c>
      <c r="O1213" t="s">
        <v>20005</v>
      </c>
      <c r="P1213" t="s">
        <v>20413</v>
      </c>
      <c r="Q1213" t="s">
        <v>20560</v>
      </c>
      <c r="R1213" t="s">
        <v>410</v>
      </c>
      <c r="S1213">
        <v>2037</v>
      </c>
    </row>
    <row r="1214" spans="1:19">
      <c r="A1214" t="s">
        <v>20</v>
      </c>
      <c r="B1214" t="s">
        <v>148</v>
      </c>
      <c r="C1214" t="s">
        <v>152</v>
      </c>
      <c r="D1214" t="s">
        <v>281</v>
      </c>
      <c r="E1214" t="s">
        <v>410</v>
      </c>
      <c r="F1214">
        <f>HYPERLINK("https://www.wikidata.org/wiki/Q33528422", "Q33528422")</f>
        <v>0</v>
      </c>
      <c r="G1214" t="s">
        <v>809</v>
      </c>
      <c r="H1214" t="s">
        <v>5566</v>
      </c>
      <c r="I1214" t="s">
        <v>7642</v>
      </c>
      <c r="J1214" t="s">
        <v>11556</v>
      </c>
      <c r="K1214" t="s">
        <v>15960</v>
      </c>
      <c r="L1214">
        <f>HYPERLINK("https://www2.assemblee-nationale.fr/sycomore/fiche/(num_dept)/6821", "6821")</f>
        <v>0</v>
      </c>
      <c r="N1214">
        <f>HYPERLINK("https://www.wikidata.org/wiki/Q3301402", "Q3301402")</f>
        <v>0</v>
      </c>
      <c r="O1214" t="s">
        <v>20023</v>
      </c>
      <c r="P1214" t="s">
        <v>20412</v>
      </c>
      <c r="Q1214" t="s">
        <v>20560</v>
      </c>
      <c r="R1214" t="s">
        <v>410</v>
      </c>
      <c r="S1214">
        <v>2037</v>
      </c>
    </row>
    <row r="1215" spans="1:19">
      <c r="A1215" t="s">
        <v>20</v>
      </c>
      <c r="B1215" t="s">
        <v>148</v>
      </c>
      <c r="C1215" t="s">
        <v>152</v>
      </c>
      <c r="D1215" t="s">
        <v>281</v>
      </c>
      <c r="E1215" t="s">
        <v>410</v>
      </c>
      <c r="F1215">
        <f>HYPERLINK("https://www.wikidata.org/wiki/Q33528422", "Q33528422")</f>
        <v>0</v>
      </c>
      <c r="G1215" t="s">
        <v>1310</v>
      </c>
      <c r="H1215" t="s">
        <v>6031</v>
      </c>
      <c r="I1215" t="s">
        <v>6200</v>
      </c>
      <c r="J1215" t="s">
        <v>12040</v>
      </c>
      <c r="K1215" t="s">
        <v>16441</v>
      </c>
      <c r="L1215">
        <f>HYPERLINK("https://www2.assemblee-nationale.fr/sycomore/fiche/(num_dept)/6823", "6823")</f>
        <v>0</v>
      </c>
      <c r="N1215">
        <f>HYPERLINK("https://www.wikidata.org/wiki/Q16026502", "Q16026502")</f>
        <v>0</v>
      </c>
      <c r="O1215" t="s">
        <v>19988</v>
      </c>
      <c r="P1215" t="s">
        <v>20409</v>
      </c>
      <c r="Q1215" t="s">
        <v>20560</v>
      </c>
      <c r="R1215" t="s">
        <v>410</v>
      </c>
      <c r="S1215">
        <v>2037</v>
      </c>
    </row>
    <row r="1216" spans="1:19">
      <c r="A1216" t="s">
        <v>20</v>
      </c>
      <c r="B1216" t="s">
        <v>148</v>
      </c>
      <c r="C1216" t="s">
        <v>152</v>
      </c>
      <c r="D1216" t="s">
        <v>281</v>
      </c>
      <c r="E1216" t="s">
        <v>410</v>
      </c>
      <c r="F1216">
        <f>HYPERLINK("https://www.wikidata.org/wiki/Q33528422", "Q33528422")</f>
        <v>0</v>
      </c>
      <c r="G1216" t="s">
        <v>1053</v>
      </c>
      <c r="H1216" t="s">
        <v>5800</v>
      </c>
      <c r="I1216" t="s">
        <v>6478</v>
      </c>
      <c r="J1216" t="s">
        <v>11790</v>
      </c>
      <c r="K1216" t="s">
        <v>16191</v>
      </c>
      <c r="L1216">
        <f>HYPERLINK("https://www2.assemblee-nationale.fr/sycomore/fiche/(num_dept)/6843", "6843")</f>
        <v>0</v>
      </c>
      <c r="N1216">
        <f>HYPERLINK("https://www.wikidata.org/wiki/Q773411", "Q773411")</f>
        <v>0</v>
      </c>
      <c r="O1216" t="s">
        <v>19962</v>
      </c>
      <c r="P1216" t="s">
        <v>20413</v>
      </c>
      <c r="Q1216" t="s">
        <v>20560</v>
      </c>
      <c r="R1216" t="s">
        <v>410</v>
      </c>
      <c r="S1216">
        <v>2037</v>
      </c>
    </row>
    <row r="1217" spans="1:19">
      <c r="A1217" t="s">
        <v>20</v>
      </c>
      <c r="B1217" t="s">
        <v>148</v>
      </c>
      <c r="C1217" t="s">
        <v>152</v>
      </c>
      <c r="D1217" t="s">
        <v>281</v>
      </c>
      <c r="E1217" t="s">
        <v>410</v>
      </c>
      <c r="F1217">
        <f>HYPERLINK("https://www.wikidata.org/wiki/Q33528422", "Q33528422")</f>
        <v>0</v>
      </c>
      <c r="G1217" t="s">
        <v>1055</v>
      </c>
      <c r="H1217" t="s">
        <v>5801</v>
      </c>
      <c r="I1217" t="s">
        <v>9503</v>
      </c>
      <c r="J1217" t="s">
        <v>11792</v>
      </c>
      <c r="K1217" t="s">
        <v>16193</v>
      </c>
      <c r="L1217">
        <f>HYPERLINK("https://www2.assemblee-nationale.fr/sycomore/fiche/(num_dept)/6863", "6863")</f>
        <v>0</v>
      </c>
      <c r="N1217">
        <f>HYPERLINK("https://www.wikidata.org/wiki/Q16026512", "Q16026512")</f>
        <v>0</v>
      </c>
      <c r="O1217" t="s">
        <v>19990</v>
      </c>
      <c r="P1217" t="s">
        <v>20404</v>
      </c>
      <c r="Q1217" t="s">
        <v>20560</v>
      </c>
      <c r="R1217" t="s">
        <v>410</v>
      </c>
      <c r="S1217">
        <v>2037</v>
      </c>
    </row>
    <row r="1218" spans="1:19">
      <c r="A1218" t="s">
        <v>20</v>
      </c>
      <c r="B1218" t="s">
        <v>148</v>
      </c>
      <c r="C1218" t="s">
        <v>152</v>
      </c>
      <c r="D1218" t="s">
        <v>281</v>
      </c>
      <c r="E1218" t="s">
        <v>410</v>
      </c>
      <c r="F1218">
        <f>HYPERLINK("https://www.wikidata.org/wiki/Q33528422", "Q33528422")</f>
        <v>0</v>
      </c>
      <c r="G1218" t="s">
        <v>1311</v>
      </c>
      <c r="H1218" t="s">
        <v>6032</v>
      </c>
      <c r="I1218" t="s">
        <v>9743</v>
      </c>
      <c r="J1218" t="s">
        <v>12041</v>
      </c>
      <c r="K1218" t="s">
        <v>16442</v>
      </c>
      <c r="L1218">
        <f>HYPERLINK("https://www2.assemblee-nationale.fr/sycomore/fiche/(num_dept)/6873", "6873")</f>
        <v>0</v>
      </c>
      <c r="N1218">
        <f>HYPERLINK("https://www.wikidata.org/wiki/Q16026515", "Q16026515")</f>
        <v>0</v>
      </c>
      <c r="O1218" t="s">
        <v>19968</v>
      </c>
      <c r="P1218" t="s">
        <v>20404</v>
      </c>
      <c r="Q1218" t="s">
        <v>20560</v>
      </c>
      <c r="R1218" t="s">
        <v>16442</v>
      </c>
      <c r="S1218">
        <v>1538</v>
      </c>
    </row>
    <row r="1219" spans="1:19">
      <c r="A1219" t="s">
        <v>20</v>
      </c>
      <c r="B1219" t="s">
        <v>148</v>
      </c>
      <c r="C1219" t="s">
        <v>152</v>
      </c>
      <c r="D1219" t="s">
        <v>281</v>
      </c>
      <c r="E1219" t="s">
        <v>410</v>
      </c>
      <c r="F1219">
        <f>HYPERLINK("https://www.wikidata.org/wiki/Q33528422", "Q33528422")</f>
        <v>0</v>
      </c>
      <c r="G1219" t="s">
        <v>1312</v>
      </c>
      <c r="H1219" t="s">
        <v>6033</v>
      </c>
      <c r="I1219" t="s">
        <v>7419</v>
      </c>
      <c r="J1219" t="s">
        <v>12042</v>
      </c>
      <c r="K1219" t="s">
        <v>16443</v>
      </c>
      <c r="L1219">
        <f>HYPERLINK("https://www2.assemblee-nationale.fr/sycomore/fiche/(num_dept)/6907", "6907")</f>
        <v>0</v>
      </c>
      <c r="N1219">
        <f>HYPERLINK("https://www.wikidata.org/wiki/Q1243761", "Q1243761")</f>
        <v>0</v>
      </c>
      <c r="O1219" t="s">
        <v>20033</v>
      </c>
      <c r="P1219" t="s">
        <v>20401</v>
      </c>
      <c r="Q1219" t="s">
        <v>20560</v>
      </c>
      <c r="R1219" t="s">
        <v>410</v>
      </c>
      <c r="S1219">
        <v>2037</v>
      </c>
    </row>
    <row r="1220" spans="1:19">
      <c r="A1220" t="s">
        <v>20</v>
      </c>
      <c r="B1220" t="s">
        <v>148</v>
      </c>
      <c r="C1220" t="s">
        <v>152</v>
      </c>
      <c r="D1220" t="s">
        <v>281</v>
      </c>
      <c r="E1220" t="s">
        <v>410</v>
      </c>
      <c r="F1220">
        <f>HYPERLINK("https://www.wikidata.org/wiki/Q33528422", "Q33528422")</f>
        <v>0</v>
      </c>
      <c r="G1220" t="s">
        <v>1313</v>
      </c>
      <c r="H1220" t="s">
        <v>6034</v>
      </c>
      <c r="I1220" t="s">
        <v>6584</v>
      </c>
      <c r="J1220" t="s">
        <v>12043</v>
      </c>
      <c r="K1220" t="s">
        <v>16037</v>
      </c>
      <c r="L1220">
        <f>HYPERLINK("https://www2.assemblee-nationale.fr/sycomore/fiche/(num_dept)/6936", "6936")</f>
        <v>0</v>
      </c>
      <c r="N1220">
        <f>HYPERLINK("https://www.wikidata.org/wiki/Q16026526", "Q16026526")</f>
        <v>0</v>
      </c>
      <c r="O1220" t="s">
        <v>19968</v>
      </c>
      <c r="P1220" t="s">
        <v>20414</v>
      </c>
      <c r="Q1220" t="s">
        <v>20560</v>
      </c>
      <c r="R1220" t="s">
        <v>16037</v>
      </c>
      <c r="S1220">
        <v>1050</v>
      </c>
    </row>
    <row r="1221" spans="1:19">
      <c r="A1221" t="s">
        <v>20</v>
      </c>
      <c r="B1221" t="s">
        <v>148</v>
      </c>
      <c r="C1221" t="s">
        <v>152</v>
      </c>
      <c r="D1221" t="s">
        <v>281</v>
      </c>
      <c r="E1221" t="s">
        <v>410</v>
      </c>
      <c r="F1221">
        <f>HYPERLINK("https://www.wikidata.org/wiki/Q33528422", "Q33528422")</f>
        <v>0</v>
      </c>
      <c r="G1221" t="s">
        <v>1314</v>
      </c>
      <c r="H1221" t="s">
        <v>6035</v>
      </c>
      <c r="I1221" t="s">
        <v>9744</v>
      </c>
      <c r="J1221" t="s">
        <v>12044</v>
      </c>
      <c r="K1221" t="s">
        <v>16444</v>
      </c>
      <c r="L1221">
        <f>HYPERLINK("https://www2.assemblee-nationale.fr/sycomore/fiche/(num_dept)/7015", "7015")</f>
        <v>0</v>
      </c>
      <c r="N1221">
        <f>HYPERLINK("https://www.wikidata.org/wiki/Q14917779", "Q14917779")</f>
        <v>0</v>
      </c>
      <c r="O1221" t="s">
        <v>19994</v>
      </c>
      <c r="P1221" t="s">
        <v>20404</v>
      </c>
      <c r="Q1221" t="s">
        <v>20560</v>
      </c>
      <c r="R1221" t="s">
        <v>410</v>
      </c>
      <c r="S1221">
        <v>2037</v>
      </c>
    </row>
    <row r="1222" spans="1:19">
      <c r="A1222" t="s">
        <v>20</v>
      </c>
      <c r="B1222" t="s">
        <v>148</v>
      </c>
      <c r="C1222" t="s">
        <v>152</v>
      </c>
      <c r="D1222" t="s">
        <v>281</v>
      </c>
      <c r="E1222" t="s">
        <v>410</v>
      </c>
      <c r="F1222">
        <f>HYPERLINK("https://www.wikidata.org/wiki/Q33528422", "Q33528422")</f>
        <v>0</v>
      </c>
      <c r="G1222" t="s">
        <v>1060</v>
      </c>
      <c r="H1222" t="s">
        <v>5806</v>
      </c>
      <c r="I1222" t="s">
        <v>9646</v>
      </c>
      <c r="J1222" t="s">
        <v>11797</v>
      </c>
      <c r="K1222" t="s">
        <v>15936</v>
      </c>
      <c r="L1222">
        <f>HYPERLINK("https://www2.assemblee-nationale.fr/sycomore/fiche/(num_dept)/7019", "7019")</f>
        <v>0</v>
      </c>
      <c r="N1222">
        <f>HYPERLINK("https://www.wikidata.org/wiki/Q16026551", "Q16026551")</f>
        <v>0</v>
      </c>
      <c r="O1222" t="s">
        <v>8449</v>
      </c>
      <c r="P1222" t="s">
        <v>20402</v>
      </c>
      <c r="Q1222" t="s">
        <v>20560</v>
      </c>
      <c r="R1222" t="s">
        <v>410</v>
      </c>
      <c r="S1222">
        <v>2037</v>
      </c>
    </row>
    <row r="1223" spans="1:19">
      <c r="A1223" t="s">
        <v>20</v>
      </c>
      <c r="B1223" t="s">
        <v>148</v>
      </c>
      <c r="C1223" t="s">
        <v>152</v>
      </c>
      <c r="D1223" t="s">
        <v>281</v>
      </c>
      <c r="E1223" t="s">
        <v>410</v>
      </c>
      <c r="F1223">
        <f>HYPERLINK("https://www.wikidata.org/wiki/Q33528422", "Q33528422")</f>
        <v>0</v>
      </c>
      <c r="G1223" t="s">
        <v>1062</v>
      </c>
      <c r="H1223" t="s">
        <v>5808</v>
      </c>
      <c r="I1223" t="s">
        <v>9648</v>
      </c>
      <c r="J1223" t="s">
        <v>11799</v>
      </c>
      <c r="K1223" t="s">
        <v>16199</v>
      </c>
      <c r="L1223">
        <f>HYPERLINK("https://www2.assemblee-nationale.fr/sycomore/fiche/(num_dept)/7042", "7042")</f>
        <v>0</v>
      </c>
      <c r="N1223">
        <f>HYPERLINK("https://www.wikidata.org/wiki/Q2025679", "Q2025679")</f>
        <v>0</v>
      </c>
      <c r="O1223" t="s">
        <v>19969</v>
      </c>
      <c r="P1223" t="s">
        <v>20404</v>
      </c>
      <c r="Q1223" t="s">
        <v>20560</v>
      </c>
      <c r="R1223" t="s">
        <v>410</v>
      </c>
      <c r="S1223">
        <v>2037</v>
      </c>
    </row>
    <row r="1224" spans="1:19">
      <c r="A1224" t="s">
        <v>20</v>
      </c>
      <c r="B1224" t="s">
        <v>148</v>
      </c>
      <c r="C1224" t="s">
        <v>152</v>
      </c>
      <c r="D1224" t="s">
        <v>281</v>
      </c>
      <c r="E1224" t="s">
        <v>410</v>
      </c>
      <c r="F1224">
        <f>HYPERLINK("https://www.wikidata.org/wiki/Q33528422", "Q33528422")</f>
        <v>0</v>
      </c>
      <c r="G1224" t="s">
        <v>1127</v>
      </c>
      <c r="H1224" t="s">
        <v>5865</v>
      </c>
      <c r="I1224" t="s">
        <v>9594</v>
      </c>
      <c r="J1224" t="s">
        <v>11861</v>
      </c>
      <c r="K1224" t="s">
        <v>16263</v>
      </c>
      <c r="L1224">
        <f>HYPERLINK("https://www2.assemblee-nationale.fr/sycomore/fiche/(num_dept)/7090", "7090")</f>
        <v>0</v>
      </c>
      <c r="M1224">
        <f>HYPERLINK("https://www.senat.fr/senateur-3eme-republique/tissier_louis1710r3.html", "tissier_louis1710r3")</f>
        <v>0</v>
      </c>
      <c r="N1224">
        <f>HYPERLINK("https://www.wikidata.org/wiki/Q3263199", "Q3263199")</f>
        <v>0</v>
      </c>
      <c r="O1224" t="s">
        <v>20047</v>
      </c>
      <c r="P1224" t="s">
        <v>20413</v>
      </c>
      <c r="Q1224" t="s">
        <v>20560</v>
      </c>
      <c r="R1224" t="s">
        <v>410</v>
      </c>
      <c r="S1224">
        <v>2037</v>
      </c>
    </row>
    <row r="1225" spans="1:19">
      <c r="A1225" t="s">
        <v>20</v>
      </c>
      <c r="B1225" t="s">
        <v>148</v>
      </c>
      <c r="C1225" t="s">
        <v>152</v>
      </c>
      <c r="D1225" t="s">
        <v>281</v>
      </c>
      <c r="E1225" t="s">
        <v>410</v>
      </c>
      <c r="F1225">
        <f>HYPERLINK("https://www.wikidata.org/wiki/Q33528422", "Q33528422")</f>
        <v>0</v>
      </c>
      <c r="G1225" t="s">
        <v>1063</v>
      </c>
      <c r="H1225" t="s">
        <v>5809</v>
      </c>
      <c r="I1225" t="s">
        <v>9649</v>
      </c>
      <c r="J1225" t="s">
        <v>11800</v>
      </c>
      <c r="K1225" t="s">
        <v>16200</v>
      </c>
      <c r="L1225">
        <f>HYPERLINK("https://www2.assemblee-nationale.fr/sycomore/fiche/(num_dept)/7114", "7114")</f>
        <v>0</v>
      </c>
      <c r="N1225">
        <f>HYPERLINK("https://www.wikidata.org/wiki/Q13080889", "Q13080889")</f>
        <v>0</v>
      </c>
      <c r="O1225" t="s">
        <v>19969</v>
      </c>
      <c r="P1225" t="s">
        <v>20414</v>
      </c>
      <c r="Q1225" t="s">
        <v>20560</v>
      </c>
      <c r="R1225" t="s">
        <v>410</v>
      </c>
      <c r="S1225">
        <v>2037</v>
      </c>
    </row>
    <row r="1226" spans="1:19">
      <c r="A1226" t="s">
        <v>20</v>
      </c>
      <c r="B1226" t="s">
        <v>148</v>
      </c>
      <c r="C1226" t="s">
        <v>152</v>
      </c>
      <c r="D1226" t="s">
        <v>281</v>
      </c>
      <c r="E1226" t="s">
        <v>410</v>
      </c>
      <c r="F1226">
        <f>HYPERLINK("https://www.wikidata.org/wiki/Q33528422", "Q33528422")</f>
        <v>0</v>
      </c>
      <c r="G1226" t="s">
        <v>1315</v>
      </c>
      <c r="H1226" t="s">
        <v>5576</v>
      </c>
      <c r="I1226" t="s">
        <v>9745</v>
      </c>
      <c r="J1226" t="s">
        <v>12045</v>
      </c>
      <c r="K1226" t="s">
        <v>16445</v>
      </c>
      <c r="L1226">
        <f>HYPERLINK("https://www2.assemblee-nationale.fr/sycomore/fiche/(num_dept)/7136", "7136")</f>
        <v>0</v>
      </c>
      <c r="N1226">
        <f>HYPERLINK("https://www.wikidata.org/wiki/Q8329787", "Q8329787")</f>
        <v>0</v>
      </c>
      <c r="O1226" t="s">
        <v>19979</v>
      </c>
      <c r="P1226" t="s">
        <v>20413</v>
      </c>
      <c r="Q1226" t="s">
        <v>20560</v>
      </c>
      <c r="R1226" t="s">
        <v>21384</v>
      </c>
      <c r="S1226">
        <v>1917</v>
      </c>
    </row>
    <row r="1227" spans="1:19">
      <c r="A1227" t="s">
        <v>20</v>
      </c>
      <c r="B1227" t="s">
        <v>148</v>
      </c>
      <c r="C1227" t="s">
        <v>152</v>
      </c>
      <c r="D1227" t="s">
        <v>281</v>
      </c>
      <c r="E1227" t="s">
        <v>410</v>
      </c>
      <c r="F1227">
        <f>HYPERLINK("https://www.wikidata.org/wiki/Q33528422", "Q33528422")</f>
        <v>0</v>
      </c>
      <c r="G1227" t="s">
        <v>1316</v>
      </c>
      <c r="H1227" t="s">
        <v>6036</v>
      </c>
      <c r="I1227" t="s">
        <v>9746</v>
      </c>
      <c r="J1227" t="s">
        <v>12046</v>
      </c>
      <c r="K1227" t="s">
        <v>16446</v>
      </c>
      <c r="L1227">
        <f>HYPERLINK("https://www2.assemblee-nationale.fr/sycomore/fiche/(num_dept)/7210", "7210")</f>
        <v>0</v>
      </c>
      <c r="N1227">
        <f>HYPERLINK("https://www.wikidata.org/wiki/Q1247638", "Q1247638")</f>
        <v>0</v>
      </c>
      <c r="O1227" t="s">
        <v>20005</v>
      </c>
      <c r="P1227" t="s">
        <v>20404</v>
      </c>
      <c r="Q1227" t="s">
        <v>20560</v>
      </c>
      <c r="R1227" t="s">
        <v>410</v>
      </c>
      <c r="S1227">
        <v>2037</v>
      </c>
    </row>
    <row r="1228" spans="1:19">
      <c r="A1228" t="s">
        <v>20</v>
      </c>
      <c r="B1228" t="s">
        <v>148</v>
      </c>
      <c r="C1228" t="s">
        <v>152</v>
      </c>
      <c r="D1228" t="s">
        <v>281</v>
      </c>
      <c r="E1228" t="s">
        <v>410</v>
      </c>
      <c r="F1228">
        <f>HYPERLINK("https://www.wikidata.org/wiki/Q33528422", "Q33528422")</f>
        <v>0</v>
      </c>
      <c r="G1228" t="s">
        <v>1317</v>
      </c>
      <c r="H1228" t="s">
        <v>6037</v>
      </c>
      <c r="I1228" t="s">
        <v>9747</v>
      </c>
      <c r="J1228" t="s">
        <v>12047</v>
      </c>
      <c r="K1228" t="s">
        <v>16447</v>
      </c>
      <c r="L1228">
        <f>HYPERLINK("https://www2.assemblee-nationale.fr/sycomore/fiche/(num_dept)/7304", "7304")</f>
        <v>0</v>
      </c>
      <c r="N1228">
        <f>HYPERLINK("https://www.wikidata.org/wiki/Q3460596", "Q3460596")</f>
        <v>0</v>
      </c>
      <c r="O1228" t="s">
        <v>19977</v>
      </c>
      <c r="P1228" t="s">
        <v>20404</v>
      </c>
      <c r="Q1228" t="s">
        <v>20560</v>
      </c>
      <c r="R1228" t="s">
        <v>410</v>
      </c>
      <c r="S1228">
        <v>2037</v>
      </c>
    </row>
    <row r="1229" spans="1:19">
      <c r="A1229" t="s">
        <v>20</v>
      </c>
      <c r="B1229" t="s">
        <v>148</v>
      </c>
      <c r="C1229" t="s">
        <v>152</v>
      </c>
      <c r="D1229" t="s">
        <v>281</v>
      </c>
      <c r="E1229" t="s">
        <v>410</v>
      </c>
      <c r="F1229">
        <f>HYPERLINK("https://www.wikidata.org/wiki/Q33528422", "Q33528422")</f>
        <v>0</v>
      </c>
      <c r="G1229" t="s">
        <v>1066</v>
      </c>
      <c r="H1229" t="s">
        <v>5812</v>
      </c>
      <c r="I1229" t="s">
        <v>9652</v>
      </c>
      <c r="J1229" t="s">
        <v>11803</v>
      </c>
      <c r="K1229" t="s">
        <v>16203</v>
      </c>
      <c r="L1229">
        <f>HYPERLINK("https://www2.assemblee-nationale.fr/sycomore/fiche/(num_dept)/7333", "7333")</f>
        <v>0</v>
      </c>
      <c r="M1229">
        <f>HYPERLINK("https://www.senat.fr/senateur-3eme-republique/vincent_emile0534r3.html", "vincent_emile0534r3")</f>
        <v>0</v>
      </c>
      <c r="N1229">
        <f>HYPERLINK("https://www.wikidata.org/wiki/Q3588785", "Q3588785")</f>
        <v>0</v>
      </c>
      <c r="O1229" t="s">
        <v>20002</v>
      </c>
      <c r="P1229" t="s">
        <v>20413</v>
      </c>
      <c r="Q1229" t="s">
        <v>20560</v>
      </c>
      <c r="R1229" t="s">
        <v>410</v>
      </c>
      <c r="S1229">
        <v>2037</v>
      </c>
    </row>
    <row r="1230" spans="1:19">
      <c r="A1230" t="s">
        <v>20</v>
      </c>
      <c r="B1230" t="s">
        <v>148</v>
      </c>
      <c r="C1230" t="s">
        <v>152</v>
      </c>
      <c r="D1230" t="s">
        <v>281</v>
      </c>
      <c r="E1230" t="s">
        <v>410</v>
      </c>
      <c r="F1230">
        <f>HYPERLINK("https://www.wikidata.org/wiki/Q33528422", "Q33528422")</f>
        <v>0</v>
      </c>
      <c r="G1230" t="s">
        <v>1318</v>
      </c>
      <c r="H1230" t="s">
        <v>6038</v>
      </c>
      <c r="I1230" t="s">
        <v>9748</v>
      </c>
      <c r="J1230" t="s">
        <v>12048</v>
      </c>
      <c r="K1230" t="s">
        <v>16448</v>
      </c>
      <c r="L1230">
        <f>HYPERLINK("https://www2.assemblee-nationale.fr/sycomore/fiche/(num_dept)/7384", "7384")</f>
        <v>0</v>
      </c>
      <c r="N1230">
        <f>HYPERLINK("https://www.wikidata.org/wiki/Q16026599", "Q16026599")</f>
        <v>0</v>
      </c>
      <c r="O1230" t="s">
        <v>20020</v>
      </c>
      <c r="P1230" t="s">
        <v>20413</v>
      </c>
      <c r="Q1230" t="s">
        <v>20560</v>
      </c>
      <c r="R1230" t="s">
        <v>410</v>
      </c>
      <c r="S1230">
        <v>2037</v>
      </c>
    </row>
    <row r="1231" spans="1:19">
      <c r="A1231" t="s">
        <v>20</v>
      </c>
      <c r="B1231" t="s">
        <v>148</v>
      </c>
      <c r="C1231" t="s">
        <v>152</v>
      </c>
      <c r="D1231" t="s">
        <v>281</v>
      </c>
      <c r="E1231" t="s">
        <v>410</v>
      </c>
      <c r="F1231">
        <f>HYPERLINK("https://www.wikidata.org/wiki/Q33528422", "Q33528422")</f>
        <v>0</v>
      </c>
      <c r="G1231" t="s">
        <v>1319</v>
      </c>
      <c r="H1231" t="s">
        <v>6039</v>
      </c>
      <c r="I1231" t="s">
        <v>9749</v>
      </c>
      <c r="J1231" t="s">
        <v>12049</v>
      </c>
      <c r="K1231" t="s">
        <v>16449</v>
      </c>
      <c r="L1231">
        <f>HYPERLINK("https://www2.assemblee-nationale.fr/sycomore/fiche/(num_dept)/7385", "7385")</f>
        <v>0</v>
      </c>
      <c r="M1231">
        <f>HYPERLINK("https://www.senat.fr/senateur-3eme-republique/weiller_jean1106r3.html", "weiller_jean1106r3")</f>
        <v>0</v>
      </c>
      <c r="N1231">
        <f>HYPERLINK("https://www.wikidata.org/wiki/Q166295", "Q166295")</f>
        <v>0</v>
      </c>
      <c r="O1231" t="s">
        <v>20031</v>
      </c>
      <c r="P1231" t="s">
        <v>20402</v>
      </c>
      <c r="Q1231" t="s">
        <v>20560</v>
      </c>
      <c r="R1231" t="s">
        <v>410</v>
      </c>
      <c r="S1231">
        <v>2037</v>
      </c>
    </row>
    <row r="1232" spans="1:19">
      <c r="A1232" t="s">
        <v>20</v>
      </c>
      <c r="B1232" t="s">
        <v>148</v>
      </c>
      <c r="C1232" t="s">
        <v>152</v>
      </c>
      <c r="D1232" t="s">
        <v>281</v>
      </c>
      <c r="E1232" t="s">
        <v>410</v>
      </c>
      <c r="F1232">
        <f>HYPERLINK("https://www.wikidata.org/wiki/Q33528422", "Q33528422")</f>
        <v>0</v>
      </c>
      <c r="G1232" t="s">
        <v>1320</v>
      </c>
      <c r="H1232" t="s">
        <v>6040</v>
      </c>
      <c r="I1232" t="s">
        <v>9750</v>
      </c>
      <c r="J1232" t="s">
        <v>12050</v>
      </c>
      <c r="K1232" t="s">
        <v>16450</v>
      </c>
      <c r="L1232">
        <f>HYPERLINK("https://www2.assemblee-nationale.fr/sycomore/fiche/(num_dept)/7386", "7386")</f>
        <v>0</v>
      </c>
      <c r="N1232">
        <f>HYPERLINK("https://www.wikidata.org/wiki/Q3293862", "Q3293862")</f>
        <v>0</v>
      </c>
      <c r="O1232" t="s">
        <v>20014</v>
      </c>
      <c r="P1232" t="s">
        <v>20404</v>
      </c>
      <c r="Q1232" t="s">
        <v>20560</v>
      </c>
      <c r="R1232" t="s">
        <v>410</v>
      </c>
      <c r="S1232">
        <v>2037</v>
      </c>
    </row>
    <row r="1233" spans="1:19">
      <c r="A1233" t="s">
        <v>20</v>
      </c>
      <c r="B1233" t="s">
        <v>148</v>
      </c>
      <c r="C1233" t="s">
        <v>152</v>
      </c>
      <c r="D1233" t="s">
        <v>281</v>
      </c>
      <c r="E1233" t="s">
        <v>410</v>
      </c>
      <c r="F1233">
        <f>HYPERLINK("https://www.wikidata.org/wiki/Q33528422", "Q33528422")</f>
        <v>0</v>
      </c>
      <c r="G1233" t="s">
        <v>1321</v>
      </c>
      <c r="H1233" t="s">
        <v>6041</v>
      </c>
      <c r="I1233" t="s">
        <v>6200</v>
      </c>
      <c r="J1233" t="s">
        <v>12051</v>
      </c>
      <c r="K1233" t="s">
        <v>16451</v>
      </c>
      <c r="L1233">
        <f>HYPERLINK("https://www2.assemblee-nationale.fr/sycomore/fiche/(num_dept)/7389", "7389")</f>
        <v>0</v>
      </c>
      <c r="M1233">
        <f>HYPERLINK("https://www.senat.fr/senateur-3eme-republique/voillot_jean1145r3.html", "voillot_jean1145r3")</f>
        <v>0</v>
      </c>
      <c r="N1233">
        <f>HYPERLINK("https://www.wikidata.org/wiki/Q3175075", "Q3175075")</f>
        <v>0</v>
      </c>
      <c r="O1233" t="s">
        <v>19965</v>
      </c>
      <c r="P1233" t="s">
        <v>20404</v>
      </c>
      <c r="Q1233" t="s">
        <v>20560</v>
      </c>
      <c r="R1233" t="s">
        <v>410</v>
      </c>
      <c r="S1233">
        <v>2037</v>
      </c>
    </row>
    <row r="1234" spans="1:19">
      <c r="A1234" t="s">
        <v>20</v>
      </c>
      <c r="B1234" t="s">
        <v>148</v>
      </c>
      <c r="C1234" t="s">
        <v>152</v>
      </c>
      <c r="D1234" t="s">
        <v>281</v>
      </c>
      <c r="E1234" t="s">
        <v>410</v>
      </c>
      <c r="F1234">
        <f>HYPERLINK("https://www.wikidata.org/wiki/Q33528422", "Q33528422")</f>
        <v>0</v>
      </c>
      <c r="G1234" t="s">
        <v>834</v>
      </c>
      <c r="H1234" t="s">
        <v>5591</v>
      </c>
      <c r="I1234" t="s">
        <v>9544</v>
      </c>
      <c r="J1234" t="s">
        <v>11581</v>
      </c>
      <c r="K1234" t="s">
        <v>15983</v>
      </c>
      <c r="L1234">
        <f>HYPERLINK("https://www2.assemblee-nationale.fr/sycomore/fiche/(num_dept)/7493", "7493")</f>
        <v>0</v>
      </c>
      <c r="M1234">
        <f>HYPERLINK("https://www.senat.fr/senateur-3eme-republique/lauraine_jean_octave0422r3.html", "lauraine_jean_octave0422r3")</f>
        <v>0</v>
      </c>
      <c r="N1234">
        <f>HYPERLINK("https://www.wikidata.org/wiki/Q3168275", "Q3168275")</f>
        <v>0</v>
      </c>
      <c r="O1234" t="s">
        <v>20037</v>
      </c>
      <c r="P1234" t="s">
        <v>20401</v>
      </c>
      <c r="Q1234" t="s">
        <v>20560</v>
      </c>
      <c r="R1234" t="s">
        <v>410</v>
      </c>
      <c r="S1234">
        <v>2037</v>
      </c>
    </row>
    <row r="1235" spans="1:19">
      <c r="A1235" t="s">
        <v>20</v>
      </c>
      <c r="B1235" t="s">
        <v>148</v>
      </c>
      <c r="C1235" t="s">
        <v>152</v>
      </c>
      <c r="D1235" t="s">
        <v>281</v>
      </c>
      <c r="E1235" t="s">
        <v>410</v>
      </c>
      <c r="F1235">
        <f>HYPERLINK("https://www.wikidata.org/wiki/Q33528422", "Q33528422")</f>
        <v>0</v>
      </c>
      <c r="G1235" t="s">
        <v>1322</v>
      </c>
      <c r="H1235" t="s">
        <v>5592</v>
      </c>
      <c r="I1235" t="s">
        <v>9465</v>
      </c>
      <c r="J1235" t="s">
        <v>11311</v>
      </c>
      <c r="K1235" t="s">
        <v>16452</v>
      </c>
      <c r="L1235">
        <f>HYPERLINK("https://www2.assemblee-nationale.fr/sycomore/fiche/(num_dept)/7505", "7505")</f>
        <v>0</v>
      </c>
      <c r="N1235">
        <f>HYPERLINK("https://www.wikidata.org/wiki/Q16025952", "Q16025952")</f>
        <v>0</v>
      </c>
      <c r="O1235" t="s">
        <v>20032</v>
      </c>
      <c r="P1235" t="s">
        <v>20404</v>
      </c>
      <c r="Q1235" t="s">
        <v>20560</v>
      </c>
      <c r="R1235" t="s">
        <v>410</v>
      </c>
      <c r="S1235">
        <v>2037</v>
      </c>
    </row>
    <row r="1236" spans="1:19">
      <c r="A1236" t="s">
        <v>20</v>
      </c>
      <c r="B1236" t="s">
        <v>148</v>
      </c>
      <c r="C1236" t="s">
        <v>152</v>
      </c>
      <c r="D1236" t="s">
        <v>281</v>
      </c>
      <c r="E1236" t="s">
        <v>410</v>
      </c>
      <c r="F1236">
        <f>HYPERLINK("https://www.wikidata.org/wiki/Q33528422", "Q33528422")</f>
        <v>0</v>
      </c>
      <c r="G1236" t="s">
        <v>1323</v>
      </c>
      <c r="H1236" t="s">
        <v>6042</v>
      </c>
      <c r="I1236" t="s">
        <v>6860</v>
      </c>
      <c r="J1236" t="s">
        <v>12052</v>
      </c>
      <c r="K1236" t="s">
        <v>16453</v>
      </c>
      <c r="L1236">
        <f>HYPERLINK("https://www2.assemblee-nationale.fr/sycomore/fiche/(num_dept)/7519", "7519")</f>
        <v>0</v>
      </c>
      <c r="M1236">
        <f>HYPERLINK("https://www.senat.fr/senateur-3eme-republique/laval_pierre1565r3.html", "laval_pierre1565r3")</f>
        <v>0</v>
      </c>
      <c r="N1236">
        <f>HYPERLINK("https://www.wikidata.org/wiki/Q151983", "Q151983")</f>
        <v>0</v>
      </c>
      <c r="O1236" t="s">
        <v>19969</v>
      </c>
      <c r="P1236" t="s">
        <v>20404</v>
      </c>
      <c r="Q1236" t="s">
        <v>20560</v>
      </c>
      <c r="R1236" t="s">
        <v>410</v>
      </c>
      <c r="S1236">
        <v>2037</v>
      </c>
    </row>
    <row r="1237" spans="1:19">
      <c r="A1237" t="s">
        <v>20</v>
      </c>
      <c r="B1237" t="s">
        <v>148</v>
      </c>
      <c r="C1237" t="s">
        <v>152</v>
      </c>
      <c r="D1237" t="s">
        <v>281</v>
      </c>
      <c r="E1237" t="s">
        <v>410</v>
      </c>
      <c r="F1237">
        <f>HYPERLINK("https://www.wikidata.org/wiki/Q33528422", "Q33528422")</f>
        <v>0</v>
      </c>
      <c r="G1237" t="s">
        <v>837</v>
      </c>
      <c r="H1237" t="s">
        <v>5594</v>
      </c>
      <c r="I1237" t="s">
        <v>9545</v>
      </c>
      <c r="J1237" t="s">
        <v>11584</v>
      </c>
      <c r="K1237" t="s">
        <v>15986</v>
      </c>
      <c r="L1237">
        <f>HYPERLINK("https://www2.assemblee-nationale.fr/sycomore/fiche/(num_dept)/7540", "7540")</f>
        <v>0</v>
      </c>
      <c r="M1237">
        <f>HYPERLINK("https://www.senat.fr/senateur-3eme-republique/le_bail_georges0793r3.html", "le_bail_georges0793r3")</f>
        <v>0</v>
      </c>
      <c r="N1237">
        <f>HYPERLINK("https://www.wikidata.org/wiki/Q2381659", "Q2381659")</f>
        <v>0</v>
      </c>
      <c r="O1237" t="s">
        <v>20011</v>
      </c>
      <c r="P1237" t="s">
        <v>20413</v>
      </c>
      <c r="Q1237" t="s">
        <v>20560</v>
      </c>
      <c r="R1237" t="s">
        <v>410</v>
      </c>
      <c r="S1237">
        <v>2037</v>
      </c>
    </row>
    <row r="1238" spans="1:19">
      <c r="A1238" t="s">
        <v>20</v>
      </c>
      <c r="B1238" t="s">
        <v>148</v>
      </c>
      <c r="C1238" t="s">
        <v>152</v>
      </c>
      <c r="D1238" t="s">
        <v>281</v>
      </c>
      <c r="E1238" t="s">
        <v>410</v>
      </c>
      <c r="F1238">
        <f>HYPERLINK("https://www.wikidata.org/wiki/Q33528422", "Q33528422")</f>
        <v>0</v>
      </c>
      <c r="G1238" t="s">
        <v>1324</v>
      </c>
      <c r="H1238" t="s">
        <v>6043</v>
      </c>
      <c r="I1238" t="s">
        <v>9751</v>
      </c>
      <c r="J1238" t="s">
        <v>12053</v>
      </c>
      <c r="K1238" t="s">
        <v>16211</v>
      </c>
      <c r="L1238">
        <f>HYPERLINK("https://www2.assemblee-nationale.fr/sycomore/fiche/(num_dept)/7541", "7541")</f>
        <v>0</v>
      </c>
      <c r="N1238">
        <f>HYPERLINK("https://www.wikidata.org/wiki/Q3103043", "Q3103043")</f>
        <v>0</v>
      </c>
      <c r="O1238" t="s">
        <v>20011</v>
      </c>
      <c r="P1238" t="s">
        <v>20413</v>
      </c>
      <c r="Q1238" t="s">
        <v>20560</v>
      </c>
      <c r="R1238" t="s">
        <v>16211</v>
      </c>
      <c r="S1238">
        <v>1504</v>
      </c>
    </row>
    <row r="1239" spans="1:19">
      <c r="A1239" t="s">
        <v>20</v>
      </c>
      <c r="B1239" t="s">
        <v>148</v>
      </c>
      <c r="C1239" t="s">
        <v>152</v>
      </c>
      <c r="D1239" t="s">
        <v>281</v>
      </c>
      <c r="E1239" t="s">
        <v>410</v>
      </c>
      <c r="F1239">
        <f>HYPERLINK("https://www.wikidata.org/wiki/Q33528422", "Q33528422")</f>
        <v>0</v>
      </c>
      <c r="G1239" t="s">
        <v>1325</v>
      </c>
      <c r="H1239" t="s">
        <v>6044</v>
      </c>
      <c r="I1239" t="s">
        <v>9752</v>
      </c>
      <c r="J1239" t="s">
        <v>12054</v>
      </c>
      <c r="K1239" t="s">
        <v>16454</v>
      </c>
      <c r="L1239">
        <f>HYPERLINK("https://www2.assemblee-nationale.fr/sycomore/fiche/(num_dept)/7548", "7548")</f>
        <v>0</v>
      </c>
      <c r="N1239">
        <f>HYPERLINK("https://www.wikidata.org/wiki/Q3426485", "Q3426485")</f>
        <v>0</v>
      </c>
      <c r="O1239" t="s">
        <v>19958</v>
      </c>
      <c r="P1239" t="s">
        <v>20402</v>
      </c>
      <c r="Q1239" t="s">
        <v>20560</v>
      </c>
      <c r="R1239" t="s">
        <v>410</v>
      </c>
      <c r="S1239">
        <v>2037</v>
      </c>
    </row>
    <row r="1240" spans="1:19">
      <c r="A1240" t="s">
        <v>20</v>
      </c>
      <c r="B1240" t="s">
        <v>148</v>
      </c>
      <c r="C1240" t="s">
        <v>152</v>
      </c>
      <c r="D1240" t="s">
        <v>281</v>
      </c>
      <c r="E1240" t="s">
        <v>410</v>
      </c>
      <c r="F1240">
        <f>HYPERLINK("https://www.wikidata.org/wiki/Q33528422", "Q33528422")</f>
        <v>0</v>
      </c>
      <c r="G1240" t="s">
        <v>1075</v>
      </c>
      <c r="H1240" t="s">
        <v>5781</v>
      </c>
      <c r="I1240" t="s">
        <v>9655</v>
      </c>
      <c r="J1240" t="s">
        <v>11811</v>
      </c>
      <c r="K1240" t="s">
        <v>16212</v>
      </c>
      <c r="L1240">
        <f>HYPERLINK("https://www2.assemblee-nationale.fr/sycomore/fiche/(num_dept)/7618", "7618")</f>
        <v>0</v>
      </c>
      <c r="N1240">
        <f>HYPERLINK("https://www.wikidata.org/wiki/Q16025962", "Q16025962")</f>
        <v>0</v>
      </c>
      <c r="O1240" t="s">
        <v>20013</v>
      </c>
      <c r="P1240" t="s">
        <v>20401</v>
      </c>
      <c r="Q1240" t="s">
        <v>20560</v>
      </c>
      <c r="R1240" t="s">
        <v>410</v>
      </c>
      <c r="S1240">
        <v>2037</v>
      </c>
    </row>
    <row r="1241" spans="1:19">
      <c r="A1241" t="s">
        <v>20</v>
      </c>
      <c r="B1241" t="s">
        <v>148</v>
      </c>
      <c r="C1241" t="s">
        <v>152</v>
      </c>
      <c r="D1241" t="s">
        <v>281</v>
      </c>
      <c r="E1241" t="s">
        <v>410</v>
      </c>
      <c r="F1241">
        <f>HYPERLINK("https://www.wikidata.org/wiki/Q33528422", "Q33528422")</f>
        <v>0</v>
      </c>
      <c r="G1241" t="s">
        <v>1326</v>
      </c>
      <c r="H1241" t="s">
        <v>6045</v>
      </c>
      <c r="I1241" t="s">
        <v>6585</v>
      </c>
      <c r="J1241" t="s">
        <v>11834</v>
      </c>
      <c r="K1241" t="s">
        <v>16455</v>
      </c>
      <c r="L1241">
        <f>HYPERLINK("https://www2.assemblee-nationale.fr/sycomore/fiche/(num_dept)/7640", "7640")</f>
        <v>0</v>
      </c>
      <c r="N1241">
        <f>HYPERLINK("https://www.wikidata.org/wiki/Q16025967", "Q16025967")</f>
        <v>0</v>
      </c>
      <c r="O1241" t="s">
        <v>19976</v>
      </c>
      <c r="P1241" t="s">
        <v>20404</v>
      </c>
      <c r="Q1241" t="s">
        <v>20560</v>
      </c>
      <c r="R1241" t="s">
        <v>410</v>
      </c>
      <c r="S1241">
        <v>2037</v>
      </c>
    </row>
    <row r="1242" spans="1:19">
      <c r="A1242" t="s">
        <v>20</v>
      </c>
      <c r="B1242" t="s">
        <v>148</v>
      </c>
      <c r="C1242" t="s">
        <v>152</v>
      </c>
      <c r="D1242" t="s">
        <v>281</v>
      </c>
      <c r="E1242" t="s">
        <v>410</v>
      </c>
      <c r="F1242">
        <f>HYPERLINK("https://www.wikidata.org/wiki/Q33528422", "Q33528422")</f>
        <v>0</v>
      </c>
      <c r="G1242" t="s">
        <v>1077</v>
      </c>
      <c r="H1242" t="s">
        <v>5821</v>
      </c>
      <c r="I1242" t="s">
        <v>6860</v>
      </c>
      <c r="J1242" t="s">
        <v>11813</v>
      </c>
      <c r="K1242" t="s">
        <v>16214</v>
      </c>
      <c r="L1242">
        <f>HYPERLINK("https://www2.assemblee-nationale.fr/sycomore/fiche/(num_dept)/7700", "7700")</f>
        <v>0</v>
      </c>
      <c r="N1242">
        <f>HYPERLINK("https://www.wikidata.org/wiki/Q16025976", "Q16025976")</f>
        <v>0</v>
      </c>
      <c r="O1242" t="s">
        <v>20002</v>
      </c>
      <c r="P1242" t="s">
        <v>20406</v>
      </c>
      <c r="Q1242" t="s">
        <v>20560</v>
      </c>
      <c r="R1242" t="s">
        <v>16214</v>
      </c>
      <c r="S1242">
        <v>1450</v>
      </c>
    </row>
    <row r="1243" spans="1:19">
      <c r="A1243" t="s">
        <v>20</v>
      </c>
      <c r="B1243" t="s">
        <v>148</v>
      </c>
      <c r="C1243" t="s">
        <v>152</v>
      </c>
      <c r="D1243" t="s">
        <v>281</v>
      </c>
      <c r="E1243" t="s">
        <v>410</v>
      </c>
      <c r="F1243">
        <f>HYPERLINK("https://www.wikidata.org/wiki/Q33528422", "Q33528422")</f>
        <v>0</v>
      </c>
      <c r="G1243" t="s">
        <v>1327</v>
      </c>
      <c r="H1243" t="s">
        <v>6046</v>
      </c>
      <c r="I1243" t="s">
        <v>9753</v>
      </c>
      <c r="J1243" t="s">
        <v>12055</v>
      </c>
      <c r="K1243" t="s">
        <v>16456</v>
      </c>
      <c r="L1243">
        <f>HYPERLINK("https://www2.assemblee-nationale.fr/sycomore/fiche/(num_dept)/7730", "7730")</f>
        <v>0</v>
      </c>
      <c r="N1243">
        <f>HYPERLINK("https://www.wikidata.org/wiki/Q1508764", "Q1508764")</f>
        <v>0</v>
      </c>
      <c r="O1243" t="s">
        <v>20039</v>
      </c>
      <c r="P1243" t="s">
        <v>20401</v>
      </c>
      <c r="Q1243" t="s">
        <v>20560</v>
      </c>
      <c r="R1243" t="s">
        <v>410</v>
      </c>
      <c r="S1243">
        <v>2037</v>
      </c>
    </row>
    <row r="1244" spans="1:19">
      <c r="A1244" t="s">
        <v>20</v>
      </c>
      <c r="B1244" t="s">
        <v>148</v>
      </c>
      <c r="C1244" t="s">
        <v>152</v>
      </c>
      <c r="D1244" t="s">
        <v>281</v>
      </c>
      <c r="E1244" t="s">
        <v>410</v>
      </c>
      <c r="F1244">
        <f>HYPERLINK("https://www.wikidata.org/wiki/Q33528422", "Q33528422")</f>
        <v>0</v>
      </c>
      <c r="G1244" t="s">
        <v>1328</v>
      </c>
      <c r="H1244" t="s">
        <v>6047</v>
      </c>
      <c r="I1244" t="s">
        <v>6175</v>
      </c>
      <c r="J1244" t="s">
        <v>12056</v>
      </c>
      <c r="K1244" t="s">
        <v>16457</v>
      </c>
      <c r="L1244">
        <f>HYPERLINK("https://www2.assemblee-nationale.fr/sycomore/fiche/(num_dept)/7789", "7789")</f>
        <v>0</v>
      </c>
      <c r="M1244">
        <f>HYPERLINK("https://www.senat.fr/senateur-3eme-republique/leredu_georges1647r3.html", "leredu_georges1647r3")</f>
        <v>0</v>
      </c>
      <c r="N1244">
        <f>HYPERLINK("https://www.wikidata.org/wiki/Q3103090", "Q3103090")</f>
        <v>0</v>
      </c>
      <c r="O1244" t="s">
        <v>19976</v>
      </c>
      <c r="P1244" t="s">
        <v>20414</v>
      </c>
      <c r="Q1244" t="s">
        <v>20560</v>
      </c>
      <c r="R1244" t="s">
        <v>410</v>
      </c>
      <c r="S1244">
        <v>2037</v>
      </c>
    </row>
    <row r="1245" spans="1:19">
      <c r="A1245" t="s">
        <v>20</v>
      </c>
      <c r="B1245" t="s">
        <v>148</v>
      </c>
      <c r="C1245" t="s">
        <v>152</v>
      </c>
      <c r="D1245" t="s">
        <v>281</v>
      </c>
      <c r="E1245" t="s">
        <v>410</v>
      </c>
      <c r="F1245">
        <f>HYPERLINK("https://www.wikidata.org/wiki/Q33528422", "Q33528422")</f>
        <v>0</v>
      </c>
      <c r="G1245" t="s">
        <v>1329</v>
      </c>
      <c r="H1245" t="s">
        <v>6048</v>
      </c>
      <c r="I1245" t="s">
        <v>9453</v>
      </c>
      <c r="J1245" t="s">
        <v>12057</v>
      </c>
      <c r="K1245" t="s">
        <v>16458</v>
      </c>
      <c r="L1245">
        <f>HYPERLINK("https://www2.assemblee-nationale.fr/sycomore/fiche/(num_dept)/7824", "7824")</f>
        <v>0</v>
      </c>
      <c r="N1245">
        <f>HYPERLINK("https://www.wikidata.org/wiki/Q2865199", "Q2865199")</f>
        <v>0</v>
      </c>
      <c r="O1245" t="s">
        <v>19969</v>
      </c>
      <c r="P1245" t="s">
        <v>20404</v>
      </c>
      <c r="Q1245" t="s">
        <v>20560</v>
      </c>
      <c r="R1245" t="s">
        <v>410</v>
      </c>
      <c r="S1245">
        <v>2037</v>
      </c>
    </row>
    <row r="1246" spans="1:19">
      <c r="A1246" t="s">
        <v>20</v>
      </c>
      <c r="B1246" t="s">
        <v>148</v>
      </c>
      <c r="C1246" t="s">
        <v>152</v>
      </c>
      <c r="D1246" t="s">
        <v>281</v>
      </c>
      <c r="E1246" t="s">
        <v>410</v>
      </c>
      <c r="F1246">
        <f>HYPERLINK("https://www.wikidata.org/wiki/Q33528422", "Q33528422")</f>
        <v>0</v>
      </c>
      <c r="G1246" t="s">
        <v>1330</v>
      </c>
      <c r="H1246" t="s">
        <v>6049</v>
      </c>
      <c r="I1246" t="s">
        <v>9457</v>
      </c>
      <c r="J1246" t="s">
        <v>11994</v>
      </c>
      <c r="K1246" t="s">
        <v>16459</v>
      </c>
      <c r="L1246">
        <f>HYPERLINK("https://www2.assemblee-nationale.fr/sycomore/fiche/(num_dept)/7867", "7867")</f>
        <v>0</v>
      </c>
      <c r="N1246">
        <f>HYPERLINK("https://www.wikidata.org/wiki/Q3131497", "Q3131497")</f>
        <v>0</v>
      </c>
      <c r="O1246" t="s">
        <v>20041</v>
      </c>
      <c r="P1246" t="s">
        <v>20404</v>
      </c>
      <c r="Q1246" t="s">
        <v>20560</v>
      </c>
      <c r="R1246" t="s">
        <v>410</v>
      </c>
      <c r="S1246">
        <v>2037</v>
      </c>
    </row>
    <row r="1247" spans="1:19">
      <c r="A1247" t="s">
        <v>20</v>
      </c>
      <c r="B1247" t="s">
        <v>148</v>
      </c>
      <c r="C1247" t="s">
        <v>152</v>
      </c>
      <c r="D1247" t="s">
        <v>281</v>
      </c>
      <c r="E1247" t="s">
        <v>410</v>
      </c>
      <c r="F1247">
        <f>HYPERLINK("https://www.wikidata.org/wiki/Q33528422", "Q33528422")</f>
        <v>0</v>
      </c>
      <c r="G1247" t="s">
        <v>1331</v>
      </c>
      <c r="H1247" t="s">
        <v>6050</v>
      </c>
      <c r="I1247" t="s">
        <v>6200</v>
      </c>
      <c r="J1247" t="s">
        <v>12058</v>
      </c>
      <c r="K1247" t="s">
        <v>16460</v>
      </c>
      <c r="L1247">
        <f>HYPERLINK("https://www2.assemblee-nationale.fr/sycomore/fiche/(num_dept)/7876", "7876")</f>
        <v>0</v>
      </c>
      <c r="N1247">
        <f>HYPERLINK("https://www.wikidata.org/wiki/Q8318774", "Q8318774")</f>
        <v>0</v>
      </c>
      <c r="O1247" t="s">
        <v>20032</v>
      </c>
      <c r="P1247" t="s">
        <v>20404</v>
      </c>
      <c r="Q1247" t="s">
        <v>20560</v>
      </c>
      <c r="R1247" t="s">
        <v>410</v>
      </c>
      <c r="S1247">
        <v>2037</v>
      </c>
    </row>
    <row r="1248" spans="1:19">
      <c r="A1248" t="s">
        <v>20</v>
      </c>
      <c r="B1248" t="s">
        <v>148</v>
      </c>
      <c r="C1248" t="s">
        <v>152</v>
      </c>
      <c r="D1248" t="s">
        <v>281</v>
      </c>
      <c r="E1248" t="s">
        <v>410</v>
      </c>
      <c r="F1248">
        <f>HYPERLINK("https://www.wikidata.org/wiki/Q33528422", "Q33528422")</f>
        <v>0</v>
      </c>
      <c r="G1248" t="s">
        <v>1082</v>
      </c>
      <c r="H1248" t="s">
        <v>5826</v>
      </c>
      <c r="I1248" t="s">
        <v>7642</v>
      </c>
      <c r="J1248" t="s">
        <v>11818</v>
      </c>
      <c r="K1248" t="s">
        <v>16219</v>
      </c>
      <c r="L1248">
        <f>HYPERLINK("https://www2.assemblee-nationale.fr/sycomore/fiche/(num_dept)/7884", "7884")</f>
        <v>0</v>
      </c>
      <c r="N1248">
        <f>HYPERLINK("https://www.wikidata.org/wiki/Q692029", "Q692029")</f>
        <v>0</v>
      </c>
      <c r="O1248" t="s">
        <v>20044</v>
      </c>
      <c r="P1248" t="s">
        <v>20413</v>
      </c>
      <c r="Q1248" t="s">
        <v>20560</v>
      </c>
      <c r="R1248" t="s">
        <v>410</v>
      </c>
      <c r="S1248">
        <v>2037</v>
      </c>
    </row>
    <row r="1249" spans="1:19">
      <c r="A1249" t="s">
        <v>20</v>
      </c>
      <c r="B1249" t="s">
        <v>148</v>
      </c>
      <c r="C1249" t="s">
        <v>152</v>
      </c>
      <c r="D1249" t="s">
        <v>281</v>
      </c>
      <c r="E1249" t="s">
        <v>410</v>
      </c>
      <c r="F1249">
        <f>HYPERLINK("https://www.wikidata.org/wiki/Q33528422", "Q33528422")</f>
        <v>0</v>
      </c>
      <c r="G1249" t="s">
        <v>1332</v>
      </c>
      <c r="H1249" t="s">
        <v>6051</v>
      </c>
      <c r="I1249" t="s">
        <v>6200</v>
      </c>
      <c r="J1249" t="s">
        <v>12059</v>
      </c>
      <c r="K1249" t="s">
        <v>16461</v>
      </c>
      <c r="L1249">
        <f>HYPERLINK("https://www2.assemblee-nationale.fr/sycomore/fiche/(num_dept)/7888", "7888")</f>
        <v>0</v>
      </c>
      <c r="N1249">
        <f>HYPERLINK("https://www.wikidata.org/wiki/Q465386", "Q465386")</f>
        <v>0</v>
      </c>
      <c r="O1249" t="s">
        <v>19969</v>
      </c>
      <c r="P1249" t="s">
        <v>20404</v>
      </c>
      <c r="Q1249" t="s">
        <v>20560</v>
      </c>
      <c r="R1249" t="s">
        <v>410</v>
      </c>
      <c r="S1249">
        <v>2037</v>
      </c>
    </row>
    <row r="1250" spans="1:19">
      <c r="A1250" t="s">
        <v>20</v>
      </c>
      <c r="B1250" t="s">
        <v>148</v>
      </c>
      <c r="C1250" t="s">
        <v>152</v>
      </c>
      <c r="D1250" t="s">
        <v>281</v>
      </c>
      <c r="E1250" t="s">
        <v>410</v>
      </c>
      <c r="F1250">
        <f>HYPERLINK("https://www.wikidata.org/wiki/Q33528422", "Q33528422")</f>
        <v>0</v>
      </c>
      <c r="G1250" t="s">
        <v>1333</v>
      </c>
      <c r="H1250" t="s">
        <v>5402</v>
      </c>
      <c r="I1250" t="s">
        <v>9754</v>
      </c>
      <c r="J1250" t="s">
        <v>12060</v>
      </c>
      <c r="K1250" t="s">
        <v>16462</v>
      </c>
      <c r="L1250">
        <f>HYPERLINK("https://www2.assemblee-nationale.fr/sycomore/fiche/(num_dept)/10839", "10839")</f>
        <v>0</v>
      </c>
      <c r="N1250">
        <f>HYPERLINK("https://www.wikidata.org/wiki/Q471296", "Q471296")</f>
        <v>0</v>
      </c>
      <c r="O1250" t="s">
        <v>20034</v>
      </c>
      <c r="P1250" t="s">
        <v>20415</v>
      </c>
      <c r="Q1250" t="s">
        <v>20560</v>
      </c>
      <c r="R1250" t="s">
        <v>410</v>
      </c>
      <c r="S1250">
        <v>2037</v>
      </c>
    </row>
    <row r="1251" spans="1:19">
      <c r="A1251" t="s">
        <v>20</v>
      </c>
      <c r="B1251" t="s">
        <v>148</v>
      </c>
      <c r="C1251" t="s">
        <v>152</v>
      </c>
      <c r="D1251" t="s">
        <v>281</v>
      </c>
      <c r="E1251" t="s">
        <v>410</v>
      </c>
      <c r="F1251">
        <f>HYPERLINK("https://www.wikidata.org/wiki/Q33528422", "Q33528422")</f>
        <v>0</v>
      </c>
      <c r="G1251" t="s">
        <v>1334</v>
      </c>
      <c r="H1251" t="s">
        <v>6052</v>
      </c>
      <c r="I1251" t="s">
        <v>9755</v>
      </c>
      <c r="J1251" t="s">
        <v>12061</v>
      </c>
      <c r="K1251" t="s">
        <v>16463</v>
      </c>
      <c r="L1251">
        <f>HYPERLINK("https://www2.assemblee-nationale.fr/sycomore/fiche/(num_dept)/4232", "4232")</f>
        <v>0</v>
      </c>
      <c r="N1251">
        <f>HYPERLINK("https://www.wikidata.org/wiki/Q16025914", "Q16025914")</f>
        <v>0</v>
      </c>
      <c r="O1251" t="s">
        <v>8449</v>
      </c>
      <c r="Q1251" t="s">
        <v>281</v>
      </c>
      <c r="R1251" t="s">
        <v>21385</v>
      </c>
      <c r="S1251">
        <v>36</v>
      </c>
    </row>
    <row r="1252" spans="1:19">
      <c r="A1252" t="s">
        <v>20</v>
      </c>
      <c r="B1252" t="s">
        <v>148</v>
      </c>
      <c r="C1252" t="s">
        <v>152</v>
      </c>
      <c r="D1252" t="s">
        <v>281</v>
      </c>
      <c r="E1252" t="s">
        <v>410</v>
      </c>
      <c r="F1252">
        <f>HYPERLINK("https://www.wikidata.org/wiki/Q33528422", "Q33528422")</f>
        <v>0</v>
      </c>
      <c r="G1252" t="s">
        <v>1335</v>
      </c>
      <c r="H1252" t="s">
        <v>6053</v>
      </c>
      <c r="I1252" t="s">
        <v>9756</v>
      </c>
      <c r="J1252" t="s">
        <v>12062</v>
      </c>
      <c r="K1252" t="s">
        <v>16464</v>
      </c>
      <c r="L1252">
        <f>HYPERLINK("https://www2.assemblee-nationale.fr/sycomore/fiche/(num_dept)/6536", "6536")</f>
        <v>0</v>
      </c>
      <c r="N1252">
        <f>HYPERLINK("https://www.wikidata.org/wiki/Q16026382", "Q16026382")</f>
        <v>0</v>
      </c>
      <c r="O1252" t="s">
        <v>20021</v>
      </c>
      <c r="P1252" t="s">
        <v>20410</v>
      </c>
      <c r="Q1252" t="s">
        <v>16321</v>
      </c>
      <c r="R1252" t="s">
        <v>410</v>
      </c>
      <c r="S1252">
        <v>1981</v>
      </c>
    </row>
    <row r="1253" spans="1:19">
      <c r="A1253" t="s">
        <v>20</v>
      </c>
      <c r="B1253" t="s">
        <v>148</v>
      </c>
      <c r="C1253" t="s">
        <v>152</v>
      </c>
      <c r="D1253" t="s">
        <v>281</v>
      </c>
      <c r="E1253" t="s">
        <v>410</v>
      </c>
      <c r="F1253">
        <f>HYPERLINK("https://www.wikidata.org/wiki/Q33528422", "Q33528422")</f>
        <v>0</v>
      </c>
      <c r="G1253" t="s">
        <v>1336</v>
      </c>
      <c r="H1253" t="s">
        <v>6054</v>
      </c>
      <c r="I1253" t="s">
        <v>9593</v>
      </c>
      <c r="J1253" t="s">
        <v>12063</v>
      </c>
      <c r="K1253" t="s">
        <v>16465</v>
      </c>
      <c r="L1253">
        <f>HYPERLINK("https://www2.assemblee-nationale.fr/sycomore/fiche/(num_dept)/5466", "5466")</f>
        <v>0</v>
      </c>
      <c r="N1253">
        <f>HYPERLINK("https://www.wikidata.org/wiki/Q3293837", "Q3293837")</f>
        <v>0</v>
      </c>
      <c r="O1253" t="s">
        <v>19965</v>
      </c>
      <c r="P1253" t="s">
        <v>20404</v>
      </c>
      <c r="Q1253" t="s">
        <v>20561</v>
      </c>
      <c r="R1253" t="s">
        <v>410</v>
      </c>
      <c r="S1253">
        <v>1946</v>
      </c>
    </row>
    <row r="1254" spans="1:19">
      <c r="A1254" t="s">
        <v>21</v>
      </c>
      <c r="B1254" t="s">
        <v>148</v>
      </c>
      <c r="C1254" t="s">
        <v>153</v>
      </c>
      <c r="D1254" t="s">
        <v>282</v>
      </c>
      <c r="E1254" t="s">
        <v>411</v>
      </c>
      <c r="F1254">
        <f>HYPERLINK("https://www.wikidata.org/wiki/Q33724121", "Q33724121")</f>
        <v>0</v>
      </c>
      <c r="G1254" t="s">
        <v>1337</v>
      </c>
      <c r="H1254" t="s">
        <v>6055</v>
      </c>
      <c r="I1254" t="s">
        <v>6585</v>
      </c>
      <c r="J1254" t="s">
        <v>12064</v>
      </c>
      <c r="K1254" t="s">
        <v>16466</v>
      </c>
      <c r="L1254">
        <f>HYPERLINK("https://www2.assemblee-nationale.fr/sycomore/fiche/(num_dept)/5735", "5735")</f>
        <v>0</v>
      </c>
      <c r="N1254">
        <f>HYPERLINK("https://www.wikidata.org/wiki/Q13077231", "Q13077231")</f>
        <v>0</v>
      </c>
      <c r="O1254" t="s">
        <v>19969</v>
      </c>
      <c r="P1254" t="s">
        <v>20406</v>
      </c>
      <c r="Q1254" t="s">
        <v>15698</v>
      </c>
      <c r="R1254" t="s">
        <v>411</v>
      </c>
      <c r="S1254">
        <v>1663</v>
      </c>
    </row>
    <row r="1255" spans="1:19">
      <c r="A1255" t="s">
        <v>21</v>
      </c>
      <c r="B1255" t="s">
        <v>148</v>
      </c>
      <c r="C1255" t="s">
        <v>153</v>
      </c>
      <c r="D1255" t="s">
        <v>282</v>
      </c>
      <c r="E1255" t="s">
        <v>411</v>
      </c>
      <c r="F1255">
        <f>HYPERLINK("https://www.wikidata.org/wiki/Q33724121", "Q33724121")</f>
        <v>0</v>
      </c>
      <c r="G1255" t="s">
        <v>1338</v>
      </c>
      <c r="H1255" t="s">
        <v>6056</v>
      </c>
      <c r="I1255" t="s">
        <v>9757</v>
      </c>
      <c r="J1255" t="s">
        <v>12065</v>
      </c>
      <c r="K1255" t="s">
        <v>16467</v>
      </c>
      <c r="L1255">
        <f>HYPERLINK("https://www2.assemblee-nationale.fr/sycomore/fiche/(num_dept)/21", "21")</f>
        <v>0</v>
      </c>
      <c r="N1255">
        <f>HYPERLINK("https://www.wikidata.org/wiki/Q3098893", "Q3098893")</f>
        <v>0</v>
      </c>
      <c r="O1255" t="s">
        <v>20036</v>
      </c>
      <c r="P1255" t="s">
        <v>20416</v>
      </c>
      <c r="Q1255" t="s">
        <v>17699</v>
      </c>
      <c r="R1255" t="s">
        <v>411</v>
      </c>
      <c r="S1255">
        <v>1658</v>
      </c>
    </row>
    <row r="1256" spans="1:19">
      <c r="A1256" t="s">
        <v>21</v>
      </c>
      <c r="B1256" t="s">
        <v>148</v>
      </c>
      <c r="C1256" t="s">
        <v>153</v>
      </c>
      <c r="D1256" t="s">
        <v>282</v>
      </c>
      <c r="E1256" t="s">
        <v>411</v>
      </c>
      <c r="F1256">
        <f>HYPERLINK("https://www.wikidata.org/wiki/Q33724121", "Q33724121")</f>
        <v>0</v>
      </c>
      <c r="G1256" t="s">
        <v>1145</v>
      </c>
      <c r="H1256" t="s">
        <v>5880</v>
      </c>
      <c r="I1256" t="s">
        <v>5528</v>
      </c>
      <c r="J1256" t="s">
        <v>11879</v>
      </c>
      <c r="K1256" t="s">
        <v>16281</v>
      </c>
      <c r="L1256">
        <f>HYPERLINK("https://www2.assemblee-nationale.fr/sycomore/fiche/(num_dept)/24", "24")</f>
        <v>0</v>
      </c>
      <c r="N1256">
        <f>HYPERLINK("https://www.wikidata.org/wiki/Q2370802", "Q2370802")</f>
        <v>0</v>
      </c>
      <c r="O1256" t="s">
        <v>19968</v>
      </c>
      <c r="P1256" t="s">
        <v>20417</v>
      </c>
      <c r="Q1256" t="s">
        <v>17699</v>
      </c>
      <c r="R1256" t="s">
        <v>411</v>
      </c>
      <c r="S1256">
        <v>1658</v>
      </c>
    </row>
    <row r="1257" spans="1:19">
      <c r="A1257" t="s">
        <v>21</v>
      </c>
      <c r="B1257" t="s">
        <v>148</v>
      </c>
      <c r="C1257" t="s">
        <v>153</v>
      </c>
      <c r="D1257" t="s">
        <v>282</v>
      </c>
      <c r="E1257" t="s">
        <v>411</v>
      </c>
      <c r="F1257">
        <f>HYPERLINK("https://www.wikidata.org/wiki/Q33724121", "Q33724121")</f>
        <v>0</v>
      </c>
      <c r="G1257" t="s">
        <v>1214</v>
      </c>
      <c r="H1257" t="s">
        <v>5942</v>
      </c>
      <c r="I1257" t="s">
        <v>9707</v>
      </c>
      <c r="J1257" t="s">
        <v>11946</v>
      </c>
      <c r="K1257" t="s">
        <v>16348</v>
      </c>
      <c r="L1257">
        <f>HYPERLINK("https://www2.assemblee-nationale.fr/sycomore/fiche/(num_dept)/27", "27")</f>
        <v>0</v>
      </c>
      <c r="N1257">
        <f>HYPERLINK("https://www.wikidata.org/wiki/Q3270670", "Q3270670")</f>
        <v>0</v>
      </c>
      <c r="O1257" t="s">
        <v>20015</v>
      </c>
      <c r="P1257" t="s">
        <v>20418</v>
      </c>
      <c r="Q1257" t="s">
        <v>17699</v>
      </c>
      <c r="R1257" t="s">
        <v>411</v>
      </c>
      <c r="S1257">
        <v>1658</v>
      </c>
    </row>
    <row r="1258" spans="1:19">
      <c r="A1258" t="s">
        <v>21</v>
      </c>
      <c r="B1258" t="s">
        <v>148</v>
      </c>
      <c r="C1258" t="s">
        <v>153</v>
      </c>
      <c r="D1258" t="s">
        <v>282</v>
      </c>
      <c r="E1258" t="s">
        <v>411</v>
      </c>
      <c r="F1258">
        <f>HYPERLINK("https://www.wikidata.org/wiki/Q33724121", "Q33724121")</f>
        <v>0</v>
      </c>
      <c r="G1258" t="s">
        <v>1339</v>
      </c>
      <c r="H1258" t="s">
        <v>6057</v>
      </c>
      <c r="I1258" t="s">
        <v>9457</v>
      </c>
      <c r="J1258" t="s">
        <v>12066</v>
      </c>
      <c r="K1258" t="s">
        <v>16468</v>
      </c>
      <c r="L1258">
        <f>HYPERLINK("https://www2.assemblee-nationale.fr/sycomore/fiche/(num_dept)/47", "47")</f>
        <v>0</v>
      </c>
      <c r="N1258">
        <f>HYPERLINK("https://www.wikidata.org/wiki/Q3130531", "Q3130531")</f>
        <v>0</v>
      </c>
      <c r="O1258" t="s">
        <v>20042</v>
      </c>
      <c r="P1258" t="s">
        <v>20417</v>
      </c>
      <c r="Q1258" t="s">
        <v>17699</v>
      </c>
      <c r="R1258" t="s">
        <v>411</v>
      </c>
      <c r="S1258">
        <v>1658</v>
      </c>
    </row>
    <row r="1259" spans="1:19">
      <c r="A1259" t="s">
        <v>21</v>
      </c>
      <c r="B1259" t="s">
        <v>148</v>
      </c>
      <c r="C1259" t="s">
        <v>153</v>
      </c>
      <c r="D1259" t="s">
        <v>282</v>
      </c>
      <c r="E1259" t="s">
        <v>411</v>
      </c>
      <c r="F1259">
        <f>HYPERLINK("https://www.wikidata.org/wiki/Q33724121", "Q33724121")</f>
        <v>0</v>
      </c>
      <c r="G1259" t="s">
        <v>1340</v>
      </c>
      <c r="H1259" t="s">
        <v>6058</v>
      </c>
      <c r="I1259" t="s">
        <v>9758</v>
      </c>
      <c r="J1259" t="s">
        <v>12067</v>
      </c>
      <c r="K1259" t="s">
        <v>16469</v>
      </c>
      <c r="L1259">
        <f>HYPERLINK("https://www2.assemblee-nationale.fr/sycomore/fiche/(num_dept)/57", "57")</f>
        <v>0</v>
      </c>
      <c r="N1259">
        <f>HYPERLINK("https://www.wikidata.org/wiki/Q3102114", "Q3102114")</f>
        <v>0</v>
      </c>
      <c r="O1259" t="s">
        <v>19976</v>
      </c>
      <c r="P1259" t="s">
        <v>20417</v>
      </c>
      <c r="Q1259" t="s">
        <v>17699</v>
      </c>
      <c r="R1259" t="s">
        <v>16469</v>
      </c>
      <c r="S1259">
        <v>1267</v>
      </c>
    </row>
    <row r="1260" spans="1:19">
      <c r="A1260" t="s">
        <v>21</v>
      </c>
      <c r="B1260" t="s">
        <v>148</v>
      </c>
      <c r="C1260" t="s">
        <v>153</v>
      </c>
      <c r="D1260" t="s">
        <v>282</v>
      </c>
      <c r="E1260" t="s">
        <v>411</v>
      </c>
      <c r="F1260">
        <f>HYPERLINK("https://www.wikidata.org/wiki/Q33724121", "Q33724121")</f>
        <v>0</v>
      </c>
      <c r="G1260" t="s">
        <v>495</v>
      </c>
      <c r="H1260" t="s">
        <v>5260</v>
      </c>
      <c r="I1260" t="s">
        <v>7642</v>
      </c>
      <c r="J1260" t="s">
        <v>11247</v>
      </c>
      <c r="K1260" t="s">
        <v>15647</v>
      </c>
      <c r="L1260">
        <f>HYPERLINK("https://www2.assemblee-nationale.fr/sycomore/fiche/(num_dept)/61", "61")</f>
        <v>0</v>
      </c>
      <c r="M1260">
        <f>HYPERLINK("https://www.senat.fr/senateur-3eme-republique/ajam_pierre1240r3.html", "ajam_pierre1240r3")</f>
        <v>0</v>
      </c>
      <c r="N1260">
        <f>HYPERLINK("https://www.wikidata.org/wiki/Q3383653", "Q3383653")</f>
        <v>0</v>
      </c>
      <c r="O1260" t="s">
        <v>19956</v>
      </c>
      <c r="P1260" t="s">
        <v>20417</v>
      </c>
      <c r="Q1260" t="s">
        <v>17699</v>
      </c>
      <c r="R1260" t="s">
        <v>21386</v>
      </c>
      <c r="S1260">
        <v>1521</v>
      </c>
    </row>
    <row r="1261" spans="1:19">
      <c r="A1261" t="s">
        <v>21</v>
      </c>
      <c r="B1261" t="s">
        <v>148</v>
      </c>
      <c r="C1261" t="s">
        <v>153</v>
      </c>
      <c r="D1261" t="s">
        <v>282</v>
      </c>
      <c r="E1261" t="s">
        <v>411</v>
      </c>
      <c r="F1261">
        <f>HYPERLINK("https://www.wikidata.org/wiki/Q33724121", "Q33724121")</f>
        <v>0</v>
      </c>
      <c r="G1261" t="s">
        <v>1215</v>
      </c>
      <c r="H1261" t="s">
        <v>5943</v>
      </c>
      <c r="I1261" t="s">
        <v>9442</v>
      </c>
      <c r="J1261" t="s">
        <v>11947</v>
      </c>
      <c r="K1261" t="s">
        <v>16349</v>
      </c>
      <c r="L1261">
        <f>HYPERLINK("https://www2.assemblee-nationale.fr/sycomore/fiche/(num_dept)/70", "70")</f>
        <v>0</v>
      </c>
      <c r="N1261">
        <f>HYPERLINK("https://www.wikidata.org/wiki/Q2830887", "Q2830887")</f>
        <v>0</v>
      </c>
      <c r="O1261" t="s">
        <v>20037</v>
      </c>
      <c r="P1261" t="s">
        <v>20417</v>
      </c>
      <c r="Q1261" t="s">
        <v>17699</v>
      </c>
      <c r="R1261" t="s">
        <v>411</v>
      </c>
      <c r="S1261">
        <v>1658</v>
      </c>
    </row>
    <row r="1262" spans="1:19">
      <c r="A1262" t="s">
        <v>21</v>
      </c>
      <c r="B1262" t="s">
        <v>148</v>
      </c>
      <c r="C1262" t="s">
        <v>153</v>
      </c>
      <c r="D1262" t="s">
        <v>282</v>
      </c>
      <c r="E1262" t="s">
        <v>411</v>
      </c>
      <c r="F1262">
        <f>HYPERLINK("https://www.wikidata.org/wiki/Q33724121", "Q33724121")</f>
        <v>0</v>
      </c>
      <c r="G1262" t="s">
        <v>1341</v>
      </c>
      <c r="H1262" t="s">
        <v>6059</v>
      </c>
      <c r="I1262" t="s">
        <v>9759</v>
      </c>
      <c r="J1262" t="s">
        <v>12068</v>
      </c>
      <c r="K1262" t="s">
        <v>16470</v>
      </c>
      <c r="L1262">
        <f>HYPERLINK("https://www2.assemblee-nationale.fr/sycomore/fiche/(num_dept)/104", "104")</f>
        <v>0</v>
      </c>
      <c r="N1262">
        <f>HYPERLINK("https://www.wikidata.org/wiki/Q2960762", "Q2960762")</f>
        <v>0</v>
      </c>
      <c r="O1262" t="s">
        <v>20048</v>
      </c>
      <c r="P1262" t="s">
        <v>20417</v>
      </c>
      <c r="Q1262" t="s">
        <v>17699</v>
      </c>
      <c r="R1262" t="s">
        <v>411</v>
      </c>
      <c r="S1262">
        <v>1658</v>
      </c>
    </row>
    <row r="1263" spans="1:19">
      <c r="A1263" t="s">
        <v>21</v>
      </c>
      <c r="B1263" t="s">
        <v>148</v>
      </c>
      <c r="C1263" t="s">
        <v>153</v>
      </c>
      <c r="D1263" t="s">
        <v>282</v>
      </c>
      <c r="E1263" t="s">
        <v>411</v>
      </c>
      <c r="F1263">
        <f>HYPERLINK("https://www.wikidata.org/wiki/Q33724121", "Q33724121")</f>
        <v>0</v>
      </c>
      <c r="G1263" t="s">
        <v>1146</v>
      </c>
      <c r="H1263" t="s">
        <v>5881</v>
      </c>
      <c r="I1263" t="s">
        <v>5592</v>
      </c>
      <c r="J1263" t="s">
        <v>11880</v>
      </c>
      <c r="K1263" t="s">
        <v>16282</v>
      </c>
      <c r="L1263">
        <f>HYPERLINK("https://www2.assemblee-nationale.fr/sycomore/fiche/(num_dept)/116", "116")</f>
        <v>0</v>
      </c>
      <c r="N1263">
        <f>HYPERLINK("https://www.wikidata.org/wiki/Q2380639", "Q2380639")</f>
        <v>0</v>
      </c>
      <c r="O1263" t="s">
        <v>19976</v>
      </c>
      <c r="P1263" t="s">
        <v>20412</v>
      </c>
      <c r="Q1263" t="s">
        <v>17699</v>
      </c>
      <c r="R1263" t="s">
        <v>411</v>
      </c>
      <c r="S1263">
        <v>1658</v>
      </c>
    </row>
    <row r="1264" spans="1:19">
      <c r="A1264" t="s">
        <v>21</v>
      </c>
      <c r="B1264" t="s">
        <v>148</v>
      </c>
      <c r="C1264" t="s">
        <v>153</v>
      </c>
      <c r="D1264" t="s">
        <v>282</v>
      </c>
      <c r="E1264" t="s">
        <v>411</v>
      </c>
      <c r="F1264">
        <f>HYPERLINK("https://www.wikidata.org/wiki/Q33724121", "Q33724121")</f>
        <v>0</v>
      </c>
      <c r="G1264" t="s">
        <v>1109</v>
      </c>
      <c r="H1264" t="s">
        <v>5850</v>
      </c>
      <c r="I1264" t="s">
        <v>9663</v>
      </c>
      <c r="J1264" t="s">
        <v>11843</v>
      </c>
      <c r="K1264" t="s">
        <v>16245</v>
      </c>
      <c r="L1264">
        <f>HYPERLINK("https://www2.assemblee-nationale.fr/sycomore/fiche/(num_dept)/119", "119")</f>
        <v>0</v>
      </c>
      <c r="N1264">
        <f>HYPERLINK("https://www.wikidata.org/wiki/Q3102182", "Q3102182")</f>
        <v>0</v>
      </c>
      <c r="O1264" t="s">
        <v>19978</v>
      </c>
      <c r="P1264" t="s">
        <v>20416</v>
      </c>
      <c r="Q1264" t="s">
        <v>17699</v>
      </c>
      <c r="R1264" t="s">
        <v>411</v>
      </c>
      <c r="S1264">
        <v>1658</v>
      </c>
    </row>
    <row r="1265" spans="1:19">
      <c r="A1265" t="s">
        <v>21</v>
      </c>
      <c r="B1265" t="s">
        <v>148</v>
      </c>
      <c r="C1265" t="s">
        <v>153</v>
      </c>
      <c r="D1265" t="s">
        <v>282</v>
      </c>
      <c r="E1265" t="s">
        <v>411</v>
      </c>
      <c r="F1265">
        <f>HYPERLINK("https://www.wikidata.org/wiki/Q33724121", "Q33724121")</f>
        <v>0</v>
      </c>
      <c r="G1265" t="s">
        <v>1342</v>
      </c>
      <c r="H1265" t="s">
        <v>6060</v>
      </c>
      <c r="I1265" t="s">
        <v>9760</v>
      </c>
      <c r="J1265" t="s">
        <v>12069</v>
      </c>
      <c r="K1265" t="s">
        <v>16471</v>
      </c>
      <c r="L1265">
        <f>HYPERLINK("https://www2.assemblee-nationale.fr/sycomore/fiche/(num_dept)/135", "135")</f>
        <v>0</v>
      </c>
      <c r="N1265">
        <f>HYPERLINK("https://www.wikidata.org/wiki/Q3102188", "Q3102188")</f>
        <v>0</v>
      </c>
      <c r="O1265" t="s">
        <v>19986</v>
      </c>
      <c r="P1265" t="s">
        <v>20418</v>
      </c>
      <c r="Q1265" t="s">
        <v>17699</v>
      </c>
      <c r="R1265" t="s">
        <v>411</v>
      </c>
      <c r="S1265">
        <v>1658</v>
      </c>
    </row>
    <row r="1266" spans="1:19">
      <c r="A1266" t="s">
        <v>21</v>
      </c>
      <c r="B1266" t="s">
        <v>148</v>
      </c>
      <c r="C1266" t="s">
        <v>153</v>
      </c>
      <c r="D1266" t="s">
        <v>282</v>
      </c>
      <c r="E1266" t="s">
        <v>411</v>
      </c>
      <c r="F1266">
        <f>HYPERLINK("https://www.wikidata.org/wiki/Q33724121", "Q33724121")</f>
        <v>0</v>
      </c>
      <c r="G1266" t="s">
        <v>861</v>
      </c>
      <c r="H1266" t="s">
        <v>5617</v>
      </c>
      <c r="I1266" t="s">
        <v>6495</v>
      </c>
      <c r="J1266" t="s">
        <v>11607</v>
      </c>
      <c r="K1266" t="s">
        <v>16009</v>
      </c>
      <c r="L1266">
        <f>HYPERLINK("https://www2.assemblee-nationale.fr/sycomore/fiche/(num_dept)/139", "139")</f>
        <v>0</v>
      </c>
      <c r="M1266">
        <f>HYPERLINK("https://www.senat.fr/senateur-3eme-republique/andrieux_louis0059r3.html", "andrieux_louis0059r3")</f>
        <v>0</v>
      </c>
      <c r="N1266">
        <f>HYPERLINK("https://www.wikidata.org/wiki/Q1507996", "Q1507996")</f>
        <v>0</v>
      </c>
      <c r="O1266" t="s">
        <v>20033</v>
      </c>
      <c r="P1266" t="s">
        <v>20417</v>
      </c>
      <c r="Q1266" t="s">
        <v>17699</v>
      </c>
      <c r="R1266" t="s">
        <v>411</v>
      </c>
      <c r="S1266">
        <v>1658</v>
      </c>
    </row>
    <row r="1267" spans="1:19">
      <c r="A1267" t="s">
        <v>21</v>
      </c>
      <c r="B1267" t="s">
        <v>148</v>
      </c>
      <c r="C1267" t="s">
        <v>153</v>
      </c>
      <c r="D1267" t="s">
        <v>282</v>
      </c>
      <c r="E1267" t="s">
        <v>411</v>
      </c>
      <c r="F1267">
        <f>HYPERLINK("https://www.wikidata.org/wiki/Q33724121", "Q33724121")</f>
        <v>0</v>
      </c>
      <c r="G1267" t="s">
        <v>1147</v>
      </c>
      <c r="H1267" t="s">
        <v>5882</v>
      </c>
      <c r="I1267" t="s">
        <v>9677</v>
      </c>
      <c r="J1267" t="s">
        <v>11881</v>
      </c>
      <c r="K1267" t="s">
        <v>16283</v>
      </c>
      <c r="L1267">
        <f>HYPERLINK("https://www2.assemblee-nationale.fr/sycomore/fiche/(num_dept)/147", "147")</f>
        <v>0</v>
      </c>
      <c r="N1267">
        <f>HYPERLINK("https://www.wikidata.org/wiki/Q2404266", "Q2404266")</f>
        <v>0</v>
      </c>
      <c r="O1267" t="s">
        <v>20033</v>
      </c>
      <c r="P1267" t="s">
        <v>20406</v>
      </c>
      <c r="Q1267" t="s">
        <v>17699</v>
      </c>
      <c r="R1267" t="s">
        <v>411</v>
      </c>
      <c r="S1267">
        <v>1658</v>
      </c>
    </row>
    <row r="1268" spans="1:19">
      <c r="A1268" t="s">
        <v>21</v>
      </c>
      <c r="B1268" t="s">
        <v>148</v>
      </c>
      <c r="C1268" t="s">
        <v>153</v>
      </c>
      <c r="D1268" t="s">
        <v>282</v>
      </c>
      <c r="E1268" t="s">
        <v>411</v>
      </c>
      <c r="F1268">
        <f>HYPERLINK("https://www.wikidata.org/wiki/Q33724121", "Q33724121")</f>
        <v>0</v>
      </c>
      <c r="G1268" t="s">
        <v>1343</v>
      </c>
      <c r="H1268" t="s">
        <v>6061</v>
      </c>
      <c r="I1268" t="s">
        <v>9761</v>
      </c>
      <c r="J1268" t="s">
        <v>12070</v>
      </c>
      <c r="K1268" t="s">
        <v>16472</v>
      </c>
      <c r="L1268">
        <f>HYPERLINK("https://www2.assemblee-nationale.fr/sycomore/fiche/(num_dept)/152", "152")</f>
        <v>0</v>
      </c>
      <c r="N1268">
        <f>HYPERLINK("https://www.wikidata.org/wiki/Q15973281", "Q15973281")</f>
        <v>0</v>
      </c>
      <c r="O1268" t="s">
        <v>19978</v>
      </c>
      <c r="P1268" t="s">
        <v>20416</v>
      </c>
      <c r="Q1268" t="s">
        <v>17699</v>
      </c>
      <c r="R1268" t="s">
        <v>411</v>
      </c>
      <c r="S1268">
        <v>1658</v>
      </c>
    </row>
    <row r="1269" spans="1:19">
      <c r="A1269" t="s">
        <v>21</v>
      </c>
      <c r="B1269" t="s">
        <v>148</v>
      </c>
      <c r="C1269" t="s">
        <v>153</v>
      </c>
      <c r="D1269" t="s">
        <v>282</v>
      </c>
      <c r="E1269" t="s">
        <v>411</v>
      </c>
      <c r="F1269">
        <f>HYPERLINK("https://www.wikidata.org/wiki/Q33724121", "Q33724121")</f>
        <v>0</v>
      </c>
      <c r="G1269" t="s">
        <v>1344</v>
      </c>
      <c r="H1269" t="s">
        <v>6062</v>
      </c>
      <c r="I1269" t="s">
        <v>6495</v>
      </c>
      <c r="J1269" t="s">
        <v>12071</v>
      </c>
      <c r="K1269" t="s">
        <v>16473</v>
      </c>
      <c r="L1269">
        <f>HYPERLINK("https://www2.assemblee-nationale.fr/sycomore/fiche/(num_dept)/157", "157")</f>
        <v>0</v>
      </c>
      <c r="N1269">
        <f>HYPERLINK("https://www.wikidata.org/wiki/Q3261084", "Q3261084")</f>
        <v>0</v>
      </c>
      <c r="O1269" t="s">
        <v>19991</v>
      </c>
      <c r="P1269" t="s">
        <v>20406</v>
      </c>
      <c r="Q1269" t="s">
        <v>17699</v>
      </c>
      <c r="R1269" t="s">
        <v>411</v>
      </c>
      <c r="S1269">
        <v>1658</v>
      </c>
    </row>
    <row r="1270" spans="1:19">
      <c r="A1270" t="s">
        <v>21</v>
      </c>
      <c r="B1270" t="s">
        <v>148</v>
      </c>
      <c r="C1270" t="s">
        <v>153</v>
      </c>
      <c r="D1270" t="s">
        <v>282</v>
      </c>
      <c r="E1270" t="s">
        <v>411</v>
      </c>
      <c r="F1270">
        <f>HYPERLINK("https://www.wikidata.org/wiki/Q33724121", "Q33724121")</f>
        <v>0</v>
      </c>
      <c r="G1270" t="s">
        <v>1148</v>
      </c>
      <c r="H1270" t="s">
        <v>5883</v>
      </c>
      <c r="I1270" t="s">
        <v>9678</v>
      </c>
      <c r="J1270" t="s">
        <v>11882</v>
      </c>
      <c r="K1270" t="s">
        <v>16284</v>
      </c>
      <c r="L1270">
        <f>HYPERLINK("https://www2.assemblee-nationale.fr/sycomore/fiche/(num_dept)/169", "169")</f>
        <v>0</v>
      </c>
      <c r="N1270">
        <f>HYPERLINK("https://www.wikidata.org/wiki/Q3385585", "Q3385585")</f>
        <v>0</v>
      </c>
      <c r="O1270" t="s">
        <v>20024</v>
      </c>
      <c r="P1270" t="s">
        <v>20416</v>
      </c>
      <c r="Q1270" t="s">
        <v>17699</v>
      </c>
      <c r="R1270" t="s">
        <v>411</v>
      </c>
      <c r="S1270">
        <v>1658</v>
      </c>
    </row>
    <row r="1271" spans="1:19">
      <c r="A1271" t="s">
        <v>21</v>
      </c>
      <c r="B1271" t="s">
        <v>148</v>
      </c>
      <c r="C1271" t="s">
        <v>153</v>
      </c>
      <c r="D1271" t="s">
        <v>282</v>
      </c>
      <c r="E1271" t="s">
        <v>411</v>
      </c>
      <c r="F1271">
        <f>HYPERLINK("https://www.wikidata.org/wiki/Q33724121", "Q33724121")</f>
        <v>0</v>
      </c>
      <c r="G1271" t="s">
        <v>1345</v>
      </c>
      <c r="H1271" t="s">
        <v>6063</v>
      </c>
      <c r="I1271" t="s">
        <v>5528</v>
      </c>
      <c r="J1271" t="s">
        <v>12072</v>
      </c>
      <c r="K1271" t="s">
        <v>16474</v>
      </c>
      <c r="L1271">
        <f>HYPERLINK("https://www2.assemblee-nationale.fr/sycomore/fiche/(num_dept)/185", "185")</f>
        <v>0</v>
      </c>
      <c r="N1271">
        <f>HYPERLINK("https://www.wikidata.org/wiki/Q3270682", "Q3270682")</f>
        <v>0</v>
      </c>
      <c r="O1271" t="s">
        <v>20044</v>
      </c>
      <c r="P1271" t="s">
        <v>20418</v>
      </c>
      <c r="Q1271" t="s">
        <v>17699</v>
      </c>
      <c r="R1271" t="s">
        <v>411</v>
      </c>
      <c r="S1271">
        <v>1658</v>
      </c>
    </row>
    <row r="1272" spans="1:19">
      <c r="A1272" t="s">
        <v>21</v>
      </c>
      <c r="B1272" t="s">
        <v>148</v>
      </c>
      <c r="C1272" t="s">
        <v>153</v>
      </c>
      <c r="D1272" t="s">
        <v>282</v>
      </c>
      <c r="E1272" t="s">
        <v>411</v>
      </c>
      <c r="F1272">
        <f>HYPERLINK("https://www.wikidata.org/wiki/Q33724121", "Q33724121")</f>
        <v>0</v>
      </c>
      <c r="G1272" t="s">
        <v>1346</v>
      </c>
      <c r="H1272" t="s">
        <v>6064</v>
      </c>
      <c r="I1272" t="s">
        <v>9445</v>
      </c>
      <c r="J1272" t="s">
        <v>12073</v>
      </c>
      <c r="K1272" t="s">
        <v>16475</v>
      </c>
      <c r="L1272">
        <f>HYPERLINK("https://www2.assemblee-nationale.fr/sycomore/fiche/(num_dept)/213", "213")</f>
        <v>0</v>
      </c>
      <c r="N1272">
        <f>HYPERLINK("https://www.wikidata.org/wiki/Q15973327", "Q15973327")</f>
        <v>0</v>
      </c>
      <c r="O1272" t="s">
        <v>19990</v>
      </c>
      <c r="P1272" t="s">
        <v>20416</v>
      </c>
      <c r="Q1272" t="s">
        <v>17699</v>
      </c>
      <c r="R1272" t="s">
        <v>411</v>
      </c>
      <c r="S1272">
        <v>1658</v>
      </c>
    </row>
    <row r="1273" spans="1:19">
      <c r="A1273" t="s">
        <v>21</v>
      </c>
      <c r="B1273" t="s">
        <v>148</v>
      </c>
      <c r="C1273" t="s">
        <v>153</v>
      </c>
      <c r="D1273" t="s">
        <v>282</v>
      </c>
      <c r="E1273" t="s">
        <v>411</v>
      </c>
      <c r="F1273">
        <f>HYPERLINK("https://www.wikidata.org/wiki/Q33724121", "Q33724121")</f>
        <v>0</v>
      </c>
      <c r="G1273" t="s">
        <v>1216</v>
      </c>
      <c r="H1273" t="s">
        <v>5944</v>
      </c>
      <c r="I1273" t="s">
        <v>9708</v>
      </c>
      <c r="J1273" t="s">
        <v>11948</v>
      </c>
      <c r="K1273" t="s">
        <v>16350</v>
      </c>
      <c r="L1273">
        <f>HYPERLINK("https://www2.assemblee-nationale.fr/sycomore/fiche/(num_dept)/236", "236")</f>
        <v>0</v>
      </c>
      <c r="N1273">
        <f>HYPERLINK("https://www.wikidata.org/wiki/Q7125983", "Q7125983")</f>
        <v>0</v>
      </c>
      <c r="O1273" t="s">
        <v>19956</v>
      </c>
      <c r="P1273" t="s">
        <v>20416</v>
      </c>
      <c r="Q1273" t="s">
        <v>17699</v>
      </c>
      <c r="R1273" t="s">
        <v>411</v>
      </c>
      <c r="S1273">
        <v>1658</v>
      </c>
    </row>
    <row r="1274" spans="1:19">
      <c r="A1274" t="s">
        <v>21</v>
      </c>
      <c r="B1274" t="s">
        <v>148</v>
      </c>
      <c r="C1274" t="s">
        <v>153</v>
      </c>
      <c r="D1274" t="s">
        <v>282</v>
      </c>
      <c r="E1274" t="s">
        <v>411</v>
      </c>
      <c r="F1274">
        <f>HYPERLINK("https://www.wikidata.org/wiki/Q33724121", "Q33724121")</f>
        <v>0</v>
      </c>
      <c r="G1274" t="s">
        <v>865</v>
      </c>
      <c r="H1274" t="s">
        <v>5621</v>
      </c>
      <c r="I1274" t="s">
        <v>9563</v>
      </c>
      <c r="J1274" t="s">
        <v>11611</v>
      </c>
      <c r="K1274" t="s">
        <v>16013</v>
      </c>
      <c r="L1274">
        <f>HYPERLINK("https://www2.assemblee-nationale.fr/sycomore/fiche/(num_dept)/238", "238")</f>
        <v>0</v>
      </c>
      <c r="N1274">
        <f>HYPERLINK("https://www.wikidata.org/wiki/Q3188406", "Q3188406")</f>
        <v>0</v>
      </c>
      <c r="O1274" t="s">
        <v>19969</v>
      </c>
      <c r="P1274" t="s">
        <v>20409</v>
      </c>
      <c r="Q1274" t="s">
        <v>17699</v>
      </c>
      <c r="R1274" t="s">
        <v>411</v>
      </c>
      <c r="S1274">
        <v>1658</v>
      </c>
    </row>
    <row r="1275" spans="1:19">
      <c r="A1275" t="s">
        <v>21</v>
      </c>
      <c r="B1275" t="s">
        <v>148</v>
      </c>
      <c r="C1275" t="s">
        <v>153</v>
      </c>
      <c r="D1275" t="s">
        <v>282</v>
      </c>
      <c r="E1275" t="s">
        <v>411</v>
      </c>
      <c r="F1275">
        <f>HYPERLINK("https://www.wikidata.org/wiki/Q33724121", "Q33724121")</f>
        <v>0</v>
      </c>
      <c r="G1275" t="s">
        <v>1347</v>
      </c>
      <c r="H1275" t="s">
        <v>6065</v>
      </c>
      <c r="I1275" t="s">
        <v>9762</v>
      </c>
      <c r="J1275" t="s">
        <v>12074</v>
      </c>
      <c r="K1275" t="s">
        <v>16476</v>
      </c>
      <c r="L1275">
        <f>HYPERLINK("https://www2.assemblee-nationale.fr/sycomore/fiche/(num_dept)/240", "240")</f>
        <v>0</v>
      </c>
      <c r="N1275">
        <f>HYPERLINK("https://www.wikidata.org/wiki/Q2830924", "Q2830924")</f>
        <v>0</v>
      </c>
      <c r="O1275" t="s">
        <v>19998</v>
      </c>
      <c r="P1275" t="s">
        <v>20404</v>
      </c>
      <c r="Q1275" t="s">
        <v>17699</v>
      </c>
      <c r="R1275" t="s">
        <v>411</v>
      </c>
      <c r="S1275">
        <v>1658</v>
      </c>
    </row>
    <row r="1276" spans="1:19">
      <c r="A1276" t="s">
        <v>21</v>
      </c>
      <c r="B1276" t="s">
        <v>148</v>
      </c>
      <c r="C1276" t="s">
        <v>153</v>
      </c>
      <c r="D1276" t="s">
        <v>282</v>
      </c>
      <c r="E1276" t="s">
        <v>411</v>
      </c>
      <c r="F1276">
        <f>HYPERLINK("https://www.wikidata.org/wiki/Q33724121", "Q33724121")</f>
        <v>0</v>
      </c>
      <c r="G1276" t="s">
        <v>1348</v>
      </c>
      <c r="H1276" t="s">
        <v>6066</v>
      </c>
      <c r="I1276" t="s">
        <v>9763</v>
      </c>
      <c r="J1276" t="s">
        <v>11375</v>
      </c>
      <c r="K1276" t="s">
        <v>16477</v>
      </c>
      <c r="L1276">
        <f>HYPERLINK("https://www2.assemblee-nationale.fr/sycomore/fiche/(num_dept)/253", "253")</f>
        <v>0</v>
      </c>
      <c r="N1276">
        <f>HYPERLINK("https://www.wikidata.org/wiki/Q3592397", "Q3592397")</f>
        <v>0</v>
      </c>
      <c r="O1276" t="s">
        <v>19957</v>
      </c>
      <c r="P1276" t="s">
        <v>20416</v>
      </c>
      <c r="Q1276" t="s">
        <v>17699</v>
      </c>
      <c r="R1276" t="s">
        <v>411</v>
      </c>
      <c r="S1276">
        <v>1658</v>
      </c>
    </row>
    <row r="1277" spans="1:19">
      <c r="A1277" t="s">
        <v>21</v>
      </c>
      <c r="B1277" t="s">
        <v>148</v>
      </c>
      <c r="C1277" t="s">
        <v>153</v>
      </c>
      <c r="D1277" t="s">
        <v>282</v>
      </c>
      <c r="E1277" t="s">
        <v>411</v>
      </c>
      <c r="F1277">
        <f>HYPERLINK("https://www.wikidata.org/wiki/Q33724121", "Q33724121")</f>
        <v>0</v>
      </c>
      <c r="G1277" t="s">
        <v>1103</v>
      </c>
      <c r="H1277" t="s">
        <v>5844</v>
      </c>
      <c r="I1277" t="s">
        <v>9661</v>
      </c>
      <c r="J1277" t="s">
        <v>11578</v>
      </c>
      <c r="K1277" t="s">
        <v>16239</v>
      </c>
      <c r="L1277">
        <f>HYPERLINK("https://www2.assemblee-nationale.fr/sycomore/fiche/(num_dept)/263", "263")</f>
        <v>0</v>
      </c>
      <c r="N1277">
        <f>HYPERLINK("https://www.wikidata.org/wiki/Q16025417", "Q16025417")</f>
        <v>0</v>
      </c>
      <c r="O1277" t="s">
        <v>19967</v>
      </c>
      <c r="P1277" t="s">
        <v>20416</v>
      </c>
      <c r="Q1277" t="s">
        <v>17699</v>
      </c>
      <c r="R1277" t="s">
        <v>411</v>
      </c>
      <c r="S1277">
        <v>1658</v>
      </c>
    </row>
    <row r="1278" spans="1:19">
      <c r="A1278" t="s">
        <v>21</v>
      </c>
      <c r="B1278" t="s">
        <v>148</v>
      </c>
      <c r="C1278" t="s">
        <v>153</v>
      </c>
      <c r="D1278" t="s">
        <v>282</v>
      </c>
      <c r="E1278" t="s">
        <v>411</v>
      </c>
      <c r="F1278">
        <f>HYPERLINK("https://www.wikidata.org/wiki/Q33724121", "Q33724121")</f>
        <v>0</v>
      </c>
      <c r="G1278" t="s">
        <v>866</v>
      </c>
      <c r="H1278" t="s">
        <v>5622</v>
      </c>
      <c r="I1278" t="s">
        <v>9564</v>
      </c>
      <c r="J1278" t="s">
        <v>11612</v>
      </c>
      <c r="K1278" t="s">
        <v>16014</v>
      </c>
      <c r="L1278">
        <f>HYPERLINK("https://www2.assemblee-nationale.fr/sycomore/fiche/(num_dept)/284", "284")</f>
        <v>0</v>
      </c>
      <c r="N1278">
        <f>HYPERLINK("https://www.wikidata.org/wiki/Q3130593", "Q3130593")</f>
        <v>0</v>
      </c>
      <c r="O1278" t="s">
        <v>20016</v>
      </c>
      <c r="P1278" t="s">
        <v>20416</v>
      </c>
      <c r="Q1278" t="s">
        <v>17699</v>
      </c>
      <c r="R1278" t="s">
        <v>411</v>
      </c>
      <c r="S1278">
        <v>1658</v>
      </c>
    </row>
    <row r="1279" spans="1:19">
      <c r="A1279" t="s">
        <v>21</v>
      </c>
      <c r="B1279" t="s">
        <v>148</v>
      </c>
      <c r="C1279" t="s">
        <v>153</v>
      </c>
      <c r="D1279" t="s">
        <v>282</v>
      </c>
      <c r="E1279" t="s">
        <v>411</v>
      </c>
      <c r="F1279">
        <f>HYPERLINK("https://www.wikidata.org/wiki/Q33724121", "Q33724121")</f>
        <v>0</v>
      </c>
      <c r="G1279" t="s">
        <v>1217</v>
      </c>
      <c r="H1279" t="s">
        <v>5622</v>
      </c>
      <c r="I1279" t="s">
        <v>5812</v>
      </c>
      <c r="J1279" t="s">
        <v>11949</v>
      </c>
      <c r="K1279" t="s">
        <v>16351</v>
      </c>
      <c r="L1279">
        <f>HYPERLINK("https://www2.assemblee-nationale.fr/sycomore/fiche/(num_dept)/285", "285")</f>
        <v>0</v>
      </c>
      <c r="N1279">
        <f>HYPERLINK("https://www.wikidata.org/wiki/Q158772", "Q158772")</f>
        <v>0</v>
      </c>
      <c r="O1279" t="s">
        <v>20016</v>
      </c>
      <c r="P1279" t="s">
        <v>20404</v>
      </c>
      <c r="Q1279" t="s">
        <v>17699</v>
      </c>
      <c r="R1279" t="s">
        <v>411</v>
      </c>
      <c r="S1279">
        <v>1658</v>
      </c>
    </row>
    <row r="1280" spans="1:19">
      <c r="A1280" t="s">
        <v>21</v>
      </c>
      <c r="B1280" t="s">
        <v>148</v>
      </c>
      <c r="C1280" t="s">
        <v>153</v>
      </c>
      <c r="D1280" t="s">
        <v>282</v>
      </c>
      <c r="E1280" t="s">
        <v>411</v>
      </c>
      <c r="F1280">
        <f>HYPERLINK("https://www.wikidata.org/wiki/Q33724121", "Q33724121")</f>
        <v>0</v>
      </c>
      <c r="G1280" t="s">
        <v>1349</v>
      </c>
      <c r="H1280" t="s">
        <v>6067</v>
      </c>
      <c r="I1280" t="s">
        <v>6166</v>
      </c>
      <c r="J1280" t="s">
        <v>12075</v>
      </c>
      <c r="K1280" t="s">
        <v>16478</v>
      </c>
      <c r="L1280">
        <f>HYPERLINK("https://www2.assemblee-nationale.fr/sycomore/fiche/(num_dept)/288", "288")</f>
        <v>0</v>
      </c>
      <c r="N1280">
        <f>HYPERLINK("https://www.wikidata.org/wiki/Q3083871", "Q3083871")</f>
        <v>0</v>
      </c>
      <c r="O1280" t="s">
        <v>20020</v>
      </c>
      <c r="P1280" t="s">
        <v>20404</v>
      </c>
      <c r="Q1280" t="s">
        <v>17699</v>
      </c>
      <c r="R1280" t="s">
        <v>411</v>
      </c>
      <c r="S1280">
        <v>1658</v>
      </c>
    </row>
    <row r="1281" spans="1:19">
      <c r="A1281" t="s">
        <v>21</v>
      </c>
      <c r="B1281" t="s">
        <v>148</v>
      </c>
      <c r="C1281" t="s">
        <v>153</v>
      </c>
      <c r="D1281" t="s">
        <v>282</v>
      </c>
      <c r="E1281" t="s">
        <v>411</v>
      </c>
      <c r="F1281">
        <f>HYPERLINK("https://www.wikidata.org/wiki/Q33724121", "Q33724121")</f>
        <v>0</v>
      </c>
      <c r="G1281" t="s">
        <v>1350</v>
      </c>
      <c r="H1281" t="s">
        <v>6068</v>
      </c>
      <c r="I1281" t="s">
        <v>9764</v>
      </c>
      <c r="J1281" t="s">
        <v>12076</v>
      </c>
      <c r="K1281" t="s">
        <v>16479</v>
      </c>
      <c r="L1281">
        <f>HYPERLINK("https://www2.assemblee-nationale.fr/sycomore/fiche/(num_dept)/298", "298")</f>
        <v>0</v>
      </c>
      <c r="N1281">
        <f>HYPERLINK("https://www.wikidata.org/wiki/Q3130596", "Q3130596")</f>
        <v>0</v>
      </c>
      <c r="O1281" t="s">
        <v>19964</v>
      </c>
      <c r="P1281" t="s">
        <v>20419</v>
      </c>
      <c r="Q1281" t="s">
        <v>17699</v>
      </c>
      <c r="R1281" t="s">
        <v>411</v>
      </c>
      <c r="S1281">
        <v>1658</v>
      </c>
    </row>
    <row r="1282" spans="1:19">
      <c r="A1282" t="s">
        <v>21</v>
      </c>
      <c r="B1282" t="s">
        <v>148</v>
      </c>
      <c r="C1282" t="s">
        <v>153</v>
      </c>
      <c r="D1282" t="s">
        <v>282</v>
      </c>
      <c r="E1282" t="s">
        <v>411</v>
      </c>
      <c r="F1282">
        <f>HYPERLINK("https://www.wikidata.org/wiki/Q33724121", "Q33724121")</f>
        <v>0</v>
      </c>
      <c r="G1282" t="s">
        <v>1090</v>
      </c>
      <c r="H1282" t="s">
        <v>5832</v>
      </c>
      <c r="I1282" t="s">
        <v>9658</v>
      </c>
      <c r="J1282" t="s">
        <v>11826</v>
      </c>
      <c r="K1282" t="s">
        <v>15988</v>
      </c>
      <c r="L1282">
        <f>HYPERLINK("https://www2.assemblee-nationale.fr/sycomore/fiche/(num_dept)/331", "331")</f>
        <v>0</v>
      </c>
      <c r="N1282">
        <f>HYPERLINK("https://www.wikidata.org/wiki/Q3382742", "Q3382742")</f>
        <v>0</v>
      </c>
      <c r="O1282" t="s">
        <v>19978</v>
      </c>
      <c r="P1282" t="s">
        <v>20416</v>
      </c>
      <c r="Q1282" t="s">
        <v>17699</v>
      </c>
      <c r="R1282" t="s">
        <v>15988</v>
      </c>
      <c r="S1282">
        <v>1235</v>
      </c>
    </row>
    <row r="1283" spans="1:19">
      <c r="A1283" t="s">
        <v>21</v>
      </c>
      <c r="B1283" t="s">
        <v>148</v>
      </c>
      <c r="C1283" t="s">
        <v>153</v>
      </c>
      <c r="D1283" t="s">
        <v>282</v>
      </c>
      <c r="E1283" t="s">
        <v>411</v>
      </c>
      <c r="F1283">
        <f>HYPERLINK("https://www.wikidata.org/wiki/Q33724121", "Q33724121")</f>
        <v>0</v>
      </c>
      <c r="G1283" t="s">
        <v>1351</v>
      </c>
      <c r="H1283" t="s">
        <v>6069</v>
      </c>
      <c r="I1283" t="s">
        <v>9483</v>
      </c>
      <c r="J1283" t="s">
        <v>12077</v>
      </c>
      <c r="K1283" t="s">
        <v>16480</v>
      </c>
      <c r="L1283">
        <f>HYPERLINK("https://www2.assemblee-nationale.fr/sycomore/fiche/(num_dept)/342", "342")</f>
        <v>0</v>
      </c>
      <c r="N1283">
        <f>HYPERLINK("https://www.wikidata.org/wiki/Q3557139", "Q3557139")</f>
        <v>0</v>
      </c>
      <c r="O1283" t="s">
        <v>20011</v>
      </c>
      <c r="P1283" t="s">
        <v>20412</v>
      </c>
      <c r="Q1283" t="s">
        <v>17699</v>
      </c>
      <c r="R1283" t="s">
        <v>411</v>
      </c>
      <c r="S1283">
        <v>1658</v>
      </c>
    </row>
    <row r="1284" spans="1:19">
      <c r="A1284" t="s">
        <v>21</v>
      </c>
      <c r="B1284" t="s">
        <v>148</v>
      </c>
      <c r="C1284" t="s">
        <v>153</v>
      </c>
      <c r="D1284" t="s">
        <v>282</v>
      </c>
      <c r="E1284" t="s">
        <v>411</v>
      </c>
      <c r="F1284">
        <f>HYPERLINK("https://www.wikidata.org/wiki/Q33724121", "Q33724121")</f>
        <v>0</v>
      </c>
      <c r="G1284" t="s">
        <v>870</v>
      </c>
      <c r="H1284" t="s">
        <v>5626</v>
      </c>
      <c r="I1284" t="s">
        <v>9566</v>
      </c>
      <c r="J1284" t="s">
        <v>11616</v>
      </c>
      <c r="K1284" t="s">
        <v>16018</v>
      </c>
      <c r="L1284">
        <f>HYPERLINK("https://www2.assemblee-nationale.fr/sycomore/fiche/(num_dept)/351", "351")</f>
        <v>0</v>
      </c>
      <c r="N1284">
        <f>HYPERLINK("https://www.wikidata.org/wiki/Q2847193", "Q2847193")</f>
        <v>0</v>
      </c>
      <c r="O1284" t="s">
        <v>19987</v>
      </c>
      <c r="P1284" t="s">
        <v>20416</v>
      </c>
      <c r="Q1284" t="s">
        <v>17699</v>
      </c>
      <c r="R1284" t="s">
        <v>411</v>
      </c>
      <c r="S1284">
        <v>1658</v>
      </c>
    </row>
    <row r="1285" spans="1:19">
      <c r="A1285" t="s">
        <v>21</v>
      </c>
      <c r="B1285" t="s">
        <v>148</v>
      </c>
      <c r="C1285" t="s">
        <v>153</v>
      </c>
      <c r="D1285" t="s">
        <v>282</v>
      </c>
      <c r="E1285" t="s">
        <v>411</v>
      </c>
      <c r="F1285">
        <f>HYPERLINK("https://www.wikidata.org/wiki/Q33724121", "Q33724121")</f>
        <v>0</v>
      </c>
      <c r="G1285" t="s">
        <v>1352</v>
      </c>
      <c r="H1285" t="s">
        <v>6070</v>
      </c>
      <c r="I1285" t="s">
        <v>9476</v>
      </c>
      <c r="J1285" t="s">
        <v>12078</v>
      </c>
      <c r="K1285" t="s">
        <v>16481</v>
      </c>
      <c r="L1285">
        <f>HYPERLINK("https://www2.assemblee-nationale.fr/sycomore/fiche/(num_dept)/369", "369")</f>
        <v>0</v>
      </c>
      <c r="N1285">
        <f>HYPERLINK("https://www.wikidata.org/wiki/Q15973498", "Q15973498")</f>
        <v>0</v>
      </c>
      <c r="O1285" t="s">
        <v>20049</v>
      </c>
      <c r="P1285" t="s">
        <v>20417</v>
      </c>
      <c r="Q1285" t="s">
        <v>17699</v>
      </c>
      <c r="R1285" t="s">
        <v>411</v>
      </c>
      <c r="S1285">
        <v>1658</v>
      </c>
    </row>
    <row r="1286" spans="1:19">
      <c r="A1286" t="s">
        <v>21</v>
      </c>
      <c r="B1286" t="s">
        <v>148</v>
      </c>
      <c r="C1286" t="s">
        <v>153</v>
      </c>
      <c r="D1286" t="s">
        <v>282</v>
      </c>
      <c r="E1286" t="s">
        <v>411</v>
      </c>
      <c r="F1286">
        <f>HYPERLINK("https://www.wikidata.org/wiki/Q33724121", "Q33724121")</f>
        <v>0</v>
      </c>
      <c r="G1286" t="s">
        <v>1353</v>
      </c>
      <c r="H1286" t="s">
        <v>6071</v>
      </c>
      <c r="I1286" t="s">
        <v>9765</v>
      </c>
      <c r="J1286" t="s">
        <v>12079</v>
      </c>
      <c r="K1286" t="s">
        <v>16482</v>
      </c>
      <c r="L1286">
        <f>HYPERLINK("https://www2.assemblee-nationale.fr/sycomore/fiche/(num_dept)/382", "382")</f>
        <v>0</v>
      </c>
      <c r="N1286">
        <f>HYPERLINK("https://www.wikidata.org/wiki/Q13080942", "Q13080942")</f>
        <v>0</v>
      </c>
      <c r="O1286" t="s">
        <v>19969</v>
      </c>
      <c r="P1286" t="s">
        <v>20417</v>
      </c>
      <c r="Q1286" t="s">
        <v>17699</v>
      </c>
      <c r="R1286" t="s">
        <v>411</v>
      </c>
      <c r="S1286">
        <v>1658</v>
      </c>
    </row>
    <row r="1287" spans="1:19">
      <c r="A1287" t="s">
        <v>21</v>
      </c>
      <c r="B1287" t="s">
        <v>148</v>
      </c>
      <c r="C1287" t="s">
        <v>153</v>
      </c>
      <c r="D1287" t="s">
        <v>282</v>
      </c>
      <c r="E1287" t="s">
        <v>411</v>
      </c>
      <c r="F1287">
        <f>HYPERLINK("https://www.wikidata.org/wiki/Q33724121", "Q33724121")</f>
        <v>0</v>
      </c>
      <c r="G1287" t="s">
        <v>1354</v>
      </c>
      <c r="H1287" t="s">
        <v>6072</v>
      </c>
      <c r="I1287" t="s">
        <v>9766</v>
      </c>
      <c r="J1287" t="s">
        <v>12080</v>
      </c>
      <c r="K1287" t="s">
        <v>16483</v>
      </c>
      <c r="L1287">
        <f>HYPERLINK("https://www2.assemblee-nationale.fr/sycomore/fiche/(num_dept)/407", "407")</f>
        <v>0</v>
      </c>
      <c r="N1287">
        <f>HYPERLINK("https://www.wikidata.org/wiki/Q15973471", "Q15973471")</f>
        <v>0</v>
      </c>
      <c r="O1287" t="s">
        <v>20016</v>
      </c>
      <c r="P1287" t="s">
        <v>20416</v>
      </c>
      <c r="Q1287" t="s">
        <v>17699</v>
      </c>
      <c r="R1287" t="s">
        <v>411</v>
      </c>
      <c r="S1287">
        <v>1658</v>
      </c>
    </row>
    <row r="1288" spans="1:19">
      <c r="A1288" t="s">
        <v>21</v>
      </c>
      <c r="B1288" t="s">
        <v>148</v>
      </c>
      <c r="C1288" t="s">
        <v>153</v>
      </c>
      <c r="D1288" t="s">
        <v>282</v>
      </c>
      <c r="E1288" t="s">
        <v>411</v>
      </c>
      <c r="F1288">
        <f>HYPERLINK("https://www.wikidata.org/wiki/Q33724121", "Q33724121")</f>
        <v>0</v>
      </c>
      <c r="G1288" t="s">
        <v>1355</v>
      </c>
      <c r="H1288" t="s">
        <v>6073</v>
      </c>
      <c r="I1288" t="s">
        <v>5528</v>
      </c>
      <c r="J1288" t="s">
        <v>12081</v>
      </c>
      <c r="K1288" t="s">
        <v>16484</v>
      </c>
      <c r="L1288">
        <f>HYPERLINK("https://www2.assemblee-nationale.fr/sycomore/fiche/(num_dept)/409", "409")</f>
        <v>0</v>
      </c>
      <c r="N1288">
        <f>HYPERLINK("https://www.wikidata.org/wiki/Q3270710", "Q3270710")</f>
        <v>0</v>
      </c>
      <c r="O1288" t="s">
        <v>20024</v>
      </c>
      <c r="P1288" t="s">
        <v>20417</v>
      </c>
      <c r="Q1288" t="s">
        <v>17699</v>
      </c>
      <c r="R1288" t="s">
        <v>411</v>
      </c>
      <c r="S1288">
        <v>1658</v>
      </c>
    </row>
    <row r="1289" spans="1:19">
      <c r="A1289" t="s">
        <v>21</v>
      </c>
      <c r="B1289" t="s">
        <v>148</v>
      </c>
      <c r="C1289" t="s">
        <v>153</v>
      </c>
      <c r="D1289" t="s">
        <v>282</v>
      </c>
      <c r="E1289" t="s">
        <v>411</v>
      </c>
      <c r="F1289">
        <f>HYPERLINK("https://www.wikidata.org/wiki/Q33724121", "Q33724121")</f>
        <v>0</v>
      </c>
      <c r="G1289" t="s">
        <v>1356</v>
      </c>
      <c r="H1289" t="s">
        <v>6074</v>
      </c>
      <c r="I1289" t="s">
        <v>9767</v>
      </c>
      <c r="J1289" t="s">
        <v>12082</v>
      </c>
      <c r="K1289" t="s">
        <v>16485</v>
      </c>
      <c r="L1289">
        <f>HYPERLINK("https://www2.assemblee-nationale.fr/sycomore/fiche/(num_dept)/414", "414")</f>
        <v>0</v>
      </c>
      <c r="N1289">
        <f>HYPERLINK("https://www.wikidata.org/wiki/Q8343781", "Q8343781")</f>
        <v>0</v>
      </c>
      <c r="O1289" t="s">
        <v>20039</v>
      </c>
      <c r="P1289" t="s">
        <v>20416</v>
      </c>
      <c r="Q1289" t="s">
        <v>17699</v>
      </c>
      <c r="R1289" t="s">
        <v>411</v>
      </c>
      <c r="S1289">
        <v>1658</v>
      </c>
    </row>
    <row r="1290" spans="1:19">
      <c r="A1290" t="s">
        <v>21</v>
      </c>
      <c r="B1290" t="s">
        <v>148</v>
      </c>
      <c r="C1290" t="s">
        <v>153</v>
      </c>
      <c r="D1290" t="s">
        <v>282</v>
      </c>
      <c r="E1290" t="s">
        <v>411</v>
      </c>
      <c r="F1290">
        <f>HYPERLINK("https://www.wikidata.org/wiki/Q33724121", "Q33724121")</f>
        <v>0</v>
      </c>
      <c r="G1290" t="s">
        <v>1357</v>
      </c>
      <c r="H1290" t="s">
        <v>6075</v>
      </c>
      <c r="I1290" t="s">
        <v>9768</v>
      </c>
      <c r="J1290" t="s">
        <v>12083</v>
      </c>
      <c r="K1290" t="s">
        <v>16486</v>
      </c>
      <c r="L1290">
        <f>HYPERLINK("https://www2.assemblee-nationale.fr/sycomore/fiche/(num_dept)/422", "422")</f>
        <v>0</v>
      </c>
      <c r="N1290">
        <f>HYPERLINK("https://www.wikidata.org/wiki/Q2958475", "Q2958475")</f>
        <v>0</v>
      </c>
      <c r="O1290" t="s">
        <v>20033</v>
      </c>
      <c r="P1290" t="s">
        <v>20404</v>
      </c>
      <c r="Q1290" t="s">
        <v>17699</v>
      </c>
      <c r="R1290" t="s">
        <v>411</v>
      </c>
      <c r="S1290">
        <v>1658</v>
      </c>
    </row>
    <row r="1291" spans="1:19">
      <c r="A1291" t="s">
        <v>21</v>
      </c>
      <c r="B1291" t="s">
        <v>148</v>
      </c>
      <c r="C1291" t="s">
        <v>153</v>
      </c>
      <c r="D1291" t="s">
        <v>282</v>
      </c>
      <c r="E1291" t="s">
        <v>411</v>
      </c>
      <c r="F1291">
        <f>HYPERLINK("https://www.wikidata.org/wiki/Q33724121", "Q33724121")</f>
        <v>0</v>
      </c>
      <c r="G1291" t="s">
        <v>510</v>
      </c>
      <c r="H1291" t="s">
        <v>5275</v>
      </c>
      <c r="I1291" t="s">
        <v>9380</v>
      </c>
      <c r="J1291" t="s">
        <v>11262</v>
      </c>
      <c r="K1291" t="s">
        <v>15662</v>
      </c>
      <c r="L1291">
        <f>HYPERLINK("https://www2.assemblee-nationale.fr/sycomore/fiche/(num_dept)/434", "434")</f>
        <v>0</v>
      </c>
      <c r="N1291">
        <f>HYPERLINK("https://www.wikidata.org/wiki/Q314957", "Q314957")</f>
        <v>0</v>
      </c>
      <c r="O1291" t="s">
        <v>19969</v>
      </c>
      <c r="P1291" t="s">
        <v>20416</v>
      </c>
      <c r="Q1291" t="s">
        <v>17699</v>
      </c>
      <c r="R1291" t="s">
        <v>15662</v>
      </c>
      <c r="S1291">
        <v>1479</v>
      </c>
    </row>
    <row r="1292" spans="1:19">
      <c r="A1292" t="s">
        <v>21</v>
      </c>
      <c r="B1292" t="s">
        <v>148</v>
      </c>
      <c r="C1292" t="s">
        <v>153</v>
      </c>
      <c r="D1292" t="s">
        <v>282</v>
      </c>
      <c r="E1292" t="s">
        <v>411</v>
      </c>
      <c r="F1292">
        <f>HYPERLINK("https://www.wikidata.org/wiki/Q33724121", "Q33724121")</f>
        <v>0</v>
      </c>
      <c r="G1292" t="s">
        <v>511</v>
      </c>
      <c r="H1292" t="s">
        <v>5276</v>
      </c>
      <c r="I1292" t="s">
        <v>9375</v>
      </c>
      <c r="J1292" t="s">
        <v>11263</v>
      </c>
      <c r="K1292" t="s">
        <v>15663</v>
      </c>
      <c r="L1292">
        <f>HYPERLINK("https://www2.assemblee-nationale.fr/sycomore/fiche/(num_dept)/442", "442")</f>
        <v>0</v>
      </c>
      <c r="N1292">
        <f>HYPERLINK("https://www.wikidata.org/wiki/Q3579735", "Q3579735")</f>
        <v>0</v>
      </c>
      <c r="O1292" t="s">
        <v>7411</v>
      </c>
      <c r="P1292" t="s">
        <v>20404</v>
      </c>
      <c r="Q1292" t="s">
        <v>17699</v>
      </c>
      <c r="R1292" t="s">
        <v>411</v>
      </c>
      <c r="S1292">
        <v>1658</v>
      </c>
    </row>
    <row r="1293" spans="1:19">
      <c r="A1293" t="s">
        <v>21</v>
      </c>
      <c r="B1293" t="s">
        <v>148</v>
      </c>
      <c r="C1293" t="s">
        <v>153</v>
      </c>
      <c r="D1293" t="s">
        <v>282</v>
      </c>
      <c r="E1293" t="s">
        <v>411</v>
      </c>
      <c r="F1293">
        <f>HYPERLINK("https://www.wikidata.org/wiki/Q33724121", "Q33724121")</f>
        <v>0</v>
      </c>
      <c r="G1293" t="s">
        <v>1358</v>
      </c>
      <c r="H1293" t="s">
        <v>6076</v>
      </c>
      <c r="I1293" t="s">
        <v>6175</v>
      </c>
      <c r="J1293" t="s">
        <v>12084</v>
      </c>
      <c r="K1293" t="s">
        <v>16487</v>
      </c>
      <c r="L1293">
        <f>HYPERLINK("https://www2.assemblee-nationale.fr/sycomore/fiche/(num_dept)/447", "447")</f>
        <v>0</v>
      </c>
      <c r="N1293">
        <f>HYPERLINK("https://www.wikidata.org/wiki/Q15973524", "Q15973524")</f>
        <v>0</v>
      </c>
      <c r="O1293" t="s">
        <v>19968</v>
      </c>
      <c r="P1293" t="s">
        <v>20404</v>
      </c>
      <c r="Q1293" t="s">
        <v>17699</v>
      </c>
      <c r="R1293" t="s">
        <v>411</v>
      </c>
      <c r="S1293">
        <v>1658</v>
      </c>
    </row>
    <row r="1294" spans="1:19">
      <c r="A1294" t="s">
        <v>21</v>
      </c>
      <c r="B1294" t="s">
        <v>148</v>
      </c>
      <c r="C1294" t="s">
        <v>153</v>
      </c>
      <c r="D1294" t="s">
        <v>282</v>
      </c>
      <c r="E1294" t="s">
        <v>411</v>
      </c>
      <c r="F1294">
        <f>HYPERLINK("https://www.wikidata.org/wiki/Q33724121", "Q33724121")</f>
        <v>0</v>
      </c>
      <c r="G1294" t="s">
        <v>1359</v>
      </c>
      <c r="H1294" t="s">
        <v>6076</v>
      </c>
      <c r="I1294" t="s">
        <v>9407</v>
      </c>
      <c r="J1294" t="s">
        <v>12085</v>
      </c>
      <c r="K1294" t="s">
        <v>16488</v>
      </c>
      <c r="L1294">
        <f>HYPERLINK("https://www2.assemblee-nationale.fr/sycomore/fiche/(num_dept)/448", "448")</f>
        <v>0</v>
      </c>
      <c r="N1294">
        <f>HYPERLINK("https://www.wikidata.org/wiki/Q3184567", "Q3184567")</f>
        <v>0</v>
      </c>
      <c r="O1294" t="s">
        <v>20003</v>
      </c>
      <c r="P1294" t="s">
        <v>20419</v>
      </c>
      <c r="Q1294" t="s">
        <v>17699</v>
      </c>
      <c r="R1294" t="s">
        <v>411</v>
      </c>
      <c r="S1294">
        <v>1658</v>
      </c>
    </row>
    <row r="1295" spans="1:19">
      <c r="A1295" t="s">
        <v>21</v>
      </c>
      <c r="B1295" t="s">
        <v>148</v>
      </c>
      <c r="C1295" t="s">
        <v>153</v>
      </c>
      <c r="D1295" t="s">
        <v>282</v>
      </c>
      <c r="E1295" t="s">
        <v>411</v>
      </c>
      <c r="F1295">
        <f>HYPERLINK("https://www.wikidata.org/wiki/Q33724121", "Q33724121")</f>
        <v>0</v>
      </c>
      <c r="G1295" t="s">
        <v>1360</v>
      </c>
      <c r="H1295" t="s">
        <v>6077</v>
      </c>
      <c r="I1295" t="s">
        <v>9476</v>
      </c>
      <c r="J1295" t="s">
        <v>12086</v>
      </c>
      <c r="K1295" t="s">
        <v>16489</v>
      </c>
      <c r="L1295">
        <f>HYPERLINK("https://www2.assemblee-nationale.fr/sycomore/fiche/(num_dept)/450", "450")</f>
        <v>0</v>
      </c>
      <c r="N1295">
        <f>HYPERLINK("https://www.wikidata.org/wiki/Q3425801", "Q3425801")</f>
        <v>0</v>
      </c>
      <c r="O1295" t="s">
        <v>20018</v>
      </c>
      <c r="P1295" t="s">
        <v>20416</v>
      </c>
      <c r="Q1295" t="s">
        <v>17699</v>
      </c>
      <c r="R1295" t="s">
        <v>411</v>
      </c>
      <c r="S1295">
        <v>1658</v>
      </c>
    </row>
    <row r="1296" spans="1:19">
      <c r="A1296" t="s">
        <v>21</v>
      </c>
      <c r="B1296" t="s">
        <v>148</v>
      </c>
      <c r="C1296" t="s">
        <v>153</v>
      </c>
      <c r="D1296" t="s">
        <v>282</v>
      </c>
      <c r="E1296" t="s">
        <v>411</v>
      </c>
      <c r="F1296">
        <f>HYPERLINK("https://www.wikidata.org/wiki/Q33724121", "Q33724121")</f>
        <v>0</v>
      </c>
      <c r="G1296" t="s">
        <v>512</v>
      </c>
      <c r="H1296" t="s">
        <v>5277</v>
      </c>
      <c r="I1296" t="s">
        <v>6495</v>
      </c>
      <c r="J1296" t="s">
        <v>11264</v>
      </c>
      <c r="K1296" t="s">
        <v>15664</v>
      </c>
      <c r="L1296">
        <f>HYPERLINK("https://www2.assemblee-nationale.fr/sycomore/fiche/(num_dept)/451", "451")</f>
        <v>0</v>
      </c>
      <c r="M1296">
        <f>HYPERLINK("https://www.senat.fr/senateur-3eme-republique/barthou_louis1071r3.html", "barthou_louis1071r3")</f>
        <v>0</v>
      </c>
      <c r="N1296">
        <f>HYPERLINK("https://www.wikidata.org/wiki/Q271887", "Q271887")</f>
        <v>0</v>
      </c>
      <c r="O1296" t="s">
        <v>19970</v>
      </c>
      <c r="P1296" t="s">
        <v>20417</v>
      </c>
      <c r="Q1296" t="s">
        <v>17699</v>
      </c>
      <c r="R1296" t="s">
        <v>21387</v>
      </c>
      <c r="S1296">
        <v>1073</v>
      </c>
    </row>
    <row r="1297" spans="1:19">
      <c r="A1297" t="s">
        <v>21</v>
      </c>
      <c r="B1297" t="s">
        <v>148</v>
      </c>
      <c r="C1297" t="s">
        <v>153</v>
      </c>
      <c r="D1297" t="s">
        <v>282</v>
      </c>
      <c r="E1297" t="s">
        <v>411</v>
      </c>
      <c r="F1297">
        <f>HYPERLINK("https://www.wikidata.org/wiki/Q33724121", "Q33724121")</f>
        <v>0</v>
      </c>
      <c r="G1297" t="s">
        <v>513</v>
      </c>
      <c r="H1297" t="s">
        <v>5278</v>
      </c>
      <c r="I1297" t="s">
        <v>9381</v>
      </c>
      <c r="J1297" t="s">
        <v>11265</v>
      </c>
      <c r="K1297" t="s">
        <v>15665</v>
      </c>
      <c r="L1297">
        <f>HYPERLINK("https://www2.assemblee-nationale.fr/sycomore/fiche/(num_dept)/462", "462")</f>
        <v>0</v>
      </c>
      <c r="N1297">
        <f>HYPERLINK("https://www.wikidata.org/wiki/Q3588329", "Q3588329")</f>
        <v>0</v>
      </c>
      <c r="O1297" t="s">
        <v>19968</v>
      </c>
      <c r="P1297" t="s">
        <v>20404</v>
      </c>
      <c r="Q1297" t="s">
        <v>17699</v>
      </c>
      <c r="R1297" t="s">
        <v>411</v>
      </c>
      <c r="S1297">
        <v>1658</v>
      </c>
    </row>
    <row r="1298" spans="1:19">
      <c r="A1298" t="s">
        <v>21</v>
      </c>
      <c r="B1298" t="s">
        <v>148</v>
      </c>
      <c r="C1298" t="s">
        <v>153</v>
      </c>
      <c r="D1298" t="s">
        <v>282</v>
      </c>
      <c r="E1298" t="s">
        <v>411</v>
      </c>
      <c r="F1298">
        <f>HYPERLINK("https://www.wikidata.org/wiki/Q33724121", "Q33724121")</f>
        <v>0</v>
      </c>
      <c r="G1298" t="s">
        <v>1361</v>
      </c>
      <c r="H1298" t="s">
        <v>6078</v>
      </c>
      <c r="I1298" t="s">
        <v>9769</v>
      </c>
      <c r="J1298" t="s">
        <v>12087</v>
      </c>
      <c r="K1298" t="s">
        <v>16490</v>
      </c>
      <c r="L1298">
        <f>HYPERLINK("https://www2.assemblee-nationale.fr/sycomore/fiche/(num_dept)/477", "477")</f>
        <v>0</v>
      </c>
      <c r="N1298">
        <f>HYPERLINK("https://www.wikidata.org/wiki/Q3557147", "Q3557147")</f>
        <v>0</v>
      </c>
      <c r="O1298" t="s">
        <v>19966</v>
      </c>
      <c r="P1298" t="s">
        <v>20417</v>
      </c>
      <c r="Q1298" t="s">
        <v>17699</v>
      </c>
      <c r="R1298" t="s">
        <v>411</v>
      </c>
      <c r="S1298">
        <v>1658</v>
      </c>
    </row>
    <row r="1299" spans="1:19">
      <c r="A1299" t="s">
        <v>21</v>
      </c>
      <c r="B1299" t="s">
        <v>148</v>
      </c>
      <c r="C1299" t="s">
        <v>153</v>
      </c>
      <c r="D1299" t="s">
        <v>282</v>
      </c>
      <c r="E1299" t="s">
        <v>411</v>
      </c>
      <c r="F1299">
        <f>HYPERLINK("https://www.wikidata.org/wiki/Q33724121", "Q33724121")</f>
        <v>0</v>
      </c>
      <c r="G1299" t="s">
        <v>1362</v>
      </c>
      <c r="H1299" t="s">
        <v>6079</v>
      </c>
      <c r="I1299" t="s">
        <v>9516</v>
      </c>
      <c r="J1299" t="s">
        <v>12088</v>
      </c>
      <c r="K1299" t="s">
        <v>16491</v>
      </c>
      <c r="L1299">
        <f>HYPERLINK("https://www2.assemblee-nationale.fr/sycomore/fiche/(num_dept)/485", "485")</f>
        <v>0</v>
      </c>
      <c r="N1299">
        <f>HYPERLINK("https://www.wikidata.org/wiki/Q3592057", "Q3592057")</f>
        <v>0</v>
      </c>
      <c r="O1299" t="s">
        <v>20001</v>
      </c>
      <c r="P1299" t="s">
        <v>20417</v>
      </c>
      <c r="Q1299" t="s">
        <v>17699</v>
      </c>
      <c r="R1299" t="s">
        <v>411</v>
      </c>
      <c r="S1299">
        <v>1658</v>
      </c>
    </row>
    <row r="1300" spans="1:19">
      <c r="A1300" t="s">
        <v>21</v>
      </c>
      <c r="B1300" t="s">
        <v>148</v>
      </c>
      <c r="C1300" t="s">
        <v>153</v>
      </c>
      <c r="D1300" t="s">
        <v>282</v>
      </c>
      <c r="E1300" t="s">
        <v>411</v>
      </c>
      <c r="F1300">
        <f>HYPERLINK("https://www.wikidata.org/wiki/Q33724121", "Q33724121")</f>
        <v>0</v>
      </c>
      <c r="G1300" t="s">
        <v>514</v>
      </c>
      <c r="H1300" t="s">
        <v>5279</v>
      </c>
      <c r="I1300" t="s">
        <v>9382</v>
      </c>
      <c r="J1300" t="s">
        <v>11266</v>
      </c>
      <c r="K1300" t="s">
        <v>15666</v>
      </c>
      <c r="L1300">
        <f>HYPERLINK("https://www2.assemblee-nationale.fr/sycomore/fiche/(num_dept)/488", "488")</f>
        <v>0</v>
      </c>
      <c r="M1300">
        <f>HYPERLINK("https://www.senat.fr/senateur-3eme-republique/baudet_charles0578r3.html", "baudet_charles0578r3")</f>
        <v>0</v>
      </c>
      <c r="N1300">
        <f>HYPERLINK("https://www.wikidata.org/wiki/Q2958489", "Q2958489")</f>
        <v>0</v>
      </c>
      <c r="O1300" t="s">
        <v>19964</v>
      </c>
      <c r="P1300" t="s">
        <v>20417</v>
      </c>
      <c r="Q1300" t="s">
        <v>17699</v>
      </c>
      <c r="R1300" t="s">
        <v>402</v>
      </c>
      <c r="S1300">
        <v>420</v>
      </c>
    </row>
    <row r="1301" spans="1:19">
      <c r="A1301" t="s">
        <v>21</v>
      </c>
      <c r="B1301" t="s">
        <v>148</v>
      </c>
      <c r="C1301" t="s">
        <v>153</v>
      </c>
      <c r="D1301" t="s">
        <v>282</v>
      </c>
      <c r="E1301" t="s">
        <v>411</v>
      </c>
      <c r="F1301">
        <f>HYPERLINK("https://www.wikidata.org/wiki/Q33724121", "Q33724121")</f>
        <v>0</v>
      </c>
      <c r="G1301" t="s">
        <v>1150</v>
      </c>
      <c r="H1301" t="s">
        <v>5885</v>
      </c>
      <c r="I1301" t="s">
        <v>7790</v>
      </c>
      <c r="J1301" t="s">
        <v>11884</v>
      </c>
      <c r="K1301" t="s">
        <v>16286</v>
      </c>
      <c r="L1301">
        <f>HYPERLINK("https://www2.assemblee-nationale.fr/sycomore/fiche/(num_dept)/500", "500")</f>
        <v>0</v>
      </c>
      <c r="M1301">
        <f>HYPERLINK("https://www.senat.fr/senateur-3eme-republique/de_baudry_d_asson_armand1755r3.html", "de_baudry_d_asson_armand1755r3")</f>
        <v>0</v>
      </c>
      <c r="N1301">
        <f>HYPERLINK("https://www.wikidata.org/wiki/Q2861799", "Q2861799")</f>
        <v>0</v>
      </c>
      <c r="O1301" t="s">
        <v>19972</v>
      </c>
      <c r="P1301" t="s">
        <v>20420</v>
      </c>
      <c r="Q1301" t="s">
        <v>17699</v>
      </c>
      <c r="R1301" t="s">
        <v>411</v>
      </c>
      <c r="S1301">
        <v>1658</v>
      </c>
    </row>
    <row r="1302" spans="1:19">
      <c r="A1302" t="s">
        <v>21</v>
      </c>
      <c r="B1302" t="s">
        <v>148</v>
      </c>
      <c r="C1302" t="s">
        <v>153</v>
      </c>
      <c r="D1302" t="s">
        <v>282</v>
      </c>
      <c r="E1302" t="s">
        <v>411</v>
      </c>
      <c r="F1302">
        <f>HYPERLINK("https://www.wikidata.org/wiki/Q33724121", "Q33724121")</f>
        <v>0</v>
      </c>
      <c r="G1302" t="s">
        <v>1363</v>
      </c>
      <c r="H1302" t="s">
        <v>6080</v>
      </c>
      <c r="I1302" t="s">
        <v>9770</v>
      </c>
      <c r="J1302" t="s">
        <v>12089</v>
      </c>
      <c r="K1302" t="s">
        <v>16492</v>
      </c>
      <c r="L1302">
        <f>HYPERLINK("https://www2.assemblee-nationale.fr/sycomore/fiche/(num_dept)/519", "519")</f>
        <v>0</v>
      </c>
      <c r="N1302">
        <f>HYPERLINK("https://www.wikidata.org/wiki/Q3142121", "Q3142121")</f>
        <v>0</v>
      </c>
      <c r="O1302" t="s">
        <v>20017</v>
      </c>
      <c r="P1302" t="s">
        <v>20416</v>
      </c>
      <c r="Q1302" t="s">
        <v>17699</v>
      </c>
      <c r="R1302" t="s">
        <v>411</v>
      </c>
      <c r="S1302">
        <v>1658</v>
      </c>
    </row>
    <row r="1303" spans="1:19">
      <c r="A1303" t="s">
        <v>21</v>
      </c>
      <c r="B1303" t="s">
        <v>148</v>
      </c>
      <c r="C1303" t="s">
        <v>153</v>
      </c>
      <c r="D1303" t="s">
        <v>282</v>
      </c>
      <c r="E1303" t="s">
        <v>411</v>
      </c>
      <c r="F1303">
        <f>HYPERLINK("https://www.wikidata.org/wiki/Q33724121", "Q33724121")</f>
        <v>0</v>
      </c>
      <c r="G1303" t="s">
        <v>1364</v>
      </c>
      <c r="H1303" t="s">
        <v>6081</v>
      </c>
      <c r="I1303" t="s">
        <v>9771</v>
      </c>
      <c r="J1303" t="s">
        <v>12090</v>
      </c>
      <c r="K1303" t="s">
        <v>16493</v>
      </c>
      <c r="L1303">
        <f>HYPERLINK("https://www2.assemblee-nationale.fr/sycomore/fiche/(num_dept)/524", "524")</f>
        <v>0</v>
      </c>
      <c r="N1303">
        <f>HYPERLINK("https://www.wikidata.org/wiki/Q16025472", "Q16025472")</f>
        <v>0</v>
      </c>
      <c r="O1303" t="s">
        <v>19972</v>
      </c>
      <c r="P1303" t="s">
        <v>20416</v>
      </c>
      <c r="Q1303" t="s">
        <v>17699</v>
      </c>
      <c r="R1303" t="s">
        <v>16493</v>
      </c>
      <c r="S1303">
        <v>1494</v>
      </c>
    </row>
    <row r="1304" spans="1:19">
      <c r="A1304" t="s">
        <v>21</v>
      </c>
      <c r="B1304" t="s">
        <v>148</v>
      </c>
      <c r="C1304" t="s">
        <v>153</v>
      </c>
      <c r="D1304" t="s">
        <v>282</v>
      </c>
      <c r="E1304" t="s">
        <v>411</v>
      </c>
      <c r="F1304">
        <f>HYPERLINK("https://www.wikidata.org/wiki/Q33724121", "Q33724121")</f>
        <v>0</v>
      </c>
      <c r="G1304" t="s">
        <v>1365</v>
      </c>
      <c r="H1304" t="s">
        <v>6082</v>
      </c>
      <c r="I1304" t="s">
        <v>9772</v>
      </c>
      <c r="J1304" t="s">
        <v>12091</v>
      </c>
      <c r="K1304" t="s">
        <v>16494</v>
      </c>
      <c r="L1304">
        <f>HYPERLINK("https://www2.assemblee-nationale.fr/sycomore/fiche/(num_dept)/580", "580")</f>
        <v>0</v>
      </c>
      <c r="N1304">
        <f>HYPERLINK("https://www.wikidata.org/wiki/Q15973579", "Q15973579")</f>
        <v>0</v>
      </c>
      <c r="O1304" t="s">
        <v>19962</v>
      </c>
      <c r="P1304" t="s">
        <v>20416</v>
      </c>
      <c r="Q1304" t="s">
        <v>17699</v>
      </c>
      <c r="R1304" t="s">
        <v>411</v>
      </c>
      <c r="S1304">
        <v>1658</v>
      </c>
    </row>
    <row r="1305" spans="1:19">
      <c r="A1305" t="s">
        <v>21</v>
      </c>
      <c r="B1305" t="s">
        <v>148</v>
      </c>
      <c r="C1305" t="s">
        <v>153</v>
      </c>
      <c r="D1305" t="s">
        <v>282</v>
      </c>
      <c r="E1305" t="s">
        <v>411</v>
      </c>
      <c r="F1305">
        <f>HYPERLINK("https://www.wikidata.org/wiki/Q33724121", "Q33724121")</f>
        <v>0</v>
      </c>
      <c r="G1305" t="s">
        <v>1366</v>
      </c>
      <c r="H1305" t="s">
        <v>6083</v>
      </c>
      <c r="I1305" t="s">
        <v>9385</v>
      </c>
      <c r="J1305" t="s">
        <v>12092</v>
      </c>
      <c r="K1305" t="s">
        <v>16495</v>
      </c>
      <c r="L1305">
        <f>HYPERLINK("https://www2.assemblee-nationale.fr/sycomore/fiche/(num_dept)/589", "589")</f>
        <v>0</v>
      </c>
      <c r="N1305">
        <f>HYPERLINK("https://www.wikidata.org/wiki/Q15973603", "Q15973603")</f>
        <v>0</v>
      </c>
      <c r="O1305" t="s">
        <v>20016</v>
      </c>
      <c r="P1305" t="s">
        <v>20416</v>
      </c>
      <c r="Q1305" t="s">
        <v>17699</v>
      </c>
      <c r="R1305" t="s">
        <v>411</v>
      </c>
      <c r="S1305">
        <v>1658</v>
      </c>
    </row>
    <row r="1306" spans="1:19">
      <c r="A1306" t="s">
        <v>21</v>
      </c>
      <c r="B1306" t="s">
        <v>148</v>
      </c>
      <c r="C1306" t="s">
        <v>153</v>
      </c>
      <c r="D1306" t="s">
        <v>282</v>
      </c>
      <c r="E1306" t="s">
        <v>411</v>
      </c>
      <c r="F1306">
        <f>HYPERLINK("https://www.wikidata.org/wiki/Q33724121", "Q33724121")</f>
        <v>0</v>
      </c>
      <c r="G1306" t="s">
        <v>520</v>
      </c>
      <c r="H1306" t="s">
        <v>5284</v>
      </c>
      <c r="I1306" t="s">
        <v>9388</v>
      </c>
      <c r="J1306" t="s">
        <v>11272</v>
      </c>
      <c r="K1306" t="s">
        <v>15672</v>
      </c>
      <c r="L1306">
        <f>HYPERLINK("https://www2.assemblee-nationale.fr/sycomore/fiche/(num_dept)/608", "608")</f>
        <v>0</v>
      </c>
      <c r="M1306">
        <f>HYPERLINK("https://www.senat.fr/senateur-3eme-republique/benazet_paul_louis0281r3.html", "benazet_paul_louis0281r3")</f>
        <v>0</v>
      </c>
      <c r="N1306">
        <f>HYPERLINK("https://www.wikidata.org/wiki/Q3370779", "Q3370779")</f>
        <v>0</v>
      </c>
      <c r="O1306" t="s">
        <v>19975</v>
      </c>
      <c r="P1306" t="s">
        <v>20417</v>
      </c>
      <c r="Q1306" t="s">
        <v>17699</v>
      </c>
      <c r="R1306" t="s">
        <v>411</v>
      </c>
      <c r="S1306">
        <v>1658</v>
      </c>
    </row>
    <row r="1307" spans="1:19">
      <c r="A1307" t="s">
        <v>21</v>
      </c>
      <c r="B1307" t="s">
        <v>148</v>
      </c>
      <c r="C1307" t="s">
        <v>153</v>
      </c>
      <c r="D1307" t="s">
        <v>282</v>
      </c>
      <c r="E1307" t="s">
        <v>411</v>
      </c>
      <c r="F1307">
        <f>HYPERLINK("https://www.wikidata.org/wiki/Q33724121", "Q33724121")</f>
        <v>0</v>
      </c>
      <c r="G1307" t="s">
        <v>522</v>
      </c>
      <c r="H1307" t="s">
        <v>5286</v>
      </c>
      <c r="I1307" t="s">
        <v>9390</v>
      </c>
      <c r="J1307" t="s">
        <v>11274</v>
      </c>
      <c r="K1307" t="s">
        <v>15674</v>
      </c>
      <c r="L1307">
        <f>HYPERLINK("https://www2.assemblee-nationale.fr/sycomore/fiche/(num_dept)/650", "650")</f>
        <v>0</v>
      </c>
      <c r="M1307">
        <f>HYPERLINK("https://www.senat.fr/senateur-3eme-republique/berard_leon1053r3.html", "berard_leon1053r3")</f>
        <v>0</v>
      </c>
      <c r="N1307">
        <f>HYPERLINK("https://www.wikidata.org/wiki/Q716823", "Q716823")</f>
        <v>0</v>
      </c>
      <c r="O1307" t="s">
        <v>19970</v>
      </c>
      <c r="P1307" t="s">
        <v>20417</v>
      </c>
      <c r="Q1307" t="s">
        <v>17699</v>
      </c>
      <c r="R1307" t="s">
        <v>411</v>
      </c>
      <c r="S1307">
        <v>1658</v>
      </c>
    </row>
    <row r="1308" spans="1:19">
      <c r="A1308" t="s">
        <v>21</v>
      </c>
      <c r="B1308" t="s">
        <v>148</v>
      </c>
      <c r="C1308" t="s">
        <v>153</v>
      </c>
      <c r="D1308" t="s">
        <v>282</v>
      </c>
      <c r="E1308" t="s">
        <v>411</v>
      </c>
      <c r="F1308">
        <f>HYPERLINK("https://www.wikidata.org/wiki/Q33724121", "Q33724121")</f>
        <v>0</v>
      </c>
      <c r="G1308" t="s">
        <v>1219</v>
      </c>
      <c r="H1308" t="s">
        <v>5946</v>
      </c>
      <c r="I1308" t="s">
        <v>9710</v>
      </c>
      <c r="J1308" t="s">
        <v>11951</v>
      </c>
      <c r="K1308" t="s">
        <v>16353</v>
      </c>
      <c r="L1308">
        <f>HYPERLINK("https://www2.assemblee-nationale.fr/sycomore/fiche/(num_dept)/668", "668")</f>
        <v>0</v>
      </c>
      <c r="M1308">
        <f>HYPERLINK("https://www.senat.fr/senateur-3eme-republique/berger_pierre0378r3.html", "berger_pierre0378r3")</f>
        <v>0</v>
      </c>
      <c r="N1308">
        <f>HYPERLINK("https://www.wikidata.org/wiki/Q3383934", "Q3383934")</f>
        <v>0</v>
      </c>
      <c r="O1308" t="s">
        <v>20039</v>
      </c>
      <c r="Q1308" t="s">
        <v>17699</v>
      </c>
      <c r="R1308" t="s">
        <v>21388</v>
      </c>
      <c r="S1308">
        <v>67</v>
      </c>
    </row>
    <row r="1309" spans="1:19">
      <c r="A1309" t="s">
        <v>21</v>
      </c>
      <c r="B1309" t="s">
        <v>148</v>
      </c>
      <c r="C1309" t="s">
        <v>153</v>
      </c>
      <c r="D1309" t="s">
        <v>282</v>
      </c>
      <c r="E1309" t="s">
        <v>411</v>
      </c>
      <c r="F1309">
        <f>HYPERLINK("https://www.wikidata.org/wiki/Q33724121", "Q33724121")</f>
        <v>0</v>
      </c>
      <c r="G1309" t="s">
        <v>1367</v>
      </c>
      <c r="H1309" t="s">
        <v>6084</v>
      </c>
      <c r="I1309" t="s">
        <v>9773</v>
      </c>
      <c r="J1309" t="s">
        <v>12093</v>
      </c>
      <c r="K1309" t="s">
        <v>16496</v>
      </c>
      <c r="L1309">
        <f>HYPERLINK("https://www2.assemblee-nationale.fr/sycomore/fiche/(num_dept)/678", "678")</f>
        <v>0</v>
      </c>
      <c r="N1309">
        <f>HYPERLINK("https://www.wikidata.org/wiki/Q15973666", "Q15973666")</f>
        <v>0</v>
      </c>
      <c r="O1309" t="s">
        <v>19972</v>
      </c>
      <c r="P1309" t="s">
        <v>20420</v>
      </c>
      <c r="Q1309" t="s">
        <v>17699</v>
      </c>
      <c r="R1309" t="s">
        <v>411</v>
      </c>
      <c r="S1309">
        <v>1658</v>
      </c>
    </row>
    <row r="1310" spans="1:19">
      <c r="A1310" t="s">
        <v>21</v>
      </c>
      <c r="B1310" t="s">
        <v>148</v>
      </c>
      <c r="C1310" t="s">
        <v>153</v>
      </c>
      <c r="D1310" t="s">
        <v>282</v>
      </c>
      <c r="E1310" t="s">
        <v>411</v>
      </c>
      <c r="F1310">
        <f>HYPERLINK("https://www.wikidata.org/wiki/Q33724121", "Q33724121")</f>
        <v>0</v>
      </c>
      <c r="G1310" t="s">
        <v>1368</v>
      </c>
      <c r="H1310" t="s">
        <v>5948</v>
      </c>
      <c r="I1310" t="s">
        <v>9774</v>
      </c>
      <c r="J1310" t="s">
        <v>12094</v>
      </c>
      <c r="K1310" t="s">
        <v>16497</v>
      </c>
      <c r="L1310">
        <f>HYPERLINK("https://www2.assemblee-nationale.fr/sycomore/fiche/(num_dept)/680", "680")</f>
        <v>0</v>
      </c>
      <c r="N1310">
        <f>HYPERLINK("https://www.wikidata.org/wiki/Q15973658", "Q15973658")</f>
        <v>0</v>
      </c>
      <c r="O1310" t="s">
        <v>19968</v>
      </c>
      <c r="P1310" t="s">
        <v>20404</v>
      </c>
      <c r="Q1310" t="s">
        <v>17699</v>
      </c>
      <c r="R1310" t="s">
        <v>411</v>
      </c>
      <c r="S1310">
        <v>1658</v>
      </c>
    </row>
    <row r="1311" spans="1:19">
      <c r="A1311" t="s">
        <v>21</v>
      </c>
      <c r="B1311" t="s">
        <v>148</v>
      </c>
      <c r="C1311" t="s">
        <v>153</v>
      </c>
      <c r="D1311" t="s">
        <v>282</v>
      </c>
      <c r="E1311" t="s">
        <v>411</v>
      </c>
      <c r="F1311">
        <f>HYPERLINK("https://www.wikidata.org/wiki/Q33724121", "Q33724121")</f>
        <v>0</v>
      </c>
      <c r="G1311" t="s">
        <v>1220</v>
      </c>
      <c r="H1311" t="s">
        <v>5947</v>
      </c>
      <c r="I1311" t="s">
        <v>9711</v>
      </c>
      <c r="J1311" t="s">
        <v>11952</v>
      </c>
      <c r="K1311" t="s">
        <v>16354</v>
      </c>
      <c r="L1311">
        <f>HYPERLINK("https://www2.assemblee-nationale.fr/sycomore/fiche/(num_dept)/681", "681")</f>
        <v>0</v>
      </c>
      <c r="N1311">
        <f>HYPERLINK("https://www.wikidata.org/wiki/Q13080822", "Q13080822")</f>
        <v>0</v>
      </c>
      <c r="O1311" t="s">
        <v>19969</v>
      </c>
      <c r="P1311" t="s">
        <v>20409</v>
      </c>
      <c r="Q1311" t="s">
        <v>17699</v>
      </c>
      <c r="R1311" t="s">
        <v>411</v>
      </c>
      <c r="S1311">
        <v>1658</v>
      </c>
    </row>
    <row r="1312" spans="1:19">
      <c r="A1312" t="s">
        <v>21</v>
      </c>
      <c r="B1312" t="s">
        <v>148</v>
      </c>
      <c r="C1312" t="s">
        <v>153</v>
      </c>
      <c r="D1312" t="s">
        <v>282</v>
      </c>
      <c r="E1312" t="s">
        <v>411</v>
      </c>
      <c r="F1312">
        <f>HYPERLINK("https://www.wikidata.org/wiki/Q33724121", "Q33724121")</f>
        <v>0</v>
      </c>
      <c r="G1312" t="s">
        <v>1369</v>
      </c>
      <c r="H1312" t="s">
        <v>6085</v>
      </c>
      <c r="I1312" t="s">
        <v>9775</v>
      </c>
      <c r="J1312" t="s">
        <v>12095</v>
      </c>
      <c r="K1312" t="s">
        <v>16498</v>
      </c>
      <c r="L1312">
        <f>HYPERLINK("https://www2.assemblee-nationale.fr/sycomore/fiche/(num_dept)/706", "706")</f>
        <v>0</v>
      </c>
      <c r="N1312">
        <f>HYPERLINK("https://www.wikidata.org/wiki/Q8308256", "Q8308256")</f>
        <v>0</v>
      </c>
      <c r="O1312" t="s">
        <v>19986</v>
      </c>
      <c r="P1312" t="s">
        <v>20416</v>
      </c>
      <c r="Q1312" t="s">
        <v>17699</v>
      </c>
      <c r="R1312" t="s">
        <v>411</v>
      </c>
      <c r="S1312">
        <v>1658</v>
      </c>
    </row>
    <row r="1313" spans="1:19">
      <c r="A1313" t="s">
        <v>21</v>
      </c>
      <c r="B1313" t="s">
        <v>148</v>
      </c>
      <c r="C1313" t="s">
        <v>153</v>
      </c>
      <c r="D1313" t="s">
        <v>282</v>
      </c>
      <c r="E1313" t="s">
        <v>411</v>
      </c>
      <c r="F1313">
        <f>HYPERLINK("https://www.wikidata.org/wiki/Q33724121", "Q33724121")</f>
        <v>0</v>
      </c>
      <c r="G1313" t="s">
        <v>1370</v>
      </c>
      <c r="H1313" t="s">
        <v>6085</v>
      </c>
      <c r="I1313" t="s">
        <v>9776</v>
      </c>
      <c r="J1313" t="s">
        <v>12096</v>
      </c>
      <c r="K1313" t="s">
        <v>16499</v>
      </c>
      <c r="L1313">
        <f>HYPERLINK("https://www2.assemblee-nationale.fr/sycomore/fiche/(num_dept)/707", "707")</f>
        <v>0</v>
      </c>
      <c r="N1313">
        <f>HYPERLINK("https://www.wikidata.org/wiki/Q3370622", "Q3370622")</f>
        <v>0</v>
      </c>
      <c r="O1313" t="s">
        <v>20008</v>
      </c>
      <c r="P1313" t="s">
        <v>20418</v>
      </c>
      <c r="Q1313" t="s">
        <v>17699</v>
      </c>
      <c r="R1313" t="s">
        <v>411</v>
      </c>
      <c r="S1313">
        <v>1658</v>
      </c>
    </row>
    <row r="1314" spans="1:19">
      <c r="A1314" t="s">
        <v>21</v>
      </c>
      <c r="B1314" t="s">
        <v>148</v>
      </c>
      <c r="C1314" t="s">
        <v>153</v>
      </c>
      <c r="D1314" t="s">
        <v>282</v>
      </c>
      <c r="E1314" t="s">
        <v>411</v>
      </c>
      <c r="F1314">
        <f>HYPERLINK("https://www.wikidata.org/wiki/Q33724121", "Q33724121")</f>
        <v>0</v>
      </c>
      <c r="G1314" t="s">
        <v>1371</v>
      </c>
      <c r="H1314" t="s">
        <v>6086</v>
      </c>
      <c r="I1314" t="s">
        <v>9777</v>
      </c>
      <c r="J1314" t="s">
        <v>12097</v>
      </c>
      <c r="K1314" t="s">
        <v>16500</v>
      </c>
      <c r="L1314">
        <f>HYPERLINK("https://www2.assemblee-nationale.fr/sycomore/fiche/(num_dept)/712", "712")</f>
        <v>0</v>
      </c>
      <c r="N1314">
        <f>HYPERLINK("https://www.wikidata.org/wiki/Q15973637", "Q15973637")</f>
        <v>0</v>
      </c>
      <c r="O1314" t="s">
        <v>19968</v>
      </c>
      <c r="P1314" t="s">
        <v>20418</v>
      </c>
      <c r="Q1314" t="s">
        <v>17699</v>
      </c>
      <c r="R1314" t="s">
        <v>411</v>
      </c>
      <c r="S1314">
        <v>1658</v>
      </c>
    </row>
    <row r="1315" spans="1:19">
      <c r="A1315" t="s">
        <v>21</v>
      </c>
      <c r="B1315" t="s">
        <v>148</v>
      </c>
      <c r="C1315" t="s">
        <v>153</v>
      </c>
      <c r="D1315" t="s">
        <v>282</v>
      </c>
      <c r="E1315" t="s">
        <v>411</v>
      </c>
      <c r="F1315">
        <f>HYPERLINK("https://www.wikidata.org/wiki/Q33724121", "Q33724121")</f>
        <v>0</v>
      </c>
      <c r="G1315" t="s">
        <v>1372</v>
      </c>
      <c r="H1315" t="s">
        <v>6087</v>
      </c>
      <c r="I1315" t="s">
        <v>9778</v>
      </c>
      <c r="J1315" t="s">
        <v>12098</v>
      </c>
      <c r="K1315" t="s">
        <v>16501</v>
      </c>
      <c r="L1315">
        <f>HYPERLINK("https://www2.assemblee-nationale.fr/sycomore/fiche/(num_dept)/721", "721")</f>
        <v>0</v>
      </c>
      <c r="N1315">
        <f>HYPERLINK("https://www.wikidata.org/wiki/Q8343134", "Q8343134")</f>
        <v>0</v>
      </c>
      <c r="O1315" t="s">
        <v>8449</v>
      </c>
      <c r="P1315" t="s">
        <v>20418</v>
      </c>
      <c r="Q1315" t="s">
        <v>17699</v>
      </c>
      <c r="R1315" t="s">
        <v>411</v>
      </c>
      <c r="S1315">
        <v>1658</v>
      </c>
    </row>
    <row r="1316" spans="1:19">
      <c r="A1316" t="s">
        <v>21</v>
      </c>
      <c r="B1316" t="s">
        <v>148</v>
      </c>
      <c r="C1316" t="s">
        <v>153</v>
      </c>
      <c r="D1316" t="s">
        <v>282</v>
      </c>
      <c r="E1316" t="s">
        <v>411</v>
      </c>
      <c r="F1316">
        <f>HYPERLINK("https://www.wikidata.org/wiki/Q33724121", "Q33724121")</f>
        <v>0</v>
      </c>
      <c r="G1316" t="s">
        <v>1373</v>
      </c>
      <c r="H1316" t="s">
        <v>5949</v>
      </c>
      <c r="I1316" t="s">
        <v>9779</v>
      </c>
      <c r="J1316" t="s">
        <v>12099</v>
      </c>
      <c r="K1316" t="s">
        <v>16502</v>
      </c>
      <c r="L1316">
        <f>HYPERLINK("https://www2.assemblee-nationale.fr/sycomore/fiche/(num_dept)/735", "735")</f>
        <v>0</v>
      </c>
      <c r="N1316">
        <f>HYPERLINK("https://www.wikidata.org/wiki/Q13080806", "Q13080806")</f>
        <v>0</v>
      </c>
      <c r="O1316" t="s">
        <v>19969</v>
      </c>
      <c r="P1316" t="s">
        <v>20404</v>
      </c>
      <c r="Q1316" t="s">
        <v>17699</v>
      </c>
      <c r="R1316" t="s">
        <v>411</v>
      </c>
      <c r="S1316">
        <v>1658</v>
      </c>
    </row>
    <row r="1317" spans="1:19">
      <c r="A1317" t="s">
        <v>21</v>
      </c>
      <c r="B1317" t="s">
        <v>148</v>
      </c>
      <c r="C1317" t="s">
        <v>153</v>
      </c>
      <c r="D1317" t="s">
        <v>282</v>
      </c>
      <c r="E1317" t="s">
        <v>411</v>
      </c>
      <c r="F1317">
        <f>HYPERLINK("https://www.wikidata.org/wiki/Q33724121", "Q33724121")</f>
        <v>0</v>
      </c>
      <c r="G1317" t="s">
        <v>1374</v>
      </c>
      <c r="H1317" t="s">
        <v>5630</v>
      </c>
      <c r="I1317" t="s">
        <v>9780</v>
      </c>
      <c r="J1317" t="s">
        <v>12100</v>
      </c>
      <c r="K1317" t="s">
        <v>16503</v>
      </c>
      <c r="L1317">
        <f>HYPERLINK("https://www2.assemblee-nationale.fr/sycomore/fiche/(num_dept)/741", "741")</f>
        <v>0</v>
      </c>
      <c r="N1317">
        <f>HYPERLINK("https://www.wikidata.org/wiki/Q13080824", "Q13080824")</f>
        <v>0</v>
      </c>
      <c r="O1317" t="s">
        <v>19969</v>
      </c>
      <c r="P1317" t="s">
        <v>20419</v>
      </c>
      <c r="Q1317" t="s">
        <v>17699</v>
      </c>
      <c r="R1317" t="s">
        <v>411</v>
      </c>
      <c r="S1317">
        <v>1658</v>
      </c>
    </row>
    <row r="1318" spans="1:19">
      <c r="A1318" t="s">
        <v>21</v>
      </c>
      <c r="B1318" t="s">
        <v>148</v>
      </c>
      <c r="C1318" t="s">
        <v>153</v>
      </c>
      <c r="D1318" t="s">
        <v>282</v>
      </c>
      <c r="E1318" t="s">
        <v>411</v>
      </c>
      <c r="F1318">
        <f>HYPERLINK("https://www.wikidata.org/wiki/Q33724121", "Q33724121")</f>
        <v>0</v>
      </c>
      <c r="G1318" t="s">
        <v>1375</v>
      </c>
      <c r="H1318" t="s">
        <v>5630</v>
      </c>
      <c r="I1318" t="s">
        <v>9781</v>
      </c>
      <c r="J1318" t="s">
        <v>12101</v>
      </c>
      <c r="K1318" t="s">
        <v>16114</v>
      </c>
      <c r="L1318">
        <f>HYPERLINK("https://www2.assemblee-nationale.fr/sycomore/fiche/(num_dept)/744", "744")</f>
        <v>0</v>
      </c>
      <c r="N1318">
        <f>HYPERLINK("https://www.wikidata.org/wiki/Q16647483", "Q16647483")</f>
        <v>0</v>
      </c>
      <c r="O1318" t="s">
        <v>20037</v>
      </c>
      <c r="P1318" t="s">
        <v>20416</v>
      </c>
      <c r="Q1318" t="s">
        <v>17699</v>
      </c>
      <c r="R1318" t="s">
        <v>411</v>
      </c>
      <c r="S1318">
        <v>1658</v>
      </c>
    </row>
    <row r="1319" spans="1:19">
      <c r="A1319" t="s">
        <v>21</v>
      </c>
      <c r="B1319" t="s">
        <v>148</v>
      </c>
      <c r="C1319" t="s">
        <v>153</v>
      </c>
      <c r="D1319" t="s">
        <v>282</v>
      </c>
      <c r="E1319" t="s">
        <v>411</v>
      </c>
      <c r="F1319">
        <f>HYPERLINK("https://www.wikidata.org/wiki/Q33724121", "Q33724121")</f>
        <v>0</v>
      </c>
      <c r="G1319" t="s">
        <v>1376</v>
      </c>
      <c r="H1319" t="s">
        <v>6088</v>
      </c>
      <c r="I1319" t="s">
        <v>9535</v>
      </c>
      <c r="J1319" t="s">
        <v>12102</v>
      </c>
      <c r="K1319" t="s">
        <v>16504</v>
      </c>
      <c r="L1319">
        <f>HYPERLINK("https://www2.assemblee-nationale.fr/sycomore/fiche/(num_dept)/763", "763")</f>
        <v>0</v>
      </c>
      <c r="N1319">
        <f>HYPERLINK("https://www.wikidata.org/wiki/Q3189366", "Q3189366")</f>
        <v>0</v>
      </c>
      <c r="O1319" t="s">
        <v>19980</v>
      </c>
      <c r="P1319" t="s">
        <v>20419</v>
      </c>
      <c r="Q1319" t="s">
        <v>17699</v>
      </c>
      <c r="R1319" t="s">
        <v>411</v>
      </c>
      <c r="S1319">
        <v>1658</v>
      </c>
    </row>
    <row r="1320" spans="1:19">
      <c r="A1320" t="s">
        <v>21</v>
      </c>
      <c r="B1320" t="s">
        <v>148</v>
      </c>
      <c r="C1320" t="s">
        <v>153</v>
      </c>
      <c r="D1320" t="s">
        <v>282</v>
      </c>
      <c r="E1320" t="s">
        <v>411</v>
      </c>
      <c r="F1320">
        <f>HYPERLINK("https://www.wikidata.org/wiki/Q33724121", "Q33724121")</f>
        <v>0</v>
      </c>
      <c r="G1320" t="s">
        <v>526</v>
      </c>
      <c r="H1320" t="s">
        <v>5290</v>
      </c>
      <c r="I1320" t="s">
        <v>5528</v>
      </c>
      <c r="J1320" t="s">
        <v>11278</v>
      </c>
      <c r="K1320" t="s">
        <v>15678</v>
      </c>
      <c r="L1320">
        <f>HYPERLINK("https://www2.assemblee-nationale.fr/sycomore/fiche/(num_dept)/768", "768")</f>
        <v>0</v>
      </c>
      <c r="M1320">
        <f>HYPERLINK("https://www.senat.fr/senateur-3eme-republique/betoulle_leon1788r3.html", "betoulle_leon1788r3")</f>
        <v>0</v>
      </c>
      <c r="N1320">
        <f>HYPERLINK("https://www.wikidata.org/wiki/Q3270743", "Q3270743")</f>
        <v>0</v>
      </c>
      <c r="O1320" t="s">
        <v>19977</v>
      </c>
      <c r="P1320" t="s">
        <v>20404</v>
      </c>
      <c r="Q1320" t="s">
        <v>17699</v>
      </c>
      <c r="R1320" t="s">
        <v>411</v>
      </c>
      <c r="S1320">
        <v>1658</v>
      </c>
    </row>
    <row r="1321" spans="1:19">
      <c r="A1321" t="s">
        <v>21</v>
      </c>
      <c r="B1321" t="s">
        <v>148</v>
      </c>
      <c r="C1321" t="s">
        <v>153</v>
      </c>
      <c r="D1321" t="s">
        <v>282</v>
      </c>
      <c r="E1321" t="s">
        <v>411</v>
      </c>
      <c r="F1321">
        <f>HYPERLINK("https://www.wikidata.org/wiki/Q33724121", "Q33724121")</f>
        <v>0</v>
      </c>
      <c r="G1321" t="s">
        <v>528</v>
      </c>
      <c r="H1321" t="s">
        <v>5292</v>
      </c>
      <c r="I1321" t="s">
        <v>9388</v>
      </c>
      <c r="J1321" t="s">
        <v>11280</v>
      </c>
      <c r="K1321" t="s">
        <v>15680</v>
      </c>
      <c r="L1321">
        <f>HYPERLINK("https://www2.assemblee-nationale.fr/sycomore/fiche/(num_dept)/799", "799")</f>
        <v>0</v>
      </c>
      <c r="M1321">
        <f>HYPERLINK("https://www.senat.fr/senateur-3eme-republique/bignon_paul1577r3.html", "bignon_paul1577r3")</f>
        <v>0</v>
      </c>
      <c r="N1321">
        <f>HYPERLINK("https://www.wikidata.org/wiki/Q3370646", "Q3370646")</f>
        <v>0</v>
      </c>
      <c r="O1321" t="s">
        <v>19978</v>
      </c>
      <c r="P1321" t="s">
        <v>20412</v>
      </c>
      <c r="Q1321" t="s">
        <v>17699</v>
      </c>
      <c r="R1321" t="s">
        <v>411</v>
      </c>
      <c r="S1321">
        <v>1658</v>
      </c>
    </row>
    <row r="1322" spans="1:19">
      <c r="A1322" t="s">
        <v>21</v>
      </c>
      <c r="B1322" t="s">
        <v>148</v>
      </c>
      <c r="C1322" t="s">
        <v>153</v>
      </c>
      <c r="D1322" t="s">
        <v>282</v>
      </c>
      <c r="E1322" t="s">
        <v>411</v>
      </c>
      <c r="F1322">
        <f>HYPERLINK("https://www.wikidata.org/wiki/Q33724121", "Q33724121")</f>
        <v>0</v>
      </c>
      <c r="G1322" t="s">
        <v>1377</v>
      </c>
      <c r="H1322" t="s">
        <v>6089</v>
      </c>
      <c r="I1322" t="s">
        <v>9506</v>
      </c>
      <c r="J1322" t="s">
        <v>12103</v>
      </c>
      <c r="K1322" t="s">
        <v>16505</v>
      </c>
      <c r="L1322">
        <f>HYPERLINK("https://www2.assemblee-nationale.fr/sycomore/fiche/(num_dept)/802", "802")</f>
        <v>0</v>
      </c>
      <c r="N1322">
        <f>HYPERLINK("https://www.wikidata.org/wiki/Q2934858", "Q2934858")</f>
        <v>0</v>
      </c>
      <c r="O1322" t="s">
        <v>20049</v>
      </c>
      <c r="P1322" t="s">
        <v>20416</v>
      </c>
      <c r="Q1322" t="s">
        <v>17699</v>
      </c>
      <c r="R1322" t="s">
        <v>411</v>
      </c>
      <c r="S1322">
        <v>1658</v>
      </c>
    </row>
    <row r="1323" spans="1:19">
      <c r="A1323" t="s">
        <v>21</v>
      </c>
      <c r="B1323" t="s">
        <v>148</v>
      </c>
      <c r="C1323" t="s">
        <v>153</v>
      </c>
      <c r="D1323" t="s">
        <v>282</v>
      </c>
      <c r="E1323" t="s">
        <v>411</v>
      </c>
      <c r="F1323">
        <f>HYPERLINK("https://www.wikidata.org/wiki/Q33724121", "Q33724121")</f>
        <v>0</v>
      </c>
      <c r="G1323" t="s">
        <v>529</v>
      </c>
      <c r="H1323" t="s">
        <v>5293</v>
      </c>
      <c r="I1323" t="s">
        <v>9394</v>
      </c>
      <c r="J1323" t="s">
        <v>11281</v>
      </c>
      <c r="K1323" t="s">
        <v>15681</v>
      </c>
      <c r="L1323">
        <f>HYPERLINK("https://www2.assemblee-nationale.fr/sycomore/fiche/(num_dept)/817", "817")</f>
        <v>0</v>
      </c>
      <c r="N1323">
        <f>HYPERLINK("https://www.wikidata.org/wiki/Q3300423", "Q3300423")</f>
        <v>0</v>
      </c>
      <c r="O1323" t="s">
        <v>19969</v>
      </c>
      <c r="P1323" t="s">
        <v>20409</v>
      </c>
      <c r="Q1323" t="s">
        <v>17699</v>
      </c>
      <c r="R1323" t="s">
        <v>411</v>
      </c>
      <c r="S1323">
        <v>1658</v>
      </c>
    </row>
    <row r="1324" spans="1:19">
      <c r="A1324" t="s">
        <v>21</v>
      </c>
      <c r="B1324" t="s">
        <v>148</v>
      </c>
      <c r="C1324" t="s">
        <v>153</v>
      </c>
      <c r="D1324" t="s">
        <v>282</v>
      </c>
      <c r="E1324" t="s">
        <v>411</v>
      </c>
      <c r="F1324">
        <f>HYPERLINK("https://www.wikidata.org/wiki/Q33724121", "Q33724121")</f>
        <v>0</v>
      </c>
      <c r="G1324" t="s">
        <v>530</v>
      </c>
      <c r="H1324" t="s">
        <v>5294</v>
      </c>
      <c r="I1324" t="s">
        <v>6166</v>
      </c>
      <c r="J1324" t="s">
        <v>11282</v>
      </c>
      <c r="K1324" t="s">
        <v>15682</v>
      </c>
      <c r="L1324">
        <f>HYPERLINK("https://www2.assemblee-nationale.fr/sycomore/fiche/(num_dept)/818", "818")</f>
        <v>0</v>
      </c>
      <c r="M1324">
        <f>HYPERLINK("https://www.senat.fr/senateur-3eme-republique/binet_francois0648r3.html", "binet_francois0648r3")</f>
        <v>0</v>
      </c>
      <c r="N1324">
        <f>HYPERLINK("https://www.wikidata.org/wiki/Q15973693", "Q15973693")</f>
        <v>0</v>
      </c>
      <c r="O1324" t="s">
        <v>19979</v>
      </c>
      <c r="P1324" t="s">
        <v>20418</v>
      </c>
      <c r="Q1324" t="s">
        <v>17699</v>
      </c>
      <c r="R1324" t="s">
        <v>411</v>
      </c>
      <c r="S1324">
        <v>1658</v>
      </c>
    </row>
    <row r="1325" spans="1:19">
      <c r="A1325" t="s">
        <v>21</v>
      </c>
      <c r="B1325" t="s">
        <v>148</v>
      </c>
      <c r="C1325" t="s">
        <v>153</v>
      </c>
      <c r="D1325" t="s">
        <v>282</v>
      </c>
      <c r="E1325" t="s">
        <v>411</v>
      </c>
      <c r="F1325">
        <f>HYPERLINK("https://www.wikidata.org/wiki/Q33724121", "Q33724121")</f>
        <v>0</v>
      </c>
      <c r="G1325" t="s">
        <v>1225</v>
      </c>
      <c r="H1325" t="s">
        <v>5950</v>
      </c>
      <c r="I1325" t="s">
        <v>9506</v>
      </c>
      <c r="J1325" t="s">
        <v>11957</v>
      </c>
      <c r="K1325" t="s">
        <v>16359</v>
      </c>
      <c r="L1325">
        <f>HYPERLINK("https://www2.assemblee-nationale.fr/sycomore/fiche/(num_dept)/842", "842")</f>
        <v>0</v>
      </c>
      <c r="N1325">
        <f>HYPERLINK("https://www.wikidata.org/wiki/Q2934871", "Q2934871")</f>
        <v>0</v>
      </c>
      <c r="O1325" t="s">
        <v>20009</v>
      </c>
      <c r="P1325" t="s">
        <v>20416</v>
      </c>
      <c r="Q1325" t="s">
        <v>17699</v>
      </c>
      <c r="R1325" t="s">
        <v>411</v>
      </c>
      <c r="S1325">
        <v>1658</v>
      </c>
    </row>
    <row r="1326" spans="1:19">
      <c r="A1326" t="s">
        <v>21</v>
      </c>
      <c r="B1326" t="s">
        <v>148</v>
      </c>
      <c r="C1326" t="s">
        <v>153</v>
      </c>
      <c r="D1326" t="s">
        <v>282</v>
      </c>
      <c r="E1326" t="s">
        <v>411</v>
      </c>
      <c r="F1326">
        <f>HYPERLINK("https://www.wikidata.org/wiki/Q33724121", "Q33724121")</f>
        <v>0</v>
      </c>
      <c r="G1326" t="s">
        <v>1226</v>
      </c>
      <c r="H1326" t="s">
        <v>5951</v>
      </c>
      <c r="I1326" t="s">
        <v>9713</v>
      </c>
      <c r="J1326" t="s">
        <v>11958</v>
      </c>
      <c r="K1326" t="s">
        <v>16360</v>
      </c>
      <c r="L1326">
        <f>HYPERLINK("https://www2.assemblee-nationale.fr/sycomore/fiche/(num_dept)/843", "843")</f>
        <v>0</v>
      </c>
      <c r="N1326">
        <f>HYPERLINK("https://www.wikidata.org/wiki/Q2833471", "Q2833471")</f>
        <v>0</v>
      </c>
      <c r="O1326" t="s">
        <v>20047</v>
      </c>
      <c r="P1326" t="s">
        <v>20421</v>
      </c>
      <c r="Q1326" t="s">
        <v>17699</v>
      </c>
      <c r="R1326" t="s">
        <v>411</v>
      </c>
      <c r="S1326">
        <v>1658</v>
      </c>
    </row>
    <row r="1327" spans="1:19">
      <c r="A1327" t="s">
        <v>21</v>
      </c>
      <c r="B1327" t="s">
        <v>148</v>
      </c>
      <c r="C1327" t="s">
        <v>153</v>
      </c>
      <c r="D1327" t="s">
        <v>282</v>
      </c>
      <c r="E1327" t="s">
        <v>411</v>
      </c>
      <c r="F1327">
        <f>HYPERLINK("https://www.wikidata.org/wiki/Q33724121", "Q33724121")</f>
        <v>0</v>
      </c>
      <c r="G1327" t="s">
        <v>1378</v>
      </c>
      <c r="H1327" t="s">
        <v>5296</v>
      </c>
      <c r="I1327" t="s">
        <v>9401</v>
      </c>
      <c r="J1327" t="s">
        <v>12104</v>
      </c>
      <c r="K1327" t="s">
        <v>16506</v>
      </c>
      <c r="L1327">
        <f>HYPERLINK("https://www2.assemblee-nationale.fr/sycomore/fiche/(num_dept)/844", "844")</f>
        <v>0</v>
      </c>
      <c r="N1327">
        <f>HYPERLINK("https://www.wikidata.org/wiki/Q105906895", "Q105906895")</f>
        <v>0</v>
      </c>
      <c r="O1327" t="s">
        <v>19986</v>
      </c>
      <c r="P1327" t="s">
        <v>20419</v>
      </c>
      <c r="Q1327" t="s">
        <v>17699</v>
      </c>
      <c r="R1327" t="s">
        <v>411</v>
      </c>
      <c r="S1327">
        <v>1658</v>
      </c>
    </row>
    <row r="1328" spans="1:19">
      <c r="A1328" t="s">
        <v>21</v>
      </c>
      <c r="B1328" t="s">
        <v>148</v>
      </c>
      <c r="C1328" t="s">
        <v>153</v>
      </c>
      <c r="D1328" t="s">
        <v>282</v>
      </c>
      <c r="E1328" t="s">
        <v>411</v>
      </c>
      <c r="F1328">
        <f>HYPERLINK("https://www.wikidata.org/wiki/Q33724121", "Q33724121")</f>
        <v>0</v>
      </c>
      <c r="G1328" t="s">
        <v>1379</v>
      </c>
      <c r="H1328" t="s">
        <v>6090</v>
      </c>
      <c r="I1328" t="s">
        <v>9483</v>
      </c>
      <c r="J1328" t="s">
        <v>12105</v>
      </c>
      <c r="K1328" t="s">
        <v>489</v>
      </c>
      <c r="L1328">
        <f>HYPERLINK("https://www2.assemblee-nationale.fr/sycomore/fiche/(num_dept)/856", "856")</f>
        <v>0</v>
      </c>
      <c r="N1328">
        <f>HYPERLINK("https://www.wikidata.org/wiki/Q3557158", "Q3557158")</f>
        <v>0</v>
      </c>
      <c r="O1328" t="s">
        <v>20006</v>
      </c>
      <c r="P1328" t="s">
        <v>20416</v>
      </c>
      <c r="Q1328" t="s">
        <v>17699</v>
      </c>
      <c r="R1328" t="s">
        <v>411</v>
      </c>
      <c r="S1328">
        <v>1658</v>
      </c>
    </row>
    <row r="1329" spans="1:19">
      <c r="A1329" t="s">
        <v>21</v>
      </c>
      <c r="B1329" t="s">
        <v>148</v>
      </c>
      <c r="C1329" t="s">
        <v>153</v>
      </c>
      <c r="D1329" t="s">
        <v>282</v>
      </c>
      <c r="E1329" t="s">
        <v>411</v>
      </c>
      <c r="F1329">
        <f>HYPERLINK("https://www.wikidata.org/wiki/Q33724121", "Q33724121")</f>
        <v>0</v>
      </c>
      <c r="G1329" t="s">
        <v>1380</v>
      </c>
      <c r="H1329" t="s">
        <v>6091</v>
      </c>
      <c r="I1329" t="s">
        <v>5528</v>
      </c>
      <c r="J1329" t="s">
        <v>12106</v>
      </c>
      <c r="K1329" t="s">
        <v>16507</v>
      </c>
      <c r="L1329">
        <f>HYPERLINK("https://www2.assemblee-nationale.fr/sycomore/fiche/(num_dept)/880", "880")</f>
        <v>0</v>
      </c>
      <c r="N1329">
        <f>HYPERLINK("https://www.wikidata.org/wiki/Q18434", "Q18434")</f>
        <v>0</v>
      </c>
      <c r="O1329" t="s">
        <v>19969</v>
      </c>
      <c r="P1329" t="s">
        <v>20404</v>
      </c>
      <c r="Q1329" t="s">
        <v>17699</v>
      </c>
      <c r="R1329" t="s">
        <v>411</v>
      </c>
      <c r="S1329">
        <v>1658</v>
      </c>
    </row>
    <row r="1330" spans="1:19">
      <c r="A1330" t="s">
        <v>21</v>
      </c>
      <c r="B1330" t="s">
        <v>148</v>
      </c>
      <c r="C1330" t="s">
        <v>153</v>
      </c>
      <c r="D1330" t="s">
        <v>282</v>
      </c>
      <c r="E1330" t="s">
        <v>411</v>
      </c>
      <c r="F1330">
        <f>HYPERLINK("https://www.wikidata.org/wiki/Q33724121", "Q33724121")</f>
        <v>0</v>
      </c>
      <c r="G1330" t="s">
        <v>1381</v>
      </c>
      <c r="H1330" t="s">
        <v>6092</v>
      </c>
      <c r="I1330" t="s">
        <v>9782</v>
      </c>
      <c r="J1330" t="s">
        <v>12107</v>
      </c>
      <c r="K1330" t="s">
        <v>16508</v>
      </c>
      <c r="L1330">
        <f>HYPERLINK("https://www2.assemblee-nationale.fr/sycomore/fiche/(num_dept)/903", "903")</f>
        <v>0</v>
      </c>
      <c r="N1330">
        <f>HYPERLINK("https://www.wikidata.org/wiki/Q8298312", "Q8298312")</f>
        <v>0</v>
      </c>
      <c r="O1330" t="s">
        <v>20002</v>
      </c>
      <c r="P1330" t="s">
        <v>20416</v>
      </c>
      <c r="Q1330" t="s">
        <v>17699</v>
      </c>
      <c r="R1330" t="s">
        <v>411</v>
      </c>
      <c r="S1330">
        <v>1658</v>
      </c>
    </row>
    <row r="1331" spans="1:19">
      <c r="A1331" t="s">
        <v>21</v>
      </c>
      <c r="B1331" t="s">
        <v>148</v>
      </c>
      <c r="C1331" t="s">
        <v>153</v>
      </c>
      <c r="D1331" t="s">
        <v>282</v>
      </c>
      <c r="E1331" t="s">
        <v>411</v>
      </c>
      <c r="F1331">
        <f>HYPERLINK("https://www.wikidata.org/wiki/Q33724121", "Q33724121")</f>
        <v>0</v>
      </c>
      <c r="G1331" t="s">
        <v>536</v>
      </c>
      <c r="H1331" t="s">
        <v>5300</v>
      </c>
      <c r="I1331" t="s">
        <v>9389</v>
      </c>
      <c r="J1331" t="s">
        <v>11288</v>
      </c>
      <c r="K1331" t="s">
        <v>15688</v>
      </c>
      <c r="L1331">
        <f>HYPERLINK("https://www2.assemblee-nationale.fr/sycomore/fiche/(num_dept)/909", "909")</f>
        <v>0</v>
      </c>
      <c r="N1331">
        <f>HYPERLINK("https://www.wikidata.org/wiki/Q3588362", "Q3588362")</f>
        <v>0</v>
      </c>
      <c r="O1331" t="s">
        <v>19985</v>
      </c>
      <c r="P1331" t="s">
        <v>20412</v>
      </c>
      <c r="Q1331" t="s">
        <v>17699</v>
      </c>
      <c r="R1331" t="s">
        <v>411</v>
      </c>
      <c r="S1331">
        <v>1658</v>
      </c>
    </row>
    <row r="1332" spans="1:19">
      <c r="A1332" t="s">
        <v>21</v>
      </c>
      <c r="B1332" t="s">
        <v>148</v>
      </c>
      <c r="C1332" t="s">
        <v>153</v>
      </c>
      <c r="D1332" t="s">
        <v>282</v>
      </c>
      <c r="E1332" t="s">
        <v>411</v>
      </c>
      <c r="F1332">
        <f>HYPERLINK("https://www.wikidata.org/wiki/Q33724121", "Q33724121")</f>
        <v>0</v>
      </c>
      <c r="G1332" t="s">
        <v>1227</v>
      </c>
      <c r="H1332" t="s">
        <v>5952</v>
      </c>
      <c r="I1332" t="s">
        <v>7642</v>
      </c>
      <c r="J1332" t="s">
        <v>11959</v>
      </c>
      <c r="K1332" t="s">
        <v>16361</v>
      </c>
      <c r="L1332">
        <f>HYPERLINK("https://www2.assemblee-nationale.fr/sycomore/fiche/(num_dept)/916", "916")</f>
        <v>0</v>
      </c>
      <c r="N1332">
        <f>HYPERLINK("https://www.wikidata.org/wiki/Q3300454", "Q3300454")</f>
        <v>0</v>
      </c>
      <c r="O1332" t="s">
        <v>19969</v>
      </c>
      <c r="P1332" t="s">
        <v>20419</v>
      </c>
      <c r="Q1332" t="s">
        <v>17699</v>
      </c>
      <c r="R1332" t="s">
        <v>411</v>
      </c>
      <c r="S1332">
        <v>1658</v>
      </c>
    </row>
    <row r="1333" spans="1:19">
      <c r="A1333" t="s">
        <v>21</v>
      </c>
      <c r="B1333" t="s">
        <v>148</v>
      </c>
      <c r="C1333" t="s">
        <v>153</v>
      </c>
      <c r="D1333" t="s">
        <v>282</v>
      </c>
      <c r="E1333" t="s">
        <v>411</v>
      </c>
      <c r="F1333">
        <f>HYPERLINK("https://www.wikidata.org/wiki/Q33724121", "Q33724121")</f>
        <v>0</v>
      </c>
      <c r="G1333" t="s">
        <v>876</v>
      </c>
      <c r="H1333" t="s">
        <v>5632</v>
      </c>
      <c r="I1333" t="s">
        <v>6175</v>
      </c>
      <c r="J1333" t="s">
        <v>11622</v>
      </c>
      <c r="K1333" t="s">
        <v>16024</v>
      </c>
      <c r="L1333">
        <f>HYPERLINK("https://www2.assemblee-nationale.fr/sycomore/fiche/(num_dept)/938", "938")</f>
        <v>0</v>
      </c>
      <c r="N1333">
        <f>HYPERLINK("https://www.wikidata.org/wiki/Q3102326", "Q3102326")</f>
        <v>0</v>
      </c>
      <c r="O1333" t="s">
        <v>19976</v>
      </c>
      <c r="P1333" t="s">
        <v>20416</v>
      </c>
      <c r="Q1333" t="s">
        <v>17699</v>
      </c>
      <c r="R1333" t="s">
        <v>411</v>
      </c>
      <c r="S1333">
        <v>1658</v>
      </c>
    </row>
    <row r="1334" spans="1:19">
      <c r="A1334" t="s">
        <v>21</v>
      </c>
      <c r="B1334" t="s">
        <v>148</v>
      </c>
      <c r="C1334" t="s">
        <v>153</v>
      </c>
      <c r="D1334" t="s">
        <v>282</v>
      </c>
      <c r="E1334" t="s">
        <v>411</v>
      </c>
      <c r="F1334">
        <f>HYPERLINK("https://www.wikidata.org/wiki/Q33724121", "Q33724121")</f>
        <v>0</v>
      </c>
      <c r="G1334" t="s">
        <v>1382</v>
      </c>
      <c r="H1334" t="s">
        <v>6093</v>
      </c>
      <c r="I1334" t="s">
        <v>6731</v>
      </c>
      <c r="J1334" t="s">
        <v>12108</v>
      </c>
      <c r="K1334" t="s">
        <v>16509</v>
      </c>
      <c r="L1334">
        <f>HYPERLINK("https://www2.assemblee-nationale.fr/sycomore/fiche/(num_dept)/953", "953")</f>
        <v>0</v>
      </c>
      <c r="M1334">
        <f>HYPERLINK("https://www.senat.fr/senateur-3eme-republique/bonnet_de_paillerets_marie0861r3.html", "bonnet_de_paillerets_marie0861r3")</f>
        <v>0</v>
      </c>
      <c r="N1334">
        <f>HYPERLINK("https://www.wikidata.org/wiki/Q3184631", "Q3184631")</f>
        <v>0</v>
      </c>
      <c r="O1334" t="s">
        <v>20004</v>
      </c>
      <c r="P1334" t="s">
        <v>20416</v>
      </c>
      <c r="Q1334" t="s">
        <v>17699</v>
      </c>
      <c r="R1334" t="s">
        <v>411</v>
      </c>
      <c r="S1334">
        <v>1658</v>
      </c>
    </row>
    <row r="1335" spans="1:19">
      <c r="A1335" t="s">
        <v>21</v>
      </c>
      <c r="B1335" t="s">
        <v>148</v>
      </c>
      <c r="C1335" t="s">
        <v>153</v>
      </c>
      <c r="D1335" t="s">
        <v>282</v>
      </c>
      <c r="E1335" t="s">
        <v>411</v>
      </c>
      <c r="F1335">
        <f>HYPERLINK("https://www.wikidata.org/wiki/Q33724121", "Q33724121")</f>
        <v>0</v>
      </c>
      <c r="G1335" t="s">
        <v>538</v>
      </c>
      <c r="H1335" t="s">
        <v>5302</v>
      </c>
      <c r="I1335" t="s">
        <v>5592</v>
      </c>
      <c r="J1335" t="s">
        <v>11290</v>
      </c>
      <c r="K1335" t="s">
        <v>15690</v>
      </c>
      <c r="L1335">
        <f>HYPERLINK("https://www2.assemblee-nationale.fr/sycomore/fiche/(num_dept)/955", "955")</f>
        <v>0</v>
      </c>
      <c r="M1335">
        <f>HYPERLINK("https://www.senat.fr/senateur-3eme-republique/bonnevay_laurent1123r3.html", "bonnevay_laurent1123r3")</f>
        <v>0</v>
      </c>
      <c r="N1335">
        <f>HYPERLINK("https://www.wikidata.org/wiki/Q3219051", "Q3219051")</f>
        <v>0</v>
      </c>
      <c r="O1335" t="s">
        <v>19965</v>
      </c>
      <c r="P1335" t="s">
        <v>20416</v>
      </c>
      <c r="Q1335" t="s">
        <v>17699</v>
      </c>
      <c r="R1335" t="s">
        <v>411</v>
      </c>
      <c r="S1335">
        <v>1658</v>
      </c>
    </row>
    <row r="1336" spans="1:19">
      <c r="A1336" t="s">
        <v>21</v>
      </c>
      <c r="B1336" t="s">
        <v>148</v>
      </c>
      <c r="C1336" t="s">
        <v>153</v>
      </c>
      <c r="D1336" t="s">
        <v>282</v>
      </c>
      <c r="E1336" t="s">
        <v>411</v>
      </c>
      <c r="F1336">
        <f>HYPERLINK("https://www.wikidata.org/wiki/Q33724121", "Q33724121")</f>
        <v>0</v>
      </c>
      <c r="G1336" t="s">
        <v>877</v>
      </c>
      <c r="H1336" t="s">
        <v>5633</v>
      </c>
      <c r="I1336" t="s">
        <v>9483</v>
      </c>
      <c r="J1336" t="s">
        <v>11623</v>
      </c>
      <c r="K1336" t="s">
        <v>343</v>
      </c>
      <c r="L1336">
        <f>HYPERLINK("https://www2.assemblee-nationale.fr/sycomore/fiche/(num_dept)/956", "956")</f>
        <v>0</v>
      </c>
      <c r="M1336">
        <f>HYPERLINK("https://www.senat.fr/senateur-3eme-republique/bonniard_victor0085r3.html", "bonniard_victor0085r3")</f>
        <v>0</v>
      </c>
      <c r="N1336">
        <f>HYPERLINK("https://www.wikidata.org/wiki/Q3557172", "Q3557172")</f>
        <v>0</v>
      </c>
      <c r="O1336" t="s">
        <v>19981</v>
      </c>
      <c r="P1336" t="s">
        <v>20412</v>
      </c>
      <c r="Q1336" t="s">
        <v>17699</v>
      </c>
      <c r="R1336" t="s">
        <v>21389</v>
      </c>
      <c r="S1336">
        <v>451</v>
      </c>
    </row>
    <row r="1337" spans="1:19">
      <c r="A1337" t="s">
        <v>21</v>
      </c>
      <c r="B1337" t="s">
        <v>148</v>
      </c>
      <c r="C1337" t="s">
        <v>153</v>
      </c>
      <c r="D1337" t="s">
        <v>282</v>
      </c>
      <c r="E1337" t="s">
        <v>411</v>
      </c>
      <c r="F1337">
        <f>HYPERLINK("https://www.wikidata.org/wiki/Q33724121", "Q33724121")</f>
        <v>0</v>
      </c>
      <c r="G1337" t="s">
        <v>878</v>
      </c>
      <c r="H1337" t="s">
        <v>5634</v>
      </c>
      <c r="I1337" t="s">
        <v>9483</v>
      </c>
      <c r="J1337" t="s">
        <v>11624</v>
      </c>
      <c r="K1337" t="s">
        <v>16025</v>
      </c>
      <c r="L1337">
        <f>HYPERLINK("https://www2.assemblee-nationale.fr/sycomore/fiche/(num_dept)/976", "976")</f>
        <v>0</v>
      </c>
      <c r="M1337">
        <f>HYPERLINK("https://www.senat.fr/senateur-3eme-republique/boret_victor1774r3.html", "boret_victor1774r3")</f>
        <v>0</v>
      </c>
      <c r="N1337">
        <f>HYPERLINK("https://www.wikidata.org/wiki/Q3557173", "Q3557173")</f>
        <v>0</v>
      </c>
      <c r="O1337" t="s">
        <v>19982</v>
      </c>
      <c r="P1337" t="s">
        <v>20417</v>
      </c>
      <c r="Q1337" t="s">
        <v>17699</v>
      </c>
      <c r="R1337" t="s">
        <v>411</v>
      </c>
      <c r="S1337">
        <v>1658</v>
      </c>
    </row>
    <row r="1338" spans="1:19">
      <c r="A1338" t="s">
        <v>21</v>
      </c>
      <c r="B1338" t="s">
        <v>148</v>
      </c>
      <c r="C1338" t="s">
        <v>153</v>
      </c>
      <c r="D1338" t="s">
        <v>282</v>
      </c>
      <c r="E1338" t="s">
        <v>411</v>
      </c>
      <c r="F1338">
        <f>HYPERLINK("https://www.wikidata.org/wiki/Q33724121", "Q33724121")</f>
        <v>0</v>
      </c>
      <c r="G1338" t="s">
        <v>540</v>
      </c>
      <c r="H1338" t="s">
        <v>5304</v>
      </c>
      <c r="I1338" t="s">
        <v>9401</v>
      </c>
      <c r="J1338" t="s">
        <v>11292</v>
      </c>
      <c r="K1338" t="s">
        <v>15692</v>
      </c>
      <c r="L1338">
        <f>HYPERLINK("https://www2.assemblee-nationale.fr/sycomore/fiche/(num_dept)/985", "985")</f>
        <v>0</v>
      </c>
      <c r="M1338">
        <f>HYPERLINK("https://www.senat.fr/senateur-3eme-republique/borrel_antoine1303r3.html", "borrel_antoine1303r3")</f>
        <v>0</v>
      </c>
      <c r="N1338">
        <f>HYPERLINK("https://www.wikidata.org/wiki/Q2853712", "Q2853712")</f>
        <v>0</v>
      </c>
      <c r="O1338" t="s">
        <v>19988</v>
      </c>
      <c r="P1338" t="s">
        <v>20406</v>
      </c>
      <c r="Q1338" t="s">
        <v>17699</v>
      </c>
      <c r="R1338" t="s">
        <v>411</v>
      </c>
      <c r="S1338">
        <v>1658</v>
      </c>
    </row>
    <row r="1339" spans="1:19">
      <c r="A1339" t="s">
        <v>21</v>
      </c>
      <c r="B1339" t="s">
        <v>148</v>
      </c>
      <c r="C1339" t="s">
        <v>153</v>
      </c>
      <c r="D1339" t="s">
        <v>282</v>
      </c>
      <c r="E1339" t="s">
        <v>411</v>
      </c>
      <c r="F1339">
        <f>HYPERLINK("https://www.wikidata.org/wiki/Q33724121", "Q33724121")</f>
        <v>0</v>
      </c>
      <c r="G1339" t="s">
        <v>1104</v>
      </c>
      <c r="H1339" t="s">
        <v>5845</v>
      </c>
      <c r="I1339" t="s">
        <v>9662</v>
      </c>
      <c r="J1339" t="s">
        <v>11839</v>
      </c>
      <c r="K1339" t="s">
        <v>16240</v>
      </c>
      <c r="L1339">
        <f>HYPERLINK("https://www2.assemblee-nationale.fr/sycomore/fiche/(num_dept)/994", "994")</f>
        <v>0</v>
      </c>
      <c r="N1339">
        <f>HYPERLINK("https://www.wikidata.org/wiki/Q15972019", "Q15972019")</f>
        <v>0</v>
      </c>
      <c r="O1339" t="s">
        <v>19959</v>
      </c>
      <c r="P1339" t="s">
        <v>20418</v>
      </c>
      <c r="Q1339" t="s">
        <v>17699</v>
      </c>
      <c r="R1339" t="s">
        <v>411</v>
      </c>
      <c r="S1339">
        <v>1658</v>
      </c>
    </row>
    <row r="1340" spans="1:19">
      <c r="A1340" t="s">
        <v>21</v>
      </c>
      <c r="B1340" t="s">
        <v>148</v>
      </c>
      <c r="C1340" t="s">
        <v>153</v>
      </c>
      <c r="D1340" t="s">
        <v>282</v>
      </c>
      <c r="E1340" t="s">
        <v>411</v>
      </c>
      <c r="F1340">
        <f>HYPERLINK("https://www.wikidata.org/wiki/Q33724121", "Q33724121")</f>
        <v>0</v>
      </c>
      <c r="G1340" t="s">
        <v>1383</v>
      </c>
      <c r="H1340" t="s">
        <v>6094</v>
      </c>
      <c r="I1340" t="s">
        <v>9783</v>
      </c>
      <c r="J1340" t="s">
        <v>12109</v>
      </c>
      <c r="K1340" t="s">
        <v>16510</v>
      </c>
      <c r="L1340">
        <f>HYPERLINK("https://www2.assemblee-nationale.fr/sycomore/fiche/(num_dept)/1026", "1026")</f>
        <v>0</v>
      </c>
      <c r="N1340">
        <f>HYPERLINK("https://www.wikidata.org/wiki/Q15973812", "Q15973812")</f>
        <v>0</v>
      </c>
      <c r="O1340" t="s">
        <v>20027</v>
      </c>
      <c r="P1340" t="s">
        <v>20418</v>
      </c>
      <c r="Q1340" t="s">
        <v>17699</v>
      </c>
      <c r="R1340" t="s">
        <v>411</v>
      </c>
      <c r="S1340">
        <v>1658</v>
      </c>
    </row>
    <row r="1341" spans="1:19">
      <c r="A1341" t="s">
        <v>21</v>
      </c>
      <c r="B1341" t="s">
        <v>148</v>
      </c>
      <c r="C1341" t="s">
        <v>153</v>
      </c>
      <c r="D1341" t="s">
        <v>282</v>
      </c>
      <c r="E1341" t="s">
        <v>411</v>
      </c>
      <c r="F1341">
        <f>HYPERLINK("https://www.wikidata.org/wiki/Q33724121", "Q33724121")</f>
        <v>0</v>
      </c>
      <c r="G1341" t="s">
        <v>544</v>
      </c>
      <c r="H1341" t="s">
        <v>5308</v>
      </c>
      <c r="I1341" t="s">
        <v>9376</v>
      </c>
      <c r="J1341" t="s">
        <v>11296</v>
      </c>
      <c r="K1341" t="s">
        <v>15696</v>
      </c>
      <c r="L1341">
        <f>HYPERLINK("https://www2.assemblee-nationale.fr/sycomore/fiche/(num_dept)/1030", "1030")</f>
        <v>0</v>
      </c>
      <c r="M1341">
        <f>HYPERLINK("https://www.senat.fr/senateur-3eme-republique/bougere_ferdinand1163r3.html", "bougere_ferdinand1163r3")</f>
        <v>0</v>
      </c>
      <c r="N1341">
        <f>HYPERLINK("https://www.wikidata.org/wiki/Q8299130", "Q8299130")</f>
        <v>0</v>
      </c>
      <c r="O1341" t="s">
        <v>19980</v>
      </c>
      <c r="P1341" t="s">
        <v>20420</v>
      </c>
      <c r="Q1341" t="s">
        <v>17699</v>
      </c>
      <c r="R1341" t="s">
        <v>411</v>
      </c>
      <c r="S1341">
        <v>1658</v>
      </c>
    </row>
    <row r="1342" spans="1:19">
      <c r="A1342" t="s">
        <v>21</v>
      </c>
      <c r="B1342" t="s">
        <v>148</v>
      </c>
      <c r="C1342" t="s">
        <v>153</v>
      </c>
      <c r="D1342" t="s">
        <v>282</v>
      </c>
      <c r="E1342" t="s">
        <v>411</v>
      </c>
      <c r="F1342">
        <f>HYPERLINK("https://www.wikidata.org/wiki/Q33724121", "Q33724121")</f>
        <v>0</v>
      </c>
      <c r="G1342" t="s">
        <v>1229</v>
      </c>
      <c r="H1342" t="s">
        <v>5954</v>
      </c>
      <c r="I1342" t="s">
        <v>7642</v>
      </c>
      <c r="J1342" t="s">
        <v>11961</v>
      </c>
      <c r="K1342" t="s">
        <v>16363</v>
      </c>
      <c r="L1342">
        <f>HYPERLINK("https://www2.assemblee-nationale.fr/sycomore/fiche/(num_dept)/1041", "1041")</f>
        <v>0</v>
      </c>
      <c r="N1342">
        <f>HYPERLINK("https://www.wikidata.org/wiki/Q3300465", "Q3300465")</f>
        <v>0</v>
      </c>
      <c r="O1342" t="s">
        <v>20011</v>
      </c>
      <c r="P1342" t="s">
        <v>20417</v>
      </c>
      <c r="Q1342" t="s">
        <v>17699</v>
      </c>
      <c r="R1342" t="s">
        <v>411</v>
      </c>
      <c r="S1342">
        <v>1658</v>
      </c>
    </row>
    <row r="1343" spans="1:19">
      <c r="A1343" t="s">
        <v>21</v>
      </c>
      <c r="B1343" t="s">
        <v>148</v>
      </c>
      <c r="C1343" t="s">
        <v>153</v>
      </c>
      <c r="D1343" t="s">
        <v>282</v>
      </c>
      <c r="E1343" t="s">
        <v>411</v>
      </c>
      <c r="F1343">
        <f>HYPERLINK("https://www.wikidata.org/wiki/Q33724121", "Q33724121")</f>
        <v>0</v>
      </c>
      <c r="G1343" t="s">
        <v>884</v>
      </c>
      <c r="H1343" t="s">
        <v>5640</v>
      </c>
      <c r="I1343" t="s">
        <v>9446</v>
      </c>
      <c r="J1343" t="s">
        <v>11630</v>
      </c>
      <c r="K1343" t="s">
        <v>16030</v>
      </c>
      <c r="L1343">
        <f>HYPERLINK("https://www2.assemblee-nationale.fr/sycomore/fiche/(num_dept)/1043", "1043")</f>
        <v>0</v>
      </c>
      <c r="N1343">
        <f>HYPERLINK("https://www.wikidata.org/wiki/Q459510", "Q459510")</f>
        <v>0</v>
      </c>
      <c r="O1343" t="s">
        <v>19990</v>
      </c>
      <c r="P1343" t="s">
        <v>20404</v>
      </c>
      <c r="Q1343" t="s">
        <v>17699</v>
      </c>
      <c r="R1343" t="s">
        <v>411</v>
      </c>
      <c r="S1343">
        <v>1658</v>
      </c>
    </row>
    <row r="1344" spans="1:19">
      <c r="A1344" t="s">
        <v>21</v>
      </c>
      <c r="B1344" t="s">
        <v>148</v>
      </c>
      <c r="C1344" t="s">
        <v>153</v>
      </c>
      <c r="D1344" t="s">
        <v>282</v>
      </c>
      <c r="E1344" t="s">
        <v>411</v>
      </c>
      <c r="F1344">
        <f>HYPERLINK("https://www.wikidata.org/wiki/Q33724121", "Q33724121")</f>
        <v>0</v>
      </c>
      <c r="G1344" t="s">
        <v>1230</v>
      </c>
      <c r="H1344" t="s">
        <v>5955</v>
      </c>
      <c r="I1344" t="s">
        <v>9715</v>
      </c>
      <c r="J1344" t="s">
        <v>11962</v>
      </c>
      <c r="K1344" t="s">
        <v>16364</v>
      </c>
      <c r="L1344">
        <f>HYPERLINK("https://www2.assemblee-nationale.fr/sycomore/fiche/(num_dept)/1048", "1048")</f>
        <v>0</v>
      </c>
      <c r="N1344">
        <f>HYPERLINK("https://www.wikidata.org/wiki/Q15973886", "Q15973886")</f>
        <v>0</v>
      </c>
      <c r="O1344" t="s">
        <v>19968</v>
      </c>
      <c r="P1344" t="s">
        <v>20412</v>
      </c>
      <c r="Q1344" t="s">
        <v>17699</v>
      </c>
      <c r="R1344" t="s">
        <v>411</v>
      </c>
      <c r="S1344">
        <v>1658</v>
      </c>
    </row>
    <row r="1345" spans="1:19">
      <c r="A1345" t="s">
        <v>21</v>
      </c>
      <c r="B1345" t="s">
        <v>148</v>
      </c>
      <c r="C1345" t="s">
        <v>153</v>
      </c>
      <c r="D1345" t="s">
        <v>282</v>
      </c>
      <c r="E1345" t="s">
        <v>411</v>
      </c>
      <c r="F1345">
        <f>HYPERLINK("https://www.wikidata.org/wiki/Q33724121", "Q33724121")</f>
        <v>0</v>
      </c>
      <c r="G1345" t="s">
        <v>1384</v>
      </c>
      <c r="H1345" t="s">
        <v>6095</v>
      </c>
      <c r="I1345" t="s">
        <v>9784</v>
      </c>
      <c r="J1345" t="s">
        <v>12110</v>
      </c>
      <c r="K1345" t="s">
        <v>16511</v>
      </c>
      <c r="L1345">
        <f>HYPERLINK("https://www2.assemblee-nationale.fr/sycomore/fiche/(num_dept)/1057", "1057")</f>
        <v>0</v>
      </c>
      <c r="N1345">
        <f>HYPERLINK("https://www.wikidata.org/wiki/Q3383019", "Q3383019")</f>
        <v>0</v>
      </c>
      <c r="O1345" t="s">
        <v>19961</v>
      </c>
      <c r="P1345" t="s">
        <v>20418</v>
      </c>
      <c r="Q1345" t="s">
        <v>17699</v>
      </c>
      <c r="R1345" t="s">
        <v>411</v>
      </c>
      <c r="S1345">
        <v>1658</v>
      </c>
    </row>
    <row r="1346" spans="1:19">
      <c r="A1346" t="s">
        <v>21</v>
      </c>
      <c r="B1346" t="s">
        <v>148</v>
      </c>
      <c r="C1346" t="s">
        <v>153</v>
      </c>
      <c r="D1346" t="s">
        <v>282</v>
      </c>
      <c r="E1346" t="s">
        <v>411</v>
      </c>
      <c r="F1346">
        <f>HYPERLINK("https://www.wikidata.org/wiki/Q33724121", "Q33724121")</f>
        <v>0</v>
      </c>
      <c r="G1346" t="s">
        <v>1385</v>
      </c>
      <c r="H1346" t="s">
        <v>6096</v>
      </c>
      <c r="I1346" t="s">
        <v>9389</v>
      </c>
      <c r="J1346" t="s">
        <v>12111</v>
      </c>
      <c r="K1346" t="s">
        <v>16512</v>
      </c>
      <c r="L1346">
        <f>HYPERLINK("https://www2.assemblee-nationale.fr/sycomore/fiche/(num_dept)/1091", "1091")</f>
        <v>0</v>
      </c>
      <c r="N1346">
        <f>HYPERLINK("https://www.wikidata.org/wiki/Q8318757", "Q8318757")</f>
        <v>0</v>
      </c>
      <c r="O1346" t="s">
        <v>20032</v>
      </c>
      <c r="P1346" t="s">
        <v>20418</v>
      </c>
      <c r="Q1346" t="s">
        <v>17699</v>
      </c>
      <c r="R1346" t="s">
        <v>411</v>
      </c>
      <c r="S1346">
        <v>1658</v>
      </c>
    </row>
    <row r="1347" spans="1:19">
      <c r="A1347" t="s">
        <v>21</v>
      </c>
      <c r="B1347" t="s">
        <v>148</v>
      </c>
      <c r="C1347" t="s">
        <v>153</v>
      </c>
      <c r="D1347" t="s">
        <v>282</v>
      </c>
      <c r="E1347" t="s">
        <v>411</v>
      </c>
      <c r="F1347">
        <f>HYPERLINK("https://www.wikidata.org/wiki/Q33724121", "Q33724121")</f>
        <v>0</v>
      </c>
      <c r="G1347" t="s">
        <v>1386</v>
      </c>
      <c r="H1347" t="s">
        <v>6097</v>
      </c>
      <c r="I1347" t="s">
        <v>9785</v>
      </c>
      <c r="J1347" t="s">
        <v>12112</v>
      </c>
      <c r="K1347" t="s">
        <v>16513</v>
      </c>
      <c r="L1347">
        <f>HYPERLINK("https://www2.assemblee-nationale.fr/sycomore/fiche/(num_dept)/1128", "1128")</f>
        <v>0</v>
      </c>
      <c r="N1347">
        <f>HYPERLINK("https://www.wikidata.org/wiki/Q3045156", "Q3045156")</f>
        <v>0</v>
      </c>
      <c r="O1347" t="s">
        <v>19989</v>
      </c>
      <c r="P1347" t="s">
        <v>20416</v>
      </c>
      <c r="Q1347" t="s">
        <v>17699</v>
      </c>
      <c r="R1347" t="s">
        <v>411</v>
      </c>
      <c r="S1347">
        <v>1658</v>
      </c>
    </row>
    <row r="1348" spans="1:19">
      <c r="A1348" t="s">
        <v>21</v>
      </c>
      <c r="B1348" t="s">
        <v>148</v>
      </c>
      <c r="C1348" t="s">
        <v>153</v>
      </c>
      <c r="D1348" t="s">
        <v>282</v>
      </c>
      <c r="E1348" t="s">
        <v>411</v>
      </c>
      <c r="F1348">
        <f>HYPERLINK("https://www.wikidata.org/wiki/Q33724121", "Q33724121")</f>
        <v>0</v>
      </c>
      <c r="G1348" t="s">
        <v>1387</v>
      </c>
      <c r="H1348" t="s">
        <v>6098</v>
      </c>
      <c r="I1348" t="s">
        <v>9786</v>
      </c>
      <c r="J1348" t="s">
        <v>12113</v>
      </c>
      <c r="K1348" t="s">
        <v>16514</v>
      </c>
      <c r="L1348">
        <f>HYPERLINK("https://www2.assemblee-nationale.fr/sycomore/fiche/(num_dept)/1135", "1135")</f>
        <v>0</v>
      </c>
      <c r="N1348">
        <f>HYPERLINK("https://www.wikidata.org/wiki/Q8299132", "Q8299132")</f>
        <v>0</v>
      </c>
      <c r="O1348" t="s">
        <v>19980</v>
      </c>
      <c r="P1348" t="s">
        <v>20419</v>
      </c>
      <c r="Q1348" t="s">
        <v>17699</v>
      </c>
      <c r="R1348" t="s">
        <v>411</v>
      </c>
      <c r="S1348">
        <v>1658</v>
      </c>
    </row>
    <row r="1349" spans="1:19">
      <c r="A1349" t="s">
        <v>21</v>
      </c>
      <c r="B1349" t="s">
        <v>148</v>
      </c>
      <c r="C1349" t="s">
        <v>153</v>
      </c>
      <c r="D1349" t="s">
        <v>282</v>
      </c>
      <c r="E1349" t="s">
        <v>411</v>
      </c>
      <c r="F1349">
        <f>HYPERLINK("https://www.wikidata.org/wiki/Q33724121", "Q33724121")</f>
        <v>0</v>
      </c>
      <c r="G1349" t="s">
        <v>1388</v>
      </c>
      <c r="H1349" t="s">
        <v>6099</v>
      </c>
      <c r="I1349" t="s">
        <v>7642</v>
      </c>
      <c r="J1349" t="s">
        <v>12114</v>
      </c>
      <c r="K1349" t="s">
        <v>16515</v>
      </c>
      <c r="L1349">
        <f>HYPERLINK("https://www2.assemblee-nationale.fr/sycomore/fiche/(num_dept)/1140", "1140")</f>
        <v>0</v>
      </c>
      <c r="N1349">
        <f>HYPERLINK("https://www.wikidata.org/wiki/Q8308527", "Q8308527")</f>
        <v>0</v>
      </c>
      <c r="O1349" t="s">
        <v>20041</v>
      </c>
      <c r="P1349" t="s">
        <v>20416</v>
      </c>
      <c r="Q1349" t="s">
        <v>17699</v>
      </c>
      <c r="R1349" t="s">
        <v>411</v>
      </c>
      <c r="S1349">
        <v>1658</v>
      </c>
    </row>
    <row r="1350" spans="1:19">
      <c r="A1350" t="s">
        <v>21</v>
      </c>
      <c r="B1350" t="s">
        <v>148</v>
      </c>
      <c r="C1350" t="s">
        <v>153</v>
      </c>
      <c r="D1350" t="s">
        <v>282</v>
      </c>
      <c r="E1350" t="s">
        <v>411</v>
      </c>
      <c r="F1350">
        <f>HYPERLINK("https://www.wikidata.org/wiki/Q33724121", "Q33724121")</f>
        <v>0</v>
      </c>
      <c r="G1350" t="s">
        <v>550</v>
      </c>
      <c r="H1350" t="s">
        <v>5313</v>
      </c>
      <c r="I1350" t="s">
        <v>9408</v>
      </c>
      <c r="J1350" t="s">
        <v>11302</v>
      </c>
      <c r="K1350" t="s">
        <v>15702</v>
      </c>
      <c r="L1350">
        <f>HYPERLINK("https://www2.assemblee-nationale.fr/sycomore/fiche/(num_dept)/1147", "1147")</f>
        <v>0</v>
      </c>
      <c r="N1350">
        <f>HYPERLINK("https://www.wikidata.org/wiki/Q3270443", "Q3270443")</f>
        <v>0</v>
      </c>
      <c r="O1350" t="s">
        <v>19995</v>
      </c>
      <c r="P1350" t="s">
        <v>20418</v>
      </c>
      <c r="Q1350" t="s">
        <v>17699</v>
      </c>
      <c r="R1350" t="s">
        <v>411</v>
      </c>
      <c r="S1350">
        <v>1658</v>
      </c>
    </row>
    <row r="1351" spans="1:19">
      <c r="A1351" t="s">
        <v>21</v>
      </c>
      <c r="B1351" t="s">
        <v>148</v>
      </c>
      <c r="C1351" t="s">
        <v>153</v>
      </c>
      <c r="D1351" t="s">
        <v>282</v>
      </c>
      <c r="E1351" t="s">
        <v>411</v>
      </c>
      <c r="F1351">
        <f>HYPERLINK("https://www.wikidata.org/wiki/Q33724121", "Q33724121")</f>
        <v>0</v>
      </c>
      <c r="G1351" t="s">
        <v>1389</v>
      </c>
      <c r="H1351" t="s">
        <v>6100</v>
      </c>
      <c r="I1351" t="s">
        <v>9728</v>
      </c>
      <c r="J1351" t="s">
        <v>12115</v>
      </c>
      <c r="K1351" t="s">
        <v>16516</v>
      </c>
      <c r="L1351">
        <f>HYPERLINK("https://www2.assemblee-nationale.fr/sycomore/fiche/(num_dept)/1149", "1149")</f>
        <v>0</v>
      </c>
      <c r="N1351">
        <f>HYPERLINK("https://www.wikidata.org/wiki/Q3579752", "Q3579752")</f>
        <v>0</v>
      </c>
      <c r="O1351" t="s">
        <v>20006</v>
      </c>
      <c r="P1351" t="s">
        <v>20406</v>
      </c>
      <c r="Q1351" t="s">
        <v>17699</v>
      </c>
      <c r="R1351" t="s">
        <v>411</v>
      </c>
      <c r="S1351">
        <v>1658</v>
      </c>
    </row>
    <row r="1352" spans="1:19">
      <c r="A1352" t="s">
        <v>21</v>
      </c>
      <c r="B1352" t="s">
        <v>148</v>
      </c>
      <c r="C1352" t="s">
        <v>153</v>
      </c>
      <c r="D1352" t="s">
        <v>282</v>
      </c>
      <c r="E1352" t="s">
        <v>411</v>
      </c>
      <c r="F1352">
        <f>HYPERLINK("https://www.wikidata.org/wiki/Q33724121", "Q33724121")</f>
        <v>0</v>
      </c>
      <c r="G1352" t="s">
        <v>1119</v>
      </c>
      <c r="H1352" t="s">
        <v>5859</v>
      </c>
      <c r="I1352" t="s">
        <v>9669</v>
      </c>
      <c r="J1352" t="s">
        <v>11853</v>
      </c>
      <c r="K1352" t="s">
        <v>16255</v>
      </c>
      <c r="L1352">
        <f>HYPERLINK("https://www2.assemblee-nationale.fr/sycomore/fiche/(num_dept)/1167", "1167")</f>
        <v>0</v>
      </c>
      <c r="N1352">
        <f>HYPERLINK("https://www.wikidata.org/wiki/Q2833856", "Q2833856")</f>
        <v>0</v>
      </c>
      <c r="O1352" t="s">
        <v>19969</v>
      </c>
      <c r="P1352" t="s">
        <v>20404</v>
      </c>
      <c r="Q1352" t="s">
        <v>17699</v>
      </c>
      <c r="R1352" t="s">
        <v>411</v>
      </c>
      <c r="S1352">
        <v>1658</v>
      </c>
    </row>
    <row r="1353" spans="1:19">
      <c r="A1353" t="s">
        <v>21</v>
      </c>
      <c r="B1353" t="s">
        <v>148</v>
      </c>
      <c r="C1353" t="s">
        <v>153</v>
      </c>
      <c r="D1353" t="s">
        <v>282</v>
      </c>
      <c r="E1353" t="s">
        <v>411</v>
      </c>
      <c r="F1353">
        <f>HYPERLINK("https://www.wikidata.org/wiki/Q33724121", "Q33724121")</f>
        <v>0</v>
      </c>
      <c r="G1353" t="s">
        <v>552</v>
      </c>
      <c r="H1353" t="s">
        <v>5315</v>
      </c>
      <c r="I1353" t="s">
        <v>9410</v>
      </c>
      <c r="J1353" t="s">
        <v>11303</v>
      </c>
      <c r="K1353" t="s">
        <v>15704</v>
      </c>
      <c r="L1353">
        <f>HYPERLINK("https://www2.assemblee-nationale.fr/sycomore/fiche/(num_dept)/1203", "1203")</f>
        <v>0</v>
      </c>
      <c r="M1353">
        <f>HYPERLINK("https://www.senat.fr/senateur-3eme-republique/breton_jules0441r3.html", "breton_jules0441r3")</f>
        <v>0</v>
      </c>
      <c r="N1353">
        <f>HYPERLINK("https://www.wikidata.org/wiki/Q3188368", "Q3188368")</f>
        <v>0</v>
      </c>
      <c r="O1353" t="s">
        <v>19996</v>
      </c>
      <c r="P1353" t="s">
        <v>20406</v>
      </c>
      <c r="Q1353" t="s">
        <v>17699</v>
      </c>
      <c r="R1353" t="s">
        <v>21390</v>
      </c>
      <c r="S1353">
        <v>457</v>
      </c>
    </row>
    <row r="1354" spans="1:19">
      <c r="A1354" t="s">
        <v>21</v>
      </c>
      <c r="B1354" t="s">
        <v>148</v>
      </c>
      <c r="C1354" t="s">
        <v>153</v>
      </c>
      <c r="D1354" t="s">
        <v>282</v>
      </c>
      <c r="E1354" t="s">
        <v>411</v>
      </c>
      <c r="F1354">
        <f>HYPERLINK("https://www.wikidata.org/wiki/Q33724121", "Q33724121")</f>
        <v>0</v>
      </c>
      <c r="G1354" t="s">
        <v>553</v>
      </c>
      <c r="H1354" t="s">
        <v>5316</v>
      </c>
      <c r="I1354" t="s">
        <v>9411</v>
      </c>
      <c r="J1354" t="s">
        <v>11304</v>
      </c>
      <c r="K1354" t="s">
        <v>15705</v>
      </c>
      <c r="L1354">
        <f>HYPERLINK("https://www2.assemblee-nationale.fr/sycomore/fiche/(num_dept)/1211", "1211")</f>
        <v>0</v>
      </c>
      <c r="N1354">
        <f>HYPERLINK("https://www.wikidata.org/wiki/Q179888", "Q179888")</f>
        <v>0</v>
      </c>
      <c r="O1354" t="s">
        <v>20023</v>
      </c>
      <c r="P1354" t="s">
        <v>20406</v>
      </c>
      <c r="Q1354" t="s">
        <v>17699</v>
      </c>
      <c r="R1354" t="s">
        <v>411</v>
      </c>
      <c r="S1354">
        <v>1658</v>
      </c>
    </row>
    <row r="1355" spans="1:19">
      <c r="A1355" t="s">
        <v>21</v>
      </c>
      <c r="B1355" t="s">
        <v>148</v>
      </c>
      <c r="C1355" t="s">
        <v>153</v>
      </c>
      <c r="D1355" t="s">
        <v>282</v>
      </c>
      <c r="E1355" t="s">
        <v>411</v>
      </c>
      <c r="F1355">
        <f>HYPERLINK("https://www.wikidata.org/wiki/Q33724121", "Q33724121")</f>
        <v>0</v>
      </c>
      <c r="G1355" t="s">
        <v>554</v>
      </c>
      <c r="H1355" t="s">
        <v>5317</v>
      </c>
      <c r="I1355" t="s">
        <v>9412</v>
      </c>
      <c r="J1355" t="s">
        <v>11305</v>
      </c>
      <c r="K1355" t="s">
        <v>15706</v>
      </c>
      <c r="L1355">
        <f>HYPERLINK("https://www2.assemblee-nationale.fr/sycomore/fiche/(num_dept)/1220", "1220")</f>
        <v>0</v>
      </c>
      <c r="N1355">
        <f>HYPERLINK("https://www.wikidata.org/wiki/Q3426418", "Q3426418")</f>
        <v>0</v>
      </c>
      <c r="O1355" t="s">
        <v>19998</v>
      </c>
      <c r="P1355" t="s">
        <v>20416</v>
      </c>
      <c r="Q1355" t="s">
        <v>17699</v>
      </c>
      <c r="R1355" t="s">
        <v>15706</v>
      </c>
      <c r="S1355">
        <v>649</v>
      </c>
    </row>
    <row r="1356" spans="1:19">
      <c r="A1356" t="s">
        <v>21</v>
      </c>
      <c r="B1356" t="s">
        <v>148</v>
      </c>
      <c r="C1356" t="s">
        <v>153</v>
      </c>
      <c r="D1356" t="s">
        <v>282</v>
      </c>
      <c r="E1356" t="s">
        <v>411</v>
      </c>
      <c r="F1356">
        <f>HYPERLINK("https://www.wikidata.org/wiki/Q33724121", "Q33724121")</f>
        <v>0</v>
      </c>
      <c r="G1356" t="s">
        <v>1390</v>
      </c>
      <c r="H1356" t="s">
        <v>6101</v>
      </c>
      <c r="I1356" t="s">
        <v>6495</v>
      </c>
      <c r="J1356" t="s">
        <v>12116</v>
      </c>
      <c r="K1356" t="s">
        <v>16517</v>
      </c>
      <c r="L1356">
        <f>HYPERLINK("https://www2.assemblee-nationale.fr/sycomore/fiche/(num_dept)/1235", "1235")</f>
        <v>0</v>
      </c>
      <c r="M1356">
        <f>HYPERLINK("https://www.senat.fr/senateur-3eme-republique/bringer_louis0862r3.html", "bringer_louis0862r3")</f>
        <v>0</v>
      </c>
      <c r="N1356">
        <f>HYPERLINK("https://www.wikidata.org/wiki/Q3261361", "Q3261361")</f>
        <v>0</v>
      </c>
      <c r="O1356" t="s">
        <v>20004</v>
      </c>
      <c r="P1356" t="s">
        <v>20417</v>
      </c>
      <c r="Q1356" t="s">
        <v>17699</v>
      </c>
      <c r="R1356" t="s">
        <v>411</v>
      </c>
      <c r="S1356">
        <v>1658</v>
      </c>
    </row>
    <row r="1357" spans="1:19">
      <c r="A1357" t="s">
        <v>21</v>
      </c>
      <c r="B1357" t="s">
        <v>148</v>
      </c>
      <c r="C1357" t="s">
        <v>153</v>
      </c>
      <c r="D1357" t="s">
        <v>282</v>
      </c>
      <c r="E1357" t="s">
        <v>411</v>
      </c>
      <c r="F1357">
        <f>HYPERLINK("https://www.wikidata.org/wiki/Q33724121", "Q33724121")</f>
        <v>0</v>
      </c>
      <c r="G1357" t="s">
        <v>1391</v>
      </c>
      <c r="H1357" t="s">
        <v>6102</v>
      </c>
      <c r="I1357" t="s">
        <v>9787</v>
      </c>
      <c r="J1357" t="s">
        <v>12117</v>
      </c>
      <c r="K1357" t="s">
        <v>16518</v>
      </c>
      <c r="L1357">
        <f>HYPERLINK("https://www2.assemblee-nationale.fr/sycomore/fiche/(num_dept)/1252", "1252")</f>
        <v>0</v>
      </c>
      <c r="M1357">
        <f>HYPERLINK("https://www.senat.fr/senateur-3eme-republique/brogly_medard1116r3.html", "brogly_medard1116r3")</f>
        <v>0</v>
      </c>
      <c r="N1357">
        <f>HYPERLINK("https://www.wikidata.org/wiki/Q118855", "Q118855")</f>
        <v>0</v>
      </c>
      <c r="O1357" t="s">
        <v>20049</v>
      </c>
      <c r="P1357" t="s">
        <v>20416</v>
      </c>
      <c r="Q1357" t="s">
        <v>17699</v>
      </c>
      <c r="R1357" t="s">
        <v>411</v>
      </c>
      <c r="S1357">
        <v>1658</v>
      </c>
    </row>
    <row r="1358" spans="1:19">
      <c r="A1358" t="s">
        <v>21</v>
      </c>
      <c r="B1358" t="s">
        <v>148</v>
      </c>
      <c r="C1358" t="s">
        <v>153</v>
      </c>
      <c r="D1358" t="s">
        <v>282</v>
      </c>
      <c r="E1358" t="s">
        <v>411</v>
      </c>
      <c r="F1358">
        <f>HYPERLINK("https://www.wikidata.org/wiki/Q33724121", "Q33724121")</f>
        <v>0</v>
      </c>
      <c r="G1358" t="s">
        <v>557</v>
      </c>
      <c r="H1358" t="s">
        <v>5320</v>
      </c>
      <c r="I1358" t="s">
        <v>9414</v>
      </c>
      <c r="J1358" t="s">
        <v>11308</v>
      </c>
      <c r="K1358" t="s">
        <v>15709</v>
      </c>
      <c r="L1358">
        <f>HYPERLINK("https://www2.assemblee-nationale.fr/sycomore/fiche/(num_dept)/1260", "1260")</f>
        <v>0</v>
      </c>
      <c r="N1358">
        <f>HYPERLINK("https://www.wikidata.org/wiki/Q3052603", "Q3052603")</f>
        <v>0</v>
      </c>
      <c r="O1358" t="s">
        <v>20001</v>
      </c>
      <c r="P1358" t="s">
        <v>20417</v>
      </c>
      <c r="Q1358" t="s">
        <v>17699</v>
      </c>
      <c r="R1358" t="s">
        <v>411</v>
      </c>
      <c r="S1358">
        <v>1658</v>
      </c>
    </row>
    <row r="1359" spans="1:19">
      <c r="A1359" t="s">
        <v>21</v>
      </c>
      <c r="B1359" t="s">
        <v>148</v>
      </c>
      <c r="C1359" t="s">
        <v>153</v>
      </c>
      <c r="D1359" t="s">
        <v>282</v>
      </c>
      <c r="E1359" t="s">
        <v>411</v>
      </c>
      <c r="F1359">
        <f>HYPERLINK("https://www.wikidata.org/wiki/Q33724121", "Q33724121")</f>
        <v>0</v>
      </c>
      <c r="G1359" t="s">
        <v>894</v>
      </c>
      <c r="H1359" t="s">
        <v>5650</v>
      </c>
      <c r="I1359" t="s">
        <v>9579</v>
      </c>
      <c r="J1359" t="s">
        <v>11640</v>
      </c>
      <c r="K1359" t="s">
        <v>16039</v>
      </c>
      <c r="L1359">
        <f>HYPERLINK("https://www2.assemblee-nationale.fr/sycomore/fiche/(num_dept)/1287", "1287")</f>
        <v>0</v>
      </c>
      <c r="N1359">
        <f>HYPERLINK("https://www.wikidata.org/wiki/Q15974067", "Q15974067")</f>
        <v>0</v>
      </c>
      <c r="O1359" t="s">
        <v>20010</v>
      </c>
      <c r="P1359" t="s">
        <v>20412</v>
      </c>
      <c r="Q1359" t="s">
        <v>17699</v>
      </c>
      <c r="R1359" t="s">
        <v>411</v>
      </c>
      <c r="S1359">
        <v>1658</v>
      </c>
    </row>
    <row r="1360" spans="1:19">
      <c r="A1360" t="s">
        <v>21</v>
      </c>
      <c r="B1360" t="s">
        <v>148</v>
      </c>
      <c r="C1360" t="s">
        <v>153</v>
      </c>
      <c r="D1360" t="s">
        <v>282</v>
      </c>
      <c r="E1360" t="s">
        <v>411</v>
      </c>
      <c r="F1360">
        <f>HYPERLINK("https://www.wikidata.org/wiki/Q33724121", "Q33724121")</f>
        <v>0</v>
      </c>
      <c r="G1360" t="s">
        <v>1232</v>
      </c>
      <c r="H1360" t="s">
        <v>5957</v>
      </c>
      <c r="I1360" t="s">
        <v>9717</v>
      </c>
      <c r="J1360" t="s">
        <v>11964</v>
      </c>
      <c r="K1360" t="s">
        <v>16366</v>
      </c>
      <c r="L1360">
        <f>HYPERLINK("https://www2.assemblee-nationale.fr/sycomore/fiche/(num_dept)/1304", "1304")</f>
        <v>0</v>
      </c>
      <c r="N1360">
        <f>HYPERLINK("https://www.wikidata.org/wiki/Q3511108", "Q3511108")</f>
        <v>0</v>
      </c>
      <c r="O1360" t="s">
        <v>20006</v>
      </c>
      <c r="P1360" t="s">
        <v>20404</v>
      </c>
      <c r="Q1360" t="s">
        <v>17699</v>
      </c>
      <c r="R1360" t="s">
        <v>411</v>
      </c>
      <c r="S1360">
        <v>1658</v>
      </c>
    </row>
    <row r="1361" spans="1:19">
      <c r="A1361" t="s">
        <v>21</v>
      </c>
      <c r="B1361" t="s">
        <v>148</v>
      </c>
      <c r="C1361" t="s">
        <v>153</v>
      </c>
      <c r="D1361" t="s">
        <v>282</v>
      </c>
      <c r="E1361" t="s">
        <v>411</v>
      </c>
      <c r="F1361">
        <f>HYPERLINK("https://www.wikidata.org/wiki/Q33724121", "Q33724121")</f>
        <v>0</v>
      </c>
      <c r="G1361" t="s">
        <v>895</v>
      </c>
      <c r="H1361" t="s">
        <v>5651</v>
      </c>
      <c r="I1361" t="s">
        <v>9580</v>
      </c>
      <c r="J1361" t="s">
        <v>11641</v>
      </c>
      <c r="K1361" t="s">
        <v>16040</v>
      </c>
      <c r="L1361">
        <f>HYPERLINK("https://www2.assemblee-nationale.fr/sycomore/fiche/(num_dept)/1306", "1306")</f>
        <v>0</v>
      </c>
      <c r="N1361">
        <f>HYPERLINK("https://www.wikidata.org/wiki/Q273607", "Q273607")</f>
        <v>0</v>
      </c>
      <c r="O1361" t="s">
        <v>19969</v>
      </c>
      <c r="P1361" t="s">
        <v>20418</v>
      </c>
      <c r="Q1361" t="s">
        <v>17699</v>
      </c>
      <c r="R1361" t="s">
        <v>411</v>
      </c>
      <c r="S1361">
        <v>1658</v>
      </c>
    </row>
    <row r="1362" spans="1:19">
      <c r="A1362" t="s">
        <v>21</v>
      </c>
      <c r="B1362" t="s">
        <v>148</v>
      </c>
      <c r="C1362" t="s">
        <v>153</v>
      </c>
      <c r="D1362" t="s">
        <v>282</v>
      </c>
      <c r="E1362" t="s">
        <v>411</v>
      </c>
      <c r="F1362">
        <f>HYPERLINK("https://www.wikidata.org/wiki/Q33724121", "Q33724121")</f>
        <v>0</v>
      </c>
      <c r="G1362" t="s">
        <v>896</v>
      </c>
      <c r="H1362" t="s">
        <v>5652</v>
      </c>
      <c r="I1362" t="s">
        <v>6175</v>
      </c>
      <c r="J1362" t="s">
        <v>11642</v>
      </c>
      <c r="K1362" t="s">
        <v>16041</v>
      </c>
      <c r="L1362">
        <f>HYPERLINK("https://www2.assemblee-nationale.fr/sycomore/fiche/(num_dept)/1313", "1313")</f>
        <v>0</v>
      </c>
      <c r="N1362">
        <f>HYPERLINK("https://www.wikidata.org/wiki/Q3102398", "Q3102398")</f>
        <v>0</v>
      </c>
      <c r="O1362" t="s">
        <v>19978</v>
      </c>
      <c r="P1362" t="s">
        <v>20412</v>
      </c>
      <c r="Q1362" t="s">
        <v>17699</v>
      </c>
      <c r="R1362" t="s">
        <v>411</v>
      </c>
      <c r="S1362">
        <v>1658</v>
      </c>
    </row>
    <row r="1363" spans="1:19">
      <c r="A1363" t="s">
        <v>21</v>
      </c>
      <c r="B1363" t="s">
        <v>148</v>
      </c>
      <c r="C1363" t="s">
        <v>153</v>
      </c>
      <c r="D1363" t="s">
        <v>282</v>
      </c>
      <c r="E1363" t="s">
        <v>411</v>
      </c>
      <c r="F1363">
        <f>HYPERLINK("https://www.wikidata.org/wiki/Q33724121", "Q33724121")</f>
        <v>0</v>
      </c>
      <c r="G1363" t="s">
        <v>1392</v>
      </c>
      <c r="H1363" t="s">
        <v>6103</v>
      </c>
      <c r="I1363" t="s">
        <v>9788</v>
      </c>
      <c r="J1363" t="s">
        <v>12118</v>
      </c>
      <c r="K1363" t="s">
        <v>16519</v>
      </c>
      <c r="L1363">
        <f>HYPERLINK("https://www2.assemblee-nationale.fr/sycomore/fiche/(num_dept)/1317", "1317")</f>
        <v>0</v>
      </c>
      <c r="N1363">
        <f>HYPERLINK("https://www.wikidata.org/wiki/Q8322628", "Q8322628")</f>
        <v>0</v>
      </c>
      <c r="O1363" t="s">
        <v>19992</v>
      </c>
      <c r="P1363" t="s">
        <v>20416</v>
      </c>
      <c r="Q1363" t="s">
        <v>17699</v>
      </c>
      <c r="R1363" t="s">
        <v>411</v>
      </c>
      <c r="S1363">
        <v>1658</v>
      </c>
    </row>
    <row r="1364" spans="1:19">
      <c r="A1364" t="s">
        <v>21</v>
      </c>
      <c r="B1364" t="s">
        <v>148</v>
      </c>
      <c r="C1364" t="s">
        <v>153</v>
      </c>
      <c r="D1364" t="s">
        <v>282</v>
      </c>
      <c r="E1364" t="s">
        <v>411</v>
      </c>
      <c r="F1364">
        <f>HYPERLINK("https://www.wikidata.org/wiki/Q33724121", "Q33724121")</f>
        <v>0</v>
      </c>
      <c r="G1364" t="s">
        <v>558</v>
      </c>
      <c r="H1364" t="s">
        <v>5321</v>
      </c>
      <c r="I1364" t="s">
        <v>9415</v>
      </c>
      <c r="J1364" t="s">
        <v>11309</v>
      </c>
      <c r="K1364" t="s">
        <v>15710</v>
      </c>
      <c r="L1364">
        <f>HYPERLINK("https://www2.assemblee-nationale.fr/sycomore/fiche/(num_dept)/1325", "1325")</f>
        <v>0</v>
      </c>
      <c r="N1364">
        <f>HYPERLINK("https://www.wikidata.org/wiki/Q15974084", "Q15974084")</f>
        <v>0</v>
      </c>
      <c r="O1364" t="s">
        <v>19969</v>
      </c>
      <c r="P1364" t="s">
        <v>20419</v>
      </c>
      <c r="Q1364" t="s">
        <v>17699</v>
      </c>
      <c r="R1364" t="s">
        <v>411</v>
      </c>
      <c r="S1364">
        <v>1658</v>
      </c>
    </row>
    <row r="1365" spans="1:19">
      <c r="A1365" t="s">
        <v>21</v>
      </c>
      <c r="B1365" t="s">
        <v>148</v>
      </c>
      <c r="C1365" t="s">
        <v>153</v>
      </c>
      <c r="D1365" t="s">
        <v>282</v>
      </c>
      <c r="E1365" t="s">
        <v>411</v>
      </c>
      <c r="F1365">
        <f>HYPERLINK("https://www.wikidata.org/wiki/Q33724121", "Q33724121")</f>
        <v>0</v>
      </c>
      <c r="G1365" t="s">
        <v>1234</v>
      </c>
      <c r="H1365" t="s">
        <v>5959</v>
      </c>
      <c r="I1365" t="s">
        <v>9719</v>
      </c>
      <c r="J1365" t="s">
        <v>11489</v>
      </c>
      <c r="K1365" t="s">
        <v>16368</v>
      </c>
      <c r="L1365">
        <f>HYPERLINK("https://www2.assemblee-nationale.fr/sycomore/fiche/(num_dept)/1346", "1346")</f>
        <v>0</v>
      </c>
      <c r="M1365">
        <f>HYPERLINK("https://www.senat.fr/senateur-3eme-republique/cachin_marcel1405r3.html", "cachin_marcel1405r3")</f>
        <v>0</v>
      </c>
      <c r="N1365">
        <f>HYPERLINK("https://www.wikidata.org/wiki/Q658479", "Q658479")</f>
        <v>0</v>
      </c>
      <c r="O1365" t="s">
        <v>19969</v>
      </c>
      <c r="P1365" t="s">
        <v>20404</v>
      </c>
      <c r="Q1365" t="s">
        <v>17699</v>
      </c>
      <c r="R1365" t="s">
        <v>411</v>
      </c>
      <c r="S1365">
        <v>1658</v>
      </c>
    </row>
    <row r="1366" spans="1:19">
      <c r="A1366" t="s">
        <v>21</v>
      </c>
      <c r="B1366" t="s">
        <v>148</v>
      </c>
      <c r="C1366" t="s">
        <v>153</v>
      </c>
      <c r="D1366" t="s">
        <v>282</v>
      </c>
      <c r="E1366" t="s">
        <v>411</v>
      </c>
      <c r="F1366">
        <f>HYPERLINK("https://www.wikidata.org/wiki/Q33724121", "Q33724121")</f>
        <v>0</v>
      </c>
      <c r="G1366" t="s">
        <v>1156</v>
      </c>
      <c r="H1366" t="s">
        <v>5890</v>
      </c>
      <c r="I1366" t="s">
        <v>9684</v>
      </c>
      <c r="J1366" t="s">
        <v>11890</v>
      </c>
      <c r="K1366" t="s">
        <v>16291</v>
      </c>
      <c r="L1366">
        <f>HYPERLINK("https://www2.assemblee-nationale.fr/sycomore/fiche/(num_dept)/1353", "1353")</f>
        <v>0</v>
      </c>
      <c r="M1366">
        <f>HYPERLINK("https://www.senat.fr/senateur-3eme-republique/cadot_henri0980r3.html", "cadot_henri0980r3")</f>
        <v>0</v>
      </c>
      <c r="N1366">
        <f>HYPERLINK("https://www.wikidata.org/wiki/Q3130771", "Q3130771")</f>
        <v>0</v>
      </c>
      <c r="O1366" t="s">
        <v>19968</v>
      </c>
      <c r="P1366" t="s">
        <v>20404</v>
      </c>
      <c r="Q1366" t="s">
        <v>17699</v>
      </c>
      <c r="R1366" t="s">
        <v>411</v>
      </c>
      <c r="S1366">
        <v>1658</v>
      </c>
    </row>
    <row r="1367" spans="1:19">
      <c r="A1367" t="s">
        <v>21</v>
      </c>
      <c r="B1367" t="s">
        <v>148</v>
      </c>
      <c r="C1367" t="s">
        <v>153</v>
      </c>
      <c r="D1367" t="s">
        <v>282</v>
      </c>
      <c r="E1367" t="s">
        <v>411</v>
      </c>
      <c r="F1367">
        <f>HYPERLINK("https://www.wikidata.org/wiki/Q33724121", "Q33724121")</f>
        <v>0</v>
      </c>
      <c r="G1367" t="s">
        <v>1393</v>
      </c>
      <c r="H1367" t="s">
        <v>6104</v>
      </c>
      <c r="I1367" t="s">
        <v>9789</v>
      </c>
      <c r="J1367" t="s">
        <v>12119</v>
      </c>
      <c r="K1367" t="s">
        <v>16520</v>
      </c>
      <c r="L1367">
        <f>HYPERLINK("https://www2.assemblee-nationale.fr/sycomore/fiche/(num_dept)/1360", "1360")</f>
        <v>0</v>
      </c>
      <c r="N1367">
        <f>HYPERLINK("https://www.wikidata.org/wiki/Q8309751", "Q8309751")</f>
        <v>0</v>
      </c>
      <c r="O1367" t="s">
        <v>19981</v>
      </c>
      <c r="P1367" t="s">
        <v>20409</v>
      </c>
      <c r="Q1367" t="s">
        <v>17699</v>
      </c>
      <c r="R1367" t="s">
        <v>411</v>
      </c>
      <c r="S1367">
        <v>1658</v>
      </c>
    </row>
    <row r="1368" spans="1:19">
      <c r="A1368" t="s">
        <v>21</v>
      </c>
      <c r="B1368" t="s">
        <v>148</v>
      </c>
      <c r="C1368" t="s">
        <v>153</v>
      </c>
      <c r="D1368" t="s">
        <v>282</v>
      </c>
      <c r="E1368" t="s">
        <v>411</v>
      </c>
      <c r="F1368">
        <f>HYPERLINK("https://www.wikidata.org/wiki/Q33724121", "Q33724121")</f>
        <v>0</v>
      </c>
      <c r="G1368" t="s">
        <v>1394</v>
      </c>
      <c r="H1368" t="s">
        <v>6105</v>
      </c>
      <c r="I1368" t="s">
        <v>9790</v>
      </c>
      <c r="J1368" t="s">
        <v>12120</v>
      </c>
      <c r="K1368" t="s">
        <v>16521</v>
      </c>
      <c r="L1368">
        <f>HYPERLINK("https://www2.assemblee-nationale.fr/sycomore/fiche/(num_dept)/1371", "1371")</f>
        <v>0</v>
      </c>
      <c r="N1368">
        <f>HYPERLINK("https://www.wikidata.org/wiki/Q15974097", "Q15974097")</f>
        <v>0</v>
      </c>
      <c r="O1368" t="s">
        <v>19955</v>
      </c>
      <c r="P1368" t="s">
        <v>20409</v>
      </c>
      <c r="Q1368" t="s">
        <v>17699</v>
      </c>
      <c r="R1368" t="s">
        <v>411</v>
      </c>
      <c r="S1368">
        <v>1658</v>
      </c>
    </row>
    <row r="1369" spans="1:19">
      <c r="A1369" t="s">
        <v>21</v>
      </c>
      <c r="B1369" t="s">
        <v>148</v>
      </c>
      <c r="C1369" t="s">
        <v>153</v>
      </c>
      <c r="D1369" t="s">
        <v>282</v>
      </c>
      <c r="E1369" t="s">
        <v>411</v>
      </c>
      <c r="F1369">
        <f>HYPERLINK("https://www.wikidata.org/wiki/Q33724121", "Q33724121")</f>
        <v>0</v>
      </c>
      <c r="G1369" t="s">
        <v>1395</v>
      </c>
      <c r="H1369" t="s">
        <v>6106</v>
      </c>
      <c r="I1369" t="s">
        <v>9791</v>
      </c>
      <c r="J1369" t="s">
        <v>12121</v>
      </c>
      <c r="K1369" t="s">
        <v>16522</v>
      </c>
      <c r="L1369">
        <f>HYPERLINK("https://www2.assemblee-nationale.fr/sycomore/fiche/(num_dept)/1372", "1372")</f>
        <v>0</v>
      </c>
      <c r="N1369">
        <f>HYPERLINK("https://www.wikidata.org/wiki/Q15974120", "Q15974120")</f>
        <v>0</v>
      </c>
      <c r="O1369" t="s">
        <v>19969</v>
      </c>
      <c r="P1369" t="s">
        <v>20417</v>
      </c>
      <c r="Q1369" t="s">
        <v>17699</v>
      </c>
      <c r="R1369" t="s">
        <v>411</v>
      </c>
      <c r="S1369">
        <v>1658</v>
      </c>
    </row>
    <row r="1370" spans="1:19">
      <c r="A1370" t="s">
        <v>21</v>
      </c>
      <c r="B1370" t="s">
        <v>148</v>
      </c>
      <c r="C1370" t="s">
        <v>153</v>
      </c>
      <c r="D1370" t="s">
        <v>282</v>
      </c>
      <c r="E1370" t="s">
        <v>411</v>
      </c>
      <c r="F1370">
        <f>HYPERLINK("https://www.wikidata.org/wiki/Q33724121", "Q33724121")</f>
        <v>0</v>
      </c>
      <c r="G1370" t="s">
        <v>1396</v>
      </c>
      <c r="H1370" t="s">
        <v>6107</v>
      </c>
      <c r="I1370" t="s">
        <v>6175</v>
      </c>
      <c r="J1370" t="s">
        <v>12122</v>
      </c>
      <c r="K1370" t="s">
        <v>16523</v>
      </c>
      <c r="L1370">
        <f>HYPERLINK("https://www2.assemblee-nationale.fr/sycomore/fiche/(num_dept)/1384", "1384")</f>
        <v>0</v>
      </c>
      <c r="N1370">
        <f>HYPERLINK("https://www.wikidata.org/wiki/Q15974104", "Q15974104")</f>
        <v>0</v>
      </c>
      <c r="O1370" t="s">
        <v>19987</v>
      </c>
      <c r="P1370" t="s">
        <v>20419</v>
      </c>
      <c r="Q1370" t="s">
        <v>17699</v>
      </c>
      <c r="R1370" t="s">
        <v>411</v>
      </c>
      <c r="S1370">
        <v>1658</v>
      </c>
    </row>
    <row r="1371" spans="1:19">
      <c r="A1371" t="s">
        <v>21</v>
      </c>
      <c r="B1371" t="s">
        <v>148</v>
      </c>
      <c r="C1371" t="s">
        <v>153</v>
      </c>
      <c r="D1371" t="s">
        <v>282</v>
      </c>
      <c r="E1371" t="s">
        <v>411</v>
      </c>
      <c r="F1371">
        <f>HYPERLINK("https://www.wikidata.org/wiki/Q33724121", "Q33724121")</f>
        <v>0</v>
      </c>
      <c r="G1371" t="s">
        <v>561</v>
      </c>
      <c r="H1371" t="s">
        <v>5324</v>
      </c>
      <c r="I1371" t="s">
        <v>9416</v>
      </c>
      <c r="J1371" t="s">
        <v>11312</v>
      </c>
      <c r="K1371" t="s">
        <v>15713</v>
      </c>
      <c r="L1371">
        <f>HYPERLINK("https://www2.assemblee-nationale.fr/sycomore/fiche/(num_dept)/1408", "1408")</f>
        <v>0</v>
      </c>
      <c r="N1371">
        <f>HYPERLINK("https://www.wikidata.org/wiki/Q15974169", "Q15974169")</f>
        <v>0</v>
      </c>
      <c r="O1371" t="s">
        <v>20002</v>
      </c>
      <c r="P1371" t="s">
        <v>20406</v>
      </c>
      <c r="Q1371" t="s">
        <v>17699</v>
      </c>
      <c r="R1371" t="s">
        <v>411</v>
      </c>
      <c r="S1371">
        <v>1658</v>
      </c>
    </row>
    <row r="1372" spans="1:19">
      <c r="A1372" t="s">
        <v>21</v>
      </c>
      <c r="B1372" t="s">
        <v>148</v>
      </c>
      <c r="C1372" t="s">
        <v>153</v>
      </c>
      <c r="D1372" t="s">
        <v>282</v>
      </c>
      <c r="E1372" t="s">
        <v>411</v>
      </c>
      <c r="F1372">
        <f>HYPERLINK("https://www.wikidata.org/wiki/Q33724121", "Q33724121")</f>
        <v>0</v>
      </c>
      <c r="G1372" t="s">
        <v>1397</v>
      </c>
      <c r="H1372" t="s">
        <v>6108</v>
      </c>
      <c r="I1372" t="s">
        <v>9792</v>
      </c>
      <c r="J1372" t="s">
        <v>12123</v>
      </c>
      <c r="K1372" t="s">
        <v>16524</v>
      </c>
      <c r="L1372">
        <f>HYPERLINK("https://www2.assemblee-nationale.fr/sycomore/fiche/(num_dept)/1412", "1412")</f>
        <v>0</v>
      </c>
      <c r="N1372">
        <f>HYPERLINK("https://www.wikidata.org/wiki/Q3163931", "Q3163931")</f>
        <v>0</v>
      </c>
      <c r="O1372" t="s">
        <v>19990</v>
      </c>
      <c r="P1372" t="s">
        <v>20404</v>
      </c>
      <c r="Q1372" t="s">
        <v>17699</v>
      </c>
      <c r="R1372" t="s">
        <v>411</v>
      </c>
      <c r="S1372">
        <v>1658</v>
      </c>
    </row>
    <row r="1373" spans="1:19">
      <c r="A1373" t="s">
        <v>21</v>
      </c>
      <c r="B1373" t="s">
        <v>148</v>
      </c>
      <c r="C1373" t="s">
        <v>153</v>
      </c>
      <c r="D1373" t="s">
        <v>282</v>
      </c>
      <c r="E1373" t="s">
        <v>411</v>
      </c>
      <c r="F1373">
        <f>HYPERLINK("https://www.wikidata.org/wiki/Q33724121", "Q33724121")</f>
        <v>0</v>
      </c>
      <c r="G1373" t="s">
        <v>1398</v>
      </c>
      <c r="H1373" t="s">
        <v>6109</v>
      </c>
      <c r="I1373" t="s">
        <v>9407</v>
      </c>
      <c r="J1373" t="s">
        <v>12124</v>
      </c>
      <c r="K1373" t="s">
        <v>16525</v>
      </c>
      <c r="L1373">
        <f>HYPERLINK("https://www2.assemblee-nationale.fr/sycomore/fiche/(num_dept)/1429", "1429")</f>
        <v>0</v>
      </c>
      <c r="M1373">
        <f>HYPERLINK("https://www.senat.fr/senateur-3eme-republique/capus_joseph0215r3.html", "capus_joseph0215r3")</f>
        <v>0</v>
      </c>
      <c r="N1373">
        <f>HYPERLINK("https://www.wikidata.org/wiki/Q2405409", "Q2405409")</f>
        <v>0</v>
      </c>
      <c r="O1373" t="s">
        <v>19987</v>
      </c>
      <c r="P1373" t="s">
        <v>20419</v>
      </c>
      <c r="Q1373" t="s">
        <v>17699</v>
      </c>
      <c r="R1373" t="s">
        <v>411</v>
      </c>
      <c r="S1373">
        <v>1658</v>
      </c>
    </row>
    <row r="1374" spans="1:19">
      <c r="A1374" t="s">
        <v>21</v>
      </c>
      <c r="B1374" t="s">
        <v>148</v>
      </c>
      <c r="C1374" t="s">
        <v>153</v>
      </c>
      <c r="D1374" t="s">
        <v>282</v>
      </c>
      <c r="E1374" t="s">
        <v>411</v>
      </c>
      <c r="F1374">
        <f>HYPERLINK("https://www.wikidata.org/wiki/Q33724121", "Q33724121")</f>
        <v>0</v>
      </c>
      <c r="G1374" t="s">
        <v>1399</v>
      </c>
      <c r="H1374" t="s">
        <v>6110</v>
      </c>
      <c r="I1374" t="s">
        <v>9793</v>
      </c>
      <c r="J1374" t="s">
        <v>12125</v>
      </c>
      <c r="K1374" t="s">
        <v>16526</v>
      </c>
      <c r="L1374">
        <f>HYPERLINK("https://www2.assemblee-nationale.fr/sycomore/fiche/(num_dept)/1456", "1456")</f>
        <v>0</v>
      </c>
      <c r="N1374">
        <f>HYPERLINK("https://www.wikidata.org/wiki/Q3425965", "Q3425965")</f>
        <v>0</v>
      </c>
      <c r="O1374" t="s">
        <v>19973</v>
      </c>
      <c r="P1374" t="s">
        <v>20416</v>
      </c>
      <c r="Q1374" t="s">
        <v>17699</v>
      </c>
      <c r="R1374" t="s">
        <v>411</v>
      </c>
      <c r="S1374">
        <v>1658</v>
      </c>
    </row>
    <row r="1375" spans="1:19">
      <c r="A1375" t="s">
        <v>21</v>
      </c>
      <c r="B1375" t="s">
        <v>148</v>
      </c>
      <c r="C1375" t="s">
        <v>153</v>
      </c>
      <c r="D1375" t="s">
        <v>282</v>
      </c>
      <c r="E1375" t="s">
        <v>411</v>
      </c>
      <c r="F1375">
        <f>HYPERLINK("https://www.wikidata.org/wiki/Q33724121", "Q33724121")</f>
        <v>0</v>
      </c>
      <c r="G1375" t="s">
        <v>1400</v>
      </c>
      <c r="H1375" t="s">
        <v>6111</v>
      </c>
      <c r="I1375" t="s">
        <v>9794</v>
      </c>
      <c r="J1375" t="s">
        <v>12126</v>
      </c>
      <c r="K1375" t="s">
        <v>16527</v>
      </c>
      <c r="L1375">
        <f>HYPERLINK("https://www2.assemblee-nationale.fr/sycomore/fiche/(num_dept)/1489", "1489")</f>
        <v>0</v>
      </c>
      <c r="N1375">
        <f>HYPERLINK("https://www.wikidata.org/wiki/Q3371356", "Q3371356")</f>
        <v>0</v>
      </c>
      <c r="O1375" t="s">
        <v>20003</v>
      </c>
      <c r="P1375" t="s">
        <v>20420</v>
      </c>
      <c r="Q1375" t="s">
        <v>17699</v>
      </c>
      <c r="R1375" t="s">
        <v>411</v>
      </c>
      <c r="S1375">
        <v>1658</v>
      </c>
    </row>
    <row r="1376" spans="1:19">
      <c r="A1376" t="s">
        <v>21</v>
      </c>
      <c r="B1376" t="s">
        <v>148</v>
      </c>
      <c r="C1376" t="s">
        <v>153</v>
      </c>
      <c r="D1376" t="s">
        <v>282</v>
      </c>
      <c r="E1376" t="s">
        <v>411</v>
      </c>
      <c r="F1376">
        <f>HYPERLINK("https://www.wikidata.org/wiki/Q33724121", "Q33724121")</f>
        <v>0</v>
      </c>
      <c r="G1376" t="s">
        <v>1401</v>
      </c>
      <c r="H1376" t="s">
        <v>6112</v>
      </c>
      <c r="I1376" t="s">
        <v>5528</v>
      </c>
      <c r="J1376" t="s">
        <v>11473</v>
      </c>
      <c r="K1376" t="s">
        <v>16528</v>
      </c>
      <c r="L1376">
        <f>HYPERLINK("https://www2.assemblee-nationale.fr/sycomore/fiche/(num_dept)/1500", "1500")</f>
        <v>0</v>
      </c>
      <c r="N1376">
        <f>HYPERLINK("https://www.wikidata.org/wiki/Q3270798", "Q3270798")</f>
        <v>0</v>
      </c>
      <c r="O1376" t="s">
        <v>19960</v>
      </c>
      <c r="P1376" t="s">
        <v>20418</v>
      </c>
      <c r="Q1376" t="s">
        <v>17699</v>
      </c>
      <c r="R1376" t="s">
        <v>411</v>
      </c>
      <c r="S1376">
        <v>1658</v>
      </c>
    </row>
    <row r="1377" spans="1:19">
      <c r="A1377" t="s">
        <v>21</v>
      </c>
      <c r="B1377" t="s">
        <v>148</v>
      </c>
      <c r="C1377" t="s">
        <v>153</v>
      </c>
      <c r="D1377" t="s">
        <v>282</v>
      </c>
      <c r="E1377" t="s">
        <v>411</v>
      </c>
      <c r="F1377">
        <f>HYPERLINK("https://www.wikidata.org/wiki/Q33724121", "Q33724121")</f>
        <v>0</v>
      </c>
      <c r="G1377" t="s">
        <v>1402</v>
      </c>
      <c r="H1377" t="s">
        <v>6113</v>
      </c>
      <c r="I1377" t="s">
        <v>9795</v>
      </c>
      <c r="J1377" t="s">
        <v>12127</v>
      </c>
      <c r="K1377" t="s">
        <v>16529</v>
      </c>
      <c r="L1377">
        <f>HYPERLINK("https://www2.assemblee-nationale.fr/sycomore/fiche/(num_dept)/1505", "1505")</f>
        <v>0</v>
      </c>
      <c r="M1377">
        <f>HYPERLINK("https://www.senat.fr/senateur-3eme-republique/de_castellane_stanislas0375r3.html", "de_castellane_stanislas0375r3")</f>
        <v>0</v>
      </c>
      <c r="N1377">
        <f>HYPERLINK("https://www.wikidata.org/wiki/Q3496715", "Q3496715")</f>
        <v>0</v>
      </c>
      <c r="O1377" t="s">
        <v>19966</v>
      </c>
      <c r="P1377" t="s">
        <v>20417</v>
      </c>
      <c r="Q1377" t="s">
        <v>17699</v>
      </c>
      <c r="R1377" t="s">
        <v>411</v>
      </c>
      <c r="S1377">
        <v>1658</v>
      </c>
    </row>
    <row r="1378" spans="1:19">
      <c r="A1378" t="s">
        <v>21</v>
      </c>
      <c r="B1378" t="s">
        <v>148</v>
      </c>
      <c r="C1378" t="s">
        <v>153</v>
      </c>
      <c r="D1378" t="s">
        <v>282</v>
      </c>
      <c r="E1378" t="s">
        <v>411</v>
      </c>
      <c r="F1378">
        <f>HYPERLINK("https://www.wikidata.org/wiki/Q33724121", "Q33724121")</f>
        <v>0</v>
      </c>
      <c r="G1378" t="s">
        <v>1403</v>
      </c>
      <c r="H1378" t="s">
        <v>5961</v>
      </c>
      <c r="I1378" t="s">
        <v>9796</v>
      </c>
      <c r="J1378" t="s">
        <v>12128</v>
      </c>
      <c r="K1378" t="s">
        <v>16530</v>
      </c>
      <c r="L1378">
        <f>HYPERLINK("https://www2.assemblee-nationale.fr/sycomore/fiche/(num_dept)/1508", "1508")</f>
        <v>0</v>
      </c>
      <c r="N1378">
        <f>HYPERLINK("https://www.wikidata.org/wiki/Q1079578", "Q1079578")</f>
        <v>0</v>
      </c>
      <c r="O1378" t="s">
        <v>19967</v>
      </c>
      <c r="P1378" t="s">
        <v>20416</v>
      </c>
      <c r="Q1378" t="s">
        <v>17699</v>
      </c>
      <c r="R1378" t="s">
        <v>411</v>
      </c>
      <c r="S1378">
        <v>1658</v>
      </c>
    </row>
    <row r="1379" spans="1:19">
      <c r="A1379" t="s">
        <v>21</v>
      </c>
      <c r="B1379" t="s">
        <v>148</v>
      </c>
      <c r="C1379" t="s">
        <v>153</v>
      </c>
      <c r="D1379" t="s">
        <v>282</v>
      </c>
      <c r="E1379" t="s">
        <v>411</v>
      </c>
      <c r="F1379">
        <f>HYPERLINK("https://www.wikidata.org/wiki/Q33724121", "Q33724121")</f>
        <v>0</v>
      </c>
      <c r="G1379" t="s">
        <v>1404</v>
      </c>
      <c r="H1379" t="s">
        <v>6114</v>
      </c>
      <c r="I1379" t="s">
        <v>9388</v>
      </c>
      <c r="J1379" t="s">
        <v>12129</v>
      </c>
      <c r="K1379" t="s">
        <v>16531</v>
      </c>
      <c r="L1379">
        <f>HYPERLINK("https://www2.assemblee-nationale.fr/sycomore/fiche/(num_dept)/1534", "1534")</f>
        <v>0</v>
      </c>
      <c r="N1379">
        <f>HYPERLINK("https://www.wikidata.org/wiki/Q15974258", "Q15974258")</f>
        <v>0</v>
      </c>
      <c r="O1379" t="s">
        <v>20036</v>
      </c>
      <c r="P1379" t="s">
        <v>20416</v>
      </c>
      <c r="Q1379" t="s">
        <v>17699</v>
      </c>
      <c r="R1379" t="s">
        <v>411</v>
      </c>
      <c r="S1379">
        <v>1658</v>
      </c>
    </row>
    <row r="1380" spans="1:19">
      <c r="A1380" t="s">
        <v>21</v>
      </c>
      <c r="B1380" t="s">
        <v>148</v>
      </c>
      <c r="C1380" t="s">
        <v>153</v>
      </c>
      <c r="D1380" t="s">
        <v>282</v>
      </c>
      <c r="E1380" t="s">
        <v>411</v>
      </c>
      <c r="F1380">
        <f>HYPERLINK("https://www.wikidata.org/wiki/Q33724121", "Q33724121")</f>
        <v>0</v>
      </c>
      <c r="G1380" t="s">
        <v>1405</v>
      </c>
      <c r="H1380" t="s">
        <v>6115</v>
      </c>
      <c r="I1380" t="s">
        <v>9506</v>
      </c>
      <c r="J1380" t="s">
        <v>12130</v>
      </c>
      <c r="K1380" t="s">
        <v>16532</v>
      </c>
      <c r="L1380">
        <f>HYPERLINK("https://www2.assemblee-nationale.fr/sycomore/fiche/(num_dept)/1536", "1536")</f>
        <v>0</v>
      </c>
      <c r="M1380">
        <f>HYPERLINK("https://www.senat.fr/senateur-3eme-republique/cautru_camille0339r3.html", "cautru_camille0339r3")</f>
        <v>0</v>
      </c>
      <c r="N1380">
        <f>HYPERLINK("https://www.wikidata.org/wiki/Q2934880", "Q2934880")</f>
        <v>0</v>
      </c>
      <c r="O1380" t="s">
        <v>20009</v>
      </c>
      <c r="P1380" t="s">
        <v>20416</v>
      </c>
      <c r="Q1380" t="s">
        <v>17699</v>
      </c>
      <c r="R1380" t="s">
        <v>411</v>
      </c>
      <c r="S1380">
        <v>1658</v>
      </c>
    </row>
    <row r="1381" spans="1:19">
      <c r="A1381" t="s">
        <v>21</v>
      </c>
      <c r="B1381" t="s">
        <v>148</v>
      </c>
      <c r="C1381" t="s">
        <v>153</v>
      </c>
      <c r="D1381" t="s">
        <v>282</v>
      </c>
      <c r="E1381" t="s">
        <v>411</v>
      </c>
      <c r="F1381">
        <f>HYPERLINK("https://www.wikidata.org/wiki/Q33724121", "Q33724121")</f>
        <v>0</v>
      </c>
      <c r="G1381" t="s">
        <v>1406</v>
      </c>
      <c r="H1381" t="s">
        <v>6116</v>
      </c>
      <c r="I1381" t="s">
        <v>9797</v>
      </c>
      <c r="J1381" t="s">
        <v>12131</v>
      </c>
      <c r="K1381" t="s">
        <v>16533</v>
      </c>
      <c r="L1381">
        <f>HYPERLINK("https://www2.assemblee-nationale.fr/sycomore/fiche/(num_dept)/1551", "1551")</f>
        <v>0</v>
      </c>
      <c r="N1381">
        <f>HYPERLINK("https://www.wikidata.org/wiki/Q14613510", "Q14613510")</f>
        <v>0</v>
      </c>
      <c r="O1381" t="s">
        <v>20019</v>
      </c>
      <c r="P1381" t="s">
        <v>20418</v>
      </c>
      <c r="Q1381" t="s">
        <v>17699</v>
      </c>
      <c r="R1381" t="s">
        <v>411</v>
      </c>
      <c r="S1381">
        <v>1658</v>
      </c>
    </row>
    <row r="1382" spans="1:19">
      <c r="A1382" t="s">
        <v>21</v>
      </c>
      <c r="B1382" t="s">
        <v>148</v>
      </c>
      <c r="C1382" t="s">
        <v>153</v>
      </c>
      <c r="D1382" t="s">
        <v>282</v>
      </c>
      <c r="E1382" t="s">
        <v>411</v>
      </c>
      <c r="F1382">
        <f>HYPERLINK("https://www.wikidata.org/wiki/Q33724121", "Q33724121")</f>
        <v>0</v>
      </c>
      <c r="G1382" t="s">
        <v>903</v>
      </c>
      <c r="H1382" t="s">
        <v>5659</v>
      </c>
      <c r="I1382" t="s">
        <v>6200</v>
      </c>
      <c r="J1382" t="s">
        <v>11648</v>
      </c>
      <c r="K1382" t="s">
        <v>16047</v>
      </c>
      <c r="L1382">
        <f>HYPERLINK("https://www2.assemblee-nationale.fr/sycomore/fiche/(num_dept)/1572", "1572")</f>
        <v>0</v>
      </c>
      <c r="N1382">
        <f>HYPERLINK("https://www.wikidata.org/wiki/Q3171180", "Q3171180")</f>
        <v>0</v>
      </c>
      <c r="O1382" t="s">
        <v>20043</v>
      </c>
      <c r="P1382" t="s">
        <v>20418</v>
      </c>
      <c r="Q1382" t="s">
        <v>17699</v>
      </c>
      <c r="R1382" t="s">
        <v>411</v>
      </c>
      <c r="S1382">
        <v>1658</v>
      </c>
    </row>
    <row r="1383" spans="1:19">
      <c r="A1383" t="s">
        <v>21</v>
      </c>
      <c r="B1383" t="s">
        <v>148</v>
      </c>
      <c r="C1383" t="s">
        <v>153</v>
      </c>
      <c r="D1383" t="s">
        <v>282</v>
      </c>
      <c r="E1383" t="s">
        <v>411</v>
      </c>
      <c r="F1383">
        <f>HYPERLINK("https://www.wikidata.org/wiki/Q33724121", "Q33724121")</f>
        <v>0</v>
      </c>
      <c r="G1383" t="s">
        <v>565</v>
      </c>
      <c r="H1383" t="s">
        <v>5328</v>
      </c>
      <c r="I1383" t="s">
        <v>6860</v>
      </c>
      <c r="J1383" t="s">
        <v>11316</v>
      </c>
      <c r="K1383" t="s">
        <v>15717</v>
      </c>
      <c r="L1383">
        <f>HYPERLINK("https://www2.assemblee-nationale.fr/sycomore/fiche/(num_dept)/1623", "1623")</f>
        <v>0</v>
      </c>
      <c r="M1383">
        <f>HYPERLINK("https://www.senat.fr/senateur-3eme-republique/de_chambrun_pierre0856r3.html", "de_chambrun_pierre0856r3")</f>
        <v>0</v>
      </c>
      <c r="N1383">
        <f>HYPERLINK("https://www.wikidata.org/wiki/Q3042196", "Q3042196")</f>
        <v>0</v>
      </c>
      <c r="O1383" t="s">
        <v>20004</v>
      </c>
      <c r="P1383" t="s">
        <v>20412</v>
      </c>
      <c r="Q1383" t="s">
        <v>17699</v>
      </c>
      <c r="R1383" t="s">
        <v>411</v>
      </c>
      <c r="S1383">
        <v>1658</v>
      </c>
    </row>
    <row r="1384" spans="1:19">
      <c r="A1384" t="s">
        <v>21</v>
      </c>
      <c r="B1384" t="s">
        <v>148</v>
      </c>
      <c r="C1384" t="s">
        <v>153</v>
      </c>
      <c r="D1384" t="s">
        <v>282</v>
      </c>
      <c r="E1384" t="s">
        <v>411</v>
      </c>
      <c r="F1384">
        <f>HYPERLINK("https://www.wikidata.org/wiki/Q33724121", "Q33724121")</f>
        <v>0</v>
      </c>
      <c r="G1384" t="s">
        <v>906</v>
      </c>
      <c r="H1384" t="s">
        <v>5662</v>
      </c>
      <c r="I1384" t="s">
        <v>6495</v>
      </c>
      <c r="J1384" t="s">
        <v>11377</v>
      </c>
      <c r="K1384" t="s">
        <v>16050</v>
      </c>
      <c r="L1384">
        <f>HYPERLINK("https://www2.assemblee-nationale.fr/sycomore/fiche/(num_dept)/1648", "1648")</f>
        <v>0</v>
      </c>
      <c r="N1384">
        <f>HYPERLINK("https://www.wikidata.org/wiki/Q3263418", "Q3263418")</f>
        <v>0</v>
      </c>
      <c r="O1384" t="s">
        <v>19964</v>
      </c>
      <c r="P1384" t="s">
        <v>20409</v>
      </c>
      <c r="Q1384" t="s">
        <v>17699</v>
      </c>
      <c r="R1384" t="s">
        <v>411</v>
      </c>
      <c r="S1384">
        <v>1658</v>
      </c>
    </row>
    <row r="1385" spans="1:19">
      <c r="A1385" t="s">
        <v>21</v>
      </c>
      <c r="B1385" t="s">
        <v>148</v>
      </c>
      <c r="C1385" t="s">
        <v>153</v>
      </c>
      <c r="D1385" t="s">
        <v>282</v>
      </c>
      <c r="E1385" t="s">
        <v>411</v>
      </c>
      <c r="F1385">
        <f>HYPERLINK("https://www.wikidata.org/wiki/Q33724121", "Q33724121")</f>
        <v>0</v>
      </c>
      <c r="G1385" t="s">
        <v>1407</v>
      </c>
      <c r="H1385" t="s">
        <v>6117</v>
      </c>
      <c r="I1385" t="s">
        <v>9798</v>
      </c>
      <c r="J1385" t="s">
        <v>12132</v>
      </c>
      <c r="K1385" t="s">
        <v>16534</v>
      </c>
      <c r="L1385">
        <f>HYPERLINK("https://www2.assemblee-nationale.fr/sycomore/fiche/(num_dept)/1692", "1692")</f>
        <v>0</v>
      </c>
      <c r="N1385">
        <f>HYPERLINK("https://www.wikidata.org/wiki/Q3370851", "Q3370851")</f>
        <v>0</v>
      </c>
      <c r="O1385" t="s">
        <v>19969</v>
      </c>
      <c r="P1385" t="s">
        <v>20416</v>
      </c>
      <c r="Q1385" t="s">
        <v>17699</v>
      </c>
      <c r="R1385" t="s">
        <v>411</v>
      </c>
      <c r="S1385">
        <v>1658</v>
      </c>
    </row>
    <row r="1386" spans="1:19">
      <c r="A1386" t="s">
        <v>21</v>
      </c>
      <c r="B1386" t="s">
        <v>148</v>
      </c>
      <c r="C1386" t="s">
        <v>153</v>
      </c>
      <c r="D1386" t="s">
        <v>282</v>
      </c>
      <c r="E1386" t="s">
        <v>411</v>
      </c>
      <c r="F1386">
        <f>HYPERLINK("https://www.wikidata.org/wiki/Q33724121", "Q33724121")</f>
        <v>0</v>
      </c>
      <c r="G1386" t="s">
        <v>1408</v>
      </c>
      <c r="H1386" t="s">
        <v>6118</v>
      </c>
      <c r="I1386" t="s">
        <v>9799</v>
      </c>
      <c r="J1386" t="s">
        <v>12133</v>
      </c>
      <c r="K1386" t="s">
        <v>16535</v>
      </c>
      <c r="L1386">
        <f>HYPERLINK("https://www2.assemblee-nationale.fr/sycomore/fiche/(num_dept)/1714", "1714")</f>
        <v>0</v>
      </c>
      <c r="N1386">
        <f>HYPERLINK("https://www.wikidata.org/wiki/Q16026266", "Q16026266")</f>
        <v>0</v>
      </c>
      <c r="O1386" t="s">
        <v>19977</v>
      </c>
      <c r="P1386" t="s">
        <v>20404</v>
      </c>
      <c r="Q1386" t="s">
        <v>17699</v>
      </c>
      <c r="R1386" t="s">
        <v>411</v>
      </c>
      <c r="S1386">
        <v>1658</v>
      </c>
    </row>
    <row r="1387" spans="1:19">
      <c r="A1387" t="s">
        <v>21</v>
      </c>
      <c r="B1387" t="s">
        <v>148</v>
      </c>
      <c r="C1387" t="s">
        <v>153</v>
      </c>
      <c r="D1387" t="s">
        <v>282</v>
      </c>
      <c r="E1387" t="s">
        <v>411</v>
      </c>
      <c r="F1387">
        <f>HYPERLINK("https://www.wikidata.org/wiki/Q33724121", "Q33724121")</f>
        <v>0</v>
      </c>
      <c r="G1387" t="s">
        <v>1158</v>
      </c>
      <c r="H1387" t="s">
        <v>5892</v>
      </c>
      <c r="I1387" t="s">
        <v>9686</v>
      </c>
      <c r="J1387" t="s">
        <v>11834</v>
      </c>
      <c r="K1387" t="s">
        <v>16293</v>
      </c>
      <c r="L1387">
        <f>HYPERLINK("https://www2.assemblee-nationale.fr/sycomore/fiche/(num_dept)/1718", "1718")</f>
        <v>0</v>
      </c>
      <c r="N1387">
        <f>HYPERLINK("https://www.wikidata.org/wiki/Q16025432", "Q16025432")</f>
        <v>0</v>
      </c>
      <c r="O1387" t="s">
        <v>20043</v>
      </c>
      <c r="P1387" t="s">
        <v>20418</v>
      </c>
      <c r="Q1387" t="s">
        <v>17699</v>
      </c>
      <c r="R1387" t="s">
        <v>16293</v>
      </c>
      <c r="S1387">
        <v>319</v>
      </c>
    </row>
    <row r="1388" spans="1:19">
      <c r="A1388" t="s">
        <v>21</v>
      </c>
      <c r="B1388" t="s">
        <v>148</v>
      </c>
      <c r="C1388" t="s">
        <v>153</v>
      </c>
      <c r="D1388" t="s">
        <v>282</v>
      </c>
      <c r="E1388" t="s">
        <v>411</v>
      </c>
      <c r="F1388">
        <f>HYPERLINK("https://www.wikidata.org/wiki/Q33724121", "Q33724121")</f>
        <v>0</v>
      </c>
      <c r="G1388" t="s">
        <v>1409</v>
      </c>
      <c r="H1388" t="s">
        <v>6119</v>
      </c>
      <c r="I1388" t="s">
        <v>9800</v>
      </c>
      <c r="J1388" t="s">
        <v>12134</v>
      </c>
      <c r="K1388" t="s">
        <v>16536</v>
      </c>
      <c r="L1388">
        <f>HYPERLINK("https://www2.assemblee-nationale.fr/sycomore/fiche/(num_dept)/1722", "1722")</f>
        <v>0</v>
      </c>
      <c r="N1388">
        <f>HYPERLINK("https://www.wikidata.org/wiki/Q2865047", "Q2865047")</f>
        <v>0</v>
      </c>
      <c r="O1388" t="s">
        <v>20026</v>
      </c>
      <c r="P1388" t="s">
        <v>20404</v>
      </c>
      <c r="Q1388" t="s">
        <v>17699</v>
      </c>
      <c r="R1388" t="s">
        <v>411</v>
      </c>
      <c r="S1388">
        <v>1658</v>
      </c>
    </row>
    <row r="1389" spans="1:19">
      <c r="A1389" t="s">
        <v>21</v>
      </c>
      <c r="B1389" t="s">
        <v>148</v>
      </c>
      <c r="C1389" t="s">
        <v>153</v>
      </c>
      <c r="D1389" t="s">
        <v>282</v>
      </c>
      <c r="E1389" t="s">
        <v>411</v>
      </c>
      <c r="F1389">
        <f>HYPERLINK("https://www.wikidata.org/wiki/Q33724121", "Q33724121")</f>
        <v>0</v>
      </c>
      <c r="G1389" t="s">
        <v>1410</v>
      </c>
      <c r="H1389" t="s">
        <v>5337</v>
      </c>
      <c r="I1389" t="s">
        <v>9506</v>
      </c>
      <c r="J1389" t="s">
        <v>12135</v>
      </c>
      <c r="K1389" t="s">
        <v>16537</v>
      </c>
      <c r="L1389">
        <f>HYPERLINK("https://www2.assemblee-nationale.fr/sycomore/fiche/(num_dept)/1726", "1726")</f>
        <v>0</v>
      </c>
      <c r="M1389">
        <f>HYPERLINK("https://www.senat.fr/senateur-3eme-republique/chautemps_camille0380r3.html", "chautemps_camille0380r3")</f>
        <v>0</v>
      </c>
      <c r="N1389">
        <f>HYPERLINK("https://www.wikidata.org/wiki/Q263884", "Q263884")</f>
        <v>0</v>
      </c>
      <c r="O1389" t="s">
        <v>20008</v>
      </c>
      <c r="P1389" t="s">
        <v>20418</v>
      </c>
      <c r="Q1389" t="s">
        <v>17699</v>
      </c>
      <c r="R1389" t="s">
        <v>411</v>
      </c>
      <c r="S1389">
        <v>1658</v>
      </c>
    </row>
    <row r="1390" spans="1:19">
      <c r="A1390" t="s">
        <v>21</v>
      </c>
      <c r="B1390" t="s">
        <v>148</v>
      </c>
      <c r="C1390" t="s">
        <v>153</v>
      </c>
      <c r="D1390" t="s">
        <v>282</v>
      </c>
      <c r="E1390" t="s">
        <v>411</v>
      </c>
      <c r="F1390">
        <f>HYPERLINK("https://www.wikidata.org/wiki/Q33724121", "Q33724121")</f>
        <v>0</v>
      </c>
      <c r="G1390" t="s">
        <v>1411</v>
      </c>
      <c r="H1390" t="s">
        <v>5338</v>
      </c>
      <c r="I1390" t="s">
        <v>9534</v>
      </c>
      <c r="J1390" t="s">
        <v>12136</v>
      </c>
      <c r="K1390" t="s">
        <v>16538</v>
      </c>
      <c r="L1390">
        <f>HYPERLINK("https://www2.assemblee-nationale.fr/sycomore/fiche/(num_dept)/1767", "1767")</f>
        <v>0</v>
      </c>
      <c r="N1390">
        <f>HYPERLINK("https://www.wikidata.org/wiki/Q2824794", "Q2824794")</f>
        <v>0</v>
      </c>
      <c r="O1390" t="s">
        <v>19969</v>
      </c>
      <c r="P1390" t="s">
        <v>20418</v>
      </c>
      <c r="Q1390" t="s">
        <v>17699</v>
      </c>
      <c r="R1390" t="s">
        <v>411</v>
      </c>
      <c r="S1390">
        <v>1658</v>
      </c>
    </row>
    <row r="1391" spans="1:19">
      <c r="A1391" t="s">
        <v>21</v>
      </c>
      <c r="B1391" t="s">
        <v>148</v>
      </c>
      <c r="C1391" t="s">
        <v>153</v>
      </c>
      <c r="D1391" t="s">
        <v>282</v>
      </c>
      <c r="E1391" t="s">
        <v>411</v>
      </c>
      <c r="F1391">
        <f>HYPERLINK("https://www.wikidata.org/wiki/Q33724121", "Q33724121")</f>
        <v>0</v>
      </c>
      <c r="G1391" t="s">
        <v>1412</v>
      </c>
      <c r="H1391" t="s">
        <v>6120</v>
      </c>
      <c r="I1391" t="s">
        <v>9801</v>
      </c>
      <c r="J1391" t="s">
        <v>11897</v>
      </c>
      <c r="K1391" t="s">
        <v>16539</v>
      </c>
      <c r="L1391">
        <f>HYPERLINK("https://www2.assemblee-nationale.fr/sycomore/fiche/(num_dept)/1812", "1812")</f>
        <v>0</v>
      </c>
      <c r="N1391">
        <f>HYPERLINK("https://www.wikidata.org/wiki/Q16025449", "Q16025449")</f>
        <v>0</v>
      </c>
      <c r="O1391" t="s">
        <v>19970</v>
      </c>
      <c r="P1391" t="s">
        <v>20409</v>
      </c>
      <c r="Q1391" t="s">
        <v>17699</v>
      </c>
      <c r="R1391" t="s">
        <v>16539</v>
      </c>
      <c r="S1391">
        <v>767</v>
      </c>
    </row>
    <row r="1392" spans="1:19">
      <c r="A1392" t="s">
        <v>21</v>
      </c>
      <c r="B1392" t="s">
        <v>148</v>
      </c>
      <c r="C1392" t="s">
        <v>153</v>
      </c>
      <c r="D1392" t="s">
        <v>282</v>
      </c>
      <c r="E1392" t="s">
        <v>411</v>
      </c>
      <c r="F1392">
        <f>HYPERLINK("https://www.wikidata.org/wiki/Q33724121", "Q33724121")</f>
        <v>0</v>
      </c>
      <c r="G1392" t="s">
        <v>578</v>
      </c>
      <c r="H1392" t="s">
        <v>5340</v>
      </c>
      <c r="I1392" t="s">
        <v>9429</v>
      </c>
      <c r="J1392" t="s">
        <v>11329</v>
      </c>
      <c r="K1392" t="s">
        <v>15730</v>
      </c>
      <c r="L1392">
        <f>HYPERLINK("https://www2.assemblee-nationale.fr/sycomore/fiche/(num_dept)/1831", "1831")</f>
        <v>0</v>
      </c>
      <c r="N1392">
        <f>HYPERLINK("https://www.wikidata.org/wiki/Q16025454", "Q16025454")</f>
        <v>0</v>
      </c>
      <c r="O1392" t="s">
        <v>20010</v>
      </c>
      <c r="P1392" t="s">
        <v>20412</v>
      </c>
      <c r="Q1392" t="s">
        <v>17699</v>
      </c>
      <c r="R1392" t="s">
        <v>411</v>
      </c>
      <c r="S1392">
        <v>1658</v>
      </c>
    </row>
    <row r="1393" spans="1:19">
      <c r="A1393" t="s">
        <v>21</v>
      </c>
      <c r="B1393" t="s">
        <v>148</v>
      </c>
      <c r="C1393" t="s">
        <v>153</v>
      </c>
      <c r="D1393" t="s">
        <v>282</v>
      </c>
      <c r="E1393" t="s">
        <v>411</v>
      </c>
      <c r="F1393">
        <f>HYPERLINK("https://www.wikidata.org/wiki/Q33724121", "Q33724121")</f>
        <v>0</v>
      </c>
      <c r="G1393" t="s">
        <v>1093</v>
      </c>
      <c r="H1393" t="s">
        <v>5835</v>
      </c>
      <c r="I1393" t="s">
        <v>9407</v>
      </c>
      <c r="J1393" t="s">
        <v>11829</v>
      </c>
      <c r="K1393" t="s">
        <v>16229</v>
      </c>
      <c r="L1393">
        <f>HYPERLINK("https://www2.assemblee-nationale.fr/sycomore/fiche/(num_dept)/1839", "1839")</f>
        <v>0</v>
      </c>
      <c r="N1393">
        <f>HYPERLINK("https://www.wikidata.org/wiki/Q3184763", "Q3184763")</f>
        <v>0</v>
      </c>
      <c r="O1393" t="s">
        <v>20005</v>
      </c>
      <c r="P1393" t="s">
        <v>20404</v>
      </c>
      <c r="Q1393" t="s">
        <v>17699</v>
      </c>
      <c r="R1393" t="s">
        <v>411</v>
      </c>
      <c r="S1393">
        <v>1658</v>
      </c>
    </row>
    <row r="1394" spans="1:19">
      <c r="A1394" t="s">
        <v>21</v>
      </c>
      <c r="B1394" t="s">
        <v>148</v>
      </c>
      <c r="C1394" t="s">
        <v>153</v>
      </c>
      <c r="D1394" t="s">
        <v>282</v>
      </c>
      <c r="E1394" t="s">
        <v>411</v>
      </c>
      <c r="F1394">
        <f>HYPERLINK("https://www.wikidata.org/wiki/Q33724121", "Q33724121")</f>
        <v>0</v>
      </c>
      <c r="G1394" t="s">
        <v>1413</v>
      </c>
      <c r="H1394" t="s">
        <v>6121</v>
      </c>
      <c r="I1394" t="s">
        <v>7642</v>
      </c>
      <c r="J1394" t="s">
        <v>12137</v>
      </c>
      <c r="K1394" t="s">
        <v>16540</v>
      </c>
      <c r="L1394">
        <f>HYPERLINK("https://www2.assemblee-nationale.fr/sycomore/fiche/(num_dept)/1923", "1923")</f>
        <v>0</v>
      </c>
      <c r="N1394">
        <f>HYPERLINK("https://www.wikidata.org/wiki/Q3300588", "Q3300588")</f>
        <v>0</v>
      </c>
      <c r="O1394" t="s">
        <v>19976</v>
      </c>
      <c r="P1394" t="s">
        <v>20417</v>
      </c>
      <c r="Q1394" t="s">
        <v>17699</v>
      </c>
      <c r="R1394" t="s">
        <v>411</v>
      </c>
      <c r="S1394">
        <v>1658</v>
      </c>
    </row>
    <row r="1395" spans="1:19">
      <c r="A1395" t="s">
        <v>21</v>
      </c>
      <c r="B1395" t="s">
        <v>148</v>
      </c>
      <c r="C1395" t="s">
        <v>153</v>
      </c>
      <c r="D1395" t="s">
        <v>282</v>
      </c>
      <c r="E1395" t="s">
        <v>411</v>
      </c>
      <c r="F1395">
        <f>HYPERLINK("https://www.wikidata.org/wiki/Q33724121", "Q33724121")</f>
        <v>0</v>
      </c>
      <c r="G1395" t="s">
        <v>586</v>
      </c>
      <c r="H1395" t="s">
        <v>5347</v>
      </c>
      <c r="I1395" t="s">
        <v>9435</v>
      </c>
      <c r="J1395" t="s">
        <v>11337</v>
      </c>
      <c r="K1395" t="s">
        <v>15738</v>
      </c>
      <c r="L1395">
        <f>HYPERLINK("https://www2.assemblee-nationale.fr/sycomore/fiche/(num_dept)/1926", "1926")</f>
        <v>0</v>
      </c>
      <c r="N1395">
        <f>HYPERLINK("https://www.wikidata.org/wiki/Q16025476", "Q16025476")</f>
        <v>0</v>
      </c>
      <c r="O1395" t="s">
        <v>19987</v>
      </c>
      <c r="P1395" t="s">
        <v>20417</v>
      </c>
      <c r="Q1395" t="s">
        <v>17699</v>
      </c>
      <c r="R1395" t="s">
        <v>411</v>
      </c>
      <c r="S1395">
        <v>1658</v>
      </c>
    </row>
    <row r="1396" spans="1:19">
      <c r="A1396" t="s">
        <v>21</v>
      </c>
      <c r="B1396" t="s">
        <v>148</v>
      </c>
      <c r="C1396" t="s">
        <v>153</v>
      </c>
      <c r="D1396" t="s">
        <v>282</v>
      </c>
      <c r="E1396" t="s">
        <v>411</v>
      </c>
      <c r="F1396">
        <f>HYPERLINK("https://www.wikidata.org/wiki/Q33724121", "Q33724121")</f>
        <v>0</v>
      </c>
      <c r="G1396" t="s">
        <v>587</v>
      </c>
      <c r="H1396" t="s">
        <v>5348</v>
      </c>
      <c r="I1396" t="s">
        <v>9436</v>
      </c>
      <c r="J1396" t="s">
        <v>11338</v>
      </c>
      <c r="K1396" t="s">
        <v>15739</v>
      </c>
      <c r="L1396">
        <f>HYPERLINK("https://www2.assemblee-nationale.fr/sycomore/fiche/(num_dept)/1934", "1934")</f>
        <v>0</v>
      </c>
      <c r="N1396">
        <f>HYPERLINK("https://www.wikidata.org/wiki/Q2825487", "Q2825487")</f>
        <v>0</v>
      </c>
      <c r="O1396" t="s">
        <v>20014</v>
      </c>
      <c r="P1396" t="s">
        <v>20404</v>
      </c>
      <c r="Q1396" t="s">
        <v>17699</v>
      </c>
      <c r="R1396" t="s">
        <v>411</v>
      </c>
      <c r="S1396">
        <v>1658</v>
      </c>
    </row>
    <row r="1397" spans="1:19">
      <c r="A1397" t="s">
        <v>21</v>
      </c>
      <c r="B1397" t="s">
        <v>148</v>
      </c>
      <c r="C1397" t="s">
        <v>153</v>
      </c>
      <c r="D1397" t="s">
        <v>282</v>
      </c>
      <c r="E1397" t="s">
        <v>411</v>
      </c>
      <c r="F1397">
        <f>HYPERLINK("https://www.wikidata.org/wiki/Q33724121", "Q33724121")</f>
        <v>0</v>
      </c>
      <c r="G1397" t="s">
        <v>1240</v>
      </c>
      <c r="H1397" t="s">
        <v>5965</v>
      </c>
      <c r="I1397" t="s">
        <v>9457</v>
      </c>
      <c r="J1397" t="s">
        <v>11971</v>
      </c>
      <c r="K1397" t="s">
        <v>16374</v>
      </c>
      <c r="L1397">
        <f>HYPERLINK("https://www2.assemblee-nationale.fr/sycomore/fiche/(num_dept)/1939", "1939")</f>
        <v>0</v>
      </c>
      <c r="M1397">
        <f>HYPERLINK("https://www.senat.fr/senateur-3eme-republique/connevot_henri0649r3.html", "connevot_henri0649r3")</f>
        <v>0</v>
      </c>
      <c r="N1397">
        <f>HYPERLINK("https://www.wikidata.org/wiki/Q3130867", "Q3130867")</f>
        <v>0</v>
      </c>
      <c r="O1397" t="s">
        <v>19979</v>
      </c>
      <c r="P1397" t="s">
        <v>20418</v>
      </c>
      <c r="Q1397" t="s">
        <v>17699</v>
      </c>
      <c r="R1397" t="s">
        <v>411</v>
      </c>
      <c r="S1397">
        <v>1658</v>
      </c>
    </row>
    <row r="1398" spans="1:19">
      <c r="A1398" t="s">
        <v>21</v>
      </c>
      <c r="B1398" t="s">
        <v>148</v>
      </c>
      <c r="C1398" t="s">
        <v>153</v>
      </c>
      <c r="D1398" t="s">
        <v>282</v>
      </c>
      <c r="E1398" t="s">
        <v>411</v>
      </c>
      <c r="F1398">
        <f>HYPERLINK("https://www.wikidata.org/wiki/Q33724121", "Q33724121")</f>
        <v>0</v>
      </c>
      <c r="G1398" t="s">
        <v>1130</v>
      </c>
      <c r="H1398" t="s">
        <v>5867</v>
      </c>
      <c r="I1398" t="s">
        <v>9445</v>
      </c>
      <c r="J1398" t="s">
        <v>11864</v>
      </c>
      <c r="K1398" t="s">
        <v>16266</v>
      </c>
      <c r="L1398">
        <f>HYPERLINK("https://www2.assemblee-nationale.fr/sycomore/fiche/(num_dept)/1941", "1941")</f>
        <v>0</v>
      </c>
      <c r="N1398">
        <f>HYPERLINK("https://www.wikidata.org/wiki/Q16025480", "Q16025480")</f>
        <v>0</v>
      </c>
      <c r="O1398" t="s">
        <v>20045</v>
      </c>
      <c r="P1398" t="s">
        <v>20416</v>
      </c>
      <c r="Q1398" t="s">
        <v>17699</v>
      </c>
      <c r="R1398" t="s">
        <v>411</v>
      </c>
      <c r="S1398">
        <v>1658</v>
      </c>
    </row>
    <row r="1399" spans="1:19">
      <c r="A1399" t="s">
        <v>21</v>
      </c>
      <c r="B1399" t="s">
        <v>148</v>
      </c>
      <c r="C1399" t="s">
        <v>153</v>
      </c>
      <c r="D1399" t="s">
        <v>282</v>
      </c>
      <c r="E1399" t="s">
        <v>411</v>
      </c>
      <c r="F1399">
        <f>HYPERLINK("https://www.wikidata.org/wiki/Q33724121", "Q33724121")</f>
        <v>0</v>
      </c>
      <c r="G1399" t="s">
        <v>1414</v>
      </c>
      <c r="H1399" t="s">
        <v>5867</v>
      </c>
      <c r="I1399" t="s">
        <v>9802</v>
      </c>
      <c r="J1399" t="s">
        <v>12138</v>
      </c>
      <c r="K1399" t="s">
        <v>16541</v>
      </c>
      <c r="L1399">
        <f>HYPERLINK("https://www2.assemblee-nationale.fr/sycomore/fiche/(num_dept)/1945", "1945")</f>
        <v>0</v>
      </c>
      <c r="N1399">
        <f>HYPERLINK("https://www.wikidata.org/wiki/Q16025481", "Q16025481")</f>
        <v>0</v>
      </c>
      <c r="O1399" t="s">
        <v>19960</v>
      </c>
      <c r="P1399" t="s">
        <v>20417</v>
      </c>
      <c r="Q1399" t="s">
        <v>17699</v>
      </c>
      <c r="R1399" t="s">
        <v>411</v>
      </c>
      <c r="S1399">
        <v>1658</v>
      </c>
    </row>
    <row r="1400" spans="1:19">
      <c r="A1400" t="s">
        <v>21</v>
      </c>
      <c r="B1400" t="s">
        <v>148</v>
      </c>
      <c r="C1400" t="s">
        <v>153</v>
      </c>
      <c r="D1400" t="s">
        <v>282</v>
      </c>
      <c r="E1400" t="s">
        <v>411</v>
      </c>
      <c r="F1400">
        <f>HYPERLINK("https://www.wikidata.org/wiki/Q33724121", "Q33724121")</f>
        <v>0</v>
      </c>
      <c r="G1400" t="s">
        <v>1415</v>
      </c>
      <c r="H1400" t="s">
        <v>5349</v>
      </c>
      <c r="I1400" t="s">
        <v>9483</v>
      </c>
      <c r="J1400" t="s">
        <v>12139</v>
      </c>
      <c r="K1400" t="s">
        <v>16542</v>
      </c>
      <c r="L1400">
        <f>HYPERLINK("https://www2.assemblee-nationale.fr/sycomore/fiche/(num_dept)/1948", "1948")</f>
        <v>0</v>
      </c>
      <c r="M1400">
        <f>HYPERLINK("https://www.senat.fr/senateur-3eme-republique/constant_victor1353r3.html", "constant_victor1353r3")</f>
        <v>0</v>
      </c>
      <c r="N1400">
        <f>HYPERLINK("https://www.wikidata.org/wiki/Q3557227", "Q3557227")</f>
        <v>0</v>
      </c>
      <c r="O1400" t="s">
        <v>19997</v>
      </c>
      <c r="P1400" t="s">
        <v>20416</v>
      </c>
      <c r="Q1400" t="s">
        <v>17699</v>
      </c>
      <c r="R1400" t="s">
        <v>411</v>
      </c>
      <c r="S1400">
        <v>1658</v>
      </c>
    </row>
    <row r="1401" spans="1:19">
      <c r="A1401" t="s">
        <v>21</v>
      </c>
      <c r="B1401" t="s">
        <v>148</v>
      </c>
      <c r="C1401" t="s">
        <v>153</v>
      </c>
      <c r="D1401" t="s">
        <v>282</v>
      </c>
      <c r="E1401" t="s">
        <v>411</v>
      </c>
      <c r="F1401">
        <f>HYPERLINK("https://www.wikidata.org/wiki/Q33724121", "Q33724121")</f>
        <v>0</v>
      </c>
      <c r="G1401" t="s">
        <v>1416</v>
      </c>
      <c r="H1401" t="s">
        <v>6122</v>
      </c>
      <c r="I1401" t="s">
        <v>6200</v>
      </c>
      <c r="J1401" t="s">
        <v>12140</v>
      </c>
      <c r="K1401" t="s">
        <v>16438</v>
      </c>
      <c r="L1401">
        <f>HYPERLINK("https://www2.assemblee-nationale.fr/sycomore/fiche/(num_dept)/1958", "1958")</f>
        <v>0</v>
      </c>
      <c r="N1401">
        <f>HYPERLINK("https://www.wikidata.org/wiki/Q8307941", "Q8307941")</f>
        <v>0</v>
      </c>
      <c r="O1401" t="s">
        <v>19994</v>
      </c>
      <c r="P1401" t="s">
        <v>20412</v>
      </c>
      <c r="Q1401" t="s">
        <v>17699</v>
      </c>
      <c r="R1401" t="s">
        <v>411</v>
      </c>
      <c r="S1401">
        <v>1658</v>
      </c>
    </row>
    <row r="1402" spans="1:19">
      <c r="A1402" t="s">
        <v>21</v>
      </c>
      <c r="B1402" t="s">
        <v>148</v>
      </c>
      <c r="C1402" t="s">
        <v>153</v>
      </c>
      <c r="D1402" t="s">
        <v>282</v>
      </c>
      <c r="E1402" t="s">
        <v>411</v>
      </c>
      <c r="F1402">
        <f>HYPERLINK("https://www.wikidata.org/wiki/Q33724121", "Q33724121")</f>
        <v>0</v>
      </c>
      <c r="G1402" t="s">
        <v>589</v>
      </c>
      <c r="H1402" t="s">
        <v>5350</v>
      </c>
      <c r="I1402" t="s">
        <v>9438</v>
      </c>
      <c r="J1402" t="s">
        <v>11340</v>
      </c>
      <c r="K1402" t="s">
        <v>15741</v>
      </c>
      <c r="L1402">
        <f>HYPERLINK("https://www2.assemblee-nationale.fr/sycomore/fiche/(num_dept)/1979", "1979")</f>
        <v>0</v>
      </c>
      <c r="M1402">
        <f>HYPERLINK("https://www.senat.fr/senateur-3eme-republique/cornudet_des_chaumettes_honore1635r3.html", "cornudet_des_chaumettes_honore1635r3")</f>
        <v>0</v>
      </c>
      <c r="N1402">
        <f>HYPERLINK("https://www.wikidata.org/wiki/Q3140215", "Q3140215")</f>
        <v>0</v>
      </c>
      <c r="O1402" t="s">
        <v>19976</v>
      </c>
      <c r="P1402" t="s">
        <v>20416</v>
      </c>
      <c r="Q1402" t="s">
        <v>17699</v>
      </c>
      <c r="R1402" t="s">
        <v>411</v>
      </c>
      <c r="S1402">
        <v>1658</v>
      </c>
    </row>
    <row r="1403" spans="1:19">
      <c r="A1403" t="s">
        <v>21</v>
      </c>
      <c r="B1403" t="s">
        <v>148</v>
      </c>
      <c r="C1403" t="s">
        <v>153</v>
      </c>
      <c r="D1403" t="s">
        <v>282</v>
      </c>
      <c r="E1403" t="s">
        <v>411</v>
      </c>
      <c r="F1403">
        <f>HYPERLINK("https://www.wikidata.org/wiki/Q33724121", "Q33724121")</f>
        <v>0</v>
      </c>
      <c r="G1403" t="s">
        <v>1417</v>
      </c>
      <c r="H1403" t="s">
        <v>6123</v>
      </c>
      <c r="I1403" t="s">
        <v>9407</v>
      </c>
      <c r="J1403" t="s">
        <v>12141</v>
      </c>
      <c r="K1403" t="s">
        <v>16543</v>
      </c>
      <c r="L1403">
        <f>HYPERLINK("https://www2.assemblee-nationale.fr/sycomore/fiche/(num_dept)/2003", "2003")</f>
        <v>0</v>
      </c>
      <c r="M1403">
        <f>HYPERLINK("https://www.senat.fr/senateur-3eme-republique/coucoureux_joseph0296r3.html", "coucoureux_joseph0296r3")</f>
        <v>0</v>
      </c>
      <c r="N1403">
        <f>HYPERLINK("https://www.wikidata.org/wiki/Q3184791", "Q3184791")</f>
        <v>0</v>
      </c>
      <c r="O1403" t="s">
        <v>19967</v>
      </c>
      <c r="P1403" t="s">
        <v>20416</v>
      </c>
      <c r="Q1403" t="s">
        <v>17699</v>
      </c>
      <c r="R1403" t="s">
        <v>411</v>
      </c>
      <c r="S1403">
        <v>1658</v>
      </c>
    </row>
    <row r="1404" spans="1:19">
      <c r="A1404" t="s">
        <v>21</v>
      </c>
      <c r="B1404" t="s">
        <v>148</v>
      </c>
      <c r="C1404" t="s">
        <v>153</v>
      </c>
      <c r="D1404" t="s">
        <v>282</v>
      </c>
      <c r="E1404" t="s">
        <v>411</v>
      </c>
      <c r="F1404">
        <f>HYPERLINK("https://www.wikidata.org/wiki/Q33724121", "Q33724121")</f>
        <v>0</v>
      </c>
      <c r="G1404" t="s">
        <v>1418</v>
      </c>
      <c r="H1404" t="s">
        <v>6124</v>
      </c>
      <c r="I1404" t="s">
        <v>6175</v>
      </c>
      <c r="J1404" t="s">
        <v>12142</v>
      </c>
      <c r="K1404" t="s">
        <v>16544</v>
      </c>
      <c r="L1404">
        <f>HYPERLINK("https://www2.assemblee-nationale.fr/sycomore/fiche/(num_dept)/2034", "2034")</f>
        <v>0</v>
      </c>
      <c r="N1404">
        <f>HYPERLINK("https://www.wikidata.org/wiki/Q10643961", "Q10643961")</f>
        <v>0</v>
      </c>
      <c r="O1404" t="s">
        <v>20005</v>
      </c>
      <c r="P1404" t="s">
        <v>20412</v>
      </c>
      <c r="Q1404" t="s">
        <v>17699</v>
      </c>
      <c r="R1404" t="s">
        <v>411</v>
      </c>
      <c r="S1404">
        <v>1658</v>
      </c>
    </row>
    <row r="1405" spans="1:19">
      <c r="A1405" t="s">
        <v>21</v>
      </c>
      <c r="B1405" t="s">
        <v>148</v>
      </c>
      <c r="C1405" t="s">
        <v>153</v>
      </c>
      <c r="D1405" t="s">
        <v>282</v>
      </c>
      <c r="E1405" t="s">
        <v>411</v>
      </c>
      <c r="F1405">
        <f>HYPERLINK("https://www.wikidata.org/wiki/Q33724121", "Q33724121")</f>
        <v>0</v>
      </c>
      <c r="G1405" t="s">
        <v>1419</v>
      </c>
      <c r="H1405" t="s">
        <v>6125</v>
      </c>
      <c r="I1405" t="s">
        <v>9803</v>
      </c>
      <c r="J1405" t="s">
        <v>12143</v>
      </c>
      <c r="K1405" t="s">
        <v>16545</v>
      </c>
      <c r="L1405">
        <f>HYPERLINK("https://www2.assemblee-nationale.fr/sycomore/fiche/(num_dept)/2035", "2035")</f>
        <v>0</v>
      </c>
      <c r="M1405">
        <f>HYPERLINK("https://www.senat.fr/senateur-3eme-republique/courtier_joseph0875r3.html", "courtier_joseph0875r3")</f>
        <v>0</v>
      </c>
      <c r="N1405">
        <f>HYPERLINK("https://www.wikidata.org/wiki/Q3184795", "Q3184795")</f>
        <v>0</v>
      </c>
      <c r="O1405" t="s">
        <v>20022</v>
      </c>
      <c r="P1405" t="s">
        <v>20412</v>
      </c>
      <c r="Q1405" t="s">
        <v>17699</v>
      </c>
      <c r="R1405" t="s">
        <v>21391</v>
      </c>
      <c r="S1405">
        <v>1536</v>
      </c>
    </row>
    <row r="1406" spans="1:19">
      <c r="A1406" t="s">
        <v>21</v>
      </c>
      <c r="B1406" t="s">
        <v>148</v>
      </c>
      <c r="C1406" t="s">
        <v>153</v>
      </c>
      <c r="D1406" t="s">
        <v>282</v>
      </c>
      <c r="E1406" t="s">
        <v>411</v>
      </c>
      <c r="F1406">
        <f>HYPERLINK("https://www.wikidata.org/wiki/Q33724121", "Q33724121")</f>
        <v>0</v>
      </c>
      <c r="G1406" t="s">
        <v>1144</v>
      </c>
      <c r="H1406" t="s">
        <v>5879</v>
      </c>
      <c r="I1406" t="s">
        <v>9676</v>
      </c>
      <c r="J1406" t="s">
        <v>11878</v>
      </c>
      <c r="K1406" t="s">
        <v>16280</v>
      </c>
      <c r="L1406">
        <f>HYPERLINK("https://www2.assemblee-nationale.fr/sycomore/fiche/(num_dept)/2045", "2045")</f>
        <v>0</v>
      </c>
      <c r="N1406">
        <f>HYPERLINK("https://www.wikidata.org/wiki/Q16025497", "Q16025497")</f>
        <v>0</v>
      </c>
      <c r="O1406" t="s">
        <v>19969</v>
      </c>
      <c r="P1406" t="s">
        <v>20406</v>
      </c>
      <c r="Q1406" t="s">
        <v>17699</v>
      </c>
      <c r="R1406" t="s">
        <v>411</v>
      </c>
      <c r="S1406">
        <v>1658</v>
      </c>
    </row>
    <row r="1407" spans="1:19">
      <c r="A1407" t="s">
        <v>21</v>
      </c>
      <c r="B1407" t="s">
        <v>148</v>
      </c>
      <c r="C1407" t="s">
        <v>153</v>
      </c>
      <c r="D1407" t="s">
        <v>282</v>
      </c>
      <c r="E1407" t="s">
        <v>411</v>
      </c>
      <c r="F1407">
        <f>HYPERLINK("https://www.wikidata.org/wiki/Q33724121", "Q33724121")</f>
        <v>0</v>
      </c>
      <c r="G1407" t="s">
        <v>1420</v>
      </c>
      <c r="H1407" t="s">
        <v>5879</v>
      </c>
      <c r="I1407" t="s">
        <v>9388</v>
      </c>
      <c r="J1407" t="s">
        <v>12144</v>
      </c>
      <c r="K1407" t="s">
        <v>16546</v>
      </c>
      <c r="L1407">
        <f>HYPERLINK("https://www2.assemblee-nationale.fr/sycomore/fiche/(num_dept)/2046", "2046")</f>
        <v>0</v>
      </c>
      <c r="N1407">
        <f>HYPERLINK("https://www.wikidata.org/wiki/Q16025499", "Q16025499")</f>
        <v>0</v>
      </c>
      <c r="O1407" t="s">
        <v>20025</v>
      </c>
      <c r="P1407" t="s">
        <v>20412</v>
      </c>
      <c r="Q1407" t="s">
        <v>17699</v>
      </c>
      <c r="R1407" t="s">
        <v>16546</v>
      </c>
      <c r="S1407">
        <v>421</v>
      </c>
    </row>
    <row r="1408" spans="1:19">
      <c r="A1408" t="s">
        <v>21</v>
      </c>
      <c r="B1408" t="s">
        <v>148</v>
      </c>
      <c r="C1408" t="s">
        <v>153</v>
      </c>
      <c r="D1408" t="s">
        <v>282</v>
      </c>
      <c r="E1408" t="s">
        <v>411</v>
      </c>
      <c r="F1408">
        <f>HYPERLINK("https://www.wikidata.org/wiki/Q33724121", "Q33724121")</f>
        <v>0</v>
      </c>
      <c r="G1408" t="s">
        <v>1421</v>
      </c>
      <c r="H1408" t="s">
        <v>6126</v>
      </c>
      <c r="I1408" t="s">
        <v>9804</v>
      </c>
      <c r="J1408" t="s">
        <v>12145</v>
      </c>
      <c r="K1408" t="s">
        <v>16547</v>
      </c>
      <c r="L1408">
        <f>HYPERLINK("https://www2.assemblee-nationale.fr/sycomore/fiche/(num_dept)/2049", "2049")</f>
        <v>0</v>
      </c>
      <c r="N1408">
        <f>HYPERLINK("https://www.wikidata.org/wiki/Q3056904", "Q3056904")</f>
        <v>0</v>
      </c>
      <c r="O1408" t="s">
        <v>20013</v>
      </c>
      <c r="P1408" t="s">
        <v>20404</v>
      </c>
      <c r="Q1408" t="s">
        <v>17699</v>
      </c>
      <c r="R1408" t="s">
        <v>411</v>
      </c>
      <c r="S1408">
        <v>1658</v>
      </c>
    </row>
    <row r="1409" spans="1:19">
      <c r="A1409" t="s">
        <v>21</v>
      </c>
      <c r="B1409" t="s">
        <v>148</v>
      </c>
      <c r="C1409" t="s">
        <v>153</v>
      </c>
      <c r="D1409" t="s">
        <v>282</v>
      </c>
      <c r="E1409" t="s">
        <v>411</v>
      </c>
      <c r="F1409">
        <f>HYPERLINK("https://www.wikidata.org/wiki/Q33724121", "Q33724121")</f>
        <v>0</v>
      </c>
      <c r="G1409" t="s">
        <v>1422</v>
      </c>
      <c r="H1409" t="s">
        <v>6127</v>
      </c>
      <c r="I1409" t="s">
        <v>9805</v>
      </c>
      <c r="J1409" t="s">
        <v>12146</v>
      </c>
      <c r="K1409" t="s">
        <v>16548</v>
      </c>
      <c r="L1409">
        <f>HYPERLINK("https://www2.assemblee-nationale.fr/sycomore/fiche/(num_dept)/2068", "2068")</f>
        <v>0</v>
      </c>
      <c r="N1409">
        <f>HYPERLINK("https://www.wikidata.org/wiki/Q16025504", "Q16025504")</f>
        <v>0</v>
      </c>
      <c r="O1409" t="s">
        <v>20013</v>
      </c>
      <c r="P1409" t="s">
        <v>20416</v>
      </c>
      <c r="Q1409" t="s">
        <v>17699</v>
      </c>
      <c r="R1409" t="s">
        <v>411</v>
      </c>
      <c r="S1409">
        <v>1658</v>
      </c>
    </row>
    <row r="1410" spans="1:19">
      <c r="A1410" t="s">
        <v>21</v>
      </c>
      <c r="B1410" t="s">
        <v>148</v>
      </c>
      <c r="C1410" t="s">
        <v>153</v>
      </c>
      <c r="D1410" t="s">
        <v>282</v>
      </c>
      <c r="E1410" t="s">
        <v>411</v>
      </c>
      <c r="F1410">
        <f>HYPERLINK("https://www.wikidata.org/wiki/Q33724121", "Q33724121")</f>
        <v>0</v>
      </c>
      <c r="G1410" t="s">
        <v>917</v>
      </c>
      <c r="H1410" t="s">
        <v>5673</v>
      </c>
      <c r="I1410" t="s">
        <v>6584</v>
      </c>
      <c r="J1410" t="s">
        <v>11660</v>
      </c>
      <c r="K1410" t="s">
        <v>16060</v>
      </c>
      <c r="L1410">
        <f>HYPERLINK("https://www2.assemblee-nationale.fr/sycomore/fiche/(num_dept)/2075", "2075")</f>
        <v>0</v>
      </c>
      <c r="N1410">
        <f>HYPERLINK("https://www.wikidata.org/wiki/Q2831067", "Q2831067")</f>
        <v>0</v>
      </c>
      <c r="O1410" t="s">
        <v>20018</v>
      </c>
      <c r="P1410" t="s">
        <v>20416</v>
      </c>
      <c r="Q1410" t="s">
        <v>17699</v>
      </c>
      <c r="R1410" t="s">
        <v>411</v>
      </c>
      <c r="S1410">
        <v>1658</v>
      </c>
    </row>
    <row r="1411" spans="1:19">
      <c r="A1411" t="s">
        <v>21</v>
      </c>
      <c r="B1411" t="s">
        <v>148</v>
      </c>
      <c r="C1411" t="s">
        <v>153</v>
      </c>
      <c r="D1411" t="s">
        <v>282</v>
      </c>
      <c r="E1411" t="s">
        <v>411</v>
      </c>
      <c r="F1411">
        <f>HYPERLINK("https://www.wikidata.org/wiki/Q33724121", "Q33724121")</f>
        <v>0</v>
      </c>
      <c r="G1411" t="s">
        <v>1423</v>
      </c>
      <c r="H1411" t="s">
        <v>6128</v>
      </c>
      <c r="I1411" t="s">
        <v>9728</v>
      </c>
      <c r="J1411" t="s">
        <v>12147</v>
      </c>
      <c r="K1411" t="s">
        <v>16549</v>
      </c>
      <c r="L1411">
        <f>HYPERLINK("https://www2.assemblee-nationale.fr/sycomore/fiche/(num_dept)/2105", "2105")</f>
        <v>0</v>
      </c>
      <c r="N1411">
        <f>HYPERLINK("https://www.wikidata.org/wiki/Q213526", "Q213526")</f>
        <v>0</v>
      </c>
      <c r="O1411" t="s">
        <v>20047</v>
      </c>
      <c r="P1411" t="s">
        <v>20418</v>
      </c>
      <c r="Q1411" t="s">
        <v>17699</v>
      </c>
      <c r="R1411" t="s">
        <v>411</v>
      </c>
      <c r="S1411">
        <v>1658</v>
      </c>
    </row>
    <row r="1412" spans="1:19">
      <c r="A1412" t="s">
        <v>21</v>
      </c>
      <c r="B1412" t="s">
        <v>148</v>
      </c>
      <c r="C1412" t="s">
        <v>153</v>
      </c>
      <c r="D1412" t="s">
        <v>282</v>
      </c>
      <c r="E1412" t="s">
        <v>411</v>
      </c>
      <c r="F1412">
        <f>HYPERLINK("https://www.wikidata.org/wiki/Q33724121", "Q33724121")</f>
        <v>0</v>
      </c>
      <c r="G1412" t="s">
        <v>920</v>
      </c>
      <c r="H1412" t="s">
        <v>5676</v>
      </c>
      <c r="I1412" t="s">
        <v>9385</v>
      </c>
      <c r="J1412" t="s">
        <v>11662</v>
      </c>
      <c r="K1412" t="s">
        <v>16063</v>
      </c>
      <c r="L1412">
        <f>HYPERLINK("https://www2.assemblee-nationale.fr/sycomore/fiche/(num_dept)/2124", "2124")</f>
        <v>0</v>
      </c>
      <c r="N1412">
        <f>HYPERLINK("https://www.wikidata.org/wiki/Q2958846", "Q2958846")</f>
        <v>0</v>
      </c>
      <c r="O1412" t="s">
        <v>20011</v>
      </c>
      <c r="P1412" t="s">
        <v>20412</v>
      </c>
      <c r="Q1412" t="s">
        <v>17699</v>
      </c>
      <c r="R1412" t="s">
        <v>411</v>
      </c>
      <c r="S1412">
        <v>1658</v>
      </c>
    </row>
    <row r="1413" spans="1:19">
      <c r="A1413" t="s">
        <v>21</v>
      </c>
      <c r="B1413" t="s">
        <v>148</v>
      </c>
      <c r="C1413" t="s">
        <v>153</v>
      </c>
      <c r="D1413" t="s">
        <v>282</v>
      </c>
      <c r="E1413" t="s">
        <v>411</v>
      </c>
      <c r="F1413">
        <f>HYPERLINK("https://www.wikidata.org/wiki/Q33724121", "Q33724121")</f>
        <v>0</v>
      </c>
      <c r="G1413" t="s">
        <v>1424</v>
      </c>
      <c r="H1413" t="s">
        <v>6129</v>
      </c>
      <c r="I1413" t="s">
        <v>9806</v>
      </c>
      <c r="J1413" t="s">
        <v>12148</v>
      </c>
      <c r="K1413" t="s">
        <v>16550</v>
      </c>
      <c r="L1413">
        <f>HYPERLINK("https://www2.assemblee-nationale.fr/sycomore/fiche/(num_dept)/2128", "2128")</f>
        <v>0</v>
      </c>
      <c r="N1413">
        <f>HYPERLINK("https://www.wikidata.org/wiki/Q3261648", "Q3261648")</f>
        <v>0</v>
      </c>
      <c r="O1413" t="s">
        <v>19958</v>
      </c>
      <c r="P1413" t="s">
        <v>20416</v>
      </c>
      <c r="Q1413" t="s">
        <v>17699</v>
      </c>
      <c r="R1413" t="s">
        <v>411</v>
      </c>
      <c r="S1413">
        <v>1658</v>
      </c>
    </row>
    <row r="1414" spans="1:19">
      <c r="A1414" t="s">
        <v>21</v>
      </c>
      <c r="B1414" t="s">
        <v>148</v>
      </c>
      <c r="C1414" t="s">
        <v>153</v>
      </c>
      <c r="D1414" t="s">
        <v>282</v>
      </c>
      <c r="E1414" t="s">
        <v>411</v>
      </c>
      <c r="F1414">
        <f>HYPERLINK("https://www.wikidata.org/wiki/Q33724121", "Q33724121")</f>
        <v>0</v>
      </c>
      <c r="G1414" t="s">
        <v>599</v>
      </c>
      <c r="H1414" t="s">
        <v>5360</v>
      </c>
      <c r="I1414" t="s">
        <v>9445</v>
      </c>
      <c r="J1414" t="s">
        <v>11350</v>
      </c>
      <c r="K1414" t="s">
        <v>15751</v>
      </c>
      <c r="L1414">
        <f>HYPERLINK("https://www2.assemblee-nationale.fr/sycomore/fiche/(num_dept)/2132", "2132")</f>
        <v>0</v>
      </c>
      <c r="N1414">
        <f>HYPERLINK("https://www.wikidata.org/wiki/Q2825149", "Q2825149")</f>
        <v>0</v>
      </c>
      <c r="O1414" t="s">
        <v>19957</v>
      </c>
      <c r="P1414" t="s">
        <v>20412</v>
      </c>
      <c r="Q1414" t="s">
        <v>17699</v>
      </c>
      <c r="R1414" t="s">
        <v>411</v>
      </c>
      <c r="S1414">
        <v>1658</v>
      </c>
    </row>
    <row r="1415" spans="1:19">
      <c r="A1415" t="s">
        <v>21</v>
      </c>
      <c r="B1415" t="s">
        <v>148</v>
      </c>
      <c r="C1415" t="s">
        <v>153</v>
      </c>
      <c r="D1415" t="s">
        <v>282</v>
      </c>
      <c r="E1415" t="s">
        <v>411</v>
      </c>
      <c r="F1415">
        <f>HYPERLINK("https://www.wikidata.org/wiki/Q33724121", "Q33724121")</f>
        <v>0</v>
      </c>
      <c r="G1415" t="s">
        <v>1425</v>
      </c>
      <c r="H1415" t="s">
        <v>6130</v>
      </c>
      <c r="I1415" t="s">
        <v>5528</v>
      </c>
      <c r="J1415" t="s">
        <v>12149</v>
      </c>
      <c r="K1415" t="s">
        <v>16551</v>
      </c>
      <c r="L1415">
        <f>HYPERLINK("https://www2.assemblee-nationale.fr/sycomore/fiche/(num_dept)/2156", "2156")</f>
        <v>0</v>
      </c>
      <c r="N1415">
        <f>HYPERLINK("https://www.wikidata.org/wiki/Q92562", "Q92562")</f>
        <v>0</v>
      </c>
      <c r="O1415" t="s">
        <v>19969</v>
      </c>
      <c r="P1415" t="s">
        <v>20420</v>
      </c>
      <c r="Q1415" t="s">
        <v>17699</v>
      </c>
      <c r="R1415" t="s">
        <v>411</v>
      </c>
      <c r="S1415">
        <v>1658</v>
      </c>
    </row>
    <row r="1416" spans="1:19">
      <c r="A1416" t="s">
        <v>21</v>
      </c>
      <c r="B1416" t="s">
        <v>148</v>
      </c>
      <c r="C1416" t="s">
        <v>153</v>
      </c>
      <c r="D1416" t="s">
        <v>282</v>
      </c>
      <c r="E1416" t="s">
        <v>411</v>
      </c>
      <c r="F1416">
        <f>HYPERLINK("https://www.wikidata.org/wiki/Q33724121", "Q33724121")</f>
        <v>0</v>
      </c>
      <c r="G1416" t="s">
        <v>601</v>
      </c>
      <c r="H1416" t="s">
        <v>5361</v>
      </c>
      <c r="I1416" t="s">
        <v>6759</v>
      </c>
      <c r="J1416" t="s">
        <v>11352</v>
      </c>
      <c r="K1416" t="s">
        <v>15753</v>
      </c>
      <c r="L1416">
        <f>HYPERLINK("https://www2.assemblee-nationale.fr/sycomore/fiche/(num_dept)/2176", "2176")</f>
        <v>0</v>
      </c>
      <c r="N1416">
        <f>HYPERLINK("https://www.wikidata.org/wiki/Q2311094", "Q2311094")</f>
        <v>0</v>
      </c>
      <c r="O1416" t="s">
        <v>20010</v>
      </c>
      <c r="P1416" t="s">
        <v>20417</v>
      </c>
      <c r="Q1416" t="s">
        <v>17699</v>
      </c>
      <c r="R1416" t="s">
        <v>411</v>
      </c>
      <c r="S1416">
        <v>1658</v>
      </c>
    </row>
    <row r="1417" spans="1:19">
      <c r="A1417" t="s">
        <v>21</v>
      </c>
      <c r="B1417" t="s">
        <v>148</v>
      </c>
      <c r="C1417" t="s">
        <v>153</v>
      </c>
      <c r="D1417" t="s">
        <v>282</v>
      </c>
      <c r="E1417" t="s">
        <v>411</v>
      </c>
      <c r="F1417">
        <f>HYPERLINK("https://www.wikidata.org/wiki/Q33724121", "Q33724121")</f>
        <v>0</v>
      </c>
      <c r="G1417" t="s">
        <v>1426</v>
      </c>
      <c r="H1417" t="s">
        <v>6131</v>
      </c>
      <c r="I1417" t="s">
        <v>9442</v>
      </c>
      <c r="J1417" t="s">
        <v>11508</v>
      </c>
      <c r="K1417" t="s">
        <v>16552</v>
      </c>
      <c r="L1417">
        <f>HYPERLINK("https://www2.assemblee-nationale.fr/sycomore/fiche/(num_dept)/2209", "2209")</f>
        <v>0</v>
      </c>
      <c r="N1417">
        <f>HYPERLINK("https://www.wikidata.org/wiki/Q16025533", "Q16025533")</f>
        <v>0</v>
      </c>
      <c r="O1417" t="s">
        <v>19999</v>
      </c>
      <c r="P1417" t="s">
        <v>20416</v>
      </c>
      <c r="Q1417" t="s">
        <v>17699</v>
      </c>
      <c r="R1417" t="s">
        <v>411</v>
      </c>
      <c r="S1417">
        <v>1658</v>
      </c>
    </row>
    <row r="1418" spans="1:19">
      <c r="A1418" t="s">
        <v>21</v>
      </c>
      <c r="B1418" t="s">
        <v>148</v>
      </c>
      <c r="C1418" t="s">
        <v>153</v>
      </c>
      <c r="D1418" t="s">
        <v>282</v>
      </c>
      <c r="E1418" t="s">
        <v>411</v>
      </c>
      <c r="F1418">
        <f>HYPERLINK("https://www.wikidata.org/wiki/Q33724121", "Q33724121")</f>
        <v>0</v>
      </c>
      <c r="G1418" t="s">
        <v>1427</v>
      </c>
      <c r="H1418" t="s">
        <v>6132</v>
      </c>
      <c r="I1418" t="s">
        <v>9389</v>
      </c>
      <c r="J1418" t="s">
        <v>12150</v>
      </c>
      <c r="K1418" t="s">
        <v>16553</v>
      </c>
      <c r="L1418">
        <f>HYPERLINK("https://www2.assemblee-nationale.fr/sycomore/fiche/(num_dept)/2210", "2210")</f>
        <v>0</v>
      </c>
      <c r="N1418">
        <f>HYPERLINK("https://www.wikidata.org/wiki/Q16025534", "Q16025534")</f>
        <v>0</v>
      </c>
      <c r="O1418" t="s">
        <v>19994</v>
      </c>
      <c r="P1418" t="s">
        <v>20418</v>
      </c>
      <c r="Q1418" t="s">
        <v>17699</v>
      </c>
      <c r="R1418" t="s">
        <v>411</v>
      </c>
      <c r="S1418">
        <v>1658</v>
      </c>
    </row>
    <row r="1419" spans="1:19">
      <c r="A1419" t="s">
        <v>21</v>
      </c>
      <c r="B1419" t="s">
        <v>148</v>
      </c>
      <c r="C1419" t="s">
        <v>153</v>
      </c>
      <c r="D1419" t="s">
        <v>282</v>
      </c>
      <c r="E1419" t="s">
        <v>411</v>
      </c>
      <c r="F1419">
        <f>HYPERLINK("https://www.wikidata.org/wiki/Q33724121", "Q33724121")</f>
        <v>0</v>
      </c>
      <c r="G1419" t="s">
        <v>1428</v>
      </c>
      <c r="H1419" t="s">
        <v>6133</v>
      </c>
      <c r="I1419" t="s">
        <v>9807</v>
      </c>
      <c r="J1419" t="s">
        <v>12151</v>
      </c>
      <c r="K1419" t="s">
        <v>16554</v>
      </c>
      <c r="L1419">
        <f>HYPERLINK("https://www2.assemblee-nationale.fr/sycomore/fiche/(num_dept)/2220", "2220")</f>
        <v>0</v>
      </c>
      <c r="N1419">
        <f>HYPERLINK("https://www.wikidata.org/wiki/Q16025536", "Q16025536")</f>
        <v>0</v>
      </c>
      <c r="O1419" t="s">
        <v>19995</v>
      </c>
      <c r="P1419" t="s">
        <v>20419</v>
      </c>
      <c r="Q1419" t="s">
        <v>17699</v>
      </c>
      <c r="R1419" t="s">
        <v>411</v>
      </c>
      <c r="S1419">
        <v>1658</v>
      </c>
    </row>
    <row r="1420" spans="1:19">
      <c r="A1420" t="s">
        <v>21</v>
      </c>
      <c r="B1420" t="s">
        <v>148</v>
      </c>
      <c r="C1420" t="s">
        <v>153</v>
      </c>
      <c r="D1420" t="s">
        <v>282</v>
      </c>
      <c r="E1420" t="s">
        <v>411</v>
      </c>
      <c r="F1420">
        <f>HYPERLINK("https://www.wikidata.org/wiki/Q33724121", "Q33724121")</f>
        <v>0</v>
      </c>
      <c r="G1420" t="s">
        <v>1243</v>
      </c>
      <c r="H1420" t="s">
        <v>5968</v>
      </c>
      <c r="I1420" t="s">
        <v>9725</v>
      </c>
      <c r="J1420" t="s">
        <v>11974</v>
      </c>
      <c r="K1420" t="s">
        <v>16377</v>
      </c>
      <c r="L1420">
        <f>HYPERLINK("https://www2.assemblee-nationale.fr/sycomore/fiche/(num_dept)/2231", "2231")</f>
        <v>0</v>
      </c>
      <c r="N1420">
        <f>HYPERLINK("https://www.wikidata.org/wiki/Q13088594", "Q13088594")</f>
        <v>0</v>
      </c>
      <c r="O1420" t="s">
        <v>20015</v>
      </c>
      <c r="P1420" t="s">
        <v>20404</v>
      </c>
      <c r="Q1420" t="s">
        <v>17699</v>
      </c>
      <c r="R1420" t="s">
        <v>16377</v>
      </c>
      <c r="S1420">
        <v>1085</v>
      </c>
    </row>
    <row r="1421" spans="1:19">
      <c r="A1421" t="s">
        <v>21</v>
      </c>
      <c r="B1421" t="s">
        <v>148</v>
      </c>
      <c r="C1421" t="s">
        <v>153</v>
      </c>
      <c r="D1421" t="s">
        <v>282</v>
      </c>
      <c r="E1421" t="s">
        <v>411</v>
      </c>
      <c r="F1421">
        <f>HYPERLINK("https://www.wikidata.org/wiki/Q33724121", "Q33724121")</f>
        <v>0</v>
      </c>
      <c r="G1421" t="s">
        <v>604</v>
      </c>
      <c r="H1421" t="s">
        <v>5364</v>
      </c>
      <c r="I1421" t="s">
        <v>9448</v>
      </c>
      <c r="J1421" t="s">
        <v>11355</v>
      </c>
      <c r="K1421" t="s">
        <v>15756</v>
      </c>
      <c r="L1421">
        <f>HYPERLINK("https://www2.assemblee-nationale.fr/sycomore/fiche/(num_dept)/2246", "2246")</f>
        <v>0</v>
      </c>
      <c r="N1421">
        <f>HYPERLINK("https://www.wikidata.org/wiki/Q3184823", "Q3184823")</f>
        <v>0</v>
      </c>
      <c r="O1421" t="s">
        <v>19988</v>
      </c>
      <c r="P1421" t="s">
        <v>20416</v>
      </c>
      <c r="Q1421" t="s">
        <v>17699</v>
      </c>
      <c r="R1421" t="s">
        <v>411</v>
      </c>
      <c r="S1421">
        <v>1658</v>
      </c>
    </row>
    <row r="1422" spans="1:19">
      <c r="A1422" t="s">
        <v>21</v>
      </c>
      <c r="B1422" t="s">
        <v>148</v>
      </c>
      <c r="C1422" t="s">
        <v>153</v>
      </c>
      <c r="D1422" t="s">
        <v>282</v>
      </c>
      <c r="E1422" t="s">
        <v>411</v>
      </c>
      <c r="F1422">
        <f>HYPERLINK("https://www.wikidata.org/wiki/Q33724121", "Q33724121")</f>
        <v>0</v>
      </c>
      <c r="G1422" t="s">
        <v>1429</v>
      </c>
      <c r="H1422" t="s">
        <v>6134</v>
      </c>
      <c r="I1422" t="s">
        <v>9476</v>
      </c>
      <c r="J1422" t="s">
        <v>12152</v>
      </c>
      <c r="K1422" t="s">
        <v>16555</v>
      </c>
      <c r="L1422">
        <f>HYPERLINK("https://www2.assemblee-nationale.fr/sycomore/fiche/(num_dept)/2251", "2251")</f>
        <v>0</v>
      </c>
      <c r="N1422">
        <f>HYPERLINK("https://www.wikidata.org/wiki/Q8331135", "Q8331135")</f>
        <v>0</v>
      </c>
      <c r="O1422" t="s">
        <v>20023</v>
      </c>
      <c r="P1422" t="s">
        <v>20416</v>
      </c>
      <c r="Q1422" t="s">
        <v>17699</v>
      </c>
      <c r="R1422" t="s">
        <v>411</v>
      </c>
      <c r="S1422">
        <v>1658</v>
      </c>
    </row>
    <row r="1423" spans="1:19">
      <c r="A1423" t="s">
        <v>21</v>
      </c>
      <c r="B1423" t="s">
        <v>148</v>
      </c>
      <c r="C1423" t="s">
        <v>153</v>
      </c>
      <c r="D1423" t="s">
        <v>282</v>
      </c>
      <c r="E1423" t="s">
        <v>411</v>
      </c>
      <c r="F1423">
        <f>HYPERLINK("https://www.wikidata.org/wiki/Q33724121", "Q33724121")</f>
        <v>0</v>
      </c>
      <c r="G1423" t="s">
        <v>1430</v>
      </c>
      <c r="H1423" t="s">
        <v>6135</v>
      </c>
      <c r="I1423" t="s">
        <v>9385</v>
      </c>
      <c r="J1423" t="s">
        <v>12153</v>
      </c>
      <c r="K1423" t="s">
        <v>16556</v>
      </c>
      <c r="L1423">
        <f>HYPERLINK("https://www2.assemblee-nationale.fr/sycomore/fiche/(num_dept)/2295", "2295")</f>
        <v>0</v>
      </c>
      <c r="M1423">
        <f>HYPERLINK("https://www.senat.fr/senateur-3eme-republique/delesalle_charles0979r3.html", "delesalle_charles0979r3")</f>
        <v>0</v>
      </c>
      <c r="N1423">
        <f>HYPERLINK("https://www.wikidata.org/wiki/Q2958867", "Q2958867")</f>
        <v>0</v>
      </c>
      <c r="O1423" t="s">
        <v>20013</v>
      </c>
      <c r="P1423" t="s">
        <v>20417</v>
      </c>
      <c r="Q1423" t="s">
        <v>17699</v>
      </c>
      <c r="R1423" t="s">
        <v>411</v>
      </c>
      <c r="S1423">
        <v>1658</v>
      </c>
    </row>
    <row r="1424" spans="1:19">
      <c r="A1424" t="s">
        <v>21</v>
      </c>
      <c r="B1424" t="s">
        <v>148</v>
      </c>
      <c r="C1424" t="s">
        <v>153</v>
      </c>
      <c r="D1424" t="s">
        <v>282</v>
      </c>
      <c r="E1424" t="s">
        <v>411</v>
      </c>
      <c r="F1424">
        <f>HYPERLINK("https://www.wikidata.org/wiki/Q33724121", "Q33724121")</f>
        <v>0</v>
      </c>
      <c r="G1424" t="s">
        <v>1431</v>
      </c>
      <c r="H1424" t="s">
        <v>5371</v>
      </c>
      <c r="I1424" t="s">
        <v>9389</v>
      </c>
      <c r="J1424" t="s">
        <v>12154</v>
      </c>
      <c r="K1424" t="s">
        <v>16557</v>
      </c>
      <c r="L1424">
        <f>HYPERLINK("https://www2.assemblee-nationale.fr/sycomore/fiche/(num_dept)/2312", "2312")</f>
        <v>0</v>
      </c>
      <c r="N1424">
        <f>HYPERLINK("https://www.wikidata.org/wiki/Q16025555", "Q16025555")</f>
        <v>0</v>
      </c>
      <c r="O1424" t="s">
        <v>19974</v>
      </c>
      <c r="P1424" t="s">
        <v>20417</v>
      </c>
      <c r="Q1424" t="s">
        <v>17699</v>
      </c>
      <c r="R1424" t="s">
        <v>411</v>
      </c>
      <c r="S1424">
        <v>1658</v>
      </c>
    </row>
    <row r="1425" spans="1:19">
      <c r="A1425" t="s">
        <v>21</v>
      </c>
      <c r="B1425" t="s">
        <v>148</v>
      </c>
      <c r="C1425" t="s">
        <v>153</v>
      </c>
      <c r="D1425" t="s">
        <v>282</v>
      </c>
      <c r="E1425" t="s">
        <v>411</v>
      </c>
      <c r="F1425">
        <f>HYPERLINK("https://www.wikidata.org/wiki/Q33724121", "Q33724121")</f>
        <v>0</v>
      </c>
      <c r="G1425" t="s">
        <v>1163</v>
      </c>
      <c r="H1425" t="s">
        <v>5895</v>
      </c>
      <c r="I1425" t="s">
        <v>9407</v>
      </c>
      <c r="J1425" t="s">
        <v>11896</v>
      </c>
      <c r="K1425" t="s">
        <v>16298</v>
      </c>
      <c r="L1425">
        <f>HYPERLINK("https://www2.assemblee-nationale.fr/sycomore/fiche/(num_dept)/2323", "2323")</f>
        <v>0</v>
      </c>
      <c r="N1425">
        <f>HYPERLINK("https://www.wikidata.org/wiki/Q16025557", "Q16025557")</f>
        <v>0</v>
      </c>
      <c r="O1425" t="s">
        <v>19970</v>
      </c>
      <c r="P1425" t="s">
        <v>20417</v>
      </c>
      <c r="Q1425" t="s">
        <v>17699</v>
      </c>
      <c r="R1425" t="s">
        <v>16298</v>
      </c>
      <c r="S1425">
        <v>459</v>
      </c>
    </row>
    <row r="1426" spans="1:19">
      <c r="A1426" t="s">
        <v>21</v>
      </c>
      <c r="B1426" t="s">
        <v>148</v>
      </c>
      <c r="C1426" t="s">
        <v>153</v>
      </c>
      <c r="D1426" t="s">
        <v>282</v>
      </c>
      <c r="E1426" t="s">
        <v>411</v>
      </c>
      <c r="F1426">
        <f>HYPERLINK("https://www.wikidata.org/wiki/Q33724121", "Q33724121")</f>
        <v>0</v>
      </c>
      <c r="G1426" t="s">
        <v>926</v>
      </c>
      <c r="H1426" t="s">
        <v>5682</v>
      </c>
      <c r="I1426" t="s">
        <v>9421</v>
      </c>
      <c r="J1426" t="s">
        <v>11668</v>
      </c>
      <c r="K1426" t="s">
        <v>16069</v>
      </c>
      <c r="L1426">
        <f>HYPERLINK("https://www2.assemblee-nationale.fr/sycomore/fiche/(num_dept)/2335", "2335")</f>
        <v>0</v>
      </c>
      <c r="N1426">
        <f>HYPERLINK("https://www.wikidata.org/wiki/Q3121159", "Q3121159")</f>
        <v>0</v>
      </c>
      <c r="O1426" t="s">
        <v>20013</v>
      </c>
      <c r="P1426" t="s">
        <v>20404</v>
      </c>
      <c r="Q1426" t="s">
        <v>17699</v>
      </c>
      <c r="R1426" t="s">
        <v>411</v>
      </c>
      <c r="S1426">
        <v>1658</v>
      </c>
    </row>
    <row r="1427" spans="1:19">
      <c r="A1427" t="s">
        <v>21</v>
      </c>
      <c r="B1427" t="s">
        <v>148</v>
      </c>
      <c r="C1427" t="s">
        <v>153</v>
      </c>
      <c r="D1427" t="s">
        <v>282</v>
      </c>
      <c r="E1427" t="s">
        <v>411</v>
      </c>
      <c r="F1427">
        <f>HYPERLINK("https://www.wikidata.org/wiki/Q33724121", "Q33724121")</f>
        <v>0</v>
      </c>
      <c r="G1427" t="s">
        <v>927</v>
      </c>
      <c r="H1427" t="s">
        <v>5683</v>
      </c>
      <c r="I1427" t="s">
        <v>9483</v>
      </c>
      <c r="J1427" t="s">
        <v>11669</v>
      </c>
      <c r="K1427" t="s">
        <v>16070</v>
      </c>
      <c r="L1427">
        <f>HYPERLINK("https://www2.assemblee-nationale.fr/sycomore/fiche/(num_dept)/2342", "2342")</f>
        <v>0</v>
      </c>
      <c r="M1427">
        <f>HYPERLINK("https://www.senat.fr/senateur-3eme-republique/delpierre_casimir0891r3.html", "delpierre_casimir0891r3")</f>
        <v>0</v>
      </c>
      <c r="N1427">
        <f>HYPERLINK("https://www.wikidata.org/wiki/Q3557252", "Q3557252")</f>
        <v>0</v>
      </c>
      <c r="O1427" t="s">
        <v>19989</v>
      </c>
      <c r="P1427" t="s">
        <v>20416</v>
      </c>
      <c r="Q1427" t="s">
        <v>17699</v>
      </c>
      <c r="R1427" t="s">
        <v>21388</v>
      </c>
      <c r="S1427">
        <v>67</v>
      </c>
    </row>
    <row r="1428" spans="1:19">
      <c r="A1428" t="s">
        <v>21</v>
      </c>
      <c r="B1428" t="s">
        <v>148</v>
      </c>
      <c r="C1428" t="s">
        <v>153</v>
      </c>
      <c r="D1428" t="s">
        <v>282</v>
      </c>
      <c r="E1428" t="s">
        <v>411</v>
      </c>
      <c r="F1428">
        <f>HYPERLINK("https://www.wikidata.org/wiki/Q33724121", "Q33724121")</f>
        <v>0</v>
      </c>
      <c r="G1428" t="s">
        <v>1432</v>
      </c>
      <c r="H1428" t="s">
        <v>6136</v>
      </c>
      <c r="I1428" t="s">
        <v>6495</v>
      </c>
      <c r="J1428" t="s">
        <v>12155</v>
      </c>
      <c r="K1428" t="s">
        <v>16558</v>
      </c>
      <c r="L1428">
        <f>HYPERLINK("https://www2.assemblee-nationale.fr/sycomore/fiche/(num_dept)/2344", "2344")</f>
        <v>0</v>
      </c>
      <c r="N1428">
        <f>HYPERLINK("https://www.wikidata.org/wiki/Q16025561", "Q16025561")</f>
        <v>0</v>
      </c>
      <c r="O1428" t="s">
        <v>19974</v>
      </c>
      <c r="P1428" t="s">
        <v>20412</v>
      </c>
      <c r="Q1428" t="s">
        <v>17699</v>
      </c>
      <c r="R1428" t="s">
        <v>411</v>
      </c>
      <c r="S1428">
        <v>1658</v>
      </c>
    </row>
    <row r="1429" spans="1:19">
      <c r="A1429" t="s">
        <v>21</v>
      </c>
      <c r="B1429" t="s">
        <v>148</v>
      </c>
      <c r="C1429" t="s">
        <v>153</v>
      </c>
      <c r="D1429" t="s">
        <v>282</v>
      </c>
      <c r="E1429" t="s">
        <v>411</v>
      </c>
      <c r="F1429">
        <f>HYPERLINK("https://www.wikidata.org/wiki/Q33724121", "Q33724121")</f>
        <v>0</v>
      </c>
      <c r="G1429" t="s">
        <v>1433</v>
      </c>
      <c r="H1429" t="s">
        <v>6137</v>
      </c>
      <c r="I1429" t="s">
        <v>9388</v>
      </c>
      <c r="J1429" t="s">
        <v>12156</v>
      </c>
      <c r="K1429" t="s">
        <v>16559</v>
      </c>
      <c r="L1429">
        <f>HYPERLINK("https://www2.assemblee-nationale.fr/sycomore/fiche/(num_dept)/2384", "2384")</f>
        <v>0</v>
      </c>
      <c r="N1429">
        <f>HYPERLINK("https://www.wikidata.org/wiki/Q16025565", "Q16025565")</f>
        <v>0</v>
      </c>
      <c r="O1429" t="s">
        <v>20042</v>
      </c>
      <c r="P1429" t="s">
        <v>20418</v>
      </c>
      <c r="Q1429" t="s">
        <v>17699</v>
      </c>
      <c r="R1429" t="s">
        <v>411</v>
      </c>
      <c r="S1429">
        <v>1658</v>
      </c>
    </row>
    <row r="1430" spans="1:19">
      <c r="A1430" t="s">
        <v>21</v>
      </c>
      <c r="B1430" t="s">
        <v>148</v>
      </c>
      <c r="C1430" t="s">
        <v>153</v>
      </c>
      <c r="D1430" t="s">
        <v>282</v>
      </c>
      <c r="E1430" t="s">
        <v>411</v>
      </c>
      <c r="F1430">
        <f>HYPERLINK("https://www.wikidata.org/wiki/Q33724121", "Q33724121")</f>
        <v>0</v>
      </c>
      <c r="G1430" t="s">
        <v>1434</v>
      </c>
      <c r="H1430" t="s">
        <v>5876</v>
      </c>
      <c r="I1430" t="s">
        <v>9470</v>
      </c>
      <c r="J1430" t="s">
        <v>12157</v>
      </c>
      <c r="K1430" t="s">
        <v>16560</v>
      </c>
      <c r="L1430">
        <f>HYPERLINK("https://www2.assemblee-nationale.fr/sycomore/fiche/(num_dept)/2421", "2421")</f>
        <v>0</v>
      </c>
      <c r="N1430">
        <f>HYPERLINK("https://www.wikidata.org/wiki/Q3098976", "Q3098976")</f>
        <v>0</v>
      </c>
      <c r="O1430" t="s">
        <v>20021</v>
      </c>
      <c r="P1430" t="s">
        <v>20412</v>
      </c>
      <c r="Q1430" t="s">
        <v>17699</v>
      </c>
      <c r="R1430" t="s">
        <v>411</v>
      </c>
      <c r="S1430">
        <v>1658</v>
      </c>
    </row>
    <row r="1431" spans="1:19">
      <c r="A1431" t="s">
        <v>21</v>
      </c>
      <c r="B1431" t="s">
        <v>148</v>
      </c>
      <c r="C1431" t="s">
        <v>153</v>
      </c>
      <c r="D1431" t="s">
        <v>282</v>
      </c>
      <c r="E1431" t="s">
        <v>411</v>
      </c>
      <c r="F1431">
        <f>HYPERLINK("https://www.wikidata.org/wiki/Q33724121", "Q33724121")</f>
        <v>0</v>
      </c>
      <c r="G1431" t="s">
        <v>1141</v>
      </c>
      <c r="H1431" t="s">
        <v>5876</v>
      </c>
      <c r="I1431" t="s">
        <v>6495</v>
      </c>
      <c r="J1431" t="s">
        <v>11875</v>
      </c>
      <c r="K1431" t="s">
        <v>16277</v>
      </c>
      <c r="L1431">
        <f>HYPERLINK("https://www2.assemblee-nationale.fr/sycomore/fiche/(num_dept)/2423", "2423")</f>
        <v>0</v>
      </c>
      <c r="N1431">
        <f>HYPERLINK("https://www.wikidata.org/wiki/Q3261711", "Q3261711")</f>
        <v>0</v>
      </c>
      <c r="O1431" t="s">
        <v>19998</v>
      </c>
      <c r="P1431" t="s">
        <v>20417</v>
      </c>
      <c r="Q1431" t="s">
        <v>17699</v>
      </c>
      <c r="R1431" t="s">
        <v>411</v>
      </c>
      <c r="S1431">
        <v>1658</v>
      </c>
    </row>
    <row r="1432" spans="1:19">
      <c r="A1432" t="s">
        <v>21</v>
      </c>
      <c r="B1432" t="s">
        <v>148</v>
      </c>
      <c r="C1432" t="s">
        <v>153</v>
      </c>
      <c r="D1432" t="s">
        <v>282</v>
      </c>
      <c r="E1432" t="s">
        <v>411</v>
      </c>
      <c r="F1432">
        <f>HYPERLINK("https://www.wikidata.org/wiki/Q33724121", "Q33724121")</f>
        <v>0</v>
      </c>
      <c r="G1432" t="s">
        <v>613</v>
      </c>
      <c r="H1432" t="s">
        <v>5373</v>
      </c>
      <c r="I1432" t="s">
        <v>9388</v>
      </c>
      <c r="J1432" t="s">
        <v>11364</v>
      </c>
      <c r="K1432" t="s">
        <v>15765</v>
      </c>
      <c r="L1432">
        <f>HYPERLINK("https://www2.assemblee-nationale.fr/sycomore/fiche/(num_dept)/2425", "2425")</f>
        <v>0</v>
      </c>
      <c r="M1432">
        <f>HYPERLINK("https://www.senat.fr/senateur-3eme-republique/deschanel_paul0768r3.html", "deschanel_paul0768r3")</f>
        <v>0</v>
      </c>
      <c r="N1432">
        <f>HYPERLINK("https://www.wikidata.org/wiki/Q309995", "Q309995")</f>
        <v>0</v>
      </c>
      <c r="O1432" t="s">
        <v>19971</v>
      </c>
      <c r="P1432" t="s">
        <v>20412</v>
      </c>
      <c r="Q1432" t="s">
        <v>17699</v>
      </c>
      <c r="R1432" t="s">
        <v>354</v>
      </c>
      <c r="S1432">
        <v>94</v>
      </c>
    </row>
    <row r="1433" spans="1:19">
      <c r="A1433" t="s">
        <v>21</v>
      </c>
      <c r="B1433" t="s">
        <v>148</v>
      </c>
      <c r="C1433" t="s">
        <v>153</v>
      </c>
      <c r="D1433" t="s">
        <v>282</v>
      </c>
      <c r="E1433" t="s">
        <v>411</v>
      </c>
      <c r="F1433">
        <f>HYPERLINK("https://www.wikidata.org/wiki/Q33724121", "Q33724121")</f>
        <v>0</v>
      </c>
      <c r="G1433" t="s">
        <v>1435</v>
      </c>
      <c r="H1433" t="s">
        <v>5686</v>
      </c>
      <c r="I1433" t="s">
        <v>9385</v>
      </c>
      <c r="J1433" t="s">
        <v>11756</v>
      </c>
      <c r="K1433" t="s">
        <v>16561</v>
      </c>
      <c r="L1433">
        <f>HYPERLINK("https://www2.assemblee-nationale.fr/sycomore/fiche/(num_dept)/2441", "2441")</f>
        <v>0</v>
      </c>
      <c r="M1433">
        <f>HYPERLINK("https://www.senat.fr/senateur-3eme-republique/desjardins_charles0031r3.html", "desjardins_charles0031r3")</f>
        <v>0</v>
      </c>
      <c r="N1433">
        <f>HYPERLINK("https://www.wikidata.org/wiki/Q2958888", "Q2958888")</f>
        <v>0</v>
      </c>
      <c r="O1433" t="s">
        <v>20015</v>
      </c>
      <c r="P1433" t="s">
        <v>20416</v>
      </c>
      <c r="Q1433" t="s">
        <v>17699</v>
      </c>
      <c r="R1433" t="s">
        <v>411</v>
      </c>
      <c r="S1433">
        <v>1658</v>
      </c>
    </row>
    <row r="1434" spans="1:19">
      <c r="A1434" t="s">
        <v>21</v>
      </c>
      <c r="B1434" t="s">
        <v>148</v>
      </c>
      <c r="C1434" t="s">
        <v>153</v>
      </c>
      <c r="D1434" t="s">
        <v>282</v>
      </c>
      <c r="E1434" t="s">
        <v>411</v>
      </c>
      <c r="F1434">
        <f>HYPERLINK("https://www.wikidata.org/wiki/Q33724121", "Q33724121")</f>
        <v>0</v>
      </c>
      <c r="G1434" t="s">
        <v>1436</v>
      </c>
      <c r="H1434" t="s">
        <v>6138</v>
      </c>
      <c r="I1434" t="s">
        <v>7911</v>
      </c>
      <c r="J1434" t="s">
        <v>11292</v>
      </c>
      <c r="K1434" t="s">
        <v>16562</v>
      </c>
      <c r="L1434">
        <f>HYPERLINK("https://www2.assemblee-nationale.fr/sycomore/fiche/(num_dept)/2449", "2449")</f>
        <v>0</v>
      </c>
      <c r="N1434">
        <f>HYPERLINK("https://www.wikidata.org/wiki/Q16025582", "Q16025582")</f>
        <v>0</v>
      </c>
      <c r="O1434" t="s">
        <v>19995</v>
      </c>
      <c r="P1434" t="s">
        <v>20418</v>
      </c>
      <c r="Q1434" t="s">
        <v>17699</v>
      </c>
      <c r="R1434" t="s">
        <v>16562</v>
      </c>
      <c r="S1434">
        <v>905</v>
      </c>
    </row>
    <row r="1435" spans="1:19">
      <c r="A1435" t="s">
        <v>21</v>
      </c>
      <c r="B1435" t="s">
        <v>148</v>
      </c>
      <c r="C1435" t="s">
        <v>153</v>
      </c>
      <c r="D1435" t="s">
        <v>282</v>
      </c>
      <c r="E1435" t="s">
        <v>411</v>
      </c>
      <c r="F1435">
        <f>HYPERLINK("https://www.wikidata.org/wiki/Q33724121", "Q33724121")</f>
        <v>0</v>
      </c>
      <c r="G1435" t="s">
        <v>1164</v>
      </c>
      <c r="H1435" t="s">
        <v>5896</v>
      </c>
      <c r="I1435" t="s">
        <v>9375</v>
      </c>
      <c r="J1435" t="s">
        <v>11897</v>
      </c>
      <c r="K1435" t="s">
        <v>16299</v>
      </c>
      <c r="L1435">
        <f>HYPERLINK("https://www2.assemblee-nationale.fr/sycomore/fiche/(num_dept)/2455", "2455")</f>
        <v>0</v>
      </c>
      <c r="N1435">
        <f>HYPERLINK("https://www.wikidata.org/wiki/Q16025586", "Q16025586")</f>
        <v>0</v>
      </c>
      <c r="O1435" t="s">
        <v>20022</v>
      </c>
      <c r="P1435" t="s">
        <v>20412</v>
      </c>
      <c r="Q1435" t="s">
        <v>17699</v>
      </c>
      <c r="R1435" t="s">
        <v>411</v>
      </c>
      <c r="S1435">
        <v>1658</v>
      </c>
    </row>
    <row r="1436" spans="1:19">
      <c r="A1436" t="s">
        <v>21</v>
      </c>
      <c r="B1436" t="s">
        <v>148</v>
      </c>
      <c r="C1436" t="s">
        <v>153</v>
      </c>
      <c r="D1436" t="s">
        <v>282</v>
      </c>
      <c r="E1436" t="s">
        <v>411</v>
      </c>
      <c r="F1436">
        <f>HYPERLINK("https://www.wikidata.org/wiki/Q33724121", "Q33724121")</f>
        <v>0</v>
      </c>
      <c r="G1436" t="s">
        <v>1250</v>
      </c>
      <c r="H1436" t="s">
        <v>5974</v>
      </c>
      <c r="I1436" t="s">
        <v>6860</v>
      </c>
      <c r="J1436" t="s">
        <v>11980</v>
      </c>
      <c r="K1436" t="s">
        <v>16383</v>
      </c>
      <c r="L1436">
        <f>HYPERLINK("https://www2.assemblee-nationale.fr/sycomore/fiche/(num_dept)/2488", "2488")</f>
        <v>0</v>
      </c>
      <c r="N1436">
        <f>HYPERLINK("https://www.wikidata.org/wiki/Q16025596", "Q16025596")</f>
        <v>0</v>
      </c>
      <c r="O1436" t="s">
        <v>19995</v>
      </c>
      <c r="P1436" t="s">
        <v>20417</v>
      </c>
      <c r="Q1436" t="s">
        <v>17699</v>
      </c>
      <c r="R1436" t="s">
        <v>411</v>
      </c>
      <c r="S1436">
        <v>1658</v>
      </c>
    </row>
    <row r="1437" spans="1:19">
      <c r="A1437" t="s">
        <v>21</v>
      </c>
      <c r="B1437" t="s">
        <v>148</v>
      </c>
      <c r="C1437" t="s">
        <v>153</v>
      </c>
      <c r="D1437" t="s">
        <v>282</v>
      </c>
      <c r="E1437" t="s">
        <v>411</v>
      </c>
      <c r="F1437">
        <f>HYPERLINK("https://www.wikidata.org/wiki/Q33724121", "Q33724121")</f>
        <v>0</v>
      </c>
      <c r="G1437" t="s">
        <v>1437</v>
      </c>
      <c r="H1437" t="s">
        <v>6139</v>
      </c>
      <c r="I1437" t="s">
        <v>6860</v>
      </c>
      <c r="J1437" t="s">
        <v>12158</v>
      </c>
      <c r="K1437" t="s">
        <v>16563</v>
      </c>
      <c r="L1437">
        <f>HYPERLINK("https://www2.assemblee-nationale.fr/sycomore/fiche/(num_dept)/2490", "2490")</f>
        <v>0</v>
      </c>
      <c r="N1437">
        <f>HYPERLINK("https://www.wikidata.org/wiki/Q3384896", "Q3384896")</f>
        <v>0</v>
      </c>
      <c r="O1437" t="s">
        <v>19958</v>
      </c>
      <c r="P1437" t="s">
        <v>20418</v>
      </c>
      <c r="Q1437" t="s">
        <v>17699</v>
      </c>
      <c r="R1437" t="s">
        <v>411</v>
      </c>
      <c r="S1437">
        <v>1658</v>
      </c>
    </row>
    <row r="1438" spans="1:19">
      <c r="A1438" t="s">
        <v>21</v>
      </c>
      <c r="B1438" t="s">
        <v>148</v>
      </c>
      <c r="C1438" t="s">
        <v>153</v>
      </c>
      <c r="D1438" t="s">
        <v>282</v>
      </c>
      <c r="E1438" t="s">
        <v>411</v>
      </c>
      <c r="F1438">
        <f>HYPERLINK("https://www.wikidata.org/wiki/Q33724121", "Q33724121")</f>
        <v>0</v>
      </c>
      <c r="G1438" t="s">
        <v>1438</v>
      </c>
      <c r="H1438" t="s">
        <v>6140</v>
      </c>
      <c r="I1438" t="s">
        <v>6860</v>
      </c>
      <c r="J1438" t="s">
        <v>12159</v>
      </c>
      <c r="K1438" t="s">
        <v>16564</v>
      </c>
      <c r="L1438">
        <f>HYPERLINK("https://www2.assemblee-nationale.fr/sycomore/fiche/(num_dept)/2514", "2514")</f>
        <v>0</v>
      </c>
      <c r="N1438">
        <f>HYPERLINK("https://www.wikidata.org/wiki/Q3384763", "Q3384763")</f>
        <v>0</v>
      </c>
      <c r="O1438" t="s">
        <v>19987</v>
      </c>
      <c r="P1438" t="s">
        <v>20412</v>
      </c>
      <c r="Q1438" t="s">
        <v>17699</v>
      </c>
      <c r="R1438" t="s">
        <v>411</v>
      </c>
      <c r="S1438">
        <v>1658</v>
      </c>
    </row>
    <row r="1439" spans="1:19">
      <c r="A1439" t="s">
        <v>21</v>
      </c>
      <c r="B1439" t="s">
        <v>148</v>
      </c>
      <c r="C1439" t="s">
        <v>153</v>
      </c>
      <c r="D1439" t="s">
        <v>282</v>
      </c>
      <c r="E1439" t="s">
        <v>411</v>
      </c>
      <c r="F1439">
        <f>HYPERLINK("https://www.wikidata.org/wiki/Q33724121", "Q33724121")</f>
        <v>0</v>
      </c>
      <c r="G1439" t="s">
        <v>616</v>
      </c>
      <c r="H1439" t="s">
        <v>5376</v>
      </c>
      <c r="I1439" t="s">
        <v>6584</v>
      </c>
      <c r="J1439" t="s">
        <v>11366</v>
      </c>
      <c r="K1439" t="s">
        <v>15768</v>
      </c>
      <c r="L1439">
        <f>HYPERLINK("https://www2.assemblee-nationale.fr/sycomore/fiche/(num_dept)/2521", "2521")</f>
        <v>0</v>
      </c>
      <c r="M1439">
        <f>HYPERLINK("https://www.senat.fr/senateur-3eme-republique/de_dion_albert1292r3.html", "de_dion_albert1292r3")</f>
        <v>0</v>
      </c>
      <c r="N1439">
        <f>HYPERLINK("https://www.wikidata.org/wiki/Q971548", "Q971548")</f>
        <v>0</v>
      </c>
      <c r="O1439" t="s">
        <v>20023</v>
      </c>
      <c r="P1439" t="s">
        <v>20420</v>
      </c>
      <c r="Q1439" t="s">
        <v>17699</v>
      </c>
      <c r="R1439" t="s">
        <v>411</v>
      </c>
      <c r="S1439">
        <v>1658</v>
      </c>
    </row>
    <row r="1440" spans="1:19">
      <c r="A1440" t="s">
        <v>21</v>
      </c>
      <c r="B1440" t="s">
        <v>148</v>
      </c>
      <c r="C1440" t="s">
        <v>153</v>
      </c>
      <c r="D1440" t="s">
        <v>282</v>
      </c>
      <c r="E1440" t="s">
        <v>411</v>
      </c>
      <c r="F1440">
        <f>HYPERLINK("https://www.wikidata.org/wiki/Q33724121", "Q33724121")</f>
        <v>0</v>
      </c>
      <c r="G1440" t="s">
        <v>617</v>
      </c>
      <c r="H1440" t="s">
        <v>5377</v>
      </c>
      <c r="I1440" t="s">
        <v>9455</v>
      </c>
      <c r="J1440" t="s">
        <v>11367</v>
      </c>
      <c r="K1440" t="s">
        <v>15769</v>
      </c>
      <c r="L1440">
        <f>HYPERLINK("https://www2.assemblee-nationale.fr/sycomore/fiche/(num_dept)/2522", "2522")</f>
        <v>0</v>
      </c>
      <c r="N1440">
        <f>HYPERLINK("https://www.wikidata.org/wiki/Q3265475", "Q3265475")</f>
        <v>0</v>
      </c>
      <c r="O1440" t="s">
        <v>19985</v>
      </c>
      <c r="P1440" t="s">
        <v>20416</v>
      </c>
      <c r="Q1440" t="s">
        <v>17699</v>
      </c>
      <c r="R1440" t="s">
        <v>411</v>
      </c>
      <c r="S1440">
        <v>1658</v>
      </c>
    </row>
    <row r="1441" spans="1:19">
      <c r="A1441" t="s">
        <v>21</v>
      </c>
      <c r="B1441" t="s">
        <v>148</v>
      </c>
      <c r="C1441" t="s">
        <v>153</v>
      </c>
      <c r="D1441" t="s">
        <v>282</v>
      </c>
      <c r="E1441" t="s">
        <v>411</v>
      </c>
      <c r="F1441">
        <f>HYPERLINK("https://www.wikidata.org/wiki/Q33724121", "Q33724121")</f>
        <v>0</v>
      </c>
      <c r="G1441" t="s">
        <v>1439</v>
      </c>
      <c r="H1441" t="s">
        <v>6141</v>
      </c>
      <c r="I1441" t="s">
        <v>6200</v>
      </c>
      <c r="J1441" t="s">
        <v>12160</v>
      </c>
      <c r="K1441" t="s">
        <v>16565</v>
      </c>
      <c r="L1441">
        <f>HYPERLINK("https://www2.assemblee-nationale.fr/sycomore/fiche/(num_dept)/2528", "2528")</f>
        <v>0</v>
      </c>
      <c r="N1441">
        <f>HYPERLINK("https://www.wikidata.org/wiki/Q16025601", "Q16025601")</f>
        <v>0</v>
      </c>
      <c r="O1441" t="s">
        <v>19999</v>
      </c>
      <c r="P1441" t="s">
        <v>20418</v>
      </c>
      <c r="Q1441" t="s">
        <v>17699</v>
      </c>
      <c r="R1441" t="s">
        <v>411</v>
      </c>
      <c r="S1441">
        <v>1658</v>
      </c>
    </row>
    <row r="1442" spans="1:19">
      <c r="A1442" t="s">
        <v>21</v>
      </c>
      <c r="B1442" t="s">
        <v>148</v>
      </c>
      <c r="C1442" t="s">
        <v>153</v>
      </c>
      <c r="D1442" t="s">
        <v>282</v>
      </c>
      <c r="E1442" t="s">
        <v>411</v>
      </c>
      <c r="F1442">
        <f>HYPERLINK("https://www.wikidata.org/wiki/Q33724121", "Q33724121")</f>
        <v>0</v>
      </c>
      <c r="G1442" t="s">
        <v>1440</v>
      </c>
      <c r="H1442" t="s">
        <v>6142</v>
      </c>
      <c r="I1442" t="s">
        <v>9808</v>
      </c>
      <c r="J1442" t="s">
        <v>12161</v>
      </c>
      <c r="K1442" t="s">
        <v>16566</v>
      </c>
      <c r="L1442">
        <f>HYPERLINK("https://www2.assemblee-nationale.fr/sycomore/fiche/(num_dept)/2561", "2561")</f>
        <v>0</v>
      </c>
      <c r="N1442">
        <f>HYPERLINK("https://www.wikidata.org/wiki/Q13077241", "Q13077241")</f>
        <v>0</v>
      </c>
      <c r="O1442" t="s">
        <v>19969</v>
      </c>
      <c r="P1442" t="s">
        <v>20421</v>
      </c>
      <c r="Q1442" t="s">
        <v>17699</v>
      </c>
      <c r="R1442" t="s">
        <v>411</v>
      </c>
      <c r="S1442">
        <v>1658</v>
      </c>
    </row>
    <row r="1443" spans="1:19">
      <c r="A1443" t="s">
        <v>21</v>
      </c>
      <c r="B1443" t="s">
        <v>148</v>
      </c>
      <c r="C1443" t="s">
        <v>153</v>
      </c>
      <c r="D1443" t="s">
        <v>282</v>
      </c>
      <c r="E1443" t="s">
        <v>411</v>
      </c>
      <c r="F1443">
        <f>HYPERLINK("https://www.wikidata.org/wiki/Q33724121", "Q33724121")</f>
        <v>0</v>
      </c>
      <c r="G1443" t="s">
        <v>933</v>
      </c>
      <c r="H1443" t="s">
        <v>5689</v>
      </c>
      <c r="I1443" t="s">
        <v>9499</v>
      </c>
      <c r="J1443" t="s">
        <v>11675</v>
      </c>
      <c r="K1443" t="s">
        <v>16075</v>
      </c>
      <c r="L1443">
        <f>HYPERLINK("https://www2.assemblee-nationale.fr/sycomore/fiche/(num_dept)/2572", "2572")</f>
        <v>0</v>
      </c>
      <c r="N1443">
        <f>HYPERLINK("https://www.wikidata.org/wiki/Q16025609", "Q16025609")</f>
        <v>0</v>
      </c>
      <c r="O1443" t="s">
        <v>20020</v>
      </c>
      <c r="P1443" t="s">
        <v>20419</v>
      </c>
      <c r="Q1443" t="s">
        <v>17699</v>
      </c>
      <c r="R1443" t="s">
        <v>411</v>
      </c>
      <c r="S1443">
        <v>1658</v>
      </c>
    </row>
    <row r="1444" spans="1:19">
      <c r="A1444" t="s">
        <v>21</v>
      </c>
      <c r="B1444" t="s">
        <v>148</v>
      </c>
      <c r="C1444" t="s">
        <v>153</v>
      </c>
      <c r="D1444" t="s">
        <v>282</v>
      </c>
      <c r="E1444" t="s">
        <v>411</v>
      </c>
      <c r="F1444">
        <f>HYPERLINK("https://www.wikidata.org/wiki/Q33724121", "Q33724121")</f>
        <v>0</v>
      </c>
      <c r="G1444" t="s">
        <v>939</v>
      </c>
      <c r="H1444" t="s">
        <v>5695</v>
      </c>
      <c r="I1444" t="s">
        <v>9594</v>
      </c>
      <c r="J1444" t="s">
        <v>11680</v>
      </c>
      <c r="K1444" t="s">
        <v>16081</v>
      </c>
      <c r="L1444">
        <f>HYPERLINK("https://www2.assemblee-nationale.fr/sycomore/fiche/(num_dept)/2622", "2622")</f>
        <v>0</v>
      </c>
      <c r="N1444">
        <f>HYPERLINK("https://www.wikidata.org/wiki/Q3261768", "Q3261768")</f>
        <v>0</v>
      </c>
      <c r="O1444" t="s">
        <v>19969</v>
      </c>
      <c r="P1444" t="s">
        <v>20416</v>
      </c>
      <c r="Q1444" t="s">
        <v>17699</v>
      </c>
      <c r="R1444" t="s">
        <v>411</v>
      </c>
      <c r="S1444">
        <v>1658</v>
      </c>
    </row>
    <row r="1445" spans="1:19">
      <c r="A1445" t="s">
        <v>21</v>
      </c>
      <c r="B1445" t="s">
        <v>148</v>
      </c>
      <c r="C1445" t="s">
        <v>153</v>
      </c>
      <c r="D1445" t="s">
        <v>282</v>
      </c>
      <c r="E1445" t="s">
        <v>411</v>
      </c>
      <c r="F1445">
        <f>HYPERLINK("https://www.wikidata.org/wiki/Q33724121", "Q33724121")</f>
        <v>0</v>
      </c>
      <c r="G1445" t="s">
        <v>1441</v>
      </c>
      <c r="H1445" t="s">
        <v>5695</v>
      </c>
      <c r="I1445" t="s">
        <v>9809</v>
      </c>
      <c r="J1445" t="s">
        <v>12162</v>
      </c>
      <c r="K1445" t="s">
        <v>16567</v>
      </c>
      <c r="L1445">
        <f>HYPERLINK("https://www2.assemblee-nationale.fr/sycomore/fiche/(num_dept)/2625", "2625")</f>
        <v>0</v>
      </c>
      <c r="N1445">
        <f>HYPERLINK("https://www.wikidata.org/wiki/Q16025617", "Q16025617")</f>
        <v>0</v>
      </c>
      <c r="O1445" t="s">
        <v>20012</v>
      </c>
      <c r="P1445" t="s">
        <v>20418</v>
      </c>
      <c r="Q1445" t="s">
        <v>17699</v>
      </c>
      <c r="R1445" t="s">
        <v>411</v>
      </c>
      <c r="S1445">
        <v>1658</v>
      </c>
    </row>
    <row r="1446" spans="1:19">
      <c r="A1446" t="s">
        <v>21</v>
      </c>
      <c r="B1446" t="s">
        <v>148</v>
      </c>
      <c r="C1446" t="s">
        <v>153</v>
      </c>
      <c r="D1446" t="s">
        <v>282</v>
      </c>
      <c r="E1446" t="s">
        <v>411</v>
      </c>
      <c r="F1446">
        <f>HYPERLINK("https://www.wikidata.org/wiki/Q33724121", "Q33724121")</f>
        <v>0</v>
      </c>
      <c r="G1446" t="s">
        <v>1442</v>
      </c>
      <c r="H1446" t="s">
        <v>6143</v>
      </c>
      <c r="I1446" t="s">
        <v>9810</v>
      </c>
      <c r="J1446" t="s">
        <v>12163</v>
      </c>
      <c r="K1446" t="s">
        <v>16568</v>
      </c>
      <c r="L1446">
        <f>HYPERLINK("https://www2.assemblee-nationale.fr/sycomore/fiche/(num_dept)/2627", "2627")</f>
        <v>0</v>
      </c>
      <c r="N1446">
        <f>HYPERLINK("https://www.wikidata.org/wiki/Q3384816", "Q3384816")</f>
        <v>0</v>
      </c>
      <c r="O1446" t="s">
        <v>19996</v>
      </c>
      <c r="P1446" t="s">
        <v>20416</v>
      </c>
      <c r="Q1446" t="s">
        <v>17699</v>
      </c>
      <c r="R1446" t="s">
        <v>411</v>
      </c>
      <c r="S1446">
        <v>1658</v>
      </c>
    </row>
    <row r="1447" spans="1:19">
      <c r="A1447" t="s">
        <v>21</v>
      </c>
      <c r="B1447" t="s">
        <v>148</v>
      </c>
      <c r="C1447" t="s">
        <v>153</v>
      </c>
      <c r="D1447" t="s">
        <v>282</v>
      </c>
      <c r="E1447" t="s">
        <v>411</v>
      </c>
      <c r="F1447">
        <f>HYPERLINK("https://www.wikidata.org/wiki/Q33724121", "Q33724121")</f>
        <v>0</v>
      </c>
      <c r="G1447" t="s">
        <v>1166</v>
      </c>
      <c r="H1447" t="s">
        <v>5898</v>
      </c>
      <c r="I1447" t="s">
        <v>9690</v>
      </c>
      <c r="J1447" t="s">
        <v>11899</v>
      </c>
      <c r="K1447" t="s">
        <v>16301</v>
      </c>
      <c r="L1447">
        <f>HYPERLINK("https://www2.assemblee-nationale.fr/sycomore/fiche/(num_dept)/2634", "2634")</f>
        <v>0</v>
      </c>
      <c r="N1447">
        <f>HYPERLINK("https://www.wikidata.org/wiki/Q3158781", "Q3158781")</f>
        <v>0</v>
      </c>
      <c r="O1447" t="s">
        <v>19984</v>
      </c>
      <c r="P1447" t="s">
        <v>20416</v>
      </c>
      <c r="Q1447" t="s">
        <v>17699</v>
      </c>
      <c r="R1447" t="s">
        <v>411</v>
      </c>
      <c r="S1447">
        <v>1658</v>
      </c>
    </row>
    <row r="1448" spans="1:19">
      <c r="A1448" t="s">
        <v>21</v>
      </c>
      <c r="B1448" t="s">
        <v>148</v>
      </c>
      <c r="C1448" t="s">
        <v>153</v>
      </c>
      <c r="D1448" t="s">
        <v>282</v>
      </c>
      <c r="E1448" t="s">
        <v>411</v>
      </c>
      <c r="F1448">
        <f>HYPERLINK("https://www.wikidata.org/wiki/Q33724121", "Q33724121")</f>
        <v>0</v>
      </c>
      <c r="G1448" t="s">
        <v>1443</v>
      </c>
      <c r="H1448" t="s">
        <v>6144</v>
      </c>
      <c r="I1448" t="s">
        <v>9407</v>
      </c>
      <c r="J1448" t="s">
        <v>12164</v>
      </c>
      <c r="K1448" t="s">
        <v>16569</v>
      </c>
      <c r="L1448">
        <f>HYPERLINK("https://www2.assemblee-nationale.fr/sycomore/fiche/(num_dept)/2641", "2641")</f>
        <v>0</v>
      </c>
      <c r="N1448">
        <f>HYPERLINK("https://www.wikidata.org/wiki/Q16025619", "Q16025619")</f>
        <v>0</v>
      </c>
      <c r="O1448" t="s">
        <v>20003</v>
      </c>
      <c r="P1448" t="s">
        <v>20418</v>
      </c>
      <c r="Q1448" t="s">
        <v>17699</v>
      </c>
      <c r="R1448" t="s">
        <v>411</v>
      </c>
      <c r="S1448">
        <v>1658</v>
      </c>
    </row>
    <row r="1449" spans="1:19">
      <c r="A1449" t="s">
        <v>21</v>
      </c>
      <c r="B1449" t="s">
        <v>148</v>
      </c>
      <c r="C1449" t="s">
        <v>153</v>
      </c>
      <c r="D1449" t="s">
        <v>282</v>
      </c>
      <c r="E1449" t="s">
        <v>411</v>
      </c>
      <c r="F1449">
        <f>HYPERLINK("https://www.wikidata.org/wiki/Q33724121", "Q33724121")</f>
        <v>0</v>
      </c>
      <c r="G1449" t="s">
        <v>942</v>
      </c>
      <c r="H1449" t="s">
        <v>5698</v>
      </c>
      <c r="I1449" t="s">
        <v>9449</v>
      </c>
      <c r="J1449" t="s">
        <v>11683</v>
      </c>
      <c r="K1449" t="s">
        <v>16084</v>
      </c>
      <c r="L1449">
        <f>HYPERLINK("https://www2.assemblee-nationale.fr/sycomore/fiche/(num_dept)/2651", "2651")</f>
        <v>0</v>
      </c>
      <c r="M1449">
        <f>HYPERLINK("https://www.senat.fr/senateur-3eme-republique/duclaux_monteil_jules0135r3.html", "duclaux_monteil_jules0135r3")</f>
        <v>0</v>
      </c>
      <c r="N1449">
        <f>HYPERLINK("https://www.wikidata.org/wiki/Q3188550", "Q3188550")</f>
        <v>0</v>
      </c>
      <c r="O1449" t="s">
        <v>19991</v>
      </c>
      <c r="P1449" t="s">
        <v>20416</v>
      </c>
      <c r="Q1449" t="s">
        <v>17699</v>
      </c>
      <c r="R1449" t="s">
        <v>411</v>
      </c>
      <c r="S1449">
        <v>1658</v>
      </c>
    </row>
    <row r="1450" spans="1:19">
      <c r="A1450" t="s">
        <v>21</v>
      </c>
      <c r="B1450" t="s">
        <v>148</v>
      </c>
      <c r="C1450" t="s">
        <v>153</v>
      </c>
      <c r="D1450" t="s">
        <v>282</v>
      </c>
      <c r="E1450" t="s">
        <v>411</v>
      </c>
      <c r="F1450">
        <f>HYPERLINK("https://www.wikidata.org/wiki/Q33724121", "Q33724121")</f>
        <v>0</v>
      </c>
      <c r="G1450" t="s">
        <v>1444</v>
      </c>
      <c r="H1450" t="s">
        <v>6145</v>
      </c>
      <c r="I1450" t="s">
        <v>9472</v>
      </c>
      <c r="J1450" t="s">
        <v>12165</v>
      </c>
      <c r="K1450" t="s">
        <v>16570</v>
      </c>
      <c r="L1450">
        <f>HYPERLINK("https://www2.assemblee-nationale.fr/sycomore/fiche/(num_dept)/2655", "2655")</f>
        <v>0</v>
      </c>
      <c r="N1450">
        <f>HYPERLINK("https://www.wikidata.org/wiki/Q3136053", "Q3136053")</f>
        <v>0</v>
      </c>
      <c r="O1450" t="s">
        <v>20016</v>
      </c>
      <c r="P1450" t="s">
        <v>20418</v>
      </c>
      <c r="Q1450" t="s">
        <v>17699</v>
      </c>
      <c r="R1450" t="s">
        <v>411</v>
      </c>
      <c r="S1450">
        <v>1658</v>
      </c>
    </row>
    <row r="1451" spans="1:19">
      <c r="A1451" t="s">
        <v>21</v>
      </c>
      <c r="B1451" t="s">
        <v>148</v>
      </c>
      <c r="C1451" t="s">
        <v>153</v>
      </c>
      <c r="D1451" t="s">
        <v>282</v>
      </c>
      <c r="E1451" t="s">
        <v>411</v>
      </c>
      <c r="F1451">
        <f>HYPERLINK("https://www.wikidata.org/wiki/Q33724121", "Q33724121")</f>
        <v>0</v>
      </c>
      <c r="G1451" t="s">
        <v>1445</v>
      </c>
      <c r="H1451" t="s">
        <v>6146</v>
      </c>
      <c r="I1451" t="s">
        <v>9811</v>
      </c>
      <c r="J1451" t="s">
        <v>12166</v>
      </c>
      <c r="K1451" t="s">
        <v>16571</v>
      </c>
      <c r="L1451">
        <f>HYPERLINK("https://www2.assemblee-nationale.fr/sycomore/fiche/(num_dept)/2682", "2682")</f>
        <v>0</v>
      </c>
      <c r="N1451">
        <f>HYPERLINK("https://www.wikidata.org/wiki/Q16025631", "Q16025631")</f>
        <v>0</v>
      </c>
      <c r="O1451" t="s">
        <v>20006</v>
      </c>
      <c r="P1451" t="s">
        <v>20416</v>
      </c>
      <c r="Q1451" t="s">
        <v>17699</v>
      </c>
      <c r="R1451" t="s">
        <v>411</v>
      </c>
      <c r="S1451">
        <v>1658</v>
      </c>
    </row>
    <row r="1452" spans="1:19">
      <c r="A1452" t="s">
        <v>21</v>
      </c>
      <c r="B1452" t="s">
        <v>148</v>
      </c>
      <c r="C1452" t="s">
        <v>153</v>
      </c>
      <c r="D1452" t="s">
        <v>282</v>
      </c>
      <c r="E1452" t="s">
        <v>411</v>
      </c>
      <c r="F1452">
        <f>HYPERLINK("https://www.wikidata.org/wiki/Q33724121", "Q33724121")</f>
        <v>0</v>
      </c>
      <c r="G1452" t="s">
        <v>625</v>
      </c>
      <c r="H1452" t="s">
        <v>5385</v>
      </c>
      <c r="I1452" t="s">
        <v>9460</v>
      </c>
      <c r="J1452" t="s">
        <v>11375</v>
      </c>
      <c r="K1452" t="s">
        <v>15777</v>
      </c>
      <c r="L1452">
        <f>HYPERLINK("https://www2.assemblee-nationale.fr/sycomore/fiche/(num_dept)/2699", "2699")</f>
        <v>0</v>
      </c>
      <c r="M1452">
        <f>HYPERLINK("https://www.senat.fr/senateur-3eme-republique/dumesnil_jacques1613r3.html", "dumesnil_jacques1613r3")</f>
        <v>0</v>
      </c>
      <c r="N1452">
        <f>HYPERLINK("https://www.wikidata.org/wiki/Q3157989", "Q3157989")</f>
        <v>0</v>
      </c>
      <c r="O1452" t="s">
        <v>20026</v>
      </c>
      <c r="P1452" t="s">
        <v>20418</v>
      </c>
      <c r="Q1452" t="s">
        <v>17699</v>
      </c>
      <c r="R1452" t="s">
        <v>411</v>
      </c>
      <c r="S1452">
        <v>1658</v>
      </c>
    </row>
    <row r="1453" spans="1:19">
      <c r="A1453" t="s">
        <v>21</v>
      </c>
      <c r="B1453" t="s">
        <v>148</v>
      </c>
      <c r="C1453" t="s">
        <v>153</v>
      </c>
      <c r="D1453" t="s">
        <v>282</v>
      </c>
      <c r="E1453" t="s">
        <v>411</v>
      </c>
      <c r="F1453">
        <f>HYPERLINK("https://www.wikidata.org/wiki/Q33724121", "Q33724121")</f>
        <v>0</v>
      </c>
      <c r="G1453" t="s">
        <v>948</v>
      </c>
      <c r="H1453" t="s">
        <v>5386</v>
      </c>
      <c r="I1453" t="s">
        <v>9385</v>
      </c>
      <c r="J1453" t="s">
        <v>11689</v>
      </c>
      <c r="K1453" t="s">
        <v>16090</v>
      </c>
      <c r="L1453">
        <f>HYPERLINK("https://www2.assemblee-nationale.fr/sycomore/fiche/(num_dept)/2702", "2702")</f>
        <v>0</v>
      </c>
      <c r="M1453">
        <f>HYPERLINK("https://www.senat.fr/senateur-3eme-republique/dumont_charles0432r3.html", "dumont_charles0432r3")</f>
        <v>0</v>
      </c>
      <c r="N1453">
        <f>HYPERLINK("https://www.wikidata.org/wiki/Q2958960", "Q2958960")</f>
        <v>0</v>
      </c>
      <c r="O1453" t="s">
        <v>20041</v>
      </c>
      <c r="P1453" t="s">
        <v>20417</v>
      </c>
      <c r="Q1453" t="s">
        <v>17699</v>
      </c>
      <c r="R1453" t="s">
        <v>21386</v>
      </c>
      <c r="S1453">
        <v>1521</v>
      </c>
    </row>
    <row r="1454" spans="1:19">
      <c r="A1454" t="s">
        <v>21</v>
      </c>
      <c r="B1454" t="s">
        <v>148</v>
      </c>
      <c r="C1454" t="s">
        <v>153</v>
      </c>
      <c r="D1454" t="s">
        <v>282</v>
      </c>
      <c r="E1454" t="s">
        <v>411</v>
      </c>
      <c r="F1454">
        <f>HYPERLINK("https://www.wikidata.org/wiki/Q33724121", "Q33724121")</f>
        <v>0</v>
      </c>
      <c r="G1454" t="s">
        <v>1446</v>
      </c>
      <c r="H1454" t="s">
        <v>6147</v>
      </c>
      <c r="I1454" t="s">
        <v>9812</v>
      </c>
      <c r="J1454" t="s">
        <v>12167</v>
      </c>
      <c r="K1454" t="s">
        <v>16139</v>
      </c>
      <c r="L1454">
        <f>HYPERLINK("https://www2.assemblee-nationale.fr/sycomore/fiche/(num_dept)/2714", "2714")</f>
        <v>0</v>
      </c>
      <c r="N1454">
        <f>HYPERLINK("https://www.wikidata.org/wiki/Q16025645", "Q16025645")</f>
        <v>0</v>
      </c>
      <c r="O1454" t="s">
        <v>19997</v>
      </c>
      <c r="P1454" t="s">
        <v>20416</v>
      </c>
      <c r="Q1454" t="s">
        <v>17699</v>
      </c>
      <c r="R1454" t="s">
        <v>411</v>
      </c>
      <c r="S1454">
        <v>1658</v>
      </c>
    </row>
    <row r="1455" spans="1:19">
      <c r="A1455" t="s">
        <v>21</v>
      </c>
      <c r="B1455" t="s">
        <v>148</v>
      </c>
      <c r="C1455" t="s">
        <v>153</v>
      </c>
      <c r="D1455" t="s">
        <v>282</v>
      </c>
      <c r="E1455" t="s">
        <v>411</v>
      </c>
      <c r="F1455">
        <f>HYPERLINK("https://www.wikidata.org/wiki/Q33724121", "Q33724121")</f>
        <v>0</v>
      </c>
      <c r="G1455" t="s">
        <v>627</v>
      </c>
      <c r="H1455" t="s">
        <v>5387</v>
      </c>
      <c r="I1455" t="s">
        <v>6860</v>
      </c>
      <c r="J1455" t="s">
        <v>11377</v>
      </c>
      <c r="K1455" t="s">
        <v>15779</v>
      </c>
      <c r="L1455">
        <f>HYPERLINK("https://www2.assemblee-nationale.fr/sycomore/fiche/(num_dept)/2743", "2743")</f>
        <v>0</v>
      </c>
      <c r="N1455">
        <f>HYPERLINK("https://www.wikidata.org/wiki/Q3384871", "Q3384871")</f>
        <v>0</v>
      </c>
      <c r="O1455" t="s">
        <v>19987</v>
      </c>
      <c r="P1455" t="s">
        <v>20416</v>
      </c>
      <c r="Q1455" t="s">
        <v>17699</v>
      </c>
      <c r="R1455" t="s">
        <v>411</v>
      </c>
      <c r="S1455">
        <v>1658</v>
      </c>
    </row>
    <row r="1456" spans="1:19">
      <c r="A1456" t="s">
        <v>21</v>
      </c>
      <c r="B1456" t="s">
        <v>148</v>
      </c>
      <c r="C1456" t="s">
        <v>153</v>
      </c>
      <c r="D1456" t="s">
        <v>282</v>
      </c>
      <c r="E1456" t="s">
        <v>411</v>
      </c>
      <c r="F1456">
        <f>HYPERLINK("https://www.wikidata.org/wiki/Q33724121", "Q33724121")</f>
        <v>0</v>
      </c>
      <c r="G1456" t="s">
        <v>952</v>
      </c>
      <c r="H1456" t="s">
        <v>5704</v>
      </c>
      <c r="I1456" t="s">
        <v>9401</v>
      </c>
      <c r="J1456" t="s">
        <v>11693</v>
      </c>
      <c r="K1456" t="s">
        <v>16094</v>
      </c>
      <c r="L1456">
        <f>HYPERLINK("https://www2.assemblee-nationale.fr/sycomore/fiche/(num_dept)/2750", "2750")</f>
        <v>0</v>
      </c>
      <c r="N1456">
        <f>HYPERLINK("https://www.wikidata.org/wiki/Q2853905", "Q2853905")</f>
        <v>0</v>
      </c>
      <c r="O1456" t="s">
        <v>19997</v>
      </c>
      <c r="P1456" t="s">
        <v>20418</v>
      </c>
      <c r="Q1456" t="s">
        <v>17699</v>
      </c>
      <c r="R1456" t="s">
        <v>411</v>
      </c>
      <c r="S1456">
        <v>1658</v>
      </c>
    </row>
    <row r="1457" spans="1:19">
      <c r="A1457" t="s">
        <v>21</v>
      </c>
      <c r="B1457" t="s">
        <v>148</v>
      </c>
      <c r="C1457" t="s">
        <v>153</v>
      </c>
      <c r="D1457" t="s">
        <v>282</v>
      </c>
      <c r="E1457" t="s">
        <v>411</v>
      </c>
      <c r="F1457">
        <f>HYPERLINK("https://www.wikidata.org/wiki/Q33724121", "Q33724121")</f>
        <v>0</v>
      </c>
      <c r="G1457" t="s">
        <v>628</v>
      </c>
      <c r="H1457" t="s">
        <v>5388</v>
      </c>
      <c r="I1457" t="s">
        <v>6200</v>
      </c>
      <c r="J1457" t="s">
        <v>11378</v>
      </c>
      <c r="K1457" t="s">
        <v>15780</v>
      </c>
      <c r="L1457">
        <f>HYPERLINK("https://www2.assemblee-nationale.fr/sycomore/fiche/(num_dept)/2757", "2757")</f>
        <v>0</v>
      </c>
      <c r="M1457">
        <f>HYPERLINK("https://www.senat.fr/senateur-3eme-republique/durand_jean0270r3.html", "durand_jean0270r3")</f>
        <v>0</v>
      </c>
      <c r="N1457">
        <f>HYPERLINK("https://www.wikidata.org/wiki/Q3171885", "Q3171885")</f>
        <v>0</v>
      </c>
      <c r="O1457" t="s">
        <v>19960</v>
      </c>
      <c r="P1457" t="s">
        <v>20418</v>
      </c>
      <c r="Q1457" t="s">
        <v>17699</v>
      </c>
      <c r="R1457" t="s">
        <v>21392</v>
      </c>
      <c r="S1457">
        <v>431</v>
      </c>
    </row>
    <row r="1458" spans="1:19">
      <c r="A1458" t="s">
        <v>21</v>
      </c>
      <c r="B1458" t="s">
        <v>148</v>
      </c>
      <c r="C1458" t="s">
        <v>153</v>
      </c>
      <c r="D1458" t="s">
        <v>282</v>
      </c>
      <c r="E1458" t="s">
        <v>411</v>
      </c>
      <c r="F1458">
        <f>HYPERLINK("https://www.wikidata.org/wiki/Q33724121", "Q33724121")</f>
        <v>0</v>
      </c>
      <c r="G1458" t="s">
        <v>1447</v>
      </c>
      <c r="H1458" t="s">
        <v>6148</v>
      </c>
      <c r="I1458" t="s">
        <v>9813</v>
      </c>
      <c r="J1458" t="s">
        <v>12168</v>
      </c>
      <c r="K1458" t="s">
        <v>16572</v>
      </c>
      <c r="L1458">
        <f>HYPERLINK("https://www2.assemblee-nationale.fr/sycomore/fiche/(num_dept)/2761", "2761")</f>
        <v>0</v>
      </c>
      <c r="N1458">
        <f>HYPERLINK("https://www.wikidata.org/wiki/Q8317056", "Q8317056")</f>
        <v>0</v>
      </c>
      <c r="O1458" t="s">
        <v>19971</v>
      </c>
      <c r="P1458" t="s">
        <v>20409</v>
      </c>
      <c r="Q1458" t="s">
        <v>17699</v>
      </c>
      <c r="R1458" t="s">
        <v>411</v>
      </c>
      <c r="S1458">
        <v>1658</v>
      </c>
    </row>
    <row r="1459" spans="1:19">
      <c r="A1459" t="s">
        <v>21</v>
      </c>
      <c r="B1459" t="s">
        <v>148</v>
      </c>
      <c r="C1459" t="s">
        <v>153</v>
      </c>
      <c r="D1459" t="s">
        <v>282</v>
      </c>
      <c r="E1459" t="s">
        <v>411</v>
      </c>
      <c r="F1459">
        <f>HYPERLINK("https://www.wikidata.org/wiki/Q33724121", "Q33724121")</f>
        <v>0</v>
      </c>
      <c r="G1459" t="s">
        <v>631</v>
      </c>
      <c r="H1459" t="s">
        <v>5390</v>
      </c>
      <c r="I1459" t="s">
        <v>7642</v>
      </c>
      <c r="J1459" t="s">
        <v>11381</v>
      </c>
      <c r="K1459" t="s">
        <v>15783</v>
      </c>
      <c r="L1459">
        <f>HYPERLINK("https://www2.assemblee-nationale.fr/sycomore/fiche/(num_dept)/2795", "2795")</f>
        <v>0</v>
      </c>
      <c r="N1459">
        <f>HYPERLINK("https://www.wikidata.org/wiki/Q3300740", "Q3300740")</f>
        <v>0</v>
      </c>
      <c r="O1459" t="s">
        <v>19984</v>
      </c>
      <c r="P1459" t="s">
        <v>20416</v>
      </c>
      <c r="Q1459" t="s">
        <v>17699</v>
      </c>
      <c r="R1459" t="s">
        <v>411</v>
      </c>
      <c r="S1459">
        <v>1658</v>
      </c>
    </row>
    <row r="1460" spans="1:19">
      <c r="A1460" t="s">
        <v>21</v>
      </c>
      <c r="B1460" t="s">
        <v>148</v>
      </c>
      <c r="C1460" t="s">
        <v>153</v>
      </c>
      <c r="D1460" t="s">
        <v>282</v>
      </c>
      <c r="E1460" t="s">
        <v>411</v>
      </c>
      <c r="F1460">
        <f>HYPERLINK("https://www.wikidata.org/wiki/Q33724121", "Q33724121")</f>
        <v>0</v>
      </c>
      <c r="G1460" t="s">
        <v>1448</v>
      </c>
      <c r="H1460" t="s">
        <v>6149</v>
      </c>
      <c r="I1460" t="s">
        <v>9814</v>
      </c>
      <c r="J1460" t="s">
        <v>12169</v>
      </c>
      <c r="K1460" t="s">
        <v>16573</v>
      </c>
      <c r="L1460">
        <f>HYPERLINK("https://www2.assemblee-nationale.fr/sycomore/fiche/(num_dept)/2798", "2798")</f>
        <v>0</v>
      </c>
      <c r="N1460">
        <f>HYPERLINK("https://www.wikidata.org/wiki/Q2833647", "Q2833647")</f>
        <v>0</v>
      </c>
      <c r="O1460" t="s">
        <v>19992</v>
      </c>
      <c r="P1460" t="s">
        <v>20416</v>
      </c>
      <c r="Q1460" t="s">
        <v>17699</v>
      </c>
      <c r="R1460" t="s">
        <v>411</v>
      </c>
      <c r="S1460">
        <v>1658</v>
      </c>
    </row>
    <row r="1461" spans="1:19">
      <c r="A1461" t="s">
        <v>21</v>
      </c>
      <c r="B1461" t="s">
        <v>148</v>
      </c>
      <c r="C1461" t="s">
        <v>153</v>
      </c>
      <c r="D1461" t="s">
        <v>282</v>
      </c>
      <c r="E1461" t="s">
        <v>411</v>
      </c>
      <c r="F1461">
        <f>HYPERLINK("https://www.wikidata.org/wiki/Q33724121", "Q33724121")</f>
        <v>0</v>
      </c>
      <c r="G1461" t="s">
        <v>1449</v>
      </c>
      <c r="H1461" t="s">
        <v>6150</v>
      </c>
      <c r="I1461" t="s">
        <v>9815</v>
      </c>
      <c r="J1461" t="s">
        <v>11723</v>
      </c>
      <c r="K1461" t="s">
        <v>16574</v>
      </c>
      <c r="L1461">
        <f>HYPERLINK("https://www2.assemblee-nationale.fr/sycomore/fiche/(num_dept)/2801", "2801")</f>
        <v>0</v>
      </c>
      <c r="N1461">
        <f>HYPERLINK("https://www.wikidata.org/wiki/Q3261828", "Q3261828")</f>
        <v>0</v>
      </c>
      <c r="O1461" t="s">
        <v>19969</v>
      </c>
      <c r="P1461" t="s">
        <v>20416</v>
      </c>
      <c r="Q1461" t="s">
        <v>17699</v>
      </c>
      <c r="R1461" t="s">
        <v>411</v>
      </c>
      <c r="S1461">
        <v>1658</v>
      </c>
    </row>
    <row r="1462" spans="1:19">
      <c r="A1462" t="s">
        <v>21</v>
      </c>
      <c r="B1462" t="s">
        <v>148</v>
      </c>
      <c r="C1462" t="s">
        <v>153</v>
      </c>
      <c r="D1462" t="s">
        <v>282</v>
      </c>
      <c r="E1462" t="s">
        <v>411</v>
      </c>
      <c r="F1462">
        <f>HYPERLINK("https://www.wikidata.org/wiki/Q33724121", "Q33724121")</f>
        <v>0</v>
      </c>
      <c r="G1462" t="s">
        <v>633</v>
      </c>
      <c r="H1462" t="s">
        <v>5392</v>
      </c>
      <c r="I1462" t="s">
        <v>9446</v>
      </c>
      <c r="J1462" t="s">
        <v>11383</v>
      </c>
      <c r="K1462" t="s">
        <v>15785</v>
      </c>
      <c r="L1462">
        <f>HYPERLINK("https://www2.assemblee-nationale.fr/sycomore/fiche/(num_dept)/2829", "2829")</f>
        <v>0</v>
      </c>
      <c r="N1462">
        <f>HYPERLINK("https://www.wikidata.org/wiki/Q3069139", "Q3069139")</f>
        <v>0</v>
      </c>
      <c r="O1462" t="s">
        <v>20009</v>
      </c>
      <c r="P1462" t="s">
        <v>20416</v>
      </c>
      <c r="Q1462" t="s">
        <v>17699</v>
      </c>
      <c r="R1462" t="s">
        <v>411</v>
      </c>
      <c r="S1462">
        <v>1658</v>
      </c>
    </row>
    <row r="1463" spans="1:19">
      <c r="A1463" t="s">
        <v>21</v>
      </c>
      <c r="B1463" t="s">
        <v>148</v>
      </c>
      <c r="C1463" t="s">
        <v>153</v>
      </c>
      <c r="D1463" t="s">
        <v>282</v>
      </c>
      <c r="E1463" t="s">
        <v>411</v>
      </c>
      <c r="F1463">
        <f>HYPERLINK("https://www.wikidata.org/wiki/Q33724121", "Q33724121")</f>
        <v>0</v>
      </c>
      <c r="G1463" t="s">
        <v>1450</v>
      </c>
      <c r="H1463" t="s">
        <v>6151</v>
      </c>
      <c r="I1463" t="s">
        <v>6200</v>
      </c>
      <c r="J1463" t="s">
        <v>12170</v>
      </c>
      <c r="K1463" t="s">
        <v>16575</v>
      </c>
      <c r="L1463">
        <f>HYPERLINK("https://www2.assemblee-nationale.fr/sycomore/fiche/(num_dept)/2832", "2832")</f>
        <v>0</v>
      </c>
      <c r="N1463">
        <f>HYPERLINK("https://www.wikidata.org/wiki/Q16025668", "Q16025668")</f>
        <v>0</v>
      </c>
      <c r="O1463" t="s">
        <v>19969</v>
      </c>
      <c r="P1463" t="s">
        <v>20416</v>
      </c>
      <c r="Q1463" t="s">
        <v>17699</v>
      </c>
      <c r="R1463" t="s">
        <v>411</v>
      </c>
      <c r="S1463">
        <v>1658</v>
      </c>
    </row>
    <row r="1464" spans="1:19">
      <c r="A1464" t="s">
        <v>21</v>
      </c>
      <c r="B1464" t="s">
        <v>148</v>
      </c>
      <c r="C1464" t="s">
        <v>153</v>
      </c>
      <c r="D1464" t="s">
        <v>282</v>
      </c>
      <c r="E1464" t="s">
        <v>411</v>
      </c>
      <c r="F1464">
        <f>HYPERLINK("https://www.wikidata.org/wiki/Q33724121", "Q33724121")</f>
        <v>0</v>
      </c>
      <c r="G1464" t="s">
        <v>1451</v>
      </c>
      <c r="H1464" t="s">
        <v>6152</v>
      </c>
      <c r="I1464" t="s">
        <v>6585</v>
      </c>
      <c r="J1464" t="s">
        <v>12171</v>
      </c>
      <c r="K1464" t="s">
        <v>16576</v>
      </c>
      <c r="L1464">
        <f>HYPERLINK("https://www2.assemblee-nationale.fr/sycomore/fiche/(num_dept)/2840", "2840")</f>
        <v>0</v>
      </c>
      <c r="N1464">
        <f>HYPERLINK("https://www.wikidata.org/wiki/Q16025671", "Q16025671")</f>
        <v>0</v>
      </c>
      <c r="O1464" t="s">
        <v>20044</v>
      </c>
      <c r="P1464" t="s">
        <v>20418</v>
      </c>
      <c r="Q1464" t="s">
        <v>17699</v>
      </c>
      <c r="R1464" t="s">
        <v>411</v>
      </c>
      <c r="S1464">
        <v>1658</v>
      </c>
    </row>
    <row r="1465" spans="1:19">
      <c r="A1465" t="s">
        <v>21</v>
      </c>
      <c r="B1465" t="s">
        <v>148</v>
      </c>
      <c r="C1465" t="s">
        <v>153</v>
      </c>
      <c r="D1465" t="s">
        <v>282</v>
      </c>
      <c r="E1465" t="s">
        <v>411</v>
      </c>
      <c r="F1465">
        <f>HYPERLINK("https://www.wikidata.org/wiki/Q33724121", "Q33724121")</f>
        <v>0</v>
      </c>
      <c r="G1465" t="s">
        <v>1452</v>
      </c>
      <c r="H1465" t="s">
        <v>6152</v>
      </c>
      <c r="I1465" t="s">
        <v>5528</v>
      </c>
      <c r="J1465" t="s">
        <v>12172</v>
      </c>
      <c r="K1465" t="s">
        <v>16577</v>
      </c>
      <c r="L1465">
        <f>HYPERLINK("https://www2.assemblee-nationale.fr/sycomore/fiche/(num_dept)/2841", "2841")</f>
        <v>0</v>
      </c>
      <c r="N1465">
        <f>HYPERLINK("https://www.wikidata.org/wiki/Q3270943", "Q3270943")</f>
        <v>0</v>
      </c>
      <c r="O1465" t="s">
        <v>20013</v>
      </c>
      <c r="P1465" t="s">
        <v>20404</v>
      </c>
      <c r="Q1465" t="s">
        <v>17699</v>
      </c>
      <c r="R1465" t="s">
        <v>411</v>
      </c>
      <c r="S1465">
        <v>1658</v>
      </c>
    </row>
    <row r="1466" spans="1:19">
      <c r="A1466" t="s">
        <v>21</v>
      </c>
      <c r="B1466" t="s">
        <v>148</v>
      </c>
      <c r="C1466" t="s">
        <v>153</v>
      </c>
      <c r="D1466" t="s">
        <v>282</v>
      </c>
      <c r="E1466" t="s">
        <v>411</v>
      </c>
      <c r="F1466">
        <f>HYPERLINK("https://www.wikidata.org/wiki/Q33724121", "Q33724121")</f>
        <v>0</v>
      </c>
      <c r="G1466" t="s">
        <v>634</v>
      </c>
      <c r="H1466" t="s">
        <v>5393</v>
      </c>
      <c r="I1466" t="s">
        <v>9388</v>
      </c>
      <c r="J1466" t="s">
        <v>11384</v>
      </c>
      <c r="K1466" t="s">
        <v>15786</v>
      </c>
      <c r="L1466">
        <f>HYPERLINK("https://www2.assemblee-nationale.fr/sycomore/fiche/(num_dept)/2844", "2844")</f>
        <v>0</v>
      </c>
      <c r="N1466">
        <f>HYPERLINK("https://www.wikidata.org/wiki/Q13089371", "Q13089371")</f>
        <v>0</v>
      </c>
      <c r="O1466" t="s">
        <v>19969</v>
      </c>
      <c r="P1466" t="s">
        <v>20416</v>
      </c>
      <c r="Q1466" t="s">
        <v>17699</v>
      </c>
      <c r="R1466" t="s">
        <v>411</v>
      </c>
      <c r="S1466">
        <v>1658</v>
      </c>
    </row>
    <row r="1467" spans="1:19">
      <c r="A1467" t="s">
        <v>21</v>
      </c>
      <c r="B1467" t="s">
        <v>148</v>
      </c>
      <c r="C1467" t="s">
        <v>153</v>
      </c>
      <c r="D1467" t="s">
        <v>282</v>
      </c>
      <c r="E1467" t="s">
        <v>411</v>
      </c>
      <c r="F1467">
        <f>HYPERLINK("https://www.wikidata.org/wiki/Q33724121", "Q33724121")</f>
        <v>0</v>
      </c>
      <c r="G1467" t="s">
        <v>1453</v>
      </c>
      <c r="H1467" t="s">
        <v>6153</v>
      </c>
      <c r="I1467" t="s">
        <v>9414</v>
      </c>
      <c r="J1467" t="s">
        <v>11701</v>
      </c>
      <c r="K1467" t="s">
        <v>16578</v>
      </c>
      <c r="L1467">
        <f>HYPERLINK("https://www2.assemblee-nationale.fr/sycomore/fiche/(num_dept)/2865", "2865")</f>
        <v>0</v>
      </c>
      <c r="N1467">
        <f>HYPERLINK("https://www.wikidata.org/wiki/Q16025676", "Q16025676")</f>
        <v>0</v>
      </c>
      <c r="O1467" t="s">
        <v>19969</v>
      </c>
      <c r="P1467" t="s">
        <v>20416</v>
      </c>
      <c r="Q1467" t="s">
        <v>17699</v>
      </c>
      <c r="R1467" t="s">
        <v>411</v>
      </c>
      <c r="S1467">
        <v>1658</v>
      </c>
    </row>
    <row r="1468" spans="1:19">
      <c r="A1468" t="s">
        <v>21</v>
      </c>
      <c r="B1468" t="s">
        <v>148</v>
      </c>
      <c r="C1468" t="s">
        <v>153</v>
      </c>
      <c r="D1468" t="s">
        <v>282</v>
      </c>
      <c r="E1468" t="s">
        <v>411</v>
      </c>
      <c r="F1468">
        <f>HYPERLINK("https://www.wikidata.org/wiki/Q33724121", "Q33724121")</f>
        <v>0</v>
      </c>
      <c r="G1468" t="s">
        <v>953</v>
      </c>
      <c r="H1468" t="s">
        <v>5705</v>
      </c>
      <c r="I1468" t="s">
        <v>6860</v>
      </c>
      <c r="J1468" t="s">
        <v>11694</v>
      </c>
      <c r="K1468" t="s">
        <v>16095</v>
      </c>
      <c r="L1468">
        <f>HYPERLINK("https://www2.assemblee-nationale.fr/sycomore/fiche/(num_dept)/2866", "2866")</f>
        <v>0</v>
      </c>
      <c r="M1468">
        <f>HYPERLINK("https://www.senat.fr/senateur-3eme-republique/even_pierre0579r3.html", "even_pierre0579r3")</f>
        <v>0</v>
      </c>
      <c r="N1468">
        <f>HYPERLINK("https://www.wikidata.org/wiki/Q3384931", "Q3384931")</f>
        <v>0</v>
      </c>
      <c r="O1468" t="s">
        <v>19964</v>
      </c>
      <c r="P1468" t="s">
        <v>20406</v>
      </c>
      <c r="Q1468" t="s">
        <v>17699</v>
      </c>
      <c r="R1468" t="s">
        <v>411</v>
      </c>
      <c r="S1468">
        <v>1658</v>
      </c>
    </row>
    <row r="1469" spans="1:19">
      <c r="A1469" t="s">
        <v>21</v>
      </c>
      <c r="B1469" t="s">
        <v>148</v>
      </c>
      <c r="C1469" t="s">
        <v>153</v>
      </c>
      <c r="D1469" t="s">
        <v>282</v>
      </c>
      <c r="E1469" t="s">
        <v>411</v>
      </c>
      <c r="F1469">
        <f>HYPERLINK("https://www.wikidata.org/wiki/Q33724121", "Q33724121")</f>
        <v>0</v>
      </c>
      <c r="G1469" t="s">
        <v>1454</v>
      </c>
      <c r="H1469" t="s">
        <v>6154</v>
      </c>
      <c r="I1469" t="s">
        <v>9500</v>
      </c>
      <c r="J1469" t="s">
        <v>12173</v>
      </c>
      <c r="K1469" t="s">
        <v>16579</v>
      </c>
      <c r="L1469">
        <f>HYPERLINK("https://www2.assemblee-nationale.fr/sycomore/fiche/(num_dept)/2870", "2870")</f>
        <v>0</v>
      </c>
      <c r="N1469">
        <f>HYPERLINK("https://www.wikidata.org/wiki/Q16025678", "Q16025678")</f>
        <v>0</v>
      </c>
      <c r="O1469" t="s">
        <v>19968</v>
      </c>
      <c r="P1469" t="s">
        <v>20404</v>
      </c>
      <c r="Q1469" t="s">
        <v>17699</v>
      </c>
      <c r="R1469" t="s">
        <v>411</v>
      </c>
      <c r="S1469">
        <v>1658</v>
      </c>
    </row>
    <row r="1470" spans="1:19">
      <c r="A1470" t="s">
        <v>21</v>
      </c>
      <c r="B1470" t="s">
        <v>148</v>
      </c>
      <c r="C1470" t="s">
        <v>153</v>
      </c>
      <c r="D1470" t="s">
        <v>282</v>
      </c>
      <c r="E1470" t="s">
        <v>411</v>
      </c>
      <c r="F1470">
        <f>HYPERLINK("https://www.wikidata.org/wiki/Q33724121", "Q33724121")</f>
        <v>0</v>
      </c>
      <c r="G1470" t="s">
        <v>1106</v>
      </c>
      <c r="H1470" t="s">
        <v>5847</v>
      </c>
      <c r="I1470" t="s">
        <v>9375</v>
      </c>
      <c r="J1470" t="s">
        <v>11258</v>
      </c>
      <c r="K1470" t="s">
        <v>16242</v>
      </c>
      <c r="L1470">
        <f>HYPERLINK("https://www2.assemblee-nationale.fr/sycomore/fiche/(num_dept)/2873", "2873")</f>
        <v>0</v>
      </c>
      <c r="N1470">
        <f>HYPERLINK("https://www.wikidata.org/wiki/Q16025679", "Q16025679")</f>
        <v>0</v>
      </c>
      <c r="O1470" t="s">
        <v>19987</v>
      </c>
      <c r="P1470" t="s">
        <v>20412</v>
      </c>
      <c r="Q1470" t="s">
        <v>17699</v>
      </c>
      <c r="R1470" t="s">
        <v>411</v>
      </c>
      <c r="S1470">
        <v>1658</v>
      </c>
    </row>
    <row r="1471" spans="1:19">
      <c r="A1471" t="s">
        <v>21</v>
      </c>
      <c r="B1471" t="s">
        <v>148</v>
      </c>
      <c r="C1471" t="s">
        <v>153</v>
      </c>
      <c r="D1471" t="s">
        <v>282</v>
      </c>
      <c r="E1471" t="s">
        <v>411</v>
      </c>
      <c r="F1471">
        <f>HYPERLINK("https://www.wikidata.org/wiki/Q33724121", "Q33724121")</f>
        <v>0</v>
      </c>
      <c r="G1471" t="s">
        <v>1170</v>
      </c>
      <c r="H1471" t="s">
        <v>5901</v>
      </c>
      <c r="I1471" t="s">
        <v>5592</v>
      </c>
      <c r="J1471" t="s">
        <v>11903</v>
      </c>
      <c r="K1471" t="s">
        <v>16305</v>
      </c>
      <c r="L1471">
        <f>HYPERLINK("https://www2.assemblee-nationale.fr/sycomore/fiche/(num_dept)/2874", "2874")</f>
        <v>0</v>
      </c>
      <c r="M1471">
        <f>HYPERLINK("https://www.senat.fr/senateur-3eme-republique/eynac_laurent0520r3.html", "eynac_laurent0520r3")</f>
        <v>0</v>
      </c>
      <c r="N1471">
        <f>HYPERLINK("https://www.wikidata.org/wiki/Q3219208", "Q3219208")</f>
        <v>0</v>
      </c>
      <c r="O1471" t="s">
        <v>19993</v>
      </c>
      <c r="P1471" t="s">
        <v>20412</v>
      </c>
      <c r="Q1471" t="s">
        <v>17699</v>
      </c>
      <c r="R1471" t="s">
        <v>411</v>
      </c>
      <c r="S1471">
        <v>1658</v>
      </c>
    </row>
    <row r="1472" spans="1:19">
      <c r="A1472" t="s">
        <v>21</v>
      </c>
      <c r="B1472" t="s">
        <v>148</v>
      </c>
      <c r="C1472" t="s">
        <v>153</v>
      </c>
      <c r="D1472" t="s">
        <v>282</v>
      </c>
      <c r="E1472" t="s">
        <v>411</v>
      </c>
      <c r="F1472">
        <f>HYPERLINK("https://www.wikidata.org/wiki/Q33724121", "Q33724121")</f>
        <v>0</v>
      </c>
      <c r="G1472" t="s">
        <v>1455</v>
      </c>
      <c r="H1472" t="s">
        <v>6155</v>
      </c>
      <c r="I1472" t="s">
        <v>6200</v>
      </c>
      <c r="J1472" t="s">
        <v>12174</v>
      </c>
      <c r="K1472" t="s">
        <v>16580</v>
      </c>
      <c r="L1472">
        <f>HYPERLINK("https://www2.assemblee-nationale.fr/sycomore/fiche/(num_dept)/2884", "2884")</f>
        <v>0</v>
      </c>
      <c r="M1472">
        <f>HYPERLINK("https://www.senat.fr/senateur-3eme-republique/fabry_jean0685r3.html", "fabry_jean0685r3")</f>
        <v>0</v>
      </c>
      <c r="N1472">
        <f>HYPERLINK("https://www.wikidata.org/wiki/Q3171965", "Q3171965")</f>
        <v>0</v>
      </c>
      <c r="O1472" t="s">
        <v>19969</v>
      </c>
      <c r="P1472" t="s">
        <v>20419</v>
      </c>
      <c r="Q1472" t="s">
        <v>17699</v>
      </c>
      <c r="R1472" t="s">
        <v>411</v>
      </c>
      <c r="S1472">
        <v>1658</v>
      </c>
    </row>
    <row r="1473" spans="1:19">
      <c r="A1473" t="s">
        <v>21</v>
      </c>
      <c r="B1473" t="s">
        <v>148</v>
      </c>
      <c r="C1473" t="s">
        <v>153</v>
      </c>
      <c r="D1473" t="s">
        <v>282</v>
      </c>
      <c r="E1473" t="s">
        <v>411</v>
      </c>
      <c r="F1473">
        <f>HYPERLINK("https://www.wikidata.org/wiki/Q33724121", "Q33724121")</f>
        <v>0</v>
      </c>
      <c r="G1473" t="s">
        <v>1171</v>
      </c>
      <c r="H1473" t="s">
        <v>5902</v>
      </c>
      <c r="I1473" t="s">
        <v>9407</v>
      </c>
      <c r="J1473" t="s">
        <v>11904</v>
      </c>
      <c r="K1473" t="s">
        <v>16306</v>
      </c>
      <c r="L1473">
        <f>HYPERLINK("https://www2.assemblee-nationale.fr/sycomore/fiche/(num_dept)/2894", "2894")</f>
        <v>0</v>
      </c>
      <c r="N1473">
        <f>HYPERLINK("https://www.wikidata.org/wiki/Q7123699", "Q7123699")</f>
        <v>0</v>
      </c>
      <c r="O1473" t="s">
        <v>19994</v>
      </c>
      <c r="P1473" t="s">
        <v>20419</v>
      </c>
      <c r="Q1473" t="s">
        <v>17699</v>
      </c>
      <c r="R1473" t="s">
        <v>411</v>
      </c>
      <c r="S1473">
        <v>1658</v>
      </c>
    </row>
    <row r="1474" spans="1:19">
      <c r="A1474" t="s">
        <v>21</v>
      </c>
      <c r="B1474" t="s">
        <v>148</v>
      </c>
      <c r="C1474" t="s">
        <v>153</v>
      </c>
      <c r="D1474" t="s">
        <v>282</v>
      </c>
      <c r="E1474" t="s">
        <v>411</v>
      </c>
      <c r="F1474">
        <f>HYPERLINK("https://www.wikidata.org/wiki/Q33724121", "Q33724121")</f>
        <v>0</v>
      </c>
      <c r="G1474" t="s">
        <v>1456</v>
      </c>
      <c r="H1474" t="s">
        <v>6156</v>
      </c>
      <c r="I1474" t="s">
        <v>6585</v>
      </c>
      <c r="J1474" t="s">
        <v>12175</v>
      </c>
      <c r="K1474" t="s">
        <v>16581</v>
      </c>
      <c r="L1474">
        <f>HYPERLINK("https://www2.assemblee-nationale.fr/sycomore/fiche/(num_dept)/2900", "2900")</f>
        <v>0</v>
      </c>
      <c r="M1474">
        <f>HYPERLINK("https://www.senat.fr/senateur-3eme-republique/fallieres_andre0749r3.html", "fallieres_andre0749r3")</f>
        <v>0</v>
      </c>
      <c r="N1474">
        <f>HYPERLINK("https://www.wikidata.org/wiki/Q2847742", "Q2847742")</f>
        <v>0</v>
      </c>
      <c r="O1474" t="s">
        <v>20043</v>
      </c>
      <c r="P1474" t="s">
        <v>20417</v>
      </c>
      <c r="Q1474" t="s">
        <v>17699</v>
      </c>
      <c r="R1474" t="s">
        <v>411</v>
      </c>
      <c r="S1474">
        <v>1658</v>
      </c>
    </row>
    <row r="1475" spans="1:19">
      <c r="A1475" t="s">
        <v>21</v>
      </c>
      <c r="B1475" t="s">
        <v>148</v>
      </c>
      <c r="C1475" t="s">
        <v>153</v>
      </c>
      <c r="D1475" t="s">
        <v>282</v>
      </c>
      <c r="E1475" t="s">
        <v>411</v>
      </c>
      <c r="F1475">
        <f>HYPERLINK("https://www.wikidata.org/wiki/Q33724121", "Q33724121")</f>
        <v>0</v>
      </c>
      <c r="G1475" t="s">
        <v>1457</v>
      </c>
      <c r="H1475" t="s">
        <v>6157</v>
      </c>
      <c r="I1475" t="s">
        <v>9816</v>
      </c>
      <c r="J1475" t="s">
        <v>12176</v>
      </c>
      <c r="K1475" t="s">
        <v>16582</v>
      </c>
      <c r="L1475">
        <f>HYPERLINK("https://www2.assemblee-nationale.fr/sycomore/fiche/(num_dept)/2908", "2908")</f>
        <v>0</v>
      </c>
      <c r="N1475">
        <f>HYPERLINK("https://www.wikidata.org/wiki/Q3261868", "Q3261868")</f>
        <v>0</v>
      </c>
      <c r="O1475" t="s">
        <v>19966</v>
      </c>
      <c r="P1475" t="s">
        <v>20417</v>
      </c>
      <c r="Q1475" t="s">
        <v>17699</v>
      </c>
      <c r="R1475" t="s">
        <v>411</v>
      </c>
      <c r="S1475">
        <v>1658</v>
      </c>
    </row>
    <row r="1476" spans="1:19">
      <c r="A1476" t="s">
        <v>21</v>
      </c>
      <c r="B1476" t="s">
        <v>148</v>
      </c>
      <c r="C1476" t="s">
        <v>153</v>
      </c>
      <c r="D1476" t="s">
        <v>282</v>
      </c>
      <c r="E1476" t="s">
        <v>411</v>
      </c>
      <c r="F1476">
        <f>HYPERLINK("https://www.wikidata.org/wiki/Q33724121", "Q33724121")</f>
        <v>0</v>
      </c>
      <c r="G1476" t="s">
        <v>1458</v>
      </c>
      <c r="H1476" t="s">
        <v>6158</v>
      </c>
      <c r="I1476" t="s">
        <v>6200</v>
      </c>
      <c r="J1476" t="s">
        <v>12177</v>
      </c>
      <c r="K1476" t="s">
        <v>16583</v>
      </c>
      <c r="L1476">
        <f>HYPERLINK("https://www2.assemblee-nationale.fr/sycomore/fiche/(num_dept)/2954", "2954")</f>
        <v>0</v>
      </c>
      <c r="N1476">
        <f>HYPERLINK("https://www.wikidata.org/wiki/Q3172165", "Q3172165")</f>
        <v>0</v>
      </c>
      <c r="O1476" t="s">
        <v>7411</v>
      </c>
      <c r="P1476" t="s">
        <v>20404</v>
      </c>
      <c r="Q1476" t="s">
        <v>17699</v>
      </c>
      <c r="R1476" t="s">
        <v>411</v>
      </c>
      <c r="S1476">
        <v>1658</v>
      </c>
    </row>
    <row r="1477" spans="1:19">
      <c r="A1477" t="s">
        <v>21</v>
      </c>
      <c r="B1477" t="s">
        <v>148</v>
      </c>
      <c r="C1477" t="s">
        <v>153</v>
      </c>
      <c r="D1477" t="s">
        <v>282</v>
      </c>
      <c r="E1477" t="s">
        <v>411</v>
      </c>
      <c r="F1477">
        <f>HYPERLINK("https://www.wikidata.org/wiki/Q33724121", "Q33724121")</f>
        <v>0</v>
      </c>
      <c r="G1477" t="s">
        <v>1459</v>
      </c>
      <c r="H1477" t="s">
        <v>6159</v>
      </c>
      <c r="I1477" t="s">
        <v>9385</v>
      </c>
      <c r="J1477" t="s">
        <v>12178</v>
      </c>
      <c r="K1477" t="s">
        <v>16584</v>
      </c>
      <c r="L1477">
        <f>HYPERLINK("https://www2.assemblee-nationale.fr/sycomore/fiche/(num_dept)/2966", "2966")</f>
        <v>0</v>
      </c>
      <c r="N1477">
        <f>HYPERLINK("https://www.wikidata.org/wiki/Q16025689", "Q16025689")</f>
        <v>0</v>
      </c>
      <c r="O1477" t="s">
        <v>19968</v>
      </c>
      <c r="P1477" t="s">
        <v>20404</v>
      </c>
      <c r="Q1477" t="s">
        <v>17699</v>
      </c>
      <c r="R1477" t="s">
        <v>411</v>
      </c>
      <c r="S1477">
        <v>1658</v>
      </c>
    </row>
    <row r="1478" spans="1:19">
      <c r="A1478" t="s">
        <v>21</v>
      </c>
      <c r="B1478" t="s">
        <v>148</v>
      </c>
      <c r="C1478" t="s">
        <v>153</v>
      </c>
      <c r="D1478" t="s">
        <v>282</v>
      </c>
      <c r="E1478" t="s">
        <v>411</v>
      </c>
      <c r="F1478">
        <f>HYPERLINK("https://www.wikidata.org/wiki/Q33724121", "Q33724121")</f>
        <v>0</v>
      </c>
      <c r="G1478" t="s">
        <v>1460</v>
      </c>
      <c r="H1478" t="s">
        <v>6160</v>
      </c>
      <c r="I1478" t="s">
        <v>9523</v>
      </c>
      <c r="J1478" t="s">
        <v>12179</v>
      </c>
      <c r="K1478" t="s">
        <v>16585</v>
      </c>
      <c r="L1478">
        <f>HYPERLINK("https://www2.assemblee-nationale.fr/sycomore/fiche/(num_dept)/2972", "2972")</f>
        <v>0</v>
      </c>
      <c r="N1478">
        <f>HYPERLINK("https://www.wikidata.org/wiki/Q8308534", "Q8308534")</f>
        <v>0</v>
      </c>
      <c r="O1478" t="s">
        <v>20041</v>
      </c>
      <c r="P1478" t="s">
        <v>20416</v>
      </c>
      <c r="Q1478" t="s">
        <v>17699</v>
      </c>
      <c r="R1478" t="s">
        <v>411</v>
      </c>
      <c r="S1478">
        <v>1658</v>
      </c>
    </row>
    <row r="1479" spans="1:19">
      <c r="A1479" t="s">
        <v>21</v>
      </c>
      <c r="B1479" t="s">
        <v>148</v>
      </c>
      <c r="C1479" t="s">
        <v>153</v>
      </c>
      <c r="D1479" t="s">
        <v>282</v>
      </c>
      <c r="E1479" t="s">
        <v>411</v>
      </c>
      <c r="F1479">
        <f>HYPERLINK("https://www.wikidata.org/wiki/Q33724121", "Q33724121")</f>
        <v>0</v>
      </c>
      <c r="G1479" t="s">
        <v>1461</v>
      </c>
      <c r="H1479" t="s">
        <v>6161</v>
      </c>
      <c r="I1479" t="s">
        <v>9817</v>
      </c>
      <c r="J1479" t="s">
        <v>12180</v>
      </c>
      <c r="K1479" t="s">
        <v>16586</v>
      </c>
      <c r="L1479">
        <f>HYPERLINK("https://www2.assemblee-nationale.fr/sycomore/fiche/(num_dept)/2976", "2976")</f>
        <v>0</v>
      </c>
      <c r="N1479">
        <f>HYPERLINK("https://www.wikidata.org/wiki/Q3132776", "Q3132776")</f>
        <v>0</v>
      </c>
      <c r="O1479" t="s">
        <v>20030</v>
      </c>
      <c r="P1479" t="s">
        <v>20416</v>
      </c>
      <c r="Q1479" t="s">
        <v>17699</v>
      </c>
      <c r="R1479" t="s">
        <v>411</v>
      </c>
      <c r="S1479">
        <v>1658</v>
      </c>
    </row>
    <row r="1480" spans="1:19">
      <c r="A1480" t="s">
        <v>21</v>
      </c>
      <c r="B1480" t="s">
        <v>148</v>
      </c>
      <c r="C1480" t="s">
        <v>153</v>
      </c>
      <c r="D1480" t="s">
        <v>282</v>
      </c>
      <c r="E1480" t="s">
        <v>411</v>
      </c>
      <c r="F1480">
        <f>HYPERLINK("https://www.wikidata.org/wiki/Q33724121", "Q33724121")</f>
        <v>0</v>
      </c>
      <c r="G1480" t="s">
        <v>1462</v>
      </c>
      <c r="H1480" t="s">
        <v>5400</v>
      </c>
      <c r="I1480" t="s">
        <v>9818</v>
      </c>
      <c r="J1480" t="s">
        <v>12181</v>
      </c>
      <c r="K1480" t="s">
        <v>16587</v>
      </c>
      <c r="L1480">
        <f>HYPERLINK("https://www2.assemblee-nationale.fr/sycomore/fiche/(num_dept)/2987", "2987")</f>
        <v>0</v>
      </c>
      <c r="N1480">
        <f>HYPERLINK("https://www.wikidata.org/wiki/Q3045174", "Q3045174")</f>
        <v>0</v>
      </c>
      <c r="O1480" t="s">
        <v>20007</v>
      </c>
      <c r="P1480" t="s">
        <v>20416</v>
      </c>
      <c r="Q1480" t="s">
        <v>17699</v>
      </c>
      <c r="R1480" t="s">
        <v>411</v>
      </c>
      <c r="S1480">
        <v>1658</v>
      </c>
    </row>
    <row r="1481" spans="1:19">
      <c r="A1481" t="s">
        <v>21</v>
      </c>
      <c r="B1481" t="s">
        <v>148</v>
      </c>
      <c r="C1481" t="s">
        <v>153</v>
      </c>
      <c r="D1481" t="s">
        <v>282</v>
      </c>
      <c r="E1481" t="s">
        <v>411</v>
      </c>
      <c r="F1481">
        <f>HYPERLINK("https://www.wikidata.org/wiki/Q33724121", "Q33724121")</f>
        <v>0</v>
      </c>
      <c r="G1481" t="s">
        <v>643</v>
      </c>
      <c r="H1481" t="s">
        <v>5402</v>
      </c>
      <c r="I1481" t="s">
        <v>9442</v>
      </c>
      <c r="J1481" t="s">
        <v>11393</v>
      </c>
      <c r="K1481" t="s">
        <v>15795</v>
      </c>
      <c r="L1481">
        <f>HYPERLINK("https://www2.assemblee-nationale.fr/sycomore/fiche/(num_dept)/3021", "3021")</f>
        <v>0</v>
      </c>
      <c r="N1481">
        <f>HYPERLINK("https://www.wikidata.org/wiki/Q3056952", "Q3056952")</f>
        <v>0</v>
      </c>
      <c r="O1481" t="s">
        <v>20009</v>
      </c>
      <c r="P1481" t="s">
        <v>20416</v>
      </c>
      <c r="Q1481" t="s">
        <v>17699</v>
      </c>
      <c r="R1481" t="s">
        <v>411</v>
      </c>
      <c r="S1481">
        <v>1658</v>
      </c>
    </row>
    <row r="1482" spans="1:19">
      <c r="A1482" t="s">
        <v>21</v>
      </c>
      <c r="B1482" t="s">
        <v>148</v>
      </c>
      <c r="C1482" t="s">
        <v>153</v>
      </c>
      <c r="D1482" t="s">
        <v>282</v>
      </c>
      <c r="E1482" t="s">
        <v>411</v>
      </c>
      <c r="F1482">
        <f>HYPERLINK("https://www.wikidata.org/wiki/Q33724121", "Q33724121")</f>
        <v>0</v>
      </c>
      <c r="G1482" t="s">
        <v>644</v>
      </c>
      <c r="H1482" t="s">
        <v>5403</v>
      </c>
      <c r="I1482" t="s">
        <v>7642</v>
      </c>
      <c r="J1482" t="s">
        <v>11394</v>
      </c>
      <c r="K1482" t="s">
        <v>15796</v>
      </c>
      <c r="L1482">
        <f>HYPERLINK("https://www2.assemblee-nationale.fr/sycomore/fiche/(num_dept)/3025", "3025")</f>
        <v>0</v>
      </c>
      <c r="M1482">
        <f>HYPERLINK("https://www.senat.fr/senateur-3eme-republique/flayelle_maurice1800r3.html", "flayelle_maurice1800r3")</f>
        <v>0</v>
      </c>
      <c r="N1482">
        <f>HYPERLINK("https://www.wikidata.org/wiki/Q3300781", "Q3300781")</f>
        <v>0</v>
      </c>
      <c r="O1482" t="s">
        <v>20017</v>
      </c>
      <c r="P1482" t="s">
        <v>20416</v>
      </c>
      <c r="Q1482" t="s">
        <v>17699</v>
      </c>
      <c r="R1482" t="s">
        <v>411</v>
      </c>
      <c r="S1482">
        <v>1658</v>
      </c>
    </row>
    <row r="1483" spans="1:19">
      <c r="A1483" t="s">
        <v>21</v>
      </c>
      <c r="B1483" t="s">
        <v>148</v>
      </c>
      <c r="C1483" t="s">
        <v>153</v>
      </c>
      <c r="D1483" t="s">
        <v>282</v>
      </c>
      <c r="E1483" t="s">
        <v>411</v>
      </c>
      <c r="F1483">
        <f>HYPERLINK("https://www.wikidata.org/wiki/Q33724121", "Q33724121")</f>
        <v>0</v>
      </c>
      <c r="G1483" t="s">
        <v>645</v>
      </c>
      <c r="H1483" t="s">
        <v>5404</v>
      </c>
      <c r="I1483" t="s">
        <v>6478</v>
      </c>
      <c r="J1483" t="s">
        <v>11395</v>
      </c>
      <c r="K1483" t="s">
        <v>15797</v>
      </c>
      <c r="L1483">
        <f>HYPERLINK("https://www2.assemblee-nationale.fr/sycomore/fiche/(num_dept)/3030", "3030")</f>
        <v>0</v>
      </c>
      <c r="M1483">
        <f>HYPERLINK("https://www.senat.fr/senateur-3eme-republique/fleury_ravarin_henry1128r3.html", "fleury_ravarin_henry1128r3")</f>
        <v>0</v>
      </c>
      <c r="N1483">
        <f>HYPERLINK("https://www.wikidata.org/wiki/Q3132778", "Q3132778")</f>
        <v>0</v>
      </c>
      <c r="O1483" t="s">
        <v>19965</v>
      </c>
      <c r="P1483" t="s">
        <v>20412</v>
      </c>
      <c r="Q1483" t="s">
        <v>17699</v>
      </c>
      <c r="R1483" t="s">
        <v>15797</v>
      </c>
      <c r="S1483">
        <v>1562</v>
      </c>
    </row>
    <row r="1484" spans="1:19">
      <c r="A1484" t="s">
        <v>21</v>
      </c>
      <c r="B1484" t="s">
        <v>148</v>
      </c>
      <c r="C1484" t="s">
        <v>153</v>
      </c>
      <c r="D1484" t="s">
        <v>282</v>
      </c>
      <c r="E1484" t="s">
        <v>411</v>
      </c>
      <c r="F1484">
        <f>HYPERLINK("https://www.wikidata.org/wiki/Q33724121", "Q33724121")</f>
        <v>0</v>
      </c>
      <c r="G1484" t="s">
        <v>1463</v>
      </c>
      <c r="H1484" t="s">
        <v>6162</v>
      </c>
      <c r="I1484" t="s">
        <v>9476</v>
      </c>
      <c r="J1484" t="s">
        <v>12182</v>
      </c>
      <c r="K1484" t="s">
        <v>16588</v>
      </c>
      <c r="L1484">
        <f>HYPERLINK("https://www2.assemblee-nationale.fr/sycomore/fiche/(num_dept)/3042", "3042")</f>
        <v>0</v>
      </c>
      <c r="N1484">
        <f>HYPERLINK("https://www.wikidata.org/wiki/Q48674", "Q48674")</f>
        <v>0</v>
      </c>
      <c r="O1484" t="s">
        <v>20017</v>
      </c>
      <c r="P1484" t="s">
        <v>20417</v>
      </c>
      <c r="Q1484" t="s">
        <v>17699</v>
      </c>
      <c r="R1484" t="s">
        <v>411</v>
      </c>
      <c r="S1484">
        <v>1658</v>
      </c>
    </row>
    <row r="1485" spans="1:19">
      <c r="A1485" t="s">
        <v>21</v>
      </c>
      <c r="B1485" t="s">
        <v>148</v>
      </c>
      <c r="C1485" t="s">
        <v>153</v>
      </c>
      <c r="D1485" t="s">
        <v>282</v>
      </c>
      <c r="E1485" t="s">
        <v>411</v>
      </c>
      <c r="F1485">
        <f>HYPERLINK("https://www.wikidata.org/wiki/Q33724121", "Q33724121")</f>
        <v>0</v>
      </c>
      <c r="G1485" t="s">
        <v>1173</v>
      </c>
      <c r="H1485" t="s">
        <v>5904</v>
      </c>
      <c r="I1485" t="s">
        <v>9692</v>
      </c>
      <c r="J1485" t="s">
        <v>11906</v>
      </c>
      <c r="K1485" t="s">
        <v>16308</v>
      </c>
      <c r="L1485">
        <f>HYPERLINK("https://www2.assemblee-nationale.fr/sycomore/fiche/(num_dept)/3045", "3045")</f>
        <v>0</v>
      </c>
      <c r="M1485">
        <f>HYPERLINK("https://www.senat.fr/senateur-3eme-republique/de_fontaines_raymond1746r3.html", "de_fontaines_raymond1746r3")</f>
        <v>0</v>
      </c>
      <c r="N1485">
        <f>HYPERLINK("https://www.wikidata.org/wiki/Q3421220", "Q3421220")</f>
        <v>0</v>
      </c>
      <c r="O1485" t="s">
        <v>19972</v>
      </c>
      <c r="P1485" t="s">
        <v>20420</v>
      </c>
      <c r="Q1485" t="s">
        <v>17699</v>
      </c>
      <c r="R1485" t="s">
        <v>21393</v>
      </c>
      <c r="S1485">
        <v>1472</v>
      </c>
    </row>
    <row r="1486" spans="1:19">
      <c r="A1486" t="s">
        <v>21</v>
      </c>
      <c r="B1486" t="s">
        <v>148</v>
      </c>
      <c r="C1486" t="s">
        <v>153</v>
      </c>
      <c r="D1486" t="s">
        <v>282</v>
      </c>
      <c r="E1486" t="s">
        <v>411</v>
      </c>
      <c r="F1486">
        <f>HYPERLINK("https://www.wikidata.org/wiki/Q33724121", "Q33724121")</f>
        <v>0</v>
      </c>
      <c r="G1486" t="s">
        <v>1254</v>
      </c>
      <c r="H1486" t="s">
        <v>5978</v>
      </c>
      <c r="I1486" t="s">
        <v>6860</v>
      </c>
      <c r="J1486" t="s">
        <v>11984</v>
      </c>
      <c r="K1486" t="s">
        <v>16387</v>
      </c>
      <c r="L1486">
        <f>HYPERLINK("https://www2.assemblee-nationale.fr/sycomore/fiche/(num_dept)/3057", "3057")</f>
        <v>0</v>
      </c>
      <c r="N1486">
        <f>HYPERLINK("https://www.wikidata.org/wiki/Q3385030", "Q3385030")</f>
        <v>0</v>
      </c>
      <c r="O1486" t="s">
        <v>20025</v>
      </c>
      <c r="P1486" t="s">
        <v>20419</v>
      </c>
      <c r="Q1486" t="s">
        <v>17699</v>
      </c>
      <c r="R1486" t="s">
        <v>411</v>
      </c>
      <c r="S1486">
        <v>1658</v>
      </c>
    </row>
    <row r="1487" spans="1:19">
      <c r="A1487" t="s">
        <v>21</v>
      </c>
      <c r="B1487" t="s">
        <v>148</v>
      </c>
      <c r="C1487" t="s">
        <v>153</v>
      </c>
      <c r="D1487" t="s">
        <v>282</v>
      </c>
      <c r="E1487" t="s">
        <v>411</v>
      </c>
      <c r="F1487">
        <f>HYPERLINK("https://www.wikidata.org/wiki/Q33724121", "Q33724121")</f>
        <v>0</v>
      </c>
      <c r="G1487" t="s">
        <v>1464</v>
      </c>
      <c r="H1487" t="s">
        <v>6163</v>
      </c>
      <c r="I1487" t="s">
        <v>9819</v>
      </c>
      <c r="J1487" t="s">
        <v>12183</v>
      </c>
      <c r="K1487" t="s">
        <v>16589</v>
      </c>
      <c r="L1487">
        <f>HYPERLINK("https://www2.assemblee-nationale.fr/sycomore/fiche/(num_dept)/3060", "3060")</f>
        <v>0</v>
      </c>
      <c r="N1487">
        <f>HYPERLINK("https://www.wikidata.org/wiki/Q16025716", "Q16025716")</f>
        <v>0</v>
      </c>
      <c r="O1487" t="s">
        <v>19997</v>
      </c>
      <c r="P1487" t="s">
        <v>20416</v>
      </c>
      <c r="Q1487" t="s">
        <v>17699</v>
      </c>
      <c r="R1487" t="s">
        <v>411</v>
      </c>
      <c r="S1487">
        <v>1658</v>
      </c>
    </row>
    <row r="1488" spans="1:19">
      <c r="A1488" t="s">
        <v>21</v>
      </c>
      <c r="B1488" t="s">
        <v>148</v>
      </c>
      <c r="C1488" t="s">
        <v>153</v>
      </c>
      <c r="D1488" t="s">
        <v>282</v>
      </c>
      <c r="E1488" t="s">
        <v>411</v>
      </c>
      <c r="F1488">
        <f>HYPERLINK("https://www.wikidata.org/wiki/Q33724121", "Q33724121")</f>
        <v>0</v>
      </c>
      <c r="G1488" t="s">
        <v>1128</v>
      </c>
      <c r="H1488" t="s">
        <v>5866</v>
      </c>
      <c r="I1488" t="s">
        <v>6584</v>
      </c>
      <c r="J1488" t="s">
        <v>11862</v>
      </c>
      <c r="K1488" t="s">
        <v>16264</v>
      </c>
      <c r="L1488">
        <f>HYPERLINK("https://www2.assemblee-nationale.fr/sycomore/fiche/(num_dept)/3066", "3066")</f>
        <v>0</v>
      </c>
      <c r="N1488">
        <f>HYPERLINK("https://www.wikidata.org/wiki/Q16025718", "Q16025718")</f>
        <v>0</v>
      </c>
      <c r="O1488" t="s">
        <v>20015</v>
      </c>
      <c r="P1488" t="s">
        <v>20416</v>
      </c>
      <c r="Q1488" t="s">
        <v>17699</v>
      </c>
      <c r="R1488" t="s">
        <v>411</v>
      </c>
      <c r="S1488">
        <v>1658</v>
      </c>
    </row>
    <row r="1489" spans="1:19">
      <c r="A1489" t="s">
        <v>21</v>
      </c>
      <c r="B1489" t="s">
        <v>148</v>
      </c>
      <c r="C1489" t="s">
        <v>153</v>
      </c>
      <c r="D1489" t="s">
        <v>282</v>
      </c>
      <c r="E1489" t="s">
        <v>411</v>
      </c>
      <c r="F1489">
        <f>HYPERLINK("https://www.wikidata.org/wiki/Q33724121", "Q33724121")</f>
        <v>0</v>
      </c>
      <c r="G1489" t="s">
        <v>1465</v>
      </c>
      <c r="H1489" t="s">
        <v>6164</v>
      </c>
      <c r="I1489" t="s">
        <v>9442</v>
      </c>
      <c r="J1489" t="s">
        <v>12184</v>
      </c>
      <c r="K1489" t="s">
        <v>16590</v>
      </c>
      <c r="L1489">
        <f>HYPERLINK("https://www2.assemblee-nationale.fr/sycomore/fiche/(num_dept)/3070", "3070")</f>
        <v>0</v>
      </c>
      <c r="N1489">
        <f>HYPERLINK("https://www.wikidata.org/wiki/Q8314082", "Q8314082")</f>
        <v>0</v>
      </c>
      <c r="O1489" t="s">
        <v>19956</v>
      </c>
      <c r="P1489" t="s">
        <v>20416</v>
      </c>
      <c r="Q1489" t="s">
        <v>17699</v>
      </c>
      <c r="R1489" t="s">
        <v>411</v>
      </c>
      <c r="S1489">
        <v>1658</v>
      </c>
    </row>
    <row r="1490" spans="1:19">
      <c r="A1490" t="s">
        <v>21</v>
      </c>
      <c r="B1490" t="s">
        <v>148</v>
      </c>
      <c r="C1490" t="s">
        <v>153</v>
      </c>
      <c r="D1490" t="s">
        <v>282</v>
      </c>
      <c r="E1490" t="s">
        <v>411</v>
      </c>
      <c r="F1490">
        <f>HYPERLINK("https://www.wikidata.org/wiki/Q33724121", "Q33724121")</f>
        <v>0</v>
      </c>
      <c r="G1490" t="s">
        <v>649</v>
      </c>
      <c r="H1490" t="s">
        <v>5408</v>
      </c>
      <c r="I1490" t="s">
        <v>9457</v>
      </c>
      <c r="J1490" t="s">
        <v>11399</v>
      </c>
      <c r="K1490" t="s">
        <v>15801</v>
      </c>
      <c r="L1490">
        <f>HYPERLINK("https://www2.assemblee-nationale.fr/sycomore/fiche/(num_dept)/3078", "3078")</f>
        <v>0</v>
      </c>
      <c r="N1490">
        <f>HYPERLINK("https://www.wikidata.org/wiki/Q8342835", "Q8342835")</f>
        <v>0</v>
      </c>
      <c r="O1490" t="s">
        <v>19975</v>
      </c>
      <c r="P1490" t="s">
        <v>20416</v>
      </c>
      <c r="Q1490" t="s">
        <v>17699</v>
      </c>
      <c r="R1490" t="s">
        <v>411</v>
      </c>
      <c r="S1490">
        <v>1658</v>
      </c>
    </row>
    <row r="1491" spans="1:19">
      <c r="A1491" t="s">
        <v>21</v>
      </c>
      <c r="B1491" t="s">
        <v>148</v>
      </c>
      <c r="C1491" t="s">
        <v>153</v>
      </c>
      <c r="D1491" t="s">
        <v>282</v>
      </c>
      <c r="E1491" t="s">
        <v>411</v>
      </c>
      <c r="F1491">
        <f>HYPERLINK("https://www.wikidata.org/wiki/Q33724121", "Q33724121")</f>
        <v>0</v>
      </c>
      <c r="G1491" t="s">
        <v>1466</v>
      </c>
      <c r="H1491" t="s">
        <v>6165</v>
      </c>
      <c r="I1491" t="s">
        <v>9820</v>
      </c>
      <c r="J1491" t="s">
        <v>12185</v>
      </c>
      <c r="K1491" t="s">
        <v>16591</v>
      </c>
      <c r="L1491">
        <f>HYPERLINK("https://www2.assemblee-nationale.fr/sycomore/fiche/(num_dept)/3080", "3080")</f>
        <v>0</v>
      </c>
      <c r="N1491">
        <f>HYPERLINK("https://www.wikidata.org/wiki/Q2861749", "Q2861749")</f>
        <v>0</v>
      </c>
      <c r="O1491" t="s">
        <v>20027</v>
      </c>
      <c r="P1491" t="s">
        <v>20416</v>
      </c>
      <c r="Q1491" t="s">
        <v>17699</v>
      </c>
      <c r="R1491" t="s">
        <v>411</v>
      </c>
      <c r="S1491">
        <v>1658</v>
      </c>
    </row>
    <row r="1492" spans="1:19">
      <c r="A1492" t="s">
        <v>21</v>
      </c>
      <c r="B1492" t="s">
        <v>148</v>
      </c>
      <c r="C1492" t="s">
        <v>153</v>
      </c>
      <c r="D1492" t="s">
        <v>282</v>
      </c>
      <c r="E1492" t="s">
        <v>411</v>
      </c>
      <c r="F1492">
        <f>HYPERLINK("https://www.wikidata.org/wiki/Q33724121", "Q33724121")</f>
        <v>0</v>
      </c>
      <c r="G1492" t="s">
        <v>651</v>
      </c>
      <c r="H1492" t="s">
        <v>5410</v>
      </c>
      <c r="I1492" t="s">
        <v>6759</v>
      </c>
      <c r="J1492" t="s">
        <v>11401</v>
      </c>
      <c r="K1492" t="s">
        <v>15803</v>
      </c>
      <c r="L1492">
        <f>HYPERLINK("https://www2.assemblee-nationale.fr/sycomore/fiche/(num_dept)/3098", "3098")</f>
        <v>0</v>
      </c>
      <c r="N1492">
        <f>HYPERLINK("https://www.wikidata.org/wiki/Q37391", "Q37391")</f>
        <v>0</v>
      </c>
      <c r="O1492" t="s">
        <v>19989</v>
      </c>
      <c r="P1492" t="s">
        <v>20416</v>
      </c>
      <c r="Q1492" t="s">
        <v>17699</v>
      </c>
      <c r="R1492" t="s">
        <v>411</v>
      </c>
      <c r="S1492">
        <v>1658</v>
      </c>
    </row>
    <row r="1493" spans="1:19">
      <c r="A1493" t="s">
        <v>21</v>
      </c>
      <c r="B1493" t="s">
        <v>148</v>
      </c>
      <c r="C1493" t="s">
        <v>153</v>
      </c>
      <c r="D1493" t="s">
        <v>282</v>
      </c>
      <c r="E1493" t="s">
        <v>411</v>
      </c>
      <c r="F1493">
        <f>HYPERLINK("https://www.wikidata.org/wiki/Q33724121", "Q33724121")</f>
        <v>0</v>
      </c>
      <c r="G1493" t="s">
        <v>1467</v>
      </c>
      <c r="H1493" t="s">
        <v>6166</v>
      </c>
      <c r="I1493" t="s">
        <v>9385</v>
      </c>
      <c r="J1493" t="s">
        <v>12186</v>
      </c>
      <c r="K1493" t="s">
        <v>16592</v>
      </c>
      <c r="L1493">
        <f>HYPERLINK("https://www2.assemblee-nationale.fr/sycomore/fiche/(num_dept)/3126", "3126")</f>
        <v>0</v>
      </c>
      <c r="N1493">
        <f>HYPERLINK("https://www.wikidata.org/wiki/Q16025731", "Q16025731")</f>
        <v>0</v>
      </c>
      <c r="O1493" t="s">
        <v>20050</v>
      </c>
      <c r="P1493" t="s">
        <v>20416</v>
      </c>
      <c r="Q1493" t="s">
        <v>17699</v>
      </c>
      <c r="R1493" t="s">
        <v>411</v>
      </c>
      <c r="S1493">
        <v>1658</v>
      </c>
    </row>
    <row r="1494" spans="1:19">
      <c r="A1494" t="s">
        <v>21</v>
      </c>
      <c r="B1494" t="s">
        <v>148</v>
      </c>
      <c r="C1494" t="s">
        <v>153</v>
      </c>
      <c r="D1494" t="s">
        <v>282</v>
      </c>
      <c r="E1494" t="s">
        <v>411</v>
      </c>
      <c r="F1494">
        <f>HYPERLINK("https://www.wikidata.org/wiki/Q33724121", "Q33724121")</f>
        <v>0</v>
      </c>
      <c r="G1494" t="s">
        <v>1468</v>
      </c>
      <c r="H1494" t="s">
        <v>6167</v>
      </c>
      <c r="I1494" t="s">
        <v>9385</v>
      </c>
      <c r="J1494" t="s">
        <v>12187</v>
      </c>
      <c r="K1494" t="s">
        <v>16593</v>
      </c>
      <c r="L1494">
        <f>HYPERLINK("https://www2.assemblee-nationale.fr/sycomore/fiche/(num_dept)/3153", "3153")</f>
        <v>0</v>
      </c>
      <c r="N1494">
        <f>HYPERLINK("https://www.wikidata.org/wiki/Q2959129", "Q2959129")</f>
        <v>0</v>
      </c>
      <c r="O1494" t="s">
        <v>20048</v>
      </c>
      <c r="P1494" t="s">
        <v>20417</v>
      </c>
      <c r="Q1494" t="s">
        <v>17699</v>
      </c>
      <c r="R1494" t="s">
        <v>411</v>
      </c>
      <c r="S1494">
        <v>1658</v>
      </c>
    </row>
    <row r="1495" spans="1:19">
      <c r="A1495" t="s">
        <v>21</v>
      </c>
      <c r="B1495" t="s">
        <v>148</v>
      </c>
      <c r="C1495" t="s">
        <v>153</v>
      </c>
      <c r="D1495" t="s">
        <v>282</v>
      </c>
      <c r="E1495" t="s">
        <v>411</v>
      </c>
      <c r="F1495">
        <f>HYPERLINK("https://www.wikidata.org/wiki/Q33724121", "Q33724121")</f>
        <v>0</v>
      </c>
      <c r="G1495" t="s">
        <v>1255</v>
      </c>
      <c r="H1495" t="s">
        <v>5979</v>
      </c>
      <c r="I1495" t="s">
        <v>9385</v>
      </c>
      <c r="J1495" t="s">
        <v>11985</v>
      </c>
      <c r="K1495" t="s">
        <v>16388</v>
      </c>
      <c r="L1495">
        <f>HYPERLINK("https://www2.assemblee-nationale.fr/sycomore/fiche/(num_dept)/3156", "3156")</f>
        <v>0</v>
      </c>
      <c r="N1495">
        <f>HYPERLINK("https://www.wikidata.org/wiki/Q16025733", "Q16025733")</f>
        <v>0</v>
      </c>
      <c r="O1495" t="s">
        <v>20007</v>
      </c>
      <c r="P1495" t="s">
        <v>20417</v>
      </c>
      <c r="Q1495" t="s">
        <v>17699</v>
      </c>
      <c r="R1495" t="s">
        <v>411</v>
      </c>
      <c r="S1495">
        <v>1658</v>
      </c>
    </row>
    <row r="1496" spans="1:19">
      <c r="A1496" t="s">
        <v>21</v>
      </c>
      <c r="B1496" t="s">
        <v>148</v>
      </c>
      <c r="C1496" t="s">
        <v>153</v>
      </c>
      <c r="D1496" t="s">
        <v>282</v>
      </c>
      <c r="E1496" t="s">
        <v>411</v>
      </c>
      <c r="F1496">
        <f>HYPERLINK("https://www.wikidata.org/wiki/Q33724121", "Q33724121")</f>
        <v>0</v>
      </c>
      <c r="G1496" t="s">
        <v>1469</v>
      </c>
      <c r="H1496" t="s">
        <v>6168</v>
      </c>
      <c r="I1496" t="s">
        <v>9821</v>
      </c>
      <c r="J1496" t="s">
        <v>12188</v>
      </c>
      <c r="K1496" t="s">
        <v>16594</v>
      </c>
      <c r="L1496">
        <f>HYPERLINK("https://www2.assemblee-nationale.fr/sycomore/fiche/(num_dept)/3168", "3168")</f>
        <v>0</v>
      </c>
      <c r="N1496">
        <f>HYPERLINK("https://www.wikidata.org/wiki/Q16026572", "Q16026572")</f>
        <v>0</v>
      </c>
      <c r="O1496" t="s">
        <v>19987</v>
      </c>
      <c r="P1496" t="s">
        <v>20419</v>
      </c>
      <c r="Q1496" t="s">
        <v>17699</v>
      </c>
      <c r="R1496" t="s">
        <v>411</v>
      </c>
      <c r="S1496">
        <v>1658</v>
      </c>
    </row>
    <row r="1497" spans="1:19">
      <c r="A1497" t="s">
        <v>21</v>
      </c>
      <c r="B1497" t="s">
        <v>148</v>
      </c>
      <c r="C1497" t="s">
        <v>153</v>
      </c>
      <c r="D1497" t="s">
        <v>282</v>
      </c>
      <c r="E1497" t="s">
        <v>411</v>
      </c>
      <c r="F1497">
        <f>HYPERLINK("https://www.wikidata.org/wiki/Q33724121", "Q33724121")</f>
        <v>0</v>
      </c>
      <c r="G1497" t="s">
        <v>1256</v>
      </c>
      <c r="H1497" t="s">
        <v>5980</v>
      </c>
      <c r="I1497" t="s">
        <v>6158</v>
      </c>
      <c r="J1497" t="s">
        <v>11986</v>
      </c>
      <c r="K1497" t="s">
        <v>16389</v>
      </c>
      <c r="L1497">
        <f>HYPERLINK("https://www2.assemblee-nationale.fr/sycomore/fiche/(num_dept)/3184", "3184")</f>
        <v>0</v>
      </c>
      <c r="N1497">
        <f>HYPERLINK("https://www.wikidata.org/wiki/Q16025736", "Q16025736")</f>
        <v>0</v>
      </c>
      <c r="O1497" t="s">
        <v>20026</v>
      </c>
      <c r="P1497" t="s">
        <v>20416</v>
      </c>
      <c r="Q1497" t="s">
        <v>17699</v>
      </c>
      <c r="R1497" t="s">
        <v>411</v>
      </c>
      <c r="S1497">
        <v>1658</v>
      </c>
    </row>
    <row r="1498" spans="1:19">
      <c r="A1498" t="s">
        <v>21</v>
      </c>
      <c r="B1498" t="s">
        <v>148</v>
      </c>
      <c r="C1498" t="s">
        <v>153</v>
      </c>
      <c r="D1498" t="s">
        <v>282</v>
      </c>
      <c r="E1498" t="s">
        <v>411</v>
      </c>
      <c r="F1498">
        <f>HYPERLINK("https://www.wikidata.org/wiki/Q33724121", "Q33724121")</f>
        <v>0</v>
      </c>
      <c r="G1498" t="s">
        <v>1470</v>
      </c>
      <c r="H1498" t="s">
        <v>6169</v>
      </c>
      <c r="I1498" t="s">
        <v>6158</v>
      </c>
      <c r="J1498" t="s">
        <v>12189</v>
      </c>
      <c r="K1498" t="s">
        <v>16595</v>
      </c>
      <c r="L1498">
        <f>HYPERLINK("https://www2.assemblee-nationale.fr/sycomore/fiche/(num_dept)/3193", "3193")</f>
        <v>0</v>
      </c>
      <c r="M1498">
        <f>HYPERLINK("https://www.senat.fr/senateur-3eme-republique/gadaud_felix0673r3.html", "gadaud_felix0673r3")</f>
        <v>0</v>
      </c>
      <c r="N1498">
        <f>HYPERLINK("https://www.wikidata.org/wiki/Q3092440", "Q3092440")</f>
        <v>0</v>
      </c>
      <c r="O1498" t="s">
        <v>20010</v>
      </c>
      <c r="P1498" t="s">
        <v>20417</v>
      </c>
      <c r="Q1498" t="s">
        <v>17699</v>
      </c>
      <c r="R1498" t="s">
        <v>411</v>
      </c>
      <c r="S1498">
        <v>1658</v>
      </c>
    </row>
    <row r="1499" spans="1:19">
      <c r="A1499" t="s">
        <v>21</v>
      </c>
      <c r="B1499" t="s">
        <v>148</v>
      </c>
      <c r="C1499" t="s">
        <v>153</v>
      </c>
      <c r="D1499" t="s">
        <v>282</v>
      </c>
      <c r="E1499" t="s">
        <v>411</v>
      </c>
      <c r="F1499">
        <f>HYPERLINK("https://www.wikidata.org/wiki/Q33724121", "Q33724121")</f>
        <v>0</v>
      </c>
      <c r="G1499" t="s">
        <v>1112</v>
      </c>
      <c r="H1499" t="s">
        <v>5853</v>
      </c>
      <c r="I1499" t="s">
        <v>9666</v>
      </c>
      <c r="J1499" t="s">
        <v>11846</v>
      </c>
      <c r="K1499" t="s">
        <v>16248</v>
      </c>
      <c r="L1499">
        <f>HYPERLINK("https://www2.assemblee-nationale.fr/sycomore/fiche/(num_dept)/3204", "3204")</f>
        <v>0</v>
      </c>
      <c r="N1499">
        <f>HYPERLINK("https://www.wikidata.org/wiki/Q3143609", "Q3143609")</f>
        <v>0</v>
      </c>
      <c r="O1499" t="s">
        <v>19991</v>
      </c>
      <c r="P1499" t="s">
        <v>20420</v>
      </c>
      <c r="Q1499" t="s">
        <v>17699</v>
      </c>
      <c r="R1499" t="s">
        <v>411</v>
      </c>
      <c r="S1499">
        <v>1658</v>
      </c>
    </row>
    <row r="1500" spans="1:19">
      <c r="A1500" t="s">
        <v>21</v>
      </c>
      <c r="B1500" t="s">
        <v>148</v>
      </c>
      <c r="C1500" t="s">
        <v>153</v>
      </c>
      <c r="D1500" t="s">
        <v>282</v>
      </c>
      <c r="E1500" t="s">
        <v>411</v>
      </c>
      <c r="F1500">
        <f>HYPERLINK("https://www.wikidata.org/wiki/Q33724121", "Q33724121")</f>
        <v>0</v>
      </c>
      <c r="G1500" t="s">
        <v>1174</v>
      </c>
      <c r="H1500" t="s">
        <v>5905</v>
      </c>
      <c r="I1500" t="s">
        <v>9693</v>
      </c>
      <c r="J1500" t="s">
        <v>11907</v>
      </c>
      <c r="K1500" t="s">
        <v>16309</v>
      </c>
      <c r="L1500">
        <f>HYPERLINK("https://www2.assemblee-nationale.fr/sycomore/fiche/(num_dept)/3220", "3220")</f>
        <v>0</v>
      </c>
      <c r="N1500">
        <f>HYPERLINK("https://www.wikidata.org/wiki/Q3131155", "Q3131155")</f>
        <v>0</v>
      </c>
      <c r="O1500" t="s">
        <v>19969</v>
      </c>
      <c r="P1500" t="s">
        <v>20416</v>
      </c>
      <c r="Q1500" t="s">
        <v>17699</v>
      </c>
      <c r="R1500" t="s">
        <v>21394</v>
      </c>
      <c r="S1500">
        <v>916</v>
      </c>
    </row>
    <row r="1501" spans="1:19">
      <c r="A1501" t="s">
        <v>21</v>
      </c>
      <c r="B1501" t="s">
        <v>148</v>
      </c>
      <c r="C1501" t="s">
        <v>153</v>
      </c>
      <c r="D1501" t="s">
        <v>282</v>
      </c>
      <c r="E1501" t="s">
        <v>411</v>
      </c>
      <c r="F1501">
        <f>HYPERLINK("https://www.wikidata.org/wiki/Q33724121", "Q33724121")</f>
        <v>0</v>
      </c>
      <c r="G1501" t="s">
        <v>962</v>
      </c>
      <c r="H1501" t="s">
        <v>5714</v>
      </c>
      <c r="I1501" t="s">
        <v>9604</v>
      </c>
      <c r="J1501" t="s">
        <v>11701</v>
      </c>
      <c r="K1501" t="s">
        <v>16104</v>
      </c>
      <c r="L1501">
        <f>HYPERLINK("https://www2.assemblee-nationale.fr/sycomore/fiche/(num_dept)/3224", "3224")</f>
        <v>0</v>
      </c>
      <c r="N1501">
        <f>HYPERLINK("https://www.wikidata.org/wiki/Q16011276", "Q16011276")</f>
        <v>0</v>
      </c>
      <c r="O1501" t="s">
        <v>19959</v>
      </c>
      <c r="P1501" t="s">
        <v>20416</v>
      </c>
      <c r="Q1501" t="s">
        <v>17699</v>
      </c>
      <c r="R1501" t="s">
        <v>411</v>
      </c>
      <c r="S1501">
        <v>1658</v>
      </c>
    </row>
    <row r="1502" spans="1:19">
      <c r="A1502" t="s">
        <v>21</v>
      </c>
      <c r="B1502" t="s">
        <v>148</v>
      </c>
      <c r="C1502" t="s">
        <v>153</v>
      </c>
      <c r="D1502" t="s">
        <v>282</v>
      </c>
      <c r="E1502" t="s">
        <v>411</v>
      </c>
      <c r="F1502">
        <f>HYPERLINK("https://www.wikidata.org/wiki/Q33724121", "Q33724121")</f>
        <v>0</v>
      </c>
      <c r="G1502" t="s">
        <v>653</v>
      </c>
      <c r="H1502" t="s">
        <v>5412</v>
      </c>
      <c r="I1502" t="s">
        <v>9470</v>
      </c>
      <c r="J1502" t="s">
        <v>11403</v>
      </c>
      <c r="K1502" t="s">
        <v>15805</v>
      </c>
      <c r="L1502">
        <f>HYPERLINK("https://www2.assemblee-nationale.fr/sycomore/fiche/(num_dept)/3229", "3229")</f>
        <v>0</v>
      </c>
      <c r="N1502">
        <f>HYPERLINK("https://www.wikidata.org/wiki/Q8298734", "Q8298734")</f>
        <v>0</v>
      </c>
      <c r="O1502" t="s">
        <v>19956</v>
      </c>
      <c r="P1502" t="s">
        <v>20416</v>
      </c>
      <c r="Q1502" t="s">
        <v>17699</v>
      </c>
      <c r="R1502" t="s">
        <v>15805</v>
      </c>
      <c r="S1502">
        <v>1282</v>
      </c>
    </row>
    <row r="1503" spans="1:19">
      <c r="A1503" t="s">
        <v>21</v>
      </c>
      <c r="B1503" t="s">
        <v>148</v>
      </c>
      <c r="C1503" t="s">
        <v>153</v>
      </c>
      <c r="D1503" t="s">
        <v>282</v>
      </c>
      <c r="E1503" t="s">
        <v>411</v>
      </c>
      <c r="F1503">
        <f>HYPERLINK("https://www.wikidata.org/wiki/Q33724121", "Q33724121")</f>
        <v>0</v>
      </c>
      <c r="G1503" t="s">
        <v>1471</v>
      </c>
      <c r="H1503" t="s">
        <v>6170</v>
      </c>
      <c r="I1503" t="s">
        <v>9602</v>
      </c>
      <c r="J1503" t="s">
        <v>12190</v>
      </c>
      <c r="K1503" t="s">
        <v>16596</v>
      </c>
      <c r="L1503">
        <f>HYPERLINK("https://www2.assemblee-nationale.fr/sycomore/fiche/(num_dept)/3279", "3279")</f>
        <v>0</v>
      </c>
      <c r="N1503">
        <f>HYPERLINK("https://www.wikidata.org/wiki/Q8339897", "Q8339897")</f>
        <v>0</v>
      </c>
      <c r="O1503" t="s">
        <v>19976</v>
      </c>
      <c r="P1503" t="s">
        <v>20412</v>
      </c>
      <c r="Q1503" t="s">
        <v>17699</v>
      </c>
      <c r="R1503" t="s">
        <v>411</v>
      </c>
      <c r="S1503">
        <v>1658</v>
      </c>
    </row>
    <row r="1504" spans="1:19">
      <c r="A1504" t="s">
        <v>21</v>
      </c>
      <c r="B1504" t="s">
        <v>148</v>
      </c>
      <c r="C1504" t="s">
        <v>153</v>
      </c>
      <c r="D1504" t="s">
        <v>282</v>
      </c>
      <c r="E1504" t="s">
        <v>411</v>
      </c>
      <c r="F1504">
        <f>HYPERLINK("https://www.wikidata.org/wiki/Q33724121", "Q33724121")</f>
        <v>0</v>
      </c>
      <c r="G1504" t="s">
        <v>1472</v>
      </c>
      <c r="H1504" t="s">
        <v>6171</v>
      </c>
      <c r="I1504" t="s">
        <v>9401</v>
      </c>
      <c r="J1504" t="s">
        <v>12191</v>
      </c>
      <c r="K1504" t="s">
        <v>16597</v>
      </c>
      <c r="L1504">
        <f>HYPERLINK("https://www2.assemblee-nationale.fr/sycomore/fiche/(num_dept)/3314", "3314")</f>
        <v>0</v>
      </c>
      <c r="M1504">
        <f>HYPERLINK("https://www.senat.fr/senateur-3eme-republique/gavini_antoine0491r3.html", "gavini_antoine0491r3")</f>
        <v>0</v>
      </c>
      <c r="N1504">
        <f>HYPERLINK("https://www.wikidata.org/wiki/Q2853978", "Q2853978")</f>
        <v>0</v>
      </c>
      <c r="O1504" t="s">
        <v>19955</v>
      </c>
      <c r="P1504" t="s">
        <v>20412</v>
      </c>
      <c r="Q1504" t="s">
        <v>17699</v>
      </c>
      <c r="R1504" t="s">
        <v>411</v>
      </c>
      <c r="S1504">
        <v>1658</v>
      </c>
    </row>
    <row r="1505" spans="1:19">
      <c r="A1505" t="s">
        <v>21</v>
      </c>
      <c r="B1505" t="s">
        <v>148</v>
      </c>
      <c r="C1505" t="s">
        <v>153</v>
      </c>
      <c r="D1505" t="s">
        <v>282</v>
      </c>
      <c r="E1505" t="s">
        <v>411</v>
      </c>
      <c r="F1505">
        <f>HYPERLINK("https://www.wikidata.org/wiki/Q33724121", "Q33724121")</f>
        <v>0</v>
      </c>
      <c r="G1505" t="s">
        <v>1473</v>
      </c>
      <c r="H1505" t="s">
        <v>6172</v>
      </c>
      <c r="I1505" t="s">
        <v>9692</v>
      </c>
      <c r="J1505" t="s">
        <v>12192</v>
      </c>
      <c r="K1505" t="s">
        <v>16598</v>
      </c>
      <c r="L1505">
        <f>HYPERLINK("https://www2.assemblee-nationale.fr/sycomore/fiche/(num_dept)/3318", "3318")</f>
        <v>0</v>
      </c>
      <c r="N1505">
        <f>HYPERLINK("https://www.wikidata.org/wiki/Q16025756", "Q16025756")</f>
        <v>0</v>
      </c>
      <c r="O1505" t="s">
        <v>20042</v>
      </c>
      <c r="P1505" t="s">
        <v>20416</v>
      </c>
      <c r="Q1505" t="s">
        <v>17699</v>
      </c>
      <c r="R1505" t="s">
        <v>411</v>
      </c>
      <c r="S1505">
        <v>1658</v>
      </c>
    </row>
    <row r="1506" spans="1:19">
      <c r="A1506" t="s">
        <v>21</v>
      </c>
      <c r="B1506" t="s">
        <v>148</v>
      </c>
      <c r="C1506" t="s">
        <v>153</v>
      </c>
      <c r="D1506" t="s">
        <v>282</v>
      </c>
      <c r="E1506" t="s">
        <v>411</v>
      </c>
      <c r="F1506">
        <f>HYPERLINK("https://www.wikidata.org/wiki/Q33724121", "Q33724121")</f>
        <v>0</v>
      </c>
      <c r="G1506" t="s">
        <v>1474</v>
      </c>
      <c r="H1506" t="s">
        <v>6173</v>
      </c>
      <c r="I1506" t="s">
        <v>9388</v>
      </c>
      <c r="J1506" t="s">
        <v>12193</v>
      </c>
      <c r="K1506" t="s">
        <v>16599</v>
      </c>
      <c r="L1506">
        <f>HYPERLINK("https://www2.assemblee-nationale.fr/sycomore/fiche/(num_dept)/3320", "3320")</f>
        <v>0</v>
      </c>
      <c r="N1506">
        <f>HYPERLINK("https://www.wikidata.org/wiki/Q8317080", "Q8317080")</f>
        <v>0</v>
      </c>
      <c r="O1506" t="s">
        <v>20036</v>
      </c>
      <c r="P1506" t="s">
        <v>20416</v>
      </c>
      <c r="Q1506" t="s">
        <v>17699</v>
      </c>
      <c r="R1506" t="s">
        <v>411</v>
      </c>
      <c r="S1506">
        <v>1658</v>
      </c>
    </row>
    <row r="1507" spans="1:19">
      <c r="A1507" t="s">
        <v>21</v>
      </c>
      <c r="B1507" t="s">
        <v>148</v>
      </c>
      <c r="C1507" t="s">
        <v>153</v>
      </c>
      <c r="D1507" t="s">
        <v>282</v>
      </c>
      <c r="E1507" t="s">
        <v>411</v>
      </c>
      <c r="F1507">
        <f>HYPERLINK("https://www.wikidata.org/wiki/Q33724121", "Q33724121")</f>
        <v>0</v>
      </c>
      <c r="G1507" t="s">
        <v>1097</v>
      </c>
      <c r="H1507" t="s">
        <v>5838</v>
      </c>
      <c r="I1507" t="s">
        <v>6175</v>
      </c>
      <c r="J1507" t="s">
        <v>11833</v>
      </c>
      <c r="K1507" t="s">
        <v>16233</v>
      </c>
      <c r="L1507">
        <f>HYPERLINK("https://www2.assemblee-nationale.fr/sycomore/fiche/(num_dept)/3349", "3349")</f>
        <v>0</v>
      </c>
      <c r="N1507">
        <f>HYPERLINK("https://www.wikidata.org/wiki/Q16025763", "Q16025763")</f>
        <v>0</v>
      </c>
      <c r="O1507" t="s">
        <v>20031</v>
      </c>
      <c r="P1507" t="s">
        <v>20412</v>
      </c>
      <c r="Q1507" t="s">
        <v>17699</v>
      </c>
      <c r="R1507" t="s">
        <v>411</v>
      </c>
      <c r="S1507">
        <v>1658</v>
      </c>
    </row>
    <row r="1508" spans="1:19">
      <c r="A1508" t="s">
        <v>21</v>
      </c>
      <c r="B1508" t="s">
        <v>148</v>
      </c>
      <c r="C1508" t="s">
        <v>153</v>
      </c>
      <c r="D1508" t="s">
        <v>282</v>
      </c>
      <c r="E1508" t="s">
        <v>411</v>
      </c>
      <c r="F1508">
        <f>HYPERLINK("https://www.wikidata.org/wiki/Q33724121", "Q33724121")</f>
        <v>0</v>
      </c>
      <c r="G1508" t="s">
        <v>1475</v>
      </c>
      <c r="H1508" t="s">
        <v>6174</v>
      </c>
      <c r="I1508" t="s">
        <v>9516</v>
      </c>
      <c r="J1508" t="s">
        <v>12194</v>
      </c>
      <c r="K1508" t="s">
        <v>16600</v>
      </c>
      <c r="L1508">
        <f>HYPERLINK("https://www2.assemblee-nationale.fr/sycomore/fiche/(num_dept)/3353", "3353")</f>
        <v>0</v>
      </c>
      <c r="N1508">
        <f>HYPERLINK("https://www.wikidata.org/wiki/Q3592180", "Q3592180")</f>
        <v>0</v>
      </c>
      <c r="O1508" t="s">
        <v>20032</v>
      </c>
      <c r="P1508" t="s">
        <v>20412</v>
      </c>
      <c r="Q1508" t="s">
        <v>17699</v>
      </c>
      <c r="R1508" t="s">
        <v>411</v>
      </c>
      <c r="S1508">
        <v>1658</v>
      </c>
    </row>
    <row r="1509" spans="1:19">
      <c r="A1509" t="s">
        <v>21</v>
      </c>
      <c r="B1509" t="s">
        <v>148</v>
      </c>
      <c r="C1509" t="s">
        <v>153</v>
      </c>
      <c r="D1509" t="s">
        <v>282</v>
      </c>
      <c r="E1509" t="s">
        <v>411</v>
      </c>
      <c r="F1509">
        <f>HYPERLINK("https://www.wikidata.org/wiki/Q33724121", "Q33724121")</f>
        <v>0</v>
      </c>
      <c r="G1509" t="s">
        <v>1476</v>
      </c>
      <c r="H1509" t="s">
        <v>6175</v>
      </c>
      <c r="I1509" t="s">
        <v>6303</v>
      </c>
      <c r="J1509" t="s">
        <v>12195</v>
      </c>
      <c r="K1509" t="s">
        <v>16601</v>
      </c>
      <c r="L1509">
        <f>HYPERLINK("https://www2.assemblee-nationale.fr/sycomore/fiche/(num_dept)/3356", "3356")</f>
        <v>0</v>
      </c>
      <c r="N1509">
        <f>HYPERLINK("https://www.wikidata.org/wiki/Q8325344", "Q8325344")</f>
        <v>0</v>
      </c>
      <c r="O1509" t="s">
        <v>19968</v>
      </c>
      <c r="P1509" t="s">
        <v>20404</v>
      </c>
      <c r="Q1509" t="s">
        <v>17699</v>
      </c>
      <c r="R1509" t="s">
        <v>411</v>
      </c>
      <c r="S1509">
        <v>1658</v>
      </c>
    </row>
    <row r="1510" spans="1:19">
      <c r="A1510" t="s">
        <v>21</v>
      </c>
      <c r="B1510" t="s">
        <v>148</v>
      </c>
      <c r="C1510" t="s">
        <v>153</v>
      </c>
      <c r="D1510" t="s">
        <v>282</v>
      </c>
      <c r="E1510" t="s">
        <v>411</v>
      </c>
      <c r="F1510">
        <f>HYPERLINK("https://www.wikidata.org/wiki/Q33724121", "Q33724121")</f>
        <v>0</v>
      </c>
      <c r="G1510" t="s">
        <v>1477</v>
      </c>
      <c r="H1510" t="s">
        <v>5417</v>
      </c>
      <c r="I1510" t="s">
        <v>6166</v>
      </c>
      <c r="J1510" t="s">
        <v>12196</v>
      </c>
      <c r="K1510" t="s">
        <v>16602</v>
      </c>
      <c r="L1510">
        <f>HYPERLINK("https://www2.assemblee-nationale.fr/sycomore/fiche/(num_dept)/3359", "3359")</f>
        <v>0</v>
      </c>
      <c r="N1510">
        <f>HYPERLINK("https://www.wikidata.org/wiki/Q3084814", "Q3084814")</f>
        <v>0</v>
      </c>
      <c r="O1510" t="s">
        <v>20009</v>
      </c>
      <c r="P1510" t="s">
        <v>20416</v>
      </c>
      <c r="Q1510" t="s">
        <v>17699</v>
      </c>
      <c r="R1510" t="s">
        <v>411</v>
      </c>
      <c r="S1510">
        <v>1658</v>
      </c>
    </row>
    <row r="1511" spans="1:19">
      <c r="A1511" t="s">
        <v>21</v>
      </c>
      <c r="B1511" t="s">
        <v>148</v>
      </c>
      <c r="C1511" t="s">
        <v>153</v>
      </c>
      <c r="D1511" t="s">
        <v>282</v>
      </c>
      <c r="E1511" t="s">
        <v>411</v>
      </c>
      <c r="F1511">
        <f>HYPERLINK("https://www.wikidata.org/wiki/Q33724121", "Q33724121")</f>
        <v>0</v>
      </c>
      <c r="G1511" t="s">
        <v>660</v>
      </c>
      <c r="H1511" t="s">
        <v>5419</v>
      </c>
      <c r="I1511" t="s">
        <v>9407</v>
      </c>
      <c r="J1511" t="s">
        <v>11410</v>
      </c>
      <c r="K1511" t="s">
        <v>15812</v>
      </c>
      <c r="L1511">
        <f>HYPERLINK("https://www2.assemblee-nationale.fr/sycomore/fiche/(num_dept)/3395", "3395")</f>
        <v>0</v>
      </c>
      <c r="N1511">
        <f>HYPERLINK("https://www.wikidata.org/wiki/Q16025769", "Q16025769")</f>
        <v>0</v>
      </c>
      <c r="O1511" t="s">
        <v>20016</v>
      </c>
      <c r="P1511" t="s">
        <v>20418</v>
      </c>
      <c r="Q1511" t="s">
        <v>17699</v>
      </c>
      <c r="R1511" t="s">
        <v>411</v>
      </c>
      <c r="S1511">
        <v>1658</v>
      </c>
    </row>
    <row r="1512" spans="1:19">
      <c r="A1512" t="s">
        <v>21</v>
      </c>
      <c r="B1512" t="s">
        <v>148</v>
      </c>
      <c r="C1512" t="s">
        <v>153</v>
      </c>
      <c r="D1512" t="s">
        <v>282</v>
      </c>
      <c r="E1512" t="s">
        <v>411</v>
      </c>
      <c r="F1512">
        <f>HYPERLINK("https://www.wikidata.org/wiki/Q33724121", "Q33724121")</f>
        <v>0</v>
      </c>
      <c r="G1512" t="s">
        <v>661</v>
      </c>
      <c r="H1512" t="s">
        <v>5420</v>
      </c>
      <c r="I1512" t="s">
        <v>9385</v>
      </c>
      <c r="J1512" t="s">
        <v>11411</v>
      </c>
      <c r="K1512" t="s">
        <v>15813</v>
      </c>
      <c r="L1512">
        <f>HYPERLINK("https://www2.assemblee-nationale.fr/sycomore/fiche/(num_dept)/3418", "3418")</f>
        <v>0</v>
      </c>
      <c r="N1512">
        <f>HYPERLINK("https://www.wikidata.org/wiki/Q2959214", "Q2959214")</f>
        <v>0</v>
      </c>
      <c r="O1512" t="s">
        <v>20023</v>
      </c>
      <c r="P1512" t="s">
        <v>20420</v>
      </c>
      <c r="Q1512" t="s">
        <v>17699</v>
      </c>
      <c r="R1512" t="s">
        <v>411</v>
      </c>
      <c r="S1512">
        <v>1658</v>
      </c>
    </row>
    <row r="1513" spans="1:19">
      <c r="A1513" t="s">
        <v>21</v>
      </c>
      <c r="B1513" t="s">
        <v>148</v>
      </c>
      <c r="C1513" t="s">
        <v>153</v>
      </c>
      <c r="D1513" t="s">
        <v>282</v>
      </c>
      <c r="E1513" t="s">
        <v>411</v>
      </c>
      <c r="F1513">
        <f>HYPERLINK("https://www.wikidata.org/wiki/Q33724121", "Q33724121")</f>
        <v>0</v>
      </c>
      <c r="G1513" t="s">
        <v>1115</v>
      </c>
      <c r="H1513" t="s">
        <v>5856</v>
      </c>
      <c r="I1513" t="s">
        <v>9552</v>
      </c>
      <c r="J1513" t="s">
        <v>11849</v>
      </c>
      <c r="K1513" t="s">
        <v>16251</v>
      </c>
      <c r="L1513">
        <f>HYPERLINK("https://www2.assemblee-nationale.fr/sycomore/fiche/(num_dept)/3427", "3427")</f>
        <v>0</v>
      </c>
      <c r="N1513">
        <f>HYPERLINK("https://www.wikidata.org/wiki/Q16025776", "Q16025776")</f>
        <v>0</v>
      </c>
      <c r="O1513" t="s">
        <v>19990</v>
      </c>
      <c r="P1513" t="s">
        <v>20418</v>
      </c>
      <c r="Q1513" t="s">
        <v>17699</v>
      </c>
      <c r="R1513" t="s">
        <v>411</v>
      </c>
      <c r="S1513">
        <v>1658</v>
      </c>
    </row>
    <row r="1514" spans="1:19">
      <c r="A1514" t="s">
        <v>21</v>
      </c>
      <c r="B1514" t="s">
        <v>148</v>
      </c>
      <c r="C1514" t="s">
        <v>153</v>
      </c>
      <c r="D1514" t="s">
        <v>282</v>
      </c>
      <c r="E1514" t="s">
        <v>411</v>
      </c>
      <c r="F1514">
        <f>HYPERLINK("https://www.wikidata.org/wiki/Q33724121", "Q33724121")</f>
        <v>0</v>
      </c>
      <c r="G1514" t="s">
        <v>1478</v>
      </c>
      <c r="H1514" t="s">
        <v>6176</v>
      </c>
      <c r="I1514" t="s">
        <v>5445</v>
      </c>
      <c r="J1514" t="s">
        <v>12197</v>
      </c>
      <c r="K1514" t="s">
        <v>16603</v>
      </c>
      <c r="L1514">
        <f>HYPERLINK("https://www2.assemblee-nationale.fr/sycomore/fiche/(num_dept)/3437", "3437")</f>
        <v>0</v>
      </c>
      <c r="N1514">
        <f>HYPERLINK("https://www.wikidata.org/wiki/Q16025781", "Q16025781")</f>
        <v>0</v>
      </c>
      <c r="O1514" t="s">
        <v>19990</v>
      </c>
      <c r="P1514" t="s">
        <v>20416</v>
      </c>
      <c r="Q1514" t="s">
        <v>17699</v>
      </c>
      <c r="R1514" t="s">
        <v>411</v>
      </c>
      <c r="S1514">
        <v>1658</v>
      </c>
    </row>
    <row r="1515" spans="1:19">
      <c r="A1515" t="s">
        <v>21</v>
      </c>
      <c r="B1515" t="s">
        <v>148</v>
      </c>
      <c r="C1515" t="s">
        <v>153</v>
      </c>
      <c r="D1515" t="s">
        <v>282</v>
      </c>
      <c r="E1515" t="s">
        <v>411</v>
      </c>
      <c r="F1515">
        <f>HYPERLINK("https://www.wikidata.org/wiki/Q33724121", "Q33724121")</f>
        <v>0</v>
      </c>
      <c r="G1515" t="s">
        <v>663</v>
      </c>
      <c r="H1515" t="s">
        <v>5422</v>
      </c>
      <c r="I1515" t="s">
        <v>9475</v>
      </c>
      <c r="J1515" t="s">
        <v>11413</v>
      </c>
      <c r="K1515" t="s">
        <v>15815</v>
      </c>
      <c r="L1515">
        <f>HYPERLINK("https://www2.assemblee-nationale.fr/sycomore/fiche/(num_dept)/3443", "3443")</f>
        <v>0</v>
      </c>
      <c r="N1515">
        <f>HYPERLINK("https://www.wikidata.org/wiki/Q16025783", "Q16025783")</f>
        <v>0</v>
      </c>
      <c r="O1515" t="s">
        <v>19973</v>
      </c>
      <c r="P1515" t="s">
        <v>20418</v>
      </c>
      <c r="Q1515" t="s">
        <v>17699</v>
      </c>
      <c r="R1515" t="s">
        <v>411</v>
      </c>
      <c r="S1515">
        <v>1658</v>
      </c>
    </row>
    <row r="1516" spans="1:19">
      <c r="A1516" t="s">
        <v>21</v>
      </c>
      <c r="B1516" t="s">
        <v>148</v>
      </c>
      <c r="C1516" t="s">
        <v>153</v>
      </c>
      <c r="D1516" t="s">
        <v>282</v>
      </c>
      <c r="E1516" t="s">
        <v>411</v>
      </c>
      <c r="F1516">
        <f>HYPERLINK("https://www.wikidata.org/wiki/Q33724121", "Q33724121")</f>
        <v>0</v>
      </c>
      <c r="G1516" t="s">
        <v>1479</v>
      </c>
      <c r="H1516" t="s">
        <v>6177</v>
      </c>
      <c r="I1516" t="s">
        <v>9388</v>
      </c>
      <c r="J1516" t="s">
        <v>12198</v>
      </c>
      <c r="K1516" t="s">
        <v>16274</v>
      </c>
      <c r="L1516">
        <f>HYPERLINK("https://www2.assemblee-nationale.fr/sycomore/fiche/(num_dept)/3454", "3454")</f>
        <v>0</v>
      </c>
      <c r="N1516">
        <f>HYPERLINK("https://www.wikidata.org/wiki/Q3371327", "Q3371327")</f>
        <v>0</v>
      </c>
      <c r="O1516" t="s">
        <v>19987</v>
      </c>
      <c r="P1516" t="s">
        <v>20416</v>
      </c>
      <c r="Q1516" t="s">
        <v>17699</v>
      </c>
      <c r="R1516" t="s">
        <v>411</v>
      </c>
      <c r="S1516">
        <v>1658</v>
      </c>
    </row>
    <row r="1517" spans="1:19">
      <c r="A1517" t="s">
        <v>21</v>
      </c>
      <c r="B1517" t="s">
        <v>148</v>
      </c>
      <c r="C1517" t="s">
        <v>153</v>
      </c>
      <c r="D1517" t="s">
        <v>282</v>
      </c>
      <c r="E1517" t="s">
        <v>411</v>
      </c>
      <c r="F1517">
        <f>HYPERLINK("https://www.wikidata.org/wiki/Q33724121", "Q33724121")</f>
        <v>0</v>
      </c>
      <c r="G1517" t="s">
        <v>966</v>
      </c>
      <c r="H1517" t="s">
        <v>5718</v>
      </c>
      <c r="I1517" t="s">
        <v>9605</v>
      </c>
      <c r="J1517" t="s">
        <v>11705</v>
      </c>
      <c r="K1517" t="s">
        <v>16108</v>
      </c>
      <c r="L1517">
        <f>HYPERLINK("https://www2.assemblee-nationale.fr/sycomore/fiche/(num_dept)/3460", "3460")</f>
        <v>0</v>
      </c>
      <c r="M1517">
        <f>HYPERLINK("https://www.senat.fr/senateur-3eme-republique/godart_justin1138r3.html", "godart_justin1138r3")</f>
        <v>0</v>
      </c>
      <c r="N1517">
        <f>HYPERLINK("https://www.wikidata.org/wiki/Q3190446", "Q3190446")</f>
        <v>0</v>
      </c>
      <c r="O1517" t="s">
        <v>19965</v>
      </c>
      <c r="P1517" t="s">
        <v>20418</v>
      </c>
      <c r="Q1517" t="s">
        <v>17699</v>
      </c>
      <c r="R1517" t="s">
        <v>411</v>
      </c>
      <c r="S1517">
        <v>1658</v>
      </c>
    </row>
    <row r="1518" spans="1:19">
      <c r="A1518" t="s">
        <v>21</v>
      </c>
      <c r="B1518" t="s">
        <v>148</v>
      </c>
      <c r="C1518" t="s">
        <v>153</v>
      </c>
      <c r="D1518" t="s">
        <v>282</v>
      </c>
      <c r="E1518" t="s">
        <v>411</v>
      </c>
      <c r="F1518">
        <f>HYPERLINK("https://www.wikidata.org/wiki/Q33724121", "Q33724121")</f>
        <v>0</v>
      </c>
      <c r="G1518" t="s">
        <v>664</v>
      </c>
      <c r="H1518" t="s">
        <v>5423</v>
      </c>
      <c r="I1518" t="s">
        <v>9385</v>
      </c>
      <c r="J1518" t="s">
        <v>11414</v>
      </c>
      <c r="K1518" t="s">
        <v>15816</v>
      </c>
      <c r="L1518">
        <f>HYPERLINK("https://www2.assemblee-nationale.fr/sycomore/fiche/(num_dept)/3477", "3477")</f>
        <v>0</v>
      </c>
      <c r="N1518">
        <f>HYPERLINK("https://www.wikidata.org/wiki/Q16025794", "Q16025794")</f>
        <v>0</v>
      </c>
      <c r="O1518" t="s">
        <v>20013</v>
      </c>
      <c r="P1518" t="s">
        <v>20404</v>
      </c>
      <c r="Q1518" t="s">
        <v>17699</v>
      </c>
      <c r="R1518" t="s">
        <v>411</v>
      </c>
      <c r="S1518">
        <v>1658</v>
      </c>
    </row>
    <row r="1519" spans="1:19">
      <c r="A1519" t="s">
        <v>21</v>
      </c>
      <c r="B1519" t="s">
        <v>148</v>
      </c>
      <c r="C1519" t="s">
        <v>153</v>
      </c>
      <c r="D1519" t="s">
        <v>282</v>
      </c>
      <c r="E1519" t="s">
        <v>411</v>
      </c>
      <c r="F1519">
        <f>HYPERLINK("https://www.wikidata.org/wiki/Q33724121", "Q33724121")</f>
        <v>0</v>
      </c>
      <c r="G1519" t="s">
        <v>1480</v>
      </c>
      <c r="H1519" t="s">
        <v>6178</v>
      </c>
      <c r="I1519" t="s">
        <v>9822</v>
      </c>
      <c r="J1519" t="s">
        <v>12199</v>
      </c>
      <c r="K1519" t="s">
        <v>16604</v>
      </c>
      <c r="L1519">
        <f>HYPERLINK("https://www2.assemblee-nationale.fr/sycomore/fiche/(num_dept)/3479", "3479")</f>
        <v>0</v>
      </c>
      <c r="N1519">
        <f>HYPERLINK("https://www.wikidata.org/wiki/Q16025796", "Q16025796")</f>
        <v>0</v>
      </c>
      <c r="O1519" t="s">
        <v>20012</v>
      </c>
      <c r="P1519" t="s">
        <v>20412</v>
      </c>
      <c r="Q1519" t="s">
        <v>17699</v>
      </c>
      <c r="R1519" t="s">
        <v>411</v>
      </c>
      <c r="S1519">
        <v>1658</v>
      </c>
    </row>
    <row r="1520" spans="1:19">
      <c r="A1520" t="s">
        <v>21</v>
      </c>
      <c r="B1520" t="s">
        <v>148</v>
      </c>
      <c r="C1520" t="s">
        <v>153</v>
      </c>
      <c r="D1520" t="s">
        <v>282</v>
      </c>
      <c r="E1520" t="s">
        <v>411</v>
      </c>
      <c r="F1520">
        <f>HYPERLINK("https://www.wikidata.org/wiki/Q33724121", "Q33724121")</f>
        <v>0</v>
      </c>
      <c r="G1520" t="s">
        <v>968</v>
      </c>
      <c r="H1520" t="s">
        <v>5720</v>
      </c>
      <c r="I1520" t="s">
        <v>9389</v>
      </c>
      <c r="J1520" t="s">
        <v>11707</v>
      </c>
      <c r="K1520" t="s">
        <v>16110</v>
      </c>
      <c r="L1520">
        <f>HYPERLINK("https://www2.assemblee-nationale.fr/sycomore/fiche/(num_dept)/3491", "3491")</f>
        <v>0</v>
      </c>
      <c r="N1520">
        <f>HYPERLINK("https://www.wikidata.org/wiki/Q3588541", "Q3588541")</f>
        <v>0</v>
      </c>
      <c r="O1520" t="s">
        <v>20011</v>
      </c>
      <c r="P1520" t="s">
        <v>20404</v>
      </c>
      <c r="Q1520" t="s">
        <v>17699</v>
      </c>
      <c r="R1520" t="s">
        <v>411</v>
      </c>
      <c r="S1520">
        <v>1658</v>
      </c>
    </row>
    <row r="1521" spans="1:19">
      <c r="A1521" t="s">
        <v>21</v>
      </c>
      <c r="B1521" t="s">
        <v>148</v>
      </c>
      <c r="C1521" t="s">
        <v>153</v>
      </c>
      <c r="D1521" t="s">
        <v>282</v>
      </c>
      <c r="E1521" t="s">
        <v>411</v>
      </c>
      <c r="F1521">
        <f>HYPERLINK("https://www.wikidata.org/wiki/Q33724121", "Q33724121")</f>
        <v>0</v>
      </c>
      <c r="G1521" t="s">
        <v>1481</v>
      </c>
      <c r="H1521" t="s">
        <v>6179</v>
      </c>
      <c r="I1521" t="s">
        <v>9523</v>
      </c>
      <c r="J1521" t="s">
        <v>12200</v>
      </c>
      <c r="K1521" t="s">
        <v>16605</v>
      </c>
      <c r="L1521">
        <f>HYPERLINK("https://www2.assemblee-nationale.fr/sycomore/fiche/(num_dept)/3507", "3507")</f>
        <v>0</v>
      </c>
      <c r="N1521">
        <f>HYPERLINK("https://www.wikidata.org/wiki/Q16025797", "Q16025797")</f>
        <v>0</v>
      </c>
      <c r="O1521" t="s">
        <v>20003</v>
      </c>
      <c r="P1521" t="s">
        <v>20419</v>
      </c>
      <c r="Q1521" t="s">
        <v>17699</v>
      </c>
      <c r="R1521" t="s">
        <v>411</v>
      </c>
      <c r="S1521">
        <v>1658</v>
      </c>
    </row>
    <row r="1522" spans="1:19">
      <c r="A1522" t="s">
        <v>21</v>
      </c>
      <c r="B1522" t="s">
        <v>148</v>
      </c>
      <c r="C1522" t="s">
        <v>153</v>
      </c>
      <c r="D1522" t="s">
        <v>282</v>
      </c>
      <c r="E1522" t="s">
        <v>411</v>
      </c>
      <c r="F1522">
        <f>HYPERLINK("https://www.wikidata.org/wiki/Q33724121", "Q33724121")</f>
        <v>0</v>
      </c>
      <c r="G1522" t="s">
        <v>666</v>
      </c>
      <c r="H1522" t="s">
        <v>5425</v>
      </c>
      <c r="I1522" t="s">
        <v>9426</v>
      </c>
      <c r="J1522" t="s">
        <v>11416</v>
      </c>
      <c r="K1522" t="s">
        <v>15818</v>
      </c>
      <c r="L1522">
        <f>HYPERLINK("https://www2.assemblee-nationale.fr/sycomore/fiche/(num_dept)/3508", "3508")</f>
        <v>0</v>
      </c>
      <c r="N1522">
        <f>HYPERLINK("https://www.wikidata.org/wiki/Q13626920", "Q13626920")</f>
        <v>0</v>
      </c>
      <c r="O1522" t="s">
        <v>19965</v>
      </c>
      <c r="P1522" t="s">
        <v>20416</v>
      </c>
      <c r="Q1522" t="s">
        <v>17699</v>
      </c>
      <c r="R1522" t="s">
        <v>411</v>
      </c>
      <c r="S1522">
        <v>1658</v>
      </c>
    </row>
    <row r="1523" spans="1:19">
      <c r="A1523" t="s">
        <v>21</v>
      </c>
      <c r="B1523" t="s">
        <v>148</v>
      </c>
      <c r="C1523" t="s">
        <v>153</v>
      </c>
      <c r="D1523" t="s">
        <v>282</v>
      </c>
      <c r="E1523" t="s">
        <v>411</v>
      </c>
      <c r="F1523">
        <f>HYPERLINK("https://www.wikidata.org/wiki/Q33724121", "Q33724121")</f>
        <v>0</v>
      </c>
      <c r="G1523" t="s">
        <v>1482</v>
      </c>
      <c r="H1523" t="s">
        <v>6180</v>
      </c>
      <c r="I1523" t="s">
        <v>9823</v>
      </c>
      <c r="J1523" t="s">
        <v>12201</v>
      </c>
      <c r="K1523" t="s">
        <v>16606</v>
      </c>
      <c r="L1523">
        <f>HYPERLINK("https://www2.assemblee-nationale.fr/sycomore/fiche/(num_dept)/3511", "3511")</f>
        <v>0</v>
      </c>
      <c r="N1523">
        <f>HYPERLINK("https://www.wikidata.org/wiki/Q16025798", "Q16025798")</f>
        <v>0</v>
      </c>
      <c r="O1523" t="s">
        <v>20006</v>
      </c>
      <c r="P1523" t="s">
        <v>20416</v>
      </c>
      <c r="Q1523" t="s">
        <v>17699</v>
      </c>
      <c r="R1523" t="s">
        <v>411</v>
      </c>
      <c r="S1523">
        <v>1658</v>
      </c>
    </row>
    <row r="1524" spans="1:19">
      <c r="A1524" t="s">
        <v>21</v>
      </c>
      <c r="B1524" t="s">
        <v>148</v>
      </c>
      <c r="C1524" t="s">
        <v>153</v>
      </c>
      <c r="D1524" t="s">
        <v>282</v>
      </c>
      <c r="E1524" t="s">
        <v>411</v>
      </c>
      <c r="F1524">
        <f>HYPERLINK("https://www.wikidata.org/wiki/Q33724121", "Q33724121")</f>
        <v>0</v>
      </c>
      <c r="G1524" t="s">
        <v>668</v>
      </c>
      <c r="H1524" t="s">
        <v>5427</v>
      </c>
      <c r="I1524" t="s">
        <v>6175</v>
      </c>
      <c r="J1524" t="s">
        <v>11418</v>
      </c>
      <c r="K1524" t="s">
        <v>15820</v>
      </c>
      <c r="L1524">
        <f>HYPERLINK("https://www2.assemblee-nationale.fr/sycomore/fiche/(num_dept)/3542", "3542")</f>
        <v>0</v>
      </c>
      <c r="M1524">
        <f>HYPERLINK("https://www.senat.fr/senateur-3eme-republique/de_grandmaison_georges1070r3.html", "de_grandmaison_georges1070r3")</f>
        <v>0</v>
      </c>
      <c r="N1524">
        <f>HYPERLINK("https://www.wikidata.org/wiki/Q3103201", "Q3103201")</f>
        <v>0</v>
      </c>
      <c r="O1524" t="s">
        <v>19980</v>
      </c>
      <c r="P1524" t="s">
        <v>20416</v>
      </c>
      <c r="Q1524" t="s">
        <v>17699</v>
      </c>
      <c r="R1524" t="s">
        <v>411</v>
      </c>
      <c r="S1524">
        <v>1658</v>
      </c>
    </row>
    <row r="1525" spans="1:19">
      <c r="A1525" t="s">
        <v>21</v>
      </c>
      <c r="B1525" t="s">
        <v>148</v>
      </c>
      <c r="C1525" t="s">
        <v>153</v>
      </c>
      <c r="D1525" t="s">
        <v>282</v>
      </c>
      <c r="E1525" t="s">
        <v>411</v>
      </c>
      <c r="F1525">
        <f>HYPERLINK("https://www.wikidata.org/wiki/Q33724121", "Q33724121")</f>
        <v>0</v>
      </c>
      <c r="G1525" t="s">
        <v>1483</v>
      </c>
      <c r="H1525" t="s">
        <v>6181</v>
      </c>
      <c r="I1525" t="s">
        <v>9728</v>
      </c>
      <c r="J1525" t="s">
        <v>12202</v>
      </c>
      <c r="K1525" t="s">
        <v>16607</v>
      </c>
      <c r="L1525">
        <f>HYPERLINK("https://www2.assemblee-nationale.fr/sycomore/fiche/(num_dept)/3589", "3589")</f>
        <v>0</v>
      </c>
      <c r="N1525">
        <f>HYPERLINK("https://www.wikidata.org/wiki/Q3579872", "Q3579872")</f>
        <v>0</v>
      </c>
      <c r="O1525" t="s">
        <v>20024</v>
      </c>
      <c r="P1525" t="s">
        <v>20419</v>
      </c>
      <c r="Q1525" t="s">
        <v>17699</v>
      </c>
      <c r="R1525" t="s">
        <v>411</v>
      </c>
      <c r="S1525">
        <v>1658</v>
      </c>
    </row>
    <row r="1526" spans="1:19">
      <c r="A1526" t="s">
        <v>21</v>
      </c>
      <c r="B1526" t="s">
        <v>148</v>
      </c>
      <c r="C1526" t="s">
        <v>153</v>
      </c>
      <c r="D1526" t="s">
        <v>282</v>
      </c>
      <c r="E1526" t="s">
        <v>411</v>
      </c>
      <c r="F1526">
        <f>HYPERLINK("https://www.wikidata.org/wiki/Q33724121", "Q33724121")</f>
        <v>0</v>
      </c>
      <c r="G1526" t="s">
        <v>671</v>
      </c>
      <c r="H1526" t="s">
        <v>5430</v>
      </c>
      <c r="I1526" t="s">
        <v>9457</v>
      </c>
      <c r="J1526" t="s">
        <v>11421</v>
      </c>
      <c r="K1526" t="s">
        <v>15822</v>
      </c>
      <c r="L1526">
        <f>HYPERLINK("https://www2.assemblee-nationale.fr/sycomore/fiche/(num_dept)/3605", "3605")</f>
        <v>0</v>
      </c>
      <c r="N1526">
        <f>HYPERLINK("https://www.wikidata.org/wiki/Q3130359", "Q3130359")</f>
        <v>0</v>
      </c>
      <c r="O1526" t="s">
        <v>20013</v>
      </c>
      <c r="P1526" t="s">
        <v>20420</v>
      </c>
      <c r="Q1526" t="s">
        <v>17699</v>
      </c>
      <c r="R1526" t="s">
        <v>411</v>
      </c>
      <c r="S1526">
        <v>1658</v>
      </c>
    </row>
    <row r="1527" spans="1:19">
      <c r="A1527" t="s">
        <v>21</v>
      </c>
      <c r="B1527" t="s">
        <v>148</v>
      </c>
      <c r="C1527" t="s">
        <v>153</v>
      </c>
      <c r="D1527" t="s">
        <v>282</v>
      </c>
      <c r="E1527" t="s">
        <v>411</v>
      </c>
      <c r="F1527">
        <f>HYPERLINK("https://www.wikidata.org/wiki/Q33724121", "Q33724121")</f>
        <v>0</v>
      </c>
      <c r="G1527" t="s">
        <v>969</v>
      </c>
      <c r="H1527" t="s">
        <v>5721</v>
      </c>
      <c r="I1527" t="s">
        <v>9453</v>
      </c>
      <c r="J1527" t="s">
        <v>11590</v>
      </c>
      <c r="K1527" t="s">
        <v>16111</v>
      </c>
      <c r="L1527">
        <f>HYPERLINK("https://www2.assemblee-nationale.fr/sycomore/fiche/(num_dept)/3609", "3609")</f>
        <v>0</v>
      </c>
      <c r="N1527">
        <f>HYPERLINK("https://www.wikidata.org/wiki/Q2865129", "Q2865129")</f>
        <v>0</v>
      </c>
      <c r="O1527" t="s">
        <v>19969</v>
      </c>
      <c r="P1527" t="s">
        <v>20404</v>
      </c>
      <c r="Q1527" t="s">
        <v>17699</v>
      </c>
      <c r="R1527" t="s">
        <v>411</v>
      </c>
      <c r="S1527">
        <v>1658</v>
      </c>
    </row>
    <row r="1528" spans="1:19">
      <c r="A1528" t="s">
        <v>21</v>
      </c>
      <c r="B1528" t="s">
        <v>148</v>
      </c>
      <c r="C1528" t="s">
        <v>153</v>
      </c>
      <c r="D1528" t="s">
        <v>282</v>
      </c>
      <c r="E1528" t="s">
        <v>411</v>
      </c>
      <c r="F1528">
        <f>HYPERLINK("https://www.wikidata.org/wiki/Q33724121", "Q33724121")</f>
        <v>0</v>
      </c>
      <c r="G1528" t="s">
        <v>1484</v>
      </c>
      <c r="H1528" t="s">
        <v>6182</v>
      </c>
      <c r="I1528" t="s">
        <v>9389</v>
      </c>
      <c r="J1528" t="s">
        <v>12203</v>
      </c>
      <c r="K1528" t="s">
        <v>16608</v>
      </c>
      <c r="L1528">
        <f>HYPERLINK("https://www2.assemblee-nationale.fr/sycomore/fiche/(num_dept)/3624", "3624")</f>
        <v>0</v>
      </c>
      <c r="N1528">
        <f>HYPERLINK("https://www.wikidata.org/wiki/Q2983883", "Q2983883")</f>
        <v>0</v>
      </c>
      <c r="O1528" t="s">
        <v>20011</v>
      </c>
      <c r="P1528" t="s">
        <v>20417</v>
      </c>
      <c r="Q1528" t="s">
        <v>17699</v>
      </c>
      <c r="R1528" t="s">
        <v>411</v>
      </c>
      <c r="S1528">
        <v>1658</v>
      </c>
    </row>
    <row r="1529" spans="1:19">
      <c r="A1529" t="s">
        <v>21</v>
      </c>
      <c r="B1529" t="s">
        <v>148</v>
      </c>
      <c r="C1529" t="s">
        <v>153</v>
      </c>
      <c r="D1529" t="s">
        <v>282</v>
      </c>
      <c r="E1529" t="s">
        <v>411</v>
      </c>
      <c r="F1529">
        <f>HYPERLINK("https://www.wikidata.org/wiki/Q33724121", "Q33724121")</f>
        <v>0</v>
      </c>
      <c r="G1529" t="s">
        <v>1485</v>
      </c>
      <c r="H1529" t="s">
        <v>6183</v>
      </c>
      <c r="I1529" t="s">
        <v>9421</v>
      </c>
      <c r="J1529" t="s">
        <v>12204</v>
      </c>
      <c r="K1529" t="s">
        <v>16609</v>
      </c>
      <c r="L1529">
        <f>HYPERLINK("https://www2.assemblee-nationale.fr/sycomore/fiche/(num_dept)/3627", "3627")</f>
        <v>0</v>
      </c>
      <c r="M1529">
        <f>HYPERLINK("https://www.senat.fr/senateur-3eme-republique/guerin_gustave1038r3.html", "guerin_gustave1038r3")</f>
        <v>0</v>
      </c>
      <c r="N1529">
        <f>HYPERLINK("https://www.wikidata.org/wiki/Q3121205", "Q3121205")</f>
        <v>0</v>
      </c>
      <c r="O1529" t="s">
        <v>19985</v>
      </c>
      <c r="P1529" t="s">
        <v>20416</v>
      </c>
      <c r="Q1529" t="s">
        <v>17699</v>
      </c>
      <c r="R1529" t="s">
        <v>411</v>
      </c>
      <c r="S1529">
        <v>1658</v>
      </c>
    </row>
    <row r="1530" spans="1:19">
      <c r="A1530" t="s">
        <v>21</v>
      </c>
      <c r="B1530" t="s">
        <v>148</v>
      </c>
      <c r="C1530" t="s">
        <v>153</v>
      </c>
      <c r="D1530" t="s">
        <v>282</v>
      </c>
      <c r="E1530" t="s">
        <v>411</v>
      </c>
      <c r="F1530">
        <f>HYPERLINK("https://www.wikidata.org/wiki/Q33724121", "Q33724121")</f>
        <v>0</v>
      </c>
      <c r="G1530" t="s">
        <v>672</v>
      </c>
      <c r="H1530" t="s">
        <v>5431</v>
      </c>
      <c r="I1530" t="s">
        <v>9385</v>
      </c>
      <c r="J1530" t="s">
        <v>11422</v>
      </c>
      <c r="K1530" t="s">
        <v>15823</v>
      </c>
      <c r="L1530">
        <f>HYPERLINK("https://www2.assemblee-nationale.fr/sycomore/fiche/(num_dept)/3634", "3634")</f>
        <v>0</v>
      </c>
      <c r="N1530">
        <f>HYPERLINK("https://www.wikidata.org/wiki/Q2959267", "Q2959267")</f>
        <v>0</v>
      </c>
      <c r="O1530" t="s">
        <v>19998</v>
      </c>
      <c r="P1530" t="s">
        <v>20417</v>
      </c>
      <c r="Q1530" t="s">
        <v>17699</v>
      </c>
      <c r="R1530" t="s">
        <v>411</v>
      </c>
      <c r="S1530">
        <v>1658</v>
      </c>
    </row>
    <row r="1531" spans="1:19">
      <c r="A1531" t="s">
        <v>21</v>
      </c>
      <c r="B1531" t="s">
        <v>148</v>
      </c>
      <c r="C1531" t="s">
        <v>153</v>
      </c>
      <c r="D1531" t="s">
        <v>282</v>
      </c>
      <c r="E1531" t="s">
        <v>411</v>
      </c>
      <c r="F1531">
        <f>HYPERLINK("https://www.wikidata.org/wiki/Q33724121", "Q33724121")</f>
        <v>0</v>
      </c>
      <c r="G1531" t="s">
        <v>673</v>
      </c>
      <c r="H1531" t="s">
        <v>5432</v>
      </c>
      <c r="I1531" t="s">
        <v>9449</v>
      </c>
      <c r="J1531" t="s">
        <v>11423</v>
      </c>
      <c r="K1531" t="s">
        <v>15824</v>
      </c>
      <c r="L1531">
        <f>HYPERLINK("https://www2.assemblee-nationale.fr/sycomore/fiche/(num_dept)/3638", "3638")</f>
        <v>0</v>
      </c>
      <c r="N1531">
        <f>HYPERLINK("https://www.wikidata.org/wiki/Q379699", "Q379699")</f>
        <v>0</v>
      </c>
      <c r="O1531" t="s">
        <v>20013</v>
      </c>
      <c r="P1531" t="s">
        <v>20404</v>
      </c>
      <c r="Q1531" t="s">
        <v>17699</v>
      </c>
      <c r="R1531" t="s">
        <v>15824</v>
      </c>
      <c r="S1531">
        <v>985</v>
      </c>
    </row>
    <row r="1532" spans="1:19">
      <c r="A1532" t="s">
        <v>21</v>
      </c>
      <c r="B1532" t="s">
        <v>148</v>
      </c>
      <c r="C1532" t="s">
        <v>153</v>
      </c>
      <c r="D1532" t="s">
        <v>282</v>
      </c>
      <c r="E1532" t="s">
        <v>411</v>
      </c>
      <c r="F1532">
        <f>HYPERLINK("https://www.wikidata.org/wiki/Q33724121", "Q33724121")</f>
        <v>0</v>
      </c>
      <c r="G1532" t="s">
        <v>1486</v>
      </c>
      <c r="H1532" t="s">
        <v>6184</v>
      </c>
      <c r="I1532" t="s">
        <v>6495</v>
      </c>
      <c r="J1532" t="s">
        <v>12205</v>
      </c>
      <c r="K1532" t="s">
        <v>16610</v>
      </c>
      <c r="L1532">
        <f>HYPERLINK("https://www2.assemblee-nationale.fr/sycomore/fiche/(num_dept)/3644", "3644")</f>
        <v>0</v>
      </c>
      <c r="N1532">
        <f>HYPERLINK("https://www.wikidata.org/wiki/Q16025821", "Q16025821")</f>
        <v>0</v>
      </c>
      <c r="O1532" t="s">
        <v>7411</v>
      </c>
      <c r="P1532" t="s">
        <v>20420</v>
      </c>
      <c r="Q1532" t="s">
        <v>17699</v>
      </c>
      <c r="R1532" t="s">
        <v>411</v>
      </c>
      <c r="S1532">
        <v>1658</v>
      </c>
    </row>
    <row r="1533" spans="1:19">
      <c r="A1533" t="s">
        <v>21</v>
      </c>
      <c r="B1533" t="s">
        <v>148</v>
      </c>
      <c r="C1533" t="s">
        <v>153</v>
      </c>
      <c r="D1533" t="s">
        <v>282</v>
      </c>
      <c r="E1533" t="s">
        <v>411</v>
      </c>
      <c r="F1533">
        <f>HYPERLINK("https://www.wikidata.org/wiki/Q33724121", "Q33724121")</f>
        <v>0</v>
      </c>
      <c r="G1533" t="s">
        <v>971</v>
      </c>
      <c r="H1533" t="s">
        <v>5723</v>
      </c>
      <c r="I1533" t="s">
        <v>6495</v>
      </c>
      <c r="J1533" t="s">
        <v>11709</v>
      </c>
      <c r="K1533" t="s">
        <v>16113</v>
      </c>
      <c r="L1533">
        <f>HYPERLINK("https://www2.assemblee-nationale.fr/sycomore/fiche/(num_dept)/3650", "3650")</f>
        <v>0</v>
      </c>
      <c r="N1533">
        <f>HYPERLINK("https://www.wikidata.org/wiki/Q3262102", "Q3262102")</f>
        <v>0</v>
      </c>
      <c r="O1533" t="s">
        <v>20047</v>
      </c>
      <c r="P1533" t="s">
        <v>20418</v>
      </c>
      <c r="Q1533" t="s">
        <v>17699</v>
      </c>
      <c r="R1533" t="s">
        <v>411</v>
      </c>
      <c r="S1533">
        <v>1658</v>
      </c>
    </row>
    <row r="1534" spans="1:19">
      <c r="A1534" t="s">
        <v>21</v>
      </c>
      <c r="B1534" t="s">
        <v>148</v>
      </c>
      <c r="C1534" t="s">
        <v>153</v>
      </c>
      <c r="D1534" t="s">
        <v>282</v>
      </c>
      <c r="E1534" t="s">
        <v>411</v>
      </c>
      <c r="F1534">
        <f>HYPERLINK("https://www.wikidata.org/wiki/Q33724121", "Q33724121")</f>
        <v>0</v>
      </c>
      <c r="G1534" t="s">
        <v>674</v>
      </c>
      <c r="H1534" t="s">
        <v>5433</v>
      </c>
      <c r="I1534" t="s">
        <v>5528</v>
      </c>
      <c r="J1534" t="s">
        <v>11424</v>
      </c>
      <c r="K1534" t="s">
        <v>15825</v>
      </c>
      <c r="L1534">
        <f>HYPERLINK("https://www2.assemblee-nationale.fr/sycomore/fiche/(num_dept)/3654", "3654")</f>
        <v>0</v>
      </c>
      <c r="N1534">
        <f>HYPERLINK("https://www.wikidata.org/wiki/Q16025827", "Q16025827")</f>
        <v>0</v>
      </c>
      <c r="O1534" t="s">
        <v>19970</v>
      </c>
      <c r="P1534" t="s">
        <v>20420</v>
      </c>
      <c r="Q1534" t="s">
        <v>17699</v>
      </c>
      <c r="R1534" t="s">
        <v>411</v>
      </c>
      <c r="S1534">
        <v>1658</v>
      </c>
    </row>
    <row r="1535" spans="1:19">
      <c r="A1535" t="s">
        <v>21</v>
      </c>
      <c r="B1535" t="s">
        <v>148</v>
      </c>
      <c r="C1535" t="s">
        <v>153</v>
      </c>
      <c r="D1535" t="s">
        <v>282</v>
      </c>
      <c r="E1535" t="s">
        <v>411</v>
      </c>
      <c r="F1535">
        <f>HYPERLINK("https://www.wikidata.org/wiki/Q33724121", "Q33724121")</f>
        <v>0</v>
      </c>
      <c r="G1535" t="s">
        <v>1487</v>
      </c>
      <c r="H1535" t="s">
        <v>6185</v>
      </c>
      <c r="I1535" t="s">
        <v>9385</v>
      </c>
      <c r="J1535" t="s">
        <v>12206</v>
      </c>
      <c r="K1535" t="s">
        <v>16611</v>
      </c>
      <c r="L1535">
        <f>HYPERLINK("https://www2.assemblee-nationale.fr/sycomore/fiche/(num_dept)/3666", "3666")</f>
        <v>0</v>
      </c>
      <c r="N1535">
        <f>HYPERLINK("https://www.wikidata.org/wiki/Q12948415", "Q12948415")</f>
        <v>0</v>
      </c>
      <c r="O1535" t="s">
        <v>7411</v>
      </c>
      <c r="P1535" t="s">
        <v>20406</v>
      </c>
      <c r="Q1535" t="s">
        <v>17699</v>
      </c>
      <c r="R1535" t="s">
        <v>411</v>
      </c>
      <c r="S1535">
        <v>1658</v>
      </c>
    </row>
    <row r="1536" spans="1:19">
      <c r="A1536" t="s">
        <v>21</v>
      </c>
      <c r="B1536" t="s">
        <v>148</v>
      </c>
      <c r="C1536" t="s">
        <v>153</v>
      </c>
      <c r="D1536" t="s">
        <v>282</v>
      </c>
      <c r="E1536" t="s">
        <v>411</v>
      </c>
      <c r="F1536">
        <f>HYPERLINK("https://www.wikidata.org/wiki/Q33724121", "Q33724121")</f>
        <v>0</v>
      </c>
      <c r="G1536" t="s">
        <v>675</v>
      </c>
      <c r="H1536" t="s">
        <v>5434</v>
      </c>
      <c r="I1536" t="s">
        <v>7911</v>
      </c>
      <c r="J1536" t="s">
        <v>11425</v>
      </c>
      <c r="K1536" t="s">
        <v>15826</v>
      </c>
      <c r="L1536">
        <f>HYPERLINK("https://www2.assemblee-nationale.fr/sycomore/fiche/(num_dept)/3697", "3697")</f>
        <v>0</v>
      </c>
      <c r="N1536">
        <f>HYPERLINK("https://www.wikidata.org/wiki/Q2404053", "Q2404053")</f>
        <v>0</v>
      </c>
      <c r="O1536" t="s">
        <v>20023</v>
      </c>
      <c r="P1536" t="s">
        <v>20417</v>
      </c>
      <c r="Q1536" t="s">
        <v>17699</v>
      </c>
      <c r="R1536" t="s">
        <v>411</v>
      </c>
      <c r="S1536">
        <v>1658</v>
      </c>
    </row>
    <row r="1537" spans="1:19">
      <c r="A1537" t="s">
        <v>21</v>
      </c>
      <c r="B1537" t="s">
        <v>148</v>
      </c>
      <c r="C1537" t="s">
        <v>153</v>
      </c>
      <c r="D1537" t="s">
        <v>282</v>
      </c>
      <c r="E1537" t="s">
        <v>411</v>
      </c>
      <c r="F1537">
        <f>HYPERLINK("https://www.wikidata.org/wiki/Q33724121", "Q33724121")</f>
        <v>0</v>
      </c>
      <c r="G1537" t="s">
        <v>1180</v>
      </c>
      <c r="H1537" t="s">
        <v>5911</v>
      </c>
      <c r="I1537" t="s">
        <v>9696</v>
      </c>
      <c r="J1537" t="s">
        <v>11913</v>
      </c>
      <c r="K1537" t="s">
        <v>16315</v>
      </c>
      <c r="L1537">
        <f>HYPERLINK("https://www2.assemblee-nationale.fr/sycomore/fiche/(num_dept)/3706", "3706")</f>
        <v>0</v>
      </c>
      <c r="N1537">
        <f>HYPERLINK("https://www.wikidata.org/wiki/Q2997242", "Q2997242")</f>
        <v>0</v>
      </c>
      <c r="O1537" t="s">
        <v>20011</v>
      </c>
      <c r="P1537" t="s">
        <v>20409</v>
      </c>
      <c r="Q1537" t="s">
        <v>17699</v>
      </c>
      <c r="R1537" t="s">
        <v>16315</v>
      </c>
      <c r="S1537">
        <v>1015</v>
      </c>
    </row>
    <row r="1538" spans="1:19">
      <c r="A1538" t="s">
        <v>21</v>
      </c>
      <c r="B1538" t="s">
        <v>148</v>
      </c>
      <c r="C1538" t="s">
        <v>153</v>
      </c>
      <c r="D1538" t="s">
        <v>282</v>
      </c>
      <c r="E1538" t="s">
        <v>411</v>
      </c>
      <c r="F1538">
        <f>HYPERLINK("https://www.wikidata.org/wiki/Q33724121", "Q33724121")</f>
        <v>0</v>
      </c>
      <c r="G1538" t="s">
        <v>1488</v>
      </c>
      <c r="H1538" t="s">
        <v>6186</v>
      </c>
      <c r="I1538" t="s">
        <v>9523</v>
      </c>
      <c r="J1538" t="s">
        <v>12207</v>
      </c>
      <c r="K1538" t="s">
        <v>16612</v>
      </c>
      <c r="L1538">
        <f>HYPERLINK("https://www2.assemblee-nationale.fr/sycomore/fiche/(num_dept)/3716", "3716")</f>
        <v>0</v>
      </c>
      <c r="N1538">
        <f>HYPERLINK("https://www.wikidata.org/wiki/Q3289018", "Q3289018")</f>
        <v>0</v>
      </c>
      <c r="O1538" t="s">
        <v>19969</v>
      </c>
      <c r="P1538" t="s">
        <v>20416</v>
      </c>
      <c r="Q1538" t="s">
        <v>17699</v>
      </c>
      <c r="R1538" t="s">
        <v>411</v>
      </c>
      <c r="S1538">
        <v>1658</v>
      </c>
    </row>
    <row r="1539" spans="1:19">
      <c r="A1539" t="s">
        <v>21</v>
      </c>
      <c r="B1539" t="s">
        <v>148</v>
      </c>
      <c r="C1539" t="s">
        <v>153</v>
      </c>
      <c r="D1539" t="s">
        <v>282</v>
      </c>
      <c r="E1539" t="s">
        <v>411</v>
      </c>
      <c r="F1539">
        <f>HYPERLINK("https://www.wikidata.org/wiki/Q33724121", "Q33724121")</f>
        <v>0</v>
      </c>
      <c r="G1539" t="s">
        <v>1489</v>
      </c>
      <c r="H1539" t="s">
        <v>6187</v>
      </c>
      <c r="I1539" t="s">
        <v>6495</v>
      </c>
      <c r="J1539" t="s">
        <v>12208</v>
      </c>
      <c r="K1539" t="s">
        <v>16613</v>
      </c>
      <c r="L1539">
        <f>HYPERLINK("https://www2.assemblee-nationale.fr/sycomore/fiche/(num_dept)/3722", "3722")</f>
        <v>0</v>
      </c>
      <c r="N1539">
        <f>HYPERLINK("https://www.wikidata.org/wiki/Q1632662", "Q1632662")</f>
        <v>0</v>
      </c>
      <c r="O1539" t="s">
        <v>20050</v>
      </c>
      <c r="P1539" t="s">
        <v>20416</v>
      </c>
      <c r="Q1539" t="s">
        <v>17699</v>
      </c>
      <c r="R1539" t="s">
        <v>411</v>
      </c>
      <c r="S1539">
        <v>1658</v>
      </c>
    </row>
    <row r="1540" spans="1:19">
      <c r="A1540" t="s">
        <v>21</v>
      </c>
      <c r="B1540" t="s">
        <v>148</v>
      </c>
      <c r="C1540" t="s">
        <v>153</v>
      </c>
      <c r="D1540" t="s">
        <v>282</v>
      </c>
      <c r="E1540" t="s">
        <v>411</v>
      </c>
      <c r="F1540">
        <f>HYPERLINK("https://www.wikidata.org/wiki/Q33724121", "Q33724121")</f>
        <v>0</v>
      </c>
      <c r="G1540" t="s">
        <v>1490</v>
      </c>
      <c r="H1540" t="s">
        <v>6188</v>
      </c>
      <c r="I1540" t="s">
        <v>9385</v>
      </c>
      <c r="J1540" t="s">
        <v>12209</v>
      </c>
      <c r="K1540" t="s">
        <v>16614</v>
      </c>
      <c r="L1540">
        <f>HYPERLINK("https://www2.assemblee-nationale.fr/sycomore/fiche/(num_dept)/3748", "3748")</f>
        <v>0</v>
      </c>
      <c r="M1540">
        <f>HYPERLINK("https://www.senat.fr/senateur-3eme-republique/d_harcourt_charles0350r3.html", "d_harcourt_charles0350r3")</f>
        <v>0</v>
      </c>
      <c r="N1540">
        <f>HYPERLINK("https://www.wikidata.org/wiki/Q2960506", "Q2960506")</f>
        <v>0</v>
      </c>
      <c r="O1540" t="s">
        <v>20009</v>
      </c>
      <c r="P1540" t="s">
        <v>20416</v>
      </c>
      <c r="Q1540" t="s">
        <v>17699</v>
      </c>
      <c r="R1540" t="s">
        <v>411</v>
      </c>
      <c r="S1540">
        <v>1658</v>
      </c>
    </row>
    <row r="1541" spans="1:19">
      <c r="A1541" t="s">
        <v>21</v>
      </c>
      <c r="B1541" t="s">
        <v>148</v>
      </c>
      <c r="C1541" t="s">
        <v>153</v>
      </c>
      <c r="D1541" t="s">
        <v>282</v>
      </c>
      <c r="E1541" t="s">
        <v>411</v>
      </c>
      <c r="F1541">
        <f>HYPERLINK("https://www.wikidata.org/wiki/Q33724121", "Q33724121")</f>
        <v>0</v>
      </c>
      <c r="G1541" t="s">
        <v>678</v>
      </c>
      <c r="H1541" t="s">
        <v>5437</v>
      </c>
      <c r="I1541" t="s">
        <v>9442</v>
      </c>
      <c r="J1541" t="s">
        <v>11428</v>
      </c>
      <c r="K1541" t="s">
        <v>15829</v>
      </c>
      <c r="L1541">
        <f>HYPERLINK("https://www2.assemblee-nationale.fr/sycomore/fiche/(num_dept)/3760", "3760")</f>
        <v>0</v>
      </c>
      <c r="M1541">
        <f>HYPERLINK("https://www.senat.fr/senateur-3eme-republique/haudos_ernest0650r3.html", "haudos_ernest0650r3")</f>
        <v>0</v>
      </c>
      <c r="N1541">
        <f>HYPERLINK("https://www.wikidata.org/wiki/Q3057000", "Q3057000")</f>
        <v>0</v>
      </c>
      <c r="O1541" t="s">
        <v>20025</v>
      </c>
      <c r="P1541" t="s">
        <v>20418</v>
      </c>
      <c r="Q1541" t="s">
        <v>17699</v>
      </c>
      <c r="R1541" t="s">
        <v>411</v>
      </c>
      <c r="S1541">
        <v>1658</v>
      </c>
    </row>
    <row r="1542" spans="1:19">
      <c r="A1542" t="s">
        <v>21</v>
      </c>
      <c r="B1542" t="s">
        <v>148</v>
      </c>
      <c r="C1542" t="s">
        <v>153</v>
      </c>
      <c r="D1542" t="s">
        <v>282</v>
      </c>
      <c r="E1542" t="s">
        <v>411</v>
      </c>
      <c r="F1542">
        <f>HYPERLINK("https://www.wikidata.org/wiki/Q33724121", "Q33724121")</f>
        <v>0</v>
      </c>
      <c r="G1542" t="s">
        <v>679</v>
      </c>
      <c r="H1542" t="s">
        <v>5438</v>
      </c>
      <c r="I1542" t="s">
        <v>6584</v>
      </c>
      <c r="J1542" t="s">
        <v>11429</v>
      </c>
      <c r="K1542" t="s">
        <v>15830</v>
      </c>
      <c r="L1542">
        <f>HYPERLINK("https://www2.assemblee-nationale.fr/sycomore/fiche/(num_dept)/3762", "3762")</f>
        <v>0</v>
      </c>
      <c r="N1542">
        <f>HYPERLINK("https://www.wikidata.org/wiki/Q2831231", "Q2831231")</f>
        <v>0</v>
      </c>
      <c r="O1542" t="s">
        <v>20015</v>
      </c>
      <c r="Q1542" t="s">
        <v>17699</v>
      </c>
      <c r="R1542" t="s">
        <v>411</v>
      </c>
      <c r="S1542">
        <v>1658</v>
      </c>
    </row>
    <row r="1543" spans="1:19">
      <c r="A1543" t="s">
        <v>21</v>
      </c>
      <c r="B1543" t="s">
        <v>148</v>
      </c>
      <c r="C1543" t="s">
        <v>153</v>
      </c>
      <c r="D1543" t="s">
        <v>282</v>
      </c>
      <c r="E1543" t="s">
        <v>411</v>
      </c>
      <c r="F1543">
        <f>HYPERLINK("https://www.wikidata.org/wiki/Q33724121", "Q33724121")</f>
        <v>0</v>
      </c>
      <c r="G1543" t="s">
        <v>681</v>
      </c>
      <c r="H1543" t="s">
        <v>5440</v>
      </c>
      <c r="I1543" t="s">
        <v>9478</v>
      </c>
      <c r="J1543" t="s">
        <v>11431</v>
      </c>
      <c r="K1543" t="s">
        <v>15832</v>
      </c>
      <c r="L1543">
        <f>HYPERLINK("https://www2.assemblee-nationale.fr/sycomore/fiche/(num_dept)/3794", "3794")</f>
        <v>0</v>
      </c>
      <c r="M1543">
        <f>HYPERLINK("https://www.senat.fr/senateur-3eme-republique/hennessy_james0392r3.html", "hennessy_james0392r3")</f>
        <v>0</v>
      </c>
      <c r="N1543">
        <f>HYPERLINK("https://www.wikidata.org/wiki/Q3161145", "Q3161145")</f>
        <v>0</v>
      </c>
      <c r="O1543" t="s">
        <v>20031</v>
      </c>
      <c r="P1543" t="s">
        <v>20417</v>
      </c>
      <c r="Q1543" t="s">
        <v>17699</v>
      </c>
      <c r="R1543" t="s">
        <v>402</v>
      </c>
      <c r="S1543">
        <v>420</v>
      </c>
    </row>
    <row r="1544" spans="1:19">
      <c r="A1544" t="s">
        <v>21</v>
      </c>
      <c r="B1544" t="s">
        <v>148</v>
      </c>
      <c r="C1544" t="s">
        <v>153</v>
      </c>
      <c r="D1544" t="s">
        <v>282</v>
      </c>
      <c r="E1544" t="s">
        <v>411</v>
      </c>
      <c r="F1544">
        <f>HYPERLINK("https://www.wikidata.org/wiki/Q33724121", "Q33724121")</f>
        <v>0</v>
      </c>
      <c r="G1544" t="s">
        <v>682</v>
      </c>
      <c r="H1544" t="s">
        <v>5440</v>
      </c>
      <c r="I1544" t="s">
        <v>6200</v>
      </c>
      <c r="J1544" t="s">
        <v>11432</v>
      </c>
      <c r="K1544" t="s">
        <v>15833</v>
      </c>
      <c r="L1544">
        <f>HYPERLINK("https://www2.assemblee-nationale.fr/sycomore/fiche/(num_dept)/3795", "3795")</f>
        <v>0</v>
      </c>
      <c r="N1544">
        <f>HYPERLINK("https://www.wikidata.org/wiki/Q554679", "Q554679")</f>
        <v>0</v>
      </c>
      <c r="O1544" t="s">
        <v>20031</v>
      </c>
      <c r="P1544" t="s">
        <v>20406</v>
      </c>
      <c r="Q1544" t="s">
        <v>17699</v>
      </c>
      <c r="R1544" t="s">
        <v>411</v>
      </c>
      <c r="S1544">
        <v>1658</v>
      </c>
    </row>
    <row r="1545" spans="1:19">
      <c r="A1545" t="s">
        <v>21</v>
      </c>
      <c r="B1545" t="s">
        <v>148</v>
      </c>
      <c r="C1545" t="s">
        <v>153</v>
      </c>
      <c r="D1545" t="s">
        <v>282</v>
      </c>
      <c r="E1545" t="s">
        <v>411</v>
      </c>
      <c r="F1545">
        <f>HYPERLINK("https://www.wikidata.org/wiki/Q33724121", "Q33724121")</f>
        <v>0</v>
      </c>
      <c r="G1545" t="s">
        <v>1491</v>
      </c>
      <c r="H1545" t="s">
        <v>6189</v>
      </c>
      <c r="I1545" t="s">
        <v>9407</v>
      </c>
      <c r="J1545" t="s">
        <v>11824</v>
      </c>
      <c r="K1545" t="s">
        <v>16615</v>
      </c>
      <c r="L1545">
        <f>HYPERLINK("https://www2.assemblee-nationale.fr/sycomore/fiche/(num_dept)/3814", "3814")</f>
        <v>0</v>
      </c>
      <c r="N1545">
        <f>HYPERLINK("https://www.wikidata.org/wiki/Q16025847", "Q16025847")</f>
        <v>0</v>
      </c>
      <c r="O1545" t="s">
        <v>19966</v>
      </c>
      <c r="P1545" t="s">
        <v>20417</v>
      </c>
      <c r="Q1545" t="s">
        <v>17699</v>
      </c>
      <c r="R1545" t="s">
        <v>411</v>
      </c>
      <c r="S1545">
        <v>1658</v>
      </c>
    </row>
    <row r="1546" spans="1:19">
      <c r="A1546" t="s">
        <v>21</v>
      </c>
      <c r="B1546" t="s">
        <v>148</v>
      </c>
      <c r="C1546" t="s">
        <v>153</v>
      </c>
      <c r="D1546" t="s">
        <v>282</v>
      </c>
      <c r="E1546" t="s">
        <v>411</v>
      </c>
      <c r="F1546">
        <f>HYPERLINK("https://www.wikidata.org/wiki/Q33724121", "Q33724121")</f>
        <v>0</v>
      </c>
      <c r="G1546" t="s">
        <v>1492</v>
      </c>
      <c r="H1546" t="s">
        <v>6190</v>
      </c>
      <c r="I1546" t="s">
        <v>9728</v>
      </c>
      <c r="J1546" t="s">
        <v>12210</v>
      </c>
      <c r="K1546" t="s">
        <v>16616</v>
      </c>
      <c r="L1546">
        <f>HYPERLINK("https://www2.assemblee-nationale.fr/sycomore/fiche/(num_dept)/3819", "3819")</f>
        <v>0</v>
      </c>
      <c r="M1546">
        <f>HYPERLINK("https://www.senat.fr/senateur-3eme-republique/herriot_edouard1121r3.html", "herriot_edouard1121r3")</f>
        <v>0</v>
      </c>
      <c r="N1546">
        <f>HYPERLINK("https://www.wikidata.org/wiki/Q274344", "Q274344")</f>
        <v>0</v>
      </c>
      <c r="O1546" t="s">
        <v>19965</v>
      </c>
      <c r="P1546" t="s">
        <v>20418</v>
      </c>
      <c r="Q1546" t="s">
        <v>17699</v>
      </c>
      <c r="R1546" t="s">
        <v>411</v>
      </c>
      <c r="S1546">
        <v>1658</v>
      </c>
    </row>
    <row r="1547" spans="1:19">
      <c r="A1547" t="s">
        <v>21</v>
      </c>
      <c r="B1547" t="s">
        <v>148</v>
      </c>
      <c r="C1547" t="s">
        <v>153</v>
      </c>
      <c r="D1547" t="s">
        <v>282</v>
      </c>
      <c r="E1547" t="s">
        <v>411</v>
      </c>
      <c r="F1547">
        <f>HYPERLINK("https://www.wikidata.org/wiki/Q33724121", "Q33724121")</f>
        <v>0</v>
      </c>
      <c r="G1547" t="s">
        <v>1493</v>
      </c>
      <c r="H1547" t="s">
        <v>6191</v>
      </c>
      <c r="I1547" t="s">
        <v>9824</v>
      </c>
      <c r="J1547" t="s">
        <v>12211</v>
      </c>
      <c r="K1547" t="s">
        <v>16617</v>
      </c>
      <c r="L1547">
        <f>HYPERLINK("https://www2.assemblee-nationale.fr/sycomore/fiche/(num_dept)/3835", "3835")</f>
        <v>0</v>
      </c>
      <c r="N1547">
        <f>HYPERLINK("https://www.wikidata.org/wiki/Q474389", "Q474389")</f>
        <v>0</v>
      </c>
      <c r="O1547" t="s">
        <v>19976</v>
      </c>
      <c r="P1547" t="s">
        <v>20412</v>
      </c>
      <c r="Q1547" t="s">
        <v>17699</v>
      </c>
      <c r="R1547" t="s">
        <v>411</v>
      </c>
      <c r="S1547">
        <v>1658</v>
      </c>
    </row>
    <row r="1548" spans="1:19">
      <c r="A1548" t="s">
        <v>21</v>
      </c>
      <c r="B1548" t="s">
        <v>148</v>
      </c>
      <c r="C1548" t="s">
        <v>153</v>
      </c>
      <c r="D1548" t="s">
        <v>282</v>
      </c>
      <c r="E1548" t="s">
        <v>411</v>
      </c>
      <c r="F1548">
        <f>HYPERLINK("https://www.wikidata.org/wiki/Q33724121", "Q33724121")</f>
        <v>0</v>
      </c>
      <c r="G1548" t="s">
        <v>686</v>
      </c>
      <c r="H1548" t="s">
        <v>5444</v>
      </c>
      <c r="I1548" t="s">
        <v>6585</v>
      </c>
      <c r="J1548" t="s">
        <v>11436</v>
      </c>
      <c r="K1548" t="s">
        <v>15837</v>
      </c>
      <c r="L1548">
        <f>HYPERLINK("https://www2.assemblee-nationale.fr/sycomore/fiche/(num_dept)/3859", "3859")</f>
        <v>0</v>
      </c>
      <c r="M1548">
        <f>HYPERLINK("https://www.senat.fr/senateur-3eme-republique/honnorat_andre0070r3.html", "honnorat_andre0070r3")</f>
        <v>0</v>
      </c>
      <c r="N1548">
        <f>HYPERLINK("https://www.wikidata.org/wiki/Q23762", "Q23762")</f>
        <v>0</v>
      </c>
      <c r="O1548" t="s">
        <v>20033</v>
      </c>
      <c r="P1548" t="s">
        <v>20417</v>
      </c>
      <c r="Q1548" t="s">
        <v>17699</v>
      </c>
      <c r="R1548" t="s">
        <v>21395</v>
      </c>
      <c r="S1548">
        <v>492</v>
      </c>
    </row>
    <row r="1549" spans="1:19">
      <c r="A1549" t="s">
        <v>21</v>
      </c>
      <c r="B1549" t="s">
        <v>148</v>
      </c>
      <c r="C1549" t="s">
        <v>153</v>
      </c>
      <c r="D1549" t="s">
        <v>282</v>
      </c>
      <c r="E1549" t="s">
        <v>411</v>
      </c>
      <c r="F1549">
        <f>HYPERLINK("https://www.wikidata.org/wiki/Q33724121", "Q33724121")</f>
        <v>0</v>
      </c>
      <c r="G1549" t="s">
        <v>975</v>
      </c>
      <c r="H1549" t="s">
        <v>5727</v>
      </c>
      <c r="I1549" t="s">
        <v>9607</v>
      </c>
      <c r="J1549" t="s">
        <v>11713</v>
      </c>
      <c r="K1549" t="s">
        <v>16117</v>
      </c>
      <c r="L1549">
        <f>HYPERLINK("https://www2.assemblee-nationale.fr/sycomore/fiche/(num_dept)/3886", "3886")</f>
        <v>0</v>
      </c>
      <c r="N1549">
        <f>HYPERLINK("https://www.wikidata.org/wiki/Q2958267", "Q2958267")</f>
        <v>0</v>
      </c>
      <c r="O1549" t="s">
        <v>19989</v>
      </c>
      <c r="P1549" t="s">
        <v>20416</v>
      </c>
      <c r="Q1549" t="s">
        <v>17699</v>
      </c>
      <c r="R1549" t="s">
        <v>16117</v>
      </c>
      <c r="S1549">
        <v>430</v>
      </c>
    </row>
    <row r="1550" spans="1:19">
      <c r="A1550" t="s">
        <v>21</v>
      </c>
      <c r="B1550" t="s">
        <v>148</v>
      </c>
      <c r="C1550" t="s">
        <v>153</v>
      </c>
      <c r="D1550" t="s">
        <v>282</v>
      </c>
      <c r="E1550" t="s">
        <v>411</v>
      </c>
      <c r="F1550">
        <f>HYPERLINK("https://www.wikidata.org/wiki/Q33724121", "Q33724121")</f>
        <v>0</v>
      </c>
      <c r="G1550" t="s">
        <v>1494</v>
      </c>
      <c r="H1550" t="s">
        <v>6192</v>
      </c>
      <c r="I1550" t="s">
        <v>9612</v>
      </c>
      <c r="J1550" t="s">
        <v>12212</v>
      </c>
      <c r="K1550" t="s">
        <v>16618</v>
      </c>
      <c r="L1550">
        <f>HYPERLINK("https://www2.assemblee-nationale.fr/sycomore/fiche/(num_dept)/3899", "3899")</f>
        <v>0</v>
      </c>
      <c r="N1550">
        <f>HYPERLINK("https://www.wikidata.org/wiki/Q8338107", "Q8338107")</f>
        <v>0</v>
      </c>
      <c r="O1550" t="s">
        <v>20015</v>
      </c>
      <c r="P1550" t="s">
        <v>20412</v>
      </c>
      <c r="Q1550" t="s">
        <v>17699</v>
      </c>
      <c r="R1550" t="s">
        <v>411</v>
      </c>
      <c r="S1550">
        <v>1658</v>
      </c>
    </row>
    <row r="1551" spans="1:19">
      <c r="A1551" t="s">
        <v>21</v>
      </c>
      <c r="B1551" t="s">
        <v>148</v>
      </c>
      <c r="C1551" t="s">
        <v>153</v>
      </c>
      <c r="D1551" t="s">
        <v>282</v>
      </c>
      <c r="E1551" t="s">
        <v>411</v>
      </c>
      <c r="F1551">
        <f>HYPERLINK("https://www.wikidata.org/wiki/Q33724121", "Q33724121")</f>
        <v>0</v>
      </c>
      <c r="G1551" t="s">
        <v>1495</v>
      </c>
      <c r="H1551" t="s">
        <v>6193</v>
      </c>
      <c r="I1551" t="s">
        <v>9423</v>
      </c>
      <c r="J1551" t="s">
        <v>12213</v>
      </c>
      <c r="K1551" t="s">
        <v>16619</v>
      </c>
      <c r="L1551">
        <f>HYPERLINK("https://www2.assemblee-nationale.fr/sycomore/fiche/(num_dept)/3901", "3901")</f>
        <v>0</v>
      </c>
      <c r="N1551">
        <f>HYPERLINK("https://www.wikidata.org/wiki/Q16025856", "Q16025856")</f>
        <v>0</v>
      </c>
      <c r="O1551" t="s">
        <v>20005</v>
      </c>
      <c r="P1551" t="s">
        <v>20418</v>
      </c>
      <c r="Q1551" t="s">
        <v>17699</v>
      </c>
      <c r="R1551" t="s">
        <v>411</v>
      </c>
      <c r="S1551">
        <v>1658</v>
      </c>
    </row>
    <row r="1552" spans="1:19">
      <c r="A1552" t="s">
        <v>21</v>
      </c>
      <c r="B1552" t="s">
        <v>148</v>
      </c>
      <c r="C1552" t="s">
        <v>153</v>
      </c>
      <c r="D1552" t="s">
        <v>282</v>
      </c>
      <c r="E1552" t="s">
        <v>411</v>
      </c>
      <c r="F1552">
        <f>HYPERLINK("https://www.wikidata.org/wiki/Q33724121", "Q33724121")</f>
        <v>0</v>
      </c>
      <c r="G1552" t="s">
        <v>1261</v>
      </c>
      <c r="H1552" t="s">
        <v>5985</v>
      </c>
      <c r="I1552" t="s">
        <v>9728</v>
      </c>
      <c r="J1552" t="s">
        <v>11991</v>
      </c>
      <c r="K1552" t="s">
        <v>16394</v>
      </c>
      <c r="L1552">
        <f>HYPERLINK("https://www2.assemblee-nationale.fr/sycomore/fiche/(num_dept)/3926", "3926")</f>
        <v>0</v>
      </c>
      <c r="N1552">
        <f>HYPERLINK("https://www.wikidata.org/wiki/Q3579897", "Q3579897")</f>
        <v>0</v>
      </c>
      <c r="O1552" t="s">
        <v>19969</v>
      </c>
      <c r="P1552" t="s">
        <v>20412</v>
      </c>
      <c r="Q1552" t="s">
        <v>17699</v>
      </c>
      <c r="R1552" t="s">
        <v>411</v>
      </c>
      <c r="S1552">
        <v>1658</v>
      </c>
    </row>
    <row r="1553" spans="1:19">
      <c r="A1553" t="s">
        <v>21</v>
      </c>
      <c r="B1553" t="s">
        <v>148</v>
      </c>
      <c r="C1553" t="s">
        <v>153</v>
      </c>
      <c r="D1553" t="s">
        <v>282</v>
      </c>
      <c r="E1553" t="s">
        <v>411</v>
      </c>
      <c r="F1553">
        <f>HYPERLINK("https://www.wikidata.org/wiki/Q33724121", "Q33724121")</f>
        <v>0</v>
      </c>
      <c r="G1553" t="s">
        <v>1262</v>
      </c>
      <c r="H1553" t="s">
        <v>5986</v>
      </c>
      <c r="I1553" t="s">
        <v>6584</v>
      </c>
      <c r="J1553" t="s">
        <v>11992</v>
      </c>
      <c r="K1553" t="s">
        <v>16395</v>
      </c>
      <c r="L1553">
        <f>HYPERLINK("https://www2.assemblee-nationale.fr/sycomore/fiche/(num_dept)/3932", "3932")</f>
        <v>0</v>
      </c>
      <c r="N1553">
        <f>HYPERLINK("https://www.wikidata.org/wiki/Q16011383", "Q16011383")</f>
        <v>0</v>
      </c>
      <c r="O1553" t="s">
        <v>20013</v>
      </c>
      <c r="P1553" t="s">
        <v>20404</v>
      </c>
      <c r="Q1553" t="s">
        <v>17699</v>
      </c>
      <c r="R1553" t="s">
        <v>411</v>
      </c>
      <c r="S1553">
        <v>1658</v>
      </c>
    </row>
    <row r="1554" spans="1:19">
      <c r="A1554" t="s">
        <v>21</v>
      </c>
      <c r="B1554" t="s">
        <v>148</v>
      </c>
      <c r="C1554" t="s">
        <v>153</v>
      </c>
      <c r="D1554" t="s">
        <v>282</v>
      </c>
      <c r="E1554" t="s">
        <v>411</v>
      </c>
      <c r="F1554">
        <f>HYPERLINK("https://www.wikidata.org/wiki/Q33724121", "Q33724121")</f>
        <v>0</v>
      </c>
      <c r="G1554" t="s">
        <v>1496</v>
      </c>
      <c r="H1554" t="s">
        <v>6194</v>
      </c>
      <c r="I1554" t="s">
        <v>5812</v>
      </c>
      <c r="J1554" t="s">
        <v>12214</v>
      </c>
      <c r="K1554" t="s">
        <v>16221</v>
      </c>
      <c r="L1554">
        <f>HYPERLINK("https://www2.assemblee-nationale.fr/sycomore/fiche/(num_dept)/3933", "3933")</f>
        <v>0</v>
      </c>
      <c r="N1554">
        <f>HYPERLINK("https://www.wikidata.org/wiki/Q3559675", "Q3559675")</f>
        <v>0</v>
      </c>
      <c r="O1554" t="s">
        <v>20011</v>
      </c>
      <c r="P1554" t="s">
        <v>20412</v>
      </c>
      <c r="Q1554" t="s">
        <v>17699</v>
      </c>
      <c r="R1554" t="s">
        <v>411</v>
      </c>
      <c r="S1554">
        <v>1658</v>
      </c>
    </row>
    <row r="1555" spans="1:19">
      <c r="A1555" t="s">
        <v>21</v>
      </c>
      <c r="B1555" t="s">
        <v>148</v>
      </c>
      <c r="C1555" t="s">
        <v>153</v>
      </c>
      <c r="D1555" t="s">
        <v>282</v>
      </c>
      <c r="E1555" t="s">
        <v>411</v>
      </c>
      <c r="F1555">
        <f>HYPERLINK("https://www.wikidata.org/wiki/Q33724121", "Q33724121")</f>
        <v>0</v>
      </c>
      <c r="G1555" t="s">
        <v>688</v>
      </c>
      <c r="H1555" t="s">
        <v>5446</v>
      </c>
      <c r="I1555" t="s">
        <v>9480</v>
      </c>
      <c r="J1555" t="s">
        <v>11438</v>
      </c>
      <c r="K1555" t="s">
        <v>15839</v>
      </c>
      <c r="L1555">
        <f>HYPERLINK("https://www2.assemblee-nationale.fr/sycomore/fiche/(num_dept)/3936", "3936")</f>
        <v>0</v>
      </c>
      <c r="N1555">
        <f>HYPERLINK("https://www.wikidata.org/wiki/Q3263360", "Q3263360")</f>
        <v>0</v>
      </c>
      <c r="O1555" t="s">
        <v>19970</v>
      </c>
      <c r="P1555" t="s">
        <v>20412</v>
      </c>
      <c r="Q1555" t="s">
        <v>17699</v>
      </c>
      <c r="R1555" t="s">
        <v>411</v>
      </c>
      <c r="S1555">
        <v>1658</v>
      </c>
    </row>
    <row r="1556" spans="1:19">
      <c r="A1556" t="s">
        <v>21</v>
      </c>
      <c r="B1556" t="s">
        <v>148</v>
      </c>
      <c r="C1556" t="s">
        <v>153</v>
      </c>
      <c r="D1556" t="s">
        <v>282</v>
      </c>
      <c r="E1556" t="s">
        <v>411</v>
      </c>
      <c r="F1556">
        <f>HYPERLINK("https://www.wikidata.org/wiki/Q33724121", "Q33724121")</f>
        <v>0</v>
      </c>
      <c r="G1556" t="s">
        <v>1497</v>
      </c>
      <c r="H1556" t="s">
        <v>6195</v>
      </c>
      <c r="I1556" t="s">
        <v>9552</v>
      </c>
      <c r="J1556" t="s">
        <v>12215</v>
      </c>
      <c r="K1556" t="s">
        <v>16620</v>
      </c>
      <c r="L1556">
        <f>HYPERLINK("https://www2.assemblee-nationale.fr/sycomore/fiche/(num_dept)/3938", "3938")</f>
        <v>0</v>
      </c>
      <c r="N1556">
        <f>HYPERLINK("https://www.wikidata.org/wiki/Q2871238", "Q2871238")</f>
        <v>0</v>
      </c>
      <c r="O1556" t="s">
        <v>19965</v>
      </c>
      <c r="P1556" t="s">
        <v>20416</v>
      </c>
      <c r="Q1556" t="s">
        <v>17699</v>
      </c>
      <c r="R1556" t="s">
        <v>411</v>
      </c>
      <c r="S1556">
        <v>1658</v>
      </c>
    </row>
    <row r="1557" spans="1:19">
      <c r="A1557" t="s">
        <v>21</v>
      </c>
      <c r="B1557" t="s">
        <v>148</v>
      </c>
      <c r="C1557" t="s">
        <v>153</v>
      </c>
      <c r="D1557" t="s">
        <v>282</v>
      </c>
      <c r="E1557" t="s">
        <v>411</v>
      </c>
      <c r="F1557">
        <f>HYPERLINK("https://www.wikidata.org/wiki/Q33724121", "Q33724121")</f>
        <v>0</v>
      </c>
      <c r="G1557" t="s">
        <v>1498</v>
      </c>
      <c r="H1557" t="s">
        <v>6196</v>
      </c>
      <c r="I1557" t="s">
        <v>9553</v>
      </c>
      <c r="J1557" t="s">
        <v>12216</v>
      </c>
      <c r="K1557" t="s">
        <v>16621</v>
      </c>
      <c r="L1557">
        <f>HYPERLINK("https://www2.assemblee-nationale.fr/sycomore/fiche/(num_dept)/3948", "3948")</f>
        <v>0</v>
      </c>
      <c r="M1557">
        <f>HYPERLINK("https://www.senat.fr/senateur-3eme-republique/israel_alexandre0223r3.html", "israel_alexandre0223r3")</f>
        <v>0</v>
      </c>
      <c r="N1557">
        <f>HYPERLINK("https://www.wikidata.org/wiki/Q2833756", "Q2833756")</f>
        <v>0</v>
      </c>
      <c r="O1557" t="s">
        <v>8449</v>
      </c>
      <c r="P1557" t="s">
        <v>20418</v>
      </c>
      <c r="Q1557" t="s">
        <v>17699</v>
      </c>
      <c r="R1557" t="s">
        <v>411</v>
      </c>
      <c r="S1557">
        <v>1658</v>
      </c>
    </row>
    <row r="1558" spans="1:19">
      <c r="A1558" t="s">
        <v>21</v>
      </c>
      <c r="B1558" t="s">
        <v>148</v>
      </c>
      <c r="C1558" t="s">
        <v>153</v>
      </c>
      <c r="D1558" t="s">
        <v>282</v>
      </c>
      <c r="E1558" t="s">
        <v>411</v>
      </c>
      <c r="F1558">
        <f>HYPERLINK("https://www.wikidata.org/wiki/Q33724121", "Q33724121")</f>
        <v>0</v>
      </c>
      <c r="G1558" t="s">
        <v>1499</v>
      </c>
      <c r="H1558" t="s">
        <v>6197</v>
      </c>
      <c r="I1558" t="s">
        <v>6200</v>
      </c>
      <c r="J1558" t="s">
        <v>12217</v>
      </c>
      <c r="K1558" t="s">
        <v>16622</v>
      </c>
      <c r="L1558">
        <f>HYPERLINK("https://www2.assemblee-nationale.fr/sycomore/fiche/(num_dept)/3975", "3975")</f>
        <v>0</v>
      </c>
      <c r="N1558">
        <f>HYPERLINK("https://www.wikidata.org/wiki/Q3172781", "Q3172781")</f>
        <v>0</v>
      </c>
      <c r="O1558" t="s">
        <v>20011</v>
      </c>
      <c r="P1558" t="s">
        <v>20412</v>
      </c>
      <c r="Q1558" t="s">
        <v>17699</v>
      </c>
      <c r="R1558" t="s">
        <v>411</v>
      </c>
      <c r="S1558">
        <v>1658</v>
      </c>
    </row>
    <row r="1559" spans="1:19">
      <c r="A1559" t="s">
        <v>21</v>
      </c>
      <c r="B1559" t="s">
        <v>148</v>
      </c>
      <c r="C1559" t="s">
        <v>153</v>
      </c>
      <c r="D1559" t="s">
        <v>282</v>
      </c>
      <c r="E1559" t="s">
        <v>411</v>
      </c>
      <c r="F1559">
        <f>HYPERLINK("https://www.wikidata.org/wiki/Q33724121", "Q33724121")</f>
        <v>0</v>
      </c>
      <c r="G1559" t="s">
        <v>1500</v>
      </c>
      <c r="H1559" t="s">
        <v>6198</v>
      </c>
      <c r="I1559" t="s">
        <v>9449</v>
      </c>
      <c r="J1559" t="s">
        <v>12218</v>
      </c>
      <c r="K1559" t="s">
        <v>16623</v>
      </c>
      <c r="L1559">
        <f>HYPERLINK("https://www2.assemblee-nationale.fr/sycomore/fiche/(num_dept)/3977", "3977")</f>
        <v>0</v>
      </c>
      <c r="N1559">
        <f>HYPERLINK("https://www.wikidata.org/wiki/Q8339993", "Q8339993")</f>
        <v>0</v>
      </c>
      <c r="O1559" t="s">
        <v>20048</v>
      </c>
      <c r="P1559" t="s">
        <v>20416</v>
      </c>
      <c r="Q1559" t="s">
        <v>17699</v>
      </c>
      <c r="R1559" t="s">
        <v>411</v>
      </c>
      <c r="S1559">
        <v>1658</v>
      </c>
    </row>
    <row r="1560" spans="1:19">
      <c r="A1560" t="s">
        <v>21</v>
      </c>
      <c r="B1560" t="s">
        <v>148</v>
      </c>
      <c r="C1560" t="s">
        <v>153</v>
      </c>
      <c r="D1560" t="s">
        <v>282</v>
      </c>
      <c r="E1560" t="s">
        <v>411</v>
      </c>
      <c r="F1560">
        <f>HYPERLINK("https://www.wikidata.org/wiki/Q33724121", "Q33724121")</f>
        <v>0</v>
      </c>
      <c r="G1560" t="s">
        <v>1501</v>
      </c>
      <c r="H1560" t="s">
        <v>6199</v>
      </c>
      <c r="I1560" t="s">
        <v>5504</v>
      </c>
      <c r="J1560" t="s">
        <v>12219</v>
      </c>
      <c r="K1560" t="s">
        <v>16624</v>
      </c>
      <c r="L1560">
        <f>HYPERLINK("https://www2.assemblee-nationale.fr/sycomore/fiche/(num_dept)/3992", "3992")</f>
        <v>0</v>
      </c>
      <c r="N1560">
        <f>HYPERLINK("https://www.wikidata.org/wiki/Q3345833", "Q3345833")</f>
        <v>0</v>
      </c>
      <c r="O1560" t="s">
        <v>19994</v>
      </c>
      <c r="P1560" t="s">
        <v>20412</v>
      </c>
      <c r="Q1560" t="s">
        <v>17699</v>
      </c>
      <c r="R1560" t="s">
        <v>411</v>
      </c>
      <c r="S1560">
        <v>1658</v>
      </c>
    </row>
    <row r="1561" spans="1:19">
      <c r="A1561" t="s">
        <v>21</v>
      </c>
      <c r="B1561" t="s">
        <v>148</v>
      </c>
      <c r="C1561" t="s">
        <v>153</v>
      </c>
      <c r="D1561" t="s">
        <v>282</v>
      </c>
      <c r="E1561" t="s">
        <v>411</v>
      </c>
      <c r="F1561">
        <f>HYPERLINK("https://www.wikidata.org/wiki/Q33724121", "Q33724121")</f>
        <v>0</v>
      </c>
      <c r="G1561" t="s">
        <v>1502</v>
      </c>
      <c r="H1561" t="s">
        <v>6200</v>
      </c>
      <c r="I1561" t="s">
        <v>9638</v>
      </c>
      <c r="J1561" t="s">
        <v>12220</v>
      </c>
      <c r="K1561" t="s">
        <v>16625</v>
      </c>
      <c r="L1561">
        <f>HYPERLINK("https://www2.assemblee-nationale.fr/sycomore/fiche/(num_dept)/4015", "4015")</f>
        <v>0</v>
      </c>
      <c r="N1561">
        <f>HYPERLINK("https://www.wikidata.org/wiki/Q3169422", "Q3169422")</f>
        <v>0</v>
      </c>
      <c r="O1561" t="s">
        <v>20050</v>
      </c>
      <c r="P1561" t="s">
        <v>20416</v>
      </c>
      <c r="Q1561" t="s">
        <v>17699</v>
      </c>
      <c r="R1561" t="s">
        <v>411</v>
      </c>
      <c r="S1561">
        <v>1658</v>
      </c>
    </row>
    <row r="1562" spans="1:19">
      <c r="A1562" t="s">
        <v>21</v>
      </c>
      <c r="B1562" t="s">
        <v>148</v>
      </c>
      <c r="C1562" t="s">
        <v>153</v>
      </c>
      <c r="D1562" t="s">
        <v>282</v>
      </c>
      <c r="E1562" t="s">
        <v>411</v>
      </c>
      <c r="F1562">
        <f>HYPERLINK("https://www.wikidata.org/wiki/Q33724121", "Q33724121")</f>
        <v>0</v>
      </c>
      <c r="G1562" t="s">
        <v>1503</v>
      </c>
      <c r="H1562" t="s">
        <v>6200</v>
      </c>
      <c r="I1562" t="s">
        <v>9483</v>
      </c>
      <c r="J1562" t="s">
        <v>12221</v>
      </c>
      <c r="K1562" t="s">
        <v>16626</v>
      </c>
      <c r="L1562">
        <f>HYPERLINK("https://www2.assemblee-nationale.fr/sycomore/fiche/(num_dept)/4018", "4018")</f>
        <v>0</v>
      </c>
      <c r="N1562">
        <f>HYPERLINK("https://www.wikidata.org/wiki/Q2522404", "Q2522404")</f>
        <v>0</v>
      </c>
      <c r="O1562" t="s">
        <v>19990</v>
      </c>
      <c r="P1562" t="s">
        <v>20418</v>
      </c>
      <c r="Q1562" t="s">
        <v>17699</v>
      </c>
      <c r="R1562" t="s">
        <v>411</v>
      </c>
      <c r="S1562">
        <v>1658</v>
      </c>
    </row>
    <row r="1563" spans="1:19">
      <c r="A1563" t="s">
        <v>21</v>
      </c>
      <c r="B1563" t="s">
        <v>148</v>
      </c>
      <c r="C1563" t="s">
        <v>153</v>
      </c>
      <c r="D1563" t="s">
        <v>282</v>
      </c>
      <c r="E1563" t="s">
        <v>411</v>
      </c>
      <c r="F1563">
        <f>HYPERLINK("https://www.wikidata.org/wiki/Q33724121", "Q33724121")</f>
        <v>0</v>
      </c>
      <c r="G1563" t="s">
        <v>1504</v>
      </c>
      <c r="H1563" t="s">
        <v>6201</v>
      </c>
      <c r="I1563" t="s">
        <v>7642</v>
      </c>
      <c r="J1563" t="s">
        <v>12222</v>
      </c>
      <c r="K1563" t="s">
        <v>16627</v>
      </c>
      <c r="L1563">
        <f>HYPERLINK("https://www2.assemblee-nationale.fr/sycomore/fiche/(num_dept)/4025", "4025")</f>
        <v>0</v>
      </c>
      <c r="N1563">
        <f>HYPERLINK("https://www.wikidata.org/wiki/Q8336088", "Q8336088")</f>
        <v>0</v>
      </c>
      <c r="O1563" t="s">
        <v>20041</v>
      </c>
      <c r="P1563" t="s">
        <v>20416</v>
      </c>
      <c r="Q1563" t="s">
        <v>17699</v>
      </c>
      <c r="R1563" t="s">
        <v>411</v>
      </c>
      <c r="S1563">
        <v>1658</v>
      </c>
    </row>
    <row r="1564" spans="1:19">
      <c r="A1564" t="s">
        <v>21</v>
      </c>
      <c r="B1564" t="s">
        <v>148</v>
      </c>
      <c r="C1564" t="s">
        <v>153</v>
      </c>
      <c r="D1564" t="s">
        <v>282</v>
      </c>
      <c r="E1564" t="s">
        <v>411</v>
      </c>
      <c r="F1564">
        <f>HYPERLINK("https://www.wikidata.org/wiki/Q33724121", "Q33724121")</f>
        <v>0</v>
      </c>
      <c r="G1564" t="s">
        <v>1505</v>
      </c>
      <c r="H1564" t="s">
        <v>6202</v>
      </c>
      <c r="I1564" t="s">
        <v>6585</v>
      </c>
      <c r="J1564" t="s">
        <v>12223</v>
      </c>
      <c r="K1564" t="s">
        <v>16628</v>
      </c>
      <c r="L1564">
        <f>HYPERLINK("https://www2.assemblee-nationale.fr/sycomore/fiche/(num_dept)/4038", "4038")</f>
        <v>0</v>
      </c>
      <c r="M1564">
        <f>HYPERLINK("https://www.senat.fr/senateur-3eme-republique/join_lambert_andre0759r3.html", "join_lambert_andre0759r3")</f>
        <v>0</v>
      </c>
      <c r="N1564">
        <f>HYPERLINK("https://www.wikidata.org/wiki/Q2847994", "Q2847994")</f>
        <v>0</v>
      </c>
      <c r="O1564" t="s">
        <v>19992</v>
      </c>
      <c r="P1564" t="s">
        <v>20416</v>
      </c>
      <c r="Q1564" t="s">
        <v>17699</v>
      </c>
      <c r="R1564" t="s">
        <v>411</v>
      </c>
      <c r="S1564">
        <v>1658</v>
      </c>
    </row>
    <row r="1565" spans="1:19">
      <c r="A1565" t="s">
        <v>21</v>
      </c>
      <c r="B1565" t="s">
        <v>148</v>
      </c>
      <c r="C1565" t="s">
        <v>153</v>
      </c>
      <c r="D1565" t="s">
        <v>282</v>
      </c>
      <c r="E1565" t="s">
        <v>411</v>
      </c>
      <c r="F1565">
        <f>HYPERLINK("https://www.wikidata.org/wiki/Q33724121", "Q33724121")</f>
        <v>0</v>
      </c>
      <c r="G1565" t="s">
        <v>1506</v>
      </c>
      <c r="H1565" t="s">
        <v>6203</v>
      </c>
      <c r="I1565" t="s">
        <v>9825</v>
      </c>
      <c r="J1565" t="s">
        <v>12224</v>
      </c>
      <c r="K1565" t="s">
        <v>16629</v>
      </c>
      <c r="L1565">
        <f>HYPERLINK("https://www2.assemblee-nationale.fr/sycomore/fiche/(num_dept)/4044", "4044")</f>
        <v>0</v>
      </c>
      <c r="N1565">
        <f>HYPERLINK("https://www.wikidata.org/wiki/Q3385652", "Q3385652")</f>
        <v>0</v>
      </c>
      <c r="O1565" t="s">
        <v>20014</v>
      </c>
      <c r="P1565" t="s">
        <v>20420</v>
      </c>
      <c r="Q1565" t="s">
        <v>17699</v>
      </c>
      <c r="R1565" t="s">
        <v>411</v>
      </c>
      <c r="S1565">
        <v>1658</v>
      </c>
    </row>
    <row r="1566" spans="1:19">
      <c r="A1566" t="s">
        <v>21</v>
      </c>
      <c r="B1566" t="s">
        <v>148</v>
      </c>
      <c r="C1566" t="s">
        <v>153</v>
      </c>
      <c r="D1566" t="s">
        <v>282</v>
      </c>
      <c r="E1566" t="s">
        <v>411</v>
      </c>
      <c r="F1566">
        <f>HYPERLINK("https://www.wikidata.org/wiki/Q33724121", "Q33724121")</f>
        <v>0</v>
      </c>
      <c r="G1566" t="s">
        <v>1142</v>
      </c>
      <c r="H1566" t="s">
        <v>5877</v>
      </c>
      <c r="I1566" t="s">
        <v>9675</v>
      </c>
      <c r="J1566" t="s">
        <v>11876</v>
      </c>
      <c r="K1566" t="s">
        <v>16278</v>
      </c>
      <c r="L1566">
        <f>HYPERLINK("https://www2.assemblee-nationale.fr/sycomore/fiche/(num_dept)/4053", "4053")</f>
        <v>0</v>
      </c>
      <c r="M1566">
        <f>HYPERLINK("https://www.senat.fr/senateur-3eme-republique/josse_prosper0745r3.html", "josse_prosper0745r3")</f>
        <v>0</v>
      </c>
      <c r="N1566">
        <f>HYPERLINK("https://www.wikidata.org/wiki/Q3407787", "Q3407787")</f>
        <v>0</v>
      </c>
      <c r="O1566" t="s">
        <v>19992</v>
      </c>
      <c r="P1566" t="s">
        <v>20416</v>
      </c>
      <c r="Q1566" t="s">
        <v>17699</v>
      </c>
      <c r="R1566" t="s">
        <v>411</v>
      </c>
      <c r="S1566">
        <v>1658</v>
      </c>
    </row>
    <row r="1567" spans="1:19">
      <c r="A1567" t="s">
        <v>21</v>
      </c>
      <c r="B1567" t="s">
        <v>148</v>
      </c>
      <c r="C1567" t="s">
        <v>153</v>
      </c>
      <c r="D1567" t="s">
        <v>282</v>
      </c>
      <c r="E1567" t="s">
        <v>411</v>
      </c>
      <c r="F1567">
        <f>HYPERLINK("https://www.wikidata.org/wiki/Q33724121", "Q33724121")</f>
        <v>0</v>
      </c>
      <c r="G1567" t="s">
        <v>1507</v>
      </c>
      <c r="H1567" t="s">
        <v>6204</v>
      </c>
      <c r="I1567" t="s">
        <v>9388</v>
      </c>
      <c r="J1567" t="s">
        <v>12225</v>
      </c>
      <c r="K1567" t="s">
        <v>16630</v>
      </c>
      <c r="L1567">
        <f>HYPERLINK("https://www2.assemblee-nationale.fr/sycomore/fiche/(num_dept)/4069", "4069")</f>
        <v>0</v>
      </c>
      <c r="M1567">
        <f>HYPERLINK("https://www.senat.fr/senateur-3eme-republique/jourdain_paul1113r3.html", "jourdain_paul1113r3")</f>
        <v>0</v>
      </c>
      <c r="N1567">
        <f>HYPERLINK("https://www.wikidata.org/wiki/Q3371547", "Q3371547")</f>
        <v>0</v>
      </c>
      <c r="O1567" t="s">
        <v>20049</v>
      </c>
      <c r="P1567" t="s">
        <v>20412</v>
      </c>
      <c r="Q1567" t="s">
        <v>17699</v>
      </c>
      <c r="R1567" t="s">
        <v>411</v>
      </c>
      <c r="S1567">
        <v>1658</v>
      </c>
    </row>
    <row r="1568" spans="1:19">
      <c r="A1568" t="s">
        <v>21</v>
      </c>
      <c r="B1568" t="s">
        <v>148</v>
      </c>
      <c r="C1568" t="s">
        <v>153</v>
      </c>
      <c r="D1568" t="s">
        <v>282</v>
      </c>
      <c r="E1568" t="s">
        <v>411</v>
      </c>
      <c r="F1568">
        <f>HYPERLINK("https://www.wikidata.org/wiki/Q33724121", "Q33724121")</f>
        <v>0</v>
      </c>
      <c r="G1568" t="s">
        <v>1265</v>
      </c>
      <c r="H1568" t="s">
        <v>5989</v>
      </c>
      <c r="I1568" t="s">
        <v>9729</v>
      </c>
      <c r="J1568" t="s">
        <v>11995</v>
      </c>
      <c r="K1568" t="s">
        <v>16398</v>
      </c>
      <c r="L1568">
        <f>HYPERLINK("https://www2.assemblee-nationale.fr/sycomore/fiche/(num_dept)/4079", "4079")</f>
        <v>0</v>
      </c>
      <c r="M1568">
        <f>HYPERLINK("https://www.senat.fr/senateur-3eme-republique/jovelet_anatole1661r3.html", "jovelet_anatole1661r3")</f>
        <v>0</v>
      </c>
      <c r="N1568">
        <f>HYPERLINK("https://www.wikidata.org/wiki/Q2845585", "Q2845585")</f>
        <v>0</v>
      </c>
      <c r="O1568" t="s">
        <v>20012</v>
      </c>
      <c r="P1568" t="s">
        <v>20418</v>
      </c>
      <c r="Q1568" t="s">
        <v>17699</v>
      </c>
      <c r="R1568" t="s">
        <v>18987</v>
      </c>
      <c r="S1568">
        <v>1203</v>
      </c>
    </row>
    <row r="1569" spans="1:19">
      <c r="A1569" t="s">
        <v>21</v>
      </c>
      <c r="B1569" t="s">
        <v>148</v>
      </c>
      <c r="C1569" t="s">
        <v>153</v>
      </c>
      <c r="D1569" t="s">
        <v>282</v>
      </c>
      <c r="E1569" t="s">
        <v>411</v>
      </c>
      <c r="F1569">
        <f>HYPERLINK("https://www.wikidata.org/wiki/Q33724121", "Q33724121")</f>
        <v>0</v>
      </c>
      <c r="G1569" t="s">
        <v>694</v>
      </c>
      <c r="H1569" t="s">
        <v>5452</v>
      </c>
      <c r="I1569" t="s">
        <v>9483</v>
      </c>
      <c r="J1569" t="s">
        <v>11444</v>
      </c>
      <c r="K1569" t="s">
        <v>15845</v>
      </c>
      <c r="L1569">
        <f>HYPERLINK("https://www2.assemblee-nationale.fr/sycomore/fiche/(num_dept)/4086", "4086")</f>
        <v>0</v>
      </c>
      <c r="M1569">
        <f>HYPERLINK("https://www.senat.fr/senateur-3eme-republique/judet_victor0628r3.html", "judet_victor0628r3")</f>
        <v>0</v>
      </c>
      <c r="N1569">
        <f>HYPERLINK("https://www.wikidata.org/wiki/Q2398706", "Q2398706")</f>
        <v>0</v>
      </c>
      <c r="O1569" t="s">
        <v>19979</v>
      </c>
      <c r="P1569" t="s">
        <v>20418</v>
      </c>
      <c r="Q1569" t="s">
        <v>17699</v>
      </c>
      <c r="R1569" t="s">
        <v>411</v>
      </c>
      <c r="S1569">
        <v>1658</v>
      </c>
    </row>
    <row r="1570" spans="1:19">
      <c r="A1570" t="s">
        <v>21</v>
      </c>
      <c r="B1570" t="s">
        <v>148</v>
      </c>
      <c r="C1570" t="s">
        <v>153</v>
      </c>
      <c r="D1570" t="s">
        <v>282</v>
      </c>
      <c r="E1570" t="s">
        <v>411</v>
      </c>
      <c r="F1570">
        <f>HYPERLINK("https://www.wikidata.org/wiki/Q33724121", "Q33724121")</f>
        <v>0</v>
      </c>
      <c r="G1570" t="s">
        <v>1084</v>
      </c>
      <c r="H1570" t="s">
        <v>5827</v>
      </c>
      <c r="I1570" t="s">
        <v>7419</v>
      </c>
      <c r="J1570" t="s">
        <v>11820</v>
      </c>
      <c r="K1570" t="s">
        <v>16221</v>
      </c>
      <c r="L1570">
        <f>HYPERLINK("https://www2.assemblee-nationale.fr/sycomore/fiche/(num_dept)/4090", "4090")</f>
        <v>0</v>
      </c>
      <c r="M1570">
        <f>HYPERLINK("https://www.senat.fr/senateur-3eme-republique/de_juigne_jacques1286r3.html", "de_juigne_jacques1286r3")</f>
        <v>0</v>
      </c>
      <c r="N1570">
        <f>HYPERLINK("https://www.wikidata.org/wiki/Q3158160", "Q3158160")</f>
        <v>0</v>
      </c>
      <c r="O1570" t="s">
        <v>20023</v>
      </c>
      <c r="P1570" t="s">
        <v>20420</v>
      </c>
      <c r="Q1570" t="s">
        <v>17699</v>
      </c>
      <c r="R1570" t="s">
        <v>411</v>
      </c>
      <c r="S1570">
        <v>1658</v>
      </c>
    </row>
    <row r="1571" spans="1:19">
      <c r="A1571" t="s">
        <v>21</v>
      </c>
      <c r="B1571" t="s">
        <v>148</v>
      </c>
      <c r="C1571" t="s">
        <v>153</v>
      </c>
      <c r="D1571" t="s">
        <v>282</v>
      </c>
      <c r="E1571" t="s">
        <v>411</v>
      </c>
      <c r="F1571">
        <f>HYPERLINK("https://www.wikidata.org/wiki/Q33724121", "Q33724121")</f>
        <v>0</v>
      </c>
      <c r="G1571" t="s">
        <v>1508</v>
      </c>
      <c r="H1571" t="s">
        <v>6205</v>
      </c>
      <c r="I1571" t="s">
        <v>7642</v>
      </c>
      <c r="J1571" t="s">
        <v>12226</v>
      </c>
      <c r="K1571" t="s">
        <v>16631</v>
      </c>
      <c r="L1571">
        <f>HYPERLINK("https://www2.assemblee-nationale.fr/sycomore/fiche/(num_dept)/4122", "4122")</f>
        <v>0</v>
      </c>
      <c r="N1571">
        <f>HYPERLINK("https://www.wikidata.org/wiki/Q16025890", "Q16025890")</f>
        <v>0</v>
      </c>
      <c r="O1571" t="s">
        <v>20017</v>
      </c>
      <c r="P1571" t="s">
        <v>20416</v>
      </c>
      <c r="Q1571" t="s">
        <v>17699</v>
      </c>
      <c r="R1571" t="s">
        <v>411</v>
      </c>
      <c r="S1571">
        <v>1658</v>
      </c>
    </row>
    <row r="1572" spans="1:19">
      <c r="A1572" t="s">
        <v>21</v>
      </c>
      <c r="B1572" t="s">
        <v>148</v>
      </c>
      <c r="C1572" t="s">
        <v>153</v>
      </c>
      <c r="D1572" t="s">
        <v>282</v>
      </c>
      <c r="E1572" t="s">
        <v>411</v>
      </c>
      <c r="F1572">
        <f>HYPERLINK("https://www.wikidata.org/wiki/Q33724121", "Q33724121")</f>
        <v>0</v>
      </c>
      <c r="G1572" t="s">
        <v>695</v>
      </c>
      <c r="H1572" t="s">
        <v>5453</v>
      </c>
      <c r="I1572" t="s">
        <v>9421</v>
      </c>
      <c r="J1572" t="s">
        <v>11445</v>
      </c>
      <c r="K1572" t="s">
        <v>15846</v>
      </c>
      <c r="L1572">
        <f>HYPERLINK("https://www2.assemblee-nationale.fr/sycomore/fiche/(num_dept)/4128", "4128")</f>
        <v>0</v>
      </c>
      <c r="M1572">
        <f>HYPERLINK("https://www.senat.fr/senateur-3eme-republique/de_kerguezec_gustave0567r3.html", "de_kerguezec_gustave0567r3")</f>
        <v>0</v>
      </c>
      <c r="N1572">
        <f>HYPERLINK("https://www.wikidata.org/wiki/Q3121362", "Q3121362")</f>
        <v>0</v>
      </c>
      <c r="O1572" t="s">
        <v>19964</v>
      </c>
      <c r="P1572" t="s">
        <v>20406</v>
      </c>
      <c r="Q1572" t="s">
        <v>17699</v>
      </c>
      <c r="R1572" t="s">
        <v>21396</v>
      </c>
      <c r="S1572">
        <v>412</v>
      </c>
    </row>
    <row r="1573" spans="1:19">
      <c r="A1573" t="s">
        <v>21</v>
      </c>
      <c r="B1573" t="s">
        <v>148</v>
      </c>
      <c r="C1573" t="s">
        <v>153</v>
      </c>
      <c r="D1573" t="s">
        <v>282</v>
      </c>
      <c r="E1573" t="s">
        <v>411</v>
      </c>
      <c r="F1573">
        <f>HYPERLINK("https://www.wikidata.org/wiki/Q33724121", "Q33724121")</f>
        <v>0</v>
      </c>
      <c r="G1573" t="s">
        <v>696</v>
      </c>
      <c r="H1573" t="s">
        <v>5454</v>
      </c>
      <c r="I1573" t="s">
        <v>9484</v>
      </c>
      <c r="J1573" t="s">
        <v>11446</v>
      </c>
      <c r="K1573" t="s">
        <v>15847</v>
      </c>
      <c r="L1573">
        <f>HYPERLINK("https://www2.assemblee-nationale.fr/sycomore/fiche/(num_dept)/4148", "4148")</f>
        <v>0</v>
      </c>
      <c r="M1573">
        <f>HYPERLINK("https://www.senat.fr/senateur-3eme-republique/klotz_louis1683r3.html", "klotz_louis1683r3")</f>
        <v>0</v>
      </c>
      <c r="N1573">
        <f>HYPERLINK("https://www.wikidata.org/wiki/Q179586", "Q179586")</f>
        <v>0</v>
      </c>
      <c r="O1573" t="s">
        <v>20012</v>
      </c>
      <c r="P1573" t="s">
        <v>20418</v>
      </c>
      <c r="Q1573" t="s">
        <v>17699</v>
      </c>
      <c r="R1573" t="s">
        <v>411</v>
      </c>
      <c r="S1573">
        <v>1658</v>
      </c>
    </row>
    <row r="1574" spans="1:19">
      <c r="A1574" t="s">
        <v>21</v>
      </c>
      <c r="B1574" t="s">
        <v>148</v>
      </c>
      <c r="C1574" t="s">
        <v>153</v>
      </c>
      <c r="D1574" t="s">
        <v>282</v>
      </c>
      <c r="E1574" t="s">
        <v>411</v>
      </c>
      <c r="F1574">
        <f>HYPERLINK("https://www.wikidata.org/wiki/Q33724121", "Q33724121")</f>
        <v>0</v>
      </c>
      <c r="G1574" t="s">
        <v>700</v>
      </c>
      <c r="H1574" t="s">
        <v>5458</v>
      </c>
      <c r="I1574" t="s">
        <v>9486</v>
      </c>
      <c r="J1574" t="s">
        <v>11450</v>
      </c>
      <c r="K1574" t="s">
        <v>15851</v>
      </c>
      <c r="L1574">
        <f>HYPERLINK("https://www2.assemblee-nationale.fr/sycomore/fiche/(num_dept)/4177", "4177")</f>
        <v>0</v>
      </c>
      <c r="N1574">
        <f>HYPERLINK("https://www.wikidata.org/wiki/Q3132286", "Q3132286")</f>
        <v>0</v>
      </c>
      <c r="O1574" t="s">
        <v>20023</v>
      </c>
      <c r="P1574" t="s">
        <v>20420</v>
      </c>
      <c r="Q1574" t="s">
        <v>17699</v>
      </c>
      <c r="R1574" t="s">
        <v>411</v>
      </c>
      <c r="S1574">
        <v>1658</v>
      </c>
    </row>
    <row r="1575" spans="1:19">
      <c r="A1575" t="s">
        <v>21</v>
      </c>
      <c r="B1575" t="s">
        <v>148</v>
      </c>
      <c r="C1575" t="s">
        <v>153</v>
      </c>
      <c r="D1575" t="s">
        <v>282</v>
      </c>
      <c r="E1575" t="s">
        <v>411</v>
      </c>
      <c r="F1575">
        <f>HYPERLINK("https://www.wikidata.org/wiki/Q33724121", "Q33724121")</f>
        <v>0</v>
      </c>
      <c r="G1575" t="s">
        <v>1509</v>
      </c>
      <c r="H1575" t="s">
        <v>6206</v>
      </c>
      <c r="I1575" t="s">
        <v>9376</v>
      </c>
      <c r="J1575" t="s">
        <v>12227</v>
      </c>
      <c r="K1575" t="s">
        <v>16632</v>
      </c>
      <c r="L1575">
        <f>HYPERLINK("https://www2.assemblee-nationale.fr/sycomore/fiche/(num_dept)/4185", "4185")</f>
        <v>0</v>
      </c>
      <c r="M1575">
        <f>HYPERLINK("https://www.senat.fr/senateur-3eme-republique/baston_de_la_riboisiere_ferdinand0556r3.html", "baston_de_la_riboisiere_ferdinand0556r3")</f>
        <v>0</v>
      </c>
      <c r="N1575">
        <f>HYPERLINK("https://www.wikidata.org/wiki/Q3068526", "Q3068526")</f>
        <v>0</v>
      </c>
      <c r="O1575" t="s">
        <v>19998</v>
      </c>
      <c r="P1575" t="s">
        <v>20416</v>
      </c>
      <c r="Q1575" t="s">
        <v>17699</v>
      </c>
      <c r="R1575" t="s">
        <v>411</v>
      </c>
      <c r="S1575">
        <v>1658</v>
      </c>
    </row>
    <row r="1576" spans="1:19">
      <c r="A1576" t="s">
        <v>21</v>
      </c>
      <c r="B1576" t="s">
        <v>148</v>
      </c>
      <c r="C1576" t="s">
        <v>153</v>
      </c>
      <c r="D1576" t="s">
        <v>282</v>
      </c>
      <c r="E1576" t="s">
        <v>411</v>
      </c>
      <c r="F1576">
        <f>HYPERLINK("https://www.wikidata.org/wiki/Q33724121", "Q33724121")</f>
        <v>0</v>
      </c>
      <c r="G1576" t="s">
        <v>1334</v>
      </c>
      <c r="H1576" t="s">
        <v>6052</v>
      </c>
      <c r="I1576" t="s">
        <v>9755</v>
      </c>
      <c r="J1576" t="s">
        <v>12061</v>
      </c>
      <c r="K1576" t="s">
        <v>16463</v>
      </c>
      <c r="L1576">
        <f>HYPERLINK("https://www2.assemblee-nationale.fr/sycomore/fiche/(num_dept)/4232", "4232")</f>
        <v>0</v>
      </c>
      <c r="N1576">
        <f>HYPERLINK("https://www.wikidata.org/wiki/Q16025914", "Q16025914")</f>
        <v>0</v>
      </c>
      <c r="O1576" t="s">
        <v>8449</v>
      </c>
      <c r="P1576" t="s">
        <v>20409</v>
      </c>
      <c r="Q1576" t="s">
        <v>17699</v>
      </c>
      <c r="R1576" t="s">
        <v>411</v>
      </c>
      <c r="S1576">
        <v>1658</v>
      </c>
    </row>
    <row r="1577" spans="1:19">
      <c r="A1577" t="s">
        <v>21</v>
      </c>
      <c r="B1577" t="s">
        <v>148</v>
      </c>
      <c r="C1577" t="s">
        <v>153</v>
      </c>
      <c r="D1577" t="s">
        <v>282</v>
      </c>
      <c r="E1577" t="s">
        <v>411</v>
      </c>
      <c r="F1577">
        <f>HYPERLINK("https://www.wikidata.org/wiki/Q33724121", "Q33724121")</f>
        <v>0</v>
      </c>
      <c r="G1577" t="s">
        <v>1510</v>
      </c>
      <c r="H1577" t="s">
        <v>6207</v>
      </c>
      <c r="I1577" t="s">
        <v>7308</v>
      </c>
      <c r="J1577" t="s">
        <v>12228</v>
      </c>
      <c r="K1577" t="s">
        <v>16633</v>
      </c>
      <c r="L1577">
        <f>HYPERLINK("https://www2.assemblee-nationale.fr/sycomore/fiche/(num_dept)/4243", "4243")</f>
        <v>0</v>
      </c>
      <c r="N1577">
        <f>HYPERLINK("https://www.wikidata.org/wiki/Q16025917", "Q16025917")</f>
        <v>0</v>
      </c>
      <c r="O1577" t="s">
        <v>20019</v>
      </c>
      <c r="P1577" t="s">
        <v>20418</v>
      </c>
      <c r="Q1577" t="s">
        <v>17699</v>
      </c>
      <c r="R1577" t="s">
        <v>411</v>
      </c>
      <c r="S1577">
        <v>1658</v>
      </c>
    </row>
    <row r="1578" spans="1:19">
      <c r="A1578" t="s">
        <v>21</v>
      </c>
      <c r="B1578" t="s">
        <v>148</v>
      </c>
      <c r="C1578" t="s">
        <v>153</v>
      </c>
      <c r="D1578" t="s">
        <v>282</v>
      </c>
      <c r="E1578" t="s">
        <v>411</v>
      </c>
      <c r="F1578">
        <f>HYPERLINK("https://www.wikidata.org/wiki/Q33724121", "Q33724121")</f>
        <v>0</v>
      </c>
      <c r="G1578" t="s">
        <v>1511</v>
      </c>
      <c r="H1578" t="s">
        <v>6208</v>
      </c>
      <c r="I1578" t="s">
        <v>9476</v>
      </c>
      <c r="J1578" t="s">
        <v>12058</v>
      </c>
      <c r="K1578" t="s">
        <v>16634</v>
      </c>
      <c r="L1578">
        <f>HYPERLINK("https://www2.assemblee-nationale.fr/sycomore/fiche/(num_dept)/4244", "4244")</f>
        <v>0</v>
      </c>
      <c r="N1578">
        <f>HYPERLINK("https://www.wikidata.org/wiki/Q16025918", "Q16025918")</f>
        <v>0</v>
      </c>
      <c r="O1578" t="s">
        <v>20020</v>
      </c>
      <c r="P1578" t="s">
        <v>20419</v>
      </c>
      <c r="Q1578" t="s">
        <v>17699</v>
      </c>
      <c r="R1578" t="s">
        <v>411</v>
      </c>
      <c r="S1578">
        <v>1658</v>
      </c>
    </row>
    <row r="1579" spans="1:19">
      <c r="A1579" t="s">
        <v>21</v>
      </c>
      <c r="B1579" t="s">
        <v>148</v>
      </c>
      <c r="C1579" t="s">
        <v>153</v>
      </c>
      <c r="D1579" t="s">
        <v>282</v>
      </c>
      <c r="E1579" t="s">
        <v>411</v>
      </c>
      <c r="F1579">
        <f>HYPERLINK("https://www.wikidata.org/wiki/Q33724121", "Q33724121")</f>
        <v>0</v>
      </c>
      <c r="G1579" t="s">
        <v>1267</v>
      </c>
      <c r="H1579" t="s">
        <v>5991</v>
      </c>
      <c r="I1579" t="s">
        <v>9388</v>
      </c>
      <c r="J1579" t="s">
        <v>11997</v>
      </c>
      <c r="K1579" t="s">
        <v>16400</v>
      </c>
      <c r="L1579">
        <f>HYPERLINK("https://www2.assemblee-nationale.fr/sycomore/fiche/(num_dept)/4253", "4253")</f>
        <v>0</v>
      </c>
      <c r="M1579">
        <f>HYPERLINK("https://www.senat.fr/senateur-3eme-republique/laffont_paul0184r3.html", "laffont_paul0184r3")</f>
        <v>0</v>
      </c>
      <c r="N1579">
        <f>HYPERLINK("https://www.wikidata.org/wiki/Q3371619", "Q3371619")</f>
        <v>0</v>
      </c>
      <c r="O1579" t="s">
        <v>20019</v>
      </c>
      <c r="P1579" t="s">
        <v>20418</v>
      </c>
      <c r="Q1579" t="s">
        <v>17699</v>
      </c>
      <c r="R1579" t="s">
        <v>411</v>
      </c>
      <c r="S1579">
        <v>1658</v>
      </c>
    </row>
    <row r="1580" spans="1:19">
      <c r="A1580" t="s">
        <v>21</v>
      </c>
      <c r="B1580" t="s">
        <v>148</v>
      </c>
      <c r="C1580" t="s">
        <v>153</v>
      </c>
      <c r="D1580" t="s">
        <v>282</v>
      </c>
      <c r="E1580" t="s">
        <v>411</v>
      </c>
      <c r="F1580">
        <f>HYPERLINK("https://www.wikidata.org/wiki/Q33724121", "Q33724121")</f>
        <v>0</v>
      </c>
      <c r="G1580" t="s">
        <v>1268</v>
      </c>
      <c r="H1580" t="s">
        <v>5992</v>
      </c>
      <c r="I1580" t="s">
        <v>9730</v>
      </c>
      <c r="J1580" t="s">
        <v>11998</v>
      </c>
      <c r="K1580" t="s">
        <v>16401</v>
      </c>
      <c r="L1580">
        <f>HYPERLINK("https://www2.assemblee-nationale.fr/sycomore/fiche/(num_dept)/4259", "4259")</f>
        <v>0</v>
      </c>
      <c r="N1580">
        <f>HYPERLINK("https://www.wikidata.org/wiki/Q3057034", "Q3057034")</f>
        <v>0</v>
      </c>
      <c r="O1580" t="s">
        <v>19997</v>
      </c>
      <c r="P1580" t="s">
        <v>20404</v>
      </c>
      <c r="Q1580" t="s">
        <v>17699</v>
      </c>
      <c r="R1580" t="s">
        <v>411</v>
      </c>
      <c r="S1580">
        <v>1658</v>
      </c>
    </row>
    <row r="1581" spans="1:19">
      <c r="A1581" t="s">
        <v>21</v>
      </c>
      <c r="B1581" t="s">
        <v>148</v>
      </c>
      <c r="C1581" t="s">
        <v>153</v>
      </c>
      <c r="D1581" t="s">
        <v>282</v>
      </c>
      <c r="E1581" t="s">
        <v>411</v>
      </c>
      <c r="F1581">
        <f>HYPERLINK("https://www.wikidata.org/wiki/Q33724121", "Q33724121")</f>
        <v>0</v>
      </c>
      <c r="G1581" t="s">
        <v>1269</v>
      </c>
      <c r="H1581" t="s">
        <v>5993</v>
      </c>
      <c r="I1581" t="s">
        <v>6495</v>
      </c>
      <c r="J1581" t="s">
        <v>11999</v>
      </c>
      <c r="K1581" t="s">
        <v>16402</v>
      </c>
      <c r="L1581">
        <f>HYPERLINK("https://www2.assemblee-nationale.fr/sycomore/fiche/(num_dept)/4283", "4283")</f>
        <v>0</v>
      </c>
      <c r="N1581">
        <f>HYPERLINK("https://www.wikidata.org/wiki/Q16025925", "Q16025925")</f>
        <v>0</v>
      </c>
      <c r="O1581" t="s">
        <v>19969</v>
      </c>
      <c r="P1581" t="s">
        <v>20406</v>
      </c>
      <c r="Q1581" t="s">
        <v>17699</v>
      </c>
      <c r="R1581" t="s">
        <v>411</v>
      </c>
      <c r="S1581">
        <v>1658</v>
      </c>
    </row>
    <row r="1582" spans="1:19">
      <c r="A1582" t="s">
        <v>21</v>
      </c>
      <c r="B1582" t="s">
        <v>148</v>
      </c>
      <c r="C1582" t="s">
        <v>153</v>
      </c>
      <c r="D1582" t="s">
        <v>282</v>
      </c>
      <c r="E1582" t="s">
        <v>411</v>
      </c>
      <c r="F1582">
        <f>HYPERLINK("https://www.wikidata.org/wiki/Q33724121", "Q33724121")</f>
        <v>0</v>
      </c>
      <c r="G1582" t="s">
        <v>1094</v>
      </c>
      <c r="H1582" t="s">
        <v>5836</v>
      </c>
      <c r="I1582" t="s">
        <v>9470</v>
      </c>
      <c r="J1582" t="s">
        <v>11830</v>
      </c>
      <c r="K1582" t="s">
        <v>16230</v>
      </c>
      <c r="L1582">
        <f>HYPERLINK("https://www2.assemblee-nationale.fr/sycomore/fiche/(num_dept)/4287", "4287")</f>
        <v>0</v>
      </c>
      <c r="N1582">
        <f>HYPERLINK("https://www.wikidata.org/wiki/Q16025926", "Q16025926")</f>
        <v>0</v>
      </c>
      <c r="O1582" t="s">
        <v>19995</v>
      </c>
      <c r="P1582" t="s">
        <v>20417</v>
      </c>
      <c r="Q1582" t="s">
        <v>17699</v>
      </c>
      <c r="R1582" t="s">
        <v>411</v>
      </c>
      <c r="S1582">
        <v>1658</v>
      </c>
    </row>
    <row r="1583" spans="1:19">
      <c r="A1583" t="s">
        <v>21</v>
      </c>
      <c r="B1583" t="s">
        <v>148</v>
      </c>
      <c r="C1583" t="s">
        <v>153</v>
      </c>
      <c r="D1583" t="s">
        <v>282</v>
      </c>
      <c r="E1583" t="s">
        <v>411</v>
      </c>
      <c r="F1583">
        <f>HYPERLINK("https://www.wikidata.org/wiki/Q33724121", "Q33724121")</f>
        <v>0</v>
      </c>
      <c r="G1583" t="s">
        <v>1512</v>
      </c>
      <c r="H1583" t="s">
        <v>5734</v>
      </c>
      <c r="I1583" t="s">
        <v>9455</v>
      </c>
      <c r="J1583" t="s">
        <v>12229</v>
      </c>
      <c r="K1583" t="s">
        <v>16635</v>
      </c>
      <c r="L1583">
        <f>HYPERLINK("https://www2.assemblee-nationale.fr/sycomore/fiche/(num_dept)/4318", "4318")</f>
        <v>0</v>
      </c>
      <c r="N1583">
        <f>HYPERLINK("https://www.wikidata.org/wiki/Q3265583", "Q3265583")</f>
        <v>0</v>
      </c>
      <c r="O1583" t="s">
        <v>19999</v>
      </c>
      <c r="P1583" t="s">
        <v>20418</v>
      </c>
      <c r="Q1583" t="s">
        <v>17699</v>
      </c>
      <c r="R1583" t="s">
        <v>411</v>
      </c>
      <c r="S1583">
        <v>1658</v>
      </c>
    </row>
    <row r="1584" spans="1:19">
      <c r="A1584" t="s">
        <v>21</v>
      </c>
      <c r="B1584" t="s">
        <v>148</v>
      </c>
      <c r="C1584" t="s">
        <v>153</v>
      </c>
      <c r="D1584" t="s">
        <v>282</v>
      </c>
      <c r="E1584" t="s">
        <v>411</v>
      </c>
      <c r="F1584">
        <f>HYPERLINK("https://www.wikidata.org/wiki/Q33724121", "Q33724121")</f>
        <v>0</v>
      </c>
      <c r="G1584" t="s">
        <v>708</v>
      </c>
      <c r="H1584" t="s">
        <v>5466</v>
      </c>
      <c r="I1584" t="s">
        <v>9442</v>
      </c>
      <c r="J1584" t="s">
        <v>11458</v>
      </c>
      <c r="K1584" t="s">
        <v>15859</v>
      </c>
      <c r="L1584">
        <f>HYPERLINK("https://www2.assemblee-nationale.fr/sycomore/fiche/(num_dept)/4320", "4320")</f>
        <v>0</v>
      </c>
      <c r="M1584">
        <f>HYPERLINK("https://www.senat.fr/senateur-3eme-republique/lamy_ernest0911r3.html", "lamy_ernest0911r3")</f>
        <v>0</v>
      </c>
      <c r="N1584">
        <f>HYPERLINK("https://www.wikidata.org/wiki/Q3057035", "Q3057035")</f>
        <v>0</v>
      </c>
      <c r="O1584" t="s">
        <v>19961</v>
      </c>
      <c r="P1584" t="s">
        <v>20416</v>
      </c>
      <c r="Q1584" t="s">
        <v>17699</v>
      </c>
      <c r="R1584" t="s">
        <v>411</v>
      </c>
      <c r="S1584">
        <v>1658</v>
      </c>
    </row>
    <row r="1585" spans="1:19">
      <c r="A1585" t="s">
        <v>21</v>
      </c>
      <c r="B1585" t="s">
        <v>148</v>
      </c>
      <c r="C1585" t="s">
        <v>153</v>
      </c>
      <c r="D1585" t="s">
        <v>282</v>
      </c>
      <c r="E1585" t="s">
        <v>411</v>
      </c>
      <c r="F1585">
        <f>HYPERLINK("https://www.wikidata.org/wiki/Q33724121", "Q33724121")</f>
        <v>0</v>
      </c>
      <c r="G1585" t="s">
        <v>983</v>
      </c>
      <c r="H1585" t="s">
        <v>5735</v>
      </c>
      <c r="I1585" t="s">
        <v>9534</v>
      </c>
      <c r="J1585" t="s">
        <v>11721</v>
      </c>
      <c r="K1585" t="s">
        <v>16125</v>
      </c>
      <c r="L1585">
        <f>HYPERLINK("https://www2.assemblee-nationale.fr/sycomore/fiche/(num_dept)/4326", "4326")</f>
        <v>0</v>
      </c>
      <c r="M1585">
        <f>HYPERLINK("https://www.senat.fr/senateur-3eme-republique/landry_adolphe0199r4.html", "landry_adolphe0199r4")</f>
        <v>0</v>
      </c>
      <c r="N1585">
        <f>HYPERLINK("https://www.wikidata.org/wiki/Q2824853", "Q2824853")</f>
        <v>0</v>
      </c>
      <c r="O1585" t="s">
        <v>19955</v>
      </c>
      <c r="P1585" t="s">
        <v>20419</v>
      </c>
      <c r="Q1585" t="s">
        <v>17699</v>
      </c>
      <c r="R1585" t="s">
        <v>411</v>
      </c>
      <c r="S1585">
        <v>1658</v>
      </c>
    </row>
    <row r="1586" spans="1:19">
      <c r="A1586" t="s">
        <v>21</v>
      </c>
      <c r="B1586" t="s">
        <v>148</v>
      </c>
      <c r="C1586" t="s">
        <v>153</v>
      </c>
      <c r="D1586" t="s">
        <v>282</v>
      </c>
      <c r="E1586" t="s">
        <v>411</v>
      </c>
      <c r="F1586">
        <f>HYPERLINK("https://www.wikidata.org/wiki/Q33724121", "Q33724121")</f>
        <v>0</v>
      </c>
      <c r="G1586" t="s">
        <v>709</v>
      </c>
      <c r="H1586" t="s">
        <v>5467</v>
      </c>
      <c r="I1586" t="s">
        <v>9457</v>
      </c>
      <c r="J1586" t="s">
        <v>11267</v>
      </c>
      <c r="K1586" t="s">
        <v>15860</v>
      </c>
      <c r="L1586">
        <f>HYPERLINK("https://www2.assemblee-nationale.fr/sycomore/fiche/(num_dept)/4337", "4337")</f>
        <v>0</v>
      </c>
      <c r="N1586">
        <f>HYPERLINK("https://www.wikidata.org/wiki/Q3131419", "Q3131419")</f>
        <v>0</v>
      </c>
      <c r="O1586" t="s">
        <v>20009</v>
      </c>
      <c r="P1586" t="s">
        <v>20416</v>
      </c>
      <c r="Q1586" t="s">
        <v>17699</v>
      </c>
      <c r="R1586" t="s">
        <v>411</v>
      </c>
      <c r="S1586">
        <v>1658</v>
      </c>
    </row>
    <row r="1587" spans="1:19">
      <c r="A1587" t="s">
        <v>21</v>
      </c>
      <c r="B1587" t="s">
        <v>148</v>
      </c>
      <c r="C1587" t="s">
        <v>153</v>
      </c>
      <c r="D1587" t="s">
        <v>282</v>
      </c>
      <c r="E1587" t="s">
        <v>411</v>
      </c>
      <c r="F1587">
        <f>HYPERLINK("https://www.wikidata.org/wiki/Q33724121", "Q33724121")</f>
        <v>0</v>
      </c>
      <c r="G1587" t="s">
        <v>1513</v>
      </c>
      <c r="H1587" t="s">
        <v>6209</v>
      </c>
      <c r="I1587" t="s">
        <v>9385</v>
      </c>
      <c r="J1587" t="s">
        <v>12230</v>
      </c>
      <c r="K1587" t="s">
        <v>16636</v>
      </c>
      <c r="L1587">
        <f>HYPERLINK("https://www2.assemblee-nationale.fr/sycomore/fiche/(num_dept)/4386", "4386")</f>
        <v>0</v>
      </c>
      <c r="N1587">
        <f>HYPERLINK("https://www.wikidata.org/wiki/Q2960618", "Q2960618")</f>
        <v>0</v>
      </c>
      <c r="O1587" t="s">
        <v>20020</v>
      </c>
      <c r="P1587" t="s">
        <v>20416</v>
      </c>
      <c r="Q1587" t="s">
        <v>17699</v>
      </c>
      <c r="R1587" t="s">
        <v>411</v>
      </c>
      <c r="S1587">
        <v>1658</v>
      </c>
    </row>
    <row r="1588" spans="1:19">
      <c r="A1588" t="s">
        <v>21</v>
      </c>
      <c r="B1588" t="s">
        <v>148</v>
      </c>
      <c r="C1588" t="s">
        <v>153</v>
      </c>
      <c r="D1588" t="s">
        <v>282</v>
      </c>
      <c r="E1588" t="s">
        <v>411</v>
      </c>
      <c r="F1588">
        <f>HYPERLINK("https://www.wikidata.org/wiki/Q33724121", "Q33724121")</f>
        <v>0</v>
      </c>
      <c r="G1588" t="s">
        <v>1514</v>
      </c>
      <c r="H1588" t="s">
        <v>6210</v>
      </c>
      <c r="I1588" t="s">
        <v>9826</v>
      </c>
      <c r="J1588" t="s">
        <v>12231</v>
      </c>
      <c r="K1588" t="s">
        <v>16637</v>
      </c>
      <c r="L1588">
        <f>HYPERLINK("https://www2.assemblee-nationale.fr/sycomore/fiche/(num_dept)/4388", "4388")</f>
        <v>0</v>
      </c>
      <c r="N1588">
        <f>HYPERLINK("https://www.wikidata.org/wiki/Q16025604", "Q16025604")</f>
        <v>0</v>
      </c>
      <c r="O1588" t="s">
        <v>19962</v>
      </c>
      <c r="P1588" t="s">
        <v>20416</v>
      </c>
      <c r="Q1588" t="s">
        <v>17699</v>
      </c>
      <c r="R1588" t="s">
        <v>411</v>
      </c>
      <c r="S1588">
        <v>1658</v>
      </c>
    </row>
    <row r="1589" spans="1:19">
      <c r="A1589" t="s">
        <v>21</v>
      </c>
      <c r="B1589" t="s">
        <v>148</v>
      </c>
      <c r="C1589" t="s">
        <v>153</v>
      </c>
      <c r="D1589" t="s">
        <v>282</v>
      </c>
      <c r="E1589" t="s">
        <v>411</v>
      </c>
      <c r="F1589">
        <f>HYPERLINK("https://www.wikidata.org/wiki/Q33724121", "Q33724121")</f>
        <v>0</v>
      </c>
      <c r="G1589" t="s">
        <v>986</v>
      </c>
      <c r="H1589" t="s">
        <v>5738</v>
      </c>
      <c r="I1589" t="s">
        <v>7419</v>
      </c>
      <c r="J1589" t="s">
        <v>11724</v>
      </c>
      <c r="K1589" t="s">
        <v>16128</v>
      </c>
      <c r="L1589">
        <f>HYPERLINK("https://www2.assemblee-nationale.fr/sycomore/fiche/(num_dept)/4392", "4392")</f>
        <v>0</v>
      </c>
      <c r="N1589">
        <f>HYPERLINK("https://www.wikidata.org/wiki/Q13080898", "Q13080898")</f>
        <v>0</v>
      </c>
      <c r="O1589" t="s">
        <v>19969</v>
      </c>
      <c r="P1589" t="s">
        <v>20409</v>
      </c>
      <c r="Q1589" t="s">
        <v>17699</v>
      </c>
      <c r="R1589" t="s">
        <v>21397</v>
      </c>
      <c r="S1589">
        <v>360</v>
      </c>
    </row>
    <row r="1590" spans="1:19">
      <c r="A1590" t="s">
        <v>21</v>
      </c>
      <c r="B1590" t="s">
        <v>148</v>
      </c>
      <c r="C1590" t="s">
        <v>153</v>
      </c>
      <c r="D1590" t="s">
        <v>282</v>
      </c>
      <c r="E1590" t="s">
        <v>411</v>
      </c>
      <c r="F1590">
        <f>HYPERLINK("https://www.wikidata.org/wiki/Q33724121", "Q33724121")</f>
        <v>0</v>
      </c>
      <c r="G1590" t="s">
        <v>1515</v>
      </c>
      <c r="H1590" t="s">
        <v>6211</v>
      </c>
      <c r="I1590" t="s">
        <v>9457</v>
      </c>
      <c r="J1590" t="s">
        <v>12232</v>
      </c>
      <c r="K1590" t="s">
        <v>16638</v>
      </c>
      <c r="L1590">
        <f>HYPERLINK("https://www2.assemblee-nationale.fr/sycomore/fiche/(num_dept)/4393", "4393")</f>
        <v>0</v>
      </c>
      <c r="M1590">
        <f>HYPERLINK("https://www.senat.fr/senateur-3eme-republique/laudier_henri0442r3.html", "laudier_henri0442r3")</f>
        <v>0</v>
      </c>
      <c r="N1590">
        <f>HYPERLINK("https://www.wikidata.org/wiki/Q3131426", "Q3131426")</f>
        <v>0</v>
      </c>
      <c r="O1590" t="s">
        <v>19996</v>
      </c>
      <c r="P1590" t="s">
        <v>20404</v>
      </c>
      <c r="Q1590" t="s">
        <v>17699</v>
      </c>
      <c r="R1590" t="s">
        <v>411</v>
      </c>
      <c r="S1590">
        <v>1658</v>
      </c>
    </row>
    <row r="1591" spans="1:19">
      <c r="A1591" t="s">
        <v>21</v>
      </c>
      <c r="B1591" t="s">
        <v>148</v>
      </c>
      <c r="C1591" t="s">
        <v>153</v>
      </c>
      <c r="D1591" t="s">
        <v>282</v>
      </c>
      <c r="E1591" t="s">
        <v>411</v>
      </c>
      <c r="F1591">
        <f>HYPERLINK("https://www.wikidata.org/wiki/Q33724121", "Q33724121")</f>
        <v>0</v>
      </c>
      <c r="G1591" t="s">
        <v>1516</v>
      </c>
      <c r="H1591" t="s">
        <v>6212</v>
      </c>
      <c r="I1591" t="s">
        <v>9457</v>
      </c>
      <c r="J1591" t="s">
        <v>12233</v>
      </c>
      <c r="K1591" t="s">
        <v>16639</v>
      </c>
      <c r="L1591">
        <f>HYPERLINK("https://www2.assemblee-nationale.fr/sycomore/fiche/(num_dept)/4811", "4811")</f>
        <v>0</v>
      </c>
      <c r="N1591">
        <f>HYPERLINK("https://www.wikidata.org/wiki/Q8301528", "Q8301528")</f>
        <v>0</v>
      </c>
      <c r="O1591" t="s">
        <v>19987</v>
      </c>
      <c r="P1591" t="s">
        <v>20419</v>
      </c>
      <c r="Q1591" t="s">
        <v>17699</v>
      </c>
      <c r="R1591" t="s">
        <v>411</v>
      </c>
      <c r="S1591">
        <v>1658</v>
      </c>
    </row>
    <row r="1592" spans="1:19">
      <c r="A1592" t="s">
        <v>21</v>
      </c>
      <c r="B1592" t="s">
        <v>148</v>
      </c>
      <c r="C1592" t="s">
        <v>153</v>
      </c>
      <c r="D1592" t="s">
        <v>282</v>
      </c>
      <c r="E1592" t="s">
        <v>411</v>
      </c>
      <c r="F1592">
        <f>HYPERLINK("https://www.wikidata.org/wiki/Q33724121", "Q33724121")</f>
        <v>0</v>
      </c>
      <c r="G1592" t="s">
        <v>1517</v>
      </c>
      <c r="H1592" t="s">
        <v>6213</v>
      </c>
      <c r="I1592" t="s">
        <v>6495</v>
      </c>
      <c r="J1592" t="s">
        <v>12234</v>
      </c>
      <c r="K1592" t="s">
        <v>16640</v>
      </c>
      <c r="L1592">
        <f>HYPERLINK("https://www2.assemblee-nationale.fr/sycomore/fiche/(num_dept)/4823", "4823")</f>
        <v>0</v>
      </c>
      <c r="N1592">
        <f>HYPERLINK("https://www.wikidata.org/wiki/Q2788498", "Q2788498")</f>
        <v>0</v>
      </c>
      <c r="O1592" t="s">
        <v>20013</v>
      </c>
      <c r="P1592" t="s">
        <v>20412</v>
      </c>
      <c r="Q1592" t="s">
        <v>17699</v>
      </c>
      <c r="R1592" t="s">
        <v>411</v>
      </c>
      <c r="S1592">
        <v>1658</v>
      </c>
    </row>
    <row r="1593" spans="1:19">
      <c r="A1593" t="s">
        <v>21</v>
      </c>
      <c r="B1593" t="s">
        <v>148</v>
      </c>
      <c r="C1593" t="s">
        <v>153</v>
      </c>
      <c r="D1593" t="s">
        <v>282</v>
      </c>
      <c r="E1593" t="s">
        <v>411</v>
      </c>
      <c r="F1593">
        <f>HYPERLINK("https://www.wikidata.org/wiki/Q33724121", "Q33724121")</f>
        <v>0</v>
      </c>
      <c r="G1593" t="s">
        <v>1272</v>
      </c>
      <c r="H1593" t="s">
        <v>5996</v>
      </c>
      <c r="I1593" t="s">
        <v>9476</v>
      </c>
      <c r="J1593" t="s">
        <v>12002</v>
      </c>
      <c r="K1593" t="s">
        <v>16405</v>
      </c>
      <c r="L1593">
        <f>HYPERLINK("https://www2.assemblee-nationale.fr/sycomore/fiche/(num_dept)/4849", "4849")</f>
        <v>0</v>
      </c>
      <c r="M1593">
        <f>HYPERLINK("https://www.senat.fr/senateur-3eme-republique/de_ludre_frolois_rene0897r3.html", "de_ludre_frolois_rene0897r3")</f>
        <v>0</v>
      </c>
      <c r="N1593">
        <f>HYPERLINK("https://www.wikidata.org/wiki/Q3427060", "Q3427060")</f>
        <v>0</v>
      </c>
      <c r="O1593" t="s">
        <v>19957</v>
      </c>
      <c r="P1593" t="s">
        <v>20416</v>
      </c>
      <c r="Q1593" t="s">
        <v>17699</v>
      </c>
      <c r="R1593" t="s">
        <v>411</v>
      </c>
      <c r="S1593">
        <v>1658</v>
      </c>
    </row>
    <row r="1594" spans="1:19">
      <c r="A1594" t="s">
        <v>21</v>
      </c>
      <c r="B1594" t="s">
        <v>148</v>
      </c>
      <c r="C1594" t="s">
        <v>153</v>
      </c>
      <c r="D1594" t="s">
        <v>282</v>
      </c>
      <c r="E1594" t="s">
        <v>411</v>
      </c>
      <c r="F1594">
        <f>HYPERLINK("https://www.wikidata.org/wiki/Q33724121", "Q33724121")</f>
        <v>0</v>
      </c>
      <c r="G1594" t="s">
        <v>1273</v>
      </c>
      <c r="H1594" t="s">
        <v>5997</v>
      </c>
      <c r="I1594" t="s">
        <v>6175</v>
      </c>
      <c r="J1594" t="s">
        <v>12003</v>
      </c>
      <c r="K1594" t="s">
        <v>16406</v>
      </c>
      <c r="L1594">
        <f>HYPERLINK("https://www2.assemblee-nationale.fr/sycomore/fiche/(num_dept)/4850", "4850")</f>
        <v>0</v>
      </c>
      <c r="M1594">
        <f>HYPERLINK("https://www.senat.fr/senateur-3eme-republique/lugol_georges1591r3.html", "lugol_georges1591r3")</f>
        <v>0</v>
      </c>
      <c r="N1594">
        <f>HYPERLINK("https://www.wikidata.org/wiki/Q3188745", "Q3188745")</f>
        <v>0</v>
      </c>
      <c r="O1594" t="s">
        <v>20026</v>
      </c>
      <c r="P1594" t="s">
        <v>20417</v>
      </c>
      <c r="Q1594" t="s">
        <v>17699</v>
      </c>
      <c r="R1594" t="s">
        <v>21398</v>
      </c>
      <c r="S1594">
        <v>1605</v>
      </c>
    </row>
    <row r="1595" spans="1:19">
      <c r="A1595" t="s">
        <v>21</v>
      </c>
      <c r="B1595" t="s">
        <v>148</v>
      </c>
      <c r="C1595" t="s">
        <v>153</v>
      </c>
      <c r="D1595" t="s">
        <v>282</v>
      </c>
      <c r="E1595" t="s">
        <v>411</v>
      </c>
      <c r="F1595">
        <f>HYPERLINK("https://www.wikidata.org/wiki/Q33724121", "Q33724121")</f>
        <v>0</v>
      </c>
      <c r="G1595" t="s">
        <v>715</v>
      </c>
      <c r="H1595" t="s">
        <v>5473</v>
      </c>
      <c r="I1595" t="s">
        <v>9494</v>
      </c>
      <c r="J1595" t="s">
        <v>11464</v>
      </c>
      <c r="K1595" t="s">
        <v>15866</v>
      </c>
      <c r="L1595">
        <f>HYPERLINK("https://www2.assemblee-nationale.fr/sycomore/fiche/(num_dept)/4861", "4861")</f>
        <v>0</v>
      </c>
      <c r="N1595">
        <f>HYPERLINK("https://www.wikidata.org/wiki/Q3132399", "Q3132399")</f>
        <v>0</v>
      </c>
      <c r="O1595" t="s">
        <v>20012</v>
      </c>
      <c r="P1595" t="s">
        <v>20416</v>
      </c>
      <c r="Q1595" t="s">
        <v>17699</v>
      </c>
      <c r="R1595" t="s">
        <v>411</v>
      </c>
      <c r="S1595">
        <v>1658</v>
      </c>
    </row>
    <row r="1596" spans="1:19">
      <c r="A1596" t="s">
        <v>21</v>
      </c>
      <c r="B1596" t="s">
        <v>148</v>
      </c>
      <c r="C1596" t="s">
        <v>153</v>
      </c>
      <c r="D1596" t="s">
        <v>282</v>
      </c>
      <c r="E1596" t="s">
        <v>411</v>
      </c>
      <c r="F1596">
        <f>HYPERLINK("https://www.wikidata.org/wiki/Q33724121", "Q33724121")</f>
        <v>0</v>
      </c>
      <c r="G1596" t="s">
        <v>1518</v>
      </c>
      <c r="H1596" t="s">
        <v>6214</v>
      </c>
      <c r="I1596" t="s">
        <v>9442</v>
      </c>
      <c r="J1596" t="s">
        <v>12235</v>
      </c>
      <c r="K1596" t="s">
        <v>16641</v>
      </c>
      <c r="L1596">
        <f>HYPERLINK("https://www2.assemblee-nationale.fr/sycomore/fiche/(num_dept)/4865", "4865")</f>
        <v>0</v>
      </c>
      <c r="N1596">
        <f>HYPERLINK("https://www.wikidata.org/wiki/Q16026021", "Q16026021")</f>
        <v>0</v>
      </c>
      <c r="O1596" t="s">
        <v>20013</v>
      </c>
      <c r="P1596" t="s">
        <v>20417</v>
      </c>
      <c r="Q1596" t="s">
        <v>17699</v>
      </c>
      <c r="R1596" t="s">
        <v>411</v>
      </c>
      <c r="S1596">
        <v>1658</v>
      </c>
    </row>
    <row r="1597" spans="1:19">
      <c r="A1597" t="s">
        <v>21</v>
      </c>
      <c r="B1597" t="s">
        <v>148</v>
      </c>
      <c r="C1597" t="s">
        <v>153</v>
      </c>
      <c r="D1597" t="s">
        <v>282</v>
      </c>
      <c r="E1597" t="s">
        <v>411</v>
      </c>
      <c r="F1597">
        <f>HYPERLINK("https://www.wikidata.org/wiki/Q33724121", "Q33724121")</f>
        <v>0</v>
      </c>
      <c r="G1597" t="s">
        <v>1519</v>
      </c>
      <c r="H1597" t="s">
        <v>6215</v>
      </c>
      <c r="I1597" t="s">
        <v>9827</v>
      </c>
      <c r="J1597" t="s">
        <v>12236</v>
      </c>
      <c r="K1597" t="s">
        <v>16642</v>
      </c>
      <c r="L1597">
        <f>HYPERLINK("https://www2.assemblee-nationale.fr/sycomore/fiche/(num_dept)/4877", "4877")</f>
        <v>0</v>
      </c>
      <c r="N1597">
        <f>HYPERLINK("https://www.wikidata.org/wiki/Q2835322", "Q2835322")</f>
        <v>0</v>
      </c>
      <c r="O1597" t="s">
        <v>19968</v>
      </c>
      <c r="P1597" t="s">
        <v>20404</v>
      </c>
      <c r="Q1597" t="s">
        <v>17699</v>
      </c>
      <c r="R1597" t="s">
        <v>411</v>
      </c>
      <c r="S1597">
        <v>1658</v>
      </c>
    </row>
    <row r="1598" spans="1:19">
      <c r="A1598" t="s">
        <v>21</v>
      </c>
      <c r="B1598" t="s">
        <v>148</v>
      </c>
      <c r="C1598" t="s">
        <v>153</v>
      </c>
      <c r="D1598" t="s">
        <v>282</v>
      </c>
      <c r="E1598" t="s">
        <v>411</v>
      </c>
      <c r="F1598">
        <f>HYPERLINK("https://www.wikidata.org/wiki/Q33724121", "Q33724121")</f>
        <v>0</v>
      </c>
      <c r="G1598" t="s">
        <v>1520</v>
      </c>
      <c r="H1598" t="s">
        <v>6216</v>
      </c>
      <c r="I1598" t="s">
        <v>9828</v>
      </c>
      <c r="J1598" t="s">
        <v>12237</v>
      </c>
      <c r="K1598" t="s">
        <v>16643</v>
      </c>
      <c r="L1598">
        <f>HYPERLINK("https://www2.assemblee-nationale.fr/sycomore/fiche/(num_dept)/4879", "4879")</f>
        <v>0</v>
      </c>
      <c r="N1598">
        <f>HYPERLINK("https://www.wikidata.org/wiki/Q3570825", "Q3570825")</f>
        <v>0</v>
      </c>
      <c r="O1598" t="s">
        <v>7411</v>
      </c>
      <c r="P1598" t="s">
        <v>20420</v>
      </c>
      <c r="Q1598" t="s">
        <v>17699</v>
      </c>
      <c r="R1598" t="s">
        <v>411</v>
      </c>
      <c r="S1598">
        <v>1658</v>
      </c>
    </row>
    <row r="1599" spans="1:19">
      <c r="A1599" t="s">
        <v>21</v>
      </c>
      <c r="B1599" t="s">
        <v>148</v>
      </c>
      <c r="C1599" t="s">
        <v>153</v>
      </c>
      <c r="D1599" t="s">
        <v>282</v>
      </c>
      <c r="E1599" t="s">
        <v>411</v>
      </c>
      <c r="F1599">
        <f>HYPERLINK("https://www.wikidata.org/wiki/Q33724121", "Q33724121")</f>
        <v>0</v>
      </c>
      <c r="G1599" t="s">
        <v>717</v>
      </c>
      <c r="H1599" t="s">
        <v>5475</v>
      </c>
      <c r="I1599" t="s">
        <v>6585</v>
      </c>
      <c r="J1599" t="s">
        <v>11466</v>
      </c>
      <c r="K1599" t="s">
        <v>15868</v>
      </c>
      <c r="L1599">
        <f>HYPERLINK("https://www2.assemblee-nationale.fr/sycomore/fiche/(num_dept)/4882", "4882")</f>
        <v>0</v>
      </c>
      <c r="N1599">
        <f>HYPERLINK("https://www.wikidata.org/wiki/Q318617", "Q318617")</f>
        <v>0</v>
      </c>
      <c r="O1599" t="s">
        <v>20030</v>
      </c>
      <c r="P1599" t="s">
        <v>20417</v>
      </c>
      <c r="Q1599" t="s">
        <v>17699</v>
      </c>
      <c r="R1599" t="s">
        <v>411</v>
      </c>
      <c r="S1599">
        <v>1658</v>
      </c>
    </row>
    <row r="1600" spans="1:19">
      <c r="A1600" t="s">
        <v>21</v>
      </c>
      <c r="B1600" t="s">
        <v>148</v>
      </c>
      <c r="C1600" t="s">
        <v>153</v>
      </c>
      <c r="D1600" t="s">
        <v>282</v>
      </c>
      <c r="E1600" t="s">
        <v>411</v>
      </c>
      <c r="F1600">
        <f>HYPERLINK("https://www.wikidata.org/wiki/Q33724121", "Q33724121")</f>
        <v>0</v>
      </c>
      <c r="G1600" t="s">
        <v>1521</v>
      </c>
      <c r="H1600" t="s">
        <v>6217</v>
      </c>
      <c r="I1600" t="s">
        <v>9465</v>
      </c>
      <c r="J1600" t="s">
        <v>12238</v>
      </c>
      <c r="K1600" t="s">
        <v>16644</v>
      </c>
      <c r="L1600">
        <f>HYPERLINK("https://www2.assemblee-nationale.fr/sycomore/fiche/(num_dept)/4886", "4886")</f>
        <v>0</v>
      </c>
      <c r="N1600">
        <f>HYPERLINK("https://www.wikidata.org/wiki/Q3060009", "Q3060009")</f>
        <v>0</v>
      </c>
      <c r="O1600" t="s">
        <v>20014</v>
      </c>
      <c r="P1600" t="s">
        <v>20420</v>
      </c>
      <c r="Q1600" t="s">
        <v>17699</v>
      </c>
      <c r="R1600" t="s">
        <v>411</v>
      </c>
      <c r="S1600">
        <v>1658</v>
      </c>
    </row>
    <row r="1601" spans="1:19">
      <c r="A1601" t="s">
        <v>21</v>
      </c>
      <c r="B1601" t="s">
        <v>148</v>
      </c>
      <c r="C1601" t="s">
        <v>153</v>
      </c>
      <c r="D1601" t="s">
        <v>282</v>
      </c>
      <c r="E1601" t="s">
        <v>411</v>
      </c>
      <c r="F1601">
        <f>HYPERLINK("https://www.wikidata.org/wiki/Q33724121", "Q33724121")</f>
        <v>0</v>
      </c>
      <c r="G1601" t="s">
        <v>1522</v>
      </c>
      <c r="H1601" t="s">
        <v>6218</v>
      </c>
      <c r="I1601" t="s">
        <v>6200</v>
      </c>
      <c r="J1601" t="s">
        <v>12239</v>
      </c>
      <c r="K1601" t="s">
        <v>16645</v>
      </c>
      <c r="L1601">
        <f>HYPERLINK("https://www2.assemblee-nationale.fr/sycomore/fiche/(num_dept)/4901", "4901")</f>
        <v>0</v>
      </c>
      <c r="N1601">
        <f>HYPERLINK("https://www.wikidata.org/wiki/Q3173324", "Q3173324")</f>
        <v>0</v>
      </c>
      <c r="O1601" t="s">
        <v>19978</v>
      </c>
      <c r="P1601" t="s">
        <v>20412</v>
      </c>
      <c r="Q1601" t="s">
        <v>17699</v>
      </c>
      <c r="R1601" t="s">
        <v>411</v>
      </c>
      <c r="S1601">
        <v>1658</v>
      </c>
    </row>
    <row r="1602" spans="1:19">
      <c r="A1602" t="s">
        <v>21</v>
      </c>
      <c r="B1602" t="s">
        <v>148</v>
      </c>
      <c r="C1602" t="s">
        <v>153</v>
      </c>
      <c r="D1602" t="s">
        <v>282</v>
      </c>
      <c r="E1602" t="s">
        <v>411</v>
      </c>
      <c r="F1602">
        <f>HYPERLINK("https://www.wikidata.org/wiki/Q33724121", "Q33724121")</f>
        <v>0</v>
      </c>
      <c r="G1602" t="s">
        <v>992</v>
      </c>
      <c r="H1602" t="s">
        <v>5744</v>
      </c>
      <c r="I1602" t="s">
        <v>9388</v>
      </c>
      <c r="J1602" t="s">
        <v>11730</v>
      </c>
      <c r="K1602" t="s">
        <v>15980</v>
      </c>
      <c r="L1602">
        <f>HYPERLINK("https://www2.assemblee-nationale.fr/sycomore/fiche/(num_dept)/4908", "4908")</f>
        <v>0</v>
      </c>
      <c r="N1602">
        <f>HYPERLINK("https://www.wikidata.org/wiki/Q3371749", "Q3371749")</f>
        <v>0</v>
      </c>
      <c r="O1602" t="s">
        <v>20031</v>
      </c>
      <c r="P1602" t="s">
        <v>20417</v>
      </c>
      <c r="Q1602" t="s">
        <v>17699</v>
      </c>
      <c r="R1602" t="s">
        <v>15980</v>
      </c>
      <c r="S1602">
        <v>1619</v>
      </c>
    </row>
    <row r="1603" spans="1:19">
      <c r="A1603" t="s">
        <v>21</v>
      </c>
      <c r="B1603" t="s">
        <v>148</v>
      </c>
      <c r="C1603" t="s">
        <v>153</v>
      </c>
      <c r="D1603" t="s">
        <v>282</v>
      </c>
      <c r="E1603" t="s">
        <v>411</v>
      </c>
      <c r="F1603">
        <f>HYPERLINK("https://www.wikidata.org/wiki/Q33724121", "Q33724121")</f>
        <v>0</v>
      </c>
      <c r="G1603" t="s">
        <v>1523</v>
      </c>
      <c r="H1603" t="s">
        <v>6219</v>
      </c>
      <c r="I1603" t="s">
        <v>9829</v>
      </c>
      <c r="J1603" t="s">
        <v>12240</v>
      </c>
      <c r="K1603" t="s">
        <v>16646</v>
      </c>
      <c r="L1603">
        <f>HYPERLINK("https://www2.assemblee-nationale.fr/sycomore/fiche/(num_dept)/4909", "4909")</f>
        <v>0</v>
      </c>
      <c r="N1603">
        <f>HYPERLINK("https://www.wikidata.org/wiki/Q16026026", "Q16026026")</f>
        <v>0</v>
      </c>
      <c r="O1603" t="s">
        <v>19973</v>
      </c>
      <c r="P1603" t="s">
        <v>20416</v>
      </c>
      <c r="Q1603" t="s">
        <v>17699</v>
      </c>
      <c r="R1603" t="s">
        <v>411</v>
      </c>
      <c r="S1603">
        <v>1658</v>
      </c>
    </row>
    <row r="1604" spans="1:19">
      <c r="A1604" t="s">
        <v>21</v>
      </c>
      <c r="B1604" t="s">
        <v>148</v>
      </c>
      <c r="C1604" t="s">
        <v>153</v>
      </c>
      <c r="D1604" t="s">
        <v>282</v>
      </c>
      <c r="E1604" t="s">
        <v>411</v>
      </c>
      <c r="F1604">
        <f>HYPERLINK("https://www.wikidata.org/wiki/Q33724121", "Q33724121")</f>
        <v>0</v>
      </c>
      <c r="G1604" t="s">
        <v>993</v>
      </c>
      <c r="H1604" t="s">
        <v>5745</v>
      </c>
      <c r="I1604" t="s">
        <v>9611</v>
      </c>
      <c r="J1604" t="s">
        <v>11731</v>
      </c>
      <c r="K1604" t="s">
        <v>16134</v>
      </c>
      <c r="L1604">
        <f>HYPERLINK("https://www2.assemblee-nationale.fr/sycomore/fiche/(num_dept)/4913", "4913")</f>
        <v>0</v>
      </c>
      <c r="N1604">
        <f>HYPERLINK("https://www.wikidata.org/wiki/Q16026028", "Q16026028")</f>
        <v>0</v>
      </c>
      <c r="O1604" t="s">
        <v>19994</v>
      </c>
      <c r="P1604" t="s">
        <v>20406</v>
      </c>
      <c r="Q1604" t="s">
        <v>17699</v>
      </c>
      <c r="R1604" t="s">
        <v>411</v>
      </c>
      <c r="S1604">
        <v>1658</v>
      </c>
    </row>
    <row r="1605" spans="1:19">
      <c r="A1605" t="s">
        <v>21</v>
      </c>
      <c r="B1605" t="s">
        <v>148</v>
      </c>
      <c r="C1605" t="s">
        <v>153</v>
      </c>
      <c r="D1605" t="s">
        <v>282</v>
      </c>
      <c r="E1605" t="s">
        <v>411</v>
      </c>
      <c r="F1605">
        <f>HYPERLINK("https://www.wikidata.org/wiki/Q33724121", "Q33724121")</f>
        <v>0</v>
      </c>
      <c r="G1605" t="s">
        <v>1524</v>
      </c>
      <c r="H1605" t="s">
        <v>5746</v>
      </c>
      <c r="I1605" t="s">
        <v>9476</v>
      </c>
      <c r="J1605" t="s">
        <v>12241</v>
      </c>
      <c r="K1605" t="s">
        <v>16647</v>
      </c>
      <c r="L1605">
        <f>HYPERLINK("https://www2.assemblee-nationale.fr/sycomore/fiche/(num_dept)/4946", "4946")</f>
        <v>0</v>
      </c>
      <c r="N1605">
        <f>HYPERLINK("https://www.wikidata.org/wiki/Q3426588", "Q3426588")</f>
        <v>0</v>
      </c>
      <c r="O1605" t="s">
        <v>20001</v>
      </c>
      <c r="P1605" t="s">
        <v>20417</v>
      </c>
      <c r="Q1605" t="s">
        <v>17699</v>
      </c>
      <c r="R1605" t="s">
        <v>411</v>
      </c>
      <c r="S1605">
        <v>1658</v>
      </c>
    </row>
    <row r="1606" spans="1:19">
      <c r="A1606" t="s">
        <v>21</v>
      </c>
      <c r="B1606" t="s">
        <v>148</v>
      </c>
      <c r="C1606" t="s">
        <v>153</v>
      </c>
      <c r="D1606" t="s">
        <v>282</v>
      </c>
      <c r="E1606" t="s">
        <v>411</v>
      </c>
      <c r="F1606">
        <f>HYPERLINK("https://www.wikidata.org/wiki/Q33724121", "Q33724121")</f>
        <v>0</v>
      </c>
      <c r="G1606" t="s">
        <v>1525</v>
      </c>
      <c r="H1606" t="s">
        <v>6220</v>
      </c>
      <c r="I1606" t="s">
        <v>9503</v>
      </c>
      <c r="J1606" t="s">
        <v>12242</v>
      </c>
      <c r="K1606" t="s">
        <v>16648</v>
      </c>
      <c r="L1606">
        <f>HYPERLINK("https://www2.assemblee-nationale.fr/sycomore/fiche/(num_dept)/4947", "4947")</f>
        <v>0</v>
      </c>
      <c r="M1606">
        <f>HYPERLINK("https://www.senat.fr/senateur-3eme-republique/manceau_anatole1155r3.html", "manceau_anatole1155r3")</f>
        <v>0</v>
      </c>
      <c r="N1606">
        <f>HYPERLINK("https://www.wikidata.org/wiki/Q2845594", "Q2845594")</f>
        <v>0</v>
      </c>
      <c r="O1606" t="s">
        <v>19980</v>
      </c>
      <c r="P1606" t="s">
        <v>20419</v>
      </c>
      <c r="Q1606" t="s">
        <v>17699</v>
      </c>
      <c r="R1606" t="s">
        <v>411</v>
      </c>
      <c r="S1606">
        <v>1658</v>
      </c>
    </row>
    <row r="1607" spans="1:19">
      <c r="A1607" t="s">
        <v>21</v>
      </c>
      <c r="B1607" t="s">
        <v>148</v>
      </c>
      <c r="C1607" t="s">
        <v>153</v>
      </c>
      <c r="D1607" t="s">
        <v>282</v>
      </c>
      <c r="E1607" t="s">
        <v>411</v>
      </c>
      <c r="F1607">
        <f>HYPERLINK("https://www.wikidata.org/wiki/Q33724121", "Q33724121")</f>
        <v>0</v>
      </c>
      <c r="G1607" t="s">
        <v>1526</v>
      </c>
      <c r="H1607" t="s">
        <v>6221</v>
      </c>
      <c r="I1607" t="s">
        <v>6175</v>
      </c>
      <c r="J1607" t="s">
        <v>12243</v>
      </c>
      <c r="K1607" t="s">
        <v>16649</v>
      </c>
      <c r="L1607">
        <f>HYPERLINK("https://www2.assemblee-nationale.fr/sycomore/fiche/(num_dept)/4952", "4952")</f>
        <v>0</v>
      </c>
      <c r="N1607">
        <f>HYPERLINK("https://www.wikidata.org/wiki/Q669893", "Q669893")</f>
        <v>0</v>
      </c>
      <c r="O1607" t="s">
        <v>19987</v>
      </c>
      <c r="P1607" t="s">
        <v>20409</v>
      </c>
      <c r="Q1607" t="s">
        <v>17699</v>
      </c>
      <c r="R1607" t="s">
        <v>411</v>
      </c>
      <c r="S1607">
        <v>1658</v>
      </c>
    </row>
    <row r="1608" spans="1:19">
      <c r="A1608" t="s">
        <v>21</v>
      </c>
      <c r="B1608" t="s">
        <v>148</v>
      </c>
      <c r="C1608" t="s">
        <v>153</v>
      </c>
      <c r="D1608" t="s">
        <v>282</v>
      </c>
      <c r="E1608" t="s">
        <v>411</v>
      </c>
      <c r="F1608">
        <f>HYPERLINK("https://www.wikidata.org/wiki/Q33724121", "Q33724121")</f>
        <v>0</v>
      </c>
      <c r="G1608" t="s">
        <v>722</v>
      </c>
      <c r="H1608" t="s">
        <v>5480</v>
      </c>
      <c r="I1608" t="s">
        <v>9465</v>
      </c>
      <c r="J1608" t="s">
        <v>11471</v>
      </c>
      <c r="K1608" t="s">
        <v>15873</v>
      </c>
      <c r="L1608">
        <f>HYPERLINK("https://www2.assemblee-nationale.fr/sycomore/fiche/(num_dept)/4954", "4954")</f>
        <v>0</v>
      </c>
      <c r="M1608">
        <f>HYPERLINK("https://www.senat.fr/senateur-3eme-republique/mando_eugene0573r3.html", "mando_eugene0573r3")</f>
        <v>0</v>
      </c>
      <c r="N1608">
        <f>HYPERLINK("https://www.wikidata.org/wiki/Q3060013", "Q3060013")</f>
        <v>0</v>
      </c>
      <c r="O1608" t="s">
        <v>19964</v>
      </c>
      <c r="P1608" t="s">
        <v>20412</v>
      </c>
      <c r="Q1608" t="s">
        <v>17699</v>
      </c>
      <c r="R1608" t="s">
        <v>21392</v>
      </c>
      <c r="S1608">
        <v>431</v>
      </c>
    </row>
    <row r="1609" spans="1:19">
      <c r="A1609" t="s">
        <v>21</v>
      </c>
      <c r="B1609" t="s">
        <v>148</v>
      </c>
      <c r="C1609" t="s">
        <v>153</v>
      </c>
      <c r="D1609" t="s">
        <v>282</v>
      </c>
      <c r="E1609" t="s">
        <v>411</v>
      </c>
      <c r="F1609">
        <f>HYPERLINK("https://www.wikidata.org/wiki/Q33724121", "Q33724121")</f>
        <v>0</v>
      </c>
      <c r="G1609" t="s">
        <v>1527</v>
      </c>
      <c r="H1609" t="s">
        <v>6222</v>
      </c>
      <c r="I1609" t="s">
        <v>9830</v>
      </c>
      <c r="J1609" t="s">
        <v>12244</v>
      </c>
      <c r="K1609" t="s">
        <v>16650</v>
      </c>
      <c r="L1609">
        <f>HYPERLINK("https://www2.assemblee-nationale.fr/sycomore/fiche/(num_dept)/4964", "4964")</f>
        <v>0</v>
      </c>
      <c r="N1609">
        <f>HYPERLINK("https://www.wikidata.org/wiki/Q3069260", "Q3069260")</f>
        <v>0</v>
      </c>
      <c r="O1609" t="s">
        <v>19998</v>
      </c>
      <c r="P1609" t="s">
        <v>20416</v>
      </c>
      <c r="Q1609" t="s">
        <v>17699</v>
      </c>
      <c r="R1609" t="s">
        <v>411</v>
      </c>
      <c r="S1609">
        <v>1658</v>
      </c>
    </row>
    <row r="1610" spans="1:19">
      <c r="A1610" t="s">
        <v>21</v>
      </c>
      <c r="B1610" t="s">
        <v>148</v>
      </c>
      <c r="C1610" t="s">
        <v>153</v>
      </c>
      <c r="D1610" t="s">
        <v>282</v>
      </c>
      <c r="E1610" t="s">
        <v>411</v>
      </c>
      <c r="F1610">
        <f>HYPERLINK("https://www.wikidata.org/wiki/Q33724121", "Q33724121")</f>
        <v>0</v>
      </c>
      <c r="G1610" t="s">
        <v>1528</v>
      </c>
      <c r="H1610" t="s">
        <v>6223</v>
      </c>
      <c r="I1610" t="s">
        <v>7419</v>
      </c>
      <c r="J1610" t="s">
        <v>12245</v>
      </c>
      <c r="K1610" t="s">
        <v>16651</v>
      </c>
      <c r="L1610">
        <f>HYPERLINK("https://www2.assemblee-nationale.fr/sycomore/fiche/(num_dept)/4968", "4968")</f>
        <v>0</v>
      </c>
      <c r="N1610">
        <f>HYPERLINK("https://www.wikidata.org/wiki/Q16026037", "Q16026037")</f>
        <v>0</v>
      </c>
      <c r="O1610" t="s">
        <v>20022</v>
      </c>
      <c r="P1610" t="s">
        <v>20416</v>
      </c>
      <c r="Q1610" t="s">
        <v>17699</v>
      </c>
      <c r="R1610" t="s">
        <v>411</v>
      </c>
      <c r="S1610">
        <v>1658</v>
      </c>
    </row>
    <row r="1611" spans="1:19">
      <c r="A1611" t="s">
        <v>21</v>
      </c>
      <c r="B1611" t="s">
        <v>148</v>
      </c>
      <c r="C1611" t="s">
        <v>153</v>
      </c>
      <c r="D1611" t="s">
        <v>282</v>
      </c>
      <c r="E1611" t="s">
        <v>411</v>
      </c>
      <c r="F1611">
        <f>HYPERLINK("https://www.wikidata.org/wiki/Q33724121", "Q33724121")</f>
        <v>0</v>
      </c>
      <c r="G1611" t="s">
        <v>1529</v>
      </c>
      <c r="H1611" t="s">
        <v>6224</v>
      </c>
      <c r="I1611" t="s">
        <v>9831</v>
      </c>
      <c r="J1611" t="s">
        <v>12246</v>
      </c>
      <c r="K1611" t="s">
        <v>15895</v>
      </c>
      <c r="L1611">
        <f>HYPERLINK("https://www2.assemblee-nationale.fr/sycomore/fiche/(num_dept)/4971", "4971")</f>
        <v>0</v>
      </c>
      <c r="N1611">
        <f>HYPERLINK("https://www.wikidata.org/wiki/Q3301111", "Q3301111")</f>
        <v>0</v>
      </c>
      <c r="O1611" t="s">
        <v>19961</v>
      </c>
      <c r="P1611" t="s">
        <v>20417</v>
      </c>
      <c r="Q1611" t="s">
        <v>17699</v>
      </c>
      <c r="R1611" t="s">
        <v>411</v>
      </c>
      <c r="S1611">
        <v>1658</v>
      </c>
    </row>
    <row r="1612" spans="1:19">
      <c r="A1612" t="s">
        <v>21</v>
      </c>
      <c r="B1612" t="s">
        <v>148</v>
      </c>
      <c r="C1612" t="s">
        <v>153</v>
      </c>
      <c r="D1612" t="s">
        <v>282</v>
      </c>
      <c r="E1612" t="s">
        <v>411</v>
      </c>
      <c r="F1612">
        <f>HYPERLINK("https://www.wikidata.org/wiki/Q33724121", "Q33724121")</f>
        <v>0</v>
      </c>
      <c r="G1612" t="s">
        <v>723</v>
      </c>
      <c r="H1612" t="s">
        <v>5481</v>
      </c>
      <c r="I1612" t="s">
        <v>9458</v>
      </c>
      <c r="J1612" t="s">
        <v>11472</v>
      </c>
      <c r="K1612" t="s">
        <v>15874</v>
      </c>
      <c r="L1612">
        <f>HYPERLINK("https://www2.assemblee-nationale.fr/sycomore/fiche/(num_dept)/4991", "4991")</f>
        <v>0</v>
      </c>
      <c r="N1612">
        <f>HYPERLINK("https://www.wikidata.org/wiki/Q2835305", "Q2835305")</f>
        <v>0</v>
      </c>
      <c r="O1612" t="s">
        <v>20025</v>
      </c>
      <c r="P1612" t="s">
        <v>20418</v>
      </c>
      <c r="Q1612" t="s">
        <v>17699</v>
      </c>
      <c r="R1612" t="s">
        <v>411</v>
      </c>
      <c r="S1612">
        <v>1658</v>
      </c>
    </row>
    <row r="1613" spans="1:19">
      <c r="A1613" t="s">
        <v>21</v>
      </c>
      <c r="B1613" t="s">
        <v>148</v>
      </c>
      <c r="C1613" t="s">
        <v>153</v>
      </c>
      <c r="D1613" t="s">
        <v>282</v>
      </c>
      <c r="E1613" t="s">
        <v>411</v>
      </c>
      <c r="F1613">
        <f>HYPERLINK("https://www.wikidata.org/wiki/Q33724121", "Q33724121")</f>
        <v>0</v>
      </c>
      <c r="G1613" t="s">
        <v>724</v>
      </c>
      <c r="H1613" t="s">
        <v>5482</v>
      </c>
      <c r="I1613" t="s">
        <v>6495</v>
      </c>
      <c r="J1613" t="s">
        <v>11473</v>
      </c>
      <c r="K1613" t="s">
        <v>15875</v>
      </c>
      <c r="L1613">
        <f>HYPERLINK("https://www2.assemblee-nationale.fr/sycomore/fiche/(num_dept)/5001", "5001")</f>
        <v>0</v>
      </c>
      <c r="N1613">
        <f>HYPERLINK("https://www.wikidata.org/wiki/Q1229977", "Q1229977")</f>
        <v>0</v>
      </c>
      <c r="O1613" t="s">
        <v>20007</v>
      </c>
      <c r="P1613" t="s">
        <v>20416</v>
      </c>
      <c r="Q1613" t="s">
        <v>17699</v>
      </c>
      <c r="R1613" t="s">
        <v>411</v>
      </c>
      <c r="S1613">
        <v>1658</v>
      </c>
    </row>
    <row r="1614" spans="1:19">
      <c r="A1614" t="s">
        <v>21</v>
      </c>
      <c r="B1614" t="s">
        <v>148</v>
      </c>
      <c r="C1614" t="s">
        <v>153</v>
      </c>
      <c r="D1614" t="s">
        <v>282</v>
      </c>
      <c r="E1614" t="s">
        <v>411</v>
      </c>
      <c r="F1614">
        <f>HYPERLINK("https://www.wikidata.org/wiki/Q33724121", "Q33724121")</f>
        <v>0</v>
      </c>
      <c r="G1614" t="s">
        <v>1530</v>
      </c>
      <c r="H1614" t="s">
        <v>6225</v>
      </c>
      <c r="I1614" t="s">
        <v>9832</v>
      </c>
      <c r="J1614" t="s">
        <v>12247</v>
      </c>
      <c r="K1614" t="s">
        <v>16652</v>
      </c>
      <c r="L1614">
        <f>HYPERLINK("https://www2.assemblee-nationale.fr/sycomore/fiche/(num_dept)/5014", "5014")</f>
        <v>0</v>
      </c>
      <c r="N1614">
        <f>HYPERLINK("https://www.wikidata.org/wiki/Q16026046", "Q16026046")</f>
        <v>0</v>
      </c>
      <c r="O1614" t="s">
        <v>20021</v>
      </c>
      <c r="P1614" t="s">
        <v>20412</v>
      </c>
      <c r="Q1614" t="s">
        <v>17699</v>
      </c>
      <c r="R1614" t="s">
        <v>411</v>
      </c>
      <c r="S1614">
        <v>1658</v>
      </c>
    </row>
    <row r="1615" spans="1:19">
      <c r="A1615" t="s">
        <v>21</v>
      </c>
      <c r="B1615" t="s">
        <v>148</v>
      </c>
      <c r="C1615" t="s">
        <v>153</v>
      </c>
      <c r="D1615" t="s">
        <v>282</v>
      </c>
      <c r="E1615" t="s">
        <v>411</v>
      </c>
      <c r="F1615">
        <f>HYPERLINK("https://www.wikidata.org/wiki/Q33724121", "Q33724121")</f>
        <v>0</v>
      </c>
      <c r="G1615" t="s">
        <v>725</v>
      </c>
      <c r="H1615" t="s">
        <v>5483</v>
      </c>
      <c r="I1615" t="s">
        <v>9497</v>
      </c>
      <c r="J1615" t="s">
        <v>11474</v>
      </c>
      <c r="K1615" t="s">
        <v>15876</v>
      </c>
      <c r="L1615">
        <f>HYPERLINK("https://www2.assemblee-nationale.fr/sycomore/fiche/(num_dept)/5024", "5024")</f>
        <v>0</v>
      </c>
      <c r="M1615">
        <f>HYPERLINK("https://www.senat.fr/senateur-3eme-republique/marrou_baptiste0987r3.html", "marrou_baptiste0987r3")</f>
        <v>0</v>
      </c>
      <c r="N1615">
        <f>HYPERLINK("https://www.wikidata.org/wiki/Q2883668", "Q2883668")</f>
        <v>0</v>
      </c>
      <c r="O1615" t="s">
        <v>20005</v>
      </c>
      <c r="P1615" t="s">
        <v>20418</v>
      </c>
      <c r="Q1615" t="s">
        <v>17699</v>
      </c>
      <c r="R1615" t="s">
        <v>411</v>
      </c>
      <c r="S1615">
        <v>1658</v>
      </c>
    </row>
    <row r="1616" spans="1:19">
      <c r="A1616" t="s">
        <v>21</v>
      </c>
      <c r="B1616" t="s">
        <v>148</v>
      </c>
      <c r="C1616" t="s">
        <v>153</v>
      </c>
      <c r="D1616" t="s">
        <v>282</v>
      </c>
      <c r="E1616" t="s">
        <v>411</v>
      </c>
      <c r="F1616">
        <f>HYPERLINK("https://www.wikidata.org/wiki/Q33724121", "Q33724121")</f>
        <v>0</v>
      </c>
      <c r="G1616" t="s">
        <v>1531</v>
      </c>
      <c r="H1616" t="s">
        <v>6226</v>
      </c>
      <c r="I1616" t="s">
        <v>9472</v>
      </c>
      <c r="J1616" t="s">
        <v>12248</v>
      </c>
      <c r="K1616" t="s">
        <v>16653</v>
      </c>
      <c r="L1616">
        <f>HYPERLINK("https://www2.assemblee-nationale.fr/sycomore/fiche/(num_dept)/5082", "5082")</f>
        <v>0</v>
      </c>
      <c r="N1616">
        <f>HYPERLINK("https://www.wikidata.org/wiki/Q3188665", "Q3188665")</f>
        <v>0</v>
      </c>
      <c r="O1616" t="s">
        <v>20011</v>
      </c>
      <c r="P1616" t="s">
        <v>20404</v>
      </c>
      <c r="Q1616" t="s">
        <v>17699</v>
      </c>
      <c r="R1616" t="s">
        <v>411</v>
      </c>
      <c r="S1616">
        <v>1658</v>
      </c>
    </row>
    <row r="1617" spans="1:19">
      <c r="A1617" t="s">
        <v>21</v>
      </c>
      <c r="B1617" t="s">
        <v>148</v>
      </c>
      <c r="C1617" t="s">
        <v>153</v>
      </c>
      <c r="D1617" t="s">
        <v>282</v>
      </c>
      <c r="E1617" t="s">
        <v>411</v>
      </c>
      <c r="F1617">
        <f>HYPERLINK("https://www.wikidata.org/wiki/Q33724121", "Q33724121")</f>
        <v>0</v>
      </c>
      <c r="G1617" t="s">
        <v>1532</v>
      </c>
      <c r="H1617" t="s">
        <v>5485</v>
      </c>
      <c r="I1617" t="s">
        <v>9375</v>
      </c>
      <c r="J1617" t="s">
        <v>12249</v>
      </c>
      <c r="K1617" t="s">
        <v>16654</v>
      </c>
      <c r="L1617">
        <f>HYPERLINK("https://www2.assemblee-nationale.fr/sycomore/fiche/(num_dept)/5101", "5101")</f>
        <v>0</v>
      </c>
      <c r="N1617">
        <f>HYPERLINK("https://www.wikidata.org/wiki/Q16026066", "Q16026066")</f>
        <v>0</v>
      </c>
      <c r="O1617" t="s">
        <v>20017</v>
      </c>
      <c r="P1617" t="s">
        <v>20416</v>
      </c>
      <c r="Q1617" t="s">
        <v>17699</v>
      </c>
      <c r="R1617" t="s">
        <v>411</v>
      </c>
      <c r="S1617">
        <v>1658</v>
      </c>
    </row>
    <row r="1618" spans="1:19">
      <c r="A1618" t="s">
        <v>21</v>
      </c>
      <c r="B1618" t="s">
        <v>148</v>
      </c>
      <c r="C1618" t="s">
        <v>153</v>
      </c>
      <c r="D1618" t="s">
        <v>282</v>
      </c>
      <c r="E1618" t="s">
        <v>411</v>
      </c>
      <c r="F1618">
        <f>HYPERLINK("https://www.wikidata.org/wiki/Q33724121", "Q33724121")</f>
        <v>0</v>
      </c>
      <c r="G1618" t="s">
        <v>1533</v>
      </c>
      <c r="H1618" t="s">
        <v>6227</v>
      </c>
      <c r="I1618" t="s">
        <v>9756</v>
      </c>
      <c r="J1618" t="s">
        <v>12250</v>
      </c>
      <c r="K1618" t="s">
        <v>16655</v>
      </c>
      <c r="L1618">
        <f>HYPERLINK("https://www2.assemblee-nationale.fr/sycomore/fiche/(num_dept)/5108", "5108")</f>
        <v>0</v>
      </c>
      <c r="N1618">
        <f>HYPERLINK("https://www.wikidata.org/wiki/Q543437", "Q543437")</f>
        <v>0</v>
      </c>
      <c r="O1618" t="s">
        <v>20050</v>
      </c>
      <c r="P1618" t="s">
        <v>20416</v>
      </c>
      <c r="Q1618" t="s">
        <v>17699</v>
      </c>
      <c r="R1618" t="s">
        <v>16655</v>
      </c>
      <c r="S1618">
        <v>608</v>
      </c>
    </row>
    <row r="1619" spans="1:19">
      <c r="A1619" t="s">
        <v>21</v>
      </c>
      <c r="B1619" t="s">
        <v>148</v>
      </c>
      <c r="C1619" t="s">
        <v>153</v>
      </c>
      <c r="D1619" t="s">
        <v>282</v>
      </c>
      <c r="E1619" t="s">
        <v>411</v>
      </c>
      <c r="F1619">
        <f>HYPERLINK("https://www.wikidata.org/wiki/Q33724121", "Q33724121")</f>
        <v>0</v>
      </c>
      <c r="G1619" t="s">
        <v>1534</v>
      </c>
      <c r="H1619" t="s">
        <v>6228</v>
      </c>
      <c r="I1619" t="s">
        <v>9388</v>
      </c>
      <c r="J1619" t="s">
        <v>12251</v>
      </c>
      <c r="K1619" t="s">
        <v>16656</v>
      </c>
      <c r="L1619">
        <f>HYPERLINK("https://www2.assemblee-nationale.fr/sycomore/fiche/(num_dept)/5118", "5118")</f>
        <v>0</v>
      </c>
      <c r="M1619">
        <f>HYPERLINK("https://www.senat.fr/senateur-3eme-republique/maulion_paul0899r3.html", "maulion_paul0899r3")</f>
        <v>0</v>
      </c>
      <c r="N1619">
        <f>HYPERLINK("https://www.wikidata.org/wiki/Q3371810", "Q3371810")</f>
        <v>0</v>
      </c>
      <c r="O1619" t="s">
        <v>19961</v>
      </c>
      <c r="P1619" t="s">
        <v>20418</v>
      </c>
      <c r="Q1619" t="s">
        <v>17699</v>
      </c>
      <c r="R1619" t="s">
        <v>411</v>
      </c>
      <c r="S1619">
        <v>1658</v>
      </c>
    </row>
    <row r="1620" spans="1:19">
      <c r="A1620" t="s">
        <v>21</v>
      </c>
      <c r="B1620" t="s">
        <v>148</v>
      </c>
      <c r="C1620" t="s">
        <v>153</v>
      </c>
      <c r="D1620" t="s">
        <v>282</v>
      </c>
      <c r="E1620" t="s">
        <v>411</v>
      </c>
      <c r="F1620">
        <f>HYPERLINK("https://www.wikidata.org/wiki/Q33724121", "Q33724121")</f>
        <v>0</v>
      </c>
      <c r="G1620" t="s">
        <v>1123</v>
      </c>
      <c r="H1620" t="s">
        <v>5486</v>
      </c>
      <c r="I1620" t="s">
        <v>7911</v>
      </c>
      <c r="J1620" t="s">
        <v>11857</v>
      </c>
      <c r="K1620" t="s">
        <v>16259</v>
      </c>
      <c r="L1620">
        <f>HYPERLINK("https://www2.assemblee-nationale.fr/sycomore/fiche/(num_dept)/5119", "5119")</f>
        <v>0</v>
      </c>
      <c r="N1620">
        <f>HYPERLINK("https://www.wikidata.org/wiki/Q8306400", "Q8306400")</f>
        <v>0</v>
      </c>
      <c r="O1620" t="s">
        <v>19971</v>
      </c>
      <c r="P1620" t="s">
        <v>20416</v>
      </c>
      <c r="Q1620" t="s">
        <v>17699</v>
      </c>
      <c r="R1620" t="s">
        <v>411</v>
      </c>
      <c r="S1620">
        <v>1658</v>
      </c>
    </row>
    <row r="1621" spans="1:19">
      <c r="A1621" t="s">
        <v>21</v>
      </c>
      <c r="B1621" t="s">
        <v>148</v>
      </c>
      <c r="C1621" t="s">
        <v>153</v>
      </c>
      <c r="D1621" t="s">
        <v>282</v>
      </c>
      <c r="E1621" t="s">
        <v>411</v>
      </c>
      <c r="F1621">
        <f>HYPERLINK("https://www.wikidata.org/wiki/Q33724121", "Q33724121")</f>
        <v>0</v>
      </c>
      <c r="G1621" t="s">
        <v>728</v>
      </c>
      <c r="H1621" t="s">
        <v>5486</v>
      </c>
      <c r="I1621" t="s">
        <v>7642</v>
      </c>
      <c r="J1621" t="s">
        <v>11477</v>
      </c>
      <c r="K1621" t="s">
        <v>15879</v>
      </c>
      <c r="L1621">
        <f>HYPERLINK("https://www2.assemblee-nationale.fr/sycomore/fiche/(num_dept)/5121", "5121")</f>
        <v>0</v>
      </c>
      <c r="N1621">
        <f>HYPERLINK("https://www.wikidata.org/wiki/Q3301152", "Q3301152")</f>
        <v>0</v>
      </c>
      <c r="O1621" t="s">
        <v>19971</v>
      </c>
      <c r="P1621" t="s">
        <v>20417</v>
      </c>
      <c r="Q1621" t="s">
        <v>17699</v>
      </c>
      <c r="R1621" t="s">
        <v>411</v>
      </c>
      <c r="S1621">
        <v>1658</v>
      </c>
    </row>
    <row r="1622" spans="1:19">
      <c r="A1622" t="s">
        <v>21</v>
      </c>
      <c r="B1622" t="s">
        <v>148</v>
      </c>
      <c r="C1622" t="s">
        <v>153</v>
      </c>
      <c r="D1622" t="s">
        <v>282</v>
      </c>
      <c r="E1622" t="s">
        <v>411</v>
      </c>
      <c r="F1622">
        <f>HYPERLINK("https://www.wikidata.org/wiki/Q33724121", "Q33724121")</f>
        <v>0</v>
      </c>
      <c r="G1622" t="s">
        <v>1535</v>
      </c>
      <c r="H1622" t="s">
        <v>6229</v>
      </c>
      <c r="I1622" t="s">
        <v>9457</v>
      </c>
      <c r="J1622" t="s">
        <v>12252</v>
      </c>
      <c r="K1622" t="s">
        <v>16657</v>
      </c>
      <c r="L1622">
        <f>HYPERLINK("https://www2.assemblee-nationale.fr/sycomore/fiche/(num_dept)/5124", "5124")</f>
        <v>0</v>
      </c>
      <c r="N1622">
        <f>HYPERLINK("https://www.wikidata.org/wiki/Q1248097", "Q1248097")</f>
        <v>0</v>
      </c>
      <c r="O1622" t="s">
        <v>19990</v>
      </c>
      <c r="P1622" t="s">
        <v>20404</v>
      </c>
      <c r="Q1622" t="s">
        <v>17699</v>
      </c>
      <c r="R1622" t="s">
        <v>411</v>
      </c>
      <c r="S1622">
        <v>1658</v>
      </c>
    </row>
    <row r="1623" spans="1:19">
      <c r="A1623" t="s">
        <v>21</v>
      </c>
      <c r="B1623" t="s">
        <v>148</v>
      </c>
      <c r="C1623" t="s">
        <v>153</v>
      </c>
      <c r="D1623" t="s">
        <v>282</v>
      </c>
      <c r="E1623" t="s">
        <v>411</v>
      </c>
      <c r="F1623">
        <f>HYPERLINK("https://www.wikidata.org/wiki/Q33724121", "Q33724121")</f>
        <v>0</v>
      </c>
      <c r="G1623" t="s">
        <v>1536</v>
      </c>
      <c r="H1623" t="s">
        <v>6230</v>
      </c>
      <c r="I1623" t="s">
        <v>9833</v>
      </c>
      <c r="J1623" t="s">
        <v>12253</v>
      </c>
      <c r="K1623" t="s">
        <v>16658</v>
      </c>
      <c r="L1623">
        <f>HYPERLINK("https://www2.assemblee-nationale.fr/sycomore/fiche/(num_dept)/5128", "5128")</f>
        <v>0</v>
      </c>
      <c r="N1623">
        <f>HYPERLINK("https://www.wikidata.org/wiki/Q16026071", "Q16026071")</f>
        <v>0</v>
      </c>
      <c r="O1623" t="s">
        <v>19962</v>
      </c>
      <c r="P1623" t="s">
        <v>20416</v>
      </c>
      <c r="Q1623" t="s">
        <v>17699</v>
      </c>
      <c r="R1623" t="s">
        <v>411</v>
      </c>
      <c r="S1623">
        <v>1658</v>
      </c>
    </row>
    <row r="1624" spans="1:19">
      <c r="A1624" t="s">
        <v>21</v>
      </c>
      <c r="B1624" t="s">
        <v>148</v>
      </c>
      <c r="C1624" t="s">
        <v>153</v>
      </c>
      <c r="D1624" t="s">
        <v>282</v>
      </c>
      <c r="E1624" t="s">
        <v>411</v>
      </c>
      <c r="F1624">
        <f>HYPERLINK("https://www.wikidata.org/wiki/Q33724121", "Q33724121")</f>
        <v>0</v>
      </c>
      <c r="G1624" t="s">
        <v>1537</v>
      </c>
      <c r="H1624" t="s">
        <v>6231</v>
      </c>
      <c r="I1624" t="s">
        <v>6175</v>
      </c>
      <c r="J1624" t="s">
        <v>12254</v>
      </c>
      <c r="K1624" t="s">
        <v>16659</v>
      </c>
      <c r="L1624">
        <f>HYPERLINK("https://www2.assemblee-nationale.fr/sycomore/fiche/(num_dept)/5129", "5129")</f>
        <v>0</v>
      </c>
      <c r="N1624">
        <f>HYPERLINK("https://www.wikidata.org/wiki/Q3103178", "Q3103178")</f>
        <v>0</v>
      </c>
      <c r="O1624" t="s">
        <v>19958</v>
      </c>
      <c r="P1624" t="s">
        <v>20416</v>
      </c>
      <c r="Q1624" t="s">
        <v>17699</v>
      </c>
      <c r="R1624" t="s">
        <v>411</v>
      </c>
      <c r="S1624">
        <v>1658</v>
      </c>
    </row>
    <row r="1625" spans="1:19">
      <c r="A1625" t="s">
        <v>21</v>
      </c>
      <c r="B1625" t="s">
        <v>148</v>
      </c>
      <c r="C1625" t="s">
        <v>153</v>
      </c>
      <c r="D1625" t="s">
        <v>282</v>
      </c>
      <c r="E1625" t="s">
        <v>411</v>
      </c>
      <c r="F1625">
        <f>HYPERLINK("https://www.wikidata.org/wiki/Q33724121", "Q33724121")</f>
        <v>0</v>
      </c>
      <c r="G1625" t="s">
        <v>1538</v>
      </c>
      <c r="H1625" t="s">
        <v>6232</v>
      </c>
      <c r="I1625" t="s">
        <v>9388</v>
      </c>
      <c r="J1625" t="s">
        <v>12255</v>
      </c>
      <c r="K1625" t="s">
        <v>16660</v>
      </c>
      <c r="L1625">
        <f>HYPERLINK("https://www2.assemblee-nationale.fr/sycomore/fiche/(num_dept)/5135", "5135")</f>
        <v>0</v>
      </c>
      <c r="N1625">
        <f>HYPERLINK("https://www.wikidata.org/wiki/Q136434124", "Q136434124")</f>
        <v>0</v>
      </c>
      <c r="O1625" t="s">
        <v>20034</v>
      </c>
      <c r="P1625" t="s">
        <v>20417</v>
      </c>
      <c r="Q1625" t="s">
        <v>17699</v>
      </c>
      <c r="R1625" t="s">
        <v>411</v>
      </c>
      <c r="S1625">
        <v>1658</v>
      </c>
    </row>
    <row r="1626" spans="1:19">
      <c r="A1626" t="s">
        <v>21</v>
      </c>
      <c r="B1626" t="s">
        <v>148</v>
      </c>
      <c r="C1626" t="s">
        <v>153</v>
      </c>
      <c r="D1626" t="s">
        <v>282</v>
      </c>
      <c r="E1626" t="s">
        <v>411</v>
      </c>
      <c r="F1626">
        <f>HYPERLINK("https://www.wikidata.org/wiki/Q33724121", "Q33724121")</f>
        <v>0</v>
      </c>
      <c r="G1626" t="s">
        <v>1539</v>
      </c>
      <c r="H1626" t="s">
        <v>6233</v>
      </c>
      <c r="I1626" t="s">
        <v>6175</v>
      </c>
      <c r="J1626" t="s">
        <v>11729</v>
      </c>
      <c r="K1626" t="s">
        <v>16661</v>
      </c>
      <c r="L1626">
        <f>HYPERLINK("https://www2.assemblee-nationale.fr/sycomore/fiche/(num_dept)/5146", "5146")</f>
        <v>0</v>
      </c>
      <c r="N1626">
        <f>HYPERLINK("https://www.wikidata.org/wiki/Q3103182", "Q3103182")</f>
        <v>0</v>
      </c>
      <c r="O1626" t="s">
        <v>20007</v>
      </c>
      <c r="P1626" t="s">
        <v>20412</v>
      </c>
      <c r="Q1626" t="s">
        <v>17699</v>
      </c>
      <c r="R1626" t="s">
        <v>411</v>
      </c>
      <c r="S1626">
        <v>1658</v>
      </c>
    </row>
    <row r="1627" spans="1:19">
      <c r="A1627" t="s">
        <v>21</v>
      </c>
      <c r="B1627" t="s">
        <v>148</v>
      </c>
      <c r="C1627" t="s">
        <v>153</v>
      </c>
      <c r="D1627" t="s">
        <v>282</v>
      </c>
      <c r="E1627" t="s">
        <v>411</v>
      </c>
      <c r="F1627">
        <f>HYPERLINK("https://www.wikidata.org/wiki/Q33724121", "Q33724121")</f>
        <v>0</v>
      </c>
      <c r="G1627" t="s">
        <v>1540</v>
      </c>
      <c r="H1627" t="s">
        <v>6234</v>
      </c>
      <c r="I1627" t="s">
        <v>9834</v>
      </c>
      <c r="J1627" t="s">
        <v>12256</v>
      </c>
      <c r="K1627" t="s">
        <v>16662</v>
      </c>
      <c r="L1627">
        <f>HYPERLINK("https://www2.assemblee-nationale.fr/sycomore/fiche/(num_dept)/5184", "5184")</f>
        <v>0</v>
      </c>
      <c r="N1627">
        <f>HYPERLINK("https://www.wikidata.org/wiki/Q16026084", "Q16026084")</f>
        <v>0</v>
      </c>
      <c r="O1627" t="s">
        <v>20036</v>
      </c>
      <c r="P1627" t="s">
        <v>20416</v>
      </c>
      <c r="Q1627" t="s">
        <v>17699</v>
      </c>
      <c r="R1627" t="s">
        <v>411</v>
      </c>
      <c r="S1627">
        <v>1658</v>
      </c>
    </row>
    <row r="1628" spans="1:19">
      <c r="A1628" t="s">
        <v>21</v>
      </c>
      <c r="B1628" t="s">
        <v>148</v>
      </c>
      <c r="C1628" t="s">
        <v>153</v>
      </c>
      <c r="D1628" t="s">
        <v>282</v>
      </c>
      <c r="E1628" t="s">
        <v>411</v>
      </c>
      <c r="F1628">
        <f>HYPERLINK("https://www.wikidata.org/wiki/Q33724121", "Q33724121")</f>
        <v>0</v>
      </c>
      <c r="G1628" t="s">
        <v>1541</v>
      </c>
      <c r="H1628" t="s">
        <v>6235</v>
      </c>
      <c r="I1628" t="s">
        <v>9388</v>
      </c>
      <c r="J1628" t="s">
        <v>12257</v>
      </c>
      <c r="K1628" t="s">
        <v>16663</v>
      </c>
      <c r="L1628">
        <f>HYPERLINK("https://www2.assemblee-nationale.fr/sycomore/fiche/(num_dept)/5199", "5199")</f>
        <v>0</v>
      </c>
      <c r="N1628">
        <f>HYPERLINK("https://www.wikidata.org/wiki/Q16026087", "Q16026087")</f>
        <v>0</v>
      </c>
      <c r="O1628" t="s">
        <v>20021</v>
      </c>
      <c r="P1628" t="s">
        <v>20419</v>
      </c>
      <c r="Q1628" t="s">
        <v>17699</v>
      </c>
      <c r="R1628" t="s">
        <v>411</v>
      </c>
      <c r="S1628">
        <v>1658</v>
      </c>
    </row>
    <row r="1629" spans="1:19">
      <c r="A1629" t="s">
        <v>21</v>
      </c>
      <c r="B1629" t="s">
        <v>148</v>
      </c>
      <c r="C1629" t="s">
        <v>153</v>
      </c>
      <c r="D1629" t="s">
        <v>282</v>
      </c>
      <c r="E1629" t="s">
        <v>411</v>
      </c>
      <c r="F1629">
        <f>HYPERLINK("https://www.wikidata.org/wiki/Q33724121", "Q33724121")</f>
        <v>0</v>
      </c>
      <c r="G1629" t="s">
        <v>1542</v>
      </c>
      <c r="H1629" t="s">
        <v>6236</v>
      </c>
      <c r="I1629" t="s">
        <v>9736</v>
      </c>
      <c r="J1629" t="s">
        <v>12258</v>
      </c>
      <c r="K1629" t="s">
        <v>16664</v>
      </c>
      <c r="L1629">
        <f>HYPERLINK("https://www2.assemblee-nationale.fr/sycomore/fiche/(num_dept)/5201", "5201")</f>
        <v>0</v>
      </c>
      <c r="N1629">
        <f>HYPERLINK("https://www.wikidata.org/wiki/Q3155322", "Q3155322")</f>
        <v>0</v>
      </c>
      <c r="O1629" t="s">
        <v>20047</v>
      </c>
      <c r="P1629" t="s">
        <v>20420</v>
      </c>
      <c r="Q1629" t="s">
        <v>17699</v>
      </c>
      <c r="R1629" t="s">
        <v>411</v>
      </c>
      <c r="S1629">
        <v>1658</v>
      </c>
    </row>
    <row r="1630" spans="1:19">
      <c r="A1630" t="s">
        <v>21</v>
      </c>
      <c r="B1630" t="s">
        <v>148</v>
      </c>
      <c r="C1630" t="s">
        <v>153</v>
      </c>
      <c r="D1630" t="s">
        <v>282</v>
      </c>
      <c r="E1630" t="s">
        <v>411</v>
      </c>
      <c r="F1630">
        <f>HYPERLINK("https://www.wikidata.org/wiki/Q33724121", "Q33724121")</f>
        <v>0</v>
      </c>
      <c r="G1630" t="s">
        <v>1543</v>
      </c>
      <c r="H1630" t="s">
        <v>6237</v>
      </c>
      <c r="I1630" t="s">
        <v>9835</v>
      </c>
      <c r="J1630" t="s">
        <v>11851</v>
      </c>
      <c r="K1630" t="s">
        <v>16665</v>
      </c>
      <c r="L1630">
        <f>HYPERLINK("https://www2.assemblee-nationale.fr/sycomore/fiche/(num_dept)/5211", "5211")</f>
        <v>0</v>
      </c>
      <c r="N1630">
        <f>HYPERLINK("https://www.wikidata.org/wiki/Q16026090", "Q16026090")</f>
        <v>0</v>
      </c>
      <c r="O1630" t="s">
        <v>19986</v>
      </c>
      <c r="P1630" t="s">
        <v>20416</v>
      </c>
      <c r="Q1630" t="s">
        <v>17699</v>
      </c>
      <c r="R1630" t="s">
        <v>411</v>
      </c>
      <c r="S1630">
        <v>1658</v>
      </c>
    </row>
    <row r="1631" spans="1:19">
      <c r="A1631" t="s">
        <v>21</v>
      </c>
      <c r="B1631" t="s">
        <v>148</v>
      </c>
      <c r="C1631" t="s">
        <v>153</v>
      </c>
      <c r="D1631" t="s">
        <v>282</v>
      </c>
      <c r="E1631" t="s">
        <v>411</v>
      </c>
      <c r="F1631">
        <f>HYPERLINK("https://www.wikidata.org/wiki/Q33724121", "Q33724121")</f>
        <v>0</v>
      </c>
      <c r="G1631" t="s">
        <v>1544</v>
      </c>
      <c r="H1631" t="s">
        <v>6238</v>
      </c>
      <c r="I1631" t="s">
        <v>9836</v>
      </c>
      <c r="J1631" t="s">
        <v>12259</v>
      </c>
      <c r="K1631" t="s">
        <v>16666</v>
      </c>
      <c r="L1631">
        <f>HYPERLINK("https://www2.assemblee-nationale.fr/sycomore/fiche/(num_dept)/5218", "5218")</f>
        <v>0</v>
      </c>
      <c r="N1631">
        <f>HYPERLINK("https://www.wikidata.org/wiki/Q8343479", "Q8343479")</f>
        <v>0</v>
      </c>
      <c r="O1631" t="s">
        <v>19976</v>
      </c>
      <c r="P1631" t="s">
        <v>20417</v>
      </c>
      <c r="Q1631" t="s">
        <v>17699</v>
      </c>
      <c r="R1631" t="s">
        <v>16666</v>
      </c>
      <c r="S1631">
        <v>1023</v>
      </c>
    </row>
    <row r="1632" spans="1:19">
      <c r="A1632" t="s">
        <v>21</v>
      </c>
      <c r="B1632" t="s">
        <v>148</v>
      </c>
      <c r="C1632" t="s">
        <v>153</v>
      </c>
      <c r="D1632" t="s">
        <v>282</v>
      </c>
      <c r="E1632" t="s">
        <v>411</v>
      </c>
      <c r="F1632">
        <f>HYPERLINK("https://www.wikidata.org/wiki/Q33724121", "Q33724121")</f>
        <v>0</v>
      </c>
      <c r="G1632" t="s">
        <v>1545</v>
      </c>
      <c r="H1632" t="s">
        <v>5489</v>
      </c>
      <c r="I1632" t="s">
        <v>9837</v>
      </c>
      <c r="J1632" t="s">
        <v>12260</v>
      </c>
      <c r="K1632" t="s">
        <v>16667</v>
      </c>
      <c r="L1632">
        <f>HYPERLINK("https://www2.assemblee-nationale.fr/sycomore/fiche/(num_dept)/5232", "5232")</f>
        <v>0</v>
      </c>
      <c r="M1632">
        <f>HYPERLINK("https://www.senat.fr/senateur-3eme-republique/meunier_albert0164r3.html", "meunier_albert0164r3")</f>
        <v>0</v>
      </c>
      <c r="N1632">
        <f>HYPERLINK("https://www.wikidata.org/wiki/Q16026095", "Q16026095")</f>
        <v>0</v>
      </c>
      <c r="O1632" t="s">
        <v>19959</v>
      </c>
      <c r="P1632" t="s">
        <v>20418</v>
      </c>
      <c r="Q1632" t="s">
        <v>17699</v>
      </c>
      <c r="R1632" t="s">
        <v>411</v>
      </c>
      <c r="S1632">
        <v>1658</v>
      </c>
    </row>
    <row r="1633" spans="1:19">
      <c r="A1633" t="s">
        <v>21</v>
      </c>
      <c r="B1633" t="s">
        <v>148</v>
      </c>
      <c r="C1633" t="s">
        <v>153</v>
      </c>
      <c r="D1633" t="s">
        <v>282</v>
      </c>
      <c r="E1633" t="s">
        <v>411</v>
      </c>
      <c r="F1633">
        <f>HYPERLINK("https://www.wikidata.org/wiki/Q33724121", "Q33724121")</f>
        <v>0</v>
      </c>
      <c r="G1633" t="s">
        <v>1546</v>
      </c>
      <c r="H1633" t="s">
        <v>6239</v>
      </c>
      <c r="I1633" t="s">
        <v>6495</v>
      </c>
      <c r="J1633" t="s">
        <v>12261</v>
      </c>
      <c r="K1633" t="s">
        <v>16668</v>
      </c>
      <c r="L1633">
        <f>HYPERLINK("https://www2.assemblee-nationale.fr/sycomore/fiche/(num_dept)/5242", "5242")</f>
        <v>0</v>
      </c>
      <c r="N1633">
        <f>HYPERLINK("https://www.wikidata.org/wiki/Q1871865", "Q1871865")</f>
        <v>0</v>
      </c>
      <c r="O1633" t="s">
        <v>20050</v>
      </c>
      <c r="P1633" t="s">
        <v>20416</v>
      </c>
      <c r="Q1633" t="s">
        <v>17699</v>
      </c>
      <c r="R1633" t="s">
        <v>411</v>
      </c>
      <c r="S1633">
        <v>1658</v>
      </c>
    </row>
    <row r="1634" spans="1:19">
      <c r="A1634" t="s">
        <v>21</v>
      </c>
      <c r="B1634" t="s">
        <v>148</v>
      </c>
      <c r="C1634" t="s">
        <v>153</v>
      </c>
      <c r="D1634" t="s">
        <v>282</v>
      </c>
      <c r="E1634" t="s">
        <v>411</v>
      </c>
      <c r="F1634">
        <f>HYPERLINK("https://www.wikidata.org/wiki/Q33724121", "Q33724121")</f>
        <v>0</v>
      </c>
      <c r="G1634" t="s">
        <v>1124</v>
      </c>
      <c r="H1634" t="s">
        <v>5862</v>
      </c>
      <c r="I1634" t="s">
        <v>9457</v>
      </c>
      <c r="J1634" t="s">
        <v>11858</v>
      </c>
      <c r="K1634" t="s">
        <v>16260</v>
      </c>
      <c r="L1634">
        <f>HYPERLINK("https://www2.assemblee-nationale.fr/sycomore/fiche/(num_dept)/5277", "5277")</f>
        <v>0</v>
      </c>
      <c r="N1634">
        <f>HYPERLINK("https://www.wikidata.org/wiki/Q16026102", "Q16026102")</f>
        <v>0</v>
      </c>
      <c r="O1634" t="s">
        <v>19971</v>
      </c>
      <c r="P1634" t="s">
        <v>20417</v>
      </c>
      <c r="Q1634" t="s">
        <v>17699</v>
      </c>
      <c r="R1634" t="s">
        <v>411</v>
      </c>
      <c r="S1634">
        <v>1658</v>
      </c>
    </row>
    <row r="1635" spans="1:19">
      <c r="A1635" t="s">
        <v>21</v>
      </c>
      <c r="B1635" t="s">
        <v>148</v>
      </c>
      <c r="C1635" t="s">
        <v>153</v>
      </c>
      <c r="D1635" t="s">
        <v>282</v>
      </c>
      <c r="E1635" t="s">
        <v>411</v>
      </c>
      <c r="F1635">
        <f>HYPERLINK("https://www.wikidata.org/wiki/Q33724121", "Q33724121")</f>
        <v>0</v>
      </c>
      <c r="G1635" t="s">
        <v>1547</v>
      </c>
      <c r="H1635" t="s">
        <v>6240</v>
      </c>
      <c r="I1635" t="s">
        <v>9838</v>
      </c>
      <c r="J1635" t="s">
        <v>12262</v>
      </c>
      <c r="K1635" t="s">
        <v>16669</v>
      </c>
      <c r="L1635">
        <f>HYPERLINK("https://www2.assemblee-nationale.fr/sycomore/fiche/(num_dept)/5281", "5281")</f>
        <v>0</v>
      </c>
      <c r="N1635">
        <f>HYPERLINK("https://www.wikidata.org/wiki/Q3085363", "Q3085363")</f>
        <v>0</v>
      </c>
      <c r="O1635" t="s">
        <v>19960</v>
      </c>
      <c r="P1635" t="s">
        <v>20418</v>
      </c>
      <c r="Q1635" t="s">
        <v>17699</v>
      </c>
      <c r="R1635" t="s">
        <v>411</v>
      </c>
      <c r="S1635">
        <v>1658</v>
      </c>
    </row>
    <row r="1636" spans="1:19">
      <c r="A1636" t="s">
        <v>21</v>
      </c>
      <c r="B1636" t="s">
        <v>148</v>
      </c>
      <c r="C1636" t="s">
        <v>153</v>
      </c>
      <c r="D1636" t="s">
        <v>282</v>
      </c>
      <c r="E1636" t="s">
        <v>411</v>
      </c>
      <c r="F1636">
        <f>HYPERLINK("https://www.wikidata.org/wiki/Q33724121", "Q33724121")</f>
        <v>0</v>
      </c>
      <c r="G1636" t="s">
        <v>1005</v>
      </c>
      <c r="H1636" t="s">
        <v>5756</v>
      </c>
      <c r="I1636" t="s">
        <v>9553</v>
      </c>
      <c r="J1636" t="s">
        <v>11742</v>
      </c>
      <c r="K1636" t="s">
        <v>16146</v>
      </c>
      <c r="L1636">
        <f>HYPERLINK("https://www2.assemblee-nationale.fr/sycomore/fiche/(num_dept)/5284", "5284")</f>
        <v>0</v>
      </c>
      <c r="M1636">
        <f>HYPERLINK("https://www.senat.fr/senateur-3eme-republique/millerand_alexandre0910r3.html", "millerand_alexandre0910r3")</f>
        <v>0</v>
      </c>
      <c r="N1636">
        <f>HYPERLINK("https://www.wikidata.org/wiki/Q274540", "Q274540")</f>
        <v>0</v>
      </c>
      <c r="O1636" t="s">
        <v>19969</v>
      </c>
      <c r="P1636" t="s">
        <v>20409</v>
      </c>
      <c r="Q1636" t="s">
        <v>17699</v>
      </c>
      <c r="R1636" t="s">
        <v>470</v>
      </c>
      <c r="S1636">
        <v>312</v>
      </c>
    </row>
    <row r="1637" spans="1:19">
      <c r="A1637" t="s">
        <v>21</v>
      </c>
      <c r="B1637" t="s">
        <v>148</v>
      </c>
      <c r="C1637" t="s">
        <v>153</v>
      </c>
      <c r="D1637" t="s">
        <v>282</v>
      </c>
      <c r="E1637" t="s">
        <v>411</v>
      </c>
      <c r="F1637">
        <f>HYPERLINK("https://www.wikidata.org/wiki/Q33724121", "Q33724121")</f>
        <v>0</v>
      </c>
      <c r="G1637" t="s">
        <v>733</v>
      </c>
      <c r="H1637" t="s">
        <v>5491</v>
      </c>
      <c r="I1637" t="s">
        <v>6158</v>
      </c>
      <c r="J1637" t="s">
        <v>11482</v>
      </c>
      <c r="K1637" t="s">
        <v>15884</v>
      </c>
      <c r="L1637">
        <f>HYPERLINK("https://www2.assemblee-nationale.fr/sycomore/fiche/(num_dept)/5288", "5288")</f>
        <v>0</v>
      </c>
      <c r="N1637">
        <f>HYPERLINK("https://www.wikidata.org/wiki/Q8300260", "Q8300260")</f>
        <v>0</v>
      </c>
      <c r="O1637" t="s">
        <v>20034</v>
      </c>
      <c r="P1637" t="s">
        <v>20417</v>
      </c>
      <c r="Q1637" t="s">
        <v>17699</v>
      </c>
      <c r="R1637" t="s">
        <v>411</v>
      </c>
      <c r="S1637">
        <v>1658</v>
      </c>
    </row>
    <row r="1638" spans="1:19">
      <c r="A1638" t="s">
        <v>21</v>
      </c>
      <c r="B1638" t="s">
        <v>148</v>
      </c>
      <c r="C1638" t="s">
        <v>153</v>
      </c>
      <c r="D1638" t="s">
        <v>282</v>
      </c>
      <c r="E1638" t="s">
        <v>411</v>
      </c>
      <c r="F1638">
        <f>HYPERLINK("https://www.wikidata.org/wiki/Q33724121", "Q33724121")</f>
        <v>0</v>
      </c>
      <c r="G1638" t="s">
        <v>1006</v>
      </c>
      <c r="H1638" t="s">
        <v>5757</v>
      </c>
      <c r="I1638" t="s">
        <v>9388</v>
      </c>
      <c r="J1638" t="s">
        <v>11743</v>
      </c>
      <c r="K1638" t="s">
        <v>16147</v>
      </c>
      <c r="L1638">
        <f>HYPERLINK("https://www2.assemblee-nationale.fr/sycomore/fiche/(num_dept)/5311", "5311")</f>
        <v>0</v>
      </c>
      <c r="N1638">
        <f>HYPERLINK("https://www.wikidata.org/wiki/Q3371849", "Q3371849")</f>
        <v>0</v>
      </c>
      <c r="O1638" t="s">
        <v>20006</v>
      </c>
      <c r="P1638" t="s">
        <v>20404</v>
      </c>
      <c r="Q1638" t="s">
        <v>17699</v>
      </c>
      <c r="R1638" t="s">
        <v>411</v>
      </c>
      <c r="S1638">
        <v>1658</v>
      </c>
    </row>
    <row r="1639" spans="1:19">
      <c r="A1639" t="s">
        <v>21</v>
      </c>
      <c r="B1639" t="s">
        <v>148</v>
      </c>
      <c r="C1639" t="s">
        <v>153</v>
      </c>
      <c r="D1639" t="s">
        <v>282</v>
      </c>
      <c r="E1639" t="s">
        <v>411</v>
      </c>
      <c r="F1639">
        <f>HYPERLINK("https://www.wikidata.org/wiki/Q33724121", "Q33724121")</f>
        <v>0</v>
      </c>
      <c r="G1639" t="s">
        <v>1548</v>
      </c>
      <c r="H1639" t="s">
        <v>6241</v>
      </c>
      <c r="I1639" t="s">
        <v>9592</v>
      </c>
      <c r="J1639" t="s">
        <v>12263</v>
      </c>
      <c r="K1639" t="s">
        <v>16670</v>
      </c>
      <c r="L1639">
        <f>HYPERLINK("https://www2.assemblee-nationale.fr/sycomore/fiche/(num_dept)/5328", "5328")</f>
        <v>0</v>
      </c>
      <c r="N1639">
        <f>HYPERLINK("https://www.wikidata.org/wiki/Q13080885", "Q13080885")</f>
        <v>0</v>
      </c>
      <c r="O1639" t="s">
        <v>19969</v>
      </c>
      <c r="P1639" t="s">
        <v>20417</v>
      </c>
      <c r="Q1639" t="s">
        <v>17699</v>
      </c>
      <c r="R1639" t="s">
        <v>411</v>
      </c>
      <c r="S1639">
        <v>1658</v>
      </c>
    </row>
    <row r="1640" spans="1:19">
      <c r="A1640" t="s">
        <v>21</v>
      </c>
      <c r="B1640" t="s">
        <v>148</v>
      </c>
      <c r="C1640" t="s">
        <v>153</v>
      </c>
      <c r="D1640" t="s">
        <v>282</v>
      </c>
      <c r="E1640" t="s">
        <v>411</v>
      </c>
      <c r="F1640">
        <f>HYPERLINK("https://www.wikidata.org/wiki/Q33724121", "Q33724121")</f>
        <v>0</v>
      </c>
      <c r="G1640" t="s">
        <v>1549</v>
      </c>
      <c r="H1640" t="s">
        <v>6241</v>
      </c>
      <c r="I1640" t="s">
        <v>6200</v>
      </c>
      <c r="J1640" t="s">
        <v>12264</v>
      </c>
      <c r="K1640" t="s">
        <v>16671</v>
      </c>
      <c r="L1640">
        <f>HYPERLINK("https://www2.assemblee-nationale.fr/sycomore/fiche/(num_dept)/5329", "5329")</f>
        <v>0</v>
      </c>
      <c r="N1640">
        <f>HYPERLINK("https://www.wikidata.org/wiki/Q3173564", "Q3173564")</f>
        <v>0</v>
      </c>
      <c r="O1640" t="s">
        <v>19967</v>
      </c>
      <c r="P1640" t="s">
        <v>20416</v>
      </c>
      <c r="Q1640" t="s">
        <v>17699</v>
      </c>
      <c r="R1640" t="s">
        <v>411</v>
      </c>
      <c r="S1640">
        <v>1658</v>
      </c>
    </row>
    <row r="1641" spans="1:19">
      <c r="A1641" t="s">
        <v>21</v>
      </c>
      <c r="B1641" t="s">
        <v>148</v>
      </c>
      <c r="C1641" t="s">
        <v>153</v>
      </c>
      <c r="D1641" t="s">
        <v>282</v>
      </c>
      <c r="E1641" t="s">
        <v>411</v>
      </c>
      <c r="F1641">
        <f>HYPERLINK("https://www.wikidata.org/wiki/Q33724121", "Q33724121")</f>
        <v>0</v>
      </c>
      <c r="G1641" t="s">
        <v>1550</v>
      </c>
      <c r="H1641" t="s">
        <v>6242</v>
      </c>
      <c r="I1641" t="s">
        <v>9839</v>
      </c>
      <c r="J1641" t="s">
        <v>12265</v>
      </c>
      <c r="K1641" t="s">
        <v>16672</v>
      </c>
      <c r="L1641">
        <f>HYPERLINK("https://www2.assemblee-nationale.fr/sycomore/fiche/(num_dept)/5341", "5341")</f>
        <v>0</v>
      </c>
      <c r="N1641">
        <f>HYPERLINK("https://www.wikidata.org/wiki/Q3387633", "Q3387633")</f>
        <v>0</v>
      </c>
      <c r="O1641" t="s">
        <v>19986</v>
      </c>
      <c r="P1641" t="s">
        <v>20416</v>
      </c>
      <c r="Q1641" t="s">
        <v>17699</v>
      </c>
      <c r="R1641" t="s">
        <v>411</v>
      </c>
      <c r="S1641">
        <v>1658</v>
      </c>
    </row>
    <row r="1642" spans="1:19">
      <c r="A1642" t="s">
        <v>21</v>
      </c>
      <c r="B1642" t="s">
        <v>148</v>
      </c>
      <c r="C1642" t="s">
        <v>153</v>
      </c>
      <c r="D1642" t="s">
        <v>282</v>
      </c>
      <c r="E1642" t="s">
        <v>411</v>
      </c>
      <c r="F1642">
        <f>HYPERLINK("https://www.wikidata.org/wiki/Q33724121", "Q33724121")</f>
        <v>0</v>
      </c>
      <c r="G1642" t="s">
        <v>1086</v>
      </c>
      <c r="H1642" t="s">
        <v>5829</v>
      </c>
      <c r="I1642" t="s">
        <v>7419</v>
      </c>
      <c r="J1642" t="s">
        <v>11822</v>
      </c>
      <c r="K1642" t="s">
        <v>16223</v>
      </c>
      <c r="L1642">
        <f>HYPERLINK("https://www2.assemblee-nationale.fr/sycomore/fiche/(num_dept)/5354", "5354")</f>
        <v>0</v>
      </c>
      <c r="N1642">
        <f>HYPERLINK("https://www.wikidata.org/wiki/Q3157853", "Q3157853")</f>
        <v>0</v>
      </c>
      <c r="O1642" t="s">
        <v>19980</v>
      </c>
      <c r="P1642" t="s">
        <v>20416</v>
      </c>
      <c r="Q1642" t="s">
        <v>17699</v>
      </c>
      <c r="R1642" t="s">
        <v>16223</v>
      </c>
      <c r="S1642">
        <v>806</v>
      </c>
    </row>
    <row r="1643" spans="1:19">
      <c r="A1643" t="s">
        <v>21</v>
      </c>
      <c r="B1643" t="s">
        <v>148</v>
      </c>
      <c r="C1643" t="s">
        <v>153</v>
      </c>
      <c r="D1643" t="s">
        <v>282</v>
      </c>
      <c r="E1643" t="s">
        <v>411</v>
      </c>
      <c r="F1643">
        <f>HYPERLINK("https://www.wikidata.org/wiki/Q33724121", "Q33724121")</f>
        <v>0</v>
      </c>
      <c r="G1643" t="s">
        <v>1551</v>
      </c>
      <c r="H1643" t="s">
        <v>6243</v>
      </c>
      <c r="I1643" t="s">
        <v>9552</v>
      </c>
      <c r="J1643" t="s">
        <v>11511</v>
      </c>
      <c r="K1643" t="s">
        <v>16673</v>
      </c>
      <c r="L1643">
        <f>HYPERLINK("https://www2.assemblee-nationale.fr/sycomore/fiche/(num_dept)/5378", "5378")</f>
        <v>0</v>
      </c>
      <c r="M1643">
        <f>HYPERLINK("https://www.senat.fr/senateur-3eme-republique/montenot_auguste0533r3.html", "montenot_auguste0533r3")</f>
        <v>0</v>
      </c>
      <c r="N1643">
        <f>HYPERLINK("https://www.wikidata.org/wiki/Q2871322", "Q2871322")</f>
        <v>0</v>
      </c>
      <c r="O1643" t="s">
        <v>20002</v>
      </c>
      <c r="P1643" t="s">
        <v>20419</v>
      </c>
      <c r="Q1643" t="s">
        <v>17699</v>
      </c>
      <c r="R1643" t="s">
        <v>17560</v>
      </c>
      <c r="S1643">
        <v>432</v>
      </c>
    </row>
    <row r="1644" spans="1:19">
      <c r="A1644" t="s">
        <v>21</v>
      </c>
      <c r="B1644" t="s">
        <v>148</v>
      </c>
      <c r="C1644" t="s">
        <v>153</v>
      </c>
      <c r="D1644" t="s">
        <v>282</v>
      </c>
      <c r="E1644" t="s">
        <v>411</v>
      </c>
      <c r="F1644">
        <f>HYPERLINK("https://www.wikidata.org/wiki/Q33724121", "Q33724121")</f>
        <v>0</v>
      </c>
      <c r="G1644" t="s">
        <v>1188</v>
      </c>
      <c r="H1644" t="s">
        <v>5918</v>
      </c>
      <c r="I1644" t="s">
        <v>9457</v>
      </c>
      <c r="J1644" t="s">
        <v>11921</v>
      </c>
      <c r="K1644" t="s">
        <v>16322</v>
      </c>
      <c r="L1644">
        <f>HYPERLINK("https://www2.assemblee-nationale.fr/sycomore/fiche/(num_dept)/5387", "5387")</f>
        <v>0</v>
      </c>
      <c r="M1644">
        <f>HYPERLINK("https://www.senat.fr/senateur-3eme-republique/de_monti_de_reze_henri0960r3.html", "de_monti_de_reze_henri0960r3")</f>
        <v>0</v>
      </c>
      <c r="N1644">
        <f>HYPERLINK("https://www.wikidata.org/wiki/Q3132339", "Q3132339")</f>
        <v>0</v>
      </c>
      <c r="O1644" t="s">
        <v>19984</v>
      </c>
      <c r="P1644" t="s">
        <v>20420</v>
      </c>
      <c r="Q1644" t="s">
        <v>17699</v>
      </c>
      <c r="R1644" t="s">
        <v>411</v>
      </c>
      <c r="S1644">
        <v>1658</v>
      </c>
    </row>
    <row r="1645" spans="1:19">
      <c r="A1645" t="s">
        <v>21</v>
      </c>
      <c r="B1645" t="s">
        <v>148</v>
      </c>
      <c r="C1645" t="s">
        <v>153</v>
      </c>
      <c r="D1645" t="s">
        <v>282</v>
      </c>
      <c r="E1645" t="s">
        <v>411</v>
      </c>
      <c r="F1645">
        <f>HYPERLINK("https://www.wikidata.org/wiki/Q33724121", "Q33724121")</f>
        <v>0</v>
      </c>
      <c r="G1645" t="s">
        <v>737</v>
      </c>
      <c r="H1645" t="s">
        <v>5495</v>
      </c>
      <c r="I1645" t="s">
        <v>9502</v>
      </c>
      <c r="J1645" t="s">
        <v>11486</v>
      </c>
      <c r="K1645" t="s">
        <v>15888</v>
      </c>
      <c r="L1645">
        <f>HYPERLINK("https://www2.assemblee-nationale.fr/sycomore/fiche/(num_dept)/5390", "5390")</f>
        <v>0</v>
      </c>
      <c r="N1645">
        <f>HYPERLINK("https://www.wikidata.org/wiki/Q3580083", "Q3580083")</f>
        <v>0</v>
      </c>
      <c r="O1645" t="s">
        <v>19982</v>
      </c>
      <c r="P1645" t="s">
        <v>20416</v>
      </c>
      <c r="Q1645" t="s">
        <v>17699</v>
      </c>
      <c r="R1645" t="s">
        <v>411</v>
      </c>
      <c r="S1645">
        <v>1658</v>
      </c>
    </row>
    <row r="1646" spans="1:19">
      <c r="A1646" t="s">
        <v>21</v>
      </c>
      <c r="B1646" t="s">
        <v>148</v>
      </c>
      <c r="C1646" t="s">
        <v>153</v>
      </c>
      <c r="D1646" t="s">
        <v>282</v>
      </c>
      <c r="E1646" t="s">
        <v>411</v>
      </c>
      <c r="F1646">
        <f>HYPERLINK("https://www.wikidata.org/wiki/Q33724121", "Q33724121")</f>
        <v>0</v>
      </c>
      <c r="G1646" t="s">
        <v>1552</v>
      </c>
      <c r="H1646" t="s">
        <v>5495</v>
      </c>
      <c r="I1646" t="s">
        <v>9840</v>
      </c>
      <c r="J1646" t="s">
        <v>12266</v>
      </c>
      <c r="K1646" t="s">
        <v>16674</v>
      </c>
      <c r="L1646">
        <f>HYPERLINK("https://www2.assemblee-nationale.fr/sycomore/fiche/(num_dept)/5392", "5392")</f>
        <v>0</v>
      </c>
      <c r="N1646">
        <f>HYPERLINK("https://www.wikidata.org/wiki/Q3122275", "Q3122275")</f>
        <v>0</v>
      </c>
      <c r="O1646" t="s">
        <v>19984</v>
      </c>
      <c r="P1646" t="s">
        <v>20419</v>
      </c>
      <c r="Q1646" t="s">
        <v>17699</v>
      </c>
      <c r="R1646" t="s">
        <v>411</v>
      </c>
      <c r="S1646">
        <v>1658</v>
      </c>
    </row>
    <row r="1647" spans="1:19">
      <c r="A1647" t="s">
        <v>21</v>
      </c>
      <c r="B1647" t="s">
        <v>148</v>
      </c>
      <c r="C1647" t="s">
        <v>153</v>
      </c>
      <c r="D1647" t="s">
        <v>282</v>
      </c>
      <c r="E1647" t="s">
        <v>411</v>
      </c>
      <c r="F1647">
        <f>HYPERLINK("https://www.wikidata.org/wiki/Q33724121", "Q33724121")</f>
        <v>0</v>
      </c>
      <c r="G1647" t="s">
        <v>1009</v>
      </c>
      <c r="H1647" t="s">
        <v>5498</v>
      </c>
      <c r="I1647" t="s">
        <v>9483</v>
      </c>
      <c r="J1647" t="s">
        <v>11746</v>
      </c>
      <c r="K1647" t="s">
        <v>16149</v>
      </c>
      <c r="L1647">
        <f>HYPERLINK("https://www2.assemblee-nationale.fr/sycomore/fiche/(num_dept)/5414", "5414")</f>
        <v>0</v>
      </c>
      <c r="N1647">
        <f>HYPERLINK("https://www.wikidata.org/wiki/Q16026151", "Q16026151")</f>
        <v>0</v>
      </c>
      <c r="O1647" t="s">
        <v>19968</v>
      </c>
      <c r="P1647" t="s">
        <v>20417</v>
      </c>
      <c r="Q1647" t="s">
        <v>17699</v>
      </c>
      <c r="R1647" t="s">
        <v>411</v>
      </c>
      <c r="S1647">
        <v>1658</v>
      </c>
    </row>
    <row r="1648" spans="1:19">
      <c r="A1648" t="s">
        <v>21</v>
      </c>
      <c r="B1648" t="s">
        <v>148</v>
      </c>
      <c r="C1648" t="s">
        <v>153</v>
      </c>
      <c r="D1648" t="s">
        <v>282</v>
      </c>
      <c r="E1648" t="s">
        <v>411</v>
      </c>
      <c r="F1648">
        <f>HYPERLINK("https://www.wikidata.org/wiki/Q33724121", "Q33724121")</f>
        <v>0</v>
      </c>
      <c r="G1648" t="s">
        <v>1278</v>
      </c>
      <c r="H1648" t="s">
        <v>5760</v>
      </c>
      <c r="I1648" t="s">
        <v>9376</v>
      </c>
      <c r="J1648" t="s">
        <v>12008</v>
      </c>
      <c r="K1648" t="s">
        <v>16411</v>
      </c>
      <c r="L1648">
        <f>HYPERLINK("https://www2.assemblee-nationale.fr/sycomore/fiche/(num_dept)/5421", "5421")</f>
        <v>0</v>
      </c>
      <c r="N1648">
        <f>HYPERLINK("https://www.wikidata.org/wiki/Q3068631", "Q3068631")</f>
        <v>0</v>
      </c>
      <c r="O1648" t="s">
        <v>20008</v>
      </c>
      <c r="P1648" t="s">
        <v>20404</v>
      </c>
      <c r="Q1648" t="s">
        <v>17699</v>
      </c>
      <c r="R1648" t="s">
        <v>411</v>
      </c>
      <c r="S1648">
        <v>1658</v>
      </c>
    </row>
    <row r="1649" spans="1:19">
      <c r="A1649" t="s">
        <v>21</v>
      </c>
      <c r="B1649" t="s">
        <v>148</v>
      </c>
      <c r="C1649" t="s">
        <v>153</v>
      </c>
      <c r="D1649" t="s">
        <v>282</v>
      </c>
      <c r="E1649" t="s">
        <v>411</v>
      </c>
      <c r="F1649">
        <f>HYPERLINK("https://www.wikidata.org/wiki/Q33724121", "Q33724121")</f>
        <v>0</v>
      </c>
      <c r="G1649" t="s">
        <v>1553</v>
      </c>
      <c r="H1649" t="s">
        <v>6244</v>
      </c>
      <c r="I1649" t="s">
        <v>9437</v>
      </c>
      <c r="J1649" t="s">
        <v>12267</v>
      </c>
      <c r="K1649" t="s">
        <v>16675</v>
      </c>
      <c r="L1649">
        <f>HYPERLINK("https://www2.assemblee-nationale.fr/sycomore/fiche/(num_dept)/5425", "5425")</f>
        <v>0</v>
      </c>
      <c r="N1649">
        <f>HYPERLINK("https://www.wikidata.org/wiki/Q3588669", "Q3588669")</f>
        <v>0</v>
      </c>
      <c r="O1649" t="s">
        <v>20000</v>
      </c>
      <c r="Q1649" t="s">
        <v>17699</v>
      </c>
      <c r="R1649" t="s">
        <v>411</v>
      </c>
      <c r="S1649">
        <v>1658</v>
      </c>
    </row>
    <row r="1650" spans="1:19">
      <c r="A1650" t="s">
        <v>21</v>
      </c>
      <c r="B1650" t="s">
        <v>148</v>
      </c>
      <c r="C1650" t="s">
        <v>153</v>
      </c>
      <c r="D1650" t="s">
        <v>282</v>
      </c>
      <c r="E1650" t="s">
        <v>411</v>
      </c>
      <c r="F1650">
        <f>HYPERLINK("https://www.wikidata.org/wiki/Q33724121", "Q33724121")</f>
        <v>0</v>
      </c>
      <c r="G1650" t="s">
        <v>1554</v>
      </c>
      <c r="H1650" t="s">
        <v>6245</v>
      </c>
      <c r="I1650" t="s">
        <v>5812</v>
      </c>
      <c r="J1650" t="s">
        <v>12268</v>
      </c>
      <c r="K1650" t="s">
        <v>16676</v>
      </c>
      <c r="L1650">
        <f>HYPERLINK("https://www2.assemblee-nationale.fr/sycomore/fiche/(num_dept)/5431", "5431")</f>
        <v>0</v>
      </c>
      <c r="N1650">
        <f>HYPERLINK("https://www.wikidata.org/wiki/Q365259", "Q365259")</f>
        <v>0</v>
      </c>
      <c r="O1650" t="s">
        <v>19955</v>
      </c>
      <c r="P1650" t="s">
        <v>20406</v>
      </c>
      <c r="Q1650" t="s">
        <v>17699</v>
      </c>
      <c r="R1650" t="s">
        <v>411</v>
      </c>
      <c r="S1650">
        <v>1658</v>
      </c>
    </row>
    <row r="1651" spans="1:19">
      <c r="A1651" t="s">
        <v>21</v>
      </c>
      <c r="B1651" t="s">
        <v>148</v>
      </c>
      <c r="C1651" t="s">
        <v>153</v>
      </c>
      <c r="D1651" t="s">
        <v>282</v>
      </c>
      <c r="E1651" t="s">
        <v>411</v>
      </c>
      <c r="F1651">
        <f>HYPERLINK("https://www.wikidata.org/wiki/Q33724121", "Q33724121")</f>
        <v>0</v>
      </c>
      <c r="G1651" t="s">
        <v>1555</v>
      </c>
      <c r="H1651" t="s">
        <v>6246</v>
      </c>
      <c r="I1651" t="s">
        <v>9446</v>
      </c>
      <c r="J1651" t="s">
        <v>12269</v>
      </c>
      <c r="K1651" t="s">
        <v>16677</v>
      </c>
      <c r="L1651">
        <f>HYPERLINK("https://www2.assemblee-nationale.fr/sycomore/fiche/(num_dept)/5436", "5436")</f>
        <v>0</v>
      </c>
      <c r="N1651">
        <f>HYPERLINK("https://www.wikidata.org/wiki/Q3371243", "Q3371243")</f>
        <v>0</v>
      </c>
      <c r="O1651" t="s">
        <v>19990</v>
      </c>
      <c r="P1651" t="s">
        <v>20404</v>
      </c>
      <c r="Q1651" t="s">
        <v>17699</v>
      </c>
      <c r="R1651" t="s">
        <v>411</v>
      </c>
      <c r="S1651">
        <v>1658</v>
      </c>
    </row>
    <row r="1652" spans="1:19">
      <c r="A1652" t="s">
        <v>21</v>
      </c>
      <c r="B1652" t="s">
        <v>148</v>
      </c>
      <c r="C1652" t="s">
        <v>153</v>
      </c>
      <c r="D1652" t="s">
        <v>282</v>
      </c>
      <c r="E1652" t="s">
        <v>411</v>
      </c>
      <c r="F1652">
        <f>HYPERLINK("https://www.wikidata.org/wiki/Q33724121", "Q33724121")</f>
        <v>0</v>
      </c>
      <c r="G1652" t="s">
        <v>1556</v>
      </c>
      <c r="H1652" t="s">
        <v>6247</v>
      </c>
      <c r="I1652" t="s">
        <v>6200</v>
      </c>
      <c r="J1652" t="s">
        <v>11412</v>
      </c>
      <c r="K1652" t="s">
        <v>16678</v>
      </c>
      <c r="L1652">
        <f>HYPERLINK("https://www2.assemblee-nationale.fr/sycomore/fiche/(num_dept)/5455", "5455")</f>
        <v>0</v>
      </c>
      <c r="N1652">
        <f>HYPERLINK("https://www.wikidata.org/wiki/Q13080904", "Q13080904")</f>
        <v>0</v>
      </c>
      <c r="O1652" t="s">
        <v>19969</v>
      </c>
      <c r="P1652" t="s">
        <v>20404</v>
      </c>
      <c r="Q1652" t="s">
        <v>17699</v>
      </c>
      <c r="R1652" t="s">
        <v>411</v>
      </c>
      <c r="S1652">
        <v>1658</v>
      </c>
    </row>
    <row r="1653" spans="1:19">
      <c r="A1653" t="s">
        <v>21</v>
      </c>
      <c r="B1653" t="s">
        <v>148</v>
      </c>
      <c r="C1653" t="s">
        <v>153</v>
      </c>
      <c r="D1653" t="s">
        <v>282</v>
      </c>
      <c r="E1653" t="s">
        <v>411</v>
      </c>
      <c r="F1653">
        <f>HYPERLINK("https://www.wikidata.org/wiki/Q33724121", "Q33724121")</f>
        <v>0</v>
      </c>
      <c r="G1653" t="s">
        <v>1279</v>
      </c>
      <c r="H1653" t="s">
        <v>6002</v>
      </c>
      <c r="I1653" t="s">
        <v>6495</v>
      </c>
      <c r="J1653" t="s">
        <v>12009</v>
      </c>
      <c r="K1653" t="s">
        <v>16412</v>
      </c>
      <c r="L1653">
        <f>HYPERLINK("https://www2.assemblee-nationale.fr/sycomore/fiche/(num_dept)/5456", "5456")</f>
        <v>0</v>
      </c>
      <c r="M1653">
        <f>HYPERLINK("https://www.senat.fr/senateur-3eme-republique/mourier_louis0823r3.html", "mourier_louis0823r3")</f>
        <v>0</v>
      </c>
      <c r="N1653">
        <f>HYPERLINK("https://www.wikidata.org/wiki/Q1871877", "Q1871877")</f>
        <v>0</v>
      </c>
      <c r="O1653" t="s">
        <v>20014</v>
      </c>
      <c r="P1653" t="s">
        <v>20418</v>
      </c>
      <c r="Q1653" t="s">
        <v>17699</v>
      </c>
      <c r="R1653" t="s">
        <v>411</v>
      </c>
      <c r="S1653">
        <v>1658</v>
      </c>
    </row>
    <row r="1654" spans="1:19">
      <c r="A1654" t="s">
        <v>21</v>
      </c>
      <c r="B1654" t="s">
        <v>148</v>
      </c>
      <c r="C1654" t="s">
        <v>153</v>
      </c>
      <c r="D1654" t="s">
        <v>282</v>
      </c>
      <c r="E1654" t="s">
        <v>411</v>
      </c>
      <c r="F1654">
        <f>HYPERLINK("https://www.wikidata.org/wiki/Q33724121", "Q33724121")</f>
        <v>0</v>
      </c>
      <c r="G1654" t="s">
        <v>741</v>
      </c>
      <c r="H1654" t="s">
        <v>5499</v>
      </c>
      <c r="I1654" t="s">
        <v>9476</v>
      </c>
      <c r="J1654" t="s">
        <v>11490</v>
      </c>
      <c r="K1654" t="s">
        <v>15892</v>
      </c>
      <c r="L1654">
        <f>HYPERLINK("https://www2.assemblee-nationale.fr/sycomore/fiche/(num_dept)/5463", "5463")</f>
        <v>0</v>
      </c>
      <c r="M1654">
        <f>HYPERLINK("https://www.senat.fr/senateur-3eme-republique/de_moustier_rene0688r3.html", "de_moustier_rene0688r3")</f>
        <v>0</v>
      </c>
      <c r="N1654">
        <f>HYPERLINK("https://www.wikidata.org/wiki/Q3427071", "Q3427071")</f>
        <v>0</v>
      </c>
      <c r="O1654" t="s">
        <v>19973</v>
      </c>
      <c r="P1654" t="s">
        <v>20416</v>
      </c>
      <c r="Q1654" t="s">
        <v>17699</v>
      </c>
      <c r="R1654" t="s">
        <v>21392</v>
      </c>
      <c r="S1654">
        <v>431</v>
      </c>
    </row>
    <row r="1655" spans="1:19">
      <c r="A1655" t="s">
        <v>21</v>
      </c>
      <c r="B1655" t="s">
        <v>148</v>
      </c>
      <c r="C1655" t="s">
        <v>153</v>
      </c>
      <c r="D1655" t="s">
        <v>282</v>
      </c>
      <c r="E1655" t="s">
        <v>411</v>
      </c>
      <c r="F1655">
        <f>HYPERLINK("https://www.wikidata.org/wiki/Q33724121", "Q33724121")</f>
        <v>0</v>
      </c>
      <c r="G1655" t="s">
        <v>1336</v>
      </c>
      <c r="H1655" t="s">
        <v>6054</v>
      </c>
      <c r="I1655" t="s">
        <v>9593</v>
      </c>
      <c r="J1655" t="s">
        <v>12063</v>
      </c>
      <c r="K1655" t="s">
        <v>16465</v>
      </c>
      <c r="L1655">
        <f>HYPERLINK("https://www2.assemblee-nationale.fr/sycomore/fiche/(num_dept)/5466", "5466")</f>
        <v>0</v>
      </c>
      <c r="N1655">
        <f>HYPERLINK("https://www.wikidata.org/wiki/Q3293837", "Q3293837")</f>
        <v>0</v>
      </c>
      <c r="O1655" t="s">
        <v>19965</v>
      </c>
      <c r="P1655" t="s">
        <v>20404</v>
      </c>
      <c r="Q1655" t="s">
        <v>17699</v>
      </c>
      <c r="R1655" t="s">
        <v>411</v>
      </c>
      <c r="S1655">
        <v>1658</v>
      </c>
    </row>
    <row r="1656" spans="1:19">
      <c r="A1656" t="s">
        <v>21</v>
      </c>
      <c r="B1656" t="s">
        <v>148</v>
      </c>
      <c r="C1656" t="s">
        <v>153</v>
      </c>
      <c r="D1656" t="s">
        <v>282</v>
      </c>
      <c r="E1656" t="s">
        <v>411</v>
      </c>
      <c r="F1656">
        <f>HYPERLINK("https://www.wikidata.org/wiki/Q33724121", "Q33724121")</f>
        <v>0</v>
      </c>
      <c r="G1656" t="s">
        <v>1557</v>
      </c>
      <c r="H1656" t="s">
        <v>6248</v>
      </c>
      <c r="I1656" t="s">
        <v>9465</v>
      </c>
      <c r="J1656" t="s">
        <v>12270</v>
      </c>
      <c r="K1656" t="s">
        <v>16679</v>
      </c>
      <c r="L1656">
        <f>HYPERLINK("https://www2.assemblee-nationale.fr/sycomore/fiche/(num_dept)/5478", "5478")</f>
        <v>0</v>
      </c>
      <c r="M1656">
        <f>HYPERLINK("https://www.senat.fr/senateur-3eme-republique/muller_eugene1101r3.html", "muller_eugene1101r3")</f>
        <v>0</v>
      </c>
      <c r="N1656">
        <f>HYPERLINK("https://www.wikidata.org/wiki/Q3060060", "Q3060060")</f>
        <v>0</v>
      </c>
      <c r="O1656" t="s">
        <v>20048</v>
      </c>
      <c r="P1656" t="s">
        <v>20416</v>
      </c>
      <c r="Q1656" t="s">
        <v>17699</v>
      </c>
      <c r="R1656" t="s">
        <v>411</v>
      </c>
      <c r="S1656">
        <v>1658</v>
      </c>
    </row>
    <row r="1657" spans="1:19">
      <c r="A1657" t="s">
        <v>21</v>
      </c>
      <c r="B1657" t="s">
        <v>148</v>
      </c>
      <c r="C1657" t="s">
        <v>153</v>
      </c>
      <c r="D1657" t="s">
        <v>282</v>
      </c>
      <c r="E1657" t="s">
        <v>411</v>
      </c>
      <c r="F1657">
        <f>HYPERLINK("https://www.wikidata.org/wiki/Q33724121", "Q33724121")</f>
        <v>0</v>
      </c>
      <c r="G1657" t="s">
        <v>1558</v>
      </c>
      <c r="H1657" t="s">
        <v>6249</v>
      </c>
      <c r="I1657" t="s">
        <v>9841</v>
      </c>
      <c r="J1657" t="s">
        <v>12271</v>
      </c>
      <c r="K1657" t="s">
        <v>16680</v>
      </c>
      <c r="L1657">
        <f>HYPERLINK("https://www2.assemblee-nationale.fr/sycomore/fiche/(num_dept)/5487", "5487")</f>
        <v>0</v>
      </c>
      <c r="N1657">
        <f>HYPERLINK("https://www.wikidata.org/wiki/Q3179490", "Q3179490")</f>
        <v>0</v>
      </c>
      <c r="O1657" t="s">
        <v>19974</v>
      </c>
      <c r="P1657" t="s">
        <v>20409</v>
      </c>
      <c r="Q1657" t="s">
        <v>17699</v>
      </c>
      <c r="R1657" t="s">
        <v>411</v>
      </c>
      <c r="S1657">
        <v>1658</v>
      </c>
    </row>
    <row r="1658" spans="1:19">
      <c r="A1658" t="s">
        <v>21</v>
      </c>
      <c r="B1658" t="s">
        <v>148</v>
      </c>
      <c r="C1658" t="s">
        <v>153</v>
      </c>
      <c r="D1658" t="s">
        <v>282</v>
      </c>
      <c r="E1658" t="s">
        <v>411</v>
      </c>
      <c r="F1658">
        <f>HYPERLINK("https://www.wikidata.org/wiki/Q33724121", "Q33724121")</f>
        <v>0</v>
      </c>
      <c r="G1658" t="s">
        <v>1281</v>
      </c>
      <c r="H1658" t="s">
        <v>6003</v>
      </c>
      <c r="I1658" t="s">
        <v>9734</v>
      </c>
      <c r="J1658" t="s">
        <v>12011</v>
      </c>
      <c r="K1658" t="s">
        <v>16414</v>
      </c>
      <c r="L1658">
        <f>HYPERLINK("https://www2.assemblee-nationale.fr/sycomore/fiche/(num_dept)/5499", "5499")</f>
        <v>0</v>
      </c>
      <c r="N1658">
        <f>HYPERLINK("https://www.wikidata.org/wiki/Q3188821", "Q3188821")</f>
        <v>0</v>
      </c>
      <c r="O1658" t="s">
        <v>20044</v>
      </c>
      <c r="P1658" t="s">
        <v>20404</v>
      </c>
      <c r="Q1658" t="s">
        <v>17699</v>
      </c>
      <c r="R1658" t="s">
        <v>411</v>
      </c>
      <c r="S1658">
        <v>1658</v>
      </c>
    </row>
    <row r="1659" spans="1:19">
      <c r="A1659" t="s">
        <v>21</v>
      </c>
      <c r="B1659" t="s">
        <v>148</v>
      </c>
      <c r="C1659" t="s">
        <v>153</v>
      </c>
      <c r="D1659" t="s">
        <v>282</v>
      </c>
      <c r="E1659" t="s">
        <v>411</v>
      </c>
      <c r="F1659">
        <f>HYPERLINK("https://www.wikidata.org/wiki/Q33724121", "Q33724121")</f>
        <v>0</v>
      </c>
      <c r="G1659" t="s">
        <v>1013</v>
      </c>
      <c r="H1659" t="s">
        <v>5763</v>
      </c>
      <c r="I1659" t="s">
        <v>6495</v>
      </c>
      <c r="J1659" t="s">
        <v>11750</v>
      </c>
      <c r="K1659" t="s">
        <v>16153</v>
      </c>
      <c r="L1659">
        <f>HYPERLINK("https://www2.assemblee-nationale.fr/sycomore/fiche/(num_dept)/5502", "5502")</f>
        <v>0</v>
      </c>
      <c r="N1659">
        <f>HYPERLINK("https://www.wikidata.org/wiki/Q3262775", "Q3262775")</f>
        <v>0</v>
      </c>
      <c r="O1659" t="s">
        <v>19961</v>
      </c>
      <c r="P1659" t="s">
        <v>20418</v>
      </c>
      <c r="Q1659" t="s">
        <v>17699</v>
      </c>
      <c r="R1659" t="s">
        <v>19550</v>
      </c>
      <c r="S1659">
        <v>344</v>
      </c>
    </row>
    <row r="1660" spans="1:19">
      <c r="A1660" t="s">
        <v>21</v>
      </c>
      <c r="B1660" t="s">
        <v>148</v>
      </c>
      <c r="C1660" t="s">
        <v>153</v>
      </c>
      <c r="D1660" t="s">
        <v>282</v>
      </c>
      <c r="E1660" t="s">
        <v>411</v>
      </c>
      <c r="F1660">
        <f>HYPERLINK("https://www.wikidata.org/wiki/Q33724121", "Q33724121")</f>
        <v>0</v>
      </c>
      <c r="G1660" t="s">
        <v>1014</v>
      </c>
      <c r="H1660" t="s">
        <v>5764</v>
      </c>
      <c r="I1660" t="s">
        <v>9391</v>
      </c>
      <c r="J1660" t="s">
        <v>11751</v>
      </c>
      <c r="K1660" t="s">
        <v>16154</v>
      </c>
      <c r="L1660">
        <f>HYPERLINK("https://www2.assemblee-nationale.fr/sycomore/fiche/(num_dept)/5521", "5521")</f>
        <v>0</v>
      </c>
      <c r="N1660">
        <f>HYPERLINK("https://www.wikidata.org/wiki/Q16026182", "Q16026182")</f>
        <v>0</v>
      </c>
      <c r="O1660" t="s">
        <v>19969</v>
      </c>
      <c r="P1660" t="s">
        <v>20419</v>
      </c>
      <c r="Q1660" t="s">
        <v>17699</v>
      </c>
      <c r="R1660" t="s">
        <v>411</v>
      </c>
      <c r="S1660">
        <v>1658</v>
      </c>
    </row>
    <row r="1661" spans="1:19">
      <c r="A1661" t="s">
        <v>21</v>
      </c>
      <c r="B1661" t="s">
        <v>148</v>
      </c>
      <c r="C1661" t="s">
        <v>153</v>
      </c>
      <c r="D1661" t="s">
        <v>282</v>
      </c>
      <c r="E1661" t="s">
        <v>411</v>
      </c>
      <c r="F1661">
        <f>HYPERLINK("https://www.wikidata.org/wiki/Q33724121", "Q33724121")</f>
        <v>0</v>
      </c>
      <c r="G1661" t="s">
        <v>744</v>
      </c>
      <c r="H1661" t="s">
        <v>5502</v>
      </c>
      <c r="I1661" t="s">
        <v>9375</v>
      </c>
      <c r="J1661" t="s">
        <v>11493</v>
      </c>
      <c r="K1661" t="s">
        <v>15895</v>
      </c>
      <c r="L1661">
        <f>HYPERLINK("https://www2.assemblee-nationale.fr/sycomore/fiche/(num_dept)/5529", "5529")</f>
        <v>0</v>
      </c>
      <c r="M1661">
        <f>HYPERLINK("https://www.senat.fr/senateur-3eme-republique/neron_edouard0523r3.html", "neron_edouard0523r3")</f>
        <v>0</v>
      </c>
      <c r="N1661">
        <f>HYPERLINK("https://www.wikidata.org/wiki/Q3579976", "Q3579976")</f>
        <v>0</v>
      </c>
      <c r="O1661" t="s">
        <v>19993</v>
      </c>
      <c r="P1661" t="s">
        <v>20416</v>
      </c>
      <c r="Q1661" t="s">
        <v>17699</v>
      </c>
      <c r="R1661" t="s">
        <v>411</v>
      </c>
      <c r="S1661">
        <v>1658</v>
      </c>
    </row>
    <row r="1662" spans="1:19">
      <c r="A1662" t="s">
        <v>21</v>
      </c>
      <c r="B1662" t="s">
        <v>148</v>
      </c>
      <c r="C1662" t="s">
        <v>153</v>
      </c>
      <c r="D1662" t="s">
        <v>282</v>
      </c>
      <c r="E1662" t="s">
        <v>411</v>
      </c>
      <c r="F1662">
        <f>HYPERLINK("https://www.wikidata.org/wiki/Q33724121", "Q33724121")</f>
        <v>0</v>
      </c>
      <c r="G1662" t="s">
        <v>1284</v>
      </c>
      <c r="H1662" t="s">
        <v>6006</v>
      </c>
      <c r="I1662" t="s">
        <v>9727</v>
      </c>
      <c r="J1662" t="s">
        <v>12014</v>
      </c>
      <c r="K1662" t="s">
        <v>16417</v>
      </c>
      <c r="L1662">
        <f>HYPERLINK("https://www2.assemblee-nationale.fr/sycomore/fiche/(num_dept)/5538", "5538")</f>
        <v>0</v>
      </c>
      <c r="N1662">
        <f>HYPERLINK("https://www.wikidata.org/wiki/Q16026189", "Q16026189")</f>
        <v>0</v>
      </c>
      <c r="O1662" t="s">
        <v>19997</v>
      </c>
      <c r="P1662" t="s">
        <v>20416</v>
      </c>
      <c r="Q1662" t="s">
        <v>17699</v>
      </c>
      <c r="R1662" t="s">
        <v>411</v>
      </c>
      <c r="S1662">
        <v>1658</v>
      </c>
    </row>
    <row r="1663" spans="1:19">
      <c r="A1663" t="s">
        <v>21</v>
      </c>
      <c r="B1663" t="s">
        <v>148</v>
      </c>
      <c r="C1663" t="s">
        <v>153</v>
      </c>
      <c r="D1663" t="s">
        <v>282</v>
      </c>
      <c r="E1663" t="s">
        <v>411</v>
      </c>
      <c r="F1663">
        <f>HYPERLINK("https://www.wikidata.org/wiki/Q33724121", "Q33724121")</f>
        <v>0</v>
      </c>
      <c r="G1663" t="s">
        <v>1285</v>
      </c>
      <c r="H1663" t="s">
        <v>6007</v>
      </c>
      <c r="I1663" t="s">
        <v>7642</v>
      </c>
      <c r="J1663" t="s">
        <v>12015</v>
      </c>
      <c r="K1663" t="s">
        <v>16418</v>
      </c>
      <c r="L1663">
        <f>HYPERLINK("https://www2.assemblee-nationale.fr/sycomore/fiche/(num_dept)/5540", "5540")</f>
        <v>0</v>
      </c>
      <c r="N1663">
        <f>HYPERLINK("https://www.wikidata.org/wiki/Q16026191", "Q16026191")</f>
        <v>0</v>
      </c>
      <c r="O1663" t="s">
        <v>19978</v>
      </c>
      <c r="P1663" t="s">
        <v>20418</v>
      </c>
      <c r="Q1663" t="s">
        <v>17699</v>
      </c>
      <c r="R1663" t="s">
        <v>411</v>
      </c>
      <c r="S1663">
        <v>1658</v>
      </c>
    </row>
    <row r="1664" spans="1:19">
      <c r="A1664" t="s">
        <v>21</v>
      </c>
      <c r="B1664" t="s">
        <v>148</v>
      </c>
      <c r="C1664" t="s">
        <v>153</v>
      </c>
      <c r="D1664" t="s">
        <v>282</v>
      </c>
      <c r="E1664" t="s">
        <v>411</v>
      </c>
      <c r="F1664">
        <f>HYPERLINK("https://www.wikidata.org/wiki/Q33724121", "Q33724121")</f>
        <v>0</v>
      </c>
      <c r="G1664" t="s">
        <v>1559</v>
      </c>
      <c r="H1664" t="s">
        <v>6250</v>
      </c>
      <c r="I1664" t="s">
        <v>9476</v>
      </c>
      <c r="J1664" t="s">
        <v>12272</v>
      </c>
      <c r="K1664" t="s">
        <v>15866</v>
      </c>
      <c r="L1664">
        <f>HYPERLINK("https://www2.assemblee-nationale.fr/sycomore/fiche/(num_dept)/5542", "5542")</f>
        <v>0</v>
      </c>
      <c r="N1664">
        <f>HYPERLINK("https://www.wikidata.org/wiki/Q3426684", "Q3426684")</f>
        <v>0</v>
      </c>
      <c r="O1664" t="s">
        <v>19986</v>
      </c>
      <c r="P1664" t="s">
        <v>20404</v>
      </c>
      <c r="Q1664" t="s">
        <v>17699</v>
      </c>
      <c r="R1664" t="s">
        <v>411</v>
      </c>
      <c r="S1664">
        <v>1658</v>
      </c>
    </row>
    <row r="1665" spans="1:19">
      <c r="A1665" t="s">
        <v>21</v>
      </c>
      <c r="B1665" t="s">
        <v>148</v>
      </c>
      <c r="C1665" t="s">
        <v>153</v>
      </c>
      <c r="D1665" t="s">
        <v>282</v>
      </c>
      <c r="E1665" t="s">
        <v>411</v>
      </c>
      <c r="F1665">
        <f>HYPERLINK("https://www.wikidata.org/wiki/Q33724121", "Q33724121")</f>
        <v>0</v>
      </c>
      <c r="G1665" t="s">
        <v>1560</v>
      </c>
      <c r="H1665" t="s">
        <v>6251</v>
      </c>
      <c r="I1665" t="s">
        <v>9499</v>
      </c>
      <c r="J1665" t="s">
        <v>12273</v>
      </c>
      <c r="K1665" t="s">
        <v>16681</v>
      </c>
      <c r="L1665">
        <f>HYPERLINK("https://www2.assemblee-nationale.fr/sycomore/fiche/(num_dept)/5557", "5557")</f>
        <v>0</v>
      </c>
      <c r="N1665">
        <f>HYPERLINK("https://www.wikidata.org/wiki/Q16026201", "Q16026201")</f>
        <v>0</v>
      </c>
      <c r="O1665" t="s">
        <v>19982</v>
      </c>
      <c r="P1665" t="s">
        <v>20417</v>
      </c>
      <c r="Q1665" t="s">
        <v>17699</v>
      </c>
      <c r="R1665" t="s">
        <v>411</v>
      </c>
      <c r="S1665">
        <v>1658</v>
      </c>
    </row>
    <row r="1666" spans="1:19">
      <c r="A1666" t="s">
        <v>21</v>
      </c>
      <c r="B1666" t="s">
        <v>148</v>
      </c>
      <c r="C1666" t="s">
        <v>153</v>
      </c>
      <c r="D1666" t="s">
        <v>282</v>
      </c>
      <c r="E1666" t="s">
        <v>411</v>
      </c>
      <c r="F1666">
        <f>HYPERLINK("https://www.wikidata.org/wiki/Q33724121", "Q33724121")</f>
        <v>0</v>
      </c>
      <c r="G1666" t="s">
        <v>1561</v>
      </c>
      <c r="H1666" t="s">
        <v>6252</v>
      </c>
      <c r="I1666" t="s">
        <v>6175</v>
      </c>
      <c r="J1666" t="s">
        <v>12274</v>
      </c>
      <c r="K1666" t="s">
        <v>16682</v>
      </c>
      <c r="L1666">
        <f>HYPERLINK("https://www2.assemblee-nationale.fr/sycomore/fiche/(num_dept)/5560", "5560")</f>
        <v>0</v>
      </c>
      <c r="N1666">
        <f>HYPERLINK("https://www.wikidata.org/wiki/Q16026204", "Q16026204")</f>
        <v>0</v>
      </c>
      <c r="O1666" t="s">
        <v>19981</v>
      </c>
      <c r="P1666" t="s">
        <v>20412</v>
      </c>
      <c r="Q1666" t="s">
        <v>17699</v>
      </c>
      <c r="R1666" t="s">
        <v>16682</v>
      </c>
      <c r="S1666">
        <v>1504</v>
      </c>
    </row>
    <row r="1667" spans="1:19">
      <c r="A1667" t="s">
        <v>21</v>
      </c>
      <c r="B1667" t="s">
        <v>148</v>
      </c>
      <c r="C1667" t="s">
        <v>153</v>
      </c>
      <c r="D1667" t="s">
        <v>282</v>
      </c>
      <c r="E1667" t="s">
        <v>411</v>
      </c>
      <c r="F1667">
        <f>HYPERLINK("https://www.wikidata.org/wiki/Q33724121", "Q33724121")</f>
        <v>0</v>
      </c>
      <c r="G1667" t="s">
        <v>1562</v>
      </c>
      <c r="H1667" t="s">
        <v>6253</v>
      </c>
      <c r="I1667" t="s">
        <v>9458</v>
      </c>
      <c r="J1667" t="s">
        <v>12275</v>
      </c>
      <c r="K1667" t="s">
        <v>16683</v>
      </c>
      <c r="L1667">
        <f>HYPERLINK("https://www2.assemblee-nationale.fr/sycomore/fiche/(num_dept)/5590", "5590")</f>
        <v>0</v>
      </c>
      <c r="N1667">
        <f>HYPERLINK("https://www.wikidata.org/wiki/Q2835374", "Q2835374")</f>
        <v>0</v>
      </c>
      <c r="O1667" t="s">
        <v>20048</v>
      </c>
      <c r="P1667" t="s">
        <v>20416</v>
      </c>
      <c r="Q1667" t="s">
        <v>17699</v>
      </c>
      <c r="R1667" t="s">
        <v>411</v>
      </c>
      <c r="S1667">
        <v>1658</v>
      </c>
    </row>
    <row r="1668" spans="1:19">
      <c r="A1668" t="s">
        <v>21</v>
      </c>
      <c r="B1668" t="s">
        <v>148</v>
      </c>
      <c r="C1668" t="s">
        <v>153</v>
      </c>
      <c r="D1668" t="s">
        <v>282</v>
      </c>
      <c r="E1668" t="s">
        <v>411</v>
      </c>
      <c r="F1668">
        <f>HYPERLINK("https://www.wikidata.org/wiki/Q33724121", "Q33724121")</f>
        <v>0</v>
      </c>
      <c r="G1668" t="s">
        <v>1286</v>
      </c>
      <c r="H1668" t="s">
        <v>6008</v>
      </c>
      <c r="I1668" t="s">
        <v>6200</v>
      </c>
      <c r="J1668" t="s">
        <v>12016</v>
      </c>
      <c r="K1668" t="s">
        <v>16419</v>
      </c>
      <c r="L1668">
        <f>HYPERLINK("https://www2.assemblee-nationale.fr/sycomore/fiche/(num_dept)/5624", "5624")</f>
        <v>0</v>
      </c>
      <c r="N1668">
        <f>HYPERLINK("https://www.wikidata.org/wiki/Q3173799", "Q3173799")</f>
        <v>0</v>
      </c>
      <c r="O1668" t="s">
        <v>20024</v>
      </c>
      <c r="P1668" t="s">
        <v>20417</v>
      </c>
      <c r="Q1668" t="s">
        <v>17699</v>
      </c>
      <c r="R1668" t="s">
        <v>411</v>
      </c>
      <c r="S1668">
        <v>1658</v>
      </c>
    </row>
    <row r="1669" spans="1:19">
      <c r="A1669" t="s">
        <v>21</v>
      </c>
      <c r="B1669" t="s">
        <v>148</v>
      </c>
      <c r="C1669" t="s">
        <v>153</v>
      </c>
      <c r="D1669" t="s">
        <v>282</v>
      </c>
      <c r="E1669" t="s">
        <v>411</v>
      </c>
      <c r="F1669">
        <f>HYPERLINK("https://www.wikidata.org/wiki/Q33724121", "Q33724121")</f>
        <v>0</v>
      </c>
      <c r="G1669" t="s">
        <v>1563</v>
      </c>
      <c r="H1669" t="s">
        <v>6254</v>
      </c>
      <c r="I1669" t="s">
        <v>9457</v>
      </c>
      <c r="J1669" t="s">
        <v>12276</v>
      </c>
      <c r="K1669" t="s">
        <v>16684</v>
      </c>
      <c r="L1669">
        <f>HYPERLINK("https://www2.assemblee-nationale.fr/sycomore/fiche/(num_dept)/5627", "5627")</f>
        <v>0</v>
      </c>
      <c r="N1669">
        <f>HYPERLINK("https://www.wikidata.org/wiki/Q16026237", "Q16026237")</f>
        <v>0</v>
      </c>
      <c r="O1669" t="s">
        <v>19992</v>
      </c>
      <c r="P1669" t="s">
        <v>20416</v>
      </c>
      <c r="Q1669" t="s">
        <v>17699</v>
      </c>
      <c r="R1669" t="s">
        <v>16684</v>
      </c>
      <c r="S1669">
        <v>1324</v>
      </c>
    </row>
    <row r="1670" spans="1:19">
      <c r="A1670" t="s">
        <v>21</v>
      </c>
      <c r="B1670" t="s">
        <v>148</v>
      </c>
      <c r="C1670" t="s">
        <v>153</v>
      </c>
      <c r="D1670" t="s">
        <v>282</v>
      </c>
      <c r="E1670" t="s">
        <v>411</v>
      </c>
      <c r="F1670">
        <f>HYPERLINK("https://www.wikidata.org/wiki/Q33724121", "Q33724121")</f>
        <v>0</v>
      </c>
      <c r="G1670" t="s">
        <v>1564</v>
      </c>
      <c r="H1670" t="s">
        <v>6255</v>
      </c>
      <c r="I1670" t="s">
        <v>6584</v>
      </c>
      <c r="J1670" t="s">
        <v>12277</v>
      </c>
      <c r="K1670" t="s">
        <v>16685</v>
      </c>
      <c r="L1670">
        <f>HYPERLINK("https://www2.assemblee-nationale.fr/sycomore/fiche/(num_dept)/5637", "5637")</f>
        <v>0</v>
      </c>
      <c r="M1670">
        <f>HYPERLINK("https://www.senat.fr/senateur-3eme-republique/ouvre_albert1607r3.html", "ouvre_albert1607r3")</f>
        <v>0</v>
      </c>
      <c r="N1670">
        <f>HYPERLINK("https://www.wikidata.org/wiki/Q2831442", "Q2831442")</f>
        <v>0</v>
      </c>
      <c r="O1670" t="s">
        <v>20026</v>
      </c>
      <c r="P1670" t="s">
        <v>20416</v>
      </c>
      <c r="Q1670" t="s">
        <v>17699</v>
      </c>
      <c r="R1670" t="s">
        <v>411</v>
      </c>
      <c r="S1670">
        <v>1658</v>
      </c>
    </row>
    <row r="1671" spans="1:19">
      <c r="A1671" t="s">
        <v>21</v>
      </c>
      <c r="B1671" t="s">
        <v>148</v>
      </c>
      <c r="C1671" t="s">
        <v>153</v>
      </c>
      <c r="D1671" t="s">
        <v>282</v>
      </c>
      <c r="E1671" t="s">
        <v>411</v>
      </c>
      <c r="F1671">
        <f>HYPERLINK("https://www.wikidata.org/wiki/Q33724121", "Q33724121")</f>
        <v>0</v>
      </c>
      <c r="G1671" t="s">
        <v>1017</v>
      </c>
      <c r="H1671" t="s">
        <v>5767</v>
      </c>
      <c r="I1671" t="s">
        <v>9388</v>
      </c>
      <c r="J1671" t="s">
        <v>11754</v>
      </c>
      <c r="K1671" t="s">
        <v>16157</v>
      </c>
      <c r="L1671">
        <f>HYPERLINK("https://www2.assemblee-nationale.fr/sycomore/fiche/(num_dept)/5653", "5653")</f>
        <v>0</v>
      </c>
      <c r="N1671">
        <f>HYPERLINK("https://www.wikidata.org/wiki/Q315434", "Q315434")</f>
        <v>0</v>
      </c>
      <c r="O1671" t="s">
        <v>19969</v>
      </c>
      <c r="P1671" t="s">
        <v>20406</v>
      </c>
      <c r="Q1671" t="s">
        <v>17699</v>
      </c>
      <c r="R1671" t="s">
        <v>411</v>
      </c>
      <c r="S1671">
        <v>1658</v>
      </c>
    </row>
    <row r="1672" spans="1:19">
      <c r="A1672" t="s">
        <v>21</v>
      </c>
      <c r="B1672" t="s">
        <v>148</v>
      </c>
      <c r="C1672" t="s">
        <v>153</v>
      </c>
      <c r="D1672" t="s">
        <v>282</v>
      </c>
      <c r="E1672" t="s">
        <v>411</v>
      </c>
      <c r="F1672">
        <f>HYPERLINK("https://www.wikidata.org/wiki/Q33724121", "Q33724121")</f>
        <v>0</v>
      </c>
      <c r="G1672" t="s">
        <v>1190</v>
      </c>
      <c r="H1672" t="s">
        <v>5920</v>
      </c>
      <c r="I1672" t="s">
        <v>6585</v>
      </c>
      <c r="J1672" t="s">
        <v>11923</v>
      </c>
      <c r="K1672" t="s">
        <v>16324</v>
      </c>
      <c r="L1672">
        <f>HYPERLINK("https://www2.assemblee-nationale.fr/sycomore/fiche/(num_dept)/5654", "5654")</f>
        <v>0</v>
      </c>
      <c r="N1672">
        <f>HYPERLINK("https://www.wikidata.org/wiki/Q2848387", "Q2848387")</f>
        <v>0</v>
      </c>
      <c r="O1672" t="s">
        <v>19989</v>
      </c>
      <c r="P1672" t="s">
        <v>20417</v>
      </c>
      <c r="Q1672" t="s">
        <v>17699</v>
      </c>
      <c r="R1672" t="s">
        <v>411</v>
      </c>
      <c r="S1672">
        <v>1658</v>
      </c>
    </row>
    <row r="1673" spans="1:19">
      <c r="A1673" t="s">
        <v>21</v>
      </c>
      <c r="B1673" t="s">
        <v>148</v>
      </c>
      <c r="C1673" t="s">
        <v>153</v>
      </c>
      <c r="D1673" t="s">
        <v>282</v>
      </c>
      <c r="E1673" t="s">
        <v>411</v>
      </c>
      <c r="F1673">
        <f>HYPERLINK("https://www.wikidata.org/wiki/Q33724121", "Q33724121")</f>
        <v>0</v>
      </c>
      <c r="G1673" t="s">
        <v>1288</v>
      </c>
      <c r="H1673" t="s">
        <v>6010</v>
      </c>
      <c r="I1673" t="s">
        <v>6200</v>
      </c>
      <c r="J1673" t="s">
        <v>12018</v>
      </c>
      <c r="K1673" t="s">
        <v>16421</v>
      </c>
      <c r="L1673">
        <f>HYPERLINK("https://www2.assemblee-nationale.fr/sycomore/fiche/(num_dept)/5693", "5693")</f>
        <v>0</v>
      </c>
      <c r="N1673">
        <f>HYPERLINK("https://www.wikidata.org/wiki/Q16026269", "Q16026269")</f>
        <v>0</v>
      </c>
      <c r="O1673" t="s">
        <v>19977</v>
      </c>
      <c r="P1673" t="s">
        <v>20404</v>
      </c>
      <c r="Q1673" t="s">
        <v>17699</v>
      </c>
      <c r="R1673" t="s">
        <v>411</v>
      </c>
      <c r="S1673">
        <v>1658</v>
      </c>
    </row>
    <row r="1674" spans="1:19">
      <c r="A1674" t="s">
        <v>21</v>
      </c>
      <c r="B1674" t="s">
        <v>148</v>
      </c>
      <c r="C1674" t="s">
        <v>153</v>
      </c>
      <c r="D1674" t="s">
        <v>282</v>
      </c>
      <c r="E1674" t="s">
        <v>411</v>
      </c>
      <c r="F1674">
        <f>HYPERLINK("https://www.wikidata.org/wiki/Q33724121", "Q33724121")</f>
        <v>0</v>
      </c>
      <c r="G1674" t="s">
        <v>1018</v>
      </c>
      <c r="H1674" t="s">
        <v>5768</v>
      </c>
      <c r="I1674" t="s">
        <v>5528</v>
      </c>
      <c r="J1674" t="s">
        <v>11755</v>
      </c>
      <c r="K1674" t="s">
        <v>16032</v>
      </c>
      <c r="L1674">
        <f>HYPERLINK("https://www2.assemblee-nationale.fr/sycomore/fiche/(num_dept)/5699", "5699")</f>
        <v>0</v>
      </c>
      <c r="M1674">
        <f>HYPERLINK("https://www.senat.fr/senateur-3eme-republique/pasqual_leon1381r3.html", "pasqual_leon1381r3")</f>
        <v>0</v>
      </c>
      <c r="N1674">
        <f>HYPERLINK("https://www.wikidata.org/wiki/Q3271250", "Q3271250")</f>
        <v>0</v>
      </c>
      <c r="O1674" t="s">
        <v>20013</v>
      </c>
      <c r="P1674" t="s">
        <v>20418</v>
      </c>
      <c r="Q1674" t="s">
        <v>17699</v>
      </c>
      <c r="R1674" t="s">
        <v>21391</v>
      </c>
      <c r="S1674">
        <v>1536</v>
      </c>
    </row>
    <row r="1675" spans="1:19">
      <c r="A1675" t="s">
        <v>21</v>
      </c>
      <c r="B1675" t="s">
        <v>148</v>
      </c>
      <c r="C1675" t="s">
        <v>153</v>
      </c>
      <c r="D1675" t="s">
        <v>282</v>
      </c>
      <c r="E1675" t="s">
        <v>411</v>
      </c>
      <c r="F1675">
        <f>HYPERLINK("https://www.wikidata.org/wiki/Q33724121", "Q33724121")</f>
        <v>0</v>
      </c>
      <c r="G1675" t="s">
        <v>1019</v>
      </c>
      <c r="H1675" t="s">
        <v>5769</v>
      </c>
      <c r="I1675" t="s">
        <v>6478</v>
      </c>
      <c r="J1675" t="s">
        <v>11756</v>
      </c>
      <c r="K1675" t="s">
        <v>16158</v>
      </c>
      <c r="L1675">
        <f>HYPERLINK("https://www2.assemblee-nationale.fr/sycomore/fiche/(num_dept)/5706", "5706")</f>
        <v>0</v>
      </c>
      <c r="N1675">
        <f>HYPERLINK("https://www.wikidata.org/wiki/Q3132997", "Q3132997")</f>
        <v>0</v>
      </c>
      <c r="O1675" t="s">
        <v>19969</v>
      </c>
      <c r="P1675" t="s">
        <v>20419</v>
      </c>
      <c r="Q1675" t="s">
        <v>17699</v>
      </c>
      <c r="R1675" t="s">
        <v>411</v>
      </c>
      <c r="S1675">
        <v>1658</v>
      </c>
    </row>
    <row r="1676" spans="1:19">
      <c r="A1676" t="s">
        <v>21</v>
      </c>
      <c r="B1676" t="s">
        <v>148</v>
      </c>
      <c r="C1676" t="s">
        <v>153</v>
      </c>
      <c r="D1676" t="s">
        <v>282</v>
      </c>
      <c r="E1676" t="s">
        <v>411</v>
      </c>
      <c r="F1676">
        <f>HYPERLINK("https://www.wikidata.org/wiki/Q33724121", "Q33724121")</f>
        <v>0</v>
      </c>
      <c r="G1676" t="s">
        <v>1565</v>
      </c>
      <c r="H1676" t="s">
        <v>5770</v>
      </c>
      <c r="I1676" t="s">
        <v>9842</v>
      </c>
      <c r="J1676" t="s">
        <v>12278</v>
      </c>
      <c r="K1676" t="s">
        <v>16686</v>
      </c>
      <c r="L1676">
        <f>HYPERLINK("https://www2.assemblee-nationale.fr/sycomore/fiche/(num_dept)/5717", "5717")</f>
        <v>0</v>
      </c>
      <c r="N1676">
        <f>HYPERLINK("https://www.wikidata.org/wiki/Q2852484", "Q2852484")</f>
        <v>0</v>
      </c>
      <c r="O1676" t="s">
        <v>19975</v>
      </c>
      <c r="P1676" t="s">
        <v>20416</v>
      </c>
      <c r="Q1676" t="s">
        <v>17699</v>
      </c>
      <c r="R1676" t="s">
        <v>411</v>
      </c>
      <c r="S1676">
        <v>1658</v>
      </c>
    </row>
    <row r="1677" spans="1:19">
      <c r="A1677" t="s">
        <v>21</v>
      </c>
      <c r="B1677" t="s">
        <v>148</v>
      </c>
      <c r="C1677" t="s">
        <v>153</v>
      </c>
      <c r="D1677" t="s">
        <v>282</v>
      </c>
      <c r="E1677" t="s">
        <v>411</v>
      </c>
      <c r="F1677">
        <f>HYPERLINK("https://www.wikidata.org/wiki/Q33724121", "Q33724121")</f>
        <v>0</v>
      </c>
      <c r="G1677" t="s">
        <v>1020</v>
      </c>
      <c r="H1677" t="s">
        <v>5770</v>
      </c>
      <c r="I1677" t="s">
        <v>9621</v>
      </c>
      <c r="J1677" t="s">
        <v>11757</v>
      </c>
      <c r="K1677" t="s">
        <v>16159</v>
      </c>
      <c r="L1677">
        <f>HYPERLINK("https://www2.assemblee-nationale.fr/sycomore/fiche/(num_dept)/5718", "5718")</f>
        <v>0</v>
      </c>
      <c r="N1677">
        <f>HYPERLINK("https://www.wikidata.org/wiki/Q3185457", "Q3185457")</f>
        <v>0</v>
      </c>
      <c r="O1677" t="s">
        <v>19975</v>
      </c>
      <c r="P1677" t="s">
        <v>20412</v>
      </c>
      <c r="Q1677" t="s">
        <v>17699</v>
      </c>
      <c r="R1677" t="s">
        <v>411</v>
      </c>
      <c r="S1677">
        <v>1658</v>
      </c>
    </row>
    <row r="1678" spans="1:19">
      <c r="A1678" t="s">
        <v>21</v>
      </c>
      <c r="B1678" t="s">
        <v>148</v>
      </c>
      <c r="C1678" t="s">
        <v>153</v>
      </c>
      <c r="D1678" t="s">
        <v>282</v>
      </c>
      <c r="E1678" t="s">
        <v>411</v>
      </c>
      <c r="F1678">
        <f>HYPERLINK("https://www.wikidata.org/wiki/Q33724121", "Q33724121")</f>
        <v>0</v>
      </c>
      <c r="G1678" t="s">
        <v>752</v>
      </c>
      <c r="H1678" t="s">
        <v>5510</v>
      </c>
      <c r="I1678" t="s">
        <v>9407</v>
      </c>
      <c r="J1678" t="s">
        <v>11500</v>
      </c>
      <c r="K1678" t="s">
        <v>15903</v>
      </c>
      <c r="L1678">
        <f>HYPERLINK("https://www2.assemblee-nationale.fr/sycomore/fiche/(num_dept)/5724", "5724")</f>
        <v>0</v>
      </c>
      <c r="M1678">
        <f>HYPERLINK("https://www.senat.fr/senateur-3eme-republique/paul_boncour_joseph0550r4.html", "paul_boncour_joseph0550r4")</f>
        <v>0</v>
      </c>
      <c r="N1678">
        <f>HYPERLINK("https://www.wikidata.org/wiki/Q285865", "Q285865")</f>
        <v>0</v>
      </c>
      <c r="O1678" t="s">
        <v>19969</v>
      </c>
      <c r="P1678" t="s">
        <v>20404</v>
      </c>
      <c r="Q1678" t="s">
        <v>17699</v>
      </c>
      <c r="R1678" t="s">
        <v>411</v>
      </c>
      <c r="S1678">
        <v>1658</v>
      </c>
    </row>
    <row r="1679" spans="1:19">
      <c r="A1679" t="s">
        <v>21</v>
      </c>
      <c r="B1679" t="s">
        <v>148</v>
      </c>
      <c r="C1679" t="s">
        <v>153</v>
      </c>
      <c r="D1679" t="s">
        <v>282</v>
      </c>
      <c r="E1679" t="s">
        <v>411</v>
      </c>
      <c r="F1679">
        <f>HYPERLINK("https://www.wikidata.org/wiki/Q33724121", "Q33724121")</f>
        <v>0</v>
      </c>
      <c r="G1679" t="s">
        <v>1140</v>
      </c>
      <c r="H1679" t="s">
        <v>5875</v>
      </c>
      <c r="I1679" t="s">
        <v>6860</v>
      </c>
      <c r="J1679" t="s">
        <v>11874</v>
      </c>
      <c r="K1679" t="s">
        <v>16276</v>
      </c>
      <c r="L1679">
        <f>HYPERLINK("https://www2.assemblee-nationale.fr/sycomore/fiche/(num_dept)/5737", "5737")</f>
        <v>0</v>
      </c>
      <c r="N1679">
        <f>HYPERLINK("https://www.wikidata.org/wiki/Q16026284", "Q16026284")</f>
        <v>0</v>
      </c>
      <c r="O1679" t="s">
        <v>19965</v>
      </c>
      <c r="P1679" t="s">
        <v>20416</v>
      </c>
      <c r="Q1679" t="s">
        <v>17699</v>
      </c>
      <c r="R1679" t="s">
        <v>411</v>
      </c>
      <c r="S1679">
        <v>1658</v>
      </c>
    </row>
    <row r="1680" spans="1:19">
      <c r="A1680" t="s">
        <v>21</v>
      </c>
      <c r="B1680" t="s">
        <v>148</v>
      </c>
      <c r="C1680" t="s">
        <v>153</v>
      </c>
      <c r="D1680" t="s">
        <v>282</v>
      </c>
      <c r="E1680" t="s">
        <v>411</v>
      </c>
      <c r="F1680">
        <f>HYPERLINK("https://www.wikidata.org/wiki/Q33724121", "Q33724121")</f>
        <v>0</v>
      </c>
      <c r="G1680" t="s">
        <v>755</v>
      </c>
      <c r="H1680" t="s">
        <v>5513</v>
      </c>
      <c r="I1680" t="s">
        <v>9500</v>
      </c>
      <c r="J1680" t="s">
        <v>11503</v>
      </c>
      <c r="K1680" t="s">
        <v>15906</v>
      </c>
      <c r="L1680">
        <f>HYPERLINK("https://www2.assemblee-nationale.fr/sycomore/fiche/(num_dept)/5779", "5779")</f>
        <v>0</v>
      </c>
      <c r="M1680">
        <f>HYPERLINK("https://www.senat.fr/senateur-3eme-republique/peret_raoul1766r3.html", "peret_raoul1766r3")</f>
        <v>0</v>
      </c>
      <c r="N1680">
        <f>HYPERLINK("https://www.wikidata.org/wiki/Q3419252", "Q3419252")</f>
        <v>0</v>
      </c>
      <c r="O1680" t="s">
        <v>19982</v>
      </c>
      <c r="P1680" t="s">
        <v>20417</v>
      </c>
      <c r="Q1680" t="s">
        <v>17699</v>
      </c>
      <c r="R1680" t="s">
        <v>411</v>
      </c>
      <c r="S1680">
        <v>1658</v>
      </c>
    </row>
    <row r="1681" spans="1:19">
      <c r="A1681" t="s">
        <v>21</v>
      </c>
      <c r="B1681" t="s">
        <v>148</v>
      </c>
      <c r="C1681" t="s">
        <v>153</v>
      </c>
      <c r="D1681" t="s">
        <v>282</v>
      </c>
      <c r="E1681" t="s">
        <v>411</v>
      </c>
      <c r="F1681">
        <f>HYPERLINK("https://www.wikidata.org/wiki/Q33724121", "Q33724121")</f>
        <v>0</v>
      </c>
      <c r="G1681" t="s">
        <v>1566</v>
      </c>
      <c r="H1681" t="s">
        <v>6256</v>
      </c>
      <c r="I1681" t="s">
        <v>6200</v>
      </c>
      <c r="J1681" t="s">
        <v>12279</v>
      </c>
      <c r="K1681" t="s">
        <v>16687</v>
      </c>
      <c r="L1681">
        <f>HYPERLINK("https://www2.assemblee-nationale.fr/sycomore/fiche/(num_dept)/5793", "5793")</f>
        <v>0</v>
      </c>
      <c r="N1681">
        <f>HYPERLINK("https://www.wikidata.org/wiki/Q8344143", "Q8344143")</f>
        <v>0</v>
      </c>
      <c r="O1681" t="s">
        <v>19976</v>
      </c>
      <c r="P1681" t="s">
        <v>20419</v>
      </c>
      <c r="Q1681" t="s">
        <v>17699</v>
      </c>
      <c r="R1681" t="s">
        <v>411</v>
      </c>
      <c r="S1681">
        <v>1658</v>
      </c>
    </row>
    <row r="1682" spans="1:19">
      <c r="A1682" t="s">
        <v>21</v>
      </c>
      <c r="B1682" t="s">
        <v>148</v>
      </c>
      <c r="C1682" t="s">
        <v>153</v>
      </c>
      <c r="D1682" t="s">
        <v>282</v>
      </c>
      <c r="E1682" t="s">
        <v>411</v>
      </c>
      <c r="F1682">
        <f>HYPERLINK("https://www.wikidata.org/wiki/Q33724121", "Q33724121")</f>
        <v>0</v>
      </c>
      <c r="G1682" t="s">
        <v>1567</v>
      </c>
      <c r="H1682" t="s">
        <v>6257</v>
      </c>
      <c r="I1682" t="s">
        <v>6860</v>
      </c>
      <c r="J1682" t="s">
        <v>12280</v>
      </c>
      <c r="K1682" t="s">
        <v>16688</v>
      </c>
      <c r="L1682">
        <f>HYPERLINK("https://www2.assemblee-nationale.fr/sycomore/fiche/(num_dept)/5795", "5795")</f>
        <v>0</v>
      </c>
      <c r="N1682">
        <f>HYPERLINK("https://www.wikidata.org/wiki/Q16026309", "Q16026309")</f>
        <v>0</v>
      </c>
      <c r="O1682" t="s">
        <v>19982</v>
      </c>
      <c r="P1682" t="s">
        <v>20416</v>
      </c>
      <c r="Q1682" t="s">
        <v>17699</v>
      </c>
      <c r="R1682" t="s">
        <v>411</v>
      </c>
      <c r="S1682">
        <v>1658</v>
      </c>
    </row>
    <row r="1683" spans="1:19">
      <c r="A1683" t="s">
        <v>21</v>
      </c>
      <c r="B1683" t="s">
        <v>148</v>
      </c>
      <c r="C1683" t="s">
        <v>153</v>
      </c>
      <c r="D1683" t="s">
        <v>282</v>
      </c>
      <c r="E1683" t="s">
        <v>411</v>
      </c>
      <c r="F1683">
        <f>HYPERLINK("https://www.wikidata.org/wiki/Q33724121", "Q33724121")</f>
        <v>0</v>
      </c>
      <c r="G1683" t="s">
        <v>1191</v>
      </c>
      <c r="H1683" t="s">
        <v>5921</v>
      </c>
      <c r="I1683" t="s">
        <v>9699</v>
      </c>
      <c r="J1683" t="s">
        <v>11924</v>
      </c>
      <c r="K1683" t="s">
        <v>16325</v>
      </c>
      <c r="L1683">
        <f>HYPERLINK("https://www2.assemblee-nationale.fr/sycomore/fiche/(num_dept)/5804", "5804")</f>
        <v>0</v>
      </c>
      <c r="N1683">
        <f>HYPERLINK("https://www.wikidata.org/wiki/Q2960060", "Q2960060")</f>
        <v>0</v>
      </c>
      <c r="O1683" t="s">
        <v>19999</v>
      </c>
      <c r="P1683" t="s">
        <v>20418</v>
      </c>
      <c r="Q1683" t="s">
        <v>17699</v>
      </c>
      <c r="R1683" t="s">
        <v>411</v>
      </c>
      <c r="S1683">
        <v>1658</v>
      </c>
    </row>
    <row r="1684" spans="1:19">
      <c r="A1684" t="s">
        <v>21</v>
      </c>
      <c r="B1684" t="s">
        <v>148</v>
      </c>
      <c r="C1684" t="s">
        <v>153</v>
      </c>
      <c r="D1684" t="s">
        <v>282</v>
      </c>
      <c r="E1684" t="s">
        <v>411</v>
      </c>
      <c r="F1684">
        <f>HYPERLINK("https://www.wikidata.org/wiki/Q33724121", "Q33724121")</f>
        <v>0</v>
      </c>
      <c r="G1684" t="s">
        <v>1116</v>
      </c>
      <c r="H1684" t="s">
        <v>5775</v>
      </c>
      <c r="I1684" t="s">
        <v>6860</v>
      </c>
      <c r="J1684" t="s">
        <v>11850</v>
      </c>
      <c r="K1684" t="s">
        <v>16252</v>
      </c>
      <c r="L1684">
        <f>HYPERLINK("https://www2.assemblee-nationale.fr/sycomore/fiche/(num_dept)/5808", "5808")</f>
        <v>0</v>
      </c>
      <c r="N1684">
        <f>HYPERLINK("https://www.wikidata.org/wiki/Q3386559", "Q3386559")</f>
        <v>0</v>
      </c>
      <c r="O1684" t="s">
        <v>20034</v>
      </c>
      <c r="P1684" t="s">
        <v>20417</v>
      </c>
      <c r="Q1684" t="s">
        <v>17699</v>
      </c>
      <c r="R1684" t="s">
        <v>411</v>
      </c>
      <c r="S1684">
        <v>1658</v>
      </c>
    </row>
    <row r="1685" spans="1:19">
      <c r="A1685" t="s">
        <v>21</v>
      </c>
      <c r="B1685" t="s">
        <v>148</v>
      </c>
      <c r="C1685" t="s">
        <v>153</v>
      </c>
      <c r="D1685" t="s">
        <v>282</v>
      </c>
      <c r="E1685" t="s">
        <v>411</v>
      </c>
      <c r="F1685">
        <f>HYPERLINK("https://www.wikidata.org/wiki/Q33724121", "Q33724121")</f>
        <v>0</v>
      </c>
      <c r="G1685" t="s">
        <v>1568</v>
      </c>
      <c r="H1685" t="s">
        <v>6258</v>
      </c>
      <c r="I1685" t="s">
        <v>6495</v>
      </c>
      <c r="J1685" t="s">
        <v>12281</v>
      </c>
      <c r="K1685" t="s">
        <v>16689</v>
      </c>
      <c r="L1685">
        <f>HYPERLINK("https://www2.assemblee-nationale.fr/sycomore/fiche/(num_dept)/5822", "5822")</f>
        <v>0</v>
      </c>
      <c r="N1685">
        <f>HYPERLINK("https://www.wikidata.org/wiki/Q3262871", "Q3262871")</f>
        <v>0</v>
      </c>
      <c r="O1685" t="s">
        <v>20018</v>
      </c>
      <c r="P1685" t="s">
        <v>20416</v>
      </c>
      <c r="Q1685" t="s">
        <v>17699</v>
      </c>
      <c r="R1685" t="s">
        <v>16689</v>
      </c>
      <c r="S1685">
        <v>367</v>
      </c>
    </row>
    <row r="1686" spans="1:19">
      <c r="A1686" t="s">
        <v>21</v>
      </c>
      <c r="B1686" t="s">
        <v>148</v>
      </c>
      <c r="C1686" t="s">
        <v>153</v>
      </c>
      <c r="D1686" t="s">
        <v>282</v>
      </c>
      <c r="E1686" t="s">
        <v>411</v>
      </c>
      <c r="F1686">
        <f>HYPERLINK("https://www.wikidata.org/wiki/Q33724121", "Q33724121")</f>
        <v>0</v>
      </c>
      <c r="G1686" t="s">
        <v>1569</v>
      </c>
      <c r="H1686" t="s">
        <v>6259</v>
      </c>
      <c r="I1686" t="s">
        <v>9391</v>
      </c>
      <c r="J1686" t="s">
        <v>12282</v>
      </c>
      <c r="K1686" t="s">
        <v>16690</v>
      </c>
      <c r="L1686">
        <f>HYPERLINK("https://www2.assemblee-nationale.fr/sycomore/fiche/(num_dept)/5843", "5843")</f>
        <v>0</v>
      </c>
      <c r="N1686">
        <f>HYPERLINK("https://www.wikidata.org/wiki/Q13626561", "Q13626561")</f>
        <v>0</v>
      </c>
      <c r="O1686" t="s">
        <v>20000</v>
      </c>
      <c r="P1686" t="s">
        <v>20406</v>
      </c>
      <c r="Q1686" t="s">
        <v>17699</v>
      </c>
      <c r="R1686" t="s">
        <v>411</v>
      </c>
      <c r="S1686">
        <v>1658</v>
      </c>
    </row>
    <row r="1687" spans="1:19">
      <c r="A1687" t="s">
        <v>21</v>
      </c>
      <c r="B1687" t="s">
        <v>148</v>
      </c>
      <c r="C1687" t="s">
        <v>153</v>
      </c>
      <c r="D1687" t="s">
        <v>282</v>
      </c>
      <c r="E1687" t="s">
        <v>411</v>
      </c>
      <c r="F1687">
        <f>HYPERLINK("https://www.wikidata.org/wiki/Q33724121", "Q33724121")</f>
        <v>0</v>
      </c>
      <c r="G1687" t="s">
        <v>1570</v>
      </c>
      <c r="H1687" t="s">
        <v>6260</v>
      </c>
      <c r="I1687" t="s">
        <v>9602</v>
      </c>
      <c r="J1687" t="s">
        <v>12283</v>
      </c>
      <c r="K1687" t="s">
        <v>15740</v>
      </c>
      <c r="L1687">
        <f>HYPERLINK("https://www2.assemblee-nationale.fr/sycomore/fiche/(num_dept)/5848", "5848")</f>
        <v>0</v>
      </c>
      <c r="N1687">
        <f>HYPERLINK("https://www.wikidata.org/wiki/Q15972003", "Q15972003")</f>
        <v>0</v>
      </c>
      <c r="O1687" t="s">
        <v>19959</v>
      </c>
      <c r="P1687" t="s">
        <v>20420</v>
      </c>
      <c r="Q1687" t="s">
        <v>17699</v>
      </c>
      <c r="R1687" t="s">
        <v>411</v>
      </c>
      <c r="S1687">
        <v>1658</v>
      </c>
    </row>
    <row r="1688" spans="1:19">
      <c r="A1688" t="s">
        <v>21</v>
      </c>
      <c r="B1688" t="s">
        <v>148</v>
      </c>
      <c r="C1688" t="s">
        <v>153</v>
      </c>
      <c r="D1688" t="s">
        <v>282</v>
      </c>
      <c r="E1688" t="s">
        <v>411</v>
      </c>
      <c r="F1688">
        <f>HYPERLINK("https://www.wikidata.org/wiki/Q33724121", "Q33724121")</f>
        <v>0</v>
      </c>
      <c r="G1688" t="s">
        <v>1290</v>
      </c>
      <c r="H1688" t="s">
        <v>6012</v>
      </c>
      <c r="I1688" t="s">
        <v>9735</v>
      </c>
      <c r="J1688" t="s">
        <v>12020</v>
      </c>
      <c r="K1688" t="s">
        <v>16423</v>
      </c>
      <c r="L1688">
        <f>HYPERLINK("https://www2.assemblee-nationale.fr/sycomore/fiche/(num_dept)/5851", "5851")</f>
        <v>0</v>
      </c>
      <c r="N1688">
        <f>HYPERLINK("https://www.wikidata.org/wiki/Q13080923", "Q13080923")</f>
        <v>0</v>
      </c>
      <c r="O1688" t="s">
        <v>19969</v>
      </c>
      <c r="P1688" t="s">
        <v>20418</v>
      </c>
      <c r="Q1688" t="s">
        <v>17699</v>
      </c>
      <c r="R1688" t="s">
        <v>411</v>
      </c>
      <c r="S1688">
        <v>1658</v>
      </c>
    </row>
    <row r="1689" spans="1:19">
      <c r="A1689" t="s">
        <v>21</v>
      </c>
      <c r="B1689" t="s">
        <v>148</v>
      </c>
      <c r="C1689" t="s">
        <v>153</v>
      </c>
      <c r="D1689" t="s">
        <v>282</v>
      </c>
      <c r="E1689" t="s">
        <v>411</v>
      </c>
      <c r="F1689">
        <f>HYPERLINK("https://www.wikidata.org/wiki/Q33724121", "Q33724121")</f>
        <v>0</v>
      </c>
      <c r="G1689" t="s">
        <v>1102</v>
      </c>
      <c r="H1689" t="s">
        <v>5843</v>
      </c>
      <c r="I1689" t="s">
        <v>9660</v>
      </c>
      <c r="J1689" t="s">
        <v>11838</v>
      </c>
      <c r="K1689" t="s">
        <v>16238</v>
      </c>
      <c r="L1689">
        <f>HYPERLINK("https://www2.assemblee-nationale.fr/sycomore/fiche/(num_dept)/5870", "5870")</f>
        <v>0</v>
      </c>
      <c r="N1689">
        <f>HYPERLINK("https://www.wikidata.org/wiki/Q16026334", "Q16026334")</f>
        <v>0</v>
      </c>
      <c r="O1689" t="s">
        <v>19978</v>
      </c>
      <c r="P1689" t="s">
        <v>20416</v>
      </c>
      <c r="Q1689" t="s">
        <v>17699</v>
      </c>
      <c r="R1689" t="s">
        <v>411</v>
      </c>
      <c r="S1689">
        <v>1658</v>
      </c>
    </row>
    <row r="1690" spans="1:19">
      <c r="A1690" t="s">
        <v>21</v>
      </c>
      <c r="B1690" t="s">
        <v>148</v>
      </c>
      <c r="C1690" t="s">
        <v>153</v>
      </c>
      <c r="D1690" t="s">
        <v>282</v>
      </c>
      <c r="E1690" t="s">
        <v>411</v>
      </c>
      <c r="F1690">
        <f>HYPERLINK("https://www.wikidata.org/wiki/Q33724121", "Q33724121")</f>
        <v>0</v>
      </c>
      <c r="G1690" t="s">
        <v>1571</v>
      </c>
      <c r="H1690" t="s">
        <v>6261</v>
      </c>
      <c r="I1690" t="s">
        <v>9407</v>
      </c>
      <c r="J1690" t="s">
        <v>12284</v>
      </c>
      <c r="K1690" t="s">
        <v>16691</v>
      </c>
      <c r="L1690">
        <f>HYPERLINK("https://www2.assemblee-nationale.fr/sycomore/fiche/(num_dept)/5880", "5880")</f>
        <v>0</v>
      </c>
      <c r="M1690">
        <f>HYPERLINK("https://www.senat.fr/senateur-3eme-republique/pfleger_joseph0282r4.html", "pfleger_joseph0282r4")</f>
        <v>0</v>
      </c>
      <c r="N1690">
        <f>HYPERLINK("https://www.wikidata.org/wiki/Q1707820", "Q1707820")</f>
        <v>0</v>
      </c>
      <c r="O1690" t="s">
        <v>20049</v>
      </c>
      <c r="P1690" t="s">
        <v>20416</v>
      </c>
      <c r="Q1690" t="s">
        <v>17699</v>
      </c>
      <c r="R1690" t="s">
        <v>411</v>
      </c>
      <c r="S1690">
        <v>1658</v>
      </c>
    </row>
    <row r="1691" spans="1:19">
      <c r="A1691" t="s">
        <v>21</v>
      </c>
      <c r="B1691" t="s">
        <v>148</v>
      </c>
      <c r="C1691" t="s">
        <v>153</v>
      </c>
      <c r="D1691" t="s">
        <v>282</v>
      </c>
      <c r="E1691" t="s">
        <v>411</v>
      </c>
      <c r="F1691">
        <f>HYPERLINK("https://www.wikidata.org/wiki/Q33724121", "Q33724121")</f>
        <v>0</v>
      </c>
      <c r="G1691" t="s">
        <v>1293</v>
      </c>
      <c r="H1691" t="s">
        <v>6015</v>
      </c>
      <c r="I1691" t="s">
        <v>9736</v>
      </c>
      <c r="J1691" t="s">
        <v>12023</v>
      </c>
      <c r="K1691" t="s">
        <v>16426</v>
      </c>
      <c r="L1691">
        <f>HYPERLINK("https://www2.assemblee-nationale.fr/sycomore/fiche/(num_dept)/5882", "5882")</f>
        <v>0</v>
      </c>
      <c r="N1691">
        <f>HYPERLINK("https://www.wikidata.org/wiki/Q16026337", "Q16026337")</f>
        <v>0</v>
      </c>
      <c r="O1691" t="s">
        <v>8449</v>
      </c>
      <c r="P1691" t="s">
        <v>20404</v>
      </c>
      <c r="Q1691" t="s">
        <v>17699</v>
      </c>
      <c r="R1691" t="s">
        <v>411</v>
      </c>
      <c r="S1691">
        <v>1658</v>
      </c>
    </row>
    <row r="1692" spans="1:19">
      <c r="A1692" t="s">
        <v>21</v>
      </c>
      <c r="B1692" t="s">
        <v>148</v>
      </c>
      <c r="C1692" t="s">
        <v>153</v>
      </c>
      <c r="D1692" t="s">
        <v>282</v>
      </c>
      <c r="E1692" t="s">
        <v>411</v>
      </c>
      <c r="F1692">
        <f>HYPERLINK("https://www.wikidata.org/wiki/Q33724121", "Q33724121")</f>
        <v>0</v>
      </c>
      <c r="G1692" t="s">
        <v>1572</v>
      </c>
      <c r="H1692" t="s">
        <v>6262</v>
      </c>
      <c r="I1692" t="s">
        <v>9457</v>
      </c>
      <c r="J1692" t="s">
        <v>12285</v>
      </c>
      <c r="K1692" t="s">
        <v>15702</v>
      </c>
      <c r="L1692">
        <f>HYPERLINK("https://www2.assemblee-nationale.fr/sycomore/fiche/(num_dept)/5891", "5891")</f>
        <v>0</v>
      </c>
      <c r="M1692">
        <f>HYPERLINK("https://www.senat.fr/senateur-3eme-republique/philippoteaux_henri0169r3.html", "philippoteaux_henri0169r3")</f>
        <v>0</v>
      </c>
      <c r="N1692">
        <f>HYPERLINK("https://www.wikidata.org/wiki/Q3131770", "Q3131770")</f>
        <v>0</v>
      </c>
      <c r="O1692" t="s">
        <v>19959</v>
      </c>
      <c r="P1692" t="s">
        <v>20409</v>
      </c>
      <c r="Q1692" t="s">
        <v>17699</v>
      </c>
      <c r="R1692" t="s">
        <v>411</v>
      </c>
      <c r="S1692">
        <v>1658</v>
      </c>
    </row>
    <row r="1693" spans="1:19">
      <c r="A1693" t="s">
        <v>21</v>
      </c>
      <c r="B1693" t="s">
        <v>148</v>
      </c>
      <c r="C1693" t="s">
        <v>153</v>
      </c>
      <c r="D1693" t="s">
        <v>282</v>
      </c>
      <c r="E1693" t="s">
        <v>411</v>
      </c>
      <c r="F1693">
        <f>HYPERLINK("https://www.wikidata.org/wiki/Q33724121", "Q33724121")</f>
        <v>0</v>
      </c>
      <c r="G1693" t="s">
        <v>759</v>
      </c>
      <c r="H1693" t="s">
        <v>5517</v>
      </c>
      <c r="I1693" t="s">
        <v>6860</v>
      </c>
      <c r="J1693" t="s">
        <v>11507</v>
      </c>
      <c r="K1693" t="s">
        <v>15910</v>
      </c>
      <c r="L1693">
        <f>HYPERLINK("https://www2.assemblee-nationale.fr/sycomore/fiche/(num_dept)/5903", "5903")</f>
        <v>0</v>
      </c>
      <c r="M1693">
        <f>HYPERLINK("https://www.senat.fr/senateur-3eme-republique/pichery_pierre0386r3.html", "pichery_pierre0386r3")</f>
        <v>0</v>
      </c>
      <c r="N1693">
        <f>HYPERLINK("https://www.wikidata.org/wiki/Q3386607", "Q3386607")</f>
        <v>0</v>
      </c>
      <c r="O1693" t="s">
        <v>20039</v>
      </c>
      <c r="P1693" t="s">
        <v>20417</v>
      </c>
      <c r="Q1693" t="s">
        <v>17699</v>
      </c>
      <c r="R1693" t="s">
        <v>21388</v>
      </c>
      <c r="S1693">
        <v>67</v>
      </c>
    </row>
    <row r="1694" spans="1:19">
      <c r="A1694" t="s">
        <v>21</v>
      </c>
      <c r="B1694" t="s">
        <v>148</v>
      </c>
      <c r="C1694" t="s">
        <v>153</v>
      </c>
      <c r="D1694" t="s">
        <v>282</v>
      </c>
      <c r="E1694" t="s">
        <v>411</v>
      </c>
      <c r="F1694">
        <f>HYPERLINK("https://www.wikidata.org/wiki/Q33724121", "Q33724121")</f>
        <v>0</v>
      </c>
      <c r="G1694" t="s">
        <v>1573</v>
      </c>
      <c r="H1694" t="s">
        <v>6263</v>
      </c>
      <c r="I1694" t="s">
        <v>9843</v>
      </c>
      <c r="J1694" t="s">
        <v>12286</v>
      </c>
      <c r="K1694" t="s">
        <v>16692</v>
      </c>
      <c r="L1694">
        <f>HYPERLINK("https://www2.assemblee-nationale.fr/sycomore/fiche/(num_dept)/5908", "5908")</f>
        <v>0</v>
      </c>
      <c r="N1694">
        <f>HYPERLINK("https://www.wikidata.org/wiki/Q3573892", "Q3573892")</f>
        <v>0</v>
      </c>
      <c r="O1694" t="s">
        <v>19987</v>
      </c>
      <c r="P1694" t="s">
        <v>20419</v>
      </c>
      <c r="Q1694" t="s">
        <v>17699</v>
      </c>
      <c r="R1694" t="s">
        <v>411</v>
      </c>
      <c r="S1694">
        <v>1658</v>
      </c>
    </row>
    <row r="1695" spans="1:19">
      <c r="A1695" t="s">
        <v>21</v>
      </c>
      <c r="B1695" t="s">
        <v>148</v>
      </c>
      <c r="C1695" t="s">
        <v>153</v>
      </c>
      <c r="D1695" t="s">
        <v>282</v>
      </c>
      <c r="E1695" t="s">
        <v>411</v>
      </c>
      <c r="F1695">
        <f>HYPERLINK("https://www.wikidata.org/wiki/Q33724121", "Q33724121")</f>
        <v>0</v>
      </c>
      <c r="G1695" t="s">
        <v>760</v>
      </c>
      <c r="H1695" t="s">
        <v>5518</v>
      </c>
      <c r="I1695" t="s">
        <v>9457</v>
      </c>
      <c r="J1695" t="s">
        <v>11508</v>
      </c>
      <c r="K1695" t="s">
        <v>15911</v>
      </c>
      <c r="L1695">
        <f>HYPERLINK("https://www2.assemblee-nationale.fr/sycomore/fiche/(num_dept)/5913", "5913")</f>
        <v>0</v>
      </c>
      <c r="N1695">
        <f>HYPERLINK("https://www.wikidata.org/wiki/Q16026342", "Q16026342")</f>
        <v>0</v>
      </c>
      <c r="O1695" t="s">
        <v>19955</v>
      </c>
      <c r="P1695" t="s">
        <v>20417</v>
      </c>
      <c r="Q1695" t="s">
        <v>17699</v>
      </c>
      <c r="R1695" t="s">
        <v>411</v>
      </c>
      <c r="S1695">
        <v>1658</v>
      </c>
    </row>
    <row r="1696" spans="1:19">
      <c r="A1696" t="s">
        <v>21</v>
      </c>
      <c r="B1696" t="s">
        <v>148</v>
      </c>
      <c r="C1696" t="s">
        <v>153</v>
      </c>
      <c r="D1696" t="s">
        <v>282</v>
      </c>
      <c r="E1696" t="s">
        <v>411</v>
      </c>
      <c r="F1696">
        <f>HYPERLINK("https://www.wikidata.org/wiki/Q33724121", "Q33724121")</f>
        <v>0</v>
      </c>
      <c r="G1696" t="s">
        <v>1574</v>
      </c>
      <c r="H1696" t="s">
        <v>6264</v>
      </c>
      <c r="I1696" t="s">
        <v>9844</v>
      </c>
      <c r="J1696" t="s">
        <v>12287</v>
      </c>
      <c r="K1696" t="s">
        <v>16693</v>
      </c>
      <c r="L1696">
        <f>HYPERLINK("https://www2.assemblee-nationale.fr/sycomore/fiche/(num_dept)/5932", "5932")</f>
        <v>0</v>
      </c>
      <c r="N1696">
        <f>HYPERLINK("https://www.wikidata.org/wiki/Q16026345", "Q16026345")</f>
        <v>0</v>
      </c>
      <c r="O1696" t="s">
        <v>19969</v>
      </c>
      <c r="P1696" t="s">
        <v>20419</v>
      </c>
      <c r="Q1696" t="s">
        <v>17699</v>
      </c>
      <c r="R1696" t="s">
        <v>411</v>
      </c>
      <c r="S1696">
        <v>1658</v>
      </c>
    </row>
    <row r="1697" spans="1:19">
      <c r="A1697" t="s">
        <v>21</v>
      </c>
      <c r="B1697" t="s">
        <v>148</v>
      </c>
      <c r="C1697" t="s">
        <v>153</v>
      </c>
      <c r="D1697" t="s">
        <v>282</v>
      </c>
      <c r="E1697" t="s">
        <v>411</v>
      </c>
      <c r="F1697">
        <f>HYPERLINK("https://www.wikidata.org/wiki/Q33724121", "Q33724121")</f>
        <v>0</v>
      </c>
      <c r="G1697" t="s">
        <v>1575</v>
      </c>
      <c r="H1697" t="s">
        <v>6265</v>
      </c>
      <c r="I1697" t="s">
        <v>9534</v>
      </c>
      <c r="J1697" t="s">
        <v>12288</v>
      </c>
      <c r="K1697" t="s">
        <v>16694</v>
      </c>
      <c r="L1697">
        <f>HYPERLINK("https://www2.assemblee-nationale.fr/sycomore/fiche/(num_dept)/5938", "5938")</f>
        <v>0</v>
      </c>
      <c r="N1697">
        <f>HYPERLINK("https://www.wikidata.org/wiki/Q365798", "Q365798")</f>
        <v>0</v>
      </c>
      <c r="O1697" t="s">
        <v>19969</v>
      </c>
      <c r="P1697" t="s">
        <v>20418</v>
      </c>
      <c r="Q1697" t="s">
        <v>17699</v>
      </c>
      <c r="R1697" t="s">
        <v>411</v>
      </c>
      <c r="S1697">
        <v>1658</v>
      </c>
    </row>
    <row r="1698" spans="1:19">
      <c r="A1698" t="s">
        <v>21</v>
      </c>
      <c r="B1698" t="s">
        <v>148</v>
      </c>
      <c r="C1698" t="s">
        <v>153</v>
      </c>
      <c r="D1698" t="s">
        <v>282</v>
      </c>
      <c r="E1698" t="s">
        <v>411</v>
      </c>
      <c r="F1698">
        <f>HYPERLINK("https://www.wikidata.org/wiki/Q33724121", "Q33724121")</f>
        <v>0</v>
      </c>
      <c r="G1698" t="s">
        <v>1576</v>
      </c>
      <c r="H1698" t="s">
        <v>6266</v>
      </c>
      <c r="I1698" t="s">
        <v>9845</v>
      </c>
      <c r="J1698" t="s">
        <v>12289</v>
      </c>
      <c r="K1698" t="s">
        <v>16695</v>
      </c>
      <c r="L1698">
        <f>HYPERLINK("https://www2.assemblee-nationale.fr/sycomore/fiche/(num_dept)/5962", "5962")</f>
        <v>0</v>
      </c>
      <c r="N1698">
        <f>HYPERLINK("https://www.wikidata.org/wiki/Q15971919", "Q15971919")</f>
        <v>0</v>
      </c>
      <c r="O1698" t="s">
        <v>20017</v>
      </c>
      <c r="P1698" t="s">
        <v>20404</v>
      </c>
      <c r="Q1698" t="s">
        <v>17699</v>
      </c>
      <c r="R1698" t="s">
        <v>411</v>
      </c>
      <c r="S1698">
        <v>1658</v>
      </c>
    </row>
    <row r="1699" spans="1:19">
      <c r="A1699" t="s">
        <v>21</v>
      </c>
      <c r="B1699" t="s">
        <v>148</v>
      </c>
      <c r="C1699" t="s">
        <v>153</v>
      </c>
      <c r="D1699" t="s">
        <v>282</v>
      </c>
      <c r="E1699" t="s">
        <v>411</v>
      </c>
      <c r="F1699">
        <f>HYPERLINK("https://www.wikidata.org/wiki/Q33724121", "Q33724121")</f>
        <v>0</v>
      </c>
      <c r="G1699" t="s">
        <v>1577</v>
      </c>
      <c r="H1699" t="s">
        <v>6267</v>
      </c>
      <c r="I1699" t="s">
        <v>9523</v>
      </c>
      <c r="J1699" t="s">
        <v>12290</v>
      </c>
      <c r="K1699" t="s">
        <v>16696</v>
      </c>
      <c r="L1699">
        <f>HYPERLINK("https://www2.assemblee-nationale.fr/sycomore/fiche/(num_dept)/5965", "5965")</f>
        <v>0</v>
      </c>
      <c r="M1699">
        <f>HYPERLINK("https://www.senat.fr/senateur-3eme-republique/plaisant_marcel0005r4.html", "plaisant_marcel0005r4")</f>
        <v>0</v>
      </c>
      <c r="N1699">
        <f>HYPERLINK("https://www.wikidata.org/wiki/Q3289294", "Q3289294")</f>
        <v>0</v>
      </c>
      <c r="O1699" t="s">
        <v>19996</v>
      </c>
      <c r="P1699" t="s">
        <v>20416</v>
      </c>
      <c r="Q1699" t="s">
        <v>17699</v>
      </c>
      <c r="R1699" t="s">
        <v>411</v>
      </c>
      <c r="S1699">
        <v>1658</v>
      </c>
    </row>
    <row r="1700" spans="1:19">
      <c r="A1700" t="s">
        <v>21</v>
      </c>
      <c r="B1700" t="s">
        <v>148</v>
      </c>
      <c r="C1700" t="s">
        <v>153</v>
      </c>
      <c r="D1700" t="s">
        <v>282</v>
      </c>
      <c r="E1700" t="s">
        <v>411</v>
      </c>
      <c r="F1700">
        <f>HYPERLINK("https://www.wikidata.org/wiki/Q33724121", "Q33724121")</f>
        <v>0</v>
      </c>
      <c r="G1700" t="s">
        <v>1578</v>
      </c>
      <c r="H1700" t="s">
        <v>6268</v>
      </c>
      <c r="I1700" t="s">
        <v>9442</v>
      </c>
      <c r="J1700" t="s">
        <v>12291</v>
      </c>
      <c r="K1700" t="s">
        <v>16697</v>
      </c>
      <c r="L1700">
        <f>HYPERLINK("https://www2.assemblee-nationale.fr/sycomore/fiche/(num_dept)/5979", "5979")</f>
        <v>0</v>
      </c>
      <c r="N1700">
        <f>HYPERLINK("https://www.wikidata.org/wiki/Q3057138", "Q3057138")</f>
        <v>0</v>
      </c>
      <c r="O1700" t="s">
        <v>20013</v>
      </c>
      <c r="P1700" t="s">
        <v>20404</v>
      </c>
      <c r="Q1700" t="s">
        <v>17699</v>
      </c>
      <c r="R1700" t="s">
        <v>411</v>
      </c>
      <c r="S1700">
        <v>1658</v>
      </c>
    </row>
    <row r="1701" spans="1:19">
      <c r="A1701" t="s">
        <v>21</v>
      </c>
      <c r="B1701" t="s">
        <v>148</v>
      </c>
      <c r="C1701" t="s">
        <v>153</v>
      </c>
      <c r="D1701" t="s">
        <v>282</v>
      </c>
      <c r="E1701" t="s">
        <v>411</v>
      </c>
      <c r="F1701">
        <f>HYPERLINK("https://www.wikidata.org/wiki/Q33724121", "Q33724121")</f>
        <v>0</v>
      </c>
      <c r="G1701" t="s">
        <v>762</v>
      </c>
      <c r="H1701" t="s">
        <v>5520</v>
      </c>
      <c r="I1701" t="s">
        <v>9514</v>
      </c>
      <c r="J1701" t="s">
        <v>11507</v>
      </c>
      <c r="K1701" t="s">
        <v>15913</v>
      </c>
      <c r="L1701">
        <f>HYPERLINK("https://www2.assemblee-nationale.fr/sycomore/fiche/(num_dept)/5981", "5981")</f>
        <v>0</v>
      </c>
      <c r="M1701">
        <f>HYPERLINK("https://www.senat.fr/senateur-3eme-republique/plichon_jean1422r3.html", "plichon_jean1422r3")</f>
        <v>0</v>
      </c>
      <c r="N1701">
        <f>HYPERLINK("https://www.wikidata.org/wiki/Q3174051", "Q3174051")</f>
        <v>0</v>
      </c>
      <c r="O1701" t="s">
        <v>20013</v>
      </c>
      <c r="P1701" t="s">
        <v>20416</v>
      </c>
      <c r="Q1701" t="s">
        <v>17699</v>
      </c>
      <c r="R1701" t="s">
        <v>353</v>
      </c>
      <c r="S1701">
        <v>65</v>
      </c>
    </row>
    <row r="1702" spans="1:19">
      <c r="A1702" t="s">
        <v>21</v>
      </c>
      <c r="B1702" t="s">
        <v>148</v>
      </c>
      <c r="C1702" t="s">
        <v>153</v>
      </c>
      <c r="D1702" t="s">
        <v>282</v>
      </c>
      <c r="E1702" t="s">
        <v>411</v>
      </c>
      <c r="F1702">
        <f>HYPERLINK("https://www.wikidata.org/wiki/Q33724121", "Q33724121")</f>
        <v>0</v>
      </c>
      <c r="G1702" t="s">
        <v>763</v>
      </c>
      <c r="H1702" t="s">
        <v>5521</v>
      </c>
      <c r="I1702" t="s">
        <v>5800</v>
      </c>
      <c r="J1702" t="s">
        <v>11510</v>
      </c>
      <c r="K1702" t="s">
        <v>15914</v>
      </c>
      <c r="L1702">
        <f>HYPERLINK("https://www2.assemblee-nationale.fr/sycomore/fiche/(num_dept)/5983", "5983")</f>
        <v>0</v>
      </c>
      <c r="N1702">
        <f>HYPERLINK("https://www.wikidata.org/wiki/Q3484416", "Q3484416")</f>
        <v>0</v>
      </c>
      <c r="O1702" t="s">
        <v>20006</v>
      </c>
      <c r="P1702" t="s">
        <v>20412</v>
      </c>
      <c r="Q1702" t="s">
        <v>17699</v>
      </c>
      <c r="R1702" t="s">
        <v>411</v>
      </c>
      <c r="S1702">
        <v>1658</v>
      </c>
    </row>
    <row r="1703" spans="1:19">
      <c r="A1703" t="s">
        <v>21</v>
      </c>
      <c r="B1703" t="s">
        <v>148</v>
      </c>
      <c r="C1703" t="s">
        <v>153</v>
      </c>
      <c r="D1703" t="s">
        <v>282</v>
      </c>
      <c r="E1703" t="s">
        <v>411</v>
      </c>
      <c r="F1703">
        <f>HYPERLINK("https://www.wikidata.org/wiki/Q33724121", "Q33724121")</f>
        <v>0</v>
      </c>
      <c r="G1703" t="s">
        <v>1192</v>
      </c>
      <c r="H1703" t="s">
        <v>5922</v>
      </c>
      <c r="I1703" t="s">
        <v>9700</v>
      </c>
      <c r="J1703" t="s">
        <v>11925</v>
      </c>
      <c r="K1703" t="s">
        <v>16326</v>
      </c>
      <c r="L1703">
        <f>HYPERLINK("https://www2.assemblee-nationale.fr/sycomore/fiche/(num_dept)/6016", "6016")</f>
        <v>0</v>
      </c>
      <c r="M1703">
        <f>HYPERLINK("https://www.senat.fr/senateur-3eme-republique/robert_pierre1327r3.html", "robert_pierre1327r3")</f>
        <v>0</v>
      </c>
      <c r="N1703">
        <f>HYPERLINK("https://www.wikidata.org/wiki/Q3386818", "Q3386818")</f>
        <v>0</v>
      </c>
      <c r="O1703" t="s">
        <v>19997</v>
      </c>
      <c r="P1703" t="s">
        <v>20418</v>
      </c>
      <c r="Q1703" t="s">
        <v>17699</v>
      </c>
      <c r="R1703" t="s">
        <v>411</v>
      </c>
      <c r="S1703">
        <v>1658</v>
      </c>
    </row>
    <row r="1704" spans="1:19">
      <c r="A1704" t="s">
        <v>21</v>
      </c>
      <c r="B1704" t="s">
        <v>148</v>
      </c>
      <c r="C1704" t="s">
        <v>153</v>
      </c>
      <c r="D1704" t="s">
        <v>282</v>
      </c>
      <c r="E1704" t="s">
        <v>411</v>
      </c>
      <c r="F1704">
        <f>HYPERLINK("https://www.wikidata.org/wiki/Q33724121", "Q33724121")</f>
        <v>0</v>
      </c>
      <c r="G1704" t="s">
        <v>1193</v>
      </c>
      <c r="H1704" t="s">
        <v>5923</v>
      </c>
      <c r="I1704" t="s">
        <v>9701</v>
      </c>
      <c r="J1704" t="s">
        <v>11926</v>
      </c>
      <c r="K1704" t="s">
        <v>16327</v>
      </c>
      <c r="L1704">
        <f>HYPERLINK("https://www2.assemblee-nationale.fr/sycomore/fiche/(num_dept)/6018", "6018")</f>
        <v>0</v>
      </c>
      <c r="N1704">
        <f>HYPERLINK("https://www.wikidata.org/wiki/Q3557548", "Q3557548")</f>
        <v>0</v>
      </c>
      <c r="O1704" t="s">
        <v>19961</v>
      </c>
      <c r="P1704" t="s">
        <v>20416</v>
      </c>
      <c r="Q1704" t="s">
        <v>17699</v>
      </c>
      <c r="R1704" t="s">
        <v>411</v>
      </c>
      <c r="S1704">
        <v>1658</v>
      </c>
    </row>
    <row r="1705" spans="1:19">
      <c r="A1705" t="s">
        <v>21</v>
      </c>
      <c r="B1705" t="s">
        <v>148</v>
      </c>
      <c r="C1705" t="s">
        <v>153</v>
      </c>
      <c r="D1705" t="s">
        <v>282</v>
      </c>
      <c r="E1705" t="s">
        <v>411</v>
      </c>
      <c r="F1705">
        <f>HYPERLINK("https://www.wikidata.org/wiki/Q33724121", "Q33724121")</f>
        <v>0</v>
      </c>
      <c r="G1705" t="s">
        <v>1579</v>
      </c>
      <c r="H1705" t="s">
        <v>6269</v>
      </c>
      <c r="I1705" t="s">
        <v>9506</v>
      </c>
      <c r="J1705" t="s">
        <v>12292</v>
      </c>
      <c r="K1705" t="s">
        <v>16698</v>
      </c>
      <c r="L1705">
        <f>HYPERLINK("https://www2.assemblee-nationale.fr/sycomore/fiche/(num_dept)/6037", "6037")</f>
        <v>0</v>
      </c>
      <c r="N1705">
        <f>HYPERLINK("https://www.wikidata.org/wiki/Q16026435", "Q16026435")</f>
        <v>0</v>
      </c>
      <c r="O1705" t="s">
        <v>20006</v>
      </c>
      <c r="P1705" t="s">
        <v>20416</v>
      </c>
      <c r="Q1705" t="s">
        <v>17699</v>
      </c>
      <c r="R1705" t="s">
        <v>411</v>
      </c>
      <c r="S1705">
        <v>1658</v>
      </c>
    </row>
    <row r="1706" spans="1:19">
      <c r="A1706" t="s">
        <v>21</v>
      </c>
      <c r="B1706" t="s">
        <v>148</v>
      </c>
      <c r="C1706" t="s">
        <v>153</v>
      </c>
      <c r="D1706" t="s">
        <v>282</v>
      </c>
      <c r="E1706" t="s">
        <v>411</v>
      </c>
      <c r="F1706">
        <f>HYPERLINK("https://www.wikidata.org/wiki/Q33724121", "Q33724121")</f>
        <v>0</v>
      </c>
      <c r="G1706" t="s">
        <v>1194</v>
      </c>
      <c r="H1706" t="s">
        <v>5924</v>
      </c>
      <c r="I1706" t="s">
        <v>9483</v>
      </c>
      <c r="J1706" t="s">
        <v>11927</v>
      </c>
      <c r="K1706" t="s">
        <v>16328</v>
      </c>
      <c r="L1706">
        <f>HYPERLINK("https://www2.assemblee-nationale.fr/sycomore/fiche/(num_dept)/6039", "6039")</f>
        <v>0</v>
      </c>
      <c r="N1706">
        <f>HYPERLINK("https://www.wikidata.org/wiki/Q3557551", "Q3557551")</f>
        <v>0</v>
      </c>
      <c r="O1706" t="s">
        <v>19972</v>
      </c>
      <c r="P1706" t="s">
        <v>20420</v>
      </c>
      <c r="Q1706" t="s">
        <v>17699</v>
      </c>
      <c r="R1706" t="s">
        <v>411</v>
      </c>
      <c r="S1706">
        <v>1658</v>
      </c>
    </row>
    <row r="1707" spans="1:19">
      <c r="A1707" t="s">
        <v>21</v>
      </c>
      <c r="B1707" t="s">
        <v>148</v>
      </c>
      <c r="C1707" t="s">
        <v>153</v>
      </c>
      <c r="D1707" t="s">
        <v>282</v>
      </c>
      <c r="E1707" t="s">
        <v>411</v>
      </c>
      <c r="F1707">
        <f>HYPERLINK("https://www.wikidata.org/wiki/Q33724121", "Q33724121")</f>
        <v>0</v>
      </c>
      <c r="G1707" t="s">
        <v>1580</v>
      </c>
      <c r="H1707" t="s">
        <v>6270</v>
      </c>
      <c r="I1707" t="s">
        <v>9846</v>
      </c>
      <c r="J1707" t="s">
        <v>11466</v>
      </c>
      <c r="K1707" t="s">
        <v>16699</v>
      </c>
      <c r="L1707">
        <f>HYPERLINK("https://www2.assemblee-nationale.fr/sycomore/fiche/(num_dept)/6046", "6046")</f>
        <v>0</v>
      </c>
      <c r="N1707">
        <f>HYPERLINK("https://www.wikidata.org/wiki/Q16026438", "Q16026438")</f>
        <v>0</v>
      </c>
      <c r="O1707" t="s">
        <v>7411</v>
      </c>
      <c r="P1707" t="s">
        <v>20420</v>
      </c>
      <c r="Q1707" t="s">
        <v>17699</v>
      </c>
      <c r="R1707" t="s">
        <v>411</v>
      </c>
      <c r="S1707">
        <v>1658</v>
      </c>
    </row>
    <row r="1708" spans="1:19">
      <c r="A1708" t="s">
        <v>21</v>
      </c>
      <c r="B1708" t="s">
        <v>148</v>
      </c>
      <c r="C1708" t="s">
        <v>153</v>
      </c>
      <c r="D1708" t="s">
        <v>282</v>
      </c>
      <c r="E1708" t="s">
        <v>411</v>
      </c>
      <c r="F1708">
        <f>HYPERLINK("https://www.wikidata.org/wiki/Q33724121", "Q33724121")</f>
        <v>0</v>
      </c>
      <c r="G1708" t="s">
        <v>769</v>
      </c>
      <c r="H1708" t="s">
        <v>5527</v>
      </c>
      <c r="I1708" t="s">
        <v>9516</v>
      </c>
      <c r="J1708" t="s">
        <v>11516</v>
      </c>
      <c r="K1708" t="s">
        <v>15920</v>
      </c>
      <c r="L1708">
        <f>HYPERLINK("https://www2.assemblee-nationale.fr/sycomore/fiche/(num_dept)/6053", "6053")</f>
        <v>0</v>
      </c>
      <c r="N1708">
        <f>HYPERLINK("https://www.wikidata.org/wiki/Q13091126", "Q13091126")</f>
        <v>0</v>
      </c>
      <c r="O1708" t="s">
        <v>19965</v>
      </c>
      <c r="P1708" t="s">
        <v>20404</v>
      </c>
      <c r="Q1708" t="s">
        <v>17699</v>
      </c>
      <c r="R1708" t="s">
        <v>411</v>
      </c>
      <c r="S1708">
        <v>1658</v>
      </c>
    </row>
    <row r="1709" spans="1:19">
      <c r="A1709" t="s">
        <v>21</v>
      </c>
      <c r="B1709" t="s">
        <v>148</v>
      </c>
      <c r="C1709" t="s">
        <v>153</v>
      </c>
      <c r="D1709" t="s">
        <v>282</v>
      </c>
      <c r="E1709" t="s">
        <v>411</v>
      </c>
      <c r="F1709">
        <f>HYPERLINK("https://www.wikidata.org/wiki/Q33724121", "Q33724121")</f>
        <v>0</v>
      </c>
      <c r="G1709" t="s">
        <v>1581</v>
      </c>
      <c r="H1709" t="s">
        <v>6271</v>
      </c>
      <c r="I1709" t="s">
        <v>6495</v>
      </c>
      <c r="J1709" t="s">
        <v>12293</v>
      </c>
      <c r="K1709" t="s">
        <v>16700</v>
      </c>
      <c r="L1709">
        <f>HYPERLINK("https://www2.assemblee-nationale.fr/sycomore/fiche/(num_dept)/6068", "6068")</f>
        <v>0</v>
      </c>
      <c r="N1709">
        <f>HYPERLINK("https://www.wikidata.org/wiki/Q3263043", "Q3263043")</f>
        <v>0</v>
      </c>
      <c r="O1709" t="s">
        <v>19969</v>
      </c>
      <c r="P1709" t="s">
        <v>20416</v>
      </c>
      <c r="Q1709" t="s">
        <v>17699</v>
      </c>
      <c r="R1709" t="s">
        <v>411</v>
      </c>
      <c r="S1709">
        <v>1658</v>
      </c>
    </row>
    <row r="1710" spans="1:19">
      <c r="A1710" t="s">
        <v>21</v>
      </c>
      <c r="B1710" t="s">
        <v>148</v>
      </c>
      <c r="C1710" t="s">
        <v>153</v>
      </c>
      <c r="D1710" t="s">
        <v>282</v>
      </c>
      <c r="E1710" t="s">
        <v>411</v>
      </c>
      <c r="F1710">
        <f>HYPERLINK("https://www.wikidata.org/wiki/Q33724121", "Q33724121")</f>
        <v>0</v>
      </c>
      <c r="G1710" t="s">
        <v>1582</v>
      </c>
      <c r="H1710" t="s">
        <v>6272</v>
      </c>
      <c r="I1710" t="s">
        <v>9470</v>
      </c>
      <c r="J1710" t="s">
        <v>11968</v>
      </c>
      <c r="K1710" t="s">
        <v>16701</v>
      </c>
      <c r="L1710">
        <f>HYPERLINK("https://www2.assemblee-nationale.fr/sycomore/fiche/(num_dept)/6081", "6081")</f>
        <v>0</v>
      </c>
      <c r="N1710">
        <f>HYPERLINK("https://www.wikidata.org/wiki/Q16026448", "Q16026448")</f>
        <v>0</v>
      </c>
      <c r="O1710" t="s">
        <v>19967</v>
      </c>
      <c r="P1710" t="s">
        <v>20416</v>
      </c>
      <c r="Q1710" t="s">
        <v>17699</v>
      </c>
      <c r="R1710" t="s">
        <v>411</v>
      </c>
      <c r="S1710">
        <v>1658</v>
      </c>
    </row>
    <row r="1711" spans="1:19">
      <c r="A1711" t="s">
        <v>21</v>
      </c>
      <c r="B1711" t="s">
        <v>148</v>
      </c>
      <c r="C1711" t="s">
        <v>153</v>
      </c>
      <c r="D1711" t="s">
        <v>282</v>
      </c>
      <c r="E1711" t="s">
        <v>411</v>
      </c>
      <c r="F1711">
        <f>HYPERLINK("https://www.wikidata.org/wiki/Q33724121", "Q33724121")</f>
        <v>0</v>
      </c>
      <c r="G1711" t="s">
        <v>1583</v>
      </c>
      <c r="H1711" t="s">
        <v>6273</v>
      </c>
      <c r="I1711" t="s">
        <v>9847</v>
      </c>
      <c r="J1711" t="s">
        <v>12294</v>
      </c>
      <c r="K1711" t="s">
        <v>16702</v>
      </c>
      <c r="L1711">
        <f>HYPERLINK("https://www2.assemblee-nationale.fr/sycomore/fiche/(num_dept)/6085", "6085")</f>
        <v>0</v>
      </c>
      <c r="N1711">
        <f>HYPERLINK("https://www.wikidata.org/wiki/Q3131944", "Q3131944")</f>
        <v>0</v>
      </c>
      <c r="O1711" t="s">
        <v>19967</v>
      </c>
      <c r="P1711" t="s">
        <v>20416</v>
      </c>
      <c r="Q1711" t="s">
        <v>17699</v>
      </c>
      <c r="R1711" t="s">
        <v>411</v>
      </c>
      <c r="S1711">
        <v>1658</v>
      </c>
    </row>
    <row r="1712" spans="1:19">
      <c r="A1712" t="s">
        <v>21</v>
      </c>
      <c r="B1712" t="s">
        <v>148</v>
      </c>
      <c r="C1712" t="s">
        <v>153</v>
      </c>
      <c r="D1712" t="s">
        <v>282</v>
      </c>
      <c r="E1712" t="s">
        <v>411</v>
      </c>
      <c r="F1712">
        <f>HYPERLINK("https://www.wikidata.org/wiki/Q33724121", "Q33724121")</f>
        <v>0</v>
      </c>
      <c r="G1712" t="s">
        <v>1584</v>
      </c>
      <c r="H1712" t="s">
        <v>6274</v>
      </c>
      <c r="I1712" t="s">
        <v>7642</v>
      </c>
      <c r="J1712" t="s">
        <v>12295</v>
      </c>
      <c r="K1712" t="s">
        <v>16703</v>
      </c>
      <c r="L1712">
        <f>HYPERLINK("https://www2.assemblee-nationale.fr/sycomore/fiche/(num_dept)/6102", "6102")</f>
        <v>0</v>
      </c>
      <c r="M1712">
        <f>HYPERLINK("https://www.senat.fr/senateur-3eme-republique/de_rothschild_maurice0087r3.html", "de_rothschild_maurice0087r3")</f>
        <v>0</v>
      </c>
      <c r="N1712">
        <f>HYPERLINK("https://www.wikidata.org/wiki/Q3301570", "Q3301570")</f>
        <v>0</v>
      </c>
      <c r="O1712" t="s">
        <v>20027</v>
      </c>
      <c r="P1712" t="s">
        <v>20417</v>
      </c>
      <c r="Q1712" t="s">
        <v>17699</v>
      </c>
      <c r="R1712" t="s">
        <v>411</v>
      </c>
      <c r="S1712">
        <v>1658</v>
      </c>
    </row>
    <row r="1713" spans="1:19">
      <c r="A1713" t="s">
        <v>21</v>
      </c>
      <c r="B1713" t="s">
        <v>148</v>
      </c>
      <c r="C1713" t="s">
        <v>153</v>
      </c>
      <c r="D1713" t="s">
        <v>282</v>
      </c>
      <c r="E1713" t="s">
        <v>411</v>
      </c>
      <c r="F1713">
        <f>HYPERLINK("https://www.wikidata.org/wiki/Q33724121", "Q33724121")</f>
        <v>0</v>
      </c>
      <c r="G1713" t="s">
        <v>1585</v>
      </c>
      <c r="H1713" t="s">
        <v>6275</v>
      </c>
      <c r="I1713" t="s">
        <v>9423</v>
      </c>
      <c r="J1713" t="s">
        <v>12296</v>
      </c>
      <c r="K1713" t="s">
        <v>16704</v>
      </c>
      <c r="L1713">
        <f>HYPERLINK("https://www2.assemblee-nationale.fr/sycomore/fiche/(num_dept)/6104", "6104")</f>
        <v>0</v>
      </c>
      <c r="M1713">
        <f>HYPERLINK("https://www.senat.fr/senateur-3eme-republique/des_rotours_guillaume1419r3.html", "des_rotours_guillaume1419r3")</f>
        <v>0</v>
      </c>
      <c r="N1713">
        <f>HYPERLINK("https://www.wikidata.org/wiki/Q3120480", "Q3120480")</f>
        <v>0</v>
      </c>
      <c r="O1713" t="s">
        <v>20013</v>
      </c>
      <c r="P1713" t="s">
        <v>20409</v>
      </c>
      <c r="Q1713" t="s">
        <v>17699</v>
      </c>
      <c r="R1713" t="s">
        <v>411</v>
      </c>
      <c r="S1713">
        <v>1658</v>
      </c>
    </row>
    <row r="1714" spans="1:19">
      <c r="A1714" t="s">
        <v>21</v>
      </c>
      <c r="B1714" t="s">
        <v>148</v>
      </c>
      <c r="C1714" t="s">
        <v>153</v>
      </c>
      <c r="D1714" t="s">
        <v>282</v>
      </c>
      <c r="E1714" t="s">
        <v>411</v>
      </c>
      <c r="F1714">
        <f>HYPERLINK("https://www.wikidata.org/wiki/Q33724121", "Q33724121")</f>
        <v>0</v>
      </c>
      <c r="G1714" t="s">
        <v>1586</v>
      </c>
      <c r="H1714" t="s">
        <v>6276</v>
      </c>
      <c r="I1714" t="s">
        <v>9848</v>
      </c>
      <c r="J1714" t="s">
        <v>12297</v>
      </c>
      <c r="K1714" t="s">
        <v>16705</v>
      </c>
      <c r="L1714">
        <f>HYPERLINK("https://www2.assemblee-nationale.fr/sycomore/fiche/(num_dept)/6115", "6115")</f>
        <v>0</v>
      </c>
      <c r="N1714">
        <f>HYPERLINK("https://www.wikidata.org/wiki/Q16026450", "Q16026450")</f>
        <v>0</v>
      </c>
      <c r="O1714" t="s">
        <v>19956</v>
      </c>
      <c r="P1714" t="s">
        <v>20416</v>
      </c>
      <c r="Q1714" t="s">
        <v>17699</v>
      </c>
      <c r="R1714" t="s">
        <v>411</v>
      </c>
      <c r="S1714">
        <v>1658</v>
      </c>
    </row>
    <row r="1715" spans="1:19">
      <c r="A1715" t="s">
        <v>21</v>
      </c>
      <c r="B1715" t="s">
        <v>148</v>
      </c>
      <c r="C1715" t="s">
        <v>153</v>
      </c>
      <c r="D1715" t="s">
        <v>282</v>
      </c>
      <c r="E1715" t="s">
        <v>411</v>
      </c>
      <c r="F1715">
        <f>HYPERLINK("https://www.wikidata.org/wiki/Q33724121", "Q33724121")</f>
        <v>0</v>
      </c>
      <c r="G1715" t="s">
        <v>774</v>
      </c>
      <c r="H1715" t="s">
        <v>5532</v>
      </c>
      <c r="I1715" t="s">
        <v>9520</v>
      </c>
      <c r="J1715" t="s">
        <v>11521</v>
      </c>
      <c r="K1715" t="s">
        <v>15925</v>
      </c>
      <c r="L1715">
        <f>HYPERLINK("https://www2.assemblee-nationale.fr/sycomore/fiche/(num_dept)/6124", "6124")</f>
        <v>0</v>
      </c>
      <c r="N1715">
        <f>HYPERLINK("https://www.wikidata.org/wiki/Q8329099", "Q8329099")</f>
        <v>0</v>
      </c>
      <c r="O1715" t="s">
        <v>19957</v>
      </c>
      <c r="P1715" t="s">
        <v>20416</v>
      </c>
      <c r="Q1715" t="s">
        <v>17699</v>
      </c>
      <c r="R1715" t="s">
        <v>411</v>
      </c>
      <c r="S1715">
        <v>1658</v>
      </c>
    </row>
    <row r="1716" spans="1:19">
      <c r="A1716" t="s">
        <v>21</v>
      </c>
      <c r="B1716" t="s">
        <v>148</v>
      </c>
      <c r="C1716" t="s">
        <v>153</v>
      </c>
      <c r="D1716" t="s">
        <v>282</v>
      </c>
      <c r="E1716" t="s">
        <v>411</v>
      </c>
      <c r="F1716">
        <f>HYPERLINK("https://www.wikidata.org/wiki/Q33724121", "Q33724121")</f>
        <v>0</v>
      </c>
      <c r="G1716" t="s">
        <v>1587</v>
      </c>
      <c r="H1716" t="s">
        <v>6277</v>
      </c>
      <c r="I1716" t="s">
        <v>9849</v>
      </c>
      <c r="J1716" t="s">
        <v>11937</v>
      </c>
      <c r="K1716" t="s">
        <v>316</v>
      </c>
      <c r="L1716">
        <f>HYPERLINK("https://www2.assemblee-nationale.fr/sycomore/fiche/(num_dept)/6155", "6155")</f>
        <v>0</v>
      </c>
      <c r="N1716">
        <f>HYPERLINK("https://www.wikidata.org/wiki/Q2960157", "Q2960157")</f>
        <v>0</v>
      </c>
      <c r="O1716" t="s">
        <v>19958</v>
      </c>
      <c r="P1716" t="s">
        <v>20418</v>
      </c>
      <c r="Q1716" t="s">
        <v>17699</v>
      </c>
      <c r="R1716" t="s">
        <v>411</v>
      </c>
      <c r="S1716">
        <v>1658</v>
      </c>
    </row>
    <row r="1717" spans="1:19">
      <c r="A1717" t="s">
        <v>21</v>
      </c>
      <c r="B1717" t="s">
        <v>148</v>
      </c>
      <c r="C1717" t="s">
        <v>153</v>
      </c>
      <c r="D1717" t="s">
        <v>282</v>
      </c>
      <c r="E1717" t="s">
        <v>411</v>
      </c>
      <c r="F1717">
        <f>HYPERLINK("https://www.wikidata.org/wiki/Q33724121", "Q33724121")</f>
        <v>0</v>
      </c>
      <c r="G1717" t="s">
        <v>775</v>
      </c>
      <c r="H1717" t="s">
        <v>5533</v>
      </c>
      <c r="I1717" t="s">
        <v>9453</v>
      </c>
      <c r="J1717" t="s">
        <v>11522</v>
      </c>
      <c r="K1717" t="s">
        <v>15926</v>
      </c>
      <c r="L1717">
        <f>HYPERLINK("https://www2.assemblee-nationale.fr/sycomore/fiche/(num_dept)/6180", "6180")</f>
        <v>0</v>
      </c>
      <c r="N1717">
        <f>HYPERLINK("https://www.wikidata.org/wiki/Q2865323", "Q2865323")</f>
        <v>0</v>
      </c>
      <c r="O1717" t="s">
        <v>19969</v>
      </c>
      <c r="P1717" t="s">
        <v>20409</v>
      </c>
      <c r="Q1717" t="s">
        <v>17699</v>
      </c>
      <c r="R1717" t="s">
        <v>15926</v>
      </c>
      <c r="S1717">
        <v>1510</v>
      </c>
    </row>
    <row r="1718" spans="1:19">
      <c r="A1718" t="s">
        <v>21</v>
      </c>
      <c r="B1718" t="s">
        <v>148</v>
      </c>
      <c r="C1718" t="s">
        <v>153</v>
      </c>
      <c r="D1718" t="s">
        <v>282</v>
      </c>
      <c r="E1718" t="s">
        <v>411</v>
      </c>
      <c r="F1718">
        <f>HYPERLINK("https://www.wikidata.org/wiki/Q33724121", "Q33724121")</f>
        <v>0</v>
      </c>
      <c r="G1718" t="s">
        <v>1588</v>
      </c>
      <c r="H1718" t="s">
        <v>6278</v>
      </c>
      <c r="I1718" t="s">
        <v>9850</v>
      </c>
      <c r="J1718" t="s">
        <v>12298</v>
      </c>
      <c r="K1718" t="s">
        <v>16706</v>
      </c>
      <c r="L1718">
        <f>HYPERLINK("https://www2.assemblee-nationale.fr/sycomore/fiche/(num_dept)/6187", "6187")</f>
        <v>0</v>
      </c>
      <c r="N1718">
        <f>HYPERLINK("https://www.wikidata.org/wiki/Q8337374", "Q8337374")</f>
        <v>0</v>
      </c>
      <c r="O1718" t="s">
        <v>19998</v>
      </c>
      <c r="P1718" t="s">
        <v>20420</v>
      </c>
      <c r="Q1718" t="s">
        <v>17699</v>
      </c>
      <c r="R1718" t="s">
        <v>411</v>
      </c>
      <c r="S1718">
        <v>1658</v>
      </c>
    </row>
    <row r="1719" spans="1:19">
      <c r="A1719" t="s">
        <v>21</v>
      </c>
      <c r="B1719" t="s">
        <v>148</v>
      </c>
      <c r="C1719" t="s">
        <v>153</v>
      </c>
      <c r="D1719" t="s">
        <v>282</v>
      </c>
      <c r="E1719" t="s">
        <v>411</v>
      </c>
      <c r="F1719">
        <f>HYPERLINK("https://www.wikidata.org/wiki/Q33724121", "Q33724121")</f>
        <v>0</v>
      </c>
      <c r="G1719" t="s">
        <v>1589</v>
      </c>
      <c r="H1719" t="s">
        <v>6279</v>
      </c>
      <c r="I1719" t="s">
        <v>9851</v>
      </c>
      <c r="J1719" t="s">
        <v>11581</v>
      </c>
      <c r="K1719" t="s">
        <v>16707</v>
      </c>
      <c r="L1719">
        <f>HYPERLINK("https://www2.assemblee-nationale.fr/sycomore/fiche/(num_dept)/6211", "6211")</f>
        <v>0</v>
      </c>
      <c r="N1719">
        <f>HYPERLINK("https://www.wikidata.org/wiki/Q2856704", "Q2856704")</f>
        <v>0</v>
      </c>
      <c r="O1719" t="s">
        <v>19973</v>
      </c>
      <c r="P1719" t="s">
        <v>20416</v>
      </c>
      <c r="Q1719" t="s">
        <v>17699</v>
      </c>
      <c r="R1719" t="s">
        <v>411</v>
      </c>
      <c r="S1719">
        <v>1658</v>
      </c>
    </row>
    <row r="1720" spans="1:19">
      <c r="A1720" t="s">
        <v>21</v>
      </c>
      <c r="B1720" t="s">
        <v>148</v>
      </c>
      <c r="C1720" t="s">
        <v>153</v>
      </c>
      <c r="D1720" t="s">
        <v>282</v>
      </c>
      <c r="E1720" t="s">
        <v>411</v>
      </c>
      <c r="F1720">
        <f>HYPERLINK("https://www.wikidata.org/wiki/Q33724121", "Q33724121")</f>
        <v>0</v>
      </c>
      <c r="G1720" t="s">
        <v>1590</v>
      </c>
      <c r="H1720" t="s">
        <v>6280</v>
      </c>
      <c r="I1720" t="s">
        <v>9385</v>
      </c>
      <c r="J1720" t="s">
        <v>12299</v>
      </c>
      <c r="K1720" t="s">
        <v>16708</v>
      </c>
      <c r="L1720">
        <f>HYPERLINK("https://www2.assemblee-nationale.fr/sycomore/fiche/(num_dept)/6233", "6233")</f>
        <v>0</v>
      </c>
      <c r="N1720">
        <f>HYPERLINK("https://www.wikidata.org/wiki/Q37793124", "Q37793124")</f>
        <v>0</v>
      </c>
      <c r="O1720" t="s">
        <v>20013</v>
      </c>
      <c r="P1720" t="s">
        <v>20404</v>
      </c>
      <c r="Q1720" t="s">
        <v>17699</v>
      </c>
      <c r="R1720" t="s">
        <v>411</v>
      </c>
      <c r="S1720">
        <v>1658</v>
      </c>
    </row>
    <row r="1721" spans="1:19">
      <c r="A1721" t="s">
        <v>21</v>
      </c>
      <c r="B1721" t="s">
        <v>148</v>
      </c>
      <c r="C1721" t="s">
        <v>153</v>
      </c>
      <c r="D1721" t="s">
        <v>282</v>
      </c>
      <c r="E1721" t="s">
        <v>411</v>
      </c>
      <c r="F1721">
        <f>HYPERLINK("https://www.wikidata.org/wiki/Q33724121", "Q33724121")</f>
        <v>0</v>
      </c>
      <c r="G1721" t="s">
        <v>1591</v>
      </c>
      <c r="H1721" t="s">
        <v>6281</v>
      </c>
      <c r="I1721" t="s">
        <v>9692</v>
      </c>
      <c r="J1721" t="s">
        <v>12154</v>
      </c>
      <c r="K1721" t="s">
        <v>16709</v>
      </c>
      <c r="L1721">
        <f>HYPERLINK("https://www2.assemblee-nationale.fr/sycomore/fiche/(num_dept)/6246", "6246")</f>
        <v>0</v>
      </c>
      <c r="N1721">
        <f>HYPERLINK("https://www.wikidata.org/wiki/Q16026470", "Q16026470")</f>
        <v>0</v>
      </c>
      <c r="O1721" t="s">
        <v>20045</v>
      </c>
      <c r="P1721" t="s">
        <v>20416</v>
      </c>
      <c r="Q1721" t="s">
        <v>17699</v>
      </c>
      <c r="R1721" t="s">
        <v>411</v>
      </c>
      <c r="S1721">
        <v>1658</v>
      </c>
    </row>
    <row r="1722" spans="1:19">
      <c r="A1722" t="s">
        <v>21</v>
      </c>
      <c r="B1722" t="s">
        <v>148</v>
      </c>
      <c r="C1722" t="s">
        <v>153</v>
      </c>
      <c r="D1722" t="s">
        <v>282</v>
      </c>
      <c r="E1722" t="s">
        <v>411</v>
      </c>
      <c r="F1722">
        <f>HYPERLINK("https://www.wikidata.org/wiki/Q33724121", "Q33724121")</f>
        <v>0</v>
      </c>
      <c r="G1722" t="s">
        <v>1592</v>
      </c>
      <c r="H1722" t="s">
        <v>6282</v>
      </c>
      <c r="I1722" t="s">
        <v>9499</v>
      </c>
      <c r="J1722" t="s">
        <v>12300</v>
      </c>
      <c r="K1722" t="s">
        <v>16710</v>
      </c>
      <c r="L1722">
        <f>HYPERLINK("https://www2.assemblee-nationale.fr/sycomore/fiche/(num_dept)/6273", "6273")</f>
        <v>0</v>
      </c>
      <c r="N1722">
        <f>HYPERLINK("https://www.wikidata.org/wiki/Q1248451", "Q1248451")</f>
        <v>0</v>
      </c>
      <c r="O1722" t="s">
        <v>19969</v>
      </c>
      <c r="P1722" t="s">
        <v>20409</v>
      </c>
      <c r="Q1722" t="s">
        <v>17699</v>
      </c>
      <c r="R1722" t="s">
        <v>411</v>
      </c>
      <c r="S1722">
        <v>1658</v>
      </c>
    </row>
    <row r="1723" spans="1:19">
      <c r="A1723" t="s">
        <v>21</v>
      </c>
      <c r="B1723" t="s">
        <v>148</v>
      </c>
      <c r="C1723" t="s">
        <v>153</v>
      </c>
      <c r="D1723" t="s">
        <v>282</v>
      </c>
      <c r="E1723" t="s">
        <v>411</v>
      </c>
      <c r="F1723">
        <f>HYPERLINK("https://www.wikidata.org/wiki/Q33724121", "Q33724121")</f>
        <v>0</v>
      </c>
      <c r="G1723" t="s">
        <v>778</v>
      </c>
      <c r="H1723" t="s">
        <v>5536</v>
      </c>
      <c r="I1723" t="s">
        <v>6584</v>
      </c>
      <c r="J1723" t="s">
        <v>11525</v>
      </c>
      <c r="K1723" t="s">
        <v>15929</v>
      </c>
      <c r="L1723">
        <f>HYPERLINK("https://www2.assemblee-nationale.fr/sycomore/fiche/(num_dept)/6293", "6293")</f>
        <v>0</v>
      </c>
      <c r="M1723">
        <f>HYPERLINK("https://www.senat.fr/senateur-3eme-republique/sarraut_albert0265r3.html", "sarraut_albert0265r3")</f>
        <v>0</v>
      </c>
      <c r="N1723">
        <f>HYPERLINK("https://www.wikidata.org/wiki/Q460318", "Q460318")</f>
        <v>0</v>
      </c>
      <c r="O1723" t="s">
        <v>19960</v>
      </c>
      <c r="P1723" t="s">
        <v>20418</v>
      </c>
      <c r="Q1723" t="s">
        <v>17699</v>
      </c>
      <c r="R1723" t="s">
        <v>411</v>
      </c>
      <c r="S1723">
        <v>1658</v>
      </c>
    </row>
    <row r="1724" spans="1:19">
      <c r="A1724" t="s">
        <v>21</v>
      </c>
      <c r="B1724" t="s">
        <v>148</v>
      </c>
      <c r="C1724" t="s">
        <v>153</v>
      </c>
      <c r="D1724" t="s">
        <v>282</v>
      </c>
      <c r="E1724" t="s">
        <v>411</v>
      </c>
      <c r="F1724">
        <f>HYPERLINK("https://www.wikidata.org/wiki/Q33724121", "Q33724121")</f>
        <v>0</v>
      </c>
      <c r="G1724" t="s">
        <v>779</v>
      </c>
      <c r="H1724" t="s">
        <v>5537</v>
      </c>
      <c r="I1724" t="s">
        <v>6175</v>
      </c>
      <c r="J1724" t="s">
        <v>11526</v>
      </c>
      <c r="K1724" t="s">
        <v>15930</v>
      </c>
      <c r="L1724">
        <f>HYPERLINK("https://www2.assemblee-nationale.fr/sycomore/fiche/(num_dept)/6306", "6306")</f>
        <v>0</v>
      </c>
      <c r="N1724">
        <f>HYPERLINK("https://www.wikidata.org/wiki/Q16026484", "Q16026484")</f>
        <v>0</v>
      </c>
      <c r="O1724" t="s">
        <v>20010</v>
      </c>
      <c r="P1724" t="s">
        <v>20412</v>
      </c>
      <c r="Q1724" t="s">
        <v>17699</v>
      </c>
      <c r="R1724" t="s">
        <v>411</v>
      </c>
      <c r="S1724">
        <v>1658</v>
      </c>
    </row>
    <row r="1725" spans="1:19">
      <c r="A1725" t="s">
        <v>21</v>
      </c>
      <c r="B1725" t="s">
        <v>148</v>
      </c>
      <c r="C1725" t="s">
        <v>153</v>
      </c>
      <c r="D1725" t="s">
        <v>282</v>
      </c>
      <c r="E1725" t="s">
        <v>411</v>
      </c>
      <c r="F1725">
        <f>HYPERLINK("https://www.wikidata.org/wiki/Q33724121", "Q33724121")</f>
        <v>0</v>
      </c>
      <c r="G1725" t="s">
        <v>1593</v>
      </c>
      <c r="H1725" t="s">
        <v>6283</v>
      </c>
      <c r="I1725" t="s">
        <v>9385</v>
      </c>
      <c r="J1725" t="s">
        <v>12301</v>
      </c>
      <c r="K1725" t="s">
        <v>16711</v>
      </c>
      <c r="L1725">
        <f>HYPERLINK("https://www2.assemblee-nationale.fr/sycomore/fiche/(num_dept)/6332", "6332")</f>
        <v>0</v>
      </c>
      <c r="N1725">
        <f>HYPERLINK("https://www.wikidata.org/wiki/Q8340240", "Q8340240")</f>
        <v>0</v>
      </c>
      <c r="O1725" t="s">
        <v>20049</v>
      </c>
      <c r="P1725" t="s">
        <v>20417</v>
      </c>
      <c r="Q1725" t="s">
        <v>17699</v>
      </c>
      <c r="R1725" t="s">
        <v>411</v>
      </c>
      <c r="S1725">
        <v>1658</v>
      </c>
    </row>
    <row r="1726" spans="1:19">
      <c r="A1726" t="s">
        <v>21</v>
      </c>
      <c r="B1726" t="s">
        <v>148</v>
      </c>
      <c r="C1726" t="s">
        <v>153</v>
      </c>
      <c r="D1726" t="s">
        <v>282</v>
      </c>
      <c r="E1726" t="s">
        <v>411</v>
      </c>
      <c r="F1726">
        <f>HYPERLINK("https://www.wikidata.org/wiki/Q33724121", "Q33724121")</f>
        <v>0</v>
      </c>
      <c r="G1726" t="s">
        <v>1594</v>
      </c>
      <c r="H1726" t="s">
        <v>6284</v>
      </c>
      <c r="I1726" t="s">
        <v>6759</v>
      </c>
      <c r="J1726" t="s">
        <v>12302</v>
      </c>
      <c r="K1726" t="s">
        <v>16712</v>
      </c>
      <c r="L1726">
        <f>HYPERLINK("https://www2.assemblee-nationale.fr/sycomore/fiche/(num_dept)/6358", "6358")</f>
        <v>0</v>
      </c>
      <c r="N1726">
        <f>HYPERLINK("https://www.wikidata.org/wiki/Q15981", "Q15981")</f>
        <v>0</v>
      </c>
      <c r="O1726" t="s">
        <v>20050</v>
      </c>
      <c r="P1726" t="s">
        <v>20416</v>
      </c>
      <c r="Q1726" t="s">
        <v>17699</v>
      </c>
      <c r="R1726" t="s">
        <v>411</v>
      </c>
      <c r="S1726">
        <v>1658</v>
      </c>
    </row>
    <row r="1727" spans="1:19">
      <c r="A1727" t="s">
        <v>21</v>
      </c>
      <c r="B1727" t="s">
        <v>148</v>
      </c>
      <c r="C1727" t="s">
        <v>153</v>
      </c>
      <c r="D1727" t="s">
        <v>282</v>
      </c>
      <c r="E1727" t="s">
        <v>411</v>
      </c>
      <c r="F1727">
        <f>HYPERLINK("https://www.wikidata.org/wiki/Q33724121", "Q33724121")</f>
        <v>0</v>
      </c>
      <c r="G1727" t="s">
        <v>1595</v>
      </c>
      <c r="H1727" t="s">
        <v>6285</v>
      </c>
      <c r="I1727" t="s">
        <v>6367</v>
      </c>
      <c r="J1727" t="s">
        <v>12303</v>
      </c>
      <c r="K1727" t="s">
        <v>16713</v>
      </c>
      <c r="L1727">
        <f>HYPERLINK("https://www2.assemblee-nationale.fr/sycomore/fiche/(num_dept)/6378", "6378")</f>
        <v>0</v>
      </c>
      <c r="N1727">
        <f>HYPERLINK("https://www.wikidata.org/wiki/Q3525560", "Q3525560")</f>
        <v>0</v>
      </c>
      <c r="O1727" t="s">
        <v>20048</v>
      </c>
      <c r="P1727" t="s">
        <v>20416</v>
      </c>
      <c r="Q1727" t="s">
        <v>17699</v>
      </c>
      <c r="R1727" t="s">
        <v>411</v>
      </c>
      <c r="S1727">
        <v>1658</v>
      </c>
    </row>
    <row r="1728" spans="1:19">
      <c r="A1728" t="s">
        <v>21</v>
      </c>
      <c r="B1728" t="s">
        <v>148</v>
      </c>
      <c r="C1728" t="s">
        <v>153</v>
      </c>
      <c r="D1728" t="s">
        <v>282</v>
      </c>
      <c r="E1728" t="s">
        <v>411</v>
      </c>
      <c r="F1728">
        <f>HYPERLINK("https://www.wikidata.org/wiki/Q33724121", "Q33724121")</f>
        <v>0</v>
      </c>
      <c r="G1728" t="s">
        <v>786</v>
      </c>
      <c r="H1728" t="s">
        <v>5543</v>
      </c>
      <c r="I1728" t="s">
        <v>9523</v>
      </c>
      <c r="J1728" t="s">
        <v>11533</v>
      </c>
      <c r="K1728" t="s">
        <v>15937</v>
      </c>
      <c r="L1728">
        <f>HYPERLINK("https://www2.assemblee-nationale.fr/sycomore/fiche/(num_dept)/6379", "6379")</f>
        <v>0</v>
      </c>
      <c r="N1728">
        <f>HYPERLINK("https://www.wikidata.org/wiki/Q2019775", "Q2019775")</f>
        <v>0</v>
      </c>
      <c r="O1728" t="s">
        <v>19969</v>
      </c>
      <c r="P1728" t="s">
        <v>20404</v>
      </c>
      <c r="Q1728" t="s">
        <v>17699</v>
      </c>
      <c r="R1728" t="s">
        <v>15937</v>
      </c>
      <c r="S1728">
        <v>1024</v>
      </c>
    </row>
    <row r="1729" spans="1:19">
      <c r="A1729" t="s">
        <v>21</v>
      </c>
      <c r="B1729" t="s">
        <v>148</v>
      </c>
      <c r="C1729" t="s">
        <v>153</v>
      </c>
      <c r="D1729" t="s">
        <v>282</v>
      </c>
      <c r="E1729" t="s">
        <v>411</v>
      </c>
      <c r="F1729">
        <f>HYPERLINK("https://www.wikidata.org/wiki/Q33724121", "Q33724121")</f>
        <v>0</v>
      </c>
      <c r="G1729" t="s">
        <v>1596</v>
      </c>
      <c r="H1729" t="s">
        <v>6286</v>
      </c>
      <c r="I1729" t="s">
        <v>9401</v>
      </c>
      <c r="J1729" t="s">
        <v>12304</v>
      </c>
      <c r="K1729" t="s">
        <v>16714</v>
      </c>
      <c r="L1729">
        <f>HYPERLINK("https://www2.assemblee-nationale.fr/sycomore/fiche/(num_dept)/6380", "6380")</f>
        <v>0</v>
      </c>
      <c r="N1729">
        <f>HYPERLINK("https://www.wikidata.org/wiki/Q8340642", "Q8340642")</f>
        <v>0</v>
      </c>
      <c r="O1729" t="s">
        <v>20027</v>
      </c>
      <c r="P1729" t="s">
        <v>20417</v>
      </c>
      <c r="Q1729" t="s">
        <v>17699</v>
      </c>
      <c r="R1729" t="s">
        <v>16714</v>
      </c>
      <c r="S1729">
        <v>1111</v>
      </c>
    </row>
    <row r="1730" spans="1:19">
      <c r="A1730" t="s">
        <v>21</v>
      </c>
      <c r="B1730" t="s">
        <v>148</v>
      </c>
      <c r="C1730" t="s">
        <v>153</v>
      </c>
      <c r="D1730" t="s">
        <v>282</v>
      </c>
      <c r="E1730" t="s">
        <v>411</v>
      </c>
      <c r="F1730">
        <f>HYPERLINK("https://www.wikidata.org/wiki/Q33724121", "Q33724121")</f>
        <v>0</v>
      </c>
      <c r="G1730" t="s">
        <v>1597</v>
      </c>
      <c r="H1730" t="s">
        <v>6287</v>
      </c>
      <c r="I1730" t="s">
        <v>6200</v>
      </c>
      <c r="J1730" t="s">
        <v>12305</v>
      </c>
      <c r="K1730" t="s">
        <v>16715</v>
      </c>
      <c r="L1730">
        <f>HYPERLINK("https://www2.assemblee-nationale.fr/sycomore/fiche/(num_dept)/6381", "6381")</f>
        <v>0</v>
      </c>
      <c r="N1730">
        <f>HYPERLINK("https://www.wikidata.org/wiki/Q16798560", "Q16798560")</f>
        <v>0</v>
      </c>
      <c r="O1730" t="s">
        <v>20003</v>
      </c>
      <c r="P1730" t="s">
        <v>20418</v>
      </c>
      <c r="Q1730" t="s">
        <v>17699</v>
      </c>
      <c r="R1730" t="s">
        <v>411</v>
      </c>
      <c r="S1730">
        <v>1658</v>
      </c>
    </row>
    <row r="1731" spans="1:19">
      <c r="A1731" t="s">
        <v>21</v>
      </c>
      <c r="B1731" t="s">
        <v>148</v>
      </c>
      <c r="C1731" t="s">
        <v>153</v>
      </c>
      <c r="D1731" t="s">
        <v>282</v>
      </c>
      <c r="E1731" t="s">
        <v>411</v>
      </c>
      <c r="F1731">
        <f>HYPERLINK("https://www.wikidata.org/wiki/Q33724121", "Q33724121")</f>
        <v>0</v>
      </c>
      <c r="G1731" t="s">
        <v>1598</v>
      </c>
      <c r="H1731" t="s">
        <v>6288</v>
      </c>
      <c r="I1731" t="s">
        <v>6759</v>
      </c>
      <c r="J1731" t="s">
        <v>12306</v>
      </c>
      <c r="K1731" t="s">
        <v>16716</v>
      </c>
      <c r="L1731">
        <f>HYPERLINK("https://www2.assemblee-nationale.fr/sycomore/fiche/(num_dept)/6396", "6396")</f>
        <v>0</v>
      </c>
      <c r="N1731">
        <f>HYPERLINK("https://www.wikidata.org/wiki/Q3436380", "Q3436380")</f>
        <v>0</v>
      </c>
      <c r="O1731" t="s">
        <v>20050</v>
      </c>
      <c r="P1731" t="s">
        <v>20416</v>
      </c>
      <c r="Q1731" t="s">
        <v>17699</v>
      </c>
      <c r="R1731" t="s">
        <v>411</v>
      </c>
      <c r="S1731">
        <v>1658</v>
      </c>
    </row>
    <row r="1732" spans="1:19">
      <c r="A1732" t="s">
        <v>21</v>
      </c>
      <c r="B1732" t="s">
        <v>148</v>
      </c>
      <c r="C1732" t="s">
        <v>153</v>
      </c>
      <c r="D1732" t="s">
        <v>282</v>
      </c>
      <c r="E1732" t="s">
        <v>411</v>
      </c>
      <c r="F1732">
        <f>HYPERLINK("https://www.wikidata.org/wiki/Q33724121", "Q33724121")</f>
        <v>0</v>
      </c>
      <c r="G1732" t="s">
        <v>1599</v>
      </c>
      <c r="H1732" t="s">
        <v>5786</v>
      </c>
      <c r="I1732" t="s">
        <v>9852</v>
      </c>
      <c r="J1732" t="s">
        <v>12307</v>
      </c>
      <c r="K1732" t="s">
        <v>16717</v>
      </c>
      <c r="L1732">
        <f>HYPERLINK("https://www2.assemblee-nationale.fr/sycomore/fiche/(num_dept)/6401", "6401")</f>
        <v>0</v>
      </c>
      <c r="N1732">
        <f>HYPERLINK("https://www.wikidata.org/wiki/Q3159791", "Q3159791")</f>
        <v>0</v>
      </c>
      <c r="O1732" t="s">
        <v>20031</v>
      </c>
      <c r="P1732" t="s">
        <v>20416</v>
      </c>
      <c r="Q1732" t="s">
        <v>17699</v>
      </c>
      <c r="R1732" t="s">
        <v>411</v>
      </c>
      <c r="S1732">
        <v>1658</v>
      </c>
    </row>
    <row r="1733" spans="1:19">
      <c r="A1733" t="s">
        <v>21</v>
      </c>
      <c r="B1733" t="s">
        <v>148</v>
      </c>
      <c r="C1733" t="s">
        <v>153</v>
      </c>
      <c r="D1733" t="s">
        <v>282</v>
      </c>
      <c r="E1733" t="s">
        <v>411</v>
      </c>
      <c r="F1733">
        <f>HYPERLINK("https://www.wikidata.org/wiki/Q33724121", "Q33724121")</f>
        <v>0</v>
      </c>
      <c r="G1733" t="s">
        <v>1600</v>
      </c>
      <c r="H1733" t="s">
        <v>6289</v>
      </c>
      <c r="I1733" t="s">
        <v>9470</v>
      </c>
      <c r="J1733" t="s">
        <v>12308</v>
      </c>
      <c r="K1733" t="s">
        <v>16212</v>
      </c>
      <c r="L1733">
        <f>HYPERLINK("https://www2.assemblee-nationale.fr/sycomore/fiche/(num_dept)/6403", "6403")</f>
        <v>0</v>
      </c>
      <c r="N1733">
        <f>HYPERLINK("https://www.wikidata.org/wiki/Q3099119", "Q3099119")</f>
        <v>0</v>
      </c>
      <c r="O1733" t="s">
        <v>20025</v>
      </c>
      <c r="P1733" t="s">
        <v>20406</v>
      </c>
      <c r="Q1733" t="s">
        <v>17699</v>
      </c>
      <c r="R1733" t="s">
        <v>411</v>
      </c>
      <c r="S1733">
        <v>1658</v>
      </c>
    </row>
    <row r="1734" spans="1:19">
      <c r="A1734" t="s">
        <v>21</v>
      </c>
      <c r="B1734" t="s">
        <v>148</v>
      </c>
      <c r="C1734" t="s">
        <v>153</v>
      </c>
      <c r="D1734" t="s">
        <v>282</v>
      </c>
      <c r="E1734" t="s">
        <v>411</v>
      </c>
      <c r="F1734">
        <f>HYPERLINK("https://www.wikidata.org/wiki/Q33724121", "Q33724121")</f>
        <v>0</v>
      </c>
      <c r="G1734" t="s">
        <v>1299</v>
      </c>
      <c r="H1734" t="s">
        <v>6021</v>
      </c>
      <c r="I1734" t="s">
        <v>9611</v>
      </c>
      <c r="J1734" t="s">
        <v>12029</v>
      </c>
      <c r="K1734" t="s">
        <v>15976</v>
      </c>
      <c r="L1734">
        <f>HYPERLINK("https://www2.assemblee-nationale.fr/sycomore/fiche/(num_dept)/6413", "6413")</f>
        <v>0</v>
      </c>
      <c r="N1734">
        <f>HYPERLINK("https://www.wikidata.org/wiki/Q16026352", "Q16026352")</f>
        <v>0</v>
      </c>
      <c r="O1734" t="s">
        <v>19994</v>
      </c>
      <c r="P1734" t="s">
        <v>20418</v>
      </c>
      <c r="Q1734" t="s">
        <v>17699</v>
      </c>
      <c r="R1734" t="s">
        <v>411</v>
      </c>
      <c r="S1734">
        <v>1658</v>
      </c>
    </row>
    <row r="1735" spans="1:19">
      <c r="A1735" t="s">
        <v>21</v>
      </c>
      <c r="B1735" t="s">
        <v>148</v>
      </c>
      <c r="C1735" t="s">
        <v>153</v>
      </c>
      <c r="D1735" t="s">
        <v>282</v>
      </c>
      <c r="E1735" t="s">
        <v>411</v>
      </c>
      <c r="F1735">
        <f>HYPERLINK("https://www.wikidata.org/wiki/Q33724121", "Q33724121")</f>
        <v>0</v>
      </c>
      <c r="G1735" t="s">
        <v>1601</v>
      </c>
      <c r="H1735" t="s">
        <v>6290</v>
      </c>
      <c r="I1735" t="s">
        <v>9421</v>
      </c>
      <c r="J1735" t="s">
        <v>12309</v>
      </c>
      <c r="K1735" t="s">
        <v>16718</v>
      </c>
      <c r="L1735">
        <f>HYPERLINK("https://www2.assemblee-nationale.fr/sycomore/fiche/(num_dept)/6461", "6461")</f>
        <v>0</v>
      </c>
      <c r="N1735">
        <f>HYPERLINK("https://www.wikidata.org/wiki/Q3121300", "Q3121300")</f>
        <v>0</v>
      </c>
      <c r="O1735" t="s">
        <v>19998</v>
      </c>
      <c r="P1735" t="s">
        <v>20416</v>
      </c>
      <c r="Q1735" t="s">
        <v>17699</v>
      </c>
      <c r="R1735" t="s">
        <v>411</v>
      </c>
      <c r="S1735">
        <v>1658</v>
      </c>
    </row>
    <row r="1736" spans="1:19">
      <c r="A1736" t="s">
        <v>21</v>
      </c>
      <c r="B1736" t="s">
        <v>148</v>
      </c>
      <c r="C1736" t="s">
        <v>153</v>
      </c>
      <c r="D1736" t="s">
        <v>282</v>
      </c>
      <c r="E1736" t="s">
        <v>411</v>
      </c>
      <c r="F1736">
        <f>HYPERLINK("https://www.wikidata.org/wiki/Q33724121", "Q33724121")</f>
        <v>0</v>
      </c>
      <c r="G1736" t="s">
        <v>1602</v>
      </c>
      <c r="H1736" t="s">
        <v>6291</v>
      </c>
      <c r="I1736" t="s">
        <v>9407</v>
      </c>
      <c r="J1736" t="s">
        <v>12310</v>
      </c>
      <c r="K1736" t="s">
        <v>16719</v>
      </c>
      <c r="L1736">
        <f>HYPERLINK("https://www2.assemblee-nationale.fr/sycomore/fiche/(num_dept)/6468", "6468")</f>
        <v>0</v>
      </c>
      <c r="N1736">
        <f>HYPERLINK("https://www.wikidata.org/wiki/Q16026363", "Q16026363")</f>
        <v>0</v>
      </c>
      <c r="O1736" t="s">
        <v>20044</v>
      </c>
      <c r="P1736" t="s">
        <v>20419</v>
      </c>
      <c r="Q1736" t="s">
        <v>17699</v>
      </c>
      <c r="R1736" t="s">
        <v>411</v>
      </c>
      <c r="S1736">
        <v>1658</v>
      </c>
    </row>
    <row r="1737" spans="1:19">
      <c r="A1737" t="s">
        <v>21</v>
      </c>
      <c r="B1737" t="s">
        <v>148</v>
      </c>
      <c r="C1737" t="s">
        <v>153</v>
      </c>
      <c r="D1737" t="s">
        <v>282</v>
      </c>
      <c r="E1737" t="s">
        <v>411</v>
      </c>
      <c r="F1737">
        <f>HYPERLINK("https://www.wikidata.org/wiki/Q33724121", "Q33724121")</f>
        <v>0</v>
      </c>
      <c r="G1737" t="s">
        <v>1197</v>
      </c>
      <c r="H1737" t="s">
        <v>5927</v>
      </c>
      <c r="I1737" t="s">
        <v>9445</v>
      </c>
      <c r="J1737" t="s">
        <v>11930</v>
      </c>
      <c r="K1737" t="s">
        <v>16331</v>
      </c>
      <c r="L1737">
        <f>HYPERLINK("https://www2.assemblee-nationale.fr/sycomore/fiche/(num_dept)/6492", "6492")</f>
        <v>0</v>
      </c>
      <c r="N1737">
        <f>HYPERLINK("https://www.wikidata.org/wiki/Q4685656", "Q4685656")</f>
        <v>0</v>
      </c>
      <c r="O1737" t="s">
        <v>19977</v>
      </c>
      <c r="P1737" t="s">
        <v>20404</v>
      </c>
      <c r="Q1737" t="s">
        <v>17699</v>
      </c>
      <c r="R1737" t="s">
        <v>411</v>
      </c>
      <c r="S1737">
        <v>1658</v>
      </c>
    </row>
    <row r="1738" spans="1:19">
      <c r="A1738" t="s">
        <v>21</v>
      </c>
      <c r="B1738" t="s">
        <v>148</v>
      </c>
      <c r="C1738" t="s">
        <v>153</v>
      </c>
      <c r="D1738" t="s">
        <v>282</v>
      </c>
      <c r="E1738" t="s">
        <v>411</v>
      </c>
      <c r="F1738">
        <f>HYPERLINK("https://www.wikidata.org/wiki/Q33724121", "Q33724121")</f>
        <v>0</v>
      </c>
      <c r="G1738" t="s">
        <v>1603</v>
      </c>
      <c r="H1738" t="s">
        <v>6292</v>
      </c>
      <c r="I1738" t="s">
        <v>9853</v>
      </c>
      <c r="J1738" t="s">
        <v>12311</v>
      </c>
      <c r="K1738" t="s">
        <v>16720</v>
      </c>
      <c r="L1738">
        <f>HYPERLINK("https://www2.assemblee-nationale.fr/sycomore/fiche/(num_dept)/6497", "6497")</f>
        <v>0</v>
      </c>
      <c r="N1738">
        <f>HYPERLINK("https://www.wikidata.org/wiki/Q16026371", "Q16026371")</f>
        <v>0</v>
      </c>
      <c r="O1738" t="s">
        <v>20026</v>
      </c>
      <c r="P1738" t="s">
        <v>20416</v>
      </c>
      <c r="Q1738" t="s">
        <v>17699</v>
      </c>
      <c r="R1738" t="s">
        <v>411</v>
      </c>
      <c r="S1738">
        <v>1658</v>
      </c>
    </row>
    <row r="1739" spans="1:19">
      <c r="A1739" t="s">
        <v>21</v>
      </c>
      <c r="B1739" t="s">
        <v>148</v>
      </c>
      <c r="C1739" t="s">
        <v>153</v>
      </c>
      <c r="D1739" t="s">
        <v>282</v>
      </c>
      <c r="E1739" t="s">
        <v>411</v>
      </c>
      <c r="F1739">
        <f>HYPERLINK("https://www.wikidata.org/wiki/Q33724121", "Q33724121")</f>
        <v>0</v>
      </c>
      <c r="G1739" t="s">
        <v>1604</v>
      </c>
      <c r="H1739" t="s">
        <v>6024</v>
      </c>
      <c r="I1739" t="s">
        <v>9854</v>
      </c>
      <c r="J1739" t="s">
        <v>12312</v>
      </c>
      <c r="K1739" t="s">
        <v>16721</v>
      </c>
      <c r="L1739">
        <f>HYPERLINK("https://www2.assemblee-nationale.fr/sycomore/fiche/(num_dept)/6518", "6518")</f>
        <v>0</v>
      </c>
      <c r="N1739">
        <f>HYPERLINK("https://www.wikidata.org/wiki/Q3262960", "Q3262960")</f>
        <v>0</v>
      </c>
      <c r="O1739" t="s">
        <v>20008</v>
      </c>
      <c r="P1739" t="s">
        <v>20418</v>
      </c>
      <c r="Q1739" t="s">
        <v>17699</v>
      </c>
      <c r="R1739" t="s">
        <v>411</v>
      </c>
      <c r="S1739">
        <v>1658</v>
      </c>
    </row>
    <row r="1740" spans="1:19">
      <c r="A1740" t="s">
        <v>21</v>
      </c>
      <c r="B1740" t="s">
        <v>148</v>
      </c>
      <c r="C1740" t="s">
        <v>153</v>
      </c>
      <c r="D1740" t="s">
        <v>282</v>
      </c>
      <c r="E1740" t="s">
        <v>411</v>
      </c>
      <c r="F1740">
        <f>HYPERLINK("https://www.wikidata.org/wiki/Q33724121", "Q33724121")</f>
        <v>0</v>
      </c>
      <c r="G1740" t="s">
        <v>792</v>
      </c>
      <c r="H1740" t="s">
        <v>5549</v>
      </c>
      <c r="I1740" t="s">
        <v>6495</v>
      </c>
      <c r="J1740" t="s">
        <v>11539</v>
      </c>
      <c r="K1740" t="s">
        <v>15943</v>
      </c>
      <c r="L1740">
        <f>HYPERLINK("https://www2.assemblee-nationale.fr/sycomore/fiche/(num_dept)/6531", "6531")</f>
        <v>0</v>
      </c>
      <c r="N1740">
        <f>HYPERLINK("https://www.wikidata.org/wiki/Q3262963", "Q3262963")</f>
        <v>0</v>
      </c>
      <c r="O1740" t="s">
        <v>19969</v>
      </c>
      <c r="P1740" t="s">
        <v>20418</v>
      </c>
      <c r="Q1740" t="s">
        <v>17699</v>
      </c>
      <c r="R1740" t="s">
        <v>411</v>
      </c>
      <c r="S1740">
        <v>1658</v>
      </c>
    </row>
    <row r="1741" spans="1:19">
      <c r="A1741" t="s">
        <v>21</v>
      </c>
      <c r="B1741" t="s">
        <v>148</v>
      </c>
      <c r="C1741" t="s">
        <v>153</v>
      </c>
      <c r="D1741" t="s">
        <v>282</v>
      </c>
      <c r="E1741" t="s">
        <v>411</v>
      </c>
      <c r="F1741">
        <f>HYPERLINK("https://www.wikidata.org/wiki/Q33724121", "Q33724121")</f>
        <v>0</v>
      </c>
      <c r="G1741" t="s">
        <v>1335</v>
      </c>
      <c r="H1741" t="s">
        <v>6053</v>
      </c>
      <c r="I1741" t="s">
        <v>9756</v>
      </c>
      <c r="J1741" t="s">
        <v>12062</v>
      </c>
      <c r="K1741" t="s">
        <v>16464</v>
      </c>
      <c r="L1741">
        <f>HYPERLINK("https://www2.assemblee-nationale.fr/sycomore/fiche/(num_dept)/6536", "6536")</f>
        <v>0</v>
      </c>
      <c r="N1741">
        <f>HYPERLINK("https://www.wikidata.org/wiki/Q16026382", "Q16026382")</f>
        <v>0</v>
      </c>
      <c r="O1741" t="s">
        <v>20021</v>
      </c>
      <c r="P1741" t="s">
        <v>20416</v>
      </c>
      <c r="Q1741" t="s">
        <v>17699</v>
      </c>
      <c r="R1741" t="s">
        <v>411</v>
      </c>
      <c r="S1741">
        <v>1658</v>
      </c>
    </row>
    <row r="1742" spans="1:19">
      <c r="A1742" t="s">
        <v>21</v>
      </c>
      <c r="B1742" t="s">
        <v>148</v>
      </c>
      <c r="C1742" t="s">
        <v>153</v>
      </c>
      <c r="D1742" t="s">
        <v>282</v>
      </c>
      <c r="E1742" t="s">
        <v>411</v>
      </c>
      <c r="F1742">
        <f>HYPERLINK("https://www.wikidata.org/wiki/Q33724121", "Q33724121")</f>
        <v>0</v>
      </c>
      <c r="G1742" t="s">
        <v>1605</v>
      </c>
      <c r="H1742" t="s">
        <v>6293</v>
      </c>
      <c r="I1742" t="s">
        <v>9552</v>
      </c>
      <c r="J1742" t="s">
        <v>12313</v>
      </c>
      <c r="K1742" t="s">
        <v>16722</v>
      </c>
      <c r="L1742">
        <f>HYPERLINK("https://www2.assemblee-nationale.fr/sycomore/fiche/(num_dept)/6537", "6537")</f>
        <v>0</v>
      </c>
      <c r="M1742">
        <f>HYPERLINK("https://www.senat.fr/senateur-3eme-republique/puis_auguste1718r3.html", "puis_auguste1718r3")</f>
        <v>0</v>
      </c>
      <c r="N1742">
        <f>HYPERLINK("https://www.wikidata.org/wiki/Q2871367", "Q2871367")</f>
        <v>0</v>
      </c>
      <c r="O1742" t="s">
        <v>20045</v>
      </c>
      <c r="P1742" t="s">
        <v>20416</v>
      </c>
      <c r="Q1742" t="s">
        <v>17699</v>
      </c>
      <c r="R1742" t="s">
        <v>411</v>
      </c>
      <c r="S1742">
        <v>1658</v>
      </c>
    </row>
    <row r="1743" spans="1:19">
      <c r="A1743" t="s">
        <v>21</v>
      </c>
      <c r="B1743" t="s">
        <v>148</v>
      </c>
      <c r="C1743" t="s">
        <v>153</v>
      </c>
      <c r="D1743" t="s">
        <v>282</v>
      </c>
      <c r="E1743" t="s">
        <v>411</v>
      </c>
      <c r="F1743">
        <f>HYPERLINK("https://www.wikidata.org/wiki/Q33724121", "Q33724121")</f>
        <v>0</v>
      </c>
      <c r="G1743" t="s">
        <v>1606</v>
      </c>
      <c r="H1743" t="s">
        <v>6294</v>
      </c>
      <c r="I1743" t="s">
        <v>9855</v>
      </c>
      <c r="J1743" t="s">
        <v>11665</v>
      </c>
      <c r="K1743" t="s">
        <v>16723</v>
      </c>
      <c r="L1743">
        <f>HYPERLINK("https://www2.assemblee-nationale.fr/sycomore/fiche/(num_dept)/6547", "6547")</f>
        <v>0</v>
      </c>
      <c r="N1743">
        <f>HYPERLINK("https://www.wikidata.org/wiki/Q2898489", "Q2898489")</f>
        <v>0</v>
      </c>
      <c r="O1743" t="s">
        <v>19985</v>
      </c>
      <c r="P1743" t="s">
        <v>20416</v>
      </c>
      <c r="Q1743" t="s">
        <v>17699</v>
      </c>
      <c r="R1743" t="s">
        <v>411</v>
      </c>
      <c r="S1743">
        <v>1658</v>
      </c>
    </row>
    <row r="1744" spans="1:19">
      <c r="A1744" t="s">
        <v>21</v>
      </c>
      <c r="B1744" t="s">
        <v>148</v>
      </c>
      <c r="C1744" t="s">
        <v>153</v>
      </c>
      <c r="D1744" t="s">
        <v>282</v>
      </c>
      <c r="E1744" t="s">
        <v>411</v>
      </c>
      <c r="F1744">
        <f>HYPERLINK("https://www.wikidata.org/wiki/Q33724121", "Q33724121")</f>
        <v>0</v>
      </c>
      <c r="G1744" t="s">
        <v>1304</v>
      </c>
      <c r="H1744" t="s">
        <v>6025</v>
      </c>
      <c r="I1744" t="s">
        <v>9457</v>
      </c>
      <c r="J1744" t="s">
        <v>12034</v>
      </c>
      <c r="K1744" t="s">
        <v>16435</v>
      </c>
      <c r="L1744">
        <f>HYPERLINK("https://www2.assemblee-nationale.fr/sycomore/fiche/(num_dept)/6554", "6554")</f>
        <v>0</v>
      </c>
      <c r="M1744">
        <f>HYPERLINK("https://www.senat.fr/senateur-3eme-republique/queuille_henri0469r3.html", "queuille_henri0469r3")</f>
        <v>0</v>
      </c>
      <c r="N1744">
        <f>HYPERLINK("https://www.wikidata.org/wiki/Q455655", "Q455655")</f>
        <v>0</v>
      </c>
      <c r="O1744" t="s">
        <v>20020</v>
      </c>
      <c r="P1744" t="s">
        <v>20418</v>
      </c>
      <c r="Q1744" t="s">
        <v>17699</v>
      </c>
      <c r="R1744" t="s">
        <v>411</v>
      </c>
      <c r="S1744">
        <v>1658</v>
      </c>
    </row>
    <row r="1745" spans="1:19">
      <c r="A1745" t="s">
        <v>21</v>
      </c>
      <c r="B1745" t="s">
        <v>148</v>
      </c>
      <c r="C1745" t="s">
        <v>153</v>
      </c>
      <c r="D1745" t="s">
        <v>282</v>
      </c>
      <c r="E1745" t="s">
        <v>411</v>
      </c>
      <c r="F1745">
        <f>HYPERLINK("https://www.wikidata.org/wiki/Q33724121", "Q33724121")</f>
        <v>0</v>
      </c>
      <c r="G1745" t="s">
        <v>1198</v>
      </c>
      <c r="H1745" t="s">
        <v>5928</v>
      </c>
      <c r="I1745" t="s">
        <v>9458</v>
      </c>
      <c r="J1745" t="s">
        <v>11931</v>
      </c>
      <c r="K1745" t="s">
        <v>16332</v>
      </c>
      <c r="L1745">
        <f>HYPERLINK("https://www2.assemblee-nationale.fr/sycomore/fiche/(num_dept)/6570", "6570")</f>
        <v>0</v>
      </c>
      <c r="N1745">
        <f>HYPERLINK("https://www.wikidata.org/wiki/Q2835410", "Q2835410")</f>
        <v>0</v>
      </c>
      <c r="O1745" t="s">
        <v>19980</v>
      </c>
      <c r="P1745" t="s">
        <v>20412</v>
      </c>
      <c r="Q1745" t="s">
        <v>17699</v>
      </c>
      <c r="R1745" t="s">
        <v>411</v>
      </c>
      <c r="S1745">
        <v>1658</v>
      </c>
    </row>
    <row r="1746" spans="1:19">
      <c r="A1746" t="s">
        <v>21</v>
      </c>
      <c r="B1746" t="s">
        <v>148</v>
      </c>
      <c r="C1746" t="s">
        <v>153</v>
      </c>
      <c r="D1746" t="s">
        <v>282</v>
      </c>
      <c r="E1746" t="s">
        <v>411</v>
      </c>
      <c r="F1746">
        <f>HYPERLINK("https://www.wikidata.org/wiki/Q33724121", "Q33724121")</f>
        <v>0</v>
      </c>
      <c r="G1746" t="s">
        <v>798</v>
      </c>
      <c r="H1746" t="s">
        <v>5555</v>
      </c>
      <c r="I1746" t="s">
        <v>9529</v>
      </c>
      <c r="J1746" t="s">
        <v>11545</v>
      </c>
      <c r="K1746" t="s">
        <v>15949</v>
      </c>
      <c r="L1746">
        <f>HYPERLINK("https://www2.assemblee-nationale.fr/sycomore/fiche/(num_dept)/6581", "6581")</f>
        <v>0</v>
      </c>
      <c r="M1746">
        <f>HYPERLINK("https://www.senat.fr/senateur-3eme-republique/raiberti_flaminius0124r3.html", "raiberti_flaminius0124r3")</f>
        <v>0</v>
      </c>
      <c r="N1746">
        <f>HYPERLINK("https://www.wikidata.org/wiki/Q3073302", "Q3073302")</f>
        <v>0</v>
      </c>
      <c r="O1746" t="s">
        <v>20024</v>
      </c>
      <c r="P1746" t="s">
        <v>20416</v>
      </c>
      <c r="Q1746" t="s">
        <v>17699</v>
      </c>
      <c r="R1746" t="s">
        <v>19267</v>
      </c>
      <c r="S1746">
        <v>874</v>
      </c>
    </row>
    <row r="1747" spans="1:19">
      <c r="A1747" t="s">
        <v>21</v>
      </c>
      <c r="B1747" t="s">
        <v>148</v>
      </c>
      <c r="C1747" t="s">
        <v>153</v>
      </c>
      <c r="D1747" t="s">
        <v>282</v>
      </c>
      <c r="E1747" t="s">
        <v>411</v>
      </c>
      <c r="F1747">
        <f>HYPERLINK("https://www.wikidata.org/wiki/Q33724121", "Q33724121")</f>
        <v>0</v>
      </c>
      <c r="G1747" t="s">
        <v>1306</v>
      </c>
      <c r="H1747" t="s">
        <v>6027</v>
      </c>
      <c r="I1747" t="s">
        <v>6860</v>
      </c>
      <c r="J1747" t="s">
        <v>12036</v>
      </c>
      <c r="K1747" t="s">
        <v>16437</v>
      </c>
      <c r="L1747">
        <f>HYPERLINK("https://www2.assemblee-nationale.fr/sycomore/fiche/(num_dept)/6591", "6591")</f>
        <v>0</v>
      </c>
      <c r="M1747">
        <f>HYPERLINK("https://www.senat.fr/senateur-3eme-republique/rameil_pierre1090r3.html", "rameil_pierre1090r3")</f>
        <v>0</v>
      </c>
      <c r="N1747">
        <f>HYPERLINK("https://www.wikidata.org/wiki/Q3386748", "Q3386748")</f>
        <v>0</v>
      </c>
      <c r="O1747" t="s">
        <v>20001</v>
      </c>
      <c r="P1747" t="s">
        <v>20406</v>
      </c>
      <c r="Q1747" t="s">
        <v>17699</v>
      </c>
      <c r="R1747" t="s">
        <v>411</v>
      </c>
      <c r="S1747">
        <v>1658</v>
      </c>
    </row>
    <row r="1748" spans="1:19">
      <c r="A1748" t="s">
        <v>21</v>
      </c>
      <c r="B1748" t="s">
        <v>148</v>
      </c>
      <c r="C1748" t="s">
        <v>153</v>
      </c>
      <c r="D1748" t="s">
        <v>282</v>
      </c>
      <c r="E1748" t="s">
        <v>411</v>
      </c>
      <c r="F1748">
        <f>HYPERLINK("https://www.wikidata.org/wiki/Q33724121", "Q33724121")</f>
        <v>0</v>
      </c>
      <c r="G1748" t="s">
        <v>1607</v>
      </c>
      <c r="H1748" t="s">
        <v>5793</v>
      </c>
      <c r="I1748" t="s">
        <v>9856</v>
      </c>
      <c r="J1748" t="s">
        <v>12314</v>
      </c>
      <c r="K1748" t="s">
        <v>16724</v>
      </c>
      <c r="L1748">
        <f>HYPERLINK("https://www2.assemblee-nationale.fr/sycomore/fiche/(num_dept)/6594", "6594")</f>
        <v>0</v>
      </c>
      <c r="N1748">
        <f>HYPERLINK("https://www.wikidata.org/wiki/Q3086299", "Q3086299")</f>
        <v>0</v>
      </c>
      <c r="O1748" t="s">
        <v>20014</v>
      </c>
      <c r="P1748" t="s">
        <v>20420</v>
      </c>
      <c r="Q1748" t="s">
        <v>17699</v>
      </c>
      <c r="R1748" t="s">
        <v>411</v>
      </c>
      <c r="S1748">
        <v>1658</v>
      </c>
    </row>
    <row r="1749" spans="1:19">
      <c r="A1749" t="s">
        <v>21</v>
      </c>
      <c r="B1749" t="s">
        <v>148</v>
      </c>
      <c r="C1749" t="s">
        <v>153</v>
      </c>
      <c r="D1749" t="s">
        <v>282</v>
      </c>
      <c r="E1749" t="s">
        <v>411</v>
      </c>
      <c r="F1749">
        <f>HYPERLINK("https://www.wikidata.org/wiki/Q33724121", "Q33724121")</f>
        <v>0</v>
      </c>
      <c r="G1749" t="s">
        <v>1608</v>
      </c>
      <c r="H1749" t="s">
        <v>6295</v>
      </c>
      <c r="I1749" t="s">
        <v>9465</v>
      </c>
      <c r="J1749" t="s">
        <v>12315</v>
      </c>
      <c r="K1749" t="s">
        <v>16725</v>
      </c>
      <c r="L1749">
        <f>HYPERLINK("https://www2.assemblee-nationale.fr/sycomore/fiche/(num_dept)/6633", "6633")</f>
        <v>0</v>
      </c>
      <c r="M1749">
        <f>HYPERLINK("https://www.senat.fr/senateur-3eme-republique/raynaldy_eugene0290r3.html", "raynaldy_eugene0290r3")</f>
        <v>0</v>
      </c>
      <c r="N1749">
        <f>HYPERLINK("https://www.wikidata.org/wiki/Q3060128", "Q3060128")</f>
        <v>0</v>
      </c>
      <c r="O1749" t="s">
        <v>19967</v>
      </c>
      <c r="P1749" t="s">
        <v>20417</v>
      </c>
      <c r="Q1749" t="s">
        <v>17699</v>
      </c>
      <c r="R1749" t="s">
        <v>411</v>
      </c>
      <c r="S1749">
        <v>1658</v>
      </c>
    </row>
    <row r="1750" spans="1:19">
      <c r="A1750" t="s">
        <v>21</v>
      </c>
      <c r="B1750" t="s">
        <v>148</v>
      </c>
      <c r="C1750" t="s">
        <v>153</v>
      </c>
      <c r="D1750" t="s">
        <v>282</v>
      </c>
      <c r="E1750" t="s">
        <v>411</v>
      </c>
      <c r="F1750">
        <f>HYPERLINK("https://www.wikidata.org/wiki/Q33724121", "Q33724121")</f>
        <v>0</v>
      </c>
      <c r="G1750" t="s">
        <v>800</v>
      </c>
      <c r="H1750" t="s">
        <v>5557</v>
      </c>
      <c r="I1750" t="s">
        <v>9531</v>
      </c>
      <c r="J1750" t="s">
        <v>11547</v>
      </c>
      <c r="K1750" t="s">
        <v>15951</v>
      </c>
      <c r="L1750">
        <f>HYPERLINK("https://www2.assemblee-nationale.fr/sycomore/fiche/(num_dept)/6635", "6635")</f>
        <v>0</v>
      </c>
      <c r="N1750">
        <f>HYPERLINK("https://www.wikidata.org/wiki/Q2441215", "Q2441215")</f>
        <v>0</v>
      </c>
      <c r="O1750" t="s">
        <v>20031</v>
      </c>
      <c r="P1750" t="s">
        <v>20418</v>
      </c>
      <c r="Q1750" t="s">
        <v>17699</v>
      </c>
      <c r="R1750" t="s">
        <v>411</v>
      </c>
      <c r="S1750">
        <v>1658</v>
      </c>
    </row>
    <row r="1751" spans="1:19">
      <c r="A1751" t="s">
        <v>21</v>
      </c>
      <c r="B1751" t="s">
        <v>148</v>
      </c>
      <c r="C1751" t="s">
        <v>153</v>
      </c>
      <c r="D1751" t="s">
        <v>282</v>
      </c>
      <c r="E1751" t="s">
        <v>411</v>
      </c>
      <c r="F1751">
        <f>HYPERLINK("https://www.wikidata.org/wiki/Q33724121", "Q33724121")</f>
        <v>0</v>
      </c>
      <c r="G1751" t="s">
        <v>1609</v>
      </c>
      <c r="H1751" t="s">
        <v>6296</v>
      </c>
      <c r="I1751" t="s">
        <v>9857</v>
      </c>
      <c r="J1751" t="s">
        <v>12316</v>
      </c>
      <c r="K1751" t="s">
        <v>16726</v>
      </c>
      <c r="L1751">
        <f>HYPERLINK("https://www2.assemblee-nationale.fr/sycomore/fiche/(num_dept)/6647", "6647")</f>
        <v>0</v>
      </c>
      <c r="N1751">
        <f>HYPERLINK("https://www.wikidata.org/wiki/Q16026398", "Q16026398")</f>
        <v>0</v>
      </c>
      <c r="O1751" t="s">
        <v>19965</v>
      </c>
      <c r="P1751" t="s">
        <v>20416</v>
      </c>
      <c r="Q1751" t="s">
        <v>17699</v>
      </c>
      <c r="R1751" t="s">
        <v>411</v>
      </c>
      <c r="S1751">
        <v>1658</v>
      </c>
    </row>
    <row r="1752" spans="1:19">
      <c r="A1752" t="s">
        <v>21</v>
      </c>
      <c r="B1752" t="s">
        <v>148</v>
      </c>
      <c r="C1752" t="s">
        <v>153</v>
      </c>
      <c r="D1752" t="s">
        <v>282</v>
      </c>
      <c r="E1752" t="s">
        <v>411</v>
      </c>
      <c r="F1752">
        <f>HYPERLINK("https://www.wikidata.org/wiki/Q33724121", "Q33724121")</f>
        <v>0</v>
      </c>
      <c r="G1752" t="s">
        <v>1610</v>
      </c>
      <c r="H1752" t="s">
        <v>6297</v>
      </c>
      <c r="I1752" t="s">
        <v>9516</v>
      </c>
      <c r="J1752" t="s">
        <v>12317</v>
      </c>
      <c r="K1752" t="s">
        <v>16727</v>
      </c>
      <c r="L1752">
        <f>HYPERLINK("https://www2.assemblee-nationale.fr/sycomore/fiche/(num_dept)/6652", "6652")</f>
        <v>0</v>
      </c>
      <c r="N1752">
        <f>HYPERLINK("https://www.wikidata.org/wiki/Q16026401", "Q16026401")</f>
        <v>0</v>
      </c>
      <c r="O1752" t="s">
        <v>20034</v>
      </c>
      <c r="P1752" t="s">
        <v>20417</v>
      </c>
      <c r="Q1752" t="s">
        <v>17699</v>
      </c>
      <c r="R1752" t="s">
        <v>411</v>
      </c>
      <c r="S1752">
        <v>1658</v>
      </c>
    </row>
    <row r="1753" spans="1:19">
      <c r="A1753" t="s">
        <v>21</v>
      </c>
      <c r="B1753" t="s">
        <v>148</v>
      </c>
      <c r="C1753" t="s">
        <v>153</v>
      </c>
      <c r="D1753" t="s">
        <v>282</v>
      </c>
      <c r="E1753" t="s">
        <v>411</v>
      </c>
      <c r="F1753">
        <f>HYPERLINK("https://www.wikidata.org/wiki/Q33724121", "Q33724121")</f>
        <v>0</v>
      </c>
      <c r="G1753" t="s">
        <v>1611</v>
      </c>
      <c r="H1753" t="s">
        <v>6297</v>
      </c>
      <c r="I1753" t="s">
        <v>9457</v>
      </c>
      <c r="J1753" t="s">
        <v>12318</v>
      </c>
      <c r="K1753" t="s">
        <v>16728</v>
      </c>
      <c r="L1753">
        <f>HYPERLINK("https://www2.assemblee-nationale.fr/sycomore/fiche/(num_dept)/6653", "6653")</f>
        <v>0</v>
      </c>
      <c r="N1753">
        <f>HYPERLINK("https://www.wikidata.org/wiki/Q7127416", "Q7127416")</f>
        <v>0</v>
      </c>
      <c r="O1753" t="s">
        <v>20032</v>
      </c>
      <c r="P1753" t="s">
        <v>20412</v>
      </c>
      <c r="Q1753" t="s">
        <v>17699</v>
      </c>
      <c r="R1753" t="s">
        <v>411</v>
      </c>
      <c r="S1753">
        <v>1658</v>
      </c>
    </row>
    <row r="1754" spans="1:19">
      <c r="A1754" t="s">
        <v>21</v>
      </c>
      <c r="B1754" t="s">
        <v>148</v>
      </c>
      <c r="C1754" t="s">
        <v>153</v>
      </c>
      <c r="D1754" t="s">
        <v>282</v>
      </c>
      <c r="E1754" t="s">
        <v>411</v>
      </c>
      <c r="F1754">
        <f>HYPERLINK("https://www.wikidata.org/wiki/Q33724121", "Q33724121")</f>
        <v>0</v>
      </c>
      <c r="G1754" t="s">
        <v>1612</v>
      </c>
      <c r="H1754" t="s">
        <v>6298</v>
      </c>
      <c r="I1754" t="s">
        <v>9385</v>
      </c>
      <c r="J1754" t="s">
        <v>12319</v>
      </c>
      <c r="K1754" t="s">
        <v>16729</v>
      </c>
      <c r="L1754">
        <f>HYPERLINK("https://www2.assemblee-nationale.fr/sycomore/fiche/(num_dept)/6656", "6656")</f>
        <v>0</v>
      </c>
      <c r="M1754">
        <f>HYPERLINK("https://www.senat.fr/senateur-3eme-republique/reibel_charles1672r3.html", "reibel_charles1672r3")</f>
        <v>0</v>
      </c>
      <c r="N1754">
        <f>HYPERLINK("https://www.wikidata.org/wiki/Q2960097", "Q2960097")</f>
        <v>0</v>
      </c>
      <c r="O1754" t="s">
        <v>19976</v>
      </c>
      <c r="P1754" t="s">
        <v>20419</v>
      </c>
      <c r="Q1754" t="s">
        <v>17699</v>
      </c>
      <c r="R1754" t="s">
        <v>411</v>
      </c>
      <c r="S1754">
        <v>1658</v>
      </c>
    </row>
    <row r="1755" spans="1:19">
      <c r="A1755" t="s">
        <v>21</v>
      </c>
      <c r="B1755" t="s">
        <v>148</v>
      </c>
      <c r="C1755" t="s">
        <v>153</v>
      </c>
      <c r="D1755" t="s">
        <v>282</v>
      </c>
      <c r="E1755" t="s">
        <v>411</v>
      </c>
      <c r="F1755">
        <f>HYPERLINK("https://www.wikidata.org/wiki/Q33724121", "Q33724121")</f>
        <v>0</v>
      </c>
      <c r="G1755" t="s">
        <v>1613</v>
      </c>
      <c r="H1755" t="s">
        <v>5559</v>
      </c>
      <c r="I1755" t="s">
        <v>6166</v>
      </c>
      <c r="J1755" t="s">
        <v>12320</v>
      </c>
      <c r="K1755" t="s">
        <v>16730</v>
      </c>
      <c r="L1755">
        <f>HYPERLINK("https://www2.assemblee-nationale.fr/sycomore/fiche/(num_dept)/6659", "6659")</f>
        <v>0</v>
      </c>
      <c r="N1755">
        <f>HYPERLINK("https://www.wikidata.org/wiki/Q3085660", "Q3085660")</f>
        <v>0</v>
      </c>
      <c r="O1755" t="s">
        <v>19962</v>
      </c>
      <c r="P1755" t="s">
        <v>20416</v>
      </c>
      <c r="Q1755" t="s">
        <v>17699</v>
      </c>
      <c r="R1755" t="s">
        <v>411</v>
      </c>
      <c r="S1755">
        <v>1658</v>
      </c>
    </row>
    <row r="1756" spans="1:19">
      <c r="A1756" t="s">
        <v>21</v>
      </c>
      <c r="B1756" t="s">
        <v>148</v>
      </c>
      <c r="C1756" t="s">
        <v>153</v>
      </c>
      <c r="D1756" t="s">
        <v>282</v>
      </c>
      <c r="E1756" t="s">
        <v>411</v>
      </c>
      <c r="F1756">
        <f>HYPERLINK("https://www.wikidata.org/wiki/Q33724121", "Q33724121")</f>
        <v>0</v>
      </c>
      <c r="G1756" t="s">
        <v>1049</v>
      </c>
      <c r="H1756" t="s">
        <v>5796</v>
      </c>
      <c r="I1756" t="s">
        <v>9642</v>
      </c>
      <c r="J1756" t="s">
        <v>11786</v>
      </c>
      <c r="K1756" t="s">
        <v>16187</v>
      </c>
      <c r="L1756">
        <f>HYPERLINK("https://www2.assemblee-nationale.fr/sycomore/fiche/(num_dept)/6671", "6671")</f>
        <v>0</v>
      </c>
      <c r="N1756">
        <f>HYPERLINK("https://www.wikidata.org/wiki/Q2848513", "Q2848513")</f>
        <v>0</v>
      </c>
      <c r="O1756" t="s">
        <v>20032</v>
      </c>
      <c r="P1756" t="s">
        <v>20418</v>
      </c>
      <c r="Q1756" t="s">
        <v>17699</v>
      </c>
      <c r="R1756" t="s">
        <v>411</v>
      </c>
      <c r="S1756">
        <v>1658</v>
      </c>
    </row>
    <row r="1757" spans="1:19">
      <c r="A1757" t="s">
        <v>21</v>
      </c>
      <c r="B1757" t="s">
        <v>148</v>
      </c>
      <c r="C1757" t="s">
        <v>153</v>
      </c>
      <c r="D1757" t="s">
        <v>282</v>
      </c>
      <c r="E1757" t="s">
        <v>411</v>
      </c>
      <c r="F1757">
        <f>HYPERLINK("https://www.wikidata.org/wiki/Q33724121", "Q33724121")</f>
        <v>0</v>
      </c>
      <c r="G1757" t="s">
        <v>1614</v>
      </c>
      <c r="H1757" t="s">
        <v>6299</v>
      </c>
      <c r="I1757" t="s">
        <v>9858</v>
      </c>
      <c r="J1757" t="s">
        <v>12321</v>
      </c>
      <c r="K1757" t="s">
        <v>16731</v>
      </c>
      <c r="L1757">
        <f>HYPERLINK("https://www2.assemblee-nationale.fr/sycomore/fiche/(num_dept)/6680", "6680")</f>
        <v>0</v>
      </c>
      <c r="N1757">
        <f>HYPERLINK("https://www.wikidata.org/wiki/Q16026405", "Q16026405")</f>
        <v>0</v>
      </c>
      <c r="O1757" t="s">
        <v>20016</v>
      </c>
      <c r="P1757" t="s">
        <v>20420</v>
      </c>
      <c r="Q1757" t="s">
        <v>17699</v>
      </c>
      <c r="R1757" t="s">
        <v>411</v>
      </c>
      <c r="S1757">
        <v>1658</v>
      </c>
    </row>
    <row r="1758" spans="1:19">
      <c r="A1758" t="s">
        <v>21</v>
      </c>
      <c r="B1758" t="s">
        <v>148</v>
      </c>
      <c r="C1758" t="s">
        <v>153</v>
      </c>
      <c r="D1758" t="s">
        <v>282</v>
      </c>
      <c r="E1758" t="s">
        <v>411</v>
      </c>
      <c r="F1758">
        <f>HYPERLINK("https://www.wikidata.org/wiki/Q33724121", "Q33724121")</f>
        <v>0</v>
      </c>
      <c r="G1758" t="s">
        <v>1308</v>
      </c>
      <c r="H1758" t="s">
        <v>6029</v>
      </c>
      <c r="I1758" t="s">
        <v>6495</v>
      </c>
      <c r="J1758" t="s">
        <v>12038</v>
      </c>
      <c r="K1758" t="s">
        <v>16439</v>
      </c>
      <c r="L1758">
        <f>HYPERLINK("https://www2.assemblee-nationale.fr/sycomore/fiche/(num_dept)/6691", "6691")</f>
        <v>0</v>
      </c>
      <c r="N1758">
        <f>HYPERLINK("https://www.wikidata.org/wiki/Q16026406", "Q16026406")</f>
        <v>0</v>
      </c>
      <c r="O1758" t="s">
        <v>20030</v>
      </c>
      <c r="P1758" t="s">
        <v>20417</v>
      </c>
      <c r="Q1758" t="s">
        <v>17699</v>
      </c>
      <c r="R1758" t="s">
        <v>411</v>
      </c>
      <c r="S1758">
        <v>1658</v>
      </c>
    </row>
    <row r="1759" spans="1:19">
      <c r="A1759" t="s">
        <v>21</v>
      </c>
      <c r="B1759" t="s">
        <v>148</v>
      </c>
      <c r="C1759" t="s">
        <v>153</v>
      </c>
      <c r="D1759" t="s">
        <v>282</v>
      </c>
      <c r="E1759" t="s">
        <v>411</v>
      </c>
      <c r="F1759">
        <f>HYPERLINK("https://www.wikidata.org/wiki/Q33724121", "Q33724121")</f>
        <v>0</v>
      </c>
      <c r="G1759" t="s">
        <v>1615</v>
      </c>
      <c r="H1759" t="s">
        <v>6300</v>
      </c>
      <c r="I1759" t="s">
        <v>9859</v>
      </c>
      <c r="J1759" t="s">
        <v>12322</v>
      </c>
      <c r="K1759" t="s">
        <v>16732</v>
      </c>
      <c r="L1759">
        <f>HYPERLINK("https://www2.assemblee-nationale.fr/sycomore/fiche/(num_dept)/6707", "6707")</f>
        <v>0</v>
      </c>
      <c r="M1759">
        <f>HYPERLINK("https://www.senat.fr/senateur-3eme-republique/reymonenq_victor1733r3.html", "reymonenq_victor1733r3")</f>
        <v>0</v>
      </c>
      <c r="N1759">
        <f>HYPERLINK("https://www.wikidata.org/wiki/Q3557539", "Q3557539")</f>
        <v>0</v>
      </c>
      <c r="O1759" t="s">
        <v>20042</v>
      </c>
      <c r="P1759" t="s">
        <v>20416</v>
      </c>
      <c r="Q1759" t="s">
        <v>17699</v>
      </c>
      <c r="R1759" t="s">
        <v>411</v>
      </c>
      <c r="S1759">
        <v>1658</v>
      </c>
    </row>
    <row r="1760" spans="1:19">
      <c r="A1760" t="s">
        <v>21</v>
      </c>
      <c r="B1760" t="s">
        <v>148</v>
      </c>
      <c r="C1760" t="s">
        <v>153</v>
      </c>
      <c r="D1760" t="s">
        <v>282</v>
      </c>
      <c r="E1760" t="s">
        <v>411</v>
      </c>
      <c r="F1760">
        <f>HYPERLINK("https://www.wikidata.org/wiki/Q33724121", "Q33724121")</f>
        <v>0</v>
      </c>
      <c r="G1760" t="s">
        <v>1616</v>
      </c>
      <c r="H1760" t="s">
        <v>6301</v>
      </c>
      <c r="I1760" t="s">
        <v>9388</v>
      </c>
      <c r="J1760" t="s">
        <v>12323</v>
      </c>
      <c r="K1760" t="s">
        <v>16733</v>
      </c>
      <c r="L1760">
        <f>HYPERLINK("https://www2.assemblee-nationale.fr/sycomore/fiche/(num_dept)/6710", "6710")</f>
        <v>0</v>
      </c>
      <c r="N1760">
        <f>HYPERLINK("https://www.wikidata.org/wiki/Q161076", "Q161076")</f>
        <v>0</v>
      </c>
      <c r="O1760" t="s">
        <v>20033</v>
      </c>
      <c r="P1760" t="s">
        <v>20419</v>
      </c>
      <c r="Q1760" t="s">
        <v>17699</v>
      </c>
      <c r="R1760" t="s">
        <v>411</v>
      </c>
      <c r="S1760">
        <v>1658</v>
      </c>
    </row>
    <row r="1761" spans="1:19">
      <c r="A1761" t="s">
        <v>21</v>
      </c>
      <c r="B1761" t="s">
        <v>148</v>
      </c>
      <c r="C1761" t="s">
        <v>153</v>
      </c>
      <c r="D1761" t="s">
        <v>282</v>
      </c>
      <c r="E1761" t="s">
        <v>411</v>
      </c>
      <c r="F1761">
        <f>HYPERLINK("https://www.wikidata.org/wiki/Q33724121", "Q33724121")</f>
        <v>0</v>
      </c>
      <c r="G1761" t="s">
        <v>1617</v>
      </c>
      <c r="H1761" t="s">
        <v>6302</v>
      </c>
      <c r="I1761" t="s">
        <v>9860</v>
      </c>
      <c r="J1761" t="s">
        <v>12324</v>
      </c>
      <c r="K1761" t="s">
        <v>16734</v>
      </c>
      <c r="L1761">
        <f>HYPERLINK("https://www2.assemblee-nationale.fr/sycomore/fiche/(num_dept)/6716", "6716")</f>
        <v>0</v>
      </c>
      <c r="N1761">
        <f>HYPERLINK("https://www.wikidata.org/wiki/Q16026413", "Q16026413")</f>
        <v>0</v>
      </c>
      <c r="O1761" t="s">
        <v>19969</v>
      </c>
      <c r="P1761" t="s">
        <v>20406</v>
      </c>
      <c r="Q1761" t="s">
        <v>17699</v>
      </c>
      <c r="R1761" t="s">
        <v>411</v>
      </c>
      <c r="S1761">
        <v>1658</v>
      </c>
    </row>
    <row r="1762" spans="1:19">
      <c r="A1762" t="s">
        <v>21</v>
      </c>
      <c r="B1762" t="s">
        <v>148</v>
      </c>
      <c r="C1762" t="s">
        <v>153</v>
      </c>
      <c r="D1762" t="s">
        <v>282</v>
      </c>
      <c r="E1762" t="s">
        <v>411</v>
      </c>
      <c r="F1762">
        <f>HYPERLINK("https://www.wikidata.org/wiki/Q33724121", "Q33724121")</f>
        <v>0</v>
      </c>
      <c r="G1762" t="s">
        <v>1618</v>
      </c>
      <c r="H1762" t="s">
        <v>6303</v>
      </c>
      <c r="I1762" t="s">
        <v>9861</v>
      </c>
      <c r="J1762" t="s">
        <v>12325</v>
      </c>
      <c r="K1762" t="s">
        <v>16735</v>
      </c>
      <c r="L1762">
        <f>HYPERLINK("https://www2.assemblee-nationale.fr/sycomore/fiche/(num_dept)/6735", "6735")</f>
        <v>0</v>
      </c>
      <c r="N1762">
        <f>HYPERLINK("https://www.wikidata.org/wiki/Q8305870", "Q8305870")</f>
        <v>0</v>
      </c>
      <c r="O1762" t="s">
        <v>19988</v>
      </c>
      <c r="P1762" t="s">
        <v>20416</v>
      </c>
      <c r="Q1762" t="s">
        <v>17699</v>
      </c>
      <c r="R1762" t="s">
        <v>411</v>
      </c>
      <c r="S1762">
        <v>1658</v>
      </c>
    </row>
    <row r="1763" spans="1:19">
      <c r="A1763" t="s">
        <v>21</v>
      </c>
      <c r="B1763" t="s">
        <v>148</v>
      </c>
      <c r="C1763" t="s">
        <v>153</v>
      </c>
      <c r="D1763" t="s">
        <v>282</v>
      </c>
      <c r="E1763" t="s">
        <v>411</v>
      </c>
      <c r="F1763">
        <f>HYPERLINK("https://www.wikidata.org/wiki/Q33724121", "Q33724121")</f>
        <v>0</v>
      </c>
      <c r="G1763" t="s">
        <v>1619</v>
      </c>
      <c r="H1763" t="s">
        <v>6304</v>
      </c>
      <c r="I1763" t="s">
        <v>7575</v>
      </c>
      <c r="J1763" t="s">
        <v>12326</v>
      </c>
      <c r="K1763" t="s">
        <v>16736</v>
      </c>
      <c r="L1763">
        <f>HYPERLINK("https://www2.assemblee-nationale.fr/sycomore/fiche/(num_dept)/6752", "6752")</f>
        <v>0</v>
      </c>
      <c r="N1763">
        <f>HYPERLINK("https://www.wikidata.org/wiki/Q3143189", "Q3143189")</f>
        <v>0</v>
      </c>
      <c r="O1763" t="s">
        <v>20024</v>
      </c>
      <c r="P1763" t="s">
        <v>20417</v>
      </c>
      <c r="Q1763" t="s">
        <v>17699</v>
      </c>
      <c r="R1763" t="s">
        <v>411</v>
      </c>
      <c r="S1763">
        <v>1658</v>
      </c>
    </row>
    <row r="1764" spans="1:19">
      <c r="A1764" t="s">
        <v>21</v>
      </c>
      <c r="B1764" t="s">
        <v>148</v>
      </c>
      <c r="C1764" t="s">
        <v>153</v>
      </c>
      <c r="D1764" t="s">
        <v>282</v>
      </c>
      <c r="E1764" t="s">
        <v>411</v>
      </c>
      <c r="F1764">
        <f>HYPERLINK("https://www.wikidata.org/wiki/Q33724121", "Q33724121")</f>
        <v>0</v>
      </c>
      <c r="G1764" t="s">
        <v>1620</v>
      </c>
      <c r="H1764" t="s">
        <v>6305</v>
      </c>
      <c r="I1764" t="s">
        <v>9862</v>
      </c>
      <c r="J1764" t="s">
        <v>12327</v>
      </c>
      <c r="K1764" t="s">
        <v>16737</v>
      </c>
      <c r="L1764">
        <f>HYPERLINK("https://www2.assemblee-nationale.fr/sycomore/fiche/(num_dept)/6770", "6770")</f>
        <v>0</v>
      </c>
      <c r="M1764">
        <f>HYPERLINK("https://www.senat.fr/senateur-3eme-republique/rillard_de_verneuil_henri0040r3.html", "rillard_de_verneuil_henri0040r3")</f>
        <v>0</v>
      </c>
      <c r="N1764">
        <f>HYPERLINK("https://www.wikidata.org/wiki/Q3131913", "Q3131913")</f>
        <v>0</v>
      </c>
      <c r="O1764" t="s">
        <v>20015</v>
      </c>
      <c r="P1764" t="s">
        <v>20416</v>
      </c>
      <c r="Q1764" t="s">
        <v>17699</v>
      </c>
      <c r="R1764" t="s">
        <v>411</v>
      </c>
      <c r="S1764">
        <v>1658</v>
      </c>
    </row>
    <row r="1765" spans="1:19">
      <c r="A1765" t="s">
        <v>21</v>
      </c>
      <c r="B1765" t="s">
        <v>148</v>
      </c>
      <c r="C1765" t="s">
        <v>153</v>
      </c>
      <c r="D1765" t="s">
        <v>282</v>
      </c>
      <c r="E1765" t="s">
        <v>411</v>
      </c>
      <c r="F1765">
        <f>HYPERLINK("https://www.wikidata.org/wiki/Q33724121", "Q33724121")</f>
        <v>0</v>
      </c>
      <c r="G1765" t="s">
        <v>1051</v>
      </c>
      <c r="H1765" t="s">
        <v>5798</v>
      </c>
      <c r="I1765" t="s">
        <v>9644</v>
      </c>
      <c r="J1765" t="s">
        <v>11788</v>
      </c>
      <c r="K1765" t="s">
        <v>16189</v>
      </c>
      <c r="L1765">
        <f>HYPERLINK("https://www2.assemblee-nationale.fr/sycomore/fiche/(num_dept)/6780", "6780")</f>
        <v>0</v>
      </c>
      <c r="N1765">
        <f>HYPERLINK("https://www.wikidata.org/wiki/Q15972018", "Q15972018")</f>
        <v>0</v>
      </c>
      <c r="O1765" t="s">
        <v>20015</v>
      </c>
      <c r="P1765" t="s">
        <v>20404</v>
      </c>
      <c r="Q1765" t="s">
        <v>17699</v>
      </c>
      <c r="R1765" t="s">
        <v>411</v>
      </c>
      <c r="S1765">
        <v>1658</v>
      </c>
    </row>
    <row r="1766" spans="1:19">
      <c r="A1766" t="s">
        <v>21</v>
      </c>
      <c r="B1766" t="s">
        <v>148</v>
      </c>
      <c r="C1766" t="s">
        <v>153</v>
      </c>
      <c r="D1766" t="s">
        <v>282</v>
      </c>
      <c r="E1766" t="s">
        <v>411</v>
      </c>
      <c r="F1766">
        <f>HYPERLINK("https://www.wikidata.org/wiki/Q33724121", "Q33724121")</f>
        <v>0</v>
      </c>
      <c r="G1766" t="s">
        <v>1621</v>
      </c>
      <c r="H1766" t="s">
        <v>6306</v>
      </c>
      <c r="I1766" t="s">
        <v>9426</v>
      </c>
      <c r="J1766" t="s">
        <v>12328</v>
      </c>
      <c r="K1766" t="s">
        <v>16738</v>
      </c>
      <c r="L1766">
        <f>HYPERLINK("https://www2.assemblee-nationale.fr/sycomore/fiche/(num_dept)/6781", "6781")</f>
        <v>0</v>
      </c>
      <c r="M1766">
        <f>HYPERLINK("https://www.senat.fr/senateur-3eme-republique/rio_alphonse0903r3.html", "rio_alphonse0903r3")</f>
        <v>0</v>
      </c>
      <c r="N1766">
        <f>HYPERLINK("https://www.wikidata.org/wiki/Q2839950", "Q2839950")</f>
        <v>0</v>
      </c>
      <c r="O1766" t="s">
        <v>19961</v>
      </c>
      <c r="P1766" t="s">
        <v>20406</v>
      </c>
      <c r="Q1766" t="s">
        <v>17699</v>
      </c>
      <c r="R1766" t="s">
        <v>411</v>
      </c>
      <c r="S1766">
        <v>1658</v>
      </c>
    </row>
    <row r="1767" spans="1:19">
      <c r="A1767" t="s">
        <v>21</v>
      </c>
      <c r="B1767" t="s">
        <v>148</v>
      </c>
      <c r="C1767" t="s">
        <v>153</v>
      </c>
      <c r="D1767" t="s">
        <v>282</v>
      </c>
      <c r="E1767" t="s">
        <v>411</v>
      </c>
      <c r="F1767">
        <f>HYPERLINK("https://www.wikidata.org/wiki/Q33724121", "Q33724121")</f>
        <v>0</v>
      </c>
      <c r="G1767" t="s">
        <v>1622</v>
      </c>
      <c r="H1767" t="s">
        <v>6307</v>
      </c>
      <c r="I1767" t="s">
        <v>9457</v>
      </c>
      <c r="J1767" t="s">
        <v>12329</v>
      </c>
      <c r="K1767" t="s">
        <v>16739</v>
      </c>
      <c r="L1767">
        <f>HYPERLINK("https://www2.assemblee-nationale.fr/sycomore/fiche/(num_dept)/6805", "6805")</f>
        <v>0</v>
      </c>
      <c r="M1767">
        <f>HYPERLINK("https://www.senat.fr/senateur-3eme-republique/servain_henri0592r3.html", "servain_henri0592r3")</f>
        <v>0</v>
      </c>
      <c r="N1767">
        <f>HYPERLINK("https://www.wikidata.org/wiki/Q3132005", "Q3132005")</f>
        <v>0</v>
      </c>
      <c r="O1767" t="s">
        <v>19964</v>
      </c>
      <c r="P1767" t="s">
        <v>20417</v>
      </c>
      <c r="Q1767" t="s">
        <v>17699</v>
      </c>
      <c r="R1767" t="s">
        <v>468</v>
      </c>
      <c r="S1767">
        <v>418</v>
      </c>
    </row>
    <row r="1768" spans="1:19">
      <c r="A1768" t="s">
        <v>21</v>
      </c>
      <c r="B1768" t="s">
        <v>148</v>
      </c>
      <c r="C1768" t="s">
        <v>153</v>
      </c>
      <c r="D1768" t="s">
        <v>282</v>
      </c>
      <c r="E1768" t="s">
        <v>411</v>
      </c>
      <c r="F1768">
        <f>HYPERLINK("https://www.wikidata.org/wiki/Q33724121", "Q33724121")</f>
        <v>0</v>
      </c>
      <c r="G1768" t="s">
        <v>1623</v>
      </c>
      <c r="H1768" t="s">
        <v>6308</v>
      </c>
      <c r="I1768" t="s">
        <v>9426</v>
      </c>
      <c r="J1768" t="s">
        <v>12330</v>
      </c>
      <c r="K1768" t="s">
        <v>16740</v>
      </c>
      <c r="L1768">
        <f>HYPERLINK("https://www2.assemblee-nationale.fr/sycomore/fiche/(num_dept)/6813", "6813")</f>
        <v>0</v>
      </c>
      <c r="N1768">
        <f>HYPERLINK("https://www.wikidata.org/wiki/Q2839960", "Q2839960")</f>
        <v>0</v>
      </c>
      <c r="O1768" t="s">
        <v>19961</v>
      </c>
      <c r="P1768" t="s">
        <v>20416</v>
      </c>
      <c r="Q1768" t="s">
        <v>17699</v>
      </c>
      <c r="R1768" t="s">
        <v>411</v>
      </c>
      <c r="S1768">
        <v>1658</v>
      </c>
    </row>
    <row r="1769" spans="1:19">
      <c r="A1769" t="s">
        <v>21</v>
      </c>
      <c r="B1769" t="s">
        <v>148</v>
      </c>
      <c r="C1769" t="s">
        <v>153</v>
      </c>
      <c r="D1769" t="s">
        <v>282</v>
      </c>
      <c r="E1769" t="s">
        <v>411</v>
      </c>
      <c r="F1769">
        <f>HYPERLINK("https://www.wikidata.org/wiki/Q33724121", "Q33724121")</f>
        <v>0</v>
      </c>
      <c r="G1769" t="s">
        <v>1624</v>
      </c>
      <c r="H1769" t="s">
        <v>6309</v>
      </c>
      <c r="I1769" t="s">
        <v>9863</v>
      </c>
      <c r="J1769" t="s">
        <v>12331</v>
      </c>
      <c r="K1769" t="s">
        <v>380</v>
      </c>
      <c r="L1769">
        <f>HYPERLINK("https://www2.assemblee-nationale.fr/sycomore/fiche/(num_dept)/6819", "6819")</f>
        <v>0</v>
      </c>
      <c r="N1769">
        <f>HYPERLINK("https://www.wikidata.org/wiki/Q3592438", "Q3592438")</f>
        <v>0</v>
      </c>
      <c r="O1769" t="s">
        <v>20014</v>
      </c>
      <c r="P1769" t="s">
        <v>20420</v>
      </c>
      <c r="Q1769" t="s">
        <v>17699</v>
      </c>
      <c r="R1769" t="s">
        <v>411</v>
      </c>
      <c r="S1769">
        <v>1658</v>
      </c>
    </row>
    <row r="1770" spans="1:19">
      <c r="A1770" t="s">
        <v>21</v>
      </c>
      <c r="B1770" t="s">
        <v>148</v>
      </c>
      <c r="C1770" t="s">
        <v>153</v>
      </c>
      <c r="D1770" t="s">
        <v>282</v>
      </c>
      <c r="E1770" t="s">
        <v>411</v>
      </c>
      <c r="F1770">
        <f>HYPERLINK("https://www.wikidata.org/wiki/Q33724121", "Q33724121")</f>
        <v>0</v>
      </c>
      <c r="G1770" t="s">
        <v>809</v>
      </c>
      <c r="H1770" t="s">
        <v>5566</v>
      </c>
      <c r="I1770" t="s">
        <v>7642</v>
      </c>
      <c r="J1770" t="s">
        <v>11556</v>
      </c>
      <c r="K1770" t="s">
        <v>15960</v>
      </c>
      <c r="L1770">
        <f>HYPERLINK("https://www2.assemblee-nationale.fr/sycomore/fiche/(num_dept)/6821", "6821")</f>
        <v>0</v>
      </c>
      <c r="N1770">
        <f>HYPERLINK("https://www.wikidata.org/wiki/Q3301402", "Q3301402")</f>
        <v>0</v>
      </c>
      <c r="O1770" t="s">
        <v>20023</v>
      </c>
      <c r="P1770" t="s">
        <v>20417</v>
      </c>
      <c r="Q1770" t="s">
        <v>17699</v>
      </c>
      <c r="R1770" t="s">
        <v>411</v>
      </c>
      <c r="S1770">
        <v>1658</v>
      </c>
    </row>
    <row r="1771" spans="1:19">
      <c r="A1771" t="s">
        <v>21</v>
      </c>
      <c r="B1771" t="s">
        <v>148</v>
      </c>
      <c r="C1771" t="s">
        <v>153</v>
      </c>
      <c r="D1771" t="s">
        <v>282</v>
      </c>
      <c r="E1771" t="s">
        <v>411</v>
      </c>
      <c r="F1771">
        <f>HYPERLINK("https://www.wikidata.org/wiki/Q33724121", "Q33724121")</f>
        <v>0</v>
      </c>
      <c r="G1771" t="s">
        <v>1310</v>
      </c>
      <c r="H1771" t="s">
        <v>6031</v>
      </c>
      <c r="I1771" t="s">
        <v>6200</v>
      </c>
      <c r="J1771" t="s">
        <v>12040</v>
      </c>
      <c r="K1771" t="s">
        <v>16441</v>
      </c>
      <c r="L1771">
        <f>HYPERLINK("https://www2.assemblee-nationale.fr/sycomore/fiche/(num_dept)/6823", "6823")</f>
        <v>0</v>
      </c>
      <c r="N1771">
        <f>HYPERLINK("https://www.wikidata.org/wiki/Q16026502", "Q16026502")</f>
        <v>0</v>
      </c>
      <c r="O1771" t="s">
        <v>19988</v>
      </c>
      <c r="P1771" t="s">
        <v>20416</v>
      </c>
      <c r="Q1771" t="s">
        <v>17699</v>
      </c>
      <c r="R1771" t="s">
        <v>411</v>
      </c>
      <c r="S1771">
        <v>1658</v>
      </c>
    </row>
    <row r="1772" spans="1:19">
      <c r="A1772" t="s">
        <v>21</v>
      </c>
      <c r="B1772" t="s">
        <v>148</v>
      </c>
      <c r="C1772" t="s">
        <v>153</v>
      </c>
      <c r="D1772" t="s">
        <v>282</v>
      </c>
      <c r="E1772" t="s">
        <v>411</v>
      </c>
      <c r="F1772">
        <f>HYPERLINK("https://www.wikidata.org/wiki/Q33724121", "Q33724121")</f>
        <v>0</v>
      </c>
      <c r="G1772" t="s">
        <v>1052</v>
      </c>
      <c r="H1772" t="s">
        <v>5799</v>
      </c>
      <c r="I1772" t="s">
        <v>9449</v>
      </c>
      <c r="J1772" t="s">
        <v>11789</v>
      </c>
      <c r="K1772" t="s">
        <v>16190</v>
      </c>
      <c r="L1772">
        <f>HYPERLINK("https://www2.assemblee-nationale.fr/sycomore/fiche/(num_dept)/6832", "6832")</f>
        <v>0</v>
      </c>
      <c r="M1772">
        <f>HYPERLINK("https://www.senat.fr/senateur-3eme-republique/siegfried_jules1584r3.html", "siegfried_jules1584r3")</f>
        <v>0</v>
      </c>
      <c r="N1772">
        <f>HYPERLINK("https://www.wikidata.org/wiki/Q3188910", "Q3188910")</f>
        <v>0</v>
      </c>
      <c r="O1772" t="s">
        <v>19978</v>
      </c>
      <c r="P1772" t="s">
        <v>20417</v>
      </c>
      <c r="Q1772" t="s">
        <v>17699</v>
      </c>
      <c r="R1772" t="s">
        <v>16190</v>
      </c>
      <c r="S1772">
        <v>1045</v>
      </c>
    </row>
    <row r="1773" spans="1:19">
      <c r="A1773" t="s">
        <v>21</v>
      </c>
      <c r="B1773" t="s">
        <v>148</v>
      </c>
      <c r="C1773" t="s">
        <v>153</v>
      </c>
      <c r="D1773" t="s">
        <v>282</v>
      </c>
      <c r="E1773" t="s">
        <v>411</v>
      </c>
      <c r="F1773">
        <f>HYPERLINK("https://www.wikidata.org/wiki/Q33724121", "Q33724121")</f>
        <v>0</v>
      </c>
      <c r="G1773" t="s">
        <v>1053</v>
      </c>
      <c r="H1773" t="s">
        <v>5800</v>
      </c>
      <c r="I1773" t="s">
        <v>6478</v>
      </c>
      <c r="J1773" t="s">
        <v>11790</v>
      </c>
      <c r="K1773" t="s">
        <v>16191</v>
      </c>
      <c r="L1773">
        <f>HYPERLINK("https://www2.assemblee-nationale.fr/sycomore/fiche/(num_dept)/6843", "6843")</f>
        <v>0</v>
      </c>
      <c r="N1773">
        <f>HYPERLINK("https://www.wikidata.org/wiki/Q773411", "Q773411")</f>
        <v>0</v>
      </c>
      <c r="O1773" t="s">
        <v>19962</v>
      </c>
      <c r="P1773" t="s">
        <v>20418</v>
      </c>
      <c r="Q1773" t="s">
        <v>17699</v>
      </c>
      <c r="R1773" t="s">
        <v>411</v>
      </c>
      <c r="S1773">
        <v>1658</v>
      </c>
    </row>
    <row r="1774" spans="1:19">
      <c r="A1774" t="s">
        <v>21</v>
      </c>
      <c r="B1774" t="s">
        <v>148</v>
      </c>
      <c r="C1774" t="s">
        <v>153</v>
      </c>
      <c r="D1774" t="s">
        <v>282</v>
      </c>
      <c r="E1774" t="s">
        <v>411</v>
      </c>
      <c r="F1774">
        <f>HYPERLINK("https://www.wikidata.org/wiki/Q33724121", "Q33724121")</f>
        <v>0</v>
      </c>
      <c r="G1774" t="s">
        <v>1132</v>
      </c>
      <c r="H1774" t="s">
        <v>5800</v>
      </c>
      <c r="I1774" t="s">
        <v>9388</v>
      </c>
      <c r="J1774" t="s">
        <v>11866</v>
      </c>
      <c r="K1774" t="s">
        <v>16268</v>
      </c>
      <c r="L1774">
        <f>HYPERLINK("https://www2.assemblee-nationale.fr/sycomore/fiche/(num_dept)/6845", "6845")</f>
        <v>0</v>
      </c>
      <c r="N1774">
        <f>HYPERLINK("https://www.wikidata.org/wiki/Q3372205", "Q3372205")</f>
        <v>0</v>
      </c>
      <c r="O1774" t="s">
        <v>20011</v>
      </c>
      <c r="P1774" t="s">
        <v>20412</v>
      </c>
      <c r="Q1774" t="s">
        <v>17699</v>
      </c>
      <c r="R1774" t="s">
        <v>411</v>
      </c>
      <c r="S1774">
        <v>1658</v>
      </c>
    </row>
    <row r="1775" spans="1:19">
      <c r="A1775" t="s">
        <v>21</v>
      </c>
      <c r="B1775" t="s">
        <v>148</v>
      </c>
      <c r="C1775" t="s">
        <v>153</v>
      </c>
      <c r="D1775" t="s">
        <v>282</v>
      </c>
      <c r="E1775" t="s">
        <v>411</v>
      </c>
      <c r="F1775">
        <f>HYPERLINK("https://www.wikidata.org/wiki/Q33724121", "Q33724121")</f>
        <v>0</v>
      </c>
      <c r="G1775" t="s">
        <v>1625</v>
      </c>
      <c r="H1775" t="s">
        <v>6310</v>
      </c>
      <c r="I1775" t="s">
        <v>9506</v>
      </c>
      <c r="J1775" t="s">
        <v>12332</v>
      </c>
      <c r="K1775" t="s">
        <v>16741</v>
      </c>
      <c r="L1775">
        <f>HYPERLINK("https://www2.assemblee-nationale.fr/sycomore/fiche/(num_dept)/6850", "6850")</f>
        <v>0</v>
      </c>
      <c r="N1775">
        <f>HYPERLINK("https://www.wikidata.org/wiki/Q16026506", "Q16026506")</f>
        <v>0</v>
      </c>
      <c r="O1775" t="s">
        <v>20048</v>
      </c>
      <c r="P1775" t="s">
        <v>20417</v>
      </c>
      <c r="Q1775" t="s">
        <v>17699</v>
      </c>
      <c r="R1775" t="s">
        <v>411</v>
      </c>
      <c r="S1775">
        <v>1658</v>
      </c>
    </row>
    <row r="1776" spans="1:19">
      <c r="A1776" t="s">
        <v>21</v>
      </c>
      <c r="B1776" t="s">
        <v>148</v>
      </c>
      <c r="C1776" t="s">
        <v>153</v>
      </c>
      <c r="D1776" t="s">
        <v>282</v>
      </c>
      <c r="E1776" t="s">
        <v>411</v>
      </c>
      <c r="F1776">
        <f>HYPERLINK("https://www.wikidata.org/wiki/Q33724121", "Q33724121")</f>
        <v>0</v>
      </c>
      <c r="G1776" t="s">
        <v>811</v>
      </c>
      <c r="H1776" t="s">
        <v>5568</v>
      </c>
      <c r="I1776" t="s">
        <v>9535</v>
      </c>
      <c r="J1776" t="s">
        <v>11558</v>
      </c>
      <c r="K1776" t="s">
        <v>15962</v>
      </c>
      <c r="L1776">
        <f>HYPERLINK("https://www2.assemblee-nationale.fr/sycomore/fiche/(num_dept)/6854", "6854")</f>
        <v>0</v>
      </c>
      <c r="M1776">
        <f>HYPERLINK("https://www.senat.fr/senateur-3eme-republique/simyan_julien1227r3.html", "simyan_julien1227r3")</f>
        <v>0</v>
      </c>
      <c r="N1776">
        <f>HYPERLINK("https://www.wikidata.org/wiki/Q3189661", "Q3189661")</f>
        <v>0</v>
      </c>
      <c r="O1776" t="s">
        <v>19994</v>
      </c>
      <c r="P1776" t="s">
        <v>20418</v>
      </c>
      <c r="Q1776" t="s">
        <v>17699</v>
      </c>
      <c r="R1776" t="s">
        <v>21399</v>
      </c>
      <c r="S1776">
        <v>600</v>
      </c>
    </row>
    <row r="1777" spans="1:19">
      <c r="A1777" t="s">
        <v>21</v>
      </c>
      <c r="B1777" t="s">
        <v>148</v>
      </c>
      <c r="C1777" t="s">
        <v>153</v>
      </c>
      <c r="D1777" t="s">
        <v>282</v>
      </c>
      <c r="E1777" t="s">
        <v>411</v>
      </c>
      <c r="F1777">
        <f>HYPERLINK("https://www.wikidata.org/wiki/Q33724121", "Q33724121")</f>
        <v>0</v>
      </c>
      <c r="G1777" t="s">
        <v>812</v>
      </c>
      <c r="H1777" t="s">
        <v>5569</v>
      </c>
      <c r="I1777" t="s">
        <v>5528</v>
      </c>
      <c r="J1777" t="s">
        <v>11559</v>
      </c>
      <c r="K1777" t="s">
        <v>15963</v>
      </c>
      <c r="L1777">
        <f>HYPERLINK("https://www2.assemblee-nationale.fr/sycomore/fiche/(num_dept)/6857", "6857")</f>
        <v>0</v>
      </c>
      <c r="M1777">
        <f>HYPERLINK("https://www.senat.fr/senateur-3eme-republique/sireyjol_leon0664r3.html", "sireyjol_leon0664r3")</f>
        <v>0</v>
      </c>
      <c r="N1777">
        <f>HYPERLINK("https://www.wikidata.org/wiki/Q3271332", "Q3271332")</f>
        <v>0</v>
      </c>
      <c r="O1777" t="s">
        <v>20010</v>
      </c>
      <c r="P1777" t="s">
        <v>20412</v>
      </c>
      <c r="Q1777" t="s">
        <v>17699</v>
      </c>
      <c r="R1777" t="s">
        <v>21400</v>
      </c>
      <c r="S1777">
        <v>753</v>
      </c>
    </row>
    <row r="1778" spans="1:19">
      <c r="A1778" t="s">
        <v>21</v>
      </c>
      <c r="B1778" t="s">
        <v>148</v>
      </c>
      <c r="C1778" t="s">
        <v>153</v>
      </c>
      <c r="D1778" t="s">
        <v>282</v>
      </c>
      <c r="E1778" t="s">
        <v>411</v>
      </c>
      <c r="F1778">
        <f>HYPERLINK("https://www.wikidata.org/wiki/Q33724121", "Q33724121")</f>
        <v>0</v>
      </c>
      <c r="G1778" t="s">
        <v>1626</v>
      </c>
      <c r="H1778" t="s">
        <v>6311</v>
      </c>
      <c r="I1778" t="s">
        <v>9375</v>
      </c>
      <c r="J1778" t="s">
        <v>12333</v>
      </c>
      <c r="K1778" t="s">
        <v>16742</v>
      </c>
      <c r="L1778">
        <f>HYPERLINK("https://www2.assemblee-nationale.fr/sycomore/fiche/(num_dept)/6883", "6883")</f>
        <v>0</v>
      </c>
      <c r="N1778">
        <f>HYPERLINK("https://www.wikidata.org/wiki/Q16026518", "Q16026518")</f>
        <v>0</v>
      </c>
      <c r="O1778" t="s">
        <v>19969</v>
      </c>
      <c r="P1778" t="s">
        <v>20419</v>
      </c>
      <c r="Q1778" t="s">
        <v>17699</v>
      </c>
      <c r="R1778" t="s">
        <v>411</v>
      </c>
      <c r="S1778">
        <v>1658</v>
      </c>
    </row>
    <row r="1779" spans="1:19">
      <c r="A1779" t="s">
        <v>21</v>
      </c>
      <c r="B1779" t="s">
        <v>148</v>
      </c>
      <c r="C1779" t="s">
        <v>153</v>
      </c>
      <c r="D1779" t="s">
        <v>282</v>
      </c>
      <c r="E1779" t="s">
        <v>411</v>
      </c>
      <c r="F1779">
        <f>HYPERLINK("https://www.wikidata.org/wiki/Q33724121", "Q33724121")</f>
        <v>0</v>
      </c>
      <c r="G1779" t="s">
        <v>1627</v>
      </c>
      <c r="H1779" t="s">
        <v>6312</v>
      </c>
      <c r="I1779" t="s">
        <v>6860</v>
      </c>
      <c r="J1779" t="s">
        <v>12334</v>
      </c>
      <c r="K1779" t="s">
        <v>16743</v>
      </c>
      <c r="L1779">
        <f>HYPERLINK("https://www2.assemblee-nationale.fr/sycomore/fiche/(num_dept)/6941", "6941")</f>
        <v>0</v>
      </c>
      <c r="N1779">
        <f>HYPERLINK("https://www.wikidata.org/wiki/Q3387066", "Q3387066")</f>
        <v>0</v>
      </c>
      <c r="O1779" t="s">
        <v>20037</v>
      </c>
      <c r="P1779" t="s">
        <v>20419</v>
      </c>
      <c r="Q1779" t="s">
        <v>17699</v>
      </c>
      <c r="R1779" t="s">
        <v>411</v>
      </c>
      <c r="S1779">
        <v>1658</v>
      </c>
    </row>
    <row r="1780" spans="1:19">
      <c r="A1780" t="s">
        <v>21</v>
      </c>
      <c r="B1780" t="s">
        <v>148</v>
      </c>
      <c r="C1780" t="s">
        <v>153</v>
      </c>
      <c r="D1780" t="s">
        <v>282</v>
      </c>
      <c r="E1780" t="s">
        <v>411</v>
      </c>
      <c r="F1780">
        <f>HYPERLINK("https://www.wikidata.org/wiki/Q33724121", "Q33724121")</f>
        <v>0</v>
      </c>
      <c r="G1780" t="s">
        <v>1628</v>
      </c>
      <c r="H1780" t="s">
        <v>6313</v>
      </c>
      <c r="I1780" t="s">
        <v>9864</v>
      </c>
      <c r="J1780" t="s">
        <v>12335</v>
      </c>
      <c r="K1780" t="s">
        <v>16744</v>
      </c>
      <c r="L1780">
        <f>HYPERLINK("https://www2.assemblee-nationale.fr/sycomore/fiche/(num_dept)/6943", "6943")</f>
        <v>0</v>
      </c>
      <c r="N1780">
        <f>HYPERLINK("https://www.wikidata.org/wiki/Q3103710", "Q3103710")</f>
        <v>0</v>
      </c>
      <c r="O1780" t="s">
        <v>20021</v>
      </c>
      <c r="P1780" t="s">
        <v>20420</v>
      </c>
      <c r="Q1780" t="s">
        <v>17699</v>
      </c>
      <c r="R1780" t="s">
        <v>411</v>
      </c>
      <c r="S1780">
        <v>1658</v>
      </c>
    </row>
    <row r="1781" spans="1:19">
      <c r="A1781" t="s">
        <v>21</v>
      </c>
      <c r="B1781" t="s">
        <v>148</v>
      </c>
      <c r="C1781" t="s">
        <v>153</v>
      </c>
      <c r="D1781" t="s">
        <v>282</v>
      </c>
      <c r="E1781" t="s">
        <v>411</v>
      </c>
      <c r="F1781">
        <f>HYPERLINK("https://www.wikidata.org/wiki/Q33724121", "Q33724121")</f>
        <v>0</v>
      </c>
      <c r="G1781" t="s">
        <v>1629</v>
      </c>
      <c r="H1781" t="s">
        <v>6314</v>
      </c>
      <c r="I1781" t="s">
        <v>9388</v>
      </c>
      <c r="J1781" t="s">
        <v>12336</v>
      </c>
      <c r="K1781" t="s">
        <v>16745</v>
      </c>
      <c r="L1781">
        <f>HYPERLINK("https://www2.assemblee-nationale.fr/sycomore/fiche/(num_dept)/6950", "6950")</f>
        <v>0</v>
      </c>
      <c r="N1781">
        <f>HYPERLINK("https://www.wikidata.org/wiki/Q11428374", "Q11428374")</f>
        <v>0</v>
      </c>
      <c r="O1781" t="s">
        <v>20018</v>
      </c>
      <c r="P1781" t="s">
        <v>20416</v>
      </c>
      <c r="Q1781" t="s">
        <v>17699</v>
      </c>
      <c r="R1781" t="s">
        <v>411</v>
      </c>
      <c r="S1781">
        <v>1658</v>
      </c>
    </row>
    <row r="1782" spans="1:19">
      <c r="A1782" t="s">
        <v>21</v>
      </c>
      <c r="B1782" t="s">
        <v>148</v>
      </c>
      <c r="C1782" t="s">
        <v>153</v>
      </c>
      <c r="D1782" t="s">
        <v>282</v>
      </c>
      <c r="E1782" t="s">
        <v>411</v>
      </c>
      <c r="F1782">
        <f>HYPERLINK("https://www.wikidata.org/wiki/Q33724121", "Q33724121")</f>
        <v>0</v>
      </c>
      <c r="G1782" t="s">
        <v>1206</v>
      </c>
      <c r="H1782" t="s">
        <v>5934</v>
      </c>
      <c r="I1782" t="s">
        <v>6585</v>
      </c>
      <c r="J1782" t="s">
        <v>11939</v>
      </c>
      <c r="K1782" t="s">
        <v>16340</v>
      </c>
      <c r="L1782">
        <f>HYPERLINK("https://www2.assemblee-nationale.fr/sycomore/fiche/(num_dept)/6953", "6953")</f>
        <v>0</v>
      </c>
      <c r="N1782">
        <f>HYPERLINK("https://www.wikidata.org/wiki/Q346648", "Q346648")</f>
        <v>0</v>
      </c>
      <c r="O1782" t="s">
        <v>19976</v>
      </c>
      <c r="P1782" t="s">
        <v>20412</v>
      </c>
      <c r="Q1782" t="s">
        <v>17699</v>
      </c>
      <c r="R1782" t="s">
        <v>411</v>
      </c>
      <c r="S1782">
        <v>1658</v>
      </c>
    </row>
    <row r="1783" spans="1:19">
      <c r="A1783" t="s">
        <v>21</v>
      </c>
      <c r="B1783" t="s">
        <v>148</v>
      </c>
      <c r="C1783" t="s">
        <v>153</v>
      </c>
      <c r="D1783" t="s">
        <v>282</v>
      </c>
      <c r="E1783" t="s">
        <v>411</v>
      </c>
      <c r="F1783">
        <f>HYPERLINK("https://www.wikidata.org/wiki/Q33724121", "Q33724121")</f>
        <v>0</v>
      </c>
      <c r="G1783" t="s">
        <v>1630</v>
      </c>
      <c r="H1783" t="s">
        <v>6315</v>
      </c>
      <c r="I1783" t="s">
        <v>6200</v>
      </c>
      <c r="J1783" t="s">
        <v>12337</v>
      </c>
      <c r="K1783" t="s">
        <v>16746</v>
      </c>
      <c r="L1783">
        <f>HYPERLINK("https://www2.assemblee-nationale.fr/sycomore/fiche/(num_dept)/6969", "6969")</f>
        <v>0</v>
      </c>
      <c r="M1783">
        <f>HYPERLINK("https://www.senat.fr/senateur-3eme-republique/taurines_jean1357r3.html", "taurines_jean1357r3")</f>
        <v>0</v>
      </c>
      <c r="N1783">
        <f>HYPERLINK("https://www.wikidata.org/wiki/Q3174745", "Q3174745")</f>
        <v>0</v>
      </c>
      <c r="O1783" t="s">
        <v>19997</v>
      </c>
      <c r="P1783" t="s">
        <v>20416</v>
      </c>
      <c r="Q1783" t="s">
        <v>17699</v>
      </c>
      <c r="R1783" t="s">
        <v>411</v>
      </c>
      <c r="S1783">
        <v>1658</v>
      </c>
    </row>
    <row r="1784" spans="1:19">
      <c r="A1784" t="s">
        <v>21</v>
      </c>
      <c r="B1784" t="s">
        <v>148</v>
      </c>
      <c r="C1784" t="s">
        <v>153</v>
      </c>
      <c r="D1784" t="s">
        <v>282</v>
      </c>
      <c r="E1784" t="s">
        <v>411</v>
      </c>
      <c r="F1784">
        <f>HYPERLINK("https://www.wikidata.org/wiki/Q33724121", "Q33724121")</f>
        <v>0</v>
      </c>
      <c r="G1784" t="s">
        <v>1087</v>
      </c>
      <c r="H1784" t="s">
        <v>5830</v>
      </c>
      <c r="I1784" t="s">
        <v>9657</v>
      </c>
      <c r="J1784" t="s">
        <v>11823</v>
      </c>
      <c r="K1784" t="s">
        <v>16224</v>
      </c>
      <c r="L1784">
        <f>HYPERLINK("https://www2.assemblee-nationale.fr/sycomore/fiche/(num_dept)/6988", "6988")</f>
        <v>0</v>
      </c>
      <c r="N1784">
        <f>HYPERLINK("https://www.wikidata.org/wiki/Q16026546", "Q16026546")</f>
        <v>0</v>
      </c>
      <c r="O1784" t="s">
        <v>20012</v>
      </c>
      <c r="P1784" t="s">
        <v>20418</v>
      </c>
      <c r="Q1784" t="s">
        <v>17699</v>
      </c>
      <c r="R1784" t="s">
        <v>411</v>
      </c>
      <c r="S1784">
        <v>1658</v>
      </c>
    </row>
    <row r="1785" spans="1:19">
      <c r="A1785" t="s">
        <v>21</v>
      </c>
      <c r="B1785" t="s">
        <v>148</v>
      </c>
      <c r="C1785" t="s">
        <v>153</v>
      </c>
      <c r="D1785" t="s">
        <v>282</v>
      </c>
      <c r="E1785" t="s">
        <v>411</v>
      </c>
      <c r="F1785">
        <f>HYPERLINK("https://www.wikidata.org/wiki/Q33724121", "Q33724121")</f>
        <v>0</v>
      </c>
      <c r="G1785" t="s">
        <v>1060</v>
      </c>
      <c r="H1785" t="s">
        <v>5806</v>
      </c>
      <c r="I1785" t="s">
        <v>9646</v>
      </c>
      <c r="J1785" t="s">
        <v>11797</v>
      </c>
      <c r="K1785" t="s">
        <v>15936</v>
      </c>
      <c r="L1785">
        <f>HYPERLINK("https://www2.assemblee-nationale.fr/sycomore/fiche/(num_dept)/7019", "7019")</f>
        <v>0</v>
      </c>
      <c r="N1785">
        <f>HYPERLINK("https://www.wikidata.org/wiki/Q16026551", "Q16026551")</f>
        <v>0</v>
      </c>
      <c r="O1785" t="s">
        <v>8449</v>
      </c>
      <c r="P1785" t="s">
        <v>20417</v>
      </c>
      <c r="Q1785" t="s">
        <v>17699</v>
      </c>
      <c r="R1785" t="s">
        <v>411</v>
      </c>
      <c r="S1785">
        <v>1658</v>
      </c>
    </row>
    <row r="1786" spans="1:19">
      <c r="A1786" t="s">
        <v>21</v>
      </c>
      <c r="B1786" t="s">
        <v>148</v>
      </c>
      <c r="C1786" t="s">
        <v>153</v>
      </c>
      <c r="D1786" t="s">
        <v>282</v>
      </c>
      <c r="E1786" t="s">
        <v>411</v>
      </c>
      <c r="F1786">
        <f>HYPERLINK("https://www.wikidata.org/wiki/Q33724121", "Q33724121")</f>
        <v>0</v>
      </c>
      <c r="G1786" t="s">
        <v>1631</v>
      </c>
      <c r="H1786" t="s">
        <v>6316</v>
      </c>
      <c r="I1786" t="s">
        <v>6175</v>
      </c>
      <c r="J1786" t="s">
        <v>12338</v>
      </c>
      <c r="K1786" t="s">
        <v>16747</v>
      </c>
      <c r="L1786">
        <f>HYPERLINK("https://www2.assemblee-nationale.fr/sycomore/fiche/(num_dept)/7025", "7025")</f>
        <v>0</v>
      </c>
      <c r="N1786">
        <f>HYPERLINK("https://www.wikidata.org/wiki/Q3103533", "Q3103533")</f>
        <v>0</v>
      </c>
      <c r="O1786" t="s">
        <v>19969</v>
      </c>
      <c r="P1786" t="s">
        <v>20409</v>
      </c>
      <c r="Q1786" t="s">
        <v>17699</v>
      </c>
      <c r="R1786" t="s">
        <v>411</v>
      </c>
      <c r="S1786">
        <v>1658</v>
      </c>
    </row>
    <row r="1787" spans="1:19">
      <c r="A1787" t="s">
        <v>21</v>
      </c>
      <c r="B1787" t="s">
        <v>148</v>
      </c>
      <c r="C1787" t="s">
        <v>153</v>
      </c>
      <c r="D1787" t="s">
        <v>282</v>
      </c>
      <c r="E1787" t="s">
        <v>411</v>
      </c>
      <c r="F1787">
        <f>HYPERLINK("https://www.wikidata.org/wiki/Q33724121", "Q33724121")</f>
        <v>0</v>
      </c>
      <c r="G1787" t="s">
        <v>1062</v>
      </c>
      <c r="H1787" t="s">
        <v>5808</v>
      </c>
      <c r="I1787" t="s">
        <v>9648</v>
      </c>
      <c r="J1787" t="s">
        <v>11799</v>
      </c>
      <c r="K1787" t="s">
        <v>16199</v>
      </c>
      <c r="L1787">
        <f>HYPERLINK("https://www2.assemblee-nationale.fr/sycomore/fiche/(num_dept)/7042", "7042")</f>
        <v>0</v>
      </c>
      <c r="N1787">
        <f>HYPERLINK("https://www.wikidata.org/wiki/Q2025679", "Q2025679")</f>
        <v>0</v>
      </c>
      <c r="O1787" t="s">
        <v>19962</v>
      </c>
      <c r="P1787" t="s">
        <v>20404</v>
      </c>
      <c r="Q1787" t="s">
        <v>17699</v>
      </c>
      <c r="R1787" t="s">
        <v>21401</v>
      </c>
      <c r="S1787">
        <v>711</v>
      </c>
    </row>
    <row r="1788" spans="1:19">
      <c r="A1788" t="s">
        <v>21</v>
      </c>
      <c r="B1788" t="s">
        <v>148</v>
      </c>
      <c r="C1788" t="s">
        <v>153</v>
      </c>
      <c r="D1788" t="s">
        <v>282</v>
      </c>
      <c r="E1788" t="s">
        <v>411</v>
      </c>
      <c r="F1788">
        <f>HYPERLINK("https://www.wikidata.org/wiki/Q33724121", "Q33724121")</f>
        <v>0</v>
      </c>
      <c r="G1788" t="s">
        <v>818</v>
      </c>
      <c r="H1788" t="s">
        <v>5575</v>
      </c>
      <c r="I1788" t="s">
        <v>9470</v>
      </c>
      <c r="J1788" t="s">
        <v>11565</v>
      </c>
      <c r="K1788" t="s">
        <v>15969</v>
      </c>
      <c r="L1788">
        <f>HYPERLINK("https://www2.assemblee-nationale.fr/sycomore/fiche/(num_dept)/7055", "7055")</f>
        <v>0</v>
      </c>
      <c r="N1788">
        <f>HYPERLINK("https://www.wikidata.org/wiki/Q2246519", "Q2246519")</f>
        <v>0</v>
      </c>
      <c r="O1788" t="s">
        <v>20000</v>
      </c>
      <c r="P1788" t="s">
        <v>20412</v>
      </c>
      <c r="Q1788" t="s">
        <v>17699</v>
      </c>
      <c r="R1788" t="s">
        <v>411</v>
      </c>
      <c r="S1788">
        <v>1658</v>
      </c>
    </row>
    <row r="1789" spans="1:19">
      <c r="A1789" t="s">
        <v>21</v>
      </c>
      <c r="B1789" t="s">
        <v>148</v>
      </c>
      <c r="C1789" t="s">
        <v>153</v>
      </c>
      <c r="D1789" t="s">
        <v>282</v>
      </c>
      <c r="E1789" t="s">
        <v>411</v>
      </c>
      <c r="F1789">
        <f>HYPERLINK("https://www.wikidata.org/wiki/Q33724121", "Q33724121")</f>
        <v>0</v>
      </c>
      <c r="G1789" t="s">
        <v>1632</v>
      </c>
      <c r="H1789" t="s">
        <v>6317</v>
      </c>
      <c r="I1789" t="s">
        <v>6759</v>
      </c>
      <c r="J1789" t="s">
        <v>12339</v>
      </c>
      <c r="K1789" t="s">
        <v>16748</v>
      </c>
      <c r="L1789">
        <f>HYPERLINK("https://www2.assemblee-nationale.fr/sycomore/fiche/(num_dept)/7066", "7066")</f>
        <v>0</v>
      </c>
      <c r="M1789">
        <f>HYPERLINK("https://www.senat.fr/senateur-3eme-republique/thoumyre_robert1579r3.html", "thoumyre_robert1579r3")</f>
        <v>0</v>
      </c>
      <c r="N1789">
        <f>HYPERLINK("https://www.wikidata.org/wiki/Q3436407", "Q3436407")</f>
        <v>0</v>
      </c>
      <c r="O1789" t="s">
        <v>19978</v>
      </c>
      <c r="P1789" t="s">
        <v>20412</v>
      </c>
      <c r="Q1789" t="s">
        <v>17699</v>
      </c>
      <c r="R1789" t="s">
        <v>411</v>
      </c>
      <c r="S1789">
        <v>1658</v>
      </c>
    </row>
    <row r="1790" spans="1:19">
      <c r="A1790" t="s">
        <v>21</v>
      </c>
      <c r="B1790" t="s">
        <v>148</v>
      </c>
      <c r="C1790" t="s">
        <v>153</v>
      </c>
      <c r="D1790" t="s">
        <v>282</v>
      </c>
      <c r="E1790" t="s">
        <v>411</v>
      </c>
      <c r="F1790">
        <f>HYPERLINK("https://www.wikidata.org/wiki/Q33724121", "Q33724121")</f>
        <v>0</v>
      </c>
      <c r="G1790" t="s">
        <v>1633</v>
      </c>
      <c r="H1790" t="s">
        <v>6318</v>
      </c>
      <c r="I1790" t="s">
        <v>6495</v>
      </c>
      <c r="J1790" t="s">
        <v>12340</v>
      </c>
      <c r="K1790" t="s">
        <v>16749</v>
      </c>
      <c r="L1790">
        <f>HYPERLINK("https://www2.assemblee-nationale.fr/sycomore/fiche/(num_dept)/7073", "7073")</f>
        <v>0</v>
      </c>
      <c r="N1790">
        <f>HYPERLINK("https://www.wikidata.org/wiki/Q13080939", "Q13080939")</f>
        <v>0</v>
      </c>
      <c r="O1790" t="s">
        <v>19959</v>
      </c>
      <c r="P1790" t="s">
        <v>20412</v>
      </c>
      <c r="Q1790" t="s">
        <v>17699</v>
      </c>
      <c r="R1790" t="s">
        <v>411</v>
      </c>
      <c r="S1790">
        <v>1658</v>
      </c>
    </row>
    <row r="1791" spans="1:19">
      <c r="A1791" t="s">
        <v>21</v>
      </c>
      <c r="B1791" t="s">
        <v>148</v>
      </c>
      <c r="C1791" t="s">
        <v>153</v>
      </c>
      <c r="D1791" t="s">
        <v>282</v>
      </c>
      <c r="E1791" t="s">
        <v>411</v>
      </c>
      <c r="F1791">
        <f>HYPERLINK("https://www.wikidata.org/wiki/Q33724121", "Q33724121")</f>
        <v>0</v>
      </c>
      <c r="G1791" t="s">
        <v>1634</v>
      </c>
      <c r="H1791" t="s">
        <v>6319</v>
      </c>
      <c r="I1791" t="s">
        <v>9865</v>
      </c>
      <c r="J1791" t="s">
        <v>12341</v>
      </c>
      <c r="K1791" t="s">
        <v>16724</v>
      </c>
      <c r="L1791">
        <f>HYPERLINK("https://www2.assemblee-nationale.fr/sycomore/fiche/(num_dept)/7080", "7080")</f>
        <v>0</v>
      </c>
      <c r="N1791">
        <f>HYPERLINK("https://www.wikidata.org/wiki/Q3175732", "Q3175732")</f>
        <v>0</v>
      </c>
      <c r="O1791" t="s">
        <v>19972</v>
      </c>
      <c r="P1791" t="s">
        <v>20416</v>
      </c>
      <c r="Q1791" t="s">
        <v>17699</v>
      </c>
      <c r="R1791" t="s">
        <v>411</v>
      </c>
      <c r="S1791">
        <v>1658</v>
      </c>
    </row>
    <row r="1792" spans="1:19">
      <c r="A1792" t="s">
        <v>21</v>
      </c>
      <c r="B1792" t="s">
        <v>148</v>
      </c>
      <c r="C1792" t="s">
        <v>153</v>
      </c>
      <c r="D1792" t="s">
        <v>282</v>
      </c>
      <c r="E1792" t="s">
        <v>411</v>
      </c>
      <c r="F1792">
        <f>HYPERLINK("https://www.wikidata.org/wiki/Q33724121", "Q33724121")</f>
        <v>0</v>
      </c>
      <c r="G1792" t="s">
        <v>1635</v>
      </c>
      <c r="H1792" t="s">
        <v>6320</v>
      </c>
      <c r="I1792" t="s">
        <v>9866</v>
      </c>
      <c r="J1792" t="s">
        <v>12342</v>
      </c>
      <c r="K1792" t="s">
        <v>16316</v>
      </c>
      <c r="L1792">
        <f>HYPERLINK("https://www2.assemblee-nationale.fr/sycomore/fiche/(num_dept)/7089", "7089")</f>
        <v>0</v>
      </c>
      <c r="N1792">
        <f>HYPERLINK("https://www.wikidata.org/wiki/Q8305688", "Q8305688")</f>
        <v>0</v>
      </c>
      <c r="O1792" t="s">
        <v>19994</v>
      </c>
      <c r="P1792" t="s">
        <v>20419</v>
      </c>
      <c r="Q1792" t="s">
        <v>17699</v>
      </c>
      <c r="R1792" t="s">
        <v>411</v>
      </c>
      <c r="S1792">
        <v>1658</v>
      </c>
    </row>
    <row r="1793" spans="1:19">
      <c r="A1793" t="s">
        <v>21</v>
      </c>
      <c r="B1793" t="s">
        <v>148</v>
      </c>
      <c r="C1793" t="s">
        <v>153</v>
      </c>
      <c r="D1793" t="s">
        <v>282</v>
      </c>
      <c r="E1793" t="s">
        <v>411</v>
      </c>
      <c r="F1793">
        <f>HYPERLINK("https://www.wikidata.org/wiki/Q33724121", "Q33724121")</f>
        <v>0</v>
      </c>
      <c r="G1793" t="s">
        <v>1636</v>
      </c>
      <c r="H1793" t="s">
        <v>6321</v>
      </c>
      <c r="I1793" t="s">
        <v>6175</v>
      </c>
      <c r="J1793" t="s">
        <v>12343</v>
      </c>
      <c r="K1793" t="s">
        <v>16750</v>
      </c>
      <c r="L1793">
        <f>HYPERLINK("https://www2.assemblee-nationale.fr/sycomore/fiche/(num_dept)/7093", "7093")</f>
        <v>0</v>
      </c>
      <c r="N1793">
        <f>HYPERLINK("https://www.wikidata.org/wiki/Q16026561", "Q16026561")</f>
        <v>0</v>
      </c>
      <c r="O1793" t="s">
        <v>20005</v>
      </c>
      <c r="P1793" t="s">
        <v>20419</v>
      </c>
      <c r="Q1793" t="s">
        <v>17699</v>
      </c>
      <c r="R1793" t="s">
        <v>411</v>
      </c>
      <c r="S1793">
        <v>1658</v>
      </c>
    </row>
    <row r="1794" spans="1:19">
      <c r="A1794" t="s">
        <v>21</v>
      </c>
      <c r="B1794" t="s">
        <v>148</v>
      </c>
      <c r="C1794" t="s">
        <v>153</v>
      </c>
      <c r="D1794" t="s">
        <v>282</v>
      </c>
      <c r="E1794" t="s">
        <v>411</v>
      </c>
      <c r="F1794">
        <f>HYPERLINK("https://www.wikidata.org/wiki/Q33724121", "Q33724121")</f>
        <v>0</v>
      </c>
      <c r="G1794" t="s">
        <v>1637</v>
      </c>
      <c r="H1794" t="s">
        <v>6322</v>
      </c>
      <c r="I1794" t="s">
        <v>9867</v>
      </c>
      <c r="J1794" t="s">
        <v>12344</v>
      </c>
      <c r="K1794" t="s">
        <v>16751</v>
      </c>
      <c r="L1794">
        <f>HYPERLINK("https://www2.assemblee-nationale.fr/sycomore/fiche/(num_dept)/7128", "7128")</f>
        <v>0</v>
      </c>
      <c r="N1794">
        <f>HYPERLINK("https://www.wikidata.org/wiki/Q2828093", "Q2828093")</f>
        <v>0</v>
      </c>
      <c r="O1794" t="s">
        <v>19982</v>
      </c>
      <c r="P1794" t="s">
        <v>20417</v>
      </c>
      <c r="Q1794" t="s">
        <v>17699</v>
      </c>
      <c r="R1794" t="s">
        <v>411</v>
      </c>
      <c r="S1794">
        <v>1658</v>
      </c>
    </row>
    <row r="1795" spans="1:19">
      <c r="A1795" t="s">
        <v>21</v>
      </c>
      <c r="B1795" t="s">
        <v>148</v>
      </c>
      <c r="C1795" t="s">
        <v>153</v>
      </c>
      <c r="D1795" t="s">
        <v>282</v>
      </c>
      <c r="E1795" t="s">
        <v>411</v>
      </c>
      <c r="F1795">
        <f>HYPERLINK("https://www.wikidata.org/wiki/Q33724121", "Q33724121")</f>
        <v>0</v>
      </c>
      <c r="G1795" t="s">
        <v>1638</v>
      </c>
      <c r="H1795" t="s">
        <v>6323</v>
      </c>
      <c r="I1795" t="s">
        <v>9401</v>
      </c>
      <c r="J1795" t="s">
        <v>12345</v>
      </c>
      <c r="K1795" t="s">
        <v>16752</v>
      </c>
      <c r="L1795">
        <f>HYPERLINK("https://www2.assemblee-nationale.fr/sycomore/fiche/(num_dept)/7158", "7158")</f>
        <v>0</v>
      </c>
      <c r="N1795">
        <f>HYPERLINK("https://www.wikidata.org/wiki/Q16026570", "Q16026570")</f>
        <v>0</v>
      </c>
      <c r="O1795" t="s">
        <v>20005</v>
      </c>
      <c r="P1795" t="s">
        <v>20412</v>
      </c>
      <c r="Q1795" t="s">
        <v>17699</v>
      </c>
      <c r="R1795" t="s">
        <v>411</v>
      </c>
      <c r="S1795">
        <v>1658</v>
      </c>
    </row>
    <row r="1796" spans="1:19">
      <c r="A1796" t="s">
        <v>21</v>
      </c>
      <c r="B1796" t="s">
        <v>148</v>
      </c>
      <c r="C1796" t="s">
        <v>153</v>
      </c>
      <c r="D1796" t="s">
        <v>282</v>
      </c>
      <c r="E1796" t="s">
        <v>411</v>
      </c>
      <c r="F1796">
        <f>HYPERLINK("https://www.wikidata.org/wiki/Q33724121", "Q33724121")</f>
        <v>0</v>
      </c>
      <c r="G1796" t="s">
        <v>1639</v>
      </c>
      <c r="H1796" t="s">
        <v>6324</v>
      </c>
      <c r="I1796" t="s">
        <v>9449</v>
      </c>
      <c r="J1796" t="s">
        <v>12346</v>
      </c>
      <c r="K1796" t="s">
        <v>16753</v>
      </c>
      <c r="L1796">
        <f>HYPERLINK("https://www2.assemblee-nationale.fr/sycomore/fiche/(num_dept)/7184", "7184")</f>
        <v>0</v>
      </c>
      <c r="N1796">
        <f>HYPERLINK("https://www.wikidata.org/wiki/Q3188949", "Q3188949")</f>
        <v>0</v>
      </c>
      <c r="O1796" t="s">
        <v>19989</v>
      </c>
      <c r="P1796" t="s">
        <v>20404</v>
      </c>
      <c r="Q1796" t="s">
        <v>17699</v>
      </c>
      <c r="R1796" t="s">
        <v>411</v>
      </c>
      <c r="S1796">
        <v>1658</v>
      </c>
    </row>
    <row r="1797" spans="1:19">
      <c r="A1797" t="s">
        <v>21</v>
      </c>
      <c r="B1797" t="s">
        <v>148</v>
      </c>
      <c r="C1797" t="s">
        <v>153</v>
      </c>
      <c r="D1797" t="s">
        <v>282</v>
      </c>
      <c r="E1797" t="s">
        <v>411</v>
      </c>
      <c r="F1797">
        <f>HYPERLINK("https://www.wikidata.org/wiki/Q33724121", "Q33724121")</f>
        <v>0</v>
      </c>
      <c r="G1797" t="s">
        <v>1316</v>
      </c>
      <c r="H1797" t="s">
        <v>6036</v>
      </c>
      <c r="I1797" t="s">
        <v>9746</v>
      </c>
      <c r="J1797" t="s">
        <v>12046</v>
      </c>
      <c r="K1797" t="s">
        <v>16446</v>
      </c>
      <c r="L1797">
        <f>HYPERLINK("https://www2.assemblee-nationale.fr/sycomore/fiche/(num_dept)/7210", "7210")</f>
        <v>0</v>
      </c>
      <c r="N1797">
        <f>HYPERLINK("https://www.wikidata.org/wiki/Q1247638", "Q1247638")</f>
        <v>0</v>
      </c>
      <c r="O1797" t="s">
        <v>20005</v>
      </c>
      <c r="P1797" t="s">
        <v>20404</v>
      </c>
      <c r="Q1797" t="s">
        <v>17699</v>
      </c>
      <c r="R1797" t="s">
        <v>411</v>
      </c>
      <c r="S1797">
        <v>1658</v>
      </c>
    </row>
    <row r="1798" spans="1:19">
      <c r="A1798" t="s">
        <v>21</v>
      </c>
      <c r="B1798" t="s">
        <v>148</v>
      </c>
      <c r="C1798" t="s">
        <v>153</v>
      </c>
      <c r="D1798" t="s">
        <v>282</v>
      </c>
      <c r="E1798" t="s">
        <v>411</v>
      </c>
      <c r="F1798">
        <f>HYPERLINK("https://www.wikidata.org/wiki/Q33724121", "Q33724121")</f>
        <v>0</v>
      </c>
      <c r="G1798" t="s">
        <v>1640</v>
      </c>
      <c r="H1798" t="s">
        <v>6325</v>
      </c>
      <c r="I1798" t="s">
        <v>6860</v>
      </c>
      <c r="J1798" t="s">
        <v>12347</v>
      </c>
      <c r="K1798" t="s">
        <v>16754</v>
      </c>
      <c r="L1798">
        <f>HYPERLINK("https://www2.assemblee-nationale.fr/sycomore/fiche/(num_dept)/7282", "7282")</f>
        <v>0</v>
      </c>
      <c r="N1798">
        <f>HYPERLINK("https://www.wikidata.org/wiki/Q3387228", "Q3387228")</f>
        <v>0</v>
      </c>
      <c r="O1798" t="s">
        <v>19991</v>
      </c>
      <c r="P1798" t="s">
        <v>20416</v>
      </c>
      <c r="Q1798" t="s">
        <v>17699</v>
      </c>
      <c r="R1798" t="s">
        <v>411</v>
      </c>
      <c r="S1798">
        <v>1658</v>
      </c>
    </row>
    <row r="1799" spans="1:19">
      <c r="A1799" t="s">
        <v>21</v>
      </c>
      <c r="B1799" t="s">
        <v>148</v>
      </c>
      <c r="C1799" t="s">
        <v>153</v>
      </c>
      <c r="D1799" t="s">
        <v>282</v>
      </c>
      <c r="E1799" t="s">
        <v>411</v>
      </c>
      <c r="F1799">
        <f>HYPERLINK("https://www.wikidata.org/wiki/Q33724121", "Q33724121")</f>
        <v>0</v>
      </c>
      <c r="G1799" t="s">
        <v>1641</v>
      </c>
      <c r="H1799" t="s">
        <v>6326</v>
      </c>
      <c r="I1799" t="s">
        <v>9868</v>
      </c>
      <c r="J1799" t="s">
        <v>12348</v>
      </c>
      <c r="K1799" t="s">
        <v>16755</v>
      </c>
      <c r="L1799">
        <f>HYPERLINK("https://www2.assemblee-nationale.fr/sycomore/fiche/(num_dept)/7283", "7283")</f>
        <v>0</v>
      </c>
      <c r="N1799">
        <f>HYPERLINK("https://www.wikidata.org/wiki/Q2291608", "Q2291608")</f>
        <v>0</v>
      </c>
      <c r="O1799" t="s">
        <v>19991</v>
      </c>
      <c r="P1799" t="s">
        <v>20420</v>
      </c>
      <c r="Q1799" t="s">
        <v>17699</v>
      </c>
      <c r="R1799" t="s">
        <v>411</v>
      </c>
      <c r="S1799">
        <v>1658</v>
      </c>
    </row>
    <row r="1800" spans="1:19">
      <c r="A1800" t="s">
        <v>21</v>
      </c>
      <c r="B1800" t="s">
        <v>148</v>
      </c>
      <c r="C1800" t="s">
        <v>153</v>
      </c>
      <c r="D1800" t="s">
        <v>282</v>
      </c>
      <c r="E1800" t="s">
        <v>411</v>
      </c>
      <c r="F1800">
        <f>HYPERLINK("https://www.wikidata.org/wiki/Q33724121", "Q33724121")</f>
        <v>0</v>
      </c>
      <c r="G1800" t="s">
        <v>1208</v>
      </c>
      <c r="H1800" t="s">
        <v>5936</v>
      </c>
      <c r="I1800" t="s">
        <v>6200</v>
      </c>
      <c r="J1800" t="s">
        <v>11940</v>
      </c>
      <c r="K1800" t="s">
        <v>16342</v>
      </c>
      <c r="L1800">
        <f>HYPERLINK("https://www2.assemblee-nationale.fr/sycomore/fiche/(num_dept)/7299", "7299")</f>
        <v>0</v>
      </c>
      <c r="N1800">
        <f>HYPERLINK("https://www.wikidata.org/wiki/Q2624477", "Q2624477")</f>
        <v>0</v>
      </c>
      <c r="O1800" t="s">
        <v>19970</v>
      </c>
      <c r="P1800" t="s">
        <v>20416</v>
      </c>
      <c r="Q1800" t="s">
        <v>17699</v>
      </c>
      <c r="R1800" t="s">
        <v>411</v>
      </c>
      <c r="S1800">
        <v>1658</v>
      </c>
    </row>
    <row r="1801" spans="1:19">
      <c r="A1801" t="s">
        <v>21</v>
      </c>
      <c r="B1801" t="s">
        <v>148</v>
      </c>
      <c r="C1801" t="s">
        <v>153</v>
      </c>
      <c r="D1801" t="s">
        <v>282</v>
      </c>
      <c r="E1801" t="s">
        <v>411</v>
      </c>
      <c r="F1801">
        <f>HYPERLINK("https://www.wikidata.org/wiki/Q33724121", "Q33724121")</f>
        <v>0</v>
      </c>
      <c r="G1801" t="s">
        <v>1642</v>
      </c>
      <c r="H1801" t="s">
        <v>5815</v>
      </c>
      <c r="I1801" t="s">
        <v>6941</v>
      </c>
      <c r="J1801" t="s">
        <v>12349</v>
      </c>
      <c r="K1801" t="s">
        <v>16756</v>
      </c>
      <c r="L1801">
        <f>HYPERLINK("https://www2.assemblee-nationale.fr/sycomore/fiche/(num_dept)/7300", "7300")</f>
        <v>0</v>
      </c>
      <c r="N1801">
        <f>HYPERLINK("https://www.wikidata.org/wiki/Q3311115", "Q3311115")</f>
        <v>0</v>
      </c>
      <c r="O1801" t="s">
        <v>20048</v>
      </c>
      <c r="P1801" t="s">
        <v>20416</v>
      </c>
      <c r="Q1801" t="s">
        <v>17699</v>
      </c>
      <c r="R1801" t="s">
        <v>411</v>
      </c>
      <c r="S1801">
        <v>1658</v>
      </c>
    </row>
    <row r="1802" spans="1:19">
      <c r="A1802" t="s">
        <v>21</v>
      </c>
      <c r="B1802" t="s">
        <v>148</v>
      </c>
      <c r="C1802" t="s">
        <v>153</v>
      </c>
      <c r="D1802" t="s">
        <v>282</v>
      </c>
      <c r="E1802" t="s">
        <v>411</v>
      </c>
      <c r="F1802">
        <f>HYPERLINK("https://www.wikidata.org/wiki/Q33724121", "Q33724121")</f>
        <v>0</v>
      </c>
      <c r="G1802" t="s">
        <v>1643</v>
      </c>
      <c r="H1802" t="s">
        <v>6327</v>
      </c>
      <c r="I1802" t="s">
        <v>9869</v>
      </c>
      <c r="J1802" t="s">
        <v>12350</v>
      </c>
      <c r="K1802" t="s">
        <v>16757</v>
      </c>
      <c r="L1802">
        <f>HYPERLINK("https://www2.assemblee-nationale.fr/sycomore/fiche/(num_dept)/7302", "7302")</f>
        <v>0</v>
      </c>
      <c r="N1802">
        <f>HYPERLINK("https://www.wikidata.org/wiki/Q3372335", "Q3372335")</f>
        <v>0</v>
      </c>
      <c r="O1802" t="s">
        <v>19969</v>
      </c>
      <c r="P1802" t="s">
        <v>20404</v>
      </c>
      <c r="Q1802" t="s">
        <v>17699</v>
      </c>
      <c r="R1802" t="s">
        <v>411</v>
      </c>
      <c r="S1802">
        <v>1658</v>
      </c>
    </row>
    <row r="1803" spans="1:19">
      <c r="A1803" t="s">
        <v>21</v>
      </c>
      <c r="B1803" t="s">
        <v>148</v>
      </c>
      <c r="C1803" t="s">
        <v>153</v>
      </c>
      <c r="D1803" t="s">
        <v>282</v>
      </c>
      <c r="E1803" t="s">
        <v>411</v>
      </c>
      <c r="F1803">
        <f>HYPERLINK("https://www.wikidata.org/wiki/Q33724121", "Q33724121")</f>
        <v>0</v>
      </c>
      <c r="G1803" t="s">
        <v>1317</v>
      </c>
      <c r="H1803" t="s">
        <v>6037</v>
      </c>
      <c r="I1803" t="s">
        <v>9747</v>
      </c>
      <c r="J1803" t="s">
        <v>12047</v>
      </c>
      <c r="K1803" t="s">
        <v>16447</v>
      </c>
      <c r="L1803">
        <f>HYPERLINK("https://www2.assemblee-nationale.fr/sycomore/fiche/(num_dept)/7304", "7304")</f>
        <v>0</v>
      </c>
      <c r="N1803">
        <f>HYPERLINK("https://www.wikidata.org/wiki/Q3460596", "Q3460596")</f>
        <v>0</v>
      </c>
      <c r="O1803" t="s">
        <v>19977</v>
      </c>
      <c r="P1803" t="s">
        <v>20404</v>
      </c>
      <c r="Q1803" t="s">
        <v>17699</v>
      </c>
      <c r="R1803" t="s">
        <v>411</v>
      </c>
      <c r="S1803">
        <v>1658</v>
      </c>
    </row>
    <row r="1804" spans="1:19">
      <c r="A1804" t="s">
        <v>21</v>
      </c>
      <c r="B1804" t="s">
        <v>148</v>
      </c>
      <c r="C1804" t="s">
        <v>153</v>
      </c>
      <c r="D1804" t="s">
        <v>282</v>
      </c>
      <c r="E1804" t="s">
        <v>411</v>
      </c>
      <c r="F1804">
        <f>HYPERLINK("https://www.wikidata.org/wiki/Q33724121", "Q33724121")</f>
        <v>0</v>
      </c>
      <c r="G1804" t="s">
        <v>1066</v>
      </c>
      <c r="H1804" t="s">
        <v>5812</v>
      </c>
      <c r="I1804" t="s">
        <v>9652</v>
      </c>
      <c r="J1804" t="s">
        <v>11803</v>
      </c>
      <c r="K1804" t="s">
        <v>16203</v>
      </c>
      <c r="L1804">
        <f>HYPERLINK("https://www2.assemblee-nationale.fr/sycomore/fiche/(num_dept)/7333", "7333")</f>
        <v>0</v>
      </c>
      <c r="M1804">
        <f>HYPERLINK("https://www.senat.fr/senateur-3eme-republique/vincent_emile0534r3.html", "vincent_emile0534r3")</f>
        <v>0</v>
      </c>
      <c r="N1804">
        <f>HYPERLINK("https://www.wikidata.org/wiki/Q3588785", "Q3588785")</f>
        <v>0</v>
      </c>
      <c r="O1804" t="s">
        <v>20002</v>
      </c>
      <c r="P1804" t="s">
        <v>20418</v>
      </c>
      <c r="Q1804" t="s">
        <v>17699</v>
      </c>
      <c r="R1804" t="s">
        <v>411</v>
      </c>
      <c r="S1804">
        <v>1658</v>
      </c>
    </row>
    <row r="1805" spans="1:19">
      <c r="A1805" t="s">
        <v>21</v>
      </c>
      <c r="B1805" t="s">
        <v>148</v>
      </c>
      <c r="C1805" t="s">
        <v>153</v>
      </c>
      <c r="D1805" t="s">
        <v>282</v>
      </c>
      <c r="E1805" t="s">
        <v>411</v>
      </c>
      <c r="F1805">
        <f>HYPERLINK("https://www.wikidata.org/wiki/Q33724121", "Q33724121")</f>
        <v>0</v>
      </c>
      <c r="G1805" t="s">
        <v>1209</v>
      </c>
      <c r="H1805" t="s">
        <v>5937</v>
      </c>
      <c r="I1805" t="s">
        <v>6166</v>
      </c>
      <c r="J1805" t="s">
        <v>11941</v>
      </c>
      <c r="K1805" t="s">
        <v>16343</v>
      </c>
      <c r="L1805">
        <f>HYPERLINK("https://www2.assemblee-nationale.fr/sycomore/fiche/(num_dept)/7335", "7335")</f>
        <v>0</v>
      </c>
      <c r="M1805">
        <f>HYPERLINK("https://www.senat.fr/senateur-3eme-republique/de_wendel_francois0946r3.html", "de_wendel_francois0946r3")</f>
        <v>0</v>
      </c>
      <c r="N1805">
        <f>HYPERLINK("https://www.wikidata.org/wiki/Q3086338", "Q3086338")</f>
        <v>0</v>
      </c>
      <c r="O1805" t="s">
        <v>20007</v>
      </c>
      <c r="P1805" t="s">
        <v>20416</v>
      </c>
      <c r="Q1805" t="s">
        <v>17699</v>
      </c>
      <c r="R1805" t="s">
        <v>411</v>
      </c>
      <c r="S1805">
        <v>1658</v>
      </c>
    </row>
    <row r="1806" spans="1:19">
      <c r="A1806" t="s">
        <v>21</v>
      </c>
      <c r="B1806" t="s">
        <v>148</v>
      </c>
      <c r="C1806" t="s">
        <v>153</v>
      </c>
      <c r="D1806" t="s">
        <v>282</v>
      </c>
      <c r="E1806" t="s">
        <v>411</v>
      </c>
      <c r="F1806">
        <f>HYPERLINK("https://www.wikidata.org/wiki/Q33724121", "Q33724121")</f>
        <v>0</v>
      </c>
      <c r="G1806" t="s">
        <v>824</v>
      </c>
      <c r="H1806" t="s">
        <v>5581</v>
      </c>
      <c r="I1806" t="s">
        <v>5349</v>
      </c>
      <c r="J1806" t="s">
        <v>11571</v>
      </c>
      <c r="K1806" t="s">
        <v>15947</v>
      </c>
      <c r="L1806">
        <f>HYPERLINK("https://www2.assemblee-nationale.fr/sycomore/fiche/(num_dept)/7341", "7341")</f>
        <v>0</v>
      </c>
      <c r="N1806">
        <f>HYPERLINK("https://www.wikidata.org/wiki/Q2994900", "Q2994900")</f>
        <v>0</v>
      </c>
      <c r="O1806" t="s">
        <v>20017</v>
      </c>
      <c r="P1806" t="s">
        <v>20417</v>
      </c>
      <c r="Q1806" t="s">
        <v>17699</v>
      </c>
      <c r="R1806" t="s">
        <v>411</v>
      </c>
      <c r="S1806">
        <v>1658</v>
      </c>
    </row>
    <row r="1807" spans="1:19">
      <c r="A1807" t="s">
        <v>21</v>
      </c>
      <c r="B1807" t="s">
        <v>148</v>
      </c>
      <c r="C1807" t="s">
        <v>153</v>
      </c>
      <c r="D1807" t="s">
        <v>282</v>
      </c>
      <c r="E1807" t="s">
        <v>411</v>
      </c>
      <c r="F1807">
        <f>HYPERLINK("https://www.wikidata.org/wiki/Q33724121", "Q33724121")</f>
        <v>0</v>
      </c>
      <c r="G1807" t="s">
        <v>1644</v>
      </c>
      <c r="H1807" t="s">
        <v>6328</v>
      </c>
      <c r="I1807" t="s">
        <v>9870</v>
      </c>
      <c r="J1807" t="s">
        <v>12351</v>
      </c>
      <c r="K1807" t="s">
        <v>16758</v>
      </c>
      <c r="L1807">
        <f>HYPERLINK("https://www2.assemblee-nationale.fr/sycomore/fiche/(num_dept)/7342", "7342")</f>
        <v>0</v>
      </c>
      <c r="N1807">
        <f>HYPERLINK("https://www.wikidata.org/wiki/Q3580086", "Q3580086")</f>
        <v>0</v>
      </c>
      <c r="O1807" t="s">
        <v>20007</v>
      </c>
      <c r="P1807" t="s">
        <v>20416</v>
      </c>
      <c r="Q1807" t="s">
        <v>17699</v>
      </c>
      <c r="R1807" t="s">
        <v>411</v>
      </c>
      <c r="S1807">
        <v>1658</v>
      </c>
    </row>
    <row r="1808" spans="1:19">
      <c r="A1808" t="s">
        <v>21</v>
      </c>
      <c r="B1808" t="s">
        <v>148</v>
      </c>
      <c r="C1808" t="s">
        <v>153</v>
      </c>
      <c r="D1808" t="s">
        <v>282</v>
      </c>
      <c r="E1808" t="s">
        <v>411</v>
      </c>
      <c r="F1808">
        <f>HYPERLINK("https://www.wikidata.org/wiki/Q33724121", "Q33724121")</f>
        <v>0</v>
      </c>
      <c r="G1808" t="s">
        <v>1645</v>
      </c>
      <c r="H1808" t="s">
        <v>6329</v>
      </c>
      <c r="I1808" t="s">
        <v>6860</v>
      </c>
      <c r="J1808" t="s">
        <v>12352</v>
      </c>
      <c r="K1808" t="s">
        <v>16759</v>
      </c>
      <c r="L1808">
        <f>HYPERLINK("https://www2.assemblee-nationale.fr/sycomore/fiche/(num_dept)/7356", "7356")</f>
        <v>0</v>
      </c>
      <c r="N1808">
        <f>HYPERLINK("https://www.wikidata.org/wiki/Q3387230", "Q3387230")</f>
        <v>0</v>
      </c>
      <c r="O1808" t="s">
        <v>19996</v>
      </c>
      <c r="P1808" t="s">
        <v>20419</v>
      </c>
      <c r="Q1808" t="s">
        <v>17699</v>
      </c>
      <c r="R1808" t="s">
        <v>411</v>
      </c>
      <c r="S1808">
        <v>1658</v>
      </c>
    </row>
    <row r="1809" spans="1:19">
      <c r="A1809" t="s">
        <v>21</v>
      </c>
      <c r="B1809" t="s">
        <v>148</v>
      </c>
      <c r="C1809" t="s">
        <v>153</v>
      </c>
      <c r="D1809" t="s">
        <v>282</v>
      </c>
      <c r="E1809" t="s">
        <v>411</v>
      </c>
      <c r="F1809">
        <f>HYPERLINK("https://www.wikidata.org/wiki/Q33724121", "Q33724121")</f>
        <v>0</v>
      </c>
      <c r="G1809" t="s">
        <v>825</v>
      </c>
      <c r="H1809" t="s">
        <v>5582</v>
      </c>
      <c r="I1809" t="s">
        <v>6200</v>
      </c>
      <c r="J1809" t="s">
        <v>11572</v>
      </c>
      <c r="K1809" t="s">
        <v>15974</v>
      </c>
      <c r="L1809">
        <f>HYPERLINK("https://www2.assemblee-nationale.fr/sycomore/fiche/(num_dept)/7358", "7358")</f>
        <v>0</v>
      </c>
      <c r="M1809">
        <f>HYPERLINK("https://www.senat.fr/senateur-3eme-republique/villault_duchesnois_jean1032r3.html", "villault_duchesnois_jean1032r3")</f>
        <v>0</v>
      </c>
      <c r="N1809">
        <f>HYPERLINK("https://www.wikidata.org/wiki/Q3175043", "Q3175043")</f>
        <v>0</v>
      </c>
      <c r="O1809" t="s">
        <v>19985</v>
      </c>
      <c r="P1809" t="s">
        <v>20412</v>
      </c>
      <c r="Q1809" t="s">
        <v>17699</v>
      </c>
      <c r="R1809" t="s">
        <v>411</v>
      </c>
      <c r="S1809">
        <v>1658</v>
      </c>
    </row>
    <row r="1810" spans="1:19">
      <c r="A1810" t="s">
        <v>21</v>
      </c>
      <c r="B1810" t="s">
        <v>148</v>
      </c>
      <c r="C1810" t="s">
        <v>153</v>
      </c>
      <c r="D1810" t="s">
        <v>282</v>
      </c>
      <c r="E1810" t="s">
        <v>411</v>
      </c>
      <c r="F1810">
        <f>HYPERLINK("https://www.wikidata.org/wiki/Q33724121", "Q33724121")</f>
        <v>0</v>
      </c>
      <c r="G1810" t="s">
        <v>1646</v>
      </c>
      <c r="H1810" t="s">
        <v>5937</v>
      </c>
      <c r="I1810" t="s">
        <v>6713</v>
      </c>
      <c r="J1810" t="s">
        <v>12353</v>
      </c>
      <c r="K1810" t="s">
        <v>16760</v>
      </c>
      <c r="L1810">
        <f>HYPERLINK("https://www2.assemblee-nationale.fr/sycomore/fiche/(num_dept)/7360", "7360")</f>
        <v>0</v>
      </c>
      <c r="M1810">
        <f>HYPERLINK("https://www.senat.fr/senateur-3eme-republique/de_wendel_guy0706r3.html", "de_wendel_guy0706r3")</f>
        <v>0</v>
      </c>
      <c r="N1810">
        <f>HYPERLINK("https://www.wikidata.org/wiki/Q3122301", "Q3122301")</f>
        <v>0</v>
      </c>
      <c r="O1810" t="s">
        <v>20050</v>
      </c>
      <c r="P1810" t="s">
        <v>20416</v>
      </c>
      <c r="Q1810" t="s">
        <v>17699</v>
      </c>
      <c r="R1810" t="s">
        <v>411</v>
      </c>
      <c r="S1810">
        <v>1658</v>
      </c>
    </row>
    <row r="1811" spans="1:19">
      <c r="A1811" t="s">
        <v>21</v>
      </c>
      <c r="B1811" t="s">
        <v>148</v>
      </c>
      <c r="C1811" t="s">
        <v>153</v>
      </c>
      <c r="D1811" t="s">
        <v>282</v>
      </c>
      <c r="E1811" t="s">
        <v>411</v>
      </c>
      <c r="F1811">
        <f>HYPERLINK("https://www.wikidata.org/wiki/Q33724121", "Q33724121")</f>
        <v>0</v>
      </c>
      <c r="G1811" t="s">
        <v>1067</v>
      </c>
      <c r="H1811" t="s">
        <v>5812</v>
      </c>
      <c r="I1811" t="s">
        <v>9488</v>
      </c>
      <c r="J1811" t="s">
        <v>11804</v>
      </c>
      <c r="K1811" t="s">
        <v>16204</v>
      </c>
      <c r="L1811">
        <f>HYPERLINK("https://www2.assemblee-nationale.fr/sycomore/fiche/(num_dept)/7361", "7361")</f>
        <v>0</v>
      </c>
      <c r="M1811">
        <f>HYPERLINK("https://www.senat.fr/senateur-3eme-republique/daniel_vincent_charles1382r3.html", "daniel_vincent_charles1382r3")</f>
        <v>0</v>
      </c>
      <c r="N1811">
        <f>HYPERLINK("https://www.wikidata.org/wiki/Q3014792", "Q3014792")</f>
        <v>0</v>
      </c>
      <c r="O1811" t="s">
        <v>20013</v>
      </c>
      <c r="P1811" t="s">
        <v>20418</v>
      </c>
      <c r="Q1811" t="s">
        <v>17699</v>
      </c>
      <c r="R1811" t="s">
        <v>411</v>
      </c>
      <c r="S1811">
        <v>1658</v>
      </c>
    </row>
    <row r="1812" spans="1:19">
      <c r="A1812" t="s">
        <v>21</v>
      </c>
      <c r="B1812" t="s">
        <v>148</v>
      </c>
      <c r="C1812" t="s">
        <v>153</v>
      </c>
      <c r="D1812" t="s">
        <v>282</v>
      </c>
      <c r="E1812" t="s">
        <v>411</v>
      </c>
      <c r="F1812">
        <f>HYPERLINK("https://www.wikidata.org/wiki/Q33724121", "Q33724121")</f>
        <v>0</v>
      </c>
      <c r="G1812" t="s">
        <v>1647</v>
      </c>
      <c r="H1812" t="s">
        <v>6330</v>
      </c>
      <c r="I1812" t="s">
        <v>9470</v>
      </c>
      <c r="J1812" t="s">
        <v>12354</v>
      </c>
      <c r="K1812" t="s">
        <v>16761</v>
      </c>
      <c r="L1812">
        <f>HYPERLINK("https://www2.assemblee-nationale.fr/sycomore/fiche/(num_dept)/7365", "7365")</f>
        <v>0</v>
      </c>
      <c r="N1812">
        <f>HYPERLINK("https://www.wikidata.org/wiki/Q3099181", "Q3099181")</f>
        <v>0</v>
      </c>
      <c r="O1812" t="s">
        <v>19999</v>
      </c>
      <c r="P1812" t="s">
        <v>20406</v>
      </c>
      <c r="Q1812" t="s">
        <v>17699</v>
      </c>
      <c r="R1812" t="s">
        <v>411</v>
      </c>
      <c r="S1812">
        <v>1658</v>
      </c>
    </row>
    <row r="1813" spans="1:19">
      <c r="A1813" t="s">
        <v>21</v>
      </c>
      <c r="B1813" t="s">
        <v>148</v>
      </c>
      <c r="C1813" t="s">
        <v>153</v>
      </c>
      <c r="D1813" t="s">
        <v>282</v>
      </c>
      <c r="E1813" t="s">
        <v>411</v>
      </c>
      <c r="F1813">
        <f>HYPERLINK("https://www.wikidata.org/wiki/Q33724121", "Q33724121")</f>
        <v>0</v>
      </c>
      <c r="G1813" t="s">
        <v>1648</v>
      </c>
      <c r="H1813" t="s">
        <v>6331</v>
      </c>
      <c r="I1813" t="s">
        <v>9871</v>
      </c>
      <c r="J1813" t="s">
        <v>12355</v>
      </c>
      <c r="K1813" t="s">
        <v>16762</v>
      </c>
      <c r="L1813">
        <f>HYPERLINK("https://www2.assemblee-nationale.fr/sycomore/fiche/(num_dept)/7366", "7366")</f>
        <v>0</v>
      </c>
      <c r="N1813">
        <f>HYPERLINK("https://www.wikidata.org/wiki/Q2980559", "Q2980559")</f>
        <v>0</v>
      </c>
      <c r="O1813" t="s">
        <v>20037</v>
      </c>
      <c r="P1813" t="s">
        <v>20419</v>
      </c>
      <c r="Q1813" t="s">
        <v>17699</v>
      </c>
      <c r="R1813" t="s">
        <v>411</v>
      </c>
      <c r="S1813">
        <v>1658</v>
      </c>
    </row>
    <row r="1814" spans="1:19">
      <c r="A1814" t="s">
        <v>21</v>
      </c>
      <c r="B1814" t="s">
        <v>148</v>
      </c>
      <c r="C1814" t="s">
        <v>153</v>
      </c>
      <c r="D1814" t="s">
        <v>282</v>
      </c>
      <c r="E1814" t="s">
        <v>411</v>
      </c>
      <c r="F1814">
        <f>HYPERLINK("https://www.wikidata.org/wiki/Q33724121", "Q33724121")</f>
        <v>0</v>
      </c>
      <c r="G1814" t="s">
        <v>1068</v>
      </c>
      <c r="H1814" t="s">
        <v>5813</v>
      </c>
      <c r="I1814" t="s">
        <v>6860</v>
      </c>
      <c r="J1814" t="s">
        <v>11805</v>
      </c>
      <c r="K1814" t="s">
        <v>16205</v>
      </c>
      <c r="L1814">
        <f>HYPERLINK("https://www2.assemblee-nationale.fr/sycomore/fiche/(num_dept)/7367", "7367")</f>
        <v>0</v>
      </c>
      <c r="N1814">
        <f>HYPERLINK("https://www.wikidata.org/wiki/Q16026621", "Q16026621")</f>
        <v>0</v>
      </c>
      <c r="O1814" t="s">
        <v>20037</v>
      </c>
      <c r="P1814" t="s">
        <v>20419</v>
      </c>
      <c r="Q1814" t="s">
        <v>17699</v>
      </c>
      <c r="R1814" t="s">
        <v>411</v>
      </c>
      <c r="S1814">
        <v>1658</v>
      </c>
    </row>
    <row r="1815" spans="1:19">
      <c r="A1815" t="s">
        <v>21</v>
      </c>
      <c r="B1815" t="s">
        <v>148</v>
      </c>
      <c r="C1815" t="s">
        <v>153</v>
      </c>
      <c r="D1815" t="s">
        <v>282</v>
      </c>
      <c r="E1815" t="s">
        <v>411</v>
      </c>
      <c r="F1815">
        <f>HYPERLINK("https://www.wikidata.org/wiki/Q33724121", "Q33724121")</f>
        <v>0</v>
      </c>
      <c r="G1815" t="s">
        <v>827</v>
      </c>
      <c r="H1815" t="s">
        <v>5584</v>
      </c>
      <c r="I1815" t="s">
        <v>9476</v>
      </c>
      <c r="J1815" t="s">
        <v>11574</v>
      </c>
      <c r="K1815" t="s">
        <v>15976</v>
      </c>
      <c r="L1815">
        <f>HYPERLINK("https://www2.assemblee-nationale.fr/sycomore/fiche/(num_dept)/7368", "7368")</f>
        <v>0</v>
      </c>
      <c r="M1815">
        <f>HYPERLINK("https://www.senat.fr/senateur-3eme-republique/viviani_rene0627r3.html", "viviani_rene0627r3")</f>
        <v>0</v>
      </c>
      <c r="N1815">
        <f>HYPERLINK("https://www.wikidata.org/wiki/Q431074", "Q431074")</f>
        <v>0</v>
      </c>
      <c r="O1815" t="s">
        <v>19979</v>
      </c>
      <c r="P1815" t="s">
        <v>20406</v>
      </c>
      <c r="Q1815" t="s">
        <v>17699</v>
      </c>
      <c r="R1815" t="s">
        <v>411</v>
      </c>
      <c r="S1815">
        <v>1658</v>
      </c>
    </row>
    <row r="1816" spans="1:19">
      <c r="A1816" t="s">
        <v>21</v>
      </c>
      <c r="B1816" t="s">
        <v>148</v>
      </c>
      <c r="C1816" t="s">
        <v>153</v>
      </c>
      <c r="D1816" t="s">
        <v>282</v>
      </c>
      <c r="E1816" t="s">
        <v>411</v>
      </c>
      <c r="F1816">
        <f>HYPERLINK("https://www.wikidata.org/wiki/Q33724121", "Q33724121")</f>
        <v>0</v>
      </c>
      <c r="G1816" t="s">
        <v>1649</v>
      </c>
      <c r="H1816" t="s">
        <v>6332</v>
      </c>
      <c r="I1816" t="s">
        <v>6860</v>
      </c>
      <c r="J1816" t="s">
        <v>12356</v>
      </c>
      <c r="K1816" t="s">
        <v>16763</v>
      </c>
      <c r="L1816">
        <f>HYPERLINK("https://www2.assemblee-nationale.fr/sycomore/fiche/(num_dept)/7369", "7369")</f>
        <v>0</v>
      </c>
      <c r="N1816">
        <f>HYPERLINK("https://www.wikidata.org/wiki/Q1448769", "Q1448769")</f>
        <v>0</v>
      </c>
      <c r="O1816" t="s">
        <v>7411</v>
      </c>
      <c r="P1816" t="s">
        <v>20417</v>
      </c>
      <c r="Q1816" t="s">
        <v>17699</v>
      </c>
      <c r="R1816" t="s">
        <v>411</v>
      </c>
      <c r="S1816">
        <v>1658</v>
      </c>
    </row>
    <row r="1817" spans="1:19">
      <c r="A1817" t="s">
        <v>21</v>
      </c>
      <c r="B1817" t="s">
        <v>148</v>
      </c>
      <c r="C1817" t="s">
        <v>153</v>
      </c>
      <c r="D1817" t="s">
        <v>282</v>
      </c>
      <c r="E1817" t="s">
        <v>411</v>
      </c>
      <c r="F1817">
        <f>HYPERLINK("https://www.wikidata.org/wiki/Q33724121", "Q33724121")</f>
        <v>0</v>
      </c>
      <c r="G1817" t="s">
        <v>1650</v>
      </c>
      <c r="H1817" t="s">
        <v>6333</v>
      </c>
      <c r="I1817" t="s">
        <v>9872</v>
      </c>
      <c r="J1817" t="s">
        <v>12357</v>
      </c>
      <c r="K1817" t="s">
        <v>16764</v>
      </c>
      <c r="L1817">
        <f>HYPERLINK("https://www2.assemblee-nationale.fr/sycomore/fiche/(num_dept)/7370", "7370")</f>
        <v>0</v>
      </c>
      <c r="N1817">
        <f>HYPERLINK("https://www.wikidata.org/wiki/Q16026587", "Q16026587")</f>
        <v>0</v>
      </c>
      <c r="O1817" t="s">
        <v>20008</v>
      </c>
      <c r="P1817" t="s">
        <v>20417</v>
      </c>
      <c r="Q1817" t="s">
        <v>17699</v>
      </c>
      <c r="R1817" t="s">
        <v>411</v>
      </c>
      <c r="S1817">
        <v>1658</v>
      </c>
    </row>
    <row r="1818" spans="1:19">
      <c r="A1818" t="s">
        <v>21</v>
      </c>
      <c r="B1818" t="s">
        <v>148</v>
      </c>
      <c r="C1818" t="s">
        <v>153</v>
      </c>
      <c r="D1818" t="s">
        <v>282</v>
      </c>
      <c r="E1818" t="s">
        <v>411</v>
      </c>
      <c r="F1818">
        <f>HYPERLINK("https://www.wikidata.org/wiki/Q33724121", "Q33724121")</f>
        <v>0</v>
      </c>
      <c r="G1818" t="s">
        <v>1069</v>
      </c>
      <c r="H1818" t="s">
        <v>5814</v>
      </c>
      <c r="I1818" t="s">
        <v>9653</v>
      </c>
      <c r="J1818" t="s">
        <v>11795</v>
      </c>
      <c r="K1818" t="s">
        <v>16206</v>
      </c>
      <c r="L1818">
        <f>HYPERLINK("https://www2.assemblee-nationale.fr/sycomore/fiche/(num_dept)/7371", "7371")</f>
        <v>0</v>
      </c>
      <c r="N1818">
        <f>HYPERLINK("https://www.wikidata.org/wiki/Q16026582", "Q16026582")</f>
        <v>0</v>
      </c>
      <c r="O1818" t="s">
        <v>20013</v>
      </c>
      <c r="P1818" t="s">
        <v>20416</v>
      </c>
      <c r="Q1818" t="s">
        <v>17699</v>
      </c>
      <c r="R1818" t="s">
        <v>411</v>
      </c>
      <c r="S1818">
        <v>1658</v>
      </c>
    </row>
    <row r="1819" spans="1:19">
      <c r="A1819" t="s">
        <v>21</v>
      </c>
      <c r="B1819" t="s">
        <v>148</v>
      </c>
      <c r="C1819" t="s">
        <v>153</v>
      </c>
      <c r="D1819" t="s">
        <v>282</v>
      </c>
      <c r="E1819" t="s">
        <v>411</v>
      </c>
      <c r="F1819">
        <f>HYPERLINK("https://www.wikidata.org/wiki/Q33724121", "Q33724121")</f>
        <v>0</v>
      </c>
      <c r="G1819" t="s">
        <v>1651</v>
      </c>
      <c r="H1819" t="s">
        <v>6334</v>
      </c>
      <c r="I1819" t="s">
        <v>9535</v>
      </c>
      <c r="J1819" t="s">
        <v>12358</v>
      </c>
      <c r="K1819" t="s">
        <v>16765</v>
      </c>
      <c r="L1819">
        <f>HYPERLINK("https://www2.assemblee-nationale.fr/sycomore/fiche/(num_dept)/7372", "7372")</f>
        <v>0</v>
      </c>
      <c r="N1819">
        <f>HYPERLINK("https://www.wikidata.org/wiki/Q21334336", "Q21334336")</f>
        <v>0</v>
      </c>
      <c r="O1819" t="s">
        <v>20013</v>
      </c>
      <c r="P1819" t="s">
        <v>20412</v>
      </c>
      <c r="Q1819" t="s">
        <v>17699</v>
      </c>
      <c r="R1819" t="s">
        <v>21402</v>
      </c>
      <c r="S1819">
        <v>33</v>
      </c>
    </row>
    <row r="1820" spans="1:19">
      <c r="A1820" t="s">
        <v>21</v>
      </c>
      <c r="B1820" t="s">
        <v>148</v>
      </c>
      <c r="C1820" t="s">
        <v>153</v>
      </c>
      <c r="D1820" t="s">
        <v>282</v>
      </c>
      <c r="E1820" t="s">
        <v>411</v>
      </c>
      <c r="F1820">
        <f>HYPERLINK("https://www.wikidata.org/wiki/Q33724121", "Q33724121")</f>
        <v>0</v>
      </c>
      <c r="G1820" t="s">
        <v>1652</v>
      </c>
      <c r="H1820" t="s">
        <v>6335</v>
      </c>
      <c r="I1820" t="s">
        <v>9389</v>
      </c>
      <c r="J1820" t="s">
        <v>12359</v>
      </c>
      <c r="K1820" t="s">
        <v>16766</v>
      </c>
      <c r="L1820">
        <f>HYPERLINK("https://www2.assemblee-nationale.fr/sycomore/fiche/(num_dept)/7373", "7373")</f>
        <v>0</v>
      </c>
      <c r="N1820">
        <f>HYPERLINK("https://www.wikidata.org/wiki/Q91750", "Q91750")</f>
        <v>0</v>
      </c>
      <c r="O1820" t="s">
        <v>20049</v>
      </c>
      <c r="P1820" t="s">
        <v>20416</v>
      </c>
      <c r="Q1820" t="s">
        <v>17699</v>
      </c>
      <c r="R1820" t="s">
        <v>411</v>
      </c>
      <c r="S1820">
        <v>1658</v>
      </c>
    </row>
    <row r="1821" spans="1:19">
      <c r="A1821" t="s">
        <v>21</v>
      </c>
      <c r="B1821" t="s">
        <v>148</v>
      </c>
      <c r="C1821" t="s">
        <v>153</v>
      </c>
      <c r="D1821" t="s">
        <v>282</v>
      </c>
      <c r="E1821" t="s">
        <v>411</v>
      </c>
      <c r="F1821">
        <f>HYPERLINK("https://www.wikidata.org/wiki/Q33724121", "Q33724121")</f>
        <v>0</v>
      </c>
      <c r="G1821" t="s">
        <v>834</v>
      </c>
      <c r="H1821" t="s">
        <v>5591</v>
      </c>
      <c r="I1821" t="s">
        <v>9544</v>
      </c>
      <c r="J1821" t="s">
        <v>11581</v>
      </c>
      <c r="K1821" t="s">
        <v>15983</v>
      </c>
      <c r="L1821">
        <f>HYPERLINK("https://www2.assemblee-nationale.fr/sycomore/fiche/(num_dept)/7493", "7493")</f>
        <v>0</v>
      </c>
      <c r="M1821">
        <f>HYPERLINK("https://www.senat.fr/senateur-3eme-republique/lauraine_jean_octave0422r3.html", "lauraine_jean_octave0422r3")</f>
        <v>0</v>
      </c>
      <c r="N1821">
        <f>HYPERLINK("https://www.wikidata.org/wiki/Q3168275", "Q3168275")</f>
        <v>0</v>
      </c>
      <c r="O1821" t="s">
        <v>20037</v>
      </c>
      <c r="P1821" t="s">
        <v>20417</v>
      </c>
      <c r="Q1821" t="s">
        <v>17699</v>
      </c>
      <c r="R1821" t="s">
        <v>16219</v>
      </c>
      <c r="S1821">
        <v>1156</v>
      </c>
    </row>
    <row r="1822" spans="1:19">
      <c r="A1822" t="s">
        <v>21</v>
      </c>
      <c r="B1822" t="s">
        <v>148</v>
      </c>
      <c r="C1822" t="s">
        <v>153</v>
      </c>
      <c r="D1822" t="s">
        <v>282</v>
      </c>
      <c r="E1822" t="s">
        <v>411</v>
      </c>
      <c r="F1822">
        <f>HYPERLINK("https://www.wikidata.org/wiki/Q33724121", "Q33724121")</f>
        <v>0</v>
      </c>
      <c r="G1822" t="s">
        <v>835</v>
      </c>
      <c r="H1822" t="s">
        <v>5592</v>
      </c>
      <c r="I1822" t="s">
        <v>7671</v>
      </c>
      <c r="J1822" t="s">
        <v>11582</v>
      </c>
      <c r="K1822" t="s">
        <v>15984</v>
      </c>
      <c r="L1822">
        <f>HYPERLINK("https://www2.assemblee-nationale.fr/sycomore/fiche/(num_dept)/7506", "7506")</f>
        <v>0</v>
      </c>
      <c r="N1822">
        <f>HYPERLINK("https://www.wikidata.org/wiki/Q16025953", "Q16025953")</f>
        <v>0</v>
      </c>
      <c r="O1822" t="s">
        <v>19997</v>
      </c>
      <c r="P1822" t="s">
        <v>20416</v>
      </c>
      <c r="Q1822" t="s">
        <v>17699</v>
      </c>
      <c r="R1822" t="s">
        <v>411</v>
      </c>
      <c r="S1822">
        <v>1658</v>
      </c>
    </row>
    <row r="1823" spans="1:19">
      <c r="A1823" t="s">
        <v>21</v>
      </c>
      <c r="B1823" t="s">
        <v>148</v>
      </c>
      <c r="C1823" t="s">
        <v>153</v>
      </c>
      <c r="D1823" t="s">
        <v>282</v>
      </c>
      <c r="E1823" t="s">
        <v>411</v>
      </c>
      <c r="F1823">
        <f>HYPERLINK("https://www.wikidata.org/wiki/Q33724121", "Q33724121")</f>
        <v>0</v>
      </c>
      <c r="G1823" t="s">
        <v>1653</v>
      </c>
      <c r="H1823" t="s">
        <v>6336</v>
      </c>
      <c r="I1823" t="s">
        <v>6200</v>
      </c>
      <c r="J1823" t="s">
        <v>12360</v>
      </c>
      <c r="K1823" t="s">
        <v>16767</v>
      </c>
      <c r="L1823">
        <f>HYPERLINK("https://www2.assemblee-nationale.fr/sycomore/fiche/(num_dept)/7520", "7520")</f>
        <v>0</v>
      </c>
      <c r="N1823">
        <f>HYPERLINK("https://www.wikidata.org/wiki/Q8313881", "Q8313881")</f>
        <v>0</v>
      </c>
      <c r="O1823" t="s">
        <v>19994</v>
      </c>
      <c r="P1823" t="s">
        <v>20418</v>
      </c>
      <c r="Q1823" t="s">
        <v>17699</v>
      </c>
      <c r="R1823" t="s">
        <v>411</v>
      </c>
      <c r="S1823">
        <v>1658</v>
      </c>
    </row>
    <row r="1824" spans="1:19">
      <c r="A1824" t="s">
        <v>21</v>
      </c>
      <c r="B1824" t="s">
        <v>148</v>
      </c>
      <c r="C1824" t="s">
        <v>153</v>
      </c>
      <c r="D1824" t="s">
        <v>282</v>
      </c>
      <c r="E1824" t="s">
        <v>411</v>
      </c>
      <c r="F1824">
        <f>HYPERLINK("https://www.wikidata.org/wiki/Q33724121", "Q33724121")</f>
        <v>0</v>
      </c>
      <c r="G1824" t="s">
        <v>1114</v>
      </c>
      <c r="H1824" t="s">
        <v>5855</v>
      </c>
      <c r="I1824" t="s">
        <v>6585</v>
      </c>
      <c r="J1824" t="s">
        <v>11848</v>
      </c>
      <c r="K1824" t="s">
        <v>16250</v>
      </c>
      <c r="L1824">
        <f>HYPERLINK("https://www2.assemblee-nationale.fr/sycomore/fiche/(num_dept)/7530", "7530")</f>
        <v>0</v>
      </c>
      <c r="M1824">
        <f>HYPERLINK("https://www.senat.fr/senateur-3eme-republique/lavoinne_andre1612r3.html", "lavoinne_andre1612r3")</f>
        <v>0</v>
      </c>
      <c r="N1824">
        <f>HYPERLINK("https://www.wikidata.org/wiki/Q2848110", "Q2848110")</f>
        <v>0</v>
      </c>
      <c r="O1824" t="s">
        <v>19978</v>
      </c>
      <c r="P1824" t="s">
        <v>20412</v>
      </c>
      <c r="Q1824" t="s">
        <v>17699</v>
      </c>
      <c r="R1824" t="s">
        <v>411</v>
      </c>
      <c r="S1824">
        <v>1658</v>
      </c>
    </row>
    <row r="1825" spans="1:19">
      <c r="A1825" t="s">
        <v>21</v>
      </c>
      <c r="B1825" t="s">
        <v>148</v>
      </c>
      <c r="C1825" t="s">
        <v>153</v>
      </c>
      <c r="D1825" t="s">
        <v>282</v>
      </c>
      <c r="E1825" t="s">
        <v>411</v>
      </c>
      <c r="F1825">
        <f>HYPERLINK("https://www.wikidata.org/wiki/Q33724121", "Q33724121")</f>
        <v>0</v>
      </c>
      <c r="G1825" t="s">
        <v>837</v>
      </c>
      <c r="H1825" t="s">
        <v>5594</v>
      </c>
      <c r="I1825" t="s">
        <v>9545</v>
      </c>
      <c r="J1825" t="s">
        <v>11584</v>
      </c>
      <c r="K1825" t="s">
        <v>15986</v>
      </c>
      <c r="L1825">
        <f>HYPERLINK("https://www2.assemblee-nationale.fr/sycomore/fiche/(num_dept)/7540", "7540")</f>
        <v>0</v>
      </c>
      <c r="M1825">
        <f>HYPERLINK("https://www.senat.fr/senateur-3eme-republique/le_bail_georges0793r3.html", "le_bail_georges0793r3")</f>
        <v>0</v>
      </c>
      <c r="N1825">
        <f>HYPERLINK("https://www.wikidata.org/wiki/Q2381659", "Q2381659")</f>
        <v>0</v>
      </c>
      <c r="O1825" t="s">
        <v>20011</v>
      </c>
      <c r="P1825" t="s">
        <v>20418</v>
      </c>
      <c r="Q1825" t="s">
        <v>17699</v>
      </c>
      <c r="R1825" t="s">
        <v>411</v>
      </c>
      <c r="S1825">
        <v>1658</v>
      </c>
    </row>
    <row r="1826" spans="1:19">
      <c r="A1826" t="s">
        <v>21</v>
      </c>
      <c r="B1826" t="s">
        <v>148</v>
      </c>
      <c r="C1826" t="s">
        <v>153</v>
      </c>
      <c r="D1826" t="s">
        <v>282</v>
      </c>
      <c r="E1826" t="s">
        <v>411</v>
      </c>
      <c r="F1826">
        <f>HYPERLINK("https://www.wikidata.org/wiki/Q33724121", "Q33724121")</f>
        <v>0</v>
      </c>
      <c r="G1826" t="s">
        <v>838</v>
      </c>
      <c r="H1826" t="s">
        <v>5595</v>
      </c>
      <c r="I1826" t="s">
        <v>9546</v>
      </c>
      <c r="J1826" t="s">
        <v>11585</v>
      </c>
      <c r="K1826" t="s">
        <v>15987</v>
      </c>
      <c r="L1826">
        <f>HYPERLINK("https://www2.assemblee-nationale.fr/sycomore/fiche/(num_dept)/7547", "7547")</f>
        <v>0</v>
      </c>
      <c r="N1826">
        <f>HYPERLINK("https://www.wikidata.org/wiki/Q2959588", "Q2959588")</f>
        <v>0</v>
      </c>
      <c r="O1826" t="s">
        <v>19969</v>
      </c>
      <c r="P1826" t="s">
        <v>20416</v>
      </c>
      <c r="Q1826" t="s">
        <v>17699</v>
      </c>
      <c r="R1826" t="s">
        <v>411</v>
      </c>
      <c r="S1826">
        <v>1658</v>
      </c>
    </row>
    <row r="1827" spans="1:19">
      <c r="A1827" t="s">
        <v>21</v>
      </c>
      <c r="B1827" t="s">
        <v>148</v>
      </c>
      <c r="C1827" t="s">
        <v>153</v>
      </c>
      <c r="D1827" t="s">
        <v>282</v>
      </c>
      <c r="E1827" t="s">
        <v>411</v>
      </c>
      <c r="F1827">
        <f>HYPERLINK("https://www.wikidata.org/wiki/Q33724121", "Q33724121")</f>
        <v>0</v>
      </c>
      <c r="G1827" t="s">
        <v>1325</v>
      </c>
      <c r="H1827" t="s">
        <v>6044</v>
      </c>
      <c r="I1827" t="s">
        <v>9752</v>
      </c>
      <c r="J1827" t="s">
        <v>12054</v>
      </c>
      <c r="K1827" t="s">
        <v>16454</v>
      </c>
      <c r="L1827">
        <f>HYPERLINK("https://www2.assemblee-nationale.fr/sycomore/fiche/(num_dept)/7548", "7548")</f>
        <v>0</v>
      </c>
      <c r="N1827">
        <f>HYPERLINK("https://www.wikidata.org/wiki/Q3426485", "Q3426485")</f>
        <v>0</v>
      </c>
      <c r="O1827" t="s">
        <v>19958</v>
      </c>
      <c r="P1827" t="s">
        <v>20416</v>
      </c>
      <c r="Q1827" t="s">
        <v>17699</v>
      </c>
      <c r="R1827" t="s">
        <v>411</v>
      </c>
      <c r="S1827">
        <v>1658</v>
      </c>
    </row>
    <row r="1828" spans="1:19">
      <c r="A1828" t="s">
        <v>21</v>
      </c>
      <c r="B1828" t="s">
        <v>148</v>
      </c>
      <c r="C1828" t="s">
        <v>153</v>
      </c>
      <c r="D1828" t="s">
        <v>282</v>
      </c>
      <c r="E1828" t="s">
        <v>411</v>
      </c>
      <c r="F1828">
        <f>HYPERLINK("https://www.wikidata.org/wiki/Q33724121", "Q33724121")</f>
        <v>0</v>
      </c>
      <c r="G1828" t="s">
        <v>1654</v>
      </c>
      <c r="H1828" t="s">
        <v>6337</v>
      </c>
      <c r="I1828" t="s">
        <v>6200</v>
      </c>
      <c r="J1828" t="s">
        <v>12361</v>
      </c>
      <c r="K1828" t="s">
        <v>16768</v>
      </c>
      <c r="L1828">
        <f>HYPERLINK("https://www2.assemblee-nationale.fr/sycomore/fiche/(num_dept)/7563", "7563")</f>
        <v>0</v>
      </c>
      <c r="N1828">
        <f>HYPERLINK("https://www.wikidata.org/wiki/Q3173069", "Q3173069")</f>
        <v>0</v>
      </c>
      <c r="O1828" t="s">
        <v>20023</v>
      </c>
      <c r="P1828" t="s">
        <v>20420</v>
      </c>
      <c r="Q1828" t="s">
        <v>17699</v>
      </c>
      <c r="R1828" t="s">
        <v>411</v>
      </c>
      <c r="S1828">
        <v>1658</v>
      </c>
    </row>
    <row r="1829" spans="1:19">
      <c r="A1829" t="s">
        <v>21</v>
      </c>
      <c r="B1829" t="s">
        <v>148</v>
      </c>
      <c r="C1829" t="s">
        <v>153</v>
      </c>
      <c r="D1829" t="s">
        <v>282</v>
      </c>
      <c r="E1829" t="s">
        <v>411</v>
      </c>
      <c r="F1829">
        <f>HYPERLINK("https://www.wikidata.org/wiki/Q33724121", "Q33724121")</f>
        <v>0</v>
      </c>
      <c r="G1829" t="s">
        <v>1655</v>
      </c>
      <c r="H1829" t="s">
        <v>6338</v>
      </c>
      <c r="I1829" t="s">
        <v>9873</v>
      </c>
      <c r="J1829" t="s">
        <v>12362</v>
      </c>
      <c r="K1829" t="s">
        <v>16769</v>
      </c>
      <c r="L1829">
        <f>HYPERLINK("https://www2.assemblee-nationale.fr/sycomore/fiche/(num_dept)/7572", "7572")</f>
        <v>0</v>
      </c>
      <c r="N1829">
        <f>HYPERLINK("https://www.wikidata.org/wiki/Q8317103", "Q8317103")</f>
        <v>0</v>
      </c>
      <c r="O1829" t="s">
        <v>19975</v>
      </c>
      <c r="P1829" t="s">
        <v>20416</v>
      </c>
      <c r="Q1829" t="s">
        <v>17699</v>
      </c>
      <c r="R1829" t="s">
        <v>411</v>
      </c>
      <c r="S1829">
        <v>1658</v>
      </c>
    </row>
    <row r="1830" spans="1:19">
      <c r="A1830" t="s">
        <v>21</v>
      </c>
      <c r="B1830" t="s">
        <v>148</v>
      </c>
      <c r="C1830" t="s">
        <v>153</v>
      </c>
      <c r="D1830" t="s">
        <v>282</v>
      </c>
      <c r="E1830" t="s">
        <v>411</v>
      </c>
      <c r="F1830">
        <f>HYPERLINK("https://www.wikidata.org/wiki/Q33724121", "Q33724121")</f>
        <v>0</v>
      </c>
      <c r="G1830" t="s">
        <v>1656</v>
      </c>
      <c r="H1830" t="s">
        <v>6339</v>
      </c>
      <c r="I1830" t="s">
        <v>9874</v>
      </c>
      <c r="J1830" t="s">
        <v>12363</v>
      </c>
      <c r="K1830" t="s">
        <v>16770</v>
      </c>
      <c r="L1830">
        <f>HYPERLINK("https://www2.assemblee-nationale.fr/sycomore/fiche/(num_dept)/7600", "7600")</f>
        <v>0</v>
      </c>
      <c r="N1830">
        <f>HYPERLINK("https://www.wikidata.org/wiki/Q3132907", "Q3132907")</f>
        <v>0</v>
      </c>
      <c r="O1830" t="s">
        <v>19992</v>
      </c>
      <c r="P1830" t="s">
        <v>20416</v>
      </c>
      <c r="Q1830" t="s">
        <v>17699</v>
      </c>
      <c r="R1830" t="s">
        <v>411</v>
      </c>
      <c r="S1830">
        <v>1658</v>
      </c>
    </row>
    <row r="1831" spans="1:19">
      <c r="A1831" t="s">
        <v>21</v>
      </c>
      <c r="B1831" t="s">
        <v>148</v>
      </c>
      <c r="C1831" t="s">
        <v>153</v>
      </c>
      <c r="D1831" t="s">
        <v>282</v>
      </c>
      <c r="E1831" t="s">
        <v>411</v>
      </c>
      <c r="F1831">
        <f>HYPERLINK("https://www.wikidata.org/wiki/Q33724121", "Q33724121")</f>
        <v>0</v>
      </c>
      <c r="G1831" t="s">
        <v>1657</v>
      </c>
      <c r="H1831" t="s">
        <v>6340</v>
      </c>
      <c r="I1831" t="s">
        <v>9875</v>
      </c>
      <c r="J1831" t="s">
        <v>12364</v>
      </c>
      <c r="K1831" t="s">
        <v>16771</v>
      </c>
      <c r="L1831">
        <f>HYPERLINK("https://www2.assemblee-nationale.fr/sycomore/fiche/(num_dept)/7602", "7602")</f>
        <v>0</v>
      </c>
      <c r="N1831">
        <f>HYPERLINK("https://www.wikidata.org/wiki/Q2831324", "Q2831324")</f>
        <v>0</v>
      </c>
      <c r="O1831" t="s">
        <v>19985</v>
      </c>
      <c r="P1831" t="s">
        <v>20412</v>
      </c>
      <c r="Q1831" t="s">
        <v>17699</v>
      </c>
      <c r="R1831" t="s">
        <v>411</v>
      </c>
      <c r="S1831">
        <v>1658</v>
      </c>
    </row>
    <row r="1832" spans="1:19">
      <c r="A1832" t="s">
        <v>21</v>
      </c>
      <c r="B1832" t="s">
        <v>148</v>
      </c>
      <c r="C1832" t="s">
        <v>153</v>
      </c>
      <c r="D1832" t="s">
        <v>282</v>
      </c>
      <c r="E1832" t="s">
        <v>411</v>
      </c>
      <c r="F1832">
        <f>HYPERLINK("https://www.wikidata.org/wiki/Q33724121", "Q33724121")</f>
        <v>0</v>
      </c>
      <c r="G1832" t="s">
        <v>1658</v>
      </c>
      <c r="H1832" t="s">
        <v>6341</v>
      </c>
      <c r="I1832" t="s">
        <v>9876</v>
      </c>
      <c r="J1832" t="s">
        <v>12365</v>
      </c>
      <c r="K1832" t="s">
        <v>16772</v>
      </c>
      <c r="L1832">
        <f>HYPERLINK("https://www2.assemblee-nationale.fr/sycomore/fiche/(num_dept)/7612", "7612")</f>
        <v>0</v>
      </c>
      <c r="N1832">
        <f>HYPERLINK("https://www.wikidata.org/wiki/Q3099057", "Q3099057")</f>
        <v>0</v>
      </c>
      <c r="O1832" t="s">
        <v>20037</v>
      </c>
      <c r="P1832" t="s">
        <v>20419</v>
      </c>
      <c r="Q1832" t="s">
        <v>17699</v>
      </c>
      <c r="R1832" t="s">
        <v>411</v>
      </c>
      <c r="S1832">
        <v>1658</v>
      </c>
    </row>
    <row r="1833" spans="1:19">
      <c r="A1833" t="s">
        <v>21</v>
      </c>
      <c r="B1833" t="s">
        <v>148</v>
      </c>
      <c r="C1833" t="s">
        <v>153</v>
      </c>
      <c r="D1833" t="s">
        <v>282</v>
      </c>
      <c r="E1833" t="s">
        <v>411</v>
      </c>
      <c r="F1833">
        <f>HYPERLINK("https://www.wikidata.org/wiki/Q33724121", "Q33724121")</f>
        <v>0</v>
      </c>
      <c r="G1833" t="s">
        <v>844</v>
      </c>
      <c r="H1833" t="s">
        <v>5601</v>
      </c>
      <c r="I1833" t="s">
        <v>9551</v>
      </c>
      <c r="J1833" t="s">
        <v>11591</v>
      </c>
      <c r="K1833" t="s">
        <v>15993</v>
      </c>
      <c r="L1833">
        <f>HYPERLINK("https://www2.assemblee-nationale.fr/sycomore/fiche/(num_dept)/7628", "7628")</f>
        <v>0</v>
      </c>
      <c r="M1833">
        <f>HYPERLINK("https://www.senat.fr/senateur-3eme-republique/le_troadec_paul0586r3.html", "le_troadec_paul0586r3")</f>
        <v>0</v>
      </c>
      <c r="N1833">
        <f>HYPERLINK("https://www.wikidata.org/wiki/Q3371653", "Q3371653")</f>
        <v>0</v>
      </c>
      <c r="O1833" t="s">
        <v>19964</v>
      </c>
      <c r="P1833" t="s">
        <v>20417</v>
      </c>
      <c r="Q1833" t="s">
        <v>17699</v>
      </c>
      <c r="R1833" t="s">
        <v>21403</v>
      </c>
      <c r="S1833">
        <v>443</v>
      </c>
    </row>
    <row r="1834" spans="1:19">
      <c r="A1834" t="s">
        <v>21</v>
      </c>
      <c r="B1834" t="s">
        <v>148</v>
      </c>
      <c r="C1834" t="s">
        <v>153</v>
      </c>
      <c r="D1834" t="s">
        <v>282</v>
      </c>
      <c r="E1834" t="s">
        <v>411</v>
      </c>
      <c r="F1834">
        <f>HYPERLINK("https://www.wikidata.org/wiki/Q33724121", "Q33724121")</f>
        <v>0</v>
      </c>
      <c r="G1834" t="s">
        <v>1659</v>
      </c>
      <c r="H1834" t="s">
        <v>6342</v>
      </c>
      <c r="I1834" t="s">
        <v>9843</v>
      </c>
      <c r="J1834" t="s">
        <v>12366</v>
      </c>
      <c r="K1834" t="s">
        <v>16773</v>
      </c>
      <c r="L1834">
        <f>HYPERLINK("https://www2.assemblee-nationale.fr/sycomore/fiche/(num_dept)/7630", "7630")</f>
        <v>0</v>
      </c>
      <c r="M1834">
        <f>HYPERLINK("https://www.senat.fr/senateur-3eme-republique/le_trocquer_yves0588r3.html", "le_trocquer_yves0588r3")</f>
        <v>0</v>
      </c>
      <c r="N1834">
        <f>HYPERLINK("https://www.wikidata.org/wiki/Q3573784", "Q3573784")</f>
        <v>0</v>
      </c>
      <c r="O1834" t="s">
        <v>19964</v>
      </c>
      <c r="P1834" t="s">
        <v>20412</v>
      </c>
      <c r="Q1834" t="s">
        <v>17699</v>
      </c>
      <c r="R1834" t="s">
        <v>411</v>
      </c>
      <c r="S1834">
        <v>1658</v>
      </c>
    </row>
    <row r="1835" spans="1:19">
      <c r="A1835" t="s">
        <v>21</v>
      </c>
      <c r="B1835" t="s">
        <v>148</v>
      </c>
      <c r="C1835" t="s">
        <v>153</v>
      </c>
      <c r="D1835" t="s">
        <v>282</v>
      </c>
      <c r="E1835" t="s">
        <v>411</v>
      </c>
      <c r="F1835">
        <f>HYPERLINK("https://www.wikidata.org/wiki/Q33724121", "Q33724121")</f>
        <v>0</v>
      </c>
      <c r="G1835" t="s">
        <v>1660</v>
      </c>
      <c r="H1835" t="s">
        <v>6343</v>
      </c>
      <c r="I1835" t="s">
        <v>9474</v>
      </c>
      <c r="J1835" t="s">
        <v>12367</v>
      </c>
      <c r="K1835" t="s">
        <v>16774</v>
      </c>
      <c r="L1835">
        <f>HYPERLINK("https://www2.assemblee-nationale.fr/sycomore/fiche/(num_dept)/7636", "7636")</f>
        <v>0</v>
      </c>
      <c r="N1835">
        <f>HYPERLINK("https://www.wikidata.org/wiki/Q830456", "Q830456")</f>
        <v>0</v>
      </c>
      <c r="O1835" t="s">
        <v>20013</v>
      </c>
      <c r="P1835" t="s">
        <v>20404</v>
      </c>
      <c r="Q1835" t="s">
        <v>17699</v>
      </c>
      <c r="R1835" t="s">
        <v>411</v>
      </c>
      <c r="S1835">
        <v>1658</v>
      </c>
    </row>
    <row r="1836" spans="1:19">
      <c r="A1836" t="s">
        <v>21</v>
      </c>
      <c r="B1836" t="s">
        <v>148</v>
      </c>
      <c r="C1836" t="s">
        <v>153</v>
      </c>
      <c r="D1836" t="s">
        <v>282</v>
      </c>
      <c r="E1836" t="s">
        <v>411</v>
      </c>
      <c r="F1836">
        <f>HYPERLINK("https://www.wikidata.org/wiki/Q33724121", "Q33724121")</f>
        <v>0</v>
      </c>
      <c r="G1836" t="s">
        <v>846</v>
      </c>
      <c r="H1836" t="s">
        <v>5603</v>
      </c>
      <c r="I1836" t="s">
        <v>6584</v>
      </c>
      <c r="J1836" t="s">
        <v>11593</v>
      </c>
      <c r="K1836" t="s">
        <v>15784</v>
      </c>
      <c r="L1836">
        <f>HYPERLINK("https://www2.assemblee-nationale.fr/sycomore/fiche/(num_dept)/7652", "7652")</f>
        <v>0</v>
      </c>
      <c r="M1836">
        <f>HYPERLINK("https://www.senat.fr/senateur-3eme-republique/lebrun_albert0945r3.html", "lebrun_albert0945r3")</f>
        <v>0</v>
      </c>
      <c r="N1836">
        <f>HYPERLINK("https://www.wikidata.org/wiki/Q158749", "Q158749")</f>
        <v>0</v>
      </c>
      <c r="O1836" t="s">
        <v>20007</v>
      </c>
      <c r="P1836" t="s">
        <v>20412</v>
      </c>
      <c r="Q1836" t="s">
        <v>17699</v>
      </c>
      <c r="R1836" t="s">
        <v>353</v>
      </c>
      <c r="S1836">
        <v>65</v>
      </c>
    </row>
    <row r="1837" spans="1:19">
      <c r="A1837" t="s">
        <v>21</v>
      </c>
      <c r="B1837" t="s">
        <v>148</v>
      </c>
      <c r="C1837" t="s">
        <v>153</v>
      </c>
      <c r="D1837" t="s">
        <v>282</v>
      </c>
      <c r="E1837" t="s">
        <v>411</v>
      </c>
      <c r="F1837">
        <f>HYPERLINK("https://www.wikidata.org/wiki/Q33724121", "Q33724121")</f>
        <v>0</v>
      </c>
      <c r="G1837" t="s">
        <v>1661</v>
      </c>
      <c r="H1837" t="s">
        <v>6344</v>
      </c>
      <c r="I1837" t="s">
        <v>6175</v>
      </c>
      <c r="J1837" t="s">
        <v>12368</v>
      </c>
      <c r="K1837" t="s">
        <v>16775</v>
      </c>
      <c r="L1837">
        <f>HYPERLINK("https://www2.assemblee-nationale.fr/sycomore/fiche/(num_dept)/7669", "7669")</f>
        <v>0</v>
      </c>
      <c r="M1837">
        <f>HYPERLINK("https://www.senat.fr/senateur-3eme-republique/lecourtier_georges1026r3.html", "lecourtier_georges1026r3")</f>
        <v>0</v>
      </c>
      <c r="N1837">
        <f>HYPERLINK("https://www.wikidata.org/wiki/Q3103064", "Q3103064")</f>
        <v>0</v>
      </c>
      <c r="O1837" t="s">
        <v>20030</v>
      </c>
      <c r="P1837" t="s">
        <v>20417</v>
      </c>
      <c r="Q1837" t="s">
        <v>17699</v>
      </c>
      <c r="R1837" t="s">
        <v>411</v>
      </c>
      <c r="S1837">
        <v>1658</v>
      </c>
    </row>
    <row r="1838" spans="1:19">
      <c r="A1838" t="s">
        <v>21</v>
      </c>
      <c r="B1838" t="s">
        <v>148</v>
      </c>
      <c r="C1838" t="s">
        <v>153</v>
      </c>
      <c r="D1838" t="s">
        <v>282</v>
      </c>
      <c r="E1838" t="s">
        <v>411</v>
      </c>
      <c r="F1838">
        <f>HYPERLINK("https://www.wikidata.org/wiki/Q33724121", "Q33724121")</f>
        <v>0</v>
      </c>
      <c r="G1838" t="s">
        <v>1662</v>
      </c>
      <c r="H1838" t="s">
        <v>5939</v>
      </c>
      <c r="I1838" t="s">
        <v>9465</v>
      </c>
      <c r="J1838" t="s">
        <v>12369</v>
      </c>
      <c r="K1838" t="s">
        <v>16776</v>
      </c>
      <c r="L1838">
        <f>HYPERLINK("https://www2.assemblee-nationale.fr/sycomore/fiche/(num_dept)/7686", "7686")</f>
        <v>0</v>
      </c>
      <c r="N1838">
        <f>HYPERLINK("https://www.wikidata.org/wiki/Q16037768", "Q16037768")</f>
        <v>0</v>
      </c>
      <c r="O1838" t="s">
        <v>20000</v>
      </c>
      <c r="Q1838" t="s">
        <v>17699</v>
      </c>
      <c r="R1838" t="s">
        <v>16776</v>
      </c>
      <c r="S1838">
        <v>594</v>
      </c>
    </row>
    <row r="1839" spans="1:19">
      <c r="A1839" t="s">
        <v>21</v>
      </c>
      <c r="B1839" t="s">
        <v>148</v>
      </c>
      <c r="C1839" t="s">
        <v>153</v>
      </c>
      <c r="D1839" t="s">
        <v>282</v>
      </c>
      <c r="E1839" t="s">
        <v>411</v>
      </c>
      <c r="F1839">
        <f>HYPERLINK("https://www.wikidata.org/wiki/Q33724121", "Q33724121")</f>
        <v>0</v>
      </c>
      <c r="G1839" t="s">
        <v>1211</v>
      </c>
      <c r="H1839" t="s">
        <v>5939</v>
      </c>
      <c r="I1839" t="s">
        <v>6166</v>
      </c>
      <c r="J1839" t="s">
        <v>11943</v>
      </c>
      <c r="K1839" t="s">
        <v>16345</v>
      </c>
      <c r="L1839">
        <f>HYPERLINK("https://www2.assemblee-nationale.fr/sycomore/fiche/(num_dept)/7688", "7688")</f>
        <v>0</v>
      </c>
      <c r="N1839">
        <f>HYPERLINK("https://www.wikidata.org/wiki/Q16025975", "Q16025975")</f>
        <v>0</v>
      </c>
      <c r="O1839" t="s">
        <v>20013</v>
      </c>
      <c r="P1839" t="s">
        <v>20404</v>
      </c>
      <c r="Q1839" t="s">
        <v>17699</v>
      </c>
      <c r="R1839" t="s">
        <v>411</v>
      </c>
      <c r="S1839">
        <v>1658</v>
      </c>
    </row>
    <row r="1840" spans="1:19">
      <c r="A1840" t="s">
        <v>21</v>
      </c>
      <c r="B1840" t="s">
        <v>148</v>
      </c>
      <c r="C1840" t="s">
        <v>153</v>
      </c>
      <c r="D1840" t="s">
        <v>282</v>
      </c>
      <c r="E1840" t="s">
        <v>411</v>
      </c>
      <c r="F1840">
        <f>HYPERLINK("https://www.wikidata.org/wiki/Q33724121", "Q33724121")</f>
        <v>0</v>
      </c>
      <c r="G1840" t="s">
        <v>1663</v>
      </c>
      <c r="H1840" t="s">
        <v>5939</v>
      </c>
      <c r="I1840" t="s">
        <v>9476</v>
      </c>
      <c r="J1840" t="s">
        <v>12370</v>
      </c>
      <c r="K1840" t="s">
        <v>16777</v>
      </c>
      <c r="L1840">
        <f>HYPERLINK("https://www2.assemblee-nationale.fr/sycomore/fiche/(num_dept)/7690", "7690")</f>
        <v>0</v>
      </c>
      <c r="N1840">
        <f>HYPERLINK("https://www.wikidata.org/wiki/Q16011461", "Q16011461")</f>
        <v>0</v>
      </c>
      <c r="O1840" t="s">
        <v>20013</v>
      </c>
      <c r="P1840" t="s">
        <v>20417</v>
      </c>
      <c r="Q1840" t="s">
        <v>17699</v>
      </c>
      <c r="R1840" t="s">
        <v>411</v>
      </c>
      <c r="S1840">
        <v>1658</v>
      </c>
    </row>
    <row r="1841" spans="1:19">
      <c r="A1841" t="s">
        <v>21</v>
      </c>
      <c r="B1841" t="s">
        <v>148</v>
      </c>
      <c r="C1841" t="s">
        <v>153</v>
      </c>
      <c r="D1841" t="s">
        <v>282</v>
      </c>
      <c r="E1841" t="s">
        <v>411</v>
      </c>
      <c r="F1841">
        <f>HYPERLINK("https://www.wikidata.org/wiki/Q33724121", "Q33724121")</f>
        <v>0</v>
      </c>
      <c r="G1841" t="s">
        <v>1076</v>
      </c>
      <c r="H1841" t="s">
        <v>5820</v>
      </c>
      <c r="I1841" t="s">
        <v>9602</v>
      </c>
      <c r="J1841" t="s">
        <v>11812</v>
      </c>
      <c r="K1841" t="s">
        <v>16213</v>
      </c>
      <c r="L1841">
        <f>HYPERLINK("https://www2.assemblee-nationale.fr/sycomore/fiche/(num_dept)/7691", "7691")</f>
        <v>0</v>
      </c>
      <c r="M1841">
        <f>HYPERLINK("https://www.senat.fr/senateur-3eme-republique/lefebvre_du_prey_edmond0976r3.html", "lefebvre_du_prey_edmond0976r3")</f>
        <v>0</v>
      </c>
      <c r="N1841">
        <f>HYPERLINK("https://www.wikidata.org/wiki/Q1285694", "Q1285694")</f>
        <v>0</v>
      </c>
      <c r="O1841" t="s">
        <v>19968</v>
      </c>
      <c r="P1841" t="s">
        <v>20416</v>
      </c>
      <c r="Q1841" t="s">
        <v>17699</v>
      </c>
      <c r="R1841" t="s">
        <v>411</v>
      </c>
      <c r="S1841">
        <v>1658</v>
      </c>
    </row>
    <row r="1842" spans="1:19">
      <c r="A1842" t="s">
        <v>21</v>
      </c>
      <c r="B1842" t="s">
        <v>148</v>
      </c>
      <c r="C1842" t="s">
        <v>153</v>
      </c>
      <c r="D1842" t="s">
        <v>282</v>
      </c>
      <c r="E1842" t="s">
        <v>411</v>
      </c>
      <c r="F1842">
        <f>HYPERLINK("https://www.wikidata.org/wiki/Q33724121", "Q33724121")</f>
        <v>0</v>
      </c>
      <c r="G1842" t="s">
        <v>851</v>
      </c>
      <c r="H1842" t="s">
        <v>5607</v>
      </c>
      <c r="I1842" t="s">
        <v>6585</v>
      </c>
      <c r="J1842" t="s">
        <v>11597</v>
      </c>
      <c r="K1842" t="s">
        <v>15999</v>
      </c>
      <c r="L1842">
        <f>HYPERLINK("https://www2.assemblee-nationale.fr/sycomore/fiche/(num_dept)/7693", "7693")</f>
        <v>0</v>
      </c>
      <c r="N1842">
        <f>HYPERLINK("https://www.wikidata.org/wiki/Q768982", "Q768982")</f>
        <v>0</v>
      </c>
      <c r="O1842" t="s">
        <v>19990</v>
      </c>
      <c r="P1842" t="s">
        <v>20417</v>
      </c>
      <c r="Q1842" t="s">
        <v>17699</v>
      </c>
      <c r="R1842" t="s">
        <v>411</v>
      </c>
      <c r="S1842">
        <v>1658</v>
      </c>
    </row>
    <row r="1843" spans="1:19">
      <c r="A1843" t="s">
        <v>21</v>
      </c>
      <c r="B1843" t="s">
        <v>148</v>
      </c>
      <c r="C1843" t="s">
        <v>153</v>
      </c>
      <c r="D1843" t="s">
        <v>282</v>
      </c>
      <c r="E1843" t="s">
        <v>411</v>
      </c>
      <c r="F1843">
        <f>HYPERLINK("https://www.wikidata.org/wiki/Q33724121", "Q33724121")</f>
        <v>0</v>
      </c>
      <c r="G1843" t="s">
        <v>1664</v>
      </c>
      <c r="H1843" t="s">
        <v>6345</v>
      </c>
      <c r="I1843" t="s">
        <v>9523</v>
      </c>
      <c r="J1843" t="s">
        <v>12371</v>
      </c>
      <c r="K1843" t="s">
        <v>16778</v>
      </c>
      <c r="L1843">
        <f>HYPERLINK("https://www2.assemblee-nationale.fr/sycomore/fiche/(num_dept)/7714", "7714")</f>
        <v>0</v>
      </c>
      <c r="N1843">
        <f>HYPERLINK("https://www.wikidata.org/wiki/Q3289186", "Q3289186")</f>
        <v>0</v>
      </c>
      <c r="O1843" t="s">
        <v>19988</v>
      </c>
      <c r="P1843" t="s">
        <v>20416</v>
      </c>
      <c r="Q1843" t="s">
        <v>17699</v>
      </c>
      <c r="R1843" t="s">
        <v>411</v>
      </c>
      <c r="S1843">
        <v>1658</v>
      </c>
    </row>
    <row r="1844" spans="1:19">
      <c r="A1844" t="s">
        <v>21</v>
      </c>
      <c r="B1844" t="s">
        <v>148</v>
      </c>
      <c r="C1844" t="s">
        <v>153</v>
      </c>
      <c r="D1844" t="s">
        <v>282</v>
      </c>
      <c r="E1844" t="s">
        <v>411</v>
      </c>
      <c r="F1844">
        <f>HYPERLINK("https://www.wikidata.org/wiki/Q33724121", "Q33724121")</f>
        <v>0</v>
      </c>
      <c r="G1844" t="s">
        <v>1327</v>
      </c>
      <c r="H1844" t="s">
        <v>6046</v>
      </c>
      <c r="I1844" t="s">
        <v>9753</v>
      </c>
      <c r="J1844" t="s">
        <v>12055</v>
      </c>
      <c r="K1844" t="s">
        <v>16456</v>
      </c>
      <c r="L1844">
        <f>HYPERLINK("https://www2.assemblee-nationale.fr/sycomore/fiche/(num_dept)/7730", "7730")</f>
        <v>0</v>
      </c>
      <c r="N1844">
        <f>HYPERLINK("https://www.wikidata.org/wiki/Q1508764", "Q1508764")</f>
        <v>0</v>
      </c>
      <c r="O1844" t="s">
        <v>20039</v>
      </c>
      <c r="P1844" t="s">
        <v>20417</v>
      </c>
      <c r="Q1844" t="s">
        <v>17699</v>
      </c>
      <c r="R1844" t="s">
        <v>411</v>
      </c>
      <c r="S1844">
        <v>1658</v>
      </c>
    </row>
    <row r="1845" spans="1:19">
      <c r="A1845" t="s">
        <v>21</v>
      </c>
      <c r="B1845" t="s">
        <v>148</v>
      </c>
      <c r="C1845" t="s">
        <v>153</v>
      </c>
      <c r="D1845" t="s">
        <v>282</v>
      </c>
      <c r="E1845" t="s">
        <v>411</v>
      </c>
      <c r="F1845">
        <f>HYPERLINK("https://www.wikidata.org/wiki/Q33724121", "Q33724121")</f>
        <v>0</v>
      </c>
      <c r="G1845" t="s">
        <v>1078</v>
      </c>
      <c r="H1845" t="s">
        <v>5822</v>
      </c>
      <c r="I1845" t="s">
        <v>9449</v>
      </c>
      <c r="J1845" t="s">
        <v>11814</v>
      </c>
      <c r="K1845" t="s">
        <v>16215</v>
      </c>
      <c r="L1845">
        <f>HYPERLINK("https://www2.assemblee-nationale.fr/sycomore/fiche/(num_dept)/7752", "7752")</f>
        <v>0</v>
      </c>
      <c r="N1845">
        <f>HYPERLINK("https://www.wikidata.org/wiki/Q3085048", "Q3085048")</f>
        <v>0</v>
      </c>
      <c r="O1845" t="s">
        <v>20013</v>
      </c>
      <c r="P1845" t="s">
        <v>20412</v>
      </c>
      <c r="Q1845" t="s">
        <v>17699</v>
      </c>
      <c r="R1845" t="s">
        <v>411</v>
      </c>
      <c r="S1845">
        <v>1658</v>
      </c>
    </row>
    <row r="1846" spans="1:19">
      <c r="A1846" t="s">
        <v>21</v>
      </c>
      <c r="B1846" t="s">
        <v>148</v>
      </c>
      <c r="C1846" t="s">
        <v>153</v>
      </c>
      <c r="D1846" t="s">
        <v>282</v>
      </c>
      <c r="E1846" t="s">
        <v>411</v>
      </c>
      <c r="F1846">
        <f>HYPERLINK("https://www.wikidata.org/wiki/Q33724121", "Q33724121")</f>
        <v>0</v>
      </c>
      <c r="G1846" t="s">
        <v>1213</v>
      </c>
      <c r="H1846" t="s">
        <v>5941</v>
      </c>
      <c r="I1846" t="s">
        <v>9535</v>
      </c>
      <c r="J1846" t="s">
        <v>11945</v>
      </c>
      <c r="K1846" t="s">
        <v>16347</v>
      </c>
      <c r="L1846">
        <f>HYPERLINK("https://www2.assemblee-nationale.fr/sycomore/fiche/(num_dept)/7755", "7755")</f>
        <v>0</v>
      </c>
      <c r="N1846">
        <f>HYPERLINK("https://www.wikidata.org/wiki/Q16025982", "Q16025982")</f>
        <v>0</v>
      </c>
      <c r="O1846" t="s">
        <v>19968</v>
      </c>
      <c r="P1846" t="s">
        <v>20412</v>
      </c>
      <c r="Q1846" t="s">
        <v>17699</v>
      </c>
      <c r="R1846" t="s">
        <v>16347</v>
      </c>
      <c r="S1846">
        <v>622</v>
      </c>
    </row>
    <row r="1847" spans="1:19">
      <c r="A1847" t="s">
        <v>21</v>
      </c>
      <c r="B1847" t="s">
        <v>148</v>
      </c>
      <c r="C1847" t="s">
        <v>153</v>
      </c>
      <c r="D1847" t="s">
        <v>282</v>
      </c>
      <c r="E1847" t="s">
        <v>411</v>
      </c>
      <c r="F1847">
        <f>HYPERLINK("https://www.wikidata.org/wiki/Q33724121", "Q33724121")</f>
        <v>0</v>
      </c>
      <c r="G1847" t="s">
        <v>1665</v>
      </c>
      <c r="H1847" t="s">
        <v>5763</v>
      </c>
      <c r="I1847" t="s">
        <v>9877</v>
      </c>
      <c r="J1847" t="s">
        <v>12043</v>
      </c>
      <c r="K1847" t="s">
        <v>16779</v>
      </c>
      <c r="L1847">
        <f>HYPERLINK("https://www2.assemblee-nationale.fr/sycomore/fiche/(num_dept)/7758", "7758")</f>
        <v>0</v>
      </c>
      <c r="N1847">
        <f>HYPERLINK("https://www.wikidata.org/wiki/Q3262480", "Q3262480")</f>
        <v>0</v>
      </c>
      <c r="O1847" t="s">
        <v>19965</v>
      </c>
      <c r="P1847" t="s">
        <v>20416</v>
      </c>
      <c r="Q1847" t="s">
        <v>17699</v>
      </c>
      <c r="R1847" t="s">
        <v>411</v>
      </c>
      <c r="S1847">
        <v>1658</v>
      </c>
    </row>
    <row r="1848" spans="1:19">
      <c r="A1848" t="s">
        <v>21</v>
      </c>
      <c r="B1848" t="s">
        <v>148</v>
      </c>
      <c r="C1848" t="s">
        <v>153</v>
      </c>
      <c r="D1848" t="s">
        <v>282</v>
      </c>
      <c r="E1848" t="s">
        <v>411</v>
      </c>
      <c r="F1848">
        <f>HYPERLINK("https://www.wikidata.org/wiki/Q33724121", "Q33724121")</f>
        <v>0</v>
      </c>
      <c r="G1848" t="s">
        <v>1079</v>
      </c>
      <c r="H1848" t="s">
        <v>5823</v>
      </c>
      <c r="I1848" t="s">
        <v>9506</v>
      </c>
      <c r="J1848" t="s">
        <v>11815</v>
      </c>
      <c r="K1848" t="s">
        <v>16216</v>
      </c>
      <c r="L1848">
        <f>HYPERLINK("https://www2.assemblee-nationale.fr/sycomore/fiche/(num_dept)/7762", "7762")</f>
        <v>0</v>
      </c>
      <c r="N1848">
        <f>HYPERLINK("https://www.wikidata.org/wiki/Q2934989", "Q2934989")</f>
        <v>0</v>
      </c>
      <c r="O1848" t="s">
        <v>20025</v>
      </c>
      <c r="P1848" t="s">
        <v>20406</v>
      </c>
      <c r="Q1848" t="s">
        <v>17699</v>
      </c>
      <c r="R1848" t="s">
        <v>411</v>
      </c>
      <c r="S1848">
        <v>1658</v>
      </c>
    </row>
    <row r="1849" spans="1:19">
      <c r="A1849" t="s">
        <v>21</v>
      </c>
      <c r="B1849" t="s">
        <v>148</v>
      </c>
      <c r="C1849" t="s">
        <v>153</v>
      </c>
      <c r="D1849" t="s">
        <v>282</v>
      </c>
      <c r="E1849" t="s">
        <v>411</v>
      </c>
      <c r="F1849">
        <f>HYPERLINK("https://www.wikidata.org/wiki/Q33724121", "Q33724121")</f>
        <v>0</v>
      </c>
      <c r="G1849" t="s">
        <v>1328</v>
      </c>
      <c r="H1849" t="s">
        <v>6047</v>
      </c>
      <c r="I1849" t="s">
        <v>6175</v>
      </c>
      <c r="J1849" t="s">
        <v>12056</v>
      </c>
      <c r="K1849" t="s">
        <v>16457</v>
      </c>
      <c r="L1849">
        <f>HYPERLINK("https://www2.assemblee-nationale.fr/sycomore/fiche/(num_dept)/7789", "7789")</f>
        <v>0</v>
      </c>
      <c r="M1849">
        <f>HYPERLINK("https://www.senat.fr/senateur-3eme-republique/leredu_georges1647r3.html", "leredu_georges1647r3")</f>
        <v>0</v>
      </c>
      <c r="N1849">
        <f>HYPERLINK("https://www.wikidata.org/wiki/Q3103090", "Q3103090")</f>
        <v>0</v>
      </c>
      <c r="O1849" t="s">
        <v>19976</v>
      </c>
      <c r="P1849" t="s">
        <v>20416</v>
      </c>
      <c r="Q1849" t="s">
        <v>17699</v>
      </c>
      <c r="R1849" t="s">
        <v>411</v>
      </c>
      <c r="S1849">
        <v>1658</v>
      </c>
    </row>
    <row r="1850" spans="1:19">
      <c r="A1850" t="s">
        <v>21</v>
      </c>
      <c r="B1850" t="s">
        <v>148</v>
      </c>
      <c r="C1850" t="s">
        <v>153</v>
      </c>
      <c r="D1850" t="s">
        <v>282</v>
      </c>
      <c r="E1850" t="s">
        <v>411</v>
      </c>
      <c r="F1850">
        <f>HYPERLINK("https://www.wikidata.org/wiki/Q33724121", "Q33724121")</f>
        <v>0</v>
      </c>
      <c r="G1850" t="s">
        <v>1666</v>
      </c>
      <c r="H1850" t="s">
        <v>6346</v>
      </c>
      <c r="I1850" t="s">
        <v>9483</v>
      </c>
      <c r="J1850" t="s">
        <v>12372</v>
      </c>
      <c r="K1850" t="s">
        <v>16780</v>
      </c>
      <c r="L1850">
        <f>HYPERLINK("https://www2.assemblee-nationale.fr/sycomore/fiche/(num_dept)/7806", "7806")</f>
        <v>0</v>
      </c>
      <c r="M1850">
        <f>HYPERLINK("https://www.senat.fr/senateur-3eme-republique/lesache_victor0233r3.html", "lesache_victor0233r3")</f>
        <v>0</v>
      </c>
      <c r="N1850">
        <f>HYPERLINK("https://www.wikidata.org/wiki/Q3557416", "Q3557416")</f>
        <v>0</v>
      </c>
      <c r="O1850" t="s">
        <v>8449</v>
      </c>
      <c r="P1850" t="s">
        <v>20417</v>
      </c>
      <c r="Q1850" t="s">
        <v>17699</v>
      </c>
      <c r="R1850" t="s">
        <v>411</v>
      </c>
      <c r="S1850">
        <v>1658</v>
      </c>
    </row>
    <row r="1851" spans="1:19">
      <c r="A1851" t="s">
        <v>21</v>
      </c>
      <c r="B1851" t="s">
        <v>148</v>
      </c>
      <c r="C1851" t="s">
        <v>153</v>
      </c>
      <c r="D1851" t="s">
        <v>282</v>
      </c>
      <c r="E1851" t="s">
        <v>411</v>
      </c>
      <c r="F1851">
        <f>HYPERLINK("https://www.wikidata.org/wiki/Q33724121", "Q33724121")</f>
        <v>0</v>
      </c>
      <c r="G1851" t="s">
        <v>1667</v>
      </c>
      <c r="H1851" t="s">
        <v>6347</v>
      </c>
      <c r="I1851" t="s">
        <v>6200</v>
      </c>
      <c r="J1851" t="s">
        <v>12373</v>
      </c>
      <c r="K1851" t="s">
        <v>16781</v>
      </c>
      <c r="L1851">
        <f>HYPERLINK("https://www2.assemblee-nationale.fr/sycomore/fiche/(num_dept)/7822", "7822")</f>
        <v>0</v>
      </c>
      <c r="M1851">
        <f>HYPERLINK("https://www.senat.fr/senateur-3eme-republique/de_leusse_jean1109r3.html", "de_leusse_jean1109r3")</f>
        <v>0</v>
      </c>
      <c r="N1851">
        <f>HYPERLINK("https://www.wikidata.org/wiki/Q3175525", "Q3175525")</f>
        <v>0</v>
      </c>
      <c r="O1851" t="s">
        <v>20048</v>
      </c>
      <c r="P1851" t="s">
        <v>20416</v>
      </c>
      <c r="Q1851" t="s">
        <v>17699</v>
      </c>
      <c r="R1851" t="s">
        <v>411</v>
      </c>
      <c r="S1851">
        <v>1658</v>
      </c>
    </row>
    <row r="1852" spans="1:19">
      <c r="A1852" t="s">
        <v>21</v>
      </c>
      <c r="B1852" t="s">
        <v>148</v>
      </c>
      <c r="C1852" t="s">
        <v>153</v>
      </c>
      <c r="D1852" t="s">
        <v>282</v>
      </c>
      <c r="E1852" t="s">
        <v>411</v>
      </c>
      <c r="F1852">
        <f>HYPERLINK("https://www.wikidata.org/wiki/Q33724121", "Q33724121")</f>
        <v>0</v>
      </c>
      <c r="G1852" t="s">
        <v>1329</v>
      </c>
      <c r="H1852" t="s">
        <v>6048</v>
      </c>
      <c r="I1852" t="s">
        <v>9453</v>
      </c>
      <c r="J1852" t="s">
        <v>12057</v>
      </c>
      <c r="K1852" t="s">
        <v>16458</v>
      </c>
      <c r="L1852">
        <f>HYPERLINK("https://www2.assemblee-nationale.fr/sycomore/fiche/(num_dept)/7824", "7824")</f>
        <v>0</v>
      </c>
      <c r="N1852">
        <f>HYPERLINK("https://www.wikidata.org/wiki/Q2865199", "Q2865199")</f>
        <v>0</v>
      </c>
      <c r="O1852" t="s">
        <v>19969</v>
      </c>
      <c r="P1852" t="s">
        <v>20409</v>
      </c>
      <c r="Q1852" t="s">
        <v>17699</v>
      </c>
      <c r="R1852" t="s">
        <v>411</v>
      </c>
      <c r="S1852">
        <v>1658</v>
      </c>
    </row>
    <row r="1853" spans="1:19">
      <c r="A1853" t="s">
        <v>21</v>
      </c>
      <c r="B1853" t="s">
        <v>148</v>
      </c>
      <c r="C1853" t="s">
        <v>153</v>
      </c>
      <c r="D1853" t="s">
        <v>282</v>
      </c>
      <c r="E1853" t="s">
        <v>411</v>
      </c>
      <c r="F1853">
        <f>HYPERLINK("https://www.wikidata.org/wiki/Q33724121", "Q33724121")</f>
        <v>0</v>
      </c>
      <c r="G1853" t="s">
        <v>1668</v>
      </c>
      <c r="H1853" t="s">
        <v>6348</v>
      </c>
      <c r="I1853" t="s">
        <v>6175</v>
      </c>
      <c r="J1853" t="s">
        <v>12374</v>
      </c>
      <c r="K1853" t="s">
        <v>16782</v>
      </c>
      <c r="L1853">
        <f>HYPERLINK("https://www2.assemblee-nationale.fr/sycomore/fiche/(num_dept)/7837", "7837")</f>
        <v>0</v>
      </c>
      <c r="N1853">
        <f>HYPERLINK("https://www.wikidata.org/wiki/Q3103131", "Q3103131")</f>
        <v>0</v>
      </c>
      <c r="O1853" t="s">
        <v>19965</v>
      </c>
      <c r="P1853" t="s">
        <v>20404</v>
      </c>
      <c r="Q1853" t="s">
        <v>17699</v>
      </c>
      <c r="R1853" t="s">
        <v>411</v>
      </c>
      <c r="S1853">
        <v>1658</v>
      </c>
    </row>
    <row r="1854" spans="1:19">
      <c r="A1854" t="s">
        <v>21</v>
      </c>
      <c r="B1854" t="s">
        <v>148</v>
      </c>
      <c r="C1854" t="s">
        <v>153</v>
      </c>
      <c r="D1854" t="s">
        <v>282</v>
      </c>
      <c r="E1854" t="s">
        <v>411</v>
      </c>
      <c r="F1854">
        <f>HYPERLINK("https://www.wikidata.org/wiki/Q33724121", "Q33724121")</f>
        <v>0</v>
      </c>
      <c r="G1854" t="s">
        <v>857</v>
      </c>
      <c r="H1854" t="s">
        <v>5613</v>
      </c>
      <c r="I1854" t="s">
        <v>6175</v>
      </c>
      <c r="J1854" t="s">
        <v>11603</v>
      </c>
      <c r="K1854" t="s">
        <v>16005</v>
      </c>
      <c r="L1854">
        <f>HYPERLINK("https://www2.assemblee-nationale.fr/sycomore/fiche/(num_dept)/7840", "7840")</f>
        <v>0</v>
      </c>
      <c r="N1854">
        <f>HYPERLINK("https://www.wikidata.org/wiki/Q728806", "Q728806")</f>
        <v>0</v>
      </c>
      <c r="O1854" t="s">
        <v>20043</v>
      </c>
      <c r="P1854" t="s">
        <v>20412</v>
      </c>
      <c r="Q1854" t="s">
        <v>17699</v>
      </c>
      <c r="R1854" t="s">
        <v>411</v>
      </c>
      <c r="S1854">
        <v>1658</v>
      </c>
    </row>
    <row r="1855" spans="1:19">
      <c r="A1855" t="s">
        <v>21</v>
      </c>
      <c r="B1855" t="s">
        <v>148</v>
      </c>
      <c r="C1855" t="s">
        <v>153</v>
      </c>
      <c r="D1855" t="s">
        <v>282</v>
      </c>
      <c r="E1855" t="s">
        <v>411</v>
      </c>
      <c r="F1855">
        <f>HYPERLINK("https://www.wikidata.org/wiki/Q33724121", "Q33724121")</f>
        <v>0</v>
      </c>
      <c r="G1855" t="s">
        <v>1669</v>
      </c>
      <c r="H1855" t="s">
        <v>6349</v>
      </c>
      <c r="I1855" t="s">
        <v>6158</v>
      </c>
      <c r="J1855" t="s">
        <v>12375</v>
      </c>
      <c r="K1855" t="s">
        <v>16783</v>
      </c>
      <c r="L1855">
        <f>HYPERLINK("https://www2.assemblee-nationale.fr/sycomore/fiche/(num_dept)/7861", "7861")</f>
        <v>0</v>
      </c>
      <c r="N1855">
        <f>HYPERLINK("https://www.wikidata.org/wiki/Q3092513", "Q3092513")</f>
        <v>0</v>
      </c>
      <c r="O1855" t="s">
        <v>19969</v>
      </c>
      <c r="P1855" t="s">
        <v>20417</v>
      </c>
      <c r="Q1855" t="s">
        <v>17699</v>
      </c>
      <c r="R1855" t="s">
        <v>411</v>
      </c>
      <c r="S1855">
        <v>1658</v>
      </c>
    </row>
    <row r="1856" spans="1:19">
      <c r="A1856" t="s">
        <v>21</v>
      </c>
      <c r="B1856" t="s">
        <v>148</v>
      </c>
      <c r="C1856" t="s">
        <v>153</v>
      </c>
      <c r="D1856" t="s">
        <v>282</v>
      </c>
      <c r="E1856" t="s">
        <v>411</v>
      </c>
      <c r="F1856">
        <f>HYPERLINK("https://www.wikidata.org/wiki/Q33724121", "Q33724121")</f>
        <v>0</v>
      </c>
      <c r="G1856" t="s">
        <v>1670</v>
      </c>
      <c r="H1856" t="s">
        <v>6350</v>
      </c>
      <c r="I1856" t="s">
        <v>9449</v>
      </c>
      <c r="J1856" t="s">
        <v>12376</v>
      </c>
      <c r="K1856" t="s">
        <v>16784</v>
      </c>
      <c r="L1856">
        <f>HYPERLINK("https://www2.assemblee-nationale.fr/sycomore/fiche/(num_dept)/7874", "7874")</f>
        <v>0</v>
      </c>
      <c r="N1856">
        <f>HYPERLINK("https://www.wikidata.org/wiki/Q3188740", "Q3188740")</f>
        <v>0</v>
      </c>
      <c r="O1856" t="s">
        <v>20025</v>
      </c>
      <c r="P1856" t="s">
        <v>20404</v>
      </c>
      <c r="Q1856" t="s">
        <v>17699</v>
      </c>
      <c r="R1856" t="s">
        <v>411</v>
      </c>
      <c r="S1856">
        <v>1658</v>
      </c>
    </row>
    <row r="1857" spans="1:19">
      <c r="A1857" t="s">
        <v>21</v>
      </c>
      <c r="B1857" t="s">
        <v>148</v>
      </c>
      <c r="C1857" t="s">
        <v>153</v>
      </c>
      <c r="D1857" t="s">
        <v>282</v>
      </c>
      <c r="E1857" t="s">
        <v>411</v>
      </c>
      <c r="F1857">
        <f>HYPERLINK("https://www.wikidata.org/wiki/Q33724121", "Q33724121")</f>
        <v>0</v>
      </c>
      <c r="G1857" t="s">
        <v>1331</v>
      </c>
      <c r="H1857" t="s">
        <v>6050</v>
      </c>
      <c r="I1857" t="s">
        <v>6200</v>
      </c>
      <c r="J1857" t="s">
        <v>12058</v>
      </c>
      <c r="K1857" t="s">
        <v>16460</v>
      </c>
      <c r="L1857">
        <f>HYPERLINK("https://www2.assemblee-nationale.fr/sycomore/fiche/(num_dept)/7876", "7876")</f>
        <v>0</v>
      </c>
      <c r="N1857">
        <f>HYPERLINK("https://www.wikidata.org/wiki/Q8318774", "Q8318774")</f>
        <v>0</v>
      </c>
      <c r="O1857" t="s">
        <v>20032</v>
      </c>
      <c r="P1857" t="s">
        <v>20404</v>
      </c>
      <c r="Q1857" t="s">
        <v>17699</v>
      </c>
      <c r="R1857" t="s">
        <v>411</v>
      </c>
      <c r="S1857">
        <v>1658</v>
      </c>
    </row>
    <row r="1858" spans="1:19">
      <c r="A1858" t="s">
        <v>21</v>
      </c>
      <c r="B1858" t="s">
        <v>148</v>
      </c>
      <c r="C1858" t="s">
        <v>153</v>
      </c>
      <c r="D1858" t="s">
        <v>282</v>
      </c>
      <c r="E1858" t="s">
        <v>411</v>
      </c>
      <c r="F1858">
        <f>HYPERLINK("https://www.wikidata.org/wiki/Q33724121", "Q33724121")</f>
        <v>0</v>
      </c>
      <c r="G1858" t="s">
        <v>1082</v>
      </c>
      <c r="H1858" t="s">
        <v>5826</v>
      </c>
      <c r="I1858" t="s">
        <v>7642</v>
      </c>
      <c r="J1858" t="s">
        <v>11818</v>
      </c>
      <c r="K1858" t="s">
        <v>16219</v>
      </c>
      <c r="L1858">
        <f>HYPERLINK("https://www2.assemblee-nationale.fr/sycomore/fiche/(num_dept)/7884", "7884")</f>
        <v>0</v>
      </c>
      <c r="N1858">
        <f>HYPERLINK("https://www.wikidata.org/wiki/Q692029", "Q692029")</f>
        <v>0</v>
      </c>
      <c r="O1858" t="s">
        <v>20044</v>
      </c>
      <c r="P1858" t="s">
        <v>20418</v>
      </c>
      <c r="Q1858" t="s">
        <v>17699</v>
      </c>
      <c r="R1858" t="s">
        <v>16219</v>
      </c>
      <c r="S1858">
        <v>1156</v>
      </c>
    </row>
    <row r="1859" spans="1:19">
      <c r="A1859" t="s">
        <v>21</v>
      </c>
      <c r="B1859" t="s">
        <v>148</v>
      </c>
      <c r="C1859" t="s">
        <v>153</v>
      </c>
      <c r="D1859" t="s">
        <v>282</v>
      </c>
      <c r="E1859" t="s">
        <v>411</v>
      </c>
      <c r="F1859">
        <f>HYPERLINK("https://www.wikidata.org/wiki/Q33724121", "Q33724121")</f>
        <v>0</v>
      </c>
      <c r="G1859" t="s">
        <v>1333</v>
      </c>
      <c r="H1859" t="s">
        <v>5402</v>
      </c>
      <c r="I1859" t="s">
        <v>9754</v>
      </c>
      <c r="J1859" t="s">
        <v>12060</v>
      </c>
      <c r="K1859" t="s">
        <v>16462</v>
      </c>
      <c r="L1859">
        <f>HYPERLINK("https://www2.assemblee-nationale.fr/sycomore/fiche/(num_dept)/10839", "10839")</f>
        <v>0</v>
      </c>
      <c r="N1859">
        <f>HYPERLINK("https://www.wikidata.org/wiki/Q471296", "Q471296")</f>
        <v>0</v>
      </c>
      <c r="O1859" t="s">
        <v>20034</v>
      </c>
      <c r="P1859" t="s">
        <v>20417</v>
      </c>
      <c r="Q1859" t="s">
        <v>17699</v>
      </c>
      <c r="R1859" t="s">
        <v>411</v>
      </c>
      <c r="S1859">
        <v>1658</v>
      </c>
    </row>
    <row r="1860" spans="1:19">
      <c r="A1860" t="s">
        <v>21</v>
      </c>
      <c r="B1860" t="s">
        <v>148</v>
      </c>
      <c r="C1860" t="s">
        <v>153</v>
      </c>
      <c r="D1860" t="s">
        <v>282</v>
      </c>
      <c r="E1860" t="s">
        <v>411</v>
      </c>
      <c r="F1860">
        <f>HYPERLINK("https://www.wikidata.org/wiki/Q33724121", "Q33724121")</f>
        <v>0</v>
      </c>
      <c r="G1860" t="s">
        <v>534</v>
      </c>
      <c r="H1860" t="s">
        <v>5298</v>
      </c>
      <c r="I1860" t="s">
        <v>9388</v>
      </c>
      <c r="J1860" t="s">
        <v>11286</v>
      </c>
      <c r="K1860" t="s">
        <v>15686</v>
      </c>
      <c r="L1860">
        <f>HYPERLINK("https://www2.assemblee-nationale.fr/sycomore/fiche/(num_dept)/882", "882")</f>
        <v>0</v>
      </c>
      <c r="M1860">
        <f>HYPERLINK("https://www.senat.fr/senateur-3eme-republique/bluysen_paul1835r3.html", "bluysen_paul1835r3")</f>
        <v>0</v>
      </c>
      <c r="N1860">
        <f>HYPERLINK("https://www.wikidata.org/wiki/Q20027761", "Q20027761")</f>
        <v>0</v>
      </c>
      <c r="O1860" t="s">
        <v>19983</v>
      </c>
      <c r="P1860" t="s">
        <v>20418</v>
      </c>
      <c r="Q1860" t="s">
        <v>17983</v>
      </c>
      <c r="R1860" t="s">
        <v>411</v>
      </c>
      <c r="S1860">
        <v>1644</v>
      </c>
    </row>
    <row r="1861" spans="1:19">
      <c r="A1861" t="s">
        <v>21</v>
      </c>
      <c r="B1861" t="s">
        <v>148</v>
      </c>
      <c r="C1861" t="s">
        <v>153</v>
      </c>
      <c r="D1861" t="s">
        <v>282</v>
      </c>
      <c r="E1861" t="s">
        <v>411</v>
      </c>
      <c r="F1861">
        <f>HYPERLINK("https://www.wikidata.org/wiki/Q33724121", "Q33724121")</f>
        <v>0</v>
      </c>
      <c r="G1861" t="s">
        <v>1154</v>
      </c>
      <c r="H1861" t="s">
        <v>5889</v>
      </c>
      <c r="I1861" t="s">
        <v>9682</v>
      </c>
      <c r="J1861" t="s">
        <v>11888</v>
      </c>
      <c r="K1861" t="s">
        <v>16289</v>
      </c>
      <c r="L1861">
        <f>HYPERLINK("https://www2.assemblee-nationale.fr/sycomore/fiche/(num_dept)/1117", "1117")</f>
        <v>0</v>
      </c>
      <c r="N1861">
        <f>HYPERLINK("https://www.wikidata.org/wiki/Q3102353", "Q3102353")</f>
        <v>0</v>
      </c>
      <c r="O1861" t="s">
        <v>19963</v>
      </c>
      <c r="P1861" t="s">
        <v>20418</v>
      </c>
      <c r="Q1861" t="s">
        <v>17983</v>
      </c>
      <c r="R1861" t="s">
        <v>411</v>
      </c>
      <c r="S1861">
        <v>1644</v>
      </c>
    </row>
    <row r="1862" spans="1:19">
      <c r="A1862" t="s">
        <v>21</v>
      </c>
      <c r="B1862" t="s">
        <v>148</v>
      </c>
      <c r="C1862" t="s">
        <v>153</v>
      </c>
      <c r="D1862" t="s">
        <v>282</v>
      </c>
      <c r="E1862" t="s">
        <v>411</v>
      </c>
      <c r="F1862">
        <f>HYPERLINK("https://www.wikidata.org/wiki/Q33724121", "Q33724121")</f>
        <v>0</v>
      </c>
      <c r="G1862" t="s">
        <v>1251</v>
      </c>
      <c r="H1862" t="s">
        <v>5975</v>
      </c>
      <c r="I1862" t="s">
        <v>9727</v>
      </c>
      <c r="J1862" t="s">
        <v>11981</v>
      </c>
      <c r="K1862" t="s">
        <v>16384</v>
      </c>
      <c r="L1862">
        <f>HYPERLINK("https://www2.assemblee-nationale.fr/sycomore/fiche/(num_dept)/2496", "2496")</f>
        <v>0</v>
      </c>
      <c r="N1862">
        <f>HYPERLINK("https://www.wikidata.org/wiki/Q725749", "Q725749")</f>
        <v>0</v>
      </c>
      <c r="O1862" t="s">
        <v>20046</v>
      </c>
      <c r="P1862" t="s">
        <v>20406</v>
      </c>
      <c r="Q1862" t="s">
        <v>17983</v>
      </c>
      <c r="R1862" t="s">
        <v>411</v>
      </c>
      <c r="S1862">
        <v>1644</v>
      </c>
    </row>
    <row r="1863" spans="1:19">
      <c r="A1863" t="s">
        <v>21</v>
      </c>
      <c r="B1863" t="s">
        <v>148</v>
      </c>
      <c r="C1863" t="s">
        <v>153</v>
      </c>
      <c r="D1863" t="s">
        <v>282</v>
      </c>
      <c r="E1863" t="s">
        <v>411</v>
      </c>
      <c r="F1863">
        <f>HYPERLINK("https://www.wikidata.org/wiki/Q33724121", "Q33724121")</f>
        <v>0</v>
      </c>
      <c r="G1863" t="s">
        <v>1671</v>
      </c>
      <c r="H1863" t="s">
        <v>6351</v>
      </c>
      <c r="I1863" t="s">
        <v>9457</v>
      </c>
      <c r="J1863" t="s">
        <v>12377</v>
      </c>
      <c r="K1863" t="s">
        <v>16785</v>
      </c>
      <c r="L1863">
        <f>HYPERLINK("https://www2.assemblee-nationale.fr/sycomore/fiche/(num_dept)/3012", "3012")</f>
        <v>0</v>
      </c>
      <c r="N1863">
        <f>HYPERLINK("https://www.wikidata.org/wiki/Q3131081", "Q3131081")</f>
        <v>0</v>
      </c>
      <c r="O1863" t="s">
        <v>20000</v>
      </c>
      <c r="P1863" t="s">
        <v>20406</v>
      </c>
      <c r="Q1863" t="s">
        <v>17983</v>
      </c>
      <c r="R1863" t="s">
        <v>411</v>
      </c>
      <c r="S1863">
        <v>1644</v>
      </c>
    </row>
    <row r="1864" spans="1:19">
      <c r="A1864" t="s">
        <v>21</v>
      </c>
      <c r="B1864" t="s">
        <v>148</v>
      </c>
      <c r="C1864" t="s">
        <v>153</v>
      </c>
      <c r="D1864" t="s">
        <v>282</v>
      </c>
      <c r="E1864" t="s">
        <v>411</v>
      </c>
      <c r="F1864">
        <f>HYPERLINK("https://www.wikidata.org/wiki/Q33724121", "Q33724121")</f>
        <v>0</v>
      </c>
      <c r="G1864" t="s">
        <v>1672</v>
      </c>
      <c r="H1864" t="s">
        <v>6352</v>
      </c>
      <c r="I1864" t="s">
        <v>6200</v>
      </c>
      <c r="J1864" t="s">
        <v>12378</v>
      </c>
      <c r="K1864" t="s">
        <v>16786</v>
      </c>
      <c r="L1864">
        <f>HYPERLINK("https://www2.assemblee-nationale.fr/sycomore/fiche/(num_dept)/3227", "3227")</f>
        <v>0</v>
      </c>
      <c r="N1864">
        <f>HYPERLINK("https://www.wikidata.org/wiki/Q3172205", "Q3172205")</f>
        <v>0</v>
      </c>
      <c r="O1864" t="s">
        <v>20029</v>
      </c>
      <c r="P1864" t="s">
        <v>20409</v>
      </c>
      <c r="Q1864" t="s">
        <v>17983</v>
      </c>
      <c r="R1864" t="s">
        <v>411</v>
      </c>
      <c r="S1864">
        <v>1644</v>
      </c>
    </row>
    <row r="1865" spans="1:19">
      <c r="A1865" t="s">
        <v>21</v>
      </c>
      <c r="B1865" t="s">
        <v>148</v>
      </c>
      <c r="C1865" t="s">
        <v>153</v>
      </c>
      <c r="D1865" t="s">
        <v>282</v>
      </c>
      <c r="E1865" t="s">
        <v>411</v>
      </c>
      <c r="F1865">
        <f>HYPERLINK("https://www.wikidata.org/wiki/Q33724121", "Q33724121")</f>
        <v>0</v>
      </c>
      <c r="G1865" t="s">
        <v>656</v>
      </c>
      <c r="H1865" t="s">
        <v>5415</v>
      </c>
      <c r="I1865" t="s">
        <v>9471</v>
      </c>
      <c r="J1865" t="s">
        <v>11406</v>
      </c>
      <c r="K1865" t="s">
        <v>15808</v>
      </c>
      <c r="L1865">
        <f>HYPERLINK("https://www2.assemblee-nationale.fr/sycomore/fiche/(num_dept)/3276", "3276")</f>
        <v>0</v>
      </c>
      <c r="N1865">
        <f>HYPERLINK("https://www.wikidata.org/wiki/Q3265516", "Q3265516")</f>
        <v>0</v>
      </c>
      <c r="O1865" t="s">
        <v>19963</v>
      </c>
      <c r="P1865" t="s">
        <v>20418</v>
      </c>
      <c r="Q1865" t="s">
        <v>17983</v>
      </c>
      <c r="R1865" t="s">
        <v>411</v>
      </c>
      <c r="S1865">
        <v>1644</v>
      </c>
    </row>
    <row r="1866" spans="1:19">
      <c r="A1866" t="s">
        <v>21</v>
      </c>
      <c r="B1866" t="s">
        <v>148</v>
      </c>
      <c r="C1866" t="s">
        <v>153</v>
      </c>
      <c r="D1866" t="s">
        <v>282</v>
      </c>
      <c r="E1866" t="s">
        <v>411</v>
      </c>
      <c r="F1866">
        <f>HYPERLINK("https://www.wikidata.org/wiki/Q33724121", "Q33724121")</f>
        <v>0</v>
      </c>
      <c r="G1866" t="s">
        <v>1673</v>
      </c>
      <c r="H1866" t="s">
        <v>6353</v>
      </c>
      <c r="I1866" t="s">
        <v>9602</v>
      </c>
      <c r="J1866" t="s">
        <v>12379</v>
      </c>
      <c r="K1866" t="s">
        <v>16787</v>
      </c>
      <c r="L1866">
        <f>HYPERLINK("https://www2.assemblee-nationale.fr/sycomore/fiche/(num_dept)/5271", "5271")</f>
        <v>0</v>
      </c>
      <c r="N1866">
        <f>HYPERLINK("https://www.wikidata.org/wiki/Q3047928", "Q3047928")</f>
        <v>0</v>
      </c>
      <c r="O1866" t="s">
        <v>20040</v>
      </c>
      <c r="P1866" t="s">
        <v>20418</v>
      </c>
      <c r="Q1866" t="s">
        <v>17983</v>
      </c>
      <c r="R1866" t="s">
        <v>411</v>
      </c>
      <c r="S1866">
        <v>1644</v>
      </c>
    </row>
    <row r="1867" spans="1:19">
      <c r="A1867" t="s">
        <v>21</v>
      </c>
      <c r="B1867" t="s">
        <v>148</v>
      </c>
      <c r="C1867" t="s">
        <v>153</v>
      </c>
      <c r="D1867" t="s">
        <v>282</v>
      </c>
      <c r="E1867" t="s">
        <v>411</v>
      </c>
      <c r="F1867">
        <f>HYPERLINK("https://www.wikidata.org/wiki/Q33724121", "Q33724121")</f>
        <v>0</v>
      </c>
      <c r="G1867" t="s">
        <v>1287</v>
      </c>
      <c r="H1867" t="s">
        <v>6009</v>
      </c>
      <c r="I1867" t="s">
        <v>9442</v>
      </c>
      <c r="J1867" t="s">
        <v>12017</v>
      </c>
      <c r="K1867" t="s">
        <v>16420</v>
      </c>
      <c r="L1867">
        <f>HYPERLINK("https://www2.assemblee-nationale.fr/sycomore/fiche/(num_dept)/5636", "5636")</f>
        <v>0</v>
      </c>
      <c r="N1867">
        <f>HYPERLINK("https://www.wikidata.org/wiki/Q3057112", "Q3057112")</f>
        <v>0</v>
      </c>
      <c r="O1867" t="s">
        <v>20038</v>
      </c>
      <c r="P1867" t="s">
        <v>20409</v>
      </c>
      <c r="Q1867" t="s">
        <v>17983</v>
      </c>
      <c r="R1867" t="s">
        <v>411</v>
      </c>
      <c r="S1867">
        <v>1644</v>
      </c>
    </row>
    <row r="1868" spans="1:19">
      <c r="A1868" t="s">
        <v>21</v>
      </c>
      <c r="B1868" t="s">
        <v>148</v>
      </c>
      <c r="C1868" t="s">
        <v>153</v>
      </c>
      <c r="D1868" t="s">
        <v>282</v>
      </c>
      <c r="E1868" t="s">
        <v>411</v>
      </c>
      <c r="F1868">
        <f>HYPERLINK("https://www.wikidata.org/wiki/Q33724121", "Q33724121")</f>
        <v>0</v>
      </c>
      <c r="G1868" t="s">
        <v>1674</v>
      </c>
      <c r="H1868" t="s">
        <v>6354</v>
      </c>
      <c r="I1868" t="s">
        <v>9878</v>
      </c>
      <c r="J1868" t="s">
        <v>12380</v>
      </c>
      <c r="K1868" t="s">
        <v>16788</v>
      </c>
      <c r="L1868">
        <f>HYPERLINK("https://www2.assemblee-nationale.fr/sycomore/fiche/(num_dept)/6166", "6166")</f>
        <v>0</v>
      </c>
      <c r="M1868">
        <f>HYPERLINK("https://www.senat.fr/senateur-3eme-republique/roux_freissineng_pierre1827r3.html", "roux_freissineng_pierre1827r3")</f>
        <v>0</v>
      </c>
      <c r="N1868">
        <f>HYPERLINK("https://www.wikidata.org/wiki/Q3386881", "Q3386881")</f>
        <v>0</v>
      </c>
      <c r="O1868" t="s">
        <v>20000</v>
      </c>
      <c r="P1868" t="s">
        <v>20401</v>
      </c>
      <c r="Q1868" t="s">
        <v>17983</v>
      </c>
      <c r="R1868" t="s">
        <v>411</v>
      </c>
      <c r="S1868">
        <v>1644</v>
      </c>
    </row>
    <row r="1869" spans="1:19">
      <c r="A1869" t="s">
        <v>21</v>
      </c>
      <c r="B1869" t="s">
        <v>148</v>
      </c>
      <c r="C1869" t="s">
        <v>153</v>
      </c>
      <c r="D1869" t="s">
        <v>282</v>
      </c>
      <c r="E1869" t="s">
        <v>411</v>
      </c>
      <c r="F1869">
        <f>HYPERLINK("https://www.wikidata.org/wiki/Q33724121", "Q33724121")</f>
        <v>0</v>
      </c>
      <c r="G1869" t="s">
        <v>1675</v>
      </c>
      <c r="H1869" t="s">
        <v>6355</v>
      </c>
      <c r="I1869" t="s">
        <v>9474</v>
      </c>
      <c r="J1869" t="s">
        <v>12381</v>
      </c>
      <c r="K1869" t="s">
        <v>16789</v>
      </c>
      <c r="L1869">
        <f>HYPERLINK("https://www2.assemblee-nationale.fr/sycomore/fiche/(num_dept)/6204", "6204")</f>
        <v>0</v>
      </c>
      <c r="N1869">
        <f>HYPERLINK("https://www.wikidata.org/wiki/Q16026464", "Q16026464")</f>
        <v>0</v>
      </c>
      <c r="O1869" t="s">
        <v>20040</v>
      </c>
      <c r="P1869" t="s">
        <v>20418</v>
      </c>
      <c r="Q1869" t="s">
        <v>17983</v>
      </c>
      <c r="R1869" t="s">
        <v>411</v>
      </c>
      <c r="S1869">
        <v>1644</v>
      </c>
    </row>
    <row r="1870" spans="1:19">
      <c r="A1870" t="s">
        <v>21</v>
      </c>
      <c r="B1870" t="s">
        <v>148</v>
      </c>
      <c r="C1870" t="s">
        <v>153</v>
      </c>
      <c r="D1870" t="s">
        <v>282</v>
      </c>
      <c r="E1870" t="s">
        <v>411</v>
      </c>
      <c r="F1870">
        <f>HYPERLINK("https://www.wikidata.org/wiki/Q33724121", "Q33724121")</f>
        <v>0</v>
      </c>
      <c r="G1870" t="s">
        <v>1153</v>
      </c>
      <c r="H1870" t="s">
        <v>5888</v>
      </c>
      <c r="I1870" t="s">
        <v>9681</v>
      </c>
      <c r="J1870" t="s">
        <v>11887</v>
      </c>
      <c r="K1870" t="s">
        <v>16288</v>
      </c>
      <c r="L1870">
        <f>HYPERLINK("https://www2.assemblee-nationale.fr/sycomore/fiche/(num_dept)/902", "902")</f>
        <v>0</v>
      </c>
      <c r="N1870">
        <f>HYPERLINK("https://www.wikidata.org/wiki/Q2823094", "Q2823094")</f>
        <v>0</v>
      </c>
      <c r="O1870" t="s">
        <v>20028</v>
      </c>
      <c r="P1870" t="s">
        <v>20418</v>
      </c>
      <c r="Q1870" t="s">
        <v>20562</v>
      </c>
      <c r="R1870" t="s">
        <v>411</v>
      </c>
      <c r="S1870">
        <v>1630</v>
      </c>
    </row>
    <row r="1871" spans="1:19">
      <c r="A1871" t="s">
        <v>21</v>
      </c>
      <c r="B1871" t="s">
        <v>148</v>
      </c>
      <c r="C1871" t="s">
        <v>153</v>
      </c>
      <c r="D1871" t="s">
        <v>282</v>
      </c>
      <c r="E1871" t="s">
        <v>411</v>
      </c>
      <c r="F1871">
        <f>HYPERLINK("https://www.wikidata.org/wiki/Q33724121", "Q33724121")</f>
        <v>0</v>
      </c>
      <c r="G1871" t="s">
        <v>1100</v>
      </c>
      <c r="H1871" t="s">
        <v>5841</v>
      </c>
      <c r="I1871" t="s">
        <v>6707</v>
      </c>
      <c r="J1871" t="s">
        <v>11836</v>
      </c>
      <c r="K1871" t="s">
        <v>16236</v>
      </c>
      <c r="L1871">
        <f>HYPERLINK("https://www2.assemblee-nationale.fr/sycomore/fiche/(num_dept)/1415", "1415")</f>
        <v>0</v>
      </c>
      <c r="N1871">
        <f>HYPERLINK("https://www.wikidata.org/wiki/Q3115697", "Q3115697")</f>
        <v>0</v>
      </c>
      <c r="O1871" t="s">
        <v>20028</v>
      </c>
      <c r="Q1871" t="s">
        <v>20562</v>
      </c>
      <c r="R1871" t="s">
        <v>411</v>
      </c>
      <c r="S1871">
        <v>1630</v>
      </c>
    </row>
    <row r="1872" spans="1:19">
      <c r="A1872" t="s">
        <v>21</v>
      </c>
      <c r="B1872" t="s">
        <v>148</v>
      </c>
      <c r="C1872" t="s">
        <v>153</v>
      </c>
      <c r="D1872" t="s">
        <v>282</v>
      </c>
      <c r="E1872" t="s">
        <v>411</v>
      </c>
      <c r="F1872">
        <f>HYPERLINK("https://www.wikidata.org/wiki/Q33724121", "Q33724121")</f>
        <v>0</v>
      </c>
      <c r="G1872" t="s">
        <v>705</v>
      </c>
      <c r="H1872" t="s">
        <v>5463</v>
      </c>
      <c r="I1872" t="s">
        <v>9489</v>
      </c>
      <c r="J1872" t="s">
        <v>11455</v>
      </c>
      <c r="K1872" t="s">
        <v>15856</v>
      </c>
      <c r="L1872">
        <f>HYPERLINK("https://www2.assemblee-nationale.fr/sycomore/fiche/(num_dept)/4271", "4271")</f>
        <v>0</v>
      </c>
      <c r="N1872">
        <f>HYPERLINK("https://www.wikidata.org/wiki/Q3185196", "Q3185196")</f>
        <v>0</v>
      </c>
      <c r="O1872" t="s">
        <v>20035</v>
      </c>
      <c r="Q1872" t="s">
        <v>20562</v>
      </c>
      <c r="R1872" t="s">
        <v>411</v>
      </c>
      <c r="S1872">
        <v>1630</v>
      </c>
    </row>
    <row r="1873" spans="1:19">
      <c r="A1873" t="s">
        <v>21</v>
      </c>
      <c r="B1873" t="s">
        <v>148</v>
      </c>
      <c r="C1873" t="s">
        <v>153</v>
      </c>
      <c r="D1873" t="s">
        <v>282</v>
      </c>
      <c r="E1873" t="s">
        <v>411</v>
      </c>
      <c r="F1873">
        <f>HYPERLINK("https://www.wikidata.org/wiki/Q33724121", "Q33724121")</f>
        <v>0</v>
      </c>
      <c r="G1873" t="s">
        <v>1676</v>
      </c>
      <c r="H1873" t="s">
        <v>6356</v>
      </c>
      <c r="I1873" t="s">
        <v>9879</v>
      </c>
      <c r="J1873" t="s">
        <v>11862</v>
      </c>
      <c r="K1873" t="s">
        <v>16790</v>
      </c>
      <c r="L1873">
        <f>HYPERLINK("https://www2.assemblee-nationale.fr/sycomore/fiche/(num_dept)/9981", "9981")</f>
        <v>0</v>
      </c>
      <c r="M1873">
        <f>HYPERLINK("https://www.senat.fr/senateur-3eme-republique/clerc_fernand0702r3.html", "clerc_fernand0702r3")</f>
        <v>0</v>
      </c>
      <c r="N1873">
        <f>HYPERLINK("https://www.wikidata.org/wiki/Q3069089", "Q3069089")</f>
        <v>0</v>
      </c>
      <c r="O1873" t="s">
        <v>20035</v>
      </c>
      <c r="P1873" t="s">
        <v>20406</v>
      </c>
      <c r="Q1873" t="s">
        <v>20562</v>
      </c>
      <c r="R1873" t="s">
        <v>411</v>
      </c>
      <c r="S1873">
        <v>1630</v>
      </c>
    </row>
    <row r="1874" spans="1:19">
      <c r="A1874" t="s">
        <v>21</v>
      </c>
      <c r="B1874" t="s">
        <v>148</v>
      </c>
      <c r="C1874" t="s">
        <v>153</v>
      </c>
      <c r="D1874" t="s">
        <v>282</v>
      </c>
      <c r="E1874" t="s">
        <v>411</v>
      </c>
      <c r="F1874">
        <f>HYPERLINK("https://www.wikidata.org/wiki/Q33724121", "Q33724121")</f>
        <v>0</v>
      </c>
      <c r="G1874" t="s">
        <v>1677</v>
      </c>
      <c r="H1874" t="s">
        <v>6357</v>
      </c>
      <c r="I1874" t="s">
        <v>9375</v>
      </c>
      <c r="J1874" t="s">
        <v>12382</v>
      </c>
      <c r="K1874" t="s">
        <v>16791</v>
      </c>
      <c r="L1874">
        <f>HYPERLINK("https://www2.assemblee-nationale.fr/sycomore/fiche/(num_dept)/5733", "5733")</f>
        <v>0</v>
      </c>
      <c r="N1874">
        <f>HYPERLINK("https://www.wikidata.org/wiki/Q16798528", "Q16798528")</f>
        <v>0</v>
      </c>
      <c r="O1874" t="s">
        <v>20039</v>
      </c>
      <c r="P1874" t="s">
        <v>20419</v>
      </c>
      <c r="Q1874" t="s">
        <v>20563</v>
      </c>
      <c r="R1874" t="s">
        <v>411</v>
      </c>
      <c r="S1874">
        <v>1525</v>
      </c>
    </row>
    <row r="1875" spans="1:19">
      <c r="A1875" t="s">
        <v>21</v>
      </c>
      <c r="B1875" t="s">
        <v>148</v>
      </c>
      <c r="C1875" t="s">
        <v>153</v>
      </c>
      <c r="D1875" t="s">
        <v>282</v>
      </c>
      <c r="E1875" t="s">
        <v>411</v>
      </c>
      <c r="F1875">
        <f>HYPERLINK("https://www.wikidata.org/wiki/Q33724121", "Q33724121")</f>
        <v>0</v>
      </c>
      <c r="G1875" t="s">
        <v>1678</v>
      </c>
      <c r="H1875" t="s">
        <v>6358</v>
      </c>
      <c r="I1875" t="s">
        <v>9880</v>
      </c>
      <c r="J1875" t="s">
        <v>12383</v>
      </c>
      <c r="K1875" t="s">
        <v>16792</v>
      </c>
      <c r="L1875">
        <f>HYPERLINK("https://www2.assemblee-nationale.fr/sycomore/fiche/(num_dept)/5829", "5829")</f>
        <v>0</v>
      </c>
      <c r="N1875">
        <f>HYPERLINK("https://www.wikidata.org/wiki/Q16026324", "Q16026324")</f>
        <v>0</v>
      </c>
      <c r="O1875" t="s">
        <v>20039</v>
      </c>
      <c r="P1875" t="s">
        <v>20419</v>
      </c>
      <c r="Q1875" t="s">
        <v>20563</v>
      </c>
      <c r="R1875" t="s">
        <v>411</v>
      </c>
      <c r="S1875">
        <v>1525</v>
      </c>
    </row>
    <row r="1876" spans="1:19">
      <c r="A1876" t="s">
        <v>21</v>
      </c>
      <c r="B1876" t="s">
        <v>148</v>
      </c>
      <c r="C1876" t="s">
        <v>153</v>
      </c>
      <c r="D1876" t="s">
        <v>282</v>
      </c>
      <c r="E1876" t="s">
        <v>411</v>
      </c>
      <c r="F1876">
        <f>HYPERLINK("https://www.wikidata.org/wiki/Q33724121", "Q33724121")</f>
        <v>0</v>
      </c>
      <c r="G1876" t="s">
        <v>1679</v>
      </c>
      <c r="H1876" t="s">
        <v>6200</v>
      </c>
      <c r="I1876" t="s">
        <v>9881</v>
      </c>
      <c r="J1876" t="s">
        <v>12384</v>
      </c>
      <c r="K1876" t="s">
        <v>16793</v>
      </c>
      <c r="L1876">
        <f>HYPERLINK("https://www2.assemblee-nationale.fr/sycomore/fiche/(num_dept)/4017", "4017")</f>
        <v>0</v>
      </c>
      <c r="N1876">
        <f>HYPERLINK("https://www.wikidata.org/wiki/Q3424912", "Q3424912")</f>
        <v>0</v>
      </c>
      <c r="O1876" t="s">
        <v>20043</v>
      </c>
      <c r="P1876" t="s">
        <v>20404</v>
      </c>
      <c r="Q1876" t="s">
        <v>20564</v>
      </c>
      <c r="R1876" t="s">
        <v>411</v>
      </c>
      <c r="S1876">
        <v>1259</v>
      </c>
    </row>
    <row r="1877" spans="1:19">
      <c r="A1877" t="s">
        <v>21</v>
      </c>
      <c r="B1877" t="s">
        <v>148</v>
      </c>
      <c r="C1877" t="s">
        <v>153</v>
      </c>
      <c r="D1877" t="s">
        <v>282</v>
      </c>
      <c r="E1877" t="s">
        <v>411</v>
      </c>
      <c r="F1877">
        <f>HYPERLINK("https://www.wikidata.org/wiki/Q33724121", "Q33724121")</f>
        <v>0</v>
      </c>
      <c r="G1877" t="s">
        <v>1680</v>
      </c>
      <c r="H1877" t="s">
        <v>6359</v>
      </c>
      <c r="I1877" t="s">
        <v>7419</v>
      </c>
      <c r="J1877" t="s">
        <v>12385</v>
      </c>
      <c r="K1877" t="s">
        <v>16794</v>
      </c>
      <c r="L1877">
        <f>HYPERLINK("https://www2.assemblee-nationale.fr/sycomore/fiche/(num_dept)/2614", "2614")</f>
        <v>0</v>
      </c>
      <c r="N1877">
        <f>HYPERLINK("https://www.wikidata.org/wiki/Q2118124", "Q2118124")</f>
        <v>0</v>
      </c>
      <c r="O1877" t="s">
        <v>20018</v>
      </c>
      <c r="P1877" t="s">
        <v>20418</v>
      </c>
      <c r="Q1877" t="s">
        <v>20565</v>
      </c>
      <c r="R1877" t="s">
        <v>411</v>
      </c>
      <c r="S1877">
        <v>1189</v>
      </c>
    </row>
    <row r="1878" spans="1:19">
      <c r="A1878" t="s">
        <v>21</v>
      </c>
      <c r="B1878" t="s">
        <v>148</v>
      </c>
      <c r="C1878" t="s">
        <v>153</v>
      </c>
      <c r="D1878" t="s">
        <v>282</v>
      </c>
      <c r="E1878" t="s">
        <v>411</v>
      </c>
      <c r="F1878">
        <f>HYPERLINK("https://www.wikidata.org/wiki/Q33724121", "Q33724121")</f>
        <v>0</v>
      </c>
      <c r="G1878" t="s">
        <v>1681</v>
      </c>
      <c r="H1878" t="s">
        <v>6360</v>
      </c>
      <c r="I1878" t="s">
        <v>9882</v>
      </c>
      <c r="J1878" t="s">
        <v>11589</v>
      </c>
      <c r="K1878" t="s">
        <v>16795</v>
      </c>
      <c r="L1878">
        <f>HYPERLINK("https://www2.assemblee-nationale.fr/sycomore/fiche/(num_dept)/950", "950")</f>
        <v>0</v>
      </c>
      <c r="N1878">
        <f>HYPERLINK("https://www.wikidata.org/wiki/Q15973789", "Q15973789")</f>
        <v>0</v>
      </c>
      <c r="O1878" t="s">
        <v>19969</v>
      </c>
      <c r="P1878" t="s">
        <v>20419</v>
      </c>
      <c r="Q1878" t="s">
        <v>20566</v>
      </c>
      <c r="R1878" t="s">
        <v>411</v>
      </c>
      <c r="S1878">
        <v>1175</v>
      </c>
    </row>
    <row r="1879" spans="1:19">
      <c r="A1879" t="s">
        <v>21</v>
      </c>
      <c r="B1879" t="s">
        <v>148</v>
      </c>
      <c r="C1879" t="s">
        <v>153</v>
      </c>
      <c r="D1879" t="s">
        <v>282</v>
      </c>
      <c r="E1879" t="s">
        <v>411</v>
      </c>
      <c r="F1879">
        <f>HYPERLINK("https://www.wikidata.org/wiki/Q33724121", "Q33724121")</f>
        <v>0</v>
      </c>
      <c r="G1879" t="s">
        <v>1682</v>
      </c>
      <c r="H1879" t="s">
        <v>6361</v>
      </c>
      <c r="I1879" t="s">
        <v>9883</v>
      </c>
      <c r="J1879" t="s">
        <v>12386</v>
      </c>
      <c r="K1879" t="s">
        <v>16796</v>
      </c>
      <c r="L1879">
        <f>HYPERLINK("https://www2.assemblee-nationale.fr/sycomore/fiche/(num_dept)/7559", "7559")</f>
        <v>0</v>
      </c>
      <c r="N1879">
        <f>HYPERLINK("https://www.wikidata.org/wiki/Q13080919", "Q13080919")</f>
        <v>0</v>
      </c>
      <c r="O1879" t="s">
        <v>19969</v>
      </c>
      <c r="P1879" t="s">
        <v>20416</v>
      </c>
      <c r="Q1879" t="s">
        <v>20566</v>
      </c>
      <c r="R1879" t="s">
        <v>411</v>
      </c>
      <c r="S1879">
        <v>1175</v>
      </c>
    </row>
    <row r="1880" spans="1:19">
      <c r="A1880" t="s">
        <v>21</v>
      </c>
      <c r="B1880" t="s">
        <v>148</v>
      </c>
      <c r="C1880" t="s">
        <v>153</v>
      </c>
      <c r="D1880" t="s">
        <v>282</v>
      </c>
      <c r="E1880" t="s">
        <v>411</v>
      </c>
      <c r="F1880">
        <f>HYPERLINK("https://www.wikidata.org/wiki/Q33724121", "Q33724121")</f>
        <v>0</v>
      </c>
      <c r="G1880" t="s">
        <v>1683</v>
      </c>
      <c r="H1880" t="s">
        <v>6362</v>
      </c>
      <c r="I1880" t="s">
        <v>9465</v>
      </c>
      <c r="J1880" t="s">
        <v>12387</v>
      </c>
      <c r="K1880" t="s">
        <v>16797</v>
      </c>
      <c r="L1880">
        <f>HYPERLINK("https://www2.assemblee-nationale.fr/sycomore/fiche/(num_dept)/2092", "2092")</f>
        <v>0</v>
      </c>
      <c r="N1880">
        <f>HYPERLINK("https://www.wikidata.org/wiki/Q3059795", "Q3059795")</f>
        <v>0</v>
      </c>
      <c r="O1880" t="s">
        <v>19964</v>
      </c>
      <c r="P1880" t="s">
        <v>20412</v>
      </c>
      <c r="Q1880" t="s">
        <v>20567</v>
      </c>
      <c r="R1880" t="s">
        <v>16797</v>
      </c>
      <c r="S1880">
        <v>494</v>
      </c>
    </row>
    <row r="1881" spans="1:19">
      <c r="A1881" t="s">
        <v>21</v>
      </c>
      <c r="B1881" t="s">
        <v>148</v>
      </c>
      <c r="C1881" t="s">
        <v>153</v>
      </c>
      <c r="D1881" t="s">
        <v>282</v>
      </c>
      <c r="E1881" t="s">
        <v>411</v>
      </c>
      <c r="F1881">
        <f>HYPERLINK("https://www.wikidata.org/wiki/Q33724121", "Q33724121")</f>
        <v>0</v>
      </c>
      <c r="G1881" t="s">
        <v>1684</v>
      </c>
      <c r="H1881" t="s">
        <v>6363</v>
      </c>
      <c r="I1881" t="s">
        <v>9884</v>
      </c>
      <c r="J1881" t="s">
        <v>12388</v>
      </c>
      <c r="K1881" t="s">
        <v>16798</v>
      </c>
      <c r="L1881">
        <f>HYPERLINK("https://www2.assemblee-nationale.fr/sycomore/fiche/(num_dept)/2437", "2437")</f>
        <v>0</v>
      </c>
      <c r="N1881">
        <f>HYPERLINK("https://www.wikidata.org/wiki/Q3008874", "Q3008874")</f>
        <v>0</v>
      </c>
      <c r="O1881" t="s">
        <v>19989</v>
      </c>
      <c r="P1881" t="s">
        <v>20418</v>
      </c>
      <c r="Q1881" t="s">
        <v>20567</v>
      </c>
      <c r="R1881" t="s">
        <v>411</v>
      </c>
      <c r="S1881">
        <v>1126</v>
      </c>
    </row>
    <row r="1882" spans="1:19">
      <c r="A1882" t="s">
        <v>21</v>
      </c>
      <c r="B1882" t="s">
        <v>148</v>
      </c>
      <c r="C1882" t="s">
        <v>153</v>
      </c>
      <c r="D1882" t="s">
        <v>282</v>
      </c>
      <c r="E1882" t="s">
        <v>411</v>
      </c>
      <c r="F1882">
        <f>HYPERLINK("https://www.wikidata.org/wiki/Q33724121", "Q33724121")</f>
        <v>0</v>
      </c>
      <c r="G1882" t="s">
        <v>1685</v>
      </c>
      <c r="H1882" t="s">
        <v>6364</v>
      </c>
      <c r="I1882" t="s">
        <v>9885</v>
      </c>
      <c r="J1882" t="s">
        <v>12389</v>
      </c>
      <c r="K1882" t="s">
        <v>16799</v>
      </c>
      <c r="L1882">
        <f>HYPERLINK("https://www2.assemblee-nationale.fr/sycomore/fiche/(num_dept)/3226", "3226")</f>
        <v>0</v>
      </c>
      <c r="N1882">
        <f>HYPERLINK("https://www.wikidata.org/wiki/Q3573422", "Q3573422")</f>
        <v>0</v>
      </c>
      <c r="O1882" t="s">
        <v>19964</v>
      </c>
      <c r="P1882" t="s">
        <v>20412</v>
      </c>
      <c r="Q1882" t="s">
        <v>20567</v>
      </c>
      <c r="R1882" t="s">
        <v>411</v>
      </c>
      <c r="S1882">
        <v>1126</v>
      </c>
    </row>
    <row r="1883" spans="1:19">
      <c r="A1883" t="s">
        <v>21</v>
      </c>
      <c r="B1883" t="s">
        <v>148</v>
      </c>
      <c r="C1883" t="s">
        <v>153</v>
      </c>
      <c r="D1883" t="s">
        <v>282</v>
      </c>
      <c r="E1883" t="s">
        <v>411</v>
      </c>
      <c r="F1883">
        <f>HYPERLINK("https://www.wikidata.org/wiki/Q33724121", "Q33724121")</f>
        <v>0</v>
      </c>
      <c r="G1883" t="s">
        <v>1686</v>
      </c>
      <c r="H1883" t="s">
        <v>6365</v>
      </c>
      <c r="I1883" t="s">
        <v>9886</v>
      </c>
      <c r="J1883" t="s">
        <v>12390</v>
      </c>
      <c r="K1883" t="s">
        <v>16134</v>
      </c>
      <c r="L1883">
        <f>HYPERLINK("https://www2.assemblee-nationale.fr/sycomore/fiche/(num_dept)/4123", "4123")</f>
        <v>0</v>
      </c>
      <c r="M1883">
        <f>HYPERLINK("https://www.senat.fr/senateur-3eme-republique/de_keranflec_h_herve0591r3.html", "de_keranflec_h_herve0591r3")</f>
        <v>0</v>
      </c>
      <c r="N1883">
        <f>HYPERLINK("https://www.wikidata.org/wiki/Q3134672", "Q3134672")</f>
        <v>0</v>
      </c>
      <c r="O1883" t="s">
        <v>19964</v>
      </c>
      <c r="P1883" t="s">
        <v>20416</v>
      </c>
      <c r="Q1883" t="s">
        <v>20567</v>
      </c>
      <c r="R1883" t="s">
        <v>411</v>
      </c>
      <c r="S1883">
        <v>1126</v>
      </c>
    </row>
    <row r="1884" spans="1:19">
      <c r="A1884" t="s">
        <v>21</v>
      </c>
      <c r="B1884" t="s">
        <v>148</v>
      </c>
      <c r="C1884" t="s">
        <v>153</v>
      </c>
      <c r="D1884" t="s">
        <v>282</v>
      </c>
      <c r="E1884" t="s">
        <v>411</v>
      </c>
      <c r="F1884">
        <f>HYPERLINK("https://www.wikidata.org/wiki/Q33724121", "Q33724121")</f>
        <v>0</v>
      </c>
      <c r="G1884" t="s">
        <v>1687</v>
      </c>
      <c r="H1884" t="s">
        <v>5785</v>
      </c>
      <c r="I1884" t="s">
        <v>9887</v>
      </c>
      <c r="J1884" t="s">
        <v>12391</v>
      </c>
      <c r="K1884" t="s">
        <v>16800</v>
      </c>
      <c r="L1884">
        <f>HYPERLINK("https://www2.assemblee-nationale.fr/sycomore/fiche/(num_dept)/6343", "6343")</f>
        <v>0</v>
      </c>
      <c r="N1884">
        <f>HYPERLINK("https://www.wikidata.org/wiki/Q3161589", "Q3161589")</f>
        <v>0</v>
      </c>
      <c r="O1884" t="s">
        <v>19989</v>
      </c>
      <c r="P1884" t="s">
        <v>20418</v>
      </c>
      <c r="Q1884" t="s">
        <v>20567</v>
      </c>
      <c r="R1884" t="s">
        <v>411</v>
      </c>
      <c r="S1884">
        <v>1126</v>
      </c>
    </row>
    <row r="1885" spans="1:19">
      <c r="A1885" t="s">
        <v>21</v>
      </c>
      <c r="B1885" t="s">
        <v>148</v>
      </c>
      <c r="C1885" t="s">
        <v>153</v>
      </c>
      <c r="D1885" t="s">
        <v>282</v>
      </c>
      <c r="E1885" t="s">
        <v>411</v>
      </c>
      <c r="F1885">
        <f>HYPERLINK("https://www.wikidata.org/wiki/Q33724121", "Q33724121")</f>
        <v>0</v>
      </c>
      <c r="G1885" t="s">
        <v>1688</v>
      </c>
      <c r="H1885" t="s">
        <v>6366</v>
      </c>
      <c r="I1885" t="s">
        <v>9888</v>
      </c>
      <c r="J1885" t="s">
        <v>12392</v>
      </c>
      <c r="K1885" t="s">
        <v>16801</v>
      </c>
      <c r="L1885">
        <f>HYPERLINK("https://www2.assemblee-nationale.fr/sycomore/fiche/(num_dept)/7590", "7590")</f>
        <v>0</v>
      </c>
      <c r="N1885">
        <f>HYPERLINK("https://www.wikidata.org/wiki/Q3557410", "Q3557410")</f>
        <v>0</v>
      </c>
      <c r="O1885" t="s">
        <v>19964</v>
      </c>
      <c r="P1885" t="s">
        <v>20416</v>
      </c>
      <c r="Q1885" t="s">
        <v>20567</v>
      </c>
      <c r="R1885" t="s">
        <v>411</v>
      </c>
      <c r="S1885">
        <v>1126</v>
      </c>
    </row>
    <row r="1886" spans="1:19">
      <c r="A1886" t="s">
        <v>21</v>
      </c>
      <c r="B1886" t="s">
        <v>148</v>
      </c>
      <c r="C1886" t="s">
        <v>153</v>
      </c>
      <c r="D1886" t="s">
        <v>282</v>
      </c>
      <c r="E1886" t="s">
        <v>411</v>
      </c>
      <c r="F1886">
        <f>HYPERLINK("https://www.wikidata.org/wiki/Q33724121", "Q33724121")</f>
        <v>0</v>
      </c>
      <c r="G1886" t="s">
        <v>1689</v>
      </c>
      <c r="H1886" t="s">
        <v>6367</v>
      </c>
      <c r="I1886" t="s">
        <v>9889</v>
      </c>
      <c r="J1886" t="s">
        <v>12393</v>
      </c>
      <c r="K1886" t="s">
        <v>16802</v>
      </c>
      <c r="L1886">
        <f>HYPERLINK("https://www2.assemblee-nationale.fr/sycomore/fiche/(num_dept)/10601", "10601")</f>
        <v>0</v>
      </c>
      <c r="N1886">
        <f>HYPERLINK("https://www.wikidata.org/wiki/Q3573427", "Q3573427")</f>
        <v>0</v>
      </c>
      <c r="O1886" t="s">
        <v>19964</v>
      </c>
      <c r="Q1886" t="s">
        <v>20567</v>
      </c>
      <c r="R1886" t="s">
        <v>411</v>
      </c>
      <c r="S1886">
        <v>1126</v>
      </c>
    </row>
    <row r="1887" spans="1:19">
      <c r="A1887" t="s">
        <v>21</v>
      </c>
      <c r="B1887" t="s">
        <v>148</v>
      </c>
      <c r="C1887" t="s">
        <v>153</v>
      </c>
      <c r="D1887" t="s">
        <v>282</v>
      </c>
      <c r="E1887" t="s">
        <v>411</v>
      </c>
      <c r="F1887">
        <f>HYPERLINK("https://www.wikidata.org/wiki/Q33724121", "Q33724121")</f>
        <v>0</v>
      </c>
      <c r="G1887" t="s">
        <v>1294</v>
      </c>
      <c r="H1887" t="s">
        <v>6016</v>
      </c>
      <c r="I1887" t="s">
        <v>7671</v>
      </c>
      <c r="J1887" t="s">
        <v>12024</v>
      </c>
      <c r="K1887" t="s">
        <v>16427</v>
      </c>
      <c r="L1887">
        <f>HYPERLINK("https://www2.assemblee-nationale.fr/sycomore/fiche/(num_dept)/5967", "5967")</f>
        <v>0</v>
      </c>
      <c r="N1887">
        <f>HYPERLINK("https://www.wikidata.org/wiki/Q3084727", "Q3084727")</f>
        <v>0</v>
      </c>
      <c r="O1887" t="s">
        <v>19981</v>
      </c>
      <c r="P1887" t="s">
        <v>20418</v>
      </c>
      <c r="Q1887" t="s">
        <v>20568</v>
      </c>
      <c r="R1887" t="s">
        <v>411</v>
      </c>
      <c r="S1887">
        <v>1119</v>
      </c>
    </row>
    <row r="1888" spans="1:19">
      <c r="A1888" t="s">
        <v>21</v>
      </c>
      <c r="B1888" t="s">
        <v>148</v>
      </c>
      <c r="C1888" t="s">
        <v>153</v>
      </c>
      <c r="D1888" t="s">
        <v>282</v>
      </c>
      <c r="E1888" t="s">
        <v>411</v>
      </c>
      <c r="F1888">
        <f>HYPERLINK("https://www.wikidata.org/wiki/Q33724121", "Q33724121")</f>
        <v>0</v>
      </c>
      <c r="G1888" t="s">
        <v>1690</v>
      </c>
      <c r="H1888" t="s">
        <v>6368</v>
      </c>
      <c r="I1888" t="s">
        <v>9890</v>
      </c>
      <c r="J1888" t="s">
        <v>12394</v>
      </c>
      <c r="K1888" t="s">
        <v>316</v>
      </c>
      <c r="L1888">
        <f>HYPERLINK("https://www2.assemblee-nationale.fr/sycomore/fiche/(num_dept)/2533", "2533")</f>
        <v>0</v>
      </c>
      <c r="N1888">
        <f>HYPERLINK("https://www.wikidata.org/wiki/Q3158123", "Q3158123")</f>
        <v>0</v>
      </c>
      <c r="O1888" t="s">
        <v>19970</v>
      </c>
      <c r="P1888" t="s">
        <v>20418</v>
      </c>
      <c r="Q1888" t="s">
        <v>20569</v>
      </c>
      <c r="R1888" t="s">
        <v>411</v>
      </c>
      <c r="S1888">
        <v>1112</v>
      </c>
    </row>
    <row r="1889" spans="1:19">
      <c r="A1889" t="s">
        <v>21</v>
      </c>
      <c r="B1889" t="s">
        <v>148</v>
      </c>
      <c r="C1889" t="s">
        <v>153</v>
      </c>
      <c r="D1889" t="s">
        <v>282</v>
      </c>
      <c r="E1889" t="s">
        <v>411</v>
      </c>
      <c r="F1889">
        <f>HYPERLINK("https://www.wikidata.org/wiki/Q33724121", "Q33724121")</f>
        <v>0</v>
      </c>
      <c r="G1889" t="s">
        <v>1691</v>
      </c>
      <c r="H1889" t="s">
        <v>6369</v>
      </c>
      <c r="I1889" t="s">
        <v>7911</v>
      </c>
      <c r="J1889" t="s">
        <v>12395</v>
      </c>
      <c r="K1889" t="s">
        <v>16803</v>
      </c>
      <c r="L1889">
        <f>HYPERLINK("https://www2.assemblee-nationale.fr/sycomore/fiche/(num_dept)/11", "11")</f>
        <v>0</v>
      </c>
      <c r="N1889">
        <f>HYPERLINK("https://www.wikidata.org/wiki/Q3093571", "Q3093571")</f>
        <v>0</v>
      </c>
      <c r="O1889" t="s">
        <v>20000</v>
      </c>
      <c r="P1889" t="s">
        <v>20406</v>
      </c>
      <c r="Q1889" t="s">
        <v>18876</v>
      </c>
      <c r="R1889" t="s">
        <v>411</v>
      </c>
      <c r="S1889">
        <v>942</v>
      </c>
    </row>
    <row r="1890" spans="1:19">
      <c r="A1890" t="s">
        <v>21</v>
      </c>
      <c r="B1890" t="s">
        <v>148</v>
      </c>
      <c r="C1890" t="s">
        <v>153</v>
      </c>
      <c r="D1890" t="s">
        <v>282</v>
      </c>
      <c r="E1890" t="s">
        <v>411</v>
      </c>
      <c r="F1890">
        <f>HYPERLINK("https://www.wikidata.org/wiki/Q33724121", "Q33724121")</f>
        <v>0</v>
      </c>
      <c r="G1890" t="s">
        <v>1692</v>
      </c>
      <c r="H1890" t="s">
        <v>6370</v>
      </c>
      <c r="I1890" t="s">
        <v>9476</v>
      </c>
      <c r="J1890" t="s">
        <v>12396</v>
      </c>
      <c r="K1890" t="s">
        <v>16804</v>
      </c>
      <c r="L1890">
        <f>HYPERLINK("https://www2.assemblee-nationale.fr/sycomore/fiche/(num_dept)/2000", "2000")</f>
        <v>0</v>
      </c>
      <c r="M1890">
        <f>HYPERLINK("https://www.senat.fr/senateur-3eme-republique/coty_rene0134r4.html", "coty_rene0134r4")</f>
        <v>0</v>
      </c>
      <c r="N1890">
        <f>HYPERLINK("https://www.wikidata.org/wiki/Q158768", "Q158768")</f>
        <v>0</v>
      </c>
      <c r="O1890" t="s">
        <v>19978</v>
      </c>
      <c r="P1890" t="s">
        <v>20412</v>
      </c>
      <c r="Q1890" t="s">
        <v>20570</v>
      </c>
      <c r="R1890" t="s">
        <v>411</v>
      </c>
      <c r="S1890">
        <v>356</v>
      </c>
    </row>
    <row r="1891" spans="1:19">
      <c r="A1891" t="s">
        <v>21</v>
      </c>
      <c r="B1891" t="s">
        <v>148</v>
      </c>
      <c r="C1891" t="s">
        <v>153</v>
      </c>
      <c r="D1891" t="s">
        <v>282</v>
      </c>
      <c r="E1891" t="s">
        <v>411</v>
      </c>
      <c r="F1891">
        <f>HYPERLINK("https://www.wikidata.org/wiki/Q33724121", "Q33724121")</f>
        <v>0</v>
      </c>
      <c r="G1891" t="s">
        <v>1693</v>
      </c>
      <c r="H1891" t="s">
        <v>6239</v>
      </c>
      <c r="I1891" t="s">
        <v>5528</v>
      </c>
      <c r="J1891" t="s">
        <v>12397</v>
      </c>
      <c r="K1891" t="s">
        <v>16805</v>
      </c>
      <c r="L1891">
        <f>HYPERLINK("https://www2.assemblee-nationale.fr/sycomore/fiche/(num_dept)/5241", "5241")</f>
        <v>0</v>
      </c>
      <c r="N1891">
        <f>HYPERLINK("https://www.wikidata.org/wiki/Q1879449", "Q1879449")</f>
        <v>0</v>
      </c>
      <c r="O1891" t="s">
        <v>19978</v>
      </c>
      <c r="P1891" t="s">
        <v>20418</v>
      </c>
      <c r="Q1891" t="s">
        <v>20570</v>
      </c>
      <c r="R1891" t="s">
        <v>411</v>
      </c>
      <c r="S1891">
        <v>356</v>
      </c>
    </row>
    <row r="1892" spans="1:19">
      <c r="A1892" t="s">
        <v>21</v>
      </c>
      <c r="B1892" t="s">
        <v>148</v>
      </c>
      <c r="C1892" t="s">
        <v>153</v>
      </c>
      <c r="D1892" t="s">
        <v>282</v>
      </c>
      <c r="E1892" t="s">
        <v>411</v>
      </c>
      <c r="F1892">
        <f>HYPERLINK("https://www.wikidata.org/wiki/Q33724121", "Q33724121")</f>
        <v>0</v>
      </c>
      <c r="G1892" t="s">
        <v>960</v>
      </c>
      <c r="H1892" t="s">
        <v>5712</v>
      </c>
      <c r="I1892" t="s">
        <v>9457</v>
      </c>
      <c r="J1892" t="s">
        <v>11570</v>
      </c>
      <c r="K1892" t="s">
        <v>16102</v>
      </c>
      <c r="L1892">
        <f>HYPERLINK("https://www2.assemblee-nationale.fr/sycomore/fiche/(num_dept)/3134", "3134")</f>
        <v>0</v>
      </c>
      <c r="N1892">
        <f>HYPERLINK("https://www.wikidata.org/wiki/Q3132784", "Q3132784")</f>
        <v>0</v>
      </c>
      <c r="O1892" t="s">
        <v>19976</v>
      </c>
      <c r="P1892" t="s">
        <v>20418</v>
      </c>
      <c r="Q1892" t="s">
        <v>20571</v>
      </c>
      <c r="R1892" t="s">
        <v>411</v>
      </c>
      <c r="S1892">
        <v>328</v>
      </c>
    </row>
    <row r="1893" spans="1:19">
      <c r="A1893" t="s">
        <v>21</v>
      </c>
      <c r="B1893" t="s">
        <v>148</v>
      </c>
      <c r="C1893" t="s">
        <v>153</v>
      </c>
      <c r="D1893" t="s">
        <v>282</v>
      </c>
      <c r="E1893" t="s">
        <v>411</v>
      </c>
      <c r="F1893">
        <f>HYPERLINK("https://www.wikidata.org/wiki/Q33724121", "Q33724121")</f>
        <v>0</v>
      </c>
      <c r="G1893" t="s">
        <v>1177</v>
      </c>
      <c r="H1893" t="s">
        <v>5908</v>
      </c>
      <c r="I1893" t="s">
        <v>9552</v>
      </c>
      <c r="J1893" t="s">
        <v>11910</v>
      </c>
      <c r="K1893" t="s">
        <v>16312</v>
      </c>
      <c r="L1893">
        <f>HYPERLINK("https://www2.assemblee-nationale.fr/sycomore/fiche/(num_dept)/3519", "3519")</f>
        <v>0</v>
      </c>
      <c r="N1893">
        <f>HYPERLINK("https://www.wikidata.org/wiki/Q8331251", "Q8331251")</f>
        <v>0</v>
      </c>
      <c r="O1893" t="s">
        <v>19976</v>
      </c>
      <c r="P1893" t="s">
        <v>20418</v>
      </c>
      <c r="Q1893" t="s">
        <v>20571</v>
      </c>
      <c r="R1893" t="s">
        <v>411</v>
      </c>
      <c r="S1893">
        <v>328</v>
      </c>
    </row>
    <row r="1894" spans="1:19">
      <c r="A1894" t="s">
        <v>22</v>
      </c>
      <c r="B1894" t="s">
        <v>148</v>
      </c>
      <c r="C1894" t="s">
        <v>154</v>
      </c>
      <c r="D1894" t="s">
        <v>283</v>
      </c>
      <c r="E1894" t="s">
        <v>412</v>
      </c>
      <c r="F1894">
        <f>HYPERLINK("https://www.wikidata.org/wiki/Q16683492", "Q16683492")</f>
        <v>0</v>
      </c>
      <c r="G1894" t="s">
        <v>1338</v>
      </c>
      <c r="H1894" t="s">
        <v>6056</v>
      </c>
      <c r="I1894" t="s">
        <v>9757</v>
      </c>
      <c r="J1894" t="s">
        <v>12065</v>
      </c>
      <c r="K1894" t="s">
        <v>16467</v>
      </c>
      <c r="L1894">
        <f>HYPERLINK("https://www2.assemblee-nationale.fr/sycomore/fiche/(num_dept)/21", "21")</f>
        <v>0</v>
      </c>
      <c r="N1894">
        <f>HYPERLINK("https://www.wikidata.org/wiki/Q3098893", "Q3098893")</f>
        <v>0</v>
      </c>
      <c r="O1894" t="s">
        <v>20036</v>
      </c>
      <c r="P1894" t="s">
        <v>20422</v>
      </c>
      <c r="Q1894" t="s">
        <v>20572</v>
      </c>
      <c r="R1894" t="s">
        <v>412</v>
      </c>
      <c r="S1894">
        <v>1481</v>
      </c>
    </row>
    <row r="1895" spans="1:19">
      <c r="A1895" t="s">
        <v>22</v>
      </c>
      <c r="B1895" t="s">
        <v>148</v>
      </c>
      <c r="C1895" t="s">
        <v>154</v>
      </c>
      <c r="D1895" t="s">
        <v>283</v>
      </c>
      <c r="E1895" t="s">
        <v>412</v>
      </c>
      <c r="F1895">
        <f>HYPERLINK("https://www.wikidata.org/wiki/Q16683492", "Q16683492")</f>
        <v>0</v>
      </c>
      <c r="G1895" t="s">
        <v>1145</v>
      </c>
      <c r="H1895" t="s">
        <v>5880</v>
      </c>
      <c r="I1895" t="s">
        <v>5528</v>
      </c>
      <c r="J1895" t="s">
        <v>11879</v>
      </c>
      <c r="K1895" t="s">
        <v>16281</v>
      </c>
      <c r="L1895">
        <f>HYPERLINK("https://www2.assemblee-nationale.fr/sycomore/fiche/(num_dept)/24", "24")</f>
        <v>0</v>
      </c>
      <c r="N1895">
        <f>HYPERLINK("https://www.wikidata.org/wiki/Q2370802", "Q2370802")</f>
        <v>0</v>
      </c>
      <c r="O1895" t="s">
        <v>19968</v>
      </c>
      <c r="P1895" t="s">
        <v>20401</v>
      </c>
      <c r="Q1895" t="s">
        <v>20572</v>
      </c>
      <c r="R1895" t="s">
        <v>412</v>
      </c>
      <c r="S1895">
        <v>1481</v>
      </c>
    </row>
    <row r="1896" spans="1:19">
      <c r="A1896" t="s">
        <v>22</v>
      </c>
      <c r="B1896" t="s">
        <v>148</v>
      </c>
      <c r="C1896" t="s">
        <v>154</v>
      </c>
      <c r="D1896" t="s">
        <v>283</v>
      </c>
      <c r="E1896" t="s">
        <v>412</v>
      </c>
      <c r="F1896">
        <f>HYPERLINK("https://www.wikidata.org/wiki/Q16683492", "Q16683492")</f>
        <v>0</v>
      </c>
      <c r="G1896" t="s">
        <v>1214</v>
      </c>
      <c r="H1896" t="s">
        <v>5942</v>
      </c>
      <c r="I1896" t="s">
        <v>9707</v>
      </c>
      <c r="J1896" t="s">
        <v>11946</v>
      </c>
      <c r="K1896" t="s">
        <v>16348</v>
      </c>
      <c r="L1896">
        <f>HYPERLINK("https://www2.assemblee-nationale.fr/sycomore/fiche/(num_dept)/27", "27")</f>
        <v>0</v>
      </c>
      <c r="N1896">
        <f>HYPERLINK("https://www.wikidata.org/wiki/Q3270670", "Q3270670")</f>
        <v>0</v>
      </c>
      <c r="O1896" t="s">
        <v>20015</v>
      </c>
      <c r="P1896" t="s">
        <v>20423</v>
      </c>
      <c r="Q1896" t="s">
        <v>20572</v>
      </c>
      <c r="R1896" t="s">
        <v>412</v>
      </c>
      <c r="S1896">
        <v>1481</v>
      </c>
    </row>
    <row r="1897" spans="1:19">
      <c r="A1897" t="s">
        <v>22</v>
      </c>
      <c r="B1897" t="s">
        <v>148</v>
      </c>
      <c r="C1897" t="s">
        <v>154</v>
      </c>
      <c r="D1897" t="s">
        <v>283</v>
      </c>
      <c r="E1897" t="s">
        <v>412</v>
      </c>
      <c r="F1897">
        <f>HYPERLINK("https://www.wikidata.org/wiki/Q16683492", "Q16683492")</f>
        <v>0</v>
      </c>
      <c r="G1897" t="s">
        <v>1694</v>
      </c>
      <c r="H1897" t="s">
        <v>6371</v>
      </c>
      <c r="I1897" t="s">
        <v>9476</v>
      </c>
      <c r="J1897" t="s">
        <v>12398</v>
      </c>
      <c r="K1897" t="s">
        <v>16403</v>
      </c>
      <c r="L1897">
        <f>HYPERLINK("https://www2.assemblee-nationale.fr/sycomore/fiche/(num_dept)/35", "35")</f>
        <v>0</v>
      </c>
      <c r="N1897">
        <f>HYPERLINK("https://www.wikidata.org/wiki/Q3425740", "Q3425740")</f>
        <v>0</v>
      </c>
      <c r="O1897" t="s">
        <v>19969</v>
      </c>
      <c r="P1897" t="s">
        <v>20424</v>
      </c>
      <c r="Q1897" t="s">
        <v>20572</v>
      </c>
      <c r="R1897" t="s">
        <v>412</v>
      </c>
      <c r="S1897">
        <v>1481</v>
      </c>
    </row>
    <row r="1898" spans="1:19">
      <c r="A1898" t="s">
        <v>22</v>
      </c>
      <c r="B1898" t="s">
        <v>148</v>
      </c>
      <c r="C1898" t="s">
        <v>154</v>
      </c>
      <c r="D1898" t="s">
        <v>283</v>
      </c>
      <c r="E1898" t="s">
        <v>412</v>
      </c>
      <c r="F1898">
        <f>HYPERLINK("https://www.wikidata.org/wiki/Q16683492", "Q16683492")</f>
        <v>0</v>
      </c>
      <c r="G1898" t="s">
        <v>1695</v>
      </c>
      <c r="H1898" t="s">
        <v>6372</v>
      </c>
      <c r="I1898" t="s">
        <v>9891</v>
      </c>
      <c r="J1898" t="s">
        <v>12399</v>
      </c>
      <c r="K1898" t="s">
        <v>16806</v>
      </c>
      <c r="L1898">
        <f>HYPERLINK("https://www2.assemblee-nationale.fr/sycomore/fiche/(num_dept)/37", "37")</f>
        <v>0</v>
      </c>
      <c r="N1898">
        <f>HYPERLINK("https://www.wikidata.org/wiki/Q3093576", "Q3093576")</f>
        <v>0</v>
      </c>
      <c r="O1898" t="s">
        <v>19979</v>
      </c>
      <c r="P1898" t="s">
        <v>20417</v>
      </c>
      <c r="Q1898" t="s">
        <v>20572</v>
      </c>
      <c r="R1898" t="s">
        <v>412</v>
      </c>
      <c r="S1898">
        <v>1481</v>
      </c>
    </row>
    <row r="1899" spans="1:19">
      <c r="A1899" t="s">
        <v>22</v>
      </c>
      <c r="B1899" t="s">
        <v>148</v>
      </c>
      <c r="C1899" t="s">
        <v>154</v>
      </c>
      <c r="D1899" t="s">
        <v>283</v>
      </c>
      <c r="E1899" t="s">
        <v>412</v>
      </c>
      <c r="F1899">
        <f>HYPERLINK("https://www.wikidata.org/wiki/Q16683492", "Q16683492")</f>
        <v>0</v>
      </c>
      <c r="G1899" t="s">
        <v>1696</v>
      </c>
      <c r="H1899" t="s">
        <v>6373</v>
      </c>
      <c r="I1899" t="s">
        <v>9892</v>
      </c>
      <c r="J1899" t="s">
        <v>12400</v>
      </c>
      <c r="K1899" t="s">
        <v>16807</v>
      </c>
      <c r="L1899">
        <f>HYPERLINK("https://www2.assemblee-nationale.fr/sycomore/fiche/(num_dept)/48", "48")</f>
        <v>0</v>
      </c>
      <c r="N1899">
        <f>HYPERLINK("https://www.wikidata.org/wiki/Q3089557", "Q3089557")</f>
        <v>0</v>
      </c>
      <c r="O1899" t="s">
        <v>20033</v>
      </c>
      <c r="P1899" t="s">
        <v>11123</v>
      </c>
      <c r="Q1899" t="s">
        <v>20572</v>
      </c>
      <c r="R1899" t="s">
        <v>16807</v>
      </c>
      <c r="S1899">
        <v>16</v>
      </c>
    </row>
    <row r="1900" spans="1:19">
      <c r="A1900" t="s">
        <v>22</v>
      </c>
      <c r="B1900" t="s">
        <v>148</v>
      </c>
      <c r="C1900" t="s">
        <v>154</v>
      </c>
      <c r="D1900" t="s">
        <v>283</v>
      </c>
      <c r="E1900" t="s">
        <v>412</v>
      </c>
      <c r="F1900">
        <f>HYPERLINK("https://www.wikidata.org/wiki/Q16683492", "Q16683492")</f>
        <v>0</v>
      </c>
      <c r="G1900" t="s">
        <v>1341</v>
      </c>
      <c r="H1900" t="s">
        <v>6059</v>
      </c>
      <c r="I1900" t="s">
        <v>9759</v>
      </c>
      <c r="J1900" t="s">
        <v>12068</v>
      </c>
      <c r="K1900" t="s">
        <v>16470</v>
      </c>
      <c r="L1900">
        <f>HYPERLINK("https://www2.assemblee-nationale.fr/sycomore/fiche/(num_dept)/104", "104")</f>
        <v>0</v>
      </c>
      <c r="N1900">
        <f>HYPERLINK("https://www.wikidata.org/wiki/Q2960762", "Q2960762")</f>
        <v>0</v>
      </c>
      <c r="O1900" t="s">
        <v>20048</v>
      </c>
      <c r="P1900" t="s">
        <v>20417</v>
      </c>
      <c r="Q1900" t="s">
        <v>20572</v>
      </c>
      <c r="R1900" t="s">
        <v>412</v>
      </c>
      <c r="S1900">
        <v>1481</v>
      </c>
    </row>
    <row r="1901" spans="1:19">
      <c r="A1901" t="s">
        <v>22</v>
      </c>
      <c r="B1901" t="s">
        <v>148</v>
      </c>
      <c r="C1901" t="s">
        <v>154</v>
      </c>
      <c r="D1901" t="s">
        <v>283</v>
      </c>
      <c r="E1901" t="s">
        <v>412</v>
      </c>
      <c r="F1901">
        <f>HYPERLINK("https://www.wikidata.org/wiki/Q16683492", "Q16683492")</f>
        <v>0</v>
      </c>
      <c r="G1901" t="s">
        <v>1697</v>
      </c>
      <c r="H1901" t="s">
        <v>6374</v>
      </c>
      <c r="I1901" t="s">
        <v>9893</v>
      </c>
      <c r="J1901" t="s">
        <v>11854</v>
      </c>
      <c r="K1901" t="s">
        <v>16808</v>
      </c>
      <c r="L1901">
        <f>HYPERLINK("https://www2.assemblee-nationale.fr/sycomore/fiche/(num_dept)/110", "110")</f>
        <v>0</v>
      </c>
      <c r="N1901">
        <f>HYPERLINK("https://www.wikidata.org/wiki/Q3350732", "Q3350732")</f>
        <v>0</v>
      </c>
      <c r="O1901" t="s">
        <v>19998</v>
      </c>
      <c r="P1901" t="s">
        <v>20422</v>
      </c>
      <c r="Q1901" t="s">
        <v>20572</v>
      </c>
      <c r="R1901" t="s">
        <v>412</v>
      </c>
      <c r="S1901">
        <v>1481</v>
      </c>
    </row>
    <row r="1902" spans="1:19">
      <c r="A1902" t="s">
        <v>22</v>
      </c>
      <c r="B1902" t="s">
        <v>148</v>
      </c>
      <c r="C1902" t="s">
        <v>154</v>
      </c>
      <c r="D1902" t="s">
        <v>283</v>
      </c>
      <c r="E1902" t="s">
        <v>412</v>
      </c>
      <c r="F1902">
        <f>HYPERLINK("https://www.wikidata.org/wiki/Q16683492", "Q16683492")</f>
        <v>0</v>
      </c>
      <c r="G1902" t="s">
        <v>1698</v>
      </c>
      <c r="H1902" t="s">
        <v>6375</v>
      </c>
      <c r="I1902" t="s">
        <v>9506</v>
      </c>
      <c r="J1902" t="s">
        <v>12401</v>
      </c>
      <c r="K1902" t="s">
        <v>16809</v>
      </c>
      <c r="L1902">
        <f>HYPERLINK("https://www2.assemblee-nationale.fr/sycomore/fiche/(num_dept)/111", "111")</f>
        <v>0</v>
      </c>
      <c r="N1902">
        <f>HYPERLINK("https://www.wikidata.org/wiki/Q2934841", "Q2934841")</f>
        <v>0</v>
      </c>
      <c r="O1902" t="s">
        <v>20017</v>
      </c>
      <c r="P1902" t="s">
        <v>20412</v>
      </c>
      <c r="Q1902" t="s">
        <v>20572</v>
      </c>
      <c r="R1902" t="s">
        <v>412</v>
      </c>
      <c r="S1902">
        <v>1481</v>
      </c>
    </row>
    <row r="1903" spans="1:19">
      <c r="A1903" t="s">
        <v>22</v>
      </c>
      <c r="B1903" t="s">
        <v>148</v>
      </c>
      <c r="C1903" t="s">
        <v>154</v>
      </c>
      <c r="D1903" t="s">
        <v>283</v>
      </c>
      <c r="E1903" t="s">
        <v>412</v>
      </c>
      <c r="F1903">
        <f>HYPERLINK("https://www.wikidata.org/wiki/Q16683492", "Q16683492")</f>
        <v>0</v>
      </c>
      <c r="G1903" t="s">
        <v>1146</v>
      </c>
      <c r="H1903" t="s">
        <v>5881</v>
      </c>
      <c r="I1903" t="s">
        <v>5592</v>
      </c>
      <c r="J1903" t="s">
        <v>11880</v>
      </c>
      <c r="K1903" t="s">
        <v>16282</v>
      </c>
      <c r="L1903">
        <f>HYPERLINK("https://www2.assemblee-nationale.fr/sycomore/fiche/(num_dept)/116", "116")</f>
        <v>0</v>
      </c>
      <c r="N1903">
        <f>HYPERLINK("https://www.wikidata.org/wiki/Q2380639", "Q2380639")</f>
        <v>0</v>
      </c>
      <c r="O1903" t="s">
        <v>19976</v>
      </c>
      <c r="P1903" t="s">
        <v>20412</v>
      </c>
      <c r="Q1903" t="s">
        <v>20572</v>
      </c>
      <c r="R1903" t="s">
        <v>412</v>
      </c>
      <c r="S1903">
        <v>1481</v>
      </c>
    </row>
    <row r="1904" spans="1:19">
      <c r="A1904" t="s">
        <v>22</v>
      </c>
      <c r="B1904" t="s">
        <v>148</v>
      </c>
      <c r="C1904" t="s">
        <v>154</v>
      </c>
      <c r="D1904" t="s">
        <v>283</v>
      </c>
      <c r="E1904" t="s">
        <v>412</v>
      </c>
      <c r="F1904">
        <f>HYPERLINK("https://www.wikidata.org/wiki/Q16683492", "Q16683492")</f>
        <v>0</v>
      </c>
      <c r="G1904" t="s">
        <v>1109</v>
      </c>
      <c r="H1904" t="s">
        <v>5850</v>
      </c>
      <c r="I1904" t="s">
        <v>9663</v>
      </c>
      <c r="J1904" t="s">
        <v>11843</v>
      </c>
      <c r="K1904" t="s">
        <v>16245</v>
      </c>
      <c r="L1904">
        <f>HYPERLINK("https://www2.assemblee-nationale.fr/sycomore/fiche/(num_dept)/119", "119")</f>
        <v>0</v>
      </c>
      <c r="N1904">
        <f>HYPERLINK("https://www.wikidata.org/wiki/Q3102182", "Q3102182")</f>
        <v>0</v>
      </c>
      <c r="O1904" t="s">
        <v>19978</v>
      </c>
      <c r="P1904" t="s">
        <v>20422</v>
      </c>
      <c r="Q1904" t="s">
        <v>20572</v>
      </c>
      <c r="R1904" t="s">
        <v>412</v>
      </c>
      <c r="S1904">
        <v>1481</v>
      </c>
    </row>
    <row r="1905" spans="1:19">
      <c r="A1905" t="s">
        <v>22</v>
      </c>
      <c r="B1905" t="s">
        <v>148</v>
      </c>
      <c r="C1905" t="s">
        <v>154</v>
      </c>
      <c r="D1905" t="s">
        <v>283</v>
      </c>
      <c r="E1905" t="s">
        <v>412</v>
      </c>
      <c r="F1905">
        <f>HYPERLINK("https://www.wikidata.org/wiki/Q16683492", "Q16683492")</f>
        <v>0</v>
      </c>
      <c r="G1905" t="s">
        <v>1699</v>
      </c>
      <c r="H1905" t="s">
        <v>6376</v>
      </c>
      <c r="I1905" t="s">
        <v>9894</v>
      </c>
      <c r="J1905" t="s">
        <v>12402</v>
      </c>
      <c r="K1905" t="s">
        <v>16810</v>
      </c>
      <c r="L1905">
        <f>HYPERLINK("https://www2.assemblee-nationale.fr/sycomore/fiche/(num_dept)/126", "126")</f>
        <v>0</v>
      </c>
      <c r="N1905">
        <f>HYPERLINK("https://www.wikidata.org/wiki/Q3101158", "Q3101158")</f>
        <v>0</v>
      </c>
      <c r="O1905" t="s">
        <v>19980</v>
      </c>
      <c r="P1905" t="s">
        <v>20409</v>
      </c>
      <c r="Q1905" t="s">
        <v>20572</v>
      </c>
      <c r="R1905" t="s">
        <v>412</v>
      </c>
      <c r="S1905">
        <v>1481</v>
      </c>
    </row>
    <row r="1906" spans="1:19">
      <c r="A1906" t="s">
        <v>22</v>
      </c>
      <c r="B1906" t="s">
        <v>148</v>
      </c>
      <c r="C1906" t="s">
        <v>154</v>
      </c>
      <c r="D1906" t="s">
        <v>283</v>
      </c>
      <c r="E1906" t="s">
        <v>412</v>
      </c>
      <c r="F1906">
        <f>HYPERLINK("https://www.wikidata.org/wiki/Q16683492", "Q16683492")</f>
        <v>0</v>
      </c>
      <c r="G1906" t="s">
        <v>1342</v>
      </c>
      <c r="H1906" t="s">
        <v>6060</v>
      </c>
      <c r="I1906" t="s">
        <v>9760</v>
      </c>
      <c r="J1906" t="s">
        <v>12069</v>
      </c>
      <c r="K1906" t="s">
        <v>16471</v>
      </c>
      <c r="L1906">
        <f>HYPERLINK("https://www2.assemblee-nationale.fr/sycomore/fiche/(num_dept)/135", "135")</f>
        <v>0</v>
      </c>
      <c r="N1906">
        <f>HYPERLINK("https://www.wikidata.org/wiki/Q3102188", "Q3102188")</f>
        <v>0</v>
      </c>
      <c r="O1906" t="s">
        <v>19986</v>
      </c>
      <c r="P1906" t="s">
        <v>20423</v>
      </c>
      <c r="Q1906" t="s">
        <v>20572</v>
      </c>
      <c r="R1906" t="s">
        <v>412</v>
      </c>
      <c r="S1906">
        <v>1481</v>
      </c>
    </row>
    <row r="1907" spans="1:19">
      <c r="A1907" t="s">
        <v>22</v>
      </c>
      <c r="B1907" t="s">
        <v>148</v>
      </c>
      <c r="C1907" t="s">
        <v>154</v>
      </c>
      <c r="D1907" t="s">
        <v>283</v>
      </c>
      <c r="E1907" t="s">
        <v>412</v>
      </c>
      <c r="F1907">
        <f>HYPERLINK("https://www.wikidata.org/wiki/Q16683492", "Q16683492")</f>
        <v>0</v>
      </c>
      <c r="G1907" t="s">
        <v>860</v>
      </c>
      <c r="H1907" t="s">
        <v>5616</v>
      </c>
      <c r="I1907" t="s">
        <v>6585</v>
      </c>
      <c r="J1907" t="s">
        <v>11606</v>
      </c>
      <c r="K1907" t="s">
        <v>16008</v>
      </c>
      <c r="L1907">
        <f>HYPERLINK("https://www2.assemblee-nationale.fr/sycomore/fiche/(num_dept)/136", "136")</f>
        <v>0</v>
      </c>
      <c r="N1907">
        <f>HYPERLINK("https://www.wikidata.org/wiki/Q2847958", "Q2847958")</f>
        <v>0</v>
      </c>
      <c r="O1907" t="s">
        <v>20037</v>
      </c>
      <c r="P1907" t="s">
        <v>20423</v>
      </c>
      <c r="Q1907" t="s">
        <v>20572</v>
      </c>
      <c r="R1907" t="s">
        <v>412</v>
      </c>
      <c r="S1907">
        <v>1481</v>
      </c>
    </row>
    <row r="1908" spans="1:19">
      <c r="A1908" t="s">
        <v>22</v>
      </c>
      <c r="B1908" t="s">
        <v>148</v>
      </c>
      <c r="C1908" t="s">
        <v>154</v>
      </c>
      <c r="D1908" t="s">
        <v>283</v>
      </c>
      <c r="E1908" t="s">
        <v>412</v>
      </c>
      <c r="F1908">
        <f>HYPERLINK("https://www.wikidata.org/wiki/Q16683492", "Q16683492")</f>
        <v>0</v>
      </c>
      <c r="G1908" t="s">
        <v>1700</v>
      </c>
      <c r="H1908" t="s">
        <v>6377</v>
      </c>
      <c r="I1908" t="s">
        <v>9895</v>
      </c>
      <c r="J1908" t="s">
        <v>12403</v>
      </c>
      <c r="K1908" t="s">
        <v>16811</v>
      </c>
      <c r="L1908">
        <f>HYPERLINK("https://www2.assemblee-nationale.fr/sycomore/fiche/(num_dept)/149", "149")</f>
        <v>0</v>
      </c>
      <c r="N1908">
        <f>HYPERLINK("https://www.wikidata.org/wiki/Q3093593", "Q3093593")</f>
        <v>0</v>
      </c>
      <c r="O1908" t="s">
        <v>19983</v>
      </c>
      <c r="P1908" t="s">
        <v>20401</v>
      </c>
      <c r="Q1908" t="s">
        <v>20572</v>
      </c>
      <c r="R1908" t="s">
        <v>412</v>
      </c>
      <c r="S1908">
        <v>1481</v>
      </c>
    </row>
    <row r="1909" spans="1:19">
      <c r="A1909" t="s">
        <v>22</v>
      </c>
      <c r="B1909" t="s">
        <v>148</v>
      </c>
      <c r="C1909" t="s">
        <v>154</v>
      </c>
      <c r="D1909" t="s">
        <v>283</v>
      </c>
      <c r="E1909" t="s">
        <v>412</v>
      </c>
      <c r="F1909">
        <f>HYPERLINK("https://www.wikidata.org/wiki/Q16683492", "Q16683492")</f>
        <v>0</v>
      </c>
      <c r="G1909" t="s">
        <v>1343</v>
      </c>
      <c r="H1909" t="s">
        <v>6061</v>
      </c>
      <c r="I1909" t="s">
        <v>9761</v>
      </c>
      <c r="J1909" t="s">
        <v>12070</v>
      </c>
      <c r="K1909" t="s">
        <v>16472</v>
      </c>
      <c r="L1909">
        <f>HYPERLINK("https://www2.assemblee-nationale.fr/sycomore/fiche/(num_dept)/152", "152")</f>
        <v>0</v>
      </c>
      <c r="N1909">
        <f>HYPERLINK("https://www.wikidata.org/wiki/Q15973281", "Q15973281")</f>
        <v>0</v>
      </c>
      <c r="O1909" t="s">
        <v>19978</v>
      </c>
      <c r="P1909" t="s">
        <v>20422</v>
      </c>
      <c r="Q1909" t="s">
        <v>20572</v>
      </c>
      <c r="R1909" t="s">
        <v>412</v>
      </c>
      <c r="S1909">
        <v>1481</v>
      </c>
    </row>
    <row r="1910" spans="1:19">
      <c r="A1910" t="s">
        <v>22</v>
      </c>
      <c r="B1910" t="s">
        <v>148</v>
      </c>
      <c r="C1910" t="s">
        <v>154</v>
      </c>
      <c r="D1910" t="s">
        <v>283</v>
      </c>
      <c r="E1910" t="s">
        <v>412</v>
      </c>
      <c r="F1910">
        <f>HYPERLINK("https://www.wikidata.org/wiki/Q16683492", "Q16683492")</f>
        <v>0</v>
      </c>
      <c r="G1910" t="s">
        <v>1344</v>
      </c>
      <c r="H1910" t="s">
        <v>6062</v>
      </c>
      <c r="I1910" t="s">
        <v>6495</v>
      </c>
      <c r="J1910" t="s">
        <v>12071</v>
      </c>
      <c r="K1910" t="s">
        <v>16473</v>
      </c>
      <c r="L1910">
        <f>HYPERLINK("https://www2.assemblee-nationale.fr/sycomore/fiche/(num_dept)/157", "157")</f>
        <v>0</v>
      </c>
      <c r="N1910">
        <f>HYPERLINK("https://www.wikidata.org/wiki/Q3261084", "Q3261084")</f>
        <v>0</v>
      </c>
      <c r="O1910" t="s">
        <v>19991</v>
      </c>
      <c r="P1910" t="s">
        <v>20425</v>
      </c>
      <c r="Q1910" t="s">
        <v>20572</v>
      </c>
      <c r="R1910" t="s">
        <v>412</v>
      </c>
      <c r="S1910">
        <v>1481</v>
      </c>
    </row>
    <row r="1911" spans="1:19">
      <c r="A1911" t="s">
        <v>22</v>
      </c>
      <c r="B1911" t="s">
        <v>148</v>
      </c>
      <c r="C1911" t="s">
        <v>154</v>
      </c>
      <c r="D1911" t="s">
        <v>283</v>
      </c>
      <c r="E1911" t="s">
        <v>412</v>
      </c>
      <c r="F1911">
        <f>HYPERLINK("https://www.wikidata.org/wiki/Q16683492", "Q16683492")</f>
        <v>0</v>
      </c>
      <c r="G1911" t="s">
        <v>1701</v>
      </c>
      <c r="H1911" t="s">
        <v>6378</v>
      </c>
      <c r="I1911" t="s">
        <v>9896</v>
      </c>
      <c r="J1911" t="s">
        <v>12404</v>
      </c>
      <c r="K1911" t="s">
        <v>16812</v>
      </c>
      <c r="L1911">
        <f>HYPERLINK("https://www2.assemblee-nationale.fr/sycomore/fiche/(num_dept)/163", "163")</f>
        <v>0</v>
      </c>
      <c r="N1911">
        <f>HYPERLINK("https://www.wikidata.org/wiki/Q3592042", "Q3592042")</f>
        <v>0</v>
      </c>
      <c r="O1911" t="s">
        <v>20018</v>
      </c>
      <c r="P1911" t="s">
        <v>20404</v>
      </c>
      <c r="Q1911" t="s">
        <v>20572</v>
      </c>
      <c r="R1911" t="s">
        <v>412</v>
      </c>
      <c r="S1911">
        <v>1481</v>
      </c>
    </row>
    <row r="1912" spans="1:19">
      <c r="A1912" t="s">
        <v>22</v>
      </c>
      <c r="B1912" t="s">
        <v>148</v>
      </c>
      <c r="C1912" t="s">
        <v>154</v>
      </c>
      <c r="D1912" t="s">
        <v>283</v>
      </c>
      <c r="E1912" t="s">
        <v>412</v>
      </c>
      <c r="F1912">
        <f>HYPERLINK("https://www.wikidata.org/wiki/Q16683492", "Q16683492")</f>
        <v>0</v>
      </c>
      <c r="G1912" t="s">
        <v>1345</v>
      </c>
      <c r="H1912" t="s">
        <v>6063</v>
      </c>
      <c r="I1912" t="s">
        <v>5528</v>
      </c>
      <c r="J1912" t="s">
        <v>12072</v>
      </c>
      <c r="K1912" t="s">
        <v>16474</v>
      </c>
      <c r="L1912">
        <f>HYPERLINK("https://www2.assemblee-nationale.fr/sycomore/fiche/(num_dept)/185", "185")</f>
        <v>0</v>
      </c>
      <c r="N1912">
        <f>HYPERLINK("https://www.wikidata.org/wiki/Q3270682", "Q3270682")</f>
        <v>0</v>
      </c>
      <c r="O1912" t="s">
        <v>20044</v>
      </c>
      <c r="P1912" t="s">
        <v>20423</v>
      </c>
      <c r="Q1912" t="s">
        <v>20572</v>
      </c>
      <c r="R1912" t="s">
        <v>412</v>
      </c>
      <c r="S1912">
        <v>1481</v>
      </c>
    </row>
    <row r="1913" spans="1:19">
      <c r="A1913" t="s">
        <v>22</v>
      </c>
      <c r="B1913" t="s">
        <v>148</v>
      </c>
      <c r="C1913" t="s">
        <v>154</v>
      </c>
      <c r="D1913" t="s">
        <v>283</v>
      </c>
      <c r="E1913" t="s">
        <v>412</v>
      </c>
      <c r="F1913">
        <f>HYPERLINK("https://www.wikidata.org/wiki/Q16683492", "Q16683492")</f>
        <v>0</v>
      </c>
      <c r="G1913" t="s">
        <v>1702</v>
      </c>
      <c r="H1913" t="s">
        <v>5620</v>
      </c>
      <c r="I1913" t="s">
        <v>9897</v>
      </c>
      <c r="J1913" t="s">
        <v>12405</v>
      </c>
      <c r="K1913" t="s">
        <v>16813</v>
      </c>
      <c r="L1913">
        <f>HYPERLINK("https://www2.assemblee-nationale.fr/sycomore/fiche/(num_dept)/221", "221")</f>
        <v>0</v>
      </c>
      <c r="M1913">
        <f>HYPERLINK("https://www.senat.fr/senateur-3eme-republique/astier_marcel0136r3.html", "astier_marcel0136r3")</f>
        <v>0</v>
      </c>
      <c r="N1913">
        <f>HYPERLINK("https://www.wikidata.org/wiki/Q3288594", "Q3288594")</f>
        <v>0</v>
      </c>
      <c r="O1913" t="s">
        <v>19991</v>
      </c>
      <c r="P1913" t="s">
        <v>20401</v>
      </c>
      <c r="Q1913" t="s">
        <v>20572</v>
      </c>
      <c r="R1913" t="s">
        <v>412</v>
      </c>
      <c r="S1913">
        <v>1481</v>
      </c>
    </row>
    <row r="1914" spans="1:19">
      <c r="A1914" t="s">
        <v>22</v>
      </c>
      <c r="B1914" t="s">
        <v>148</v>
      </c>
      <c r="C1914" t="s">
        <v>154</v>
      </c>
      <c r="D1914" t="s">
        <v>283</v>
      </c>
      <c r="E1914" t="s">
        <v>412</v>
      </c>
      <c r="F1914">
        <f>HYPERLINK("https://www.wikidata.org/wiki/Q16683492", "Q16683492")</f>
        <v>0</v>
      </c>
      <c r="G1914" t="s">
        <v>865</v>
      </c>
      <c r="H1914" t="s">
        <v>5621</v>
      </c>
      <c r="I1914" t="s">
        <v>9563</v>
      </c>
      <c r="J1914" t="s">
        <v>11611</v>
      </c>
      <c r="K1914" t="s">
        <v>16013</v>
      </c>
      <c r="L1914">
        <f>HYPERLINK("https://www2.assemblee-nationale.fr/sycomore/fiche/(num_dept)/238", "238")</f>
        <v>0</v>
      </c>
      <c r="N1914">
        <f>HYPERLINK("https://www.wikidata.org/wiki/Q3188406", "Q3188406")</f>
        <v>0</v>
      </c>
      <c r="O1914" t="s">
        <v>19969</v>
      </c>
      <c r="P1914" t="s">
        <v>20425</v>
      </c>
      <c r="Q1914" t="s">
        <v>20572</v>
      </c>
      <c r="R1914" t="s">
        <v>412</v>
      </c>
      <c r="S1914">
        <v>1481</v>
      </c>
    </row>
    <row r="1915" spans="1:19">
      <c r="A1915" t="s">
        <v>22</v>
      </c>
      <c r="B1915" t="s">
        <v>148</v>
      </c>
      <c r="C1915" t="s">
        <v>154</v>
      </c>
      <c r="D1915" t="s">
        <v>283</v>
      </c>
      <c r="E1915" t="s">
        <v>412</v>
      </c>
      <c r="F1915">
        <f>HYPERLINK("https://www.wikidata.org/wiki/Q16683492", "Q16683492")</f>
        <v>0</v>
      </c>
      <c r="G1915" t="s">
        <v>1348</v>
      </c>
      <c r="H1915" t="s">
        <v>6066</v>
      </c>
      <c r="I1915" t="s">
        <v>9763</v>
      </c>
      <c r="J1915" t="s">
        <v>11375</v>
      </c>
      <c r="K1915" t="s">
        <v>16477</v>
      </c>
      <c r="L1915">
        <f>HYPERLINK("https://www2.assemblee-nationale.fr/sycomore/fiche/(num_dept)/253", "253")</f>
        <v>0</v>
      </c>
      <c r="N1915">
        <f>HYPERLINK("https://www.wikidata.org/wiki/Q3592397", "Q3592397")</f>
        <v>0</v>
      </c>
      <c r="O1915" t="s">
        <v>19957</v>
      </c>
      <c r="P1915" t="s">
        <v>20422</v>
      </c>
      <c r="Q1915" t="s">
        <v>20572</v>
      </c>
      <c r="R1915" t="s">
        <v>412</v>
      </c>
      <c r="S1915">
        <v>1481</v>
      </c>
    </row>
    <row r="1916" spans="1:19">
      <c r="A1916" t="s">
        <v>22</v>
      </c>
      <c r="B1916" t="s">
        <v>148</v>
      </c>
      <c r="C1916" t="s">
        <v>154</v>
      </c>
      <c r="D1916" t="s">
        <v>283</v>
      </c>
      <c r="E1916" t="s">
        <v>412</v>
      </c>
      <c r="F1916">
        <f>HYPERLINK("https://www.wikidata.org/wiki/Q16683492", "Q16683492")</f>
        <v>0</v>
      </c>
      <c r="G1916" t="s">
        <v>1703</v>
      </c>
      <c r="H1916" t="s">
        <v>6379</v>
      </c>
      <c r="I1916" t="s">
        <v>9898</v>
      </c>
      <c r="J1916" t="s">
        <v>12406</v>
      </c>
      <c r="K1916" t="s">
        <v>16814</v>
      </c>
      <c r="L1916">
        <f>HYPERLINK("https://www2.assemblee-nationale.fr/sycomore/fiche/(num_dept)/258", "258")</f>
        <v>0</v>
      </c>
      <c r="N1916">
        <f>HYPERLINK("https://www.wikidata.org/wiki/Q2958432", "Q2958432")</f>
        <v>0</v>
      </c>
      <c r="O1916" t="s">
        <v>19969</v>
      </c>
      <c r="P1916" t="s">
        <v>20424</v>
      </c>
      <c r="Q1916" t="s">
        <v>20572</v>
      </c>
      <c r="R1916" t="s">
        <v>412</v>
      </c>
      <c r="S1916">
        <v>1481</v>
      </c>
    </row>
    <row r="1917" spans="1:19">
      <c r="A1917" t="s">
        <v>22</v>
      </c>
      <c r="B1917" t="s">
        <v>148</v>
      </c>
      <c r="C1917" t="s">
        <v>154</v>
      </c>
      <c r="D1917" t="s">
        <v>283</v>
      </c>
      <c r="E1917" t="s">
        <v>412</v>
      </c>
      <c r="F1917">
        <f>HYPERLINK("https://www.wikidata.org/wiki/Q16683492", "Q16683492")</f>
        <v>0</v>
      </c>
      <c r="G1917" t="s">
        <v>1704</v>
      </c>
      <c r="H1917" t="s">
        <v>5844</v>
      </c>
      <c r="I1917" t="s">
        <v>9899</v>
      </c>
      <c r="J1917" t="s">
        <v>12407</v>
      </c>
      <c r="K1917" t="s">
        <v>16815</v>
      </c>
      <c r="L1917">
        <f>HYPERLINK("https://www2.assemblee-nationale.fr/sycomore/fiche/(num_dept)/265", "265")</f>
        <v>0</v>
      </c>
      <c r="N1917">
        <f>HYPERLINK("https://www.wikidata.org/wiki/Q15973393", "Q15973393")</f>
        <v>0</v>
      </c>
      <c r="O1917" t="s">
        <v>20026</v>
      </c>
      <c r="P1917" t="s">
        <v>20423</v>
      </c>
      <c r="Q1917" t="s">
        <v>20572</v>
      </c>
      <c r="R1917" t="s">
        <v>412</v>
      </c>
      <c r="S1917">
        <v>1481</v>
      </c>
    </row>
    <row r="1918" spans="1:19">
      <c r="A1918" t="s">
        <v>22</v>
      </c>
      <c r="B1918" t="s">
        <v>148</v>
      </c>
      <c r="C1918" t="s">
        <v>154</v>
      </c>
      <c r="D1918" t="s">
        <v>283</v>
      </c>
      <c r="E1918" t="s">
        <v>412</v>
      </c>
      <c r="F1918">
        <f>HYPERLINK("https://www.wikidata.org/wiki/Q16683492", "Q16683492")</f>
        <v>0</v>
      </c>
      <c r="G1918" t="s">
        <v>1705</v>
      </c>
      <c r="H1918" t="s">
        <v>6380</v>
      </c>
      <c r="I1918" t="s">
        <v>9900</v>
      </c>
      <c r="J1918" t="s">
        <v>12408</v>
      </c>
      <c r="K1918" t="s">
        <v>16508</v>
      </c>
      <c r="L1918">
        <f>HYPERLINK("https://www2.assemblee-nationale.fr/sycomore/fiche/(num_dept)/278", "278")</f>
        <v>0</v>
      </c>
      <c r="M1918">
        <f>HYPERLINK("https://www.senat.fr/senateur-3eme-republique/auray_charles1351r3.html", "auray_charles1351r3")</f>
        <v>0</v>
      </c>
      <c r="N1918">
        <f>HYPERLINK("https://www.wikidata.org/wiki/Q2958450", "Q2958450")</f>
        <v>0</v>
      </c>
      <c r="O1918" t="s">
        <v>19969</v>
      </c>
      <c r="P1918" t="s">
        <v>20404</v>
      </c>
      <c r="Q1918" t="s">
        <v>20572</v>
      </c>
      <c r="R1918" t="s">
        <v>404</v>
      </c>
      <c r="S1918">
        <v>973</v>
      </c>
    </row>
    <row r="1919" spans="1:19">
      <c r="A1919" t="s">
        <v>22</v>
      </c>
      <c r="B1919" t="s">
        <v>148</v>
      </c>
      <c r="C1919" t="s">
        <v>154</v>
      </c>
      <c r="D1919" t="s">
        <v>283</v>
      </c>
      <c r="E1919" t="s">
        <v>412</v>
      </c>
      <c r="F1919">
        <f>HYPERLINK("https://www.wikidata.org/wiki/Q16683492", "Q16683492")</f>
        <v>0</v>
      </c>
      <c r="G1919" t="s">
        <v>866</v>
      </c>
      <c r="H1919" t="s">
        <v>5622</v>
      </c>
      <c r="I1919" t="s">
        <v>9564</v>
      </c>
      <c r="J1919" t="s">
        <v>11612</v>
      </c>
      <c r="K1919" t="s">
        <v>16014</v>
      </c>
      <c r="L1919">
        <f>HYPERLINK("https://www2.assemblee-nationale.fr/sycomore/fiche/(num_dept)/284", "284")</f>
        <v>0</v>
      </c>
      <c r="N1919">
        <f>HYPERLINK("https://www.wikidata.org/wiki/Q3130593", "Q3130593")</f>
        <v>0</v>
      </c>
      <c r="O1919" t="s">
        <v>20016</v>
      </c>
      <c r="P1919" t="s">
        <v>20422</v>
      </c>
      <c r="Q1919" t="s">
        <v>20572</v>
      </c>
      <c r="R1919" t="s">
        <v>412</v>
      </c>
      <c r="S1919">
        <v>1481</v>
      </c>
    </row>
    <row r="1920" spans="1:19">
      <c r="A1920" t="s">
        <v>22</v>
      </c>
      <c r="B1920" t="s">
        <v>148</v>
      </c>
      <c r="C1920" t="s">
        <v>154</v>
      </c>
      <c r="D1920" t="s">
        <v>283</v>
      </c>
      <c r="E1920" t="s">
        <v>412</v>
      </c>
      <c r="F1920">
        <f>HYPERLINK("https://www.wikidata.org/wiki/Q16683492", "Q16683492")</f>
        <v>0</v>
      </c>
      <c r="G1920" t="s">
        <v>1217</v>
      </c>
      <c r="H1920" t="s">
        <v>5622</v>
      </c>
      <c r="I1920" t="s">
        <v>5812</v>
      </c>
      <c r="J1920" t="s">
        <v>11949</v>
      </c>
      <c r="K1920" t="s">
        <v>16351</v>
      </c>
      <c r="L1920">
        <f>HYPERLINK("https://www2.assemblee-nationale.fr/sycomore/fiche/(num_dept)/285", "285")</f>
        <v>0</v>
      </c>
      <c r="N1920">
        <f>HYPERLINK("https://www.wikidata.org/wiki/Q158772", "Q158772")</f>
        <v>0</v>
      </c>
      <c r="O1920" t="s">
        <v>20016</v>
      </c>
      <c r="P1920" t="s">
        <v>20404</v>
      </c>
      <c r="Q1920" t="s">
        <v>20572</v>
      </c>
      <c r="R1920" t="s">
        <v>412</v>
      </c>
      <c r="S1920">
        <v>1481</v>
      </c>
    </row>
    <row r="1921" spans="1:19">
      <c r="A1921" t="s">
        <v>22</v>
      </c>
      <c r="B1921" t="s">
        <v>148</v>
      </c>
      <c r="C1921" t="s">
        <v>154</v>
      </c>
      <c r="D1921" t="s">
        <v>283</v>
      </c>
      <c r="E1921" t="s">
        <v>412</v>
      </c>
      <c r="F1921">
        <f>HYPERLINK("https://www.wikidata.org/wiki/Q16683492", "Q16683492")</f>
        <v>0</v>
      </c>
      <c r="G1921" t="s">
        <v>1351</v>
      </c>
      <c r="H1921" t="s">
        <v>6069</v>
      </c>
      <c r="I1921" t="s">
        <v>9483</v>
      </c>
      <c r="J1921" t="s">
        <v>12077</v>
      </c>
      <c r="K1921" t="s">
        <v>16480</v>
      </c>
      <c r="L1921">
        <f>HYPERLINK("https://www2.assemblee-nationale.fr/sycomore/fiche/(num_dept)/342", "342")</f>
        <v>0</v>
      </c>
      <c r="N1921">
        <f>HYPERLINK("https://www.wikidata.org/wiki/Q3557139", "Q3557139")</f>
        <v>0</v>
      </c>
      <c r="O1921" t="s">
        <v>20011</v>
      </c>
      <c r="P1921" t="s">
        <v>20426</v>
      </c>
      <c r="Q1921" t="s">
        <v>20572</v>
      </c>
      <c r="R1921" t="s">
        <v>412</v>
      </c>
      <c r="S1921">
        <v>1481</v>
      </c>
    </row>
    <row r="1922" spans="1:19">
      <c r="A1922" t="s">
        <v>22</v>
      </c>
      <c r="B1922" t="s">
        <v>148</v>
      </c>
      <c r="C1922" t="s">
        <v>154</v>
      </c>
      <c r="D1922" t="s">
        <v>283</v>
      </c>
      <c r="E1922" t="s">
        <v>412</v>
      </c>
      <c r="F1922">
        <f>HYPERLINK("https://www.wikidata.org/wiki/Q16683492", "Q16683492")</f>
        <v>0</v>
      </c>
      <c r="G1922" t="s">
        <v>507</v>
      </c>
      <c r="H1922" t="s">
        <v>5272</v>
      </c>
      <c r="I1922" t="s">
        <v>9377</v>
      </c>
      <c r="J1922" t="s">
        <v>11259</v>
      </c>
      <c r="K1922" t="s">
        <v>15659</v>
      </c>
      <c r="L1922">
        <f>HYPERLINK("https://www2.assemblee-nationale.fr/sycomore/fiche/(num_dept)/348", "348")</f>
        <v>0</v>
      </c>
      <c r="N1922">
        <f>HYPERLINK("https://www.wikidata.org/wiki/Q15973419", "Q15973419")</f>
        <v>0</v>
      </c>
      <c r="O1922" t="s">
        <v>19967</v>
      </c>
      <c r="P1922" t="s">
        <v>20423</v>
      </c>
      <c r="Q1922" t="s">
        <v>20572</v>
      </c>
      <c r="R1922" t="s">
        <v>412</v>
      </c>
      <c r="S1922">
        <v>1481</v>
      </c>
    </row>
    <row r="1923" spans="1:19">
      <c r="A1923" t="s">
        <v>22</v>
      </c>
      <c r="B1923" t="s">
        <v>148</v>
      </c>
      <c r="C1923" t="s">
        <v>154</v>
      </c>
      <c r="D1923" t="s">
        <v>283</v>
      </c>
      <c r="E1923" t="s">
        <v>412</v>
      </c>
      <c r="F1923">
        <f>HYPERLINK("https://www.wikidata.org/wiki/Q16683492", "Q16683492")</f>
        <v>0</v>
      </c>
      <c r="G1923" t="s">
        <v>1218</v>
      </c>
      <c r="H1923" t="s">
        <v>5945</v>
      </c>
      <c r="I1923" t="s">
        <v>9709</v>
      </c>
      <c r="J1923" t="s">
        <v>11950</v>
      </c>
      <c r="K1923" t="s">
        <v>16352</v>
      </c>
      <c r="L1923">
        <f>HYPERLINK("https://www2.assemblee-nationale.fr/sycomore/fiche/(num_dept)/368", "368")</f>
        <v>0</v>
      </c>
      <c r="N1923">
        <f>HYPERLINK("https://www.wikidata.org/wiki/Q3130610", "Q3130610")</f>
        <v>0</v>
      </c>
      <c r="O1923" t="s">
        <v>20002</v>
      </c>
      <c r="P1923" t="s">
        <v>20404</v>
      </c>
      <c r="Q1923" t="s">
        <v>20572</v>
      </c>
      <c r="R1923" t="s">
        <v>412</v>
      </c>
      <c r="S1923">
        <v>1481</v>
      </c>
    </row>
    <row r="1924" spans="1:19">
      <c r="A1924" t="s">
        <v>22</v>
      </c>
      <c r="B1924" t="s">
        <v>148</v>
      </c>
      <c r="C1924" t="s">
        <v>154</v>
      </c>
      <c r="D1924" t="s">
        <v>283</v>
      </c>
      <c r="E1924" t="s">
        <v>412</v>
      </c>
      <c r="F1924">
        <f>HYPERLINK("https://www.wikidata.org/wiki/Q16683492", "Q16683492")</f>
        <v>0</v>
      </c>
      <c r="G1924" t="s">
        <v>1706</v>
      </c>
      <c r="H1924" t="s">
        <v>6381</v>
      </c>
      <c r="I1924" t="s">
        <v>9901</v>
      </c>
      <c r="J1924" t="s">
        <v>12409</v>
      </c>
      <c r="K1924" t="s">
        <v>16816</v>
      </c>
      <c r="L1924">
        <f>HYPERLINK("https://www2.assemblee-nationale.fr/sycomore/fiche/(num_dept)/375", "375")</f>
        <v>0</v>
      </c>
      <c r="N1924">
        <f>HYPERLINK("https://www.wikidata.org/wiki/Q13091114", "Q13091114")</f>
        <v>0</v>
      </c>
      <c r="O1924" t="s">
        <v>19969</v>
      </c>
      <c r="P1924" t="s">
        <v>20424</v>
      </c>
      <c r="Q1924" t="s">
        <v>20572</v>
      </c>
      <c r="R1924" t="s">
        <v>412</v>
      </c>
      <c r="S1924">
        <v>1481</v>
      </c>
    </row>
    <row r="1925" spans="1:19">
      <c r="A1925" t="s">
        <v>22</v>
      </c>
      <c r="B1925" t="s">
        <v>148</v>
      </c>
      <c r="C1925" t="s">
        <v>154</v>
      </c>
      <c r="D1925" t="s">
        <v>283</v>
      </c>
      <c r="E1925" t="s">
        <v>412</v>
      </c>
      <c r="F1925">
        <f>HYPERLINK("https://www.wikidata.org/wiki/Q16683492", "Q16683492")</f>
        <v>0</v>
      </c>
      <c r="G1925" t="s">
        <v>1707</v>
      </c>
      <c r="H1925" t="s">
        <v>6382</v>
      </c>
      <c r="I1925" t="s">
        <v>9902</v>
      </c>
      <c r="J1925" t="s">
        <v>12410</v>
      </c>
      <c r="K1925" t="s">
        <v>16817</v>
      </c>
      <c r="L1925">
        <f>HYPERLINK("https://www2.assemblee-nationale.fr/sycomore/fiche/(num_dept)/383", "383")</f>
        <v>0</v>
      </c>
      <c r="N1925">
        <f>HYPERLINK("https://www.wikidata.org/wiki/Q8307197", "Q8307197")</f>
        <v>0</v>
      </c>
      <c r="O1925" t="s">
        <v>19976</v>
      </c>
      <c r="P1925" t="s">
        <v>20424</v>
      </c>
      <c r="Q1925" t="s">
        <v>20572</v>
      </c>
      <c r="R1925" t="s">
        <v>412</v>
      </c>
      <c r="S1925">
        <v>1481</v>
      </c>
    </row>
    <row r="1926" spans="1:19">
      <c r="A1926" t="s">
        <v>22</v>
      </c>
      <c r="B1926" t="s">
        <v>148</v>
      </c>
      <c r="C1926" t="s">
        <v>154</v>
      </c>
      <c r="D1926" t="s">
        <v>283</v>
      </c>
      <c r="E1926" t="s">
        <v>412</v>
      </c>
      <c r="F1926">
        <f>HYPERLINK("https://www.wikidata.org/wiki/Q16683492", "Q16683492")</f>
        <v>0</v>
      </c>
      <c r="G1926" t="s">
        <v>1708</v>
      </c>
      <c r="H1926" t="s">
        <v>6383</v>
      </c>
      <c r="I1926" t="s">
        <v>9676</v>
      </c>
      <c r="J1926" t="s">
        <v>12411</v>
      </c>
      <c r="K1926" t="s">
        <v>16818</v>
      </c>
      <c r="L1926">
        <f>HYPERLINK("https://www2.assemblee-nationale.fr/sycomore/fiche/(num_dept)/391", "391")</f>
        <v>0</v>
      </c>
      <c r="N1926">
        <f>HYPERLINK("https://www.wikidata.org/wiki/Q8314018", "Q8314018")</f>
        <v>0</v>
      </c>
      <c r="O1926" t="s">
        <v>19956</v>
      </c>
      <c r="P1926" t="s">
        <v>20404</v>
      </c>
      <c r="Q1926" t="s">
        <v>20572</v>
      </c>
      <c r="R1926" t="s">
        <v>16818</v>
      </c>
      <c r="S1926">
        <v>932</v>
      </c>
    </row>
    <row r="1927" spans="1:19">
      <c r="A1927" t="s">
        <v>22</v>
      </c>
      <c r="B1927" t="s">
        <v>148</v>
      </c>
      <c r="C1927" t="s">
        <v>154</v>
      </c>
      <c r="D1927" t="s">
        <v>283</v>
      </c>
      <c r="E1927" t="s">
        <v>412</v>
      </c>
      <c r="F1927">
        <f>HYPERLINK("https://www.wikidata.org/wiki/Q16683492", "Q16683492")</f>
        <v>0</v>
      </c>
      <c r="G1927" t="s">
        <v>1355</v>
      </c>
      <c r="H1927" t="s">
        <v>6073</v>
      </c>
      <c r="I1927" t="s">
        <v>5528</v>
      </c>
      <c r="J1927" t="s">
        <v>12081</v>
      </c>
      <c r="K1927" t="s">
        <v>16484</v>
      </c>
      <c r="L1927">
        <f>HYPERLINK("https://www2.assemblee-nationale.fr/sycomore/fiche/(num_dept)/409", "409")</f>
        <v>0</v>
      </c>
      <c r="N1927">
        <f>HYPERLINK("https://www.wikidata.org/wiki/Q3270710", "Q3270710")</f>
        <v>0</v>
      </c>
      <c r="O1927" t="s">
        <v>20024</v>
      </c>
      <c r="P1927" t="s">
        <v>20417</v>
      </c>
      <c r="Q1927" t="s">
        <v>20572</v>
      </c>
      <c r="R1927" t="s">
        <v>412</v>
      </c>
      <c r="S1927">
        <v>1481</v>
      </c>
    </row>
    <row r="1928" spans="1:19">
      <c r="A1928" t="s">
        <v>22</v>
      </c>
      <c r="B1928" t="s">
        <v>148</v>
      </c>
      <c r="C1928" t="s">
        <v>154</v>
      </c>
      <c r="D1928" t="s">
        <v>283</v>
      </c>
      <c r="E1928" t="s">
        <v>412</v>
      </c>
      <c r="F1928">
        <f>HYPERLINK("https://www.wikidata.org/wiki/Q16683492", "Q16683492")</f>
        <v>0</v>
      </c>
      <c r="G1928" t="s">
        <v>1356</v>
      </c>
      <c r="H1928" t="s">
        <v>6074</v>
      </c>
      <c r="I1928" t="s">
        <v>9767</v>
      </c>
      <c r="J1928" t="s">
        <v>12082</v>
      </c>
      <c r="K1928" t="s">
        <v>16485</v>
      </c>
      <c r="L1928">
        <f>HYPERLINK("https://www2.assemblee-nationale.fr/sycomore/fiche/(num_dept)/414", "414")</f>
        <v>0</v>
      </c>
      <c r="N1928">
        <f>HYPERLINK("https://www.wikidata.org/wiki/Q8343781", "Q8343781")</f>
        <v>0</v>
      </c>
      <c r="O1928" t="s">
        <v>20039</v>
      </c>
      <c r="P1928" t="s">
        <v>20422</v>
      </c>
      <c r="Q1928" t="s">
        <v>20572</v>
      </c>
      <c r="R1928" t="s">
        <v>412</v>
      </c>
      <c r="S1928">
        <v>1481</v>
      </c>
    </row>
    <row r="1929" spans="1:19">
      <c r="A1929" t="s">
        <v>22</v>
      </c>
      <c r="B1929" t="s">
        <v>148</v>
      </c>
      <c r="C1929" t="s">
        <v>154</v>
      </c>
      <c r="D1929" t="s">
        <v>283</v>
      </c>
      <c r="E1929" t="s">
        <v>412</v>
      </c>
      <c r="F1929">
        <f>HYPERLINK("https://www.wikidata.org/wiki/Q16683492", "Q16683492")</f>
        <v>0</v>
      </c>
      <c r="G1929" t="s">
        <v>1357</v>
      </c>
      <c r="H1929" t="s">
        <v>6075</v>
      </c>
      <c r="I1929" t="s">
        <v>9768</v>
      </c>
      <c r="J1929" t="s">
        <v>12083</v>
      </c>
      <c r="K1929" t="s">
        <v>16486</v>
      </c>
      <c r="L1929">
        <f>HYPERLINK("https://www2.assemblee-nationale.fr/sycomore/fiche/(num_dept)/422", "422")</f>
        <v>0</v>
      </c>
      <c r="N1929">
        <f>HYPERLINK("https://www.wikidata.org/wiki/Q2958475", "Q2958475")</f>
        <v>0</v>
      </c>
      <c r="O1929" t="s">
        <v>20033</v>
      </c>
      <c r="P1929" t="s">
        <v>20404</v>
      </c>
      <c r="Q1929" t="s">
        <v>20572</v>
      </c>
      <c r="R1929" t="s">
        <v>412</v>
      </c>
      <c r="S1929">
        <v>1481</v>
      </c>
    </row>
    <row r="1930" spans="1:19">
      <c r="A1930" t="s">
        <v>22</v>
      </c>
      <c r="B1930" t="s">
        <v>148</v>
      </c>
      <c r="C1930" t="s">
        <v>154</v>
      </c>
      <c r="D1930" t="s">
        <v>283</v>
      </c>
      <c r="E1930" t="s">
        <v>412</v>
      </c>
      <c r="F1930">
        <f>HYPERLINK("https://www.wikidata.org/wiki/Q16683492", "Q16683492")</f>
        <v>0</v>
      </c>
      <c r="G1930" t="s">
        <v>1709</v>
      </c>
      <c r="H1930" t="s">
        <v>6384</v>
      </c>
      <c r="I1930" t="s">
        <v>9903</v>
      </c>
      <c r="J1930" t="s">
        <v>12412</v>
      </c>
      <c r="K1930" t="s">
        <v>16819</v>
      </c>
      <c r="L1930">
        <f>HYPERLINK("https://www2.assemblee-nationale.fr/sycomore/fiche/(num_dept)/426", "426")</f>
        <v>0</v>
      </c>
      <c r="N1930">
        <f>HYPERLINK("https://www.wikidata.org/wiki/Q15973474", "Q15973474")</f>
        <v>0</v>
      </c>
      <c r="O1930" t="s">
        <v>19969</v>
      </c>
      <c r="P1930" t="s">
        <v>20424</v>
      </c>
      <c r="Q1930" t="s">
        <v>20572</v>
      </c>
      <c r="R1930" t="s">
        <v>412</v>
      </c>
      <c r="S1930">
        <v>1481</v>
      </c>
    </row>
    <row r="1931" spans="1:19">
      <c r="A1931" t="s">
        <v>22</v>
      </c>
      <c r="B1931" t="s">
        <v>148</v>
      </c>
      <c r="C1931" t="s">
        <v>154</v>
      </c>
      <c r="D1931" t="s">
        <v>283</v>
      </c>
      <c r="E1931" t="s">
        <v>412</v>
      </c>
      <c r="F1931">
        <f>HYPERLINK("https://www.wikidata.org/wiki/Q16683492", "Q16683492")</f>
        <v>0</v>
      </c>
      <c r="G1931" t="s">
        <v>1710</v>
      </c>
      <c r="H1931" t="s">
        <v>6385</v>
      </c>
      <c r="I1931" t="s">
        <v>9904</v>
      </c>
      <c r="J1931" t="s">
        <v>12413</v>
      </c>
      <c r="K1931" t="s">
        <v>16820</v>
      </c>
      <c r="L1931">
        <f>HYPERLINK("https://www2.assemblee-nationale.fr/sycomore/fiche/(num_dept)/427", "427")</f>
        <v>0</v>
      </c>
      <c r="N1931">
        <f>HYPERLINK("https://www.wikidata.org/wiki/Q15973477", "Q15973477")</f>
        <v>0</v>
      </c>
      <c r="O1931" t="s">
        <v>20013</v>
      </c>
      <c r="P1931" t="s">
        <v>20424</v>
      </c>
      <c r="Q1931" t="s">
        <v>20572</v>
      </c>
      <c r="R1931" t="s">
        <v>412</v>
      </c>
      <c r="S1931">
        <v>1481</v>
      </c>
    </row>
    <row r="1932" spans="1:19">
      <c r="A1932" t="s">
        <v>22</v>
      </c>
      <c r="B1932" t="s">
        <v>148</v>
      </c>
      <c r="C1932" t="s">
        <v>154</v>
      </c>
      <c r="D1932" t="s">
        <v>283</v>
      </c>
      <c r="E1932" t="s">
        <v>412</v>
      </c>
      <c r="F1932">
        <f>HYPERLINK("https://www.wikidata.org/wiki/Q16683492", "Q16683492")</f>
        <v>0</v>
      </c>
      <c r="G1932" t="s">
        <v>511</v>
      </c>
      <c r="H1932" t="s">
        <v>5276</v>
      </c>
      <c r="I1932" t="s">
        <v>9375</v>
      </c>
      <c r="J1932" t="s">
        <v>11263</v>
      </c>
      <c r="K1932" t="s">
        <v>15663</v>
      </c>
      <c r="L1932">
        <f>HYPERLINK("https://www2.assemblee-nationale.fr/sycomore/fiche/(num_dept)/442", "442")</f>
        <v>0</v>
      </c>
      <c r="N1932">
        <f>HYPERLINK("https://www.wikidata.org/wiki/Q3579735", "Q3579735")</f>
        <v>0</v>
      </c>
      <c r="O1932" t="s">
        <v>7411</v>
      </c>
      <c r="P1932" t="s">
        <v>20404</v>
      </c>
      <c r="Q1932" t="s">
        <v>20572</v>
      </c>
      <c r="R1932" t="s">
        <v>412</v>
      </c>
      <c r="S1932">
        <v>1481</v>
      </c>
    </row>
    <row r="1933" spans="1:19">
      <c r="A1933" t="s">
        <v>22</v>
      </c>
      <c r="B1933" t="s">
        <v>148</v>
      </c>
      <c r="C1933" t="s">
        <v>154</v>
      </c>
      <c r="D1933" t="s">
        <v>283</v>
      </c>
      <c r="E1933" t="s">
        <v>412</v>
      </c>
      <c r="F1933">
        <f>HYPERLINK("https://www.wikidata.org/wiki/Q16683492", "Q16683492")</f>
        <v>0</v>
      </c>
      <c r="G1933" t="s">
        <v>1359</v>
      </c>
      <c r="H1933" t="s">
        <v>6076</v>
      </c>
      <c r="I1933" t="s">
        <v>9407</v>
      </c>
      <c r="J1933" t="s">
        <v>12085</v>
      </c>
      <c r="K1933" t="s">
        <v>16488</v>
      </c>
      <c r="L1933">
        <f>HYPERLINK("https://www2.assemblee-nationale.fr/sycomore/fiche/(num_dept)/448", "448")</f>
        <v>0</v>
      </c>
      <c r="N1933">
        <f>HYPERLINK("https://www.wikidata.org/wiki/Q3184567", "Q3184567")</f>
        <v>0</v>
      </c>
      <c r="O1933" t="s">
        <v>20003</v>
      </c>
      <c r="P1933" t="s">
        <v>20417</v>
      </c>
      <c r="Q1933" t="s">
        <v>20572</v>
      </c>
      <c r="R1933" t="s">
        <v>412</v>
      </c>
      <c r="S1933">
        <v>1481</v>
      </c>
    </row>
    <row r="1934" spans="1:19">
      <c r="A1934" t="s">
        <v>22</v>
      </c>
      <c r="B1934" t="s">
        <v>148</v>
      </c>
      <c r="C1934" t="s">
        <v>154</v>
      </c>
      <c r="D1934" t="s">
        <v>283</v>
      </c>
      <c r="E1934" t="s">
        <v>412</v>
      </c>
      <c r="F1934">
        <f>HYPERLINK("https://www.wikidata.org/wiki/Q16683492", "Q16683492")</f>
        <v>0</v>
      </c>
      <c r="G1934" t="s">
        <v>513</v>
      </c>
      <c r="H1934" t="s">
        <v>5278</v>
      </c>
      <c r="I1934" t="s">
        <v>9381</v>
      </c>
      <c r="J1934" t="s">
        <v>11265</v>
      </c>
      <c r="K1934" t="s">
        <v>15665</v>
      </c>
      <c r="L1934">
        <f>HYPERLINK("https://www2.assemblee-nationale.fr/sycomore/fiche/(num_dept)/462", "462")</f>
        <v>0</v>
      </c>
      <c r="N1934">
        <f>HYPERLINK("https://www.wikidata.org/wiki/Q3588329", "Q3588329")</f>
        <v>0</v>
      </c>
      <c r="O1934" t="s">
        <v>19968</v>
      </c>
      <c r="P1934" t="s">
        <v>20404</v>
      </c>
      <c r="Q1934" t="s">
        <v>20572</v>
      </c>
      <c r="R1934" t="s">
        <v>15665</v>
      </c>
      <c r="S1934">
        <v>1371</v>
      </c>
    </row>
    <row r="1935" spans="1:19">
      <c r="A1935" t="s">
        <v>22</v>
      </c>
      <c r="B1935" t="s">
        <v>148</v>
      </c>
      <c r="C1935" t="s">
        <v>154</v>
      </c>
      <c r="D1935" t="s">
        <v>283</v>
      </c>
      <c r="E1935" t="s">
        <v>412</v>
      </c>
      <c r="F1935">
        <f>HYPERLINK("https://www.wikidata.org/wiki/Q16683492", "Q16683492")</f>
        <v>0</v>
      </c>
      <c r="G1935" t="s">
        <v>1711</v>
      </c>
      <c r="H1935" t="s">
        <v>6386</v>
      </c>
      <c r="I1935" t="s">
        <v>9388</v>
      </c>
      <c r="J1935" t="s">
        <v>12414</v>
      </c>
      <c r="K1935" t="s">
        <v>16821</v>
      </c>
      <c r="L1935">
        <f>HYPERLINK("https://www2.assemblee-nationale.fr/sycomore/fiche/(num_dept)/471", "471")</f>
        <v>0</v>
      </c>
      <c r="N1935">
        <f>HYPERLINK("https://www.wikidata.org/wiki/Q2058829", "Q2058829")</f>
        <v>0</v>
      </c>
      <c r="O1935" t="s">
        <v>19966</v>
      </c>
      <c r="P1935" t="s">
        <v>20423</v>
      </c>
      <c r="Q1935" t="s">
        <v>20572</v>
      </c>
      <c r="R1935" t="s">
        <v>412</v>
      </c>
      <c r="S1935">
        <v>1481</v>
      </c>
    </row>
    <row r="1936" spans="1:19">
      <c r="A1936" t="s">
        <v>22</v>
      </c>
      <c r="B1936" t="s">
        <v>148</v>
      </c>
      <c r="C1936" t="s">
        <v>154</v>
      </c>
      <c r="D1936" t="s">
        <v>283</v>
      </c>
      <c r="E1936" t="s">
        <v>412</v>
      </c>
      <c r="F1936">
        <f>HYPERLINK("https://www.wikidata.org/wiki/Q16683492", "Q16683492")</f>
        <v>0</v>
      </c>
      <c r="G1936" t="s">
        <v>1150</v>
      </c>
      <c r="H1936" t="s">
        <v>5885</v>
      </c>
      <c r="I1936" t="s">
        <v>7790</v>
      </c>
      <c r="J1936" t="s">
        <v>11884</v>
      </c>
      <c r="K1936" t="s">
        <v>16286</v>
      </c>
      <c r="L1936">
        <f>HYPERLINK("https://www2.assemblee-nationale.fr/sycomore/fiche/(num_dept)/500", "500")</f>
        <v>0</v>
      </c>
      <c r="M1936">
        <f>HYPERLINK("https://www.senat.fr/senateur-3eme-republique/de_baudry_d_asson_armand1755r3.html", "de_baudry_d_asson_armand1755r3")</f>
        <v>0</v>
      </c>
      <c r="N1936">
        <f>HYPERLINK("https://www.wikidata.org/wiki/Q2861799", "Q2861799")</f>
        <v>0</v>
      </c>
      <c r="O1936" t="s">
        <v>19972</v>
      </c>
      <c r="P1936" t="s">
        <v>20409</v>
      </c>
      <c r="Q1936" t="s">
        <v>20572</v>
      </c>
      <c r="R1936" t="s">
        <v>19710</v>
      </c>
      <c r="S1936">
        <v>1158</v>
      </c>
    </row>
    <row r="1937" spans="1:19">
      <c r="A1937" t="s">
        <v>22</v>
      </c>
      <c r="B1937" t="s">
        <v>148</v>
      </c>
      <c r="C1937" t="s">
        <v>154</v>
      </c>
      <c r="D1937" t="s">
        <v>283</v>
      </c>
      <c r="E1937" t="s">
        <v>412</v>
      </c>
      <c r="F1937">
        <f>HYPERLINK("https://www.wikidata.org/wiki/Q16683492", "Q16683492")</f>
        <v>0</v>
      </c>
      <c r="G1937" t="s">
        <v>1363</v>
      </c>
      <c r="H1937" t="s">
        <v>6080</v>
      </c>
      <c r="I1937" t="s">
        <v>9770</v>
      </c>
      <c r="J1937" t="s">
        <v>12089</v>
      </c>
      <c r="K1937" t="s">
        <v>16492</v>
      </c>
      <c r="L1937">
        <f>HYPERLINK("https://www2.assemblee-nationale.fr/sycomore/fiche/(num_dept)/519", "519")</f>
        <v>0</v>
      </c>
      <c r="N1937">
        <f>HYPERLINK("https://www.wikidata.org/wiki/Q3142121", "Q3142121")</f>
        <v>0</v>
      </c>
      <c r="O1937" t="s">
        <v>20017</v>
      </c>
      <c r="P1937" t="s">
        <v>20422</v>
      </c>
      <c r="Q1937" t="s">
        <v>20572</v>
      </c>
      <c r="R1937" t="s">
        <v>412</v>
      </c>
      <c r="S1937">
        <v>1481</v>
      </c>
    </row>
    <row r="1938" spans="1:19">
      <c r="A1938" t="s">
        <v>22</v>
      </c>
      <c r="B1938" t="s">
        <v>148</v>
      </c>
      <c r="C1938" t="s">
        <v>154</v>
      </c>
      <c r="D1938" t="s">
        <v>283</v>
      </c>
      <c r="E1938" t="s">
        <v>412</v>
      </c>
      <c r="F1938">
        <f>HYPERLINK("https://www.wikidata.org/wiki/Q16683492", "Q16683492")</f>
        <v>0</v>
      </c>
      <c r="G1938" t="s">
        <v>1712</v>
      </c>
      <c r="H1938" t="s">
        <v>6387</v>
      </c>
      <c r="I1938" t="s">
        <v>9470</v>
      </c>
      <c r="J1938" t="s">
        <v>12339</v>
      </c>
      <c r="K1938" t="s">
        <v>16822</v>
      </c>
      <c r="L1938">
        <f>HYPERLINK("https://www2.assemblee-nationale.fr/sycomore/fiche/(num_dept)/520", "520")</f>
        <v>0</v>
      </c>
      <c r="M1938">
        <f>HYPERLINK("https://www.senat.fr/senateur-3eme-republique/bazile_gaston0835r3.html", "bazile_gaston0835r3")</f>
        <v>0</v>
      </c>
      <c r="N1938">
        <f>HYPERLINK("https://www.wikidata.org/wiki/Q1495550", "Q1495550")</f>
        <v>0</v>
      </c>
      <c r="O1938" t="s">
        <v>20014</v>
      </c>
      <c r="P1938" t="s">
        <v>20423</v>
      </c>
      <c r="Q1938" t="s">
        <v>20572</v>
      </c>
      <c r="R1938" t="s">
        <v>412</v>
      </c>
      <c r="S1938">
        <v>1481</v>
      </c>
    </row>
    <row r="1939" spans="1:19">
      <c r="A1939" t="s">
        <v>22</v>
      </c>
      <c r="B1939" t="s">
        <v>148</v>
      </c>
      <c r="C1939" t="s">
        <v>154</v>
      </c>
      <c r="D1939" t="s">
        <v>283</v>
      </c>
      <c r="E1939" t="s">
        <v>412</v>
      </c>
      <c r="F1939">
        <f>HYPERLINK("https://www.wikidata.org/wiki/Q16683492", "Q16683492")</f>
        <v>0</v>
      </c>
      <c r="G1939" t="s">
        <v>1713</v>
      </c>
      <c r="H1939" t="s">
        <v>6388</v>
      </c>
      <c r="I1939" t="s">
        <v>9905</v>
      </c>
      <c r="J1939" t="s">
        <v>12415</v>
      </c>
      <c r="K1939" t="s">
        <v>16823</v>
      </c>
      <c r="L1939">
        <f>HYPERLINK("https://www2.assemblee-nationale.fr/sycomore/fiche/(num_dept)/545", "545")</f>
        <v>0</v>
      </c>
      <c r="N1939">
        <f>HYPERLINK("https://www.wikidata.org/wiki/Q2871048", "Q2871048")</f>
        <v>0</v>
      </c>
      <c r="O1939" t="s">
        <v>20013</v>
      </c>
      <c r="P1939" t="s">
        <v>20404</v>
      </c>
      <c r="Q1939" t="s">
        <v>20572</v>
      </c>
      <c r="R1939" t="s">
        <v>412</v>
      </c>
      <c r="S1939">
        <v>1481</v>
      </c>
    </row>
    <row r="1940" spans="1:19">
      <c r="A1940" t="s">
        <v>22</v>
      </c>
      <c r="B1940" t="s">
        <v>148</v>
      </c>
      <c r="C1940" t="s">
        <v>154</v>
      </c>
      <c r="D1940" t="s">
        <v>283</v>
      </c>
      <c r="E1940" t="s">
        <v>412</v>
      </c>
      <c r="F1940">
        <f>HYPERLINK("https://www.wikidata.org/wiki/Q16683492", "Q16683492")</f>
        <v>0</v>
      </c>
      <c r="G1940" t="s">
        <v>871</v>
      </c>
      <c r="H1940" t="s">
        <v>5627</v>
      </c>
      <c r="I1940" t="s">
        <v>6584</v>
      </c>
      <c r="J1940" t="s">
        <v>11617</v>
      </c>
      <c r="K1940" t="s">
        <v>16019</v>
      </c>
      <c r="L1940">
        <f>HYPERLINK("https://www2.assemblee-nationale.fr/sycomore/fiche/(num_dept)/564", "564")</f>
        <v>0</v>
      </c>
      <c r="N1940">
        <f>HYPERLINK("https://www.wikidata.org/wiki/Q2830945", "Q2830945")</f>
        <v>0</v>
      </c>
      <c r="O1940" t="s">
        <v>20016</v>
      </c>
      <c r="P1940" t="s">
        <v>20404</v>
      </c>
      <c r="Q1940" t="s">
        <v>20572</v>
      </c>
      <c r="R1940" t="s">
        <v>412</v>
      </c>
      <c r="S1940">
        <v>1481</v>
      </c>
    </row>
    <row r="1941" spans="1:19">
      <c r="A1941" t="s">
        <v>22</v>
      </c>
      <c r="B1941" t="s">
        <v>148</v>
      </c>
      <c r="C1941" t="s">
        <v>154</v>
      </c>
      <c r="D1941" t="s">
        <v>283</v>
      </c>
      <c r="E1941" t="s">
        <v>412</v>
      </c>
      <c r="F1941">
        <f>HYPERLINK("https://www.wikidata.org/wiki/Q16683492", "Q16683492")</f>
        <v>0</v>
      </c>
      <c r="G1941" t="s">
        <v>1714</v>
      </c>
      <c r="H1941" t="s">
        <v>6389</v>
      </c>
      <c r="I1941" t="s">
        <v>9388</v>
      </c>
      <c r="J1941" t="s">
        <v>12416</v>
      </c>
      <c r="K1941" t="s">
        <v>16824</v>
      </c>
      <c r="L1941">
        <f>HYPERLINK("https://www2.assemblee-nationale.fr/sycomore/fiche/(num_dept)/585", "585")</f>
        <v>0</v>
      </c>
      <c r="N1941">
        <f>HYPERLINK("https://www.wikidata.org/wiki/Q3370603", "Q3370603")</f>
        <v>0</v>
      </c>
      <c r="O1941" t="s">
        <v>20023</v>
      </c>
      <c r="P1941" t="s">
        <v>20425</v>
      </c>
      <c r="Q1941" t="s">
        <v>20572</v>
      </c>
      <c r="R1941" t="s">
        <v>412</v>
      </c>
      <c r="S1941">
        <v>1481</v>
      </c>
    </row>
    <row r="1942" spans="1:19">
      <c r="A1942" t="s">
        <v>22</v>
      </c>
      <c r="B1942" t="s">
        <v>148</v>
      </c>
      <c r="C1942" t="s">
        <v>154</v>
      </c>
      <c r="D1942" t="s">
        <v>283</v>
      </c>
      <c r="E1942" t="s">
        <v>412</v>
      </c>
      <c r="F1942">
        <f>HYPERLINK("https://www.wikidata.org/wiki/Q16683492", "Q16683492")</f>
        <v>0</v>
      </c>
      <c r="G1942" t="s">
        <v>1715</v>
      </c>
      <c r="H1942" t="s">
        <v>6390</v>
      </c>
      <c r="I1942" t="s">
        <v>9641</v>
      </c>
      <c r="J1942" t="s">
        <v>12417</v>
      </c>
      <c r="K1942" t="s">
        <v>16825</v>
      </c>
      <c r="L1942">
        <f>HYPERLINK("https://www2.assemblee-nationale.fr/sycomore/fiche/(num_dept)/606", "606")</f>
        <v>0</v>
      </c>
      <c r="N1942">
        <f>HYPERLINK("https://www.wikidata.org/wiki/Q2934853", "Q2934853")</f>
        <v>0</v>
      </c>
      <c r="O1942" t="s">
        <v>19979</v>
      </c>
      <c r="P1942" t="s">
        <v>20404</v>
      </c>
      <c r="Q1942" t="s">
        <v>20572</v>
      </c>
      <c r="R1942" t="s">
        <v>412</v>
      </c>
      <c r="S1942">
        <v>1481</v>
      </c>
    </row>
    <row r="1943" spans="1:19">
      <c r="A1943" t="s">
        <v>22</v>
      </c>
      <c r="B1943" t="s">
        <v>148</v>
      </c>
      <c r="C1943" t="s">
        <v>154</v>
      </c>
      <c r="D1943" t="s">
        <v>283</v>
      </c>
      <c r="E1943" t="s">
        <v>412</v>
      </c>
      <c r="F1943">
        <f>HYPERLINK("https://www.wikidata.org/wiki/Q16683492", "Q16683492")</f>
        <v>0</v>
      </c>
      <c r="G1943" t="s">
        <v>520</v>
      </c>
      <c r="H1943" t="s">
        <v>5284</v>
      </c>
      <c r="I1943" t="s">
        <v>9388</v>
      </c>
      <c r="J1943" t="s">
        <v>11272</v>
      </c>
      <c r="K1943" t="s">
        <v>15672</v>
      </c>
      <c r="L1943">
        <f>HYPERLINK("https://www2.assemblee-nationale.fr/sycomore/fiche/(num_dept)/608", "608")</f>
        <v>0</v>
      </c>
      <c r="M1943">
        <f>HYPERLINK("https://www.senat.fr/senateur-3eme-republique/benazet_paul_louis0281r3.html", "benazet_paul_louis0281r3")</f>
        <v>0</v>
      </c>
      <c r="N1943">
        <f>HYPERLINK("https://www.wikidata.org/wiki/Q3370779", "Q3370779")</f>
        <v>0</v>
      </c>
      <c r="O1943" t="s">
        <v>19975</v>
      </c>
      <c r="P1943" t="s">
        <v>20425</v>
      </c>
      <c r="Q1943" t="s">
        <v>20572</v>
      </c>
      <c r="R1943" t="s">
        <v>412</v>
      </c>
      <c r="S1943">
        <v>1481</v>
      </c>
    </row>
    <row r="1944" spans="1:19">
      <c r="A1944" t="s">
        <v>22</v>
      </c>
      <c r="B1944" t="s">
        <v>148</v>
      </c>
      <c r="C1944" t="s">
        <v>154</v>
      </c>
      <c r="D1944" t="s">
        <v>283</v>
      </c>
      <c r="E1944" t="s">
        <v>412</v>
      </c>
      <c r="F1944">
        <f>HYPERLINK("https://www.wikidata.org/wiki/Q16683492", "Q16683492")</f>
        <v>0</v>
      </c>
      <c r="G1944" t="s">
        <v>521</v>
      </c>
      <c r="H1944" t="s">
        <v>5285</v>
      </c>
      <c r="I1944" t="s">
        <v>9389</v>
      </c>
      <c r="J1944" t="s">
        <v>11273</v>
      </c>
      <c r="K1944" t="s">
        <v>15673</v>
      </c>
      <c r="L1944">
        <f>HYPERLINK("https://www2.assemblee-nationale.fr/sycomore/fiche/(num_dept)/613", "613")</f>
        <v>0</v>
      </c>
      <c r="M1944">
        <f>HYPERLINK("https://www.senat.fr/senateur-3eme-republique/bender_emile1125r3.html", "bender_emile1125r3")</f>
        <v>0</v>
      </c>
      <c r="N1944">
        <f>HYPERLINK("https://www.wikidata.org/wiki/Q3588335", "Q3588335")</f>
        <v>0</v>
      </c>
      <c r="O1944" t="s">
        <v>19965</v>
      </c>
      <c r="P1944" t="s">
        <v>20423</v>
      </c>
      <c r="Q1944" t="s">
        <v>20572</v>
      </c>
      <c r="R1944" t="s">
        <v>412</v>
      </c>
      <c r="S1944">
        <v>1481</v>
      </c>
    </row>
    <row r="1945" spans="1:19">
      <c r="A1945" t="s">
        <v>22</v>
      </c>
      <c r="B1945" t="s">
        <v>148</v>
      </c>
      <c r="C1945" t="s">
        <v>154</v>
      </c>
      <c r="D1945" t="s">
        <v>283</v>
      </c>
      <c r="E1945" t="s">
        <v>412</v>
      </c>
      <c r="F1945">
        <f>HYPERLINK("https://www.wikidata.org/wiki/Q16683492", "Q16683492")</f>
        <v>0</v>
      </c>
      <c r="G1945" t="s">
        <v>522</v>
      </c>
      <c r="H1945" t="s">
        <v>5286</v>
      </c>
      <c r="I1945" t="s">
        <v>9390</v>
      </c>
      <c r="J1945" t="s">
        <v>11274</v>
      </c>
      <c r="K1945" t="s">
        <v>15674</v>
      </c>
      <c r="L1945">
        <f>HYPERLINK("https://www2.assemblee-nationale.fr/sycomore/fiche/(num_dept)/650", "650")</f>
        <v>0</v>
      </c>
      <c r="M1945">
        <f>HYPERLINK("https://www.senat.fr/senateur-3eme-republique/berard_leon1053r3.html", "berard_leon1053r3")</f>
        <v>0</v>
      </c>
      <c r="N1945">
        <f>HYPERLINK("https://www.wikidata.org/wiki/Q716823", "Q716823")</f>
        <v>0</v>
      </c>
      <c r="O1945" t="s">
        <v>19970</v>
      </c>
      <c r="P1945" t="s">
        <v>20417</v>
      </c>
      <c r="Q1945" t="s">
        <v>20572</v>
      </c>
      <c r="R1945" t="s">
        <v>21404</v>
      </c>
      <c r="S1945">
        <v>989</v>
      </c>
    </row>
    <row r="1946" spans="1:19">
      <c r="A1946" t="s">
        <v>22</v>
      </c>
      <c r="B1946" t="s">
        <v>148</v>
      </c>
      <c r="C1946" t="s">
        <v>154</v>
      </c>
      <c r="D1946" t="s">
        <v>283</v>
      </c>
      <c r="E1946" t="s">
        <v>412</v>
      </c>
      <c r="F1946">
        <f>HYPERLINK("https://www.wikidata.org/wiki/Q16683492", "Q16683492")</f>
        <v>0</v>
      </c>
      <c r="G1946" t="s">
        <v>1716</v>
      </c>
      <c r="H1946" t="s">
        <v>6391</v>
      </c>
      <c r="I1946" t="s">
        <v>9906</v>
      </c>
      <c r="J1946" t="s">
        <v>12418</v>
      </c>
      <c r="K1946" t="s">
        <v>16826</v>
      </c>
      <c r="L1946">
        <f>HYPERLINK("https://www2.assemblee-nationale.fr/sycomore/fiche/(num_dept)/673", "673")</f>
        <v>0</v>
      </c>
      <c r="N1946">
        <f>HYPERLINK("https://www.wikidata.org/wiki/Q15973659", "Q15973659")</f>
        <v>0</v>
      </c>
      <c r="O1946" t="s">
        <v>19987</v>
      </c>
      <c r="P1946" t="s">
        <v>20409</v>
      </c>
      <c r="Q1946" t="s">
        <v>20572</v>
      </c>
      <c r="R1946" t="s">
        <v>412</v>
      </c>
      <c r="S1946">
        <v>1481</v>
      </c>
    </row>
    <row r="1947" spans="1:19">
      <c r="A1947" t="s">
        <v>22</v>
      </c>
      <c r="B1947" t="s">
        <v>148</v>
      </c>
      <c r="C1947" t="s">
        <v>154</v>
      </c>
      <c r="D1947" t="s">
        <v>283</v>
      </c>
      <c r="E1947" t="s">
        <v>412</v>
      </c>
      <c r="F1947">
        <f>HYPERLINK("https://www.wikidata.org/wiki/Q16683492", "Q16683492")</f>
        <v>0</v>
      </c>
      <c r="G1947" t="s">
        <v>1717</v>
      </c>
      <c r="H1947" t="s">
        <v>6392</v>
      </c>
      <c r="I1947" t="s">
        <v>9907</v>
      </c>
      <c r="J1947" t="s">
        <v>12138</v>
      </c>
      <c r="K1947" t="s">
        <v>15815</v>
      </c>
      <c r="L1947">
        <f>HYPERLINK("https://www2.assemblee-nationale.fr/sycomore/fiche/(num_dept)/679", "679")</f>
        <v>0</v>
      </c>
      <c r="N1947">
        <f>HYPERLINK("https://www.wikidata.org/wiki/Q15973664", "Q15973664")</f>
        <v>0</v>
      </c>
      <c r="O1947" t="s">
        <v>19997</v>
      </c>
      <c r="P1947" t="s">
        <v>20423</v>
      </c>
      <c r="Q1947" t="s">
        <v>20572</v>
      </c>
      <c r="R1947" t="s">
        <v>412</v>
      </c>
      <c r="S1947">
        <v>1481</v>
      </c>
    </row>
    <row r="1948" spans="1:19">
      <c r="A1948" t="s">
        <v>22</v>
      </c>
      <c r="B1948" t="s">
        <v>148</v>
      </c>
      <c r="C1948" t="s">
        <v>154</v>
      </c>
      <c r="D1948" t="s">
        <v>283</v>
      </c>
      <c r="E1948" t="s">
        <v>412</v>
      </c>
      <c r="F1948">
        <f>HYPERLINK("https://www.wikidata.org/wiki/Q16683492", "Q16683492")</f>
        <v>0</v>
      </c>
      <c r="G1948" t="s">
        <v>1368</v>
      </c>
      <c r="H1948" t="s">
        <v>5948</v>
      </c>
      <c r="I1948" t="s">
        <v>9774</v>
      </c>
      <c r="J1948" t="s">
        <v>12094</v>
      </c>
      <c r="K1948" t="s">
        <v>16497</v>
      </c>
      <c r="L1948">
        <f>HYPERLINK("https://www2.assemblee-nationale.fr/sycomore/fiche/(num_dept)/680", "680")</f>
        <v>0</v>
      </c>
      <c r="N1948">
        <f>HYPERLINK("https://www.wikidata.org/wiki/Q15973658", "Q15973658")</f>
        <v>0</v>
      </c>
      <c r="O1948" t="s">
        <v>19968</v>
      </c>
      <c r="P1948" t="s">
        <v>20404</v>
      </c>
      <c r="Q1948" t="s">
        <v>20572</v>
      </c>
      <c r="R1948" t="s">
        <v>412</v>
      </c>
      <c r="S1948">
        <v>1481</v>
      </c>
    </row>
    <row r="1949" spans="1:19">
      <c r="A1949" t="s">
        <v>22</v>
      </c>
      <c r="B1949" t="s">
        <v>148</v>
      </c>
      <c r="C1949" t="s">
        <v>154</v>
      </c>
      <c r="D1949" t="s">
        <v>283</v>
      </c>
      <c r="E1949" t="s">
        <v>412</v>
      </c>
      <c r="F1949">
        <f>HYPERLINK("https://www.wikidata.org/wiki/Q16683492", "Q16683492")</f>
        <v>0</v>
      </c>
      <c r="G1949" t="s">
        <v>1370</v>
      </c>
      <c r="H1949" t="s">
        <v>6085</v>
      </c>
      <c r="I1949" t="s">
        <v>9776</v>
      </c>
      <c r="J1949" t="s">
        <v>12096</v>
      </c>
      <c r="K1949" t="s">
        <v>16499</v>
      </c>
      <c r="L1949">
        <f>HYPERLINK("https://www2.assemblee-nationale.fr/sycomore/fiche/(num_dept)/707", "707")</f>
        <v>0</v>
      </c>
      <c r="N1949">
        <f>HYPERLINK("https://www.wikidata.org/wiki/Q3370622", "Q3370622")</f>
        <v>0</v>
      </c>
      <c r="O1949" t="s">
        <v>20008</v>
      </c>
      <c r="P1949" t="s">
        <v>20423</v>
      </c>
      <c r="Q1949" t="s">
        <v>20572</v>
      </c>
      <c r="R1949" t="s">
        <v>412</v>
      </c>
      <c r="S1949">
        <v>1481</v>
      </c>
    </row>
    <row r="1950" spans="1:19">
      <c r="A1950" t="s">
        <v>22</v>
      </c>
      <c r="B1950" t="s">
        <v>148</v>
      </c>
      <c r="C1950" t="s">
        <v>154</v>
      </c>
      <c r="D1950" t="s">
        <v>283</v>
      </c>
      <c r="E1950" t="s">
        <v>412</v>
      </c>
      <c r="F1950">
        <f>HYPERLINK("https://www.wikidata.org/wiki/Q16683492", "Q16683492")</f>
        <v>0</v>
      </c>
      <c r="G1950" t="s">
        <v>1371</v>
      </c>
      <c r="H1950" t="s">
        <v>6086</v>
      </c>
      <c r="I1950" t="s">
        <v>9777</v>
      </c>
      <c r="J1950" t="s">
        <v>12097</v>
      </c>
      <c r="K1950" t="s">
        <v>16500</v>
      </c>
      <c r="L1950">
        <f>HYPERLINK("https://www2.assemblee-nationale.fr/sycomore/fiche/(num_dept)/712", "712")</f>
        <v>0</v>
      </c>
      <c r="N1950">
        <f>HYPERLINK("https://www.wikidata.org/wiki/Q15973637", "Q15973637")</f>
        <v>0</v>
      </c>
      <c r="O1950" t="s">
        <v>19968</v>
      </c>
      <c r="P1950" t="s">
        <v>20417</v>
      </c>
      <c r="Q1950" t="s">
        <v>20572</v>
      </c>
      <c r="R1950" t="s">
        <v>412</v>
      </c>
      <c r="S1950">
        <v>1481</v>
      </c>
    </row>
    <row r="1951" spans="1:19">
      <c r="A1951" t="s">
        <v>22</v>
      </c>
      <c r="B1951" t="s">
        <v>148</v>
      </c>
      <c r="C1951" t="s">
        <v>154</v>
      </c>
      <c r="D1951" t="s">
        <v>283</v>
      </c>
      <c r="E1951" t="s">
        <v>412</v>
      </c>
      <c r="F1951">
        <f>HYPERLINK("https://www.wikidata.org/wiki/Q16683492", "Q16683492")</f>
        <v>0</v>
      </c>
      <c r="G1951" t="s">
        <v>1091</v>
      </c>
      <c r="H1951" t="s">
        <v>5833</v>
      </c>
      <c r="I1951" t="s">
        <v>9445</v>
      </c>
      <c r="J1951" t="s">
        <v>11827</v>
      </c>
      <c r="K1951" t="s">
        <v>16227</v>
      </c>
      <c r="L1951">
        <f>HYPERLINK("https://www2.assemblee-nationale.fr/sycomore/fiche/(num_dept)/729", "729")</f>
        <v>0</v>
      </c>
      <c r="M1951">
        <f>HYPERLINK("https://www.senat.fr/senateur-3eme-republique/berthod_aime0449r3.html", "berthod_aime0449r3")</f>
        <v>0</v>
      </c>
      <c r="N1951">
        <f>HYPERLINK("https://www.wikidata.org/wiki/Q2825126", "Q2825126")</f>
        <v>0</v>
      </c>
      <c r="O1951" t="s">
        <v>20041</v>
      </c>
      <c r="P1951" t="s">
        <v>20423</v>
      </c>
      <c r="Q1951" t="s">
        <v>20572</v>
      </c>
      <c r="R1951" t="s">
        <v>412</v>
      </c>
      <c r="S1951">
        <v>1481</v>
      </c>
    </row>
    <row r="1952" spans="1:19">
      <c r="A1952" t="s">
        <v>22</v>
      </c>
      <c r="B1952" t="s">
        <v>148</v>
      </c>
      <c r="C1952" t="s">
        <v>154</v>
      </c>
      <c r="D1952" t="s">
        <v>283</v>
      </c>
      <c r="E1952" t="s">
        <v>412</v>
      </c>
      <c r="F1952">
        <f>HYPERLINK("https://www.wikidata.org/wiki/Q16683492", "Q16683492")</f>
        <v>0</v>
      </c>
      <c r="G1952" t="s">
        <v>1373</v>
      </c>
      <c r="H1952" t="s">
        <v>5949</v>
      </c>
      <c r="I1952" t="s">
        <v>9779</v>
      </c>
      <c r="J1952" t="s">
        <v>12099</v>
      </c>
      <c r="K1952" t="s">
        <v>16502</v>
      </c>
      <c r="L1952">
        <f>HYPERLINK("https://www2.assemblee-nationale.fr/sycomore/fiche/(num_dept)/735", "735")</f>
        <v>0</v>
      </c>
      <c r="N1952">
        <f>HYPERLINK("https://www.wikidata.org/wiki/Q13080806", "Q13080806")</f>
        <v>0</v>
      </c>
      <c r="O1952" t="s">
        <v>19969</v>
      </c>
      <c r="P1952" t="s">
        <v>20424</v>
      </c>
      <c r="Q1952" t="s">
        <v>20572</v>
      </c>
      <c r="R1952" t="s">
        <v>412</v>
      </c>
      <c r="S1952">
        <v>1481</v>
      </c>
    </row>
    <row r="1953" spans="1:19">
      <c r="A1953" t="s">
        <v>22</v>
      </c>
      <c r="B1953" t="s">
        <v>148</v>
      </c>
      <c r="C1953" t="s">
        <v>154</v>
      </c>
      <c r="D1953" t="s">
        <v>283</v>
      </c>
      <c r="E1953" t="s">
        <v>412</v>
      </c>
      <c r="F1953">
        <f>HYPERLINK("https://www.wikidata.org/wiki/Q16683492", "Q16683492")</f>
        <v>0</v>
      </c>
      <c r="G1953" t="s">
        <v>1374</v>
      </c>
      <c r="H1953" t="s">
        <v>5630</v>
      </c>
      <c r="I1953" t="s">
        <v>9780</v>
      </c>
      <c r="J1953" t="s">
        <v>12100</v>
      </c>
      <c r="K1953" t="s">
        <v>16503</v>
      </c>
      <c r="L1953">
        <f>HYPERLINK("https://www2.assemblee-nationale.fr/sycomore/fiche/(num_dept)/741", "741")</f>
        <v>0</v>
      </c>
      <c r="N1953">
        <f>HYPERLINK("https://www.wikidata.org/wiki/Q13080824", "Q13080824")</f>
        <v>0</v>
      </c>
      <c r="O1953" t="s">
        <v>19969</v>
      </c>
      <c r="P1953" t="s">
        <v>20422</v>
      </c>
      <c r="Q1953" t="s">
        <v>20572</v>
      </c>
      <c r="R1953" t="s">
        <v>412</v>
      </c>
      <c r="S1953">
        <v>1481</v>
      </c>
    </row>
    <row r="1954" spans="1:19">
      <c r="A1954" t="s">
        <v>22</v>
      </c>
      <c r="B1954" t="s">
        <v>148</v>
      </c>
      <c r="C1954" t="s">
        <v>154</v>
      </c>
      <c r="D1954" t="s">
        <v>283</v>
      </c>
      <c r="E1954" t="s">
        <v>412</v>
      </c>
      <c r="F1954">
        <f>HYPERLINK("https://www.wikidata.org/wiki/Q16683492", "Q16683492")</f>
        <v>0</v>
      </c>
      <c r="G1954" t="s">
        <v>1224</v>
      </c>
      <c r="H1954" t="s">
        <v>5630</v>
      </c>
      <c r="I1954" t="s">
        <v>9712</v>
      </c>
      <c r="J1954" t="s">
        <v>11956</v>
      </c>
      <c r="K1954" t="s">
        <v>16358</v>
      </c>
      <c r="L1954">
        <f>HYPERLINK("https://www2.assemblee-nationale.fr/sycomore/fiche/(num_dept)/748", "748")</f>
        <v>0</v>
      </c>
      <c r="M1954">
        <f>HYPERLINK("https://www.senat.fr/senateur-3eme-republique/bertrand_williams0414r3.html", "bertrand_williams0414r3")</f>
        <v>0</v>
      </c>
      <c r="N1954">
        <f>HYPERLINK("https://www.wikidata.org/wiki/Q3568432", "Q3568432")</f>
        <v>0</v>
      </c>
      <c r="O1954" t="s">
        <v>20037</v>
      </c>
      <c r="P1954" t="s">
        <v>20423</v>
      </c>
      <c r="Q1954" t="s">
        <v>20572</v>
      </c>
      <c r="R1954" t="s">
        <v>412</v>
      </c>
      <c r="S1954">
        <v>1481</v>
      </c>
    </row>
    <row r="1955" spans="1:19">
      <c r="A1955" t="s">
        <v>22</v>
      </c>
      <c r="B1955" t="s">
        <v>148</v>
      </c>
      <c r="C1955" t="s">
        <v>154</v>
      </c>
      <c r="D1955" t="s">
        <v>283</v>
      </c>
      <c r="E1955" t="s">
        <v>412</v>
      </c>
      <c r="F1955">
        <f>HYPERLINK("https://www.wikidata.org/wiki/Q16683492", "Q16683492")</f>
        <v>0</v>
      </c>
      <c r="G1955" t="s">
        <v>526</v>
      </c>
      <c r="H1955" t="s">
        <v>5290</v>
      </c>
      <c r="I1955" t="s">
        <v>5528</v>
      </c>
      <c r="J1955" t="s">
        <v>11278</v>
      </c>
      <c r="K1955" t="s">
        <v>15678</v>
      </c>
      <c r="L1955">
        <f>HYPERLINK("https://www2.assemblee-nationale.fr/sycomore/fiche/(num_dept)/768", "768")</f>
        <v>0</v>
      </c>
      <c r="M1955">
        <f>HYPERLINK("https://www.senat.fr/senateur-3eme-republique/betoulle_leon1788r3.html", "betoulle_leon1788r3")</f>
        <v>0</v>
      </c>
      <c r="N1955">
        <f>HYPERLINK("https://www.wikidata.org/wiki/Q3270743", "Q3270743")</f>
        <v>0</v>
      </c>
      <c r="O1955" t="s">
        <v>19977</v>
      </c>
      <c r="P1955" t="s">
        <v>20404</v>
      </c>
      <c r="Q1955" t="s">
        <v>20572</v>
      </c>
      <c r="R1955" t="s">
        <v>21405</v>
      </c>
      <c r="S1955">
        <v>227</v>
      </c>
    </row>
    <row r="1956" spans="1:19">
      <c r="A1956" t="s">
        <v>22</v>
      </c>
      <c r="B1956" t="s">
        <v>148</v>
      </c>
      <c r="C1956" t="s">
        <v>154</v>
      </c>
      <c r="D1956" t="s">
        <v>283</v>
      </c>
      <c r="E1956" t="s">
        <v>412</v>
      </c>
      <c r="F1956">
        <f>HYPERLINK("https://www.wikidata.org/wiki/Q16683492", "Q16683492")</f>
        <v>0</v>
      </c>
      <c r="G1956" t="s">
        <v>1718</v>
      </c>
      <c r="H1956" t="s">
        <v>6393</v>
      </c>
      <c r="I1956" t="s">
        <v>9908</v>
      </c>
      <c r="J1956" t="s">
        <v>12419</v>
      </c>
      <c r="K1956" t="s">
        <v>16827</v>
      </c>
      <c r="L1956">
        <f>HYPERLINK("https://www2.assemblee-nationale.fr/sycomore/fiche/(num_dept)/782", "782")</f>
        <v>0</v>
      </c>
      <c r="N1956">
        <f>HYPERLINK("https://www.wikidata.org/wiki/Q3302423", "Q3302423")</f>
        <v>0</v>
      </c>
      <c r="O1956" t="s">
        <v>20010</v>
      </c>
      <c r="P1956" t="s">
        <v>20425</v>
      </c>
      <c r="Q1956" t="s">
        <v>20572</v>
      </c>
      <c r="R1956" t="s">
        <v>412</v>
      </c>
      <c r="S1956">
        <v>1481</v>
      </c>
    </row>
    <row r="1957" spans="1:19">
      <c r="A1957" t="s">
        <v>22</v>
      </c>
      <c r="B1957" t="s">
        <v>148</v>
      </c>
      <c r="C1957" t="s">
        <v>154</v>
      </c>
      <c r="D1957" t="s">
        <v>283</v>
      </c>
      <c r="E1957" t="s">
        <v>412</v>
      </c>
      <c r="F1957">
        <f>HYPERLINK("https://www.wikidata.org/wiki/Q16683492", "Q16683492")</f>
        <v>0</v>
      </c>
      <c r="G1957" t="s">
        <v>528</v>
      </c>
      <c r="H1957" t="s">
        <v>5292</v>
      </c>
      <c r="I1957" t="s">
        <v>9388</v>
      </c>
      <c r="J1957" t="s">
        <v>11280</v>
      </c>
      <c r="K1957" t="s">
        <v>15680</v>
      </c>
      <c r="L1957">
        <f>HYPERLINK("https://www2.assemblee-nationale.fr/sycomore/fiche/(num_dept)/799", "799")</f>
        <v>0</v>
      </c>
      <c r="M1957">
        <f>HYPERLINK("https://www.senat.fr/senateur-3eme-republique/bignon_paul1577r3.html", "bignon_paul1577r3")</f>
        <v>0</v>
      </c>
      <c r="N1957">
        <f>HYPERLINK("https://www.wikidata.org/wiki/Q3370646", "Q3370646")</f>
        <v>0</v>
      </c>
      <c r="O1957" t="s">
        <v>19978</v>
      </c>
      <c r="P1957" t="s">
        <v>20412</v>
      </c>
      <c r="Q1957" t="s">
        <v>20572</v>
      </c>
      <c r="R1957" t="s">
        <v>21406</v>
      </c>
      <c r="S1957">
        <v>991</v>
      </c>
    </row>
    <row r="1958" spans="1:19">
      <c r="A1958" t="s">
        <v>22</v>
      </c>
      <c r="B1958" t="s">
        <v>148</v>
      </c>
      <c r="C1958" t="s">
        <v>154</v>
      </c>
      <c r="D1958" t="s">
        <v>283</v>
      </c>
      <c r="E1958" t="s">
        <v>412</v>
      </c>
      <c r="F1958">
        <f>HYPERLINK("https://www.wikidata.org/wiki/Q16683492", "Q16683492")</f>
        <v>0</v>
      </c>
      <c r="G1958" t="s">
        <v>1377</v>
      </c>
      <c r="H1958" t="s">
        <v>6089</v>
      </c>
      <c r="I1958" t="s">
        <v>9506</v>
      </c>
      <c r="J1958" t="s">
        <v>12103</v>
      </c>
      <c r="K1958" t="s">
        <v>16505</v>
      </c>
      <c r="L1958">
        <f>HYPERLINK("https://www2.assemblee-nationale.fr/sycomore/fiche/(num_dept)/802", "802")</f>
        <v>0</v>
      </c>
      <c r="N1958">
        <f>HYPERLINK("https://www.wikidata.org/wiki/Q2934858", "Q2934858")</f>
        <v>0</v>
      </c>
      <c r="O1958" t="s">
        <v>20049</v>
      </c>
      <c r="P1958" t="s">
        <v>20426</v>
      </c>
      <c r="Q1958" t="s">
        <v>20572</v>
      </c>
      <c r="R1958" t="s">
        <v>412</v>
      </c>
      <c r="S1958">
        <v>1481</v>
      </c>
    </row>
    <row r="1959" spans="1:19">
      <c r="A1959" t="s">
        <v>22</v>
      </c>
      <c r="B1959" t="s">
        <v>148</v>
      </c>
      <c r="C1959" t="s">
        <v>154</v>
      </c>
      <c r="D1959" t="s">
        <v>283</v>
      </c>
      <c r="E1959" t="s">
        <v>412</v>
      </c>
      <c r="F1959">
        <f>HYPERLINK("https://www.wikidata.org/wiki/Q16683492", "Q16683492")</f>
        <v>0</v>
      </c>
      <c r="G1959" t="s">
        <v>530</v>
      </c>
      <c r="H1959" t="s">
        <v>5294</v>
      </c>
      <c r="I1959" t="s">
        <v>6166</v>
      </c>
      <c r="J1959" t="s">
        <v>11282</v>
      </c>
      <c r="K1959" t="s">
        <v>15682</v>
      </c>
      <c r="L1959">
        <f>HYPERLINK("https://www2.assemblee-nationale.fr/sycomore/fiche/(num_dept)/818", "818")</f>
        <v>0</v>
      </c>
      <c r="M1959">
        <f>HYPERLINK("https://www.senat.fr/senateur-3eme-republique/binet_francois0648r3.html", "binet_francois0648r3")</f>
        <v>0</v>
      </c>
      <c r="N1959">
        <f>HYPERLINK("https://www.wikidata.org/wiki/Q15973693", "Q15973693")</f>
        <v>0</v>
      </c>
      <c r="O1959" t="s">
        <v>19979</v>
      </c>
      <c r="P1959" t="s">
        <v>20423</v>
      </c>
      <c r="Q1959" t="s">
        <v>20572</v>
      </c>
      <c r="R1959" t="s">
        <v>412</v>
      </c>
      <c r="S1959">
        <v>1481</v>
      </c>
    </row>
    <row r="1960" spans="1:19">
      <c r="A1960" t="s">
        <v>22</v>
      </c>
      <c r="B1960" t="s">
        <v>148</v>
      </c>
      <c r="C1960" t="s">
        <v>154</v>
      </c>
      <c r="D1960" t="s">
        <v>283</v>
      </c>
      <c r="E1960" t="s">
        <v>412</v>
      </c>
      <c r="F1960">
        <f>HYPERLINK("https://www.wikidata.org/wiki/Q16683492", "Q16683492")</f>
        <v>0</v>
      </c>
      <c r="G1960" t="s">
        <v>1719</v>
      </c>
      <c r="H1960" t="s">
        <v>6394</v>
      </c>
      <c r="I1960" t="s">
        <v>9909</v>
      </c>
      <c r="J1960" t="s">
        <v>12420</v>
      </c>
      <c r="K1960" t="s">
        <v>16828</v>
      </c>
      <c r="L1960">
        <f>HYPERLINK("https://www2.assemblee-nationale.fr/sycomore/fiche/(num_dept)/822", "822")</f>
        <v>0</v>
      </c>
      <c r="N1960">
        <f>HYPERLINK("https://www.wikidata.org/wiki/Q2845567", "Q2845567")</f>
        <v>0</v>
      </c>
      <c r="O1960" t="s">
        <v>19972</v>
      </c>
      <c r="P1960" t="s">
        <v>20409</v>
      </c>
      <c r="Q1960" t="s">
        <v>20572</v>
      </c>
      <c r="R1960" t="s">
        <v>412</v>
      </c>
      <c r="S1960">
        <v>1481</v>
      </c>
    </row>
    <row r="1961" spans="1:19">
      <c r="A1961" t="s">
        <v>22</v>
      </c>
      <c r="B1961" t="s">
        <v>148</v>
      </c>
      <c r="C1961" t="s">
        <v>154</v>
      </c>
      <c r="D1961" t="s">
        <v>283</v>
      </c>
      <c r="E1961" t="s">
        <v>412</v>
      </c>
      <c r="F1961">
        <f>HYPERLINK("https://www.wikidata.org/wiki/Q16683492", "Q16683492")</f>
        <v>0</v>
      </c>
      <c r="G1961" t="s">
        <v>1720</v>
      </c>
      <c r="H1961" t="s">
        <v>6395</v>
      </c>
      <c r="I1961" t="s">
        <v>9442</v>
      </c>
      <c r="J1961" t="s">
        <v>12421</v>
      </c>
      <c r="K1961" t="s">
        <v>16829</v>
      </c>
      <c r="L1961">
        <f>HYPERLINK("https://www2.assemblee-nationale.fr/sycomore/fiche/(num_dept)/833", "833")</f>
        <v>0</v>
      </c>
      <c r="N1961">
        <f>HYPERLINK("https://www.wikidata.org/wiki/Q15973736", "Q15973736")</f>
        <v>0</v>
      </c>
      <c r="O1961" t="s">
        <v>19976</v>
      </c>
      <c r="P1961" t="s">
        <v>20424</v>
      </c>
      <c r="Q1961" t="s">
        <v>20572</v>
      </c>
      <c r="R1961" t="s">
        <v>412</v>
      </c>
      <c r="S1961">
        <v>1481</v>
      </c>
    </row>
    <row r="1962" spans="1:19">
      <c r="A1962" t="s">
        <v>22</v>
      </c>
      <c r="B1962" t="s">
        <v>148</v>
      </c>
      <c r="C1962" t="s">
        <v>154</v>
      </c>
      <c r="D1962" t="s">
        <v>283</v>
      </c>
      <c r="E1962" t="s">
        <v>412</v>
      </c>
      <c r="F1962">
        <f>HYPERLINK("https://www.wikidata.org/wiki/Q16683492", "Q16683492")</f>
        <v>0</v>
      </c>
      <c r="G1962" t="s">
        <v>1721</v>
      </c>
      <c r="H1962" t="s">
        <v>6396</v>
      </c>
      <c r="I1962" t="s">
        <v>9910</v>
      </c>
      <c r="J1962" t="s">
        <v>12422</v>
      </c>
      <c r="K1962" t="s">
        <v>16830</v>
      </c>
      <c r="L1962">
        <f>HYPERLINK("https://www2.assemblee-nationale.fr/sycomore/fiche/(num_dept)/839", "839")</f>
        <v>0</v>
      </c>
      <c r="N1962">
        <f>HYPERLINK("https://www.wikidata.org/wiki/Q15973757", "Q15973757")</f>
        <v>0</v>
      </c>
      <c r="O1962" t="s">
        <v>19980</v>
      </c>
      <c r="P1962" t="s">
        <v>20409</v>
      </c>
      <c r="Q1962" t="s">
        <v>20572</v>
      </c>
      <c r="R1962" t="s">
        <v>412</v>
      </c>
      <c r="S1962">
        <v>1481</v>
      </c>
    </row>
    <row r="1963" spans="1:19">
      <c r="A1963" t="s">
        <v>22</v>
      </c>
      <c r="B1963" t="s">
        <v>148</v>
      </c>
      <c r="C1963" t="s">
        <v>154</v>
      </c>
      <c r="D1963" t="s">
        <v>283</v>
      </c>
      <c r="E1963" t="s">
        <v>412</v>
      </c>
      <c r="F1963">
        <f>HYPERLINK("https://www.wikidata.org/wiki/Q16683492", "Q16683492")</f>
        <v>0</v>
      </c>
      <c r="G1963" t="s">
        <v>1225</v>
      </c>
      <c r="H1963" t="s">
        <v>5950</v>
      </c>
      <c r="I1963" t="s">
        <v>9506</v>
      </c>
      <c r="J1963" t="s">
        <v>11957</v>
      </c>
      <c r="K1963" t="s">
        <v>16359</v>
      </c>
      <c r="L1963">
        <f>HYPERLINK("https://www2.assemblee-nationale.fr/sycomore/fiche/(num_dept)/842", "842")</f>
        <v>0</v>
      </c>
      <c r="N1963">
        <f>HYPERLINK("https://www.wikidata.org/wiki/Q2934871", "Q2934871")</f>
        <v>0</v>
      </c>
      <c r="O1963" t="s">
        <v>20009</v>
      </c>
      <c r="P1963" t="s">
        <v>20422</v>
      </c>
      <c r="Q1963" t="s">
        <v>20572</v>
      </c>
      <c r="R1963" t="s">
        <v>412</v>
      </c>
      <c r="S1963">
        <v>1481</v>
      </c>
    </row>
    <row r="1964" spans="1:19">
      <c r="A1964" t="s">
        <v>22</v>
      </c>
      <c r="B1964" t="s">
        <v>148</v>
      </c>
      <c r="C1964" t="s">
        <v>154</v>
      </c>
      <c r="D1964" t="s">
        <v>283</v>
      </c>
      <c r="E1964" t="s">
        <v>412</v>
      </c>
      <c r="F1964">
        <f>HYPERLINK("https://www.wikidata.org/wiki/Q16683492", "Q16683492")</f>
        <v>0</v>
      </c>
      <c r="G1964" t="s">
        <v>1378</v>
      </c>
      <c r="H1964" t="s">
        <v>5296</v>
      </c>
      <c r="I1964" t="s">
        <v>9401</v>
      </c>
      <c r="J1964" t="s">
        <v>12104</v>
      </c>
      <c r="K1964" t="s">
        <v>16506</v>
      </c>
      <c r="L1964">
        <f>HYPERLINK("https://www2.assemblee-nationale.fr/sycomore/fiche/(num_dept)/844", "844")</f>
        <v>0</v>
      </c>
      <c r="N1964">
        <f>HYPERLINK("https://www.wikidata.org/wiki/Q105906895", "Q105906895")</f>
        <v>0</v>
      </c>
      <c r="O1964" t="s">
        <v>19986</v>
      </c>
      <c r="P1964" t="s">
        <v>20423</v>
      </c>
      <c r="Q1964" t="s">
        <v>20572</v>
      </c>
      <c r="R1964" t="s">
        <v>412</v>
      </c>
      <c r="S1964">
        <v>1481</v>
      </c>
    </row>
    <row r="1965" spans="1:19">
      <c r="A1965" t="s">
        <v>22</v>
      </c>
      <c r="B1965" t="s">
        <v>148</v>
      </c>
      <c r="C1965" t="s">
        <v>154</v>
      </c>
      <c r="D1965" t="s">
        <v>283</v>
      </c>
      <c r="E1965" t="s">
        <v>412</v>
      </c>
      <c r="F1965">
        <f>HYPERLINK("https://www.wikidata.org/wiki/Q16683492", "Q16683492")</f>
        <v>0</v>
      </c>
      <c r="G1965" t="s">
        <v>1380</v>
      </c>
      <c r="H1965" t="s">
        <v>6091</v>
      </c>
      <c r="I1965" t="s">
        <v>5528</v>
      </c>
      <c r="J1965" t="s">
        <v>12106</v>
      </c>
      <c r="K1965" t="s">
        <v>16507</v>
      </c>
      <c r="L1965">
        <f>HYPERLINK("https://www2.assemblee-nationale.fr/sycomore/fiche/(num_dept)/880", "880")</f>
        <v>0</v>
      </c>
      <c r="N1965">
        <f>HYPERLINK("https://www.wikidata.org/wiki/Q18434", "Q18434")</f>
        <v>0</v>
      </c>
      <c r="O1965" t="s">
        <v>19969</v>
      </c>
      <c r="P1965" t="s">
        <v>20404</v>
      </c>
      <c r="Q1965" t="s">
        <v>20572</v>
      </c>
      <c r="R1965" t="s">
        <v>412</v>
      </c>
      <c r="S1965">
        <v>1481</v>
      </c>
    </row>
    <row r="1966" spans="1:19">
      <c r="A1966" t="s">
        <v>22</v>
      </c>
      <c r="B1966" t="s">
        <v>148</v>
      </c>
      <c r="C1966" t="s">
        <v>154</v>
      </c>
      <c r="D1966" t="s">
        <v>283</v>
      </c>
      <c r="E1966" t="s">
        <v>412</v>
      </c>
      <c r="F1966">
        <f>HYPERLINK("https://www.wikidata.org/wiki/Q16683492", "Q16683492")</f>
        <v>0</v>
      </c>
      <c r="G1966" t="s">
        <v>1722</v>
      </c>
      <c r="H1966" t="s">
        <v>6397</v>
      </c>
      <c r="I1966" t="s">
        <v>9911</v>
      </c>
      <c r="J1966" t="s">
        <v>12423</v>
      </c>
      <c r="K1966" t="s">
        <v>16831</v>
      </c>
      <c r="L1966">
        <f>HYPERLINK("https://www2.assemblee-nationale.fr/sycomore/fiche/(num_dept)/884", "884")</f>
        <v>0</v>
      </c>
      <c r="N1966">
        <f>HYPERLINK("https://www.wikidata.org/wiki/Q15973751", "Q15973751")</f>
        <v>0</v>
      </c>
      <c r="O1966" t="s">
        <v>19986</v>
      </c>
      <c r="P1966" t="s">
        <v>20423</v>
      </c>
      <c r="Q1966" t="s">
        <v>20572</v>
      </c>
      <c r="R1966" t="s">
        <v>412</v>
      </c>
      <c r="S1966">
        <v>1481</v>
      </c>
    </row>
    <row r="1967" spans="1:19">
      <c r="A1967" t="s">
        <v>22</v>
      </c>
      <c r="B1967" t="s">
        <v>148</v>
      </c>
      <c r="C1967" t="s">
        <v>154</v>
      </c>
      <c r="D1967" t="s">
        <v>283</v>
      </c>
      <c r="E1967" t="s">
        <v>412</v>
      </c>
      <c r="F1967">
        <f>HYPERLINK("https://www.wikidata.org/wiki/Q16683492", "Q16683492")</f>
        <v>0</v>
      </c>
      <c r="G1967" t="s">
        <v>536</v>
      </c>
      <c r="H1967" t="s">
        <v>5300</v>
      </c>
      <c r="I1967" t="s">
        <v>9389</v>
      </c>
      <c r="J1967" t="s">
        <v>11288</v>
      </c>
      <c r="K1967" t="s">
        <v>15688</v>
      </c>
      <c r="L1967">
        <f>HYPERLINK("https://www2.assemblee-nationale.fr/sycomore/fiche/(num_dept)/909", "909")</f>
        <v>0</v>
      </c>
      <c r="N1967">
        <f>HYPERLINK("https://www.wikidata.org/wiki/Q3588362", "Q3588362")</f>
        <v>0</v>
      </c>
      <c r="O1967" t="s">
        <v>19985</v>
      </c>
      <c r="P1967" t="s">
        <v>20412</v>
      </c>
      <c r="Q1967" t="s">
        <v>20572</v>
      </c>
      <c r="R1967" t="s">
        <v>412</v>
      </c>
      <c r="S1967">
        <v>1481</v>
      </c>
    </row>
    <row r="1968" spans="1:19">
      <c r="A1968" t="s">
        <v>22</v>
      </c>
      <c r="B1968" t="s">
        <v>148</v>
      </c>
      <c r="C1968" t="s">
        <v>154</v>
      </c>
      <c r="D1968" t="s">
        <v>283</v>
      </c>
      <c r="E1968" t="s">
        <v>412</v>
      </c>
      <c r="F1968">
        <f>HYPERLINK("https://www.wikidata.org/wiki/Q16683492", "Q16683492")</f>
        <v>0</v>
      </c>
      <c r="G1968" t="s">
        <v>1227</v>
      </c>
      <c r="H1968" t="s">
        <v>5952</v>
      </c>
      <c r="I1968" t="s">
        <v>7642</v>
      </c>
      <c r="J1968" t="s">
        <v>11959</v>
      </c>
      <c r="K1968" t="s">
        <v>16361</v>
      </c>
      <c r="L1968">
        <f>HYPERLINK("https://www2.assemblee-nationale.fr/sycomore/fiche/(num_dept)/916", "916")</f>
        <v>0</v>
      </c>
      <c r="N1968">
        <f>HYPERLINK("https://www.wikidata.org/wiki/Q3300454", "Q3300454")</f>
        <v>0</v>
      </c>
      <c r="O1968" t="s">
        <v>19969</v>
      </c>
      <c r="P1968" t="s">
        <v>20417</v>
      </c>
      <c r="Q1968" t="s">
        <v>20572</v>
      </c>
      <c r="R1968" t="s">
        <v>412</v>
      </c>
      <c r="S1968">
        <v>1481</v>
      </c>
    </row>
    <row r="1969" spans="1:19">
      <c r="A1969" t="s">
        <v>22</v>
      </c>
      <c r="B1969" t="s">
        <v>148</v>
      </c>
      <c r="C1969" t="s">
        <v>154</v>
      </c>
      <c r="D1969" t="s">
        <v>283</v>
      </c>
      <c r="E1969" t="s">
        <v>412</v>
      </c>
      <c r="F1969">
        <f>HYPERLINK("https://www.wikidata.org/wiki/Q16683492", "Q16683492")</f>
        <v>0</v>
      </c>
      <c r="G1969" t="s">
        <v>1723</v>
      </c>
      <c r="H1969" t="s">
        <v>6398</v>
      </c>
      <c r="I1969" t="s">
        <v>9748</v>
      </c>
      <c r="J1969" t="s">
        <v>12424</v>
      </c>
      <c r="K1969" t="s">
        <v>16832</v>
      </c>
      <c r="L1969">
        <f>HYPERLINK("https://www2.assemblee-nationale.fr/sycomore/fiche/(num_dept)/931", "931")</f>
        <v>0</v>
      </c>
      <c r="N1969">
        <f>HYPERLINK("https://www.wikidata.org/wiki/Q15973807", "Q15973807")</f>
        <v>0</v>
      </c>
      <c r="O1969" t="s">
        <v>19994</v>
      </c>
      <c r="P1969" t="s">
        <v>20404</v>
      </c>
      <c r="Q1969" t="s">
        <v>20572</v>
      </c>
      <c r="R1969" t="s">
        <v>412</v>
      </c>
      <c r="S1969">
        <v>1481</v>
      </c>
    </row>
    <row r="1970" spans="1:19">
      <c r="A1970" t="s">
        <v>22</v>
      </c>
      <c r="B1970" t="s">
        <v>148</v>
      </c>
      <c r="C1970" t="s">
        <v>154</v>
      </c>
      <c r="D1970" t="s">
        <v>283</v>
      </c>
      <c r="E1970" t="s">
        <v>412</v>
      </c>
      <c r="F1970">
        <f>HYPERLINK("https://www.wikidata.org/wiki/Q16683492", "Q16683492")</f>
        <v>0</v>
      </c>
      <c r="G1970" t="s">
        <v>876</v>
      </c>
      <c r="H1970" t="s">
        <v>5632</v>
      </c>
      <c r="I1970" t="s">
        <v>6175</v>
      </c>
      <c r="J1970" t="s">
        <v>11622</v>
      </c>
      <c r="K1970" t="s">
        <v>16024</v>
      </c>
      <c r="L1970">
        <f>HYPERLINK("https://www2.assemblee-nationale.fr/sycomore/fiche/(num_dept)/938", "938")</f>
        <v>0</v>
      </c>
      <c r="N1970">
        <f>HYPERLINK("https://www.wikidata.org/wiki/Q3102326", "Q3102326")</f>
        <v>0</v>
      </c>
      <c r="O1970" t="s">
        <v>19976</v>
      </c>
      <c r="P1970" t="s">
        <v>20422</v>
      </c>
      <c r="Q1970" t="s">
        <v>20572</v>
      </c>
      <c r="R1970" t="s">
        <v>412</v>
      </c>
      <c r="S1970">
        <v>1481</v>
      </c>
    </row>
    <row r="1971" spans="1:19">
      <c r="A1971" t="s">
        <v>22</v>
      </c>
      <c r="B1971" t="s">
        <v>148</v>
      </c>
      <c r="C1971" t="s">
        <v>154</v>
      </c>
      <c r="D1971" t="s">
        <v>283</v>
      </c>
      <c r="E1971" t="s">
        <v>412</v>
      </c>
      <c r="F1971">
        <f>HYPERLINK("https://www.wikidata.org/wiki/Q16683492", "Q16683492")</f>
        <v>0</v>
      </c>
      <c r="G1971" t="s">
        <v>1724</v>
      </c>
      <c r="H1971" t="s">
        <v>6360</v>
      </c>
      <c r="I1971" t="s">
        <v>9912</v>
      </c>
      <c r="J1971" t="s">
        <v>12425</v>
      </c>
      <c r="K1971" t="s">
        <v>16833</v>
      </c>
      <c r="L1971">
        <f>HYPERLINK("https://www2.assemblee-nationale.fr/sycomore/fiche/(num_dept)/949", "949")</f>
        <v>0</v>
      </c>
      <c r="N1971">
        <f>HYPERLINK("https://www.wikidata.org/wiki/Q1262453", "Q1262453")</f>
        <v>0</v>
      </c>
      <c r="O1971" t="s">
        <v>20010</v>
      </c>
      <c r="P1971" t="s">
        <v>20423</v>
      </c>
      <c r="Q1971" t="s">
        <v>20572</v>
      </c>
      <c r="R1971" t="s">
        <v>412</v>
      </c>
      <c r="S1971">
        <v>1481</v>
      </c>
    </row>
    <row r="1972" spans="1:19">
      <c r="A1972" t="s">
        <v>22</v>
      </c>
      <c r="B1972" t="s">
        <v>148</v>
      </c>
      <c r="C1972" t="s">
        <v>154</v>
      </c>
      <c r="D1972" t="s">
        <v>283</v>
      </c>
      <c r="E1972" t="s">
        <v>412</v>
      </c>
      <c r="F1972">
        <f>HYPERLINK("https://www.wikidata.org/wiki/Q16683492", "Q16683492")</f>
        <v>0</v>
      </c>
      <c r="G1972" t="s">
        <v>1681</v>
      </c>
      <c r="H1972" t="s">
        <v>6360</v>
      </c>
      <c r="I1972" t="s">
        <v>9882</v>
      </c>
      <c r="J1972" t="s">
        <v>11589</v>
      </c>
      <c r="K1972" t="s">
        <v>16795</v>
      </c>
      <c r="L1972">
        <f>HYPERLINK("https://www2.assemblee-nationale.fr/sycomore/fiche/(num_dept)/950", "950")</f>
        <v>0</v>
      </c>
      <c r="N1972">
        <f>HYPERLINK("https://www.wikidata.org/wiki/Q15973789", "Q15973789")</f>
        <v>0</v>
      </c>
      <c r="O1972" t="s">
        <v>19969</v>
      </c>
      <c r="P1972" t="s">
        <v>20412</v>
      </c>
      <c r="Q1972" t="s">
        <v>20572</v>
      </c>
      <c r="R1972" t="s">
        <v>16795</v>
      </c>
      <c r="S1972">
        <v>594</v>
      </c>
    </row>
    <row r="1973" spans="1:19">
      <c r="A1973" t="s">
        <v>22</v>
      </c>
      <c r="B1973" t="s">
        <v>148</v>
      </c>
      <c r="C1973" t="s">
        <v>154</v>
      </c>
      <c r="D1973" t="s">
        <v>283</v>
      </c>
      <c r="E1973" t="s">
        <v>412</v>
      </c>
      <c r="F1973">
        <f>HYPERLINK("https://www.wikidata.org/wiki/Q16683492", "Q16683492")</f>
        <v>0</v>
      </c>
      <c r="G1973" t="s">
        <v>1382</v>
      </c>
      <c r="H1973" t="s">
        <v>6093</v>
      </c>
      <c r="I1973" t="s">
        <v>6731</v>
      </c>
      <c r="J1973" t="s">
        <v>12108</v>
      </c>
      <c r="K1973" t="s">
        <v>16509</v>
      </c>
      <c r="L1973">
        <f>HYPERLINK("https://www2.assemblee-nationale.fr/sycomore/fiche/(num_dept)/953", "953")</f>
        <v>0</v>
      </c>
      <c r="M1973">
        <f>HYPERLINK("https://www.senat.fr/senateur-3eme-republique/bonnet_de_paillerets_marie0861r3.html", "bonnet_de_paillerets_marie0861r3")</f>
        <v>0</v>
      </c>
      <c r="N1973">
        <f>HYPERLINK("https://www.wikidata.org/wiki/Q3184631", "Q3184631")</f>
        <v>0</v>
      </c>
      <c r="O1973" t="s">
        <v>20004</v>
      </c>
      <c r="P1973" t="s">
        <v>20422</v>
      </c>
      <c r="Q1973" t="s">
        <v>20572</v>
      </c>
      <c r="R1973" t="s">
        <v>412</v>
      </c>
      <c r="S1973">
        <v>1481</v>
      </c>
    </row>
    <row r="1974" spans="1:19">
      <c r="A1974" t="s">
        <v>22</v>
      </c>
      <c r="B1974" t="s">
        <v>148</v>
      </c>
      <c r="C1974" t="s">
        <v>154</v>
      </c>
      <c r="D1974" t="s">
        <v>283</v>
      </c>
      <c r="E1974" t="s">
        <v>412</v>
      </c>
      <c r="F1974">
        <f>HYPERLINK("https://www.wikidata.org/wiki/Q16683492", "Q16683492")</f>
        <v>0</v>
      </c>
      <c r="G1974" t="s">
        <v>1725</v>
      </c>
      <c r="H1974" t="s">
        <v>6399</v>
      </c>
      <c r="I1974" t="s">
        <v>9437</v>
      </c>
      <c r="J1974" t="s">
        <v>12426</v>
      </c>
      <c r="K1974" t="s">
        <v>16834</v>
      </c>
      <c r="L1974">
        <f>HYPERLINK("https://www2.assemblee-nationale.fr/sycomore/fiche/(num_dept)/975", "975")</f>
        <v>0</v>
      </c>
      <c r="N1974">
        <f>HYPERLINK("https://www.wikidata.org/wiki/Q154356", "Q154356")</f>
        <v>0</v>
      </c>
      <c r="O1974" t="s">
        <v>19967</v>
      </c>
      <c r="P1974" t="s">
        <v>20423</v>
      </c>
      <c r="Q1974" t="s">
        <v>20572</v>
      </c>
      <c r="R1974" t="s">
        <v>412</v>
      </c>
      <c r="S1974">
        <v>1481</v>
      </c>
    </row>
    <row r="1975" spans="1:19">
      <c r="A1975" t="s">
        <v>22</v>
      </c>
      <c r="B1975" t="s">
        <v>148</v>
      </c>
      <c r="C1975" t="s">
        <v>154</v>
      </c>
      <c r="D1975" t="s">
        <v>283</v>
      </c>
      <c r="E1975" t="s">
        <v>412</v>
      </c>
      <c r="F1975">
        <f>HYPERLINK("https://www.wikidata.org/wiki/Q16683492", "Q16683492")</f>
        <v>0</v>
      </c>
      <c r="G1975" t="s">
        <v>878</v>
      </c>
      <c r="H1975" t="s">
        <v>5634</v>
      </c>
      <c r="I1975" t="s">
        <v>9483</v>
      </c>
      <c r="J1975" t="s">
        <v>11624</v>
      </c>
      <c r="K1975" t="s">
        <v>16025</v>
      </c>
      <c r="L1975">
        <f>HYPERLINK("https://www2.assemblee-nationale.fr/sycomore/fiche/(num_dept)/976", "976")</f>
        <v>0</v>
      </c>
      <c r="M1975">
        <f>HYPERLINK("https://www.senat.fr/senateur-3eme-republique/boret_victor1774r3.html", "boret_victor1774r3")</f>
        <v>0</v>
      </c>
      <c r="N1975">
        <f>HYPERLINK("https://www.wikidata.org/wiki/Q3557173", "Q3557173")</f>
        <v>0</v>
      </c>
      <c r="O1975" t="s">
        <v>19982</v>
      </c>
      <c r="P1975" t="s">
        <v>20401</v>
      </c>
      <c r="Q1975" t="s">
        <v>20572</v>
      </c>
      <c r="R1975" t="s">
        <v>21407</v>
      </c>
      <c r="S1975">
        <v>1157</v>
      </c>
    </row>
    <row r="1976" spans="1:19">
      <c r="A1976" t="s">
        <v>22</v>
      </c>
      <c r="B1976" t="s">
        <v>148</v>
      </c>
      <c r="C1976" t="s">
        <v>154</v>
      </c>
      <c r="D1976" t="s">
        <v>283</v>
      </c>
      <c r="E1976" t="s">
        <v>412</v>
      </c>
      <c r="F1976">
        <f>HYPERLINK("https://www.wikidata.org/wiki/Q16683492", "Q16683492")</f>
        <v>0</v>
      </c>
      <c r="G1976" t="s">
        <v>540</v>
      </c>
      <c r="H1976" t="s">
        <v>5304</v>
      </c>
      <c r="I1976" t="s">
        <v>9401</v>
      </c>
      <c r="J1976" t="s">
        <v>11292</v>
      </c>
      <c r="K1976" t="s">
        <v>15692</v>
      </c>
      <c r="L1976">
        <f>HYPERLINK("https://www2.assemblee-nationale.fr/sycomore/fiche/(num_dept)/985", "985")</f>
        <v>0</v>
      </c>
      <c r="M1976">
        <f>HYPERLINK("https://www.senat.fr/senateur-3eme-republique/borrel_antoine1303r3.html", "borrel_antoine1303r3")</f>
        <v>0</v>
      </c>
      <c r="N1976">
        <f>HYPERLINK("https://www.wikidata.org/wiki/Q2853712", "Q2853712")</f>
        <v>0</v>
      </c>
      <c r="O1976" t="s">
        <v>19988</v>
      </c>
      <c r="P1976" t="s">
        <v>20425</v>
      </c>
      <c r="Q1976" t="s">
        <v>20572</v>
      </c>
      <c r="R1976" t="s">
        <v>412</v>
      </c>
      <c r="S1976">
        <v>1481</v>
      </c>
    </row>
    <row r="1977" spans="1:19">
      <c r="A1977" t="s">
        <v>22</v>
      </c>
      <c r="B1977" t="s">
        <v>148</v>
      </c>
      <c r="C1977" t="s">
        <v>154</v>
      </c>
      <c r="D1977" t="s">
        <v>283</v>
      </c>
      <c r="E1977" t="s">
        <v>412</v>
      </c>
      <c r="F1977">
        <f>HYPERLINK("https://www.wikidata.org/wiki/Q16683492", "Q16683492")</f>
        <v>0</v>
      </c>
      <c r="G1977" t="s">
        <v>1726</v>
      </c>
      <c r="H1977" t="s">
        <v>6400</v>
      </c>
      <c r="I1977" t="s">
        <v>6200</v>
      </c>
      <c r="J1977" t="s">
        <v>12427</v>
      </c>
      <c r="K1977" t="s">
        <v>16835</v>
      </c>
      <c r="L1977">
        <f>HYPERLINK("https://www2.assemblee-nationale.fr/sycomore/fiche/(num_dept)/990", "990")</f>
        <v>0</v>
      </c>
      <c r="M1977">
        <f>HYPERLINK("https://www.senat.fr/senateur-3eme-republique/bosc_jean0822r3.html", "bosc_jean0822r3")</f>
        <v>0</v>
      </c>
      <c r="N1977">
        <f>HYPERLINK("https://www.wikidata.org/wiki/Q1685388", "Q1685388")</f>
        <v>0</v>
      </c>
      <c r="O1977" t="s">
        <v>20014</v>
      </c>
      <c r="P1977" t="s">
        <v>20423</v>
      </c>
      <c r="Q1977" t="s">
        <v>20572</v>
      </c>
      <c r="R1977" t="s">
        <v>412</v>
      </c>
      <c r="S1977">
        <v>1481</v>
      </c>
    </row>
    <row r="1978" spans="1:19">
      <c r="A1978" t="s">
        <v>22</v>
      </c>
      <c r="B1978" t="s">
        <v>148</v>
      </c>
      <c r="C1978" t="s">
        <v>154</v>
      </c>
      <c r="D1978" t="s">
        <v>283</v>
      </c>
      <c r="E1978" t="s">
        <v>412</v>
      </c>
      <c r="F1978">
        <f>HYPERLINK("https://www.wikidata.org/wiki/Q16683492", "Q16683492")</f>
        <v>0</v>
      </c>
      <c r="G1978" t="s">
        <v>1104</v>
      </c>
      <c r="H1978" t="s">
        <v>5845</v>
      </c>
      <c r="I1978" t="s">
        <v>9662</v>
      </c>
      <c r="J1978" t="s">
        <v>11839</v>
      </c>
      <c r="K1978" t="s">
        <v>16240</v>
      </c>
      <c r="L1978">
        <f>HYPERLINK("https://www2.assemblee-nationale.fr/sycomore/fiche/(num_dept)/994", "994")</f>
        <v>0</v>
      </c>
      <c r="N1978">
        <f>HYPERLINK("https://www.wikidata.org/wiki/Q15972019", "Q15972019")</f>
        <v>0</v>
      </c>
      <c r="O1978" t="s">
        <v>19959</v>
      </c>
      <c r="P1978" t="s">
        <v>20401</v>
      </c>
      <c r="Q1978" t="s">
        <v>20572</v>
      </c>
      <c r="R1978" t="s">
        <v>412</v>
      </c>
      <c r="S1978">
        <v>1481</v>
      </c>
    </row>
    <row r="1979" spans="1:19">
      <c r="A1979" t="s">
        <v>22</v>
      </c>
      <c r="B1979" t="s">
        <v>148</v>
      </c>
      <c r="C1979" t="s">
        <v>154</v>
      </c>
      <c r="D1979" t="s">
        <v>283</v>
      </c>
      <c r="E1979" t="s">
        <v>412</v>
      </c>
      <c r="F1979">
        <f>HYPERLINK("https://www.wikidata.org/wiki/Q16683492", "Q16683492")</f>
        <v>0</v>
      </c>
      <c r="G1979" t="s">
        <v>1727</v>
      </c>
      <c r="H1979" t="s">
        <v>6401</v>
      </c>
      <c r="I1979" t="s">
        <v>7790</v>
      </c>
      <c r="J1979" t="s">
        <v>12428</v>
      </c>
      <c r="K1979" t="s">
        <v>16836</v>
      </c>
      <c r="L1979">
        <f>HYPERLINK("https://www2.assemblee-nationale.fr/sycomore/fiche/(num_dept)/1003", "1003")</f>
        <v>0</v>
      </c>
      <c r="N1979">
        <f>HYPERLINK("https://www.wikidata.org/wiki/Q4792643", "Q4792643")</f>
        <v>0</v>
      </c>
      <c r="O1979" t="s">
        <v>19974</v>
      </c>
      <c r="P1979" t="s">
        <v>20423</v>
      </c>
      <c r="Q1979" t="s">
        <v>20572</v>
      </c>
      <c r="R1979" t="s">
        <v>412</v>
      </c>
      <c r="S1979">
        <v>1481</v>
      </c>
    </row>
    <row r="1980" spans="1:19">
      <c r="A1980" t="s">
        <v>22</v>
      </c>
      <c r="B1980" t="s">
        <v>148</v>
      </c>
      <c r="C1980" t="s">
        <v>154</v>
      </c>
      <c r="D1980" t="s">
        <v>283</v>
      </c>
      <c r="E1980" t="s">
        <v>412</v>
      </c>
      <c r="F1980">
        <f>HYPERLINK("https://www.wikidata.org/wiki/Q16683492", "Q16683492")</f>
        <v>0</v>
      </c>
      <c r="G1980" t="s">
        <v>1728</v>
      </c>
      <c r="H1980" t="s">
        <v>6402</v>
      </c>
      <c r="I1980" t="s">
        <v>9476</v>
      </c>
      <c r="J1980" t="s">
        <v>12429</v>
      </c>
      <c r="K1980" t="s">
        <v>16837</v>
      </c>
      <c r="L1980">
        <f>HYPERLINK("https://www2.assemblee-nationale.fr/sycomore/fiche/(num_dept)/1019", "1019")</f>
        <v>0</v>
      </c>
      <c r="N1980">
        <f>HYPERLINK("https://www.wikidata.org/wiki/Q3425895", "Q3425895")</f>
        <v>0</v>
      </c>
      <c r="O1980" t="s">
        <v>19999</v>
      </c>
      <c r="P1980" t="s">
        <v>20404</v>
      </c>
      <c r="Q1980" t="s">
        <v>20572</v>
      </c>
      <c r="R1980" t="s">
        <v>412</v>
      </c>
      <c r="S1980">
        <v>1481</v>
      </c>
    </row>
    <row r="1981" spans="1:19">
      <c r="A1981" t="s">
        <v>22</v>
      </c>
      <c r="B1981" t="s">
        <v>148</v>
      </c>
      <c r="C1981" t="s">
        <v>154</v>
      </c>
      <c r="D1981" t="s">
        <v>283</v>
      </c>
      <c r="E1981" t="s">
        <v>412</v>
      </c>
      <c r="F1981">
        <f>HYPERLINK("https://www.wikidata.org/wiki/Q16683492", "Q16683492")</f>
        <v>0</v>
      </c>
      <c r="G1981" t="s">
        <v>544</v>
      </c>
      <c r="H1981" t="s">
        <v>5308</v>
      </c>
      <c r="I1981" t="s">
        <v>9376</v>
      </c>
      <c r="J1981" t="s">
        <v>11296</v>
      </c>
      <c r="K1981" t="s">
        <v>15696</v>
      </c>
      <c r="L1981">
        <f>HYPERLINK("https://www2.assemblee-nationale.fr/sycomore/fiche/(num_dept)/1030", "1030")</f>
        <v>0</v>
      </c>
      <c r="M1981">
        <f>HYPERLINK("https://www.senat.fr/senateur-3eme-republique/bougere_ferdinand1163r3.html", "bougere_ferdinand1163r3")</f>
        <v>0</v>
      </c>
      <c r="N1981">
        <f>HYPERLINK("https://www.wikidata.org/wiki/Q8299130", "Q8299130")</f>
        <v>0</v>
      </c>
      <c r="O1981" t="s">
        <v>19980</v>
      </c>
      <c r="P1981" t="s">
        <v>20409</v>
      </c>
      <c r="Q1981" t="s">
        <v>20572</v>
      </c>
      <c r="R1981" t="s">
        <v>412</v>
      </c>
      <c r="S1981">
        <v>1481</v>
      </c>
    </row>
    <row r="1982" spans="1:19">
      <c r="A1982" t="s">
        <v>22</v>
      </c>
      <c r="B1982" t="s">
        <v>148</v>
      </c>
      <c r="C1982" t="s">
        <v>154</v>
      </c>
      <c r="D1982" t="s">
        <v>283</v>
      </c>
      <c r="E1982" t="s">
        <v>412</v>
      </c>
      <c r="F1982">
        <f>HYPERLINK("https://www.wikidata.org/wiki/Q16683492", "Q16683492")</f>
        <v>0</v>
      </c>
      <c r="G1982" t="s">
        <v>1229</v>
      </c>
      <c r="H1982" t="s">
        <v>5954</v>
      </c>
      <c r="I1982" t="s">
        <v>7642</v>
      </c>
      <c r="J1982" t="s">
        <v>11961</v>
      </c>
      <c r="K1982" t="s">
        <v>16363</v>
      </c>
      <c r="L1982">
        <f>HYPERLINK("https://www2.assemblee-nationale.fr/sycomore/fiche/(num_dept)/1041", "1041")</f>
        <v>0</v>
      </c>
      <c r="N1982">
        <f>HYPERLINK("https://www.wikidata.org/wiki/Q3300465", "Q3300465")</f>
        <v>0</v>
      </c>
      <c r="O1982" t="s">
        <v>20011</v>
      </c>
      <c r="P1982" t="s">
        <v>20401</v>
      </c>
      <c r="Q1982" t="s">
        <v>20572</v>
      </c>
      <c r="R1982" t="s">
        <v>412</v>
      </c>
      <c r="S1982">
        <v>1481</v>
      </c>
    </row>
    <row r="1983" spans="1:19">
      <c r="A1983" t="s">
        <v>22</v>
      </c>
      <c r="B1983" t="s">
        <v>148</v>
      </c>
      <c r="C1983" t="s">
        <v>154</v>
      </c>
      <c r="D1983" t="s">
        <v>283</v>
      </c>
      <c r="E1983" t="s">
        <v>412</v>
      </c>
      <c r="F1983">
        <f>HYPERLINK("https://www.wikidata.org/wiki/Q16683492", "Q16683492")</f>
        <v>0</v>
      </c>
      <c r="G1983" t="s">
        <v>884</v>
      </c>
      <c r="H1983" t="s">
        <v>5640</v>
      </c>
      <c r="I1983" t="s">
        <v>9446</v>
      </c>
      <c r="J1983" t="s">
        <v>11630</v>
      </c>
      <c r="K1983" t="s">
        <v>16030</v>
      </c>
      <c r="L1983">
        <f>HYPERLINK("https://www2.assemblee-nationale.fr/sycomore/fiche/(num_dept)/1043", "1043")</f>
        <v>0</v>
      </c>
      <c r="N1983">
        <f>HYPERLINK("https://www.wikidata.org/wiki/Q459510", "Q459510")</f>
        <v>0</v>
      </c>
      <c r="O1983" t="s">
        <v>19990</v>
      </c>
      <c r="P1983" t="s">
        <v>20404</v>
      </c>
      <c r="Q1983" t="s">
        <v>20572</v>
      </c>
      <c r="R1983" t="s">
        <v>412</v>
      </c>
      <c r="S1983">
        <v>1481</v>
      </c>
    </row>
    <row r="1984" spans="1:19">
      <c r="A1984" t="s">
        <v>22</v>
      </c>
      <c r="B1984" t="s">
        <v>148</v>
      </c>
      <c r="C1984" t="s">
        <v>154</v>
      </c>
      <c r="D1984" t="s">
        <v>283</v>
      </c>
      <c r="E1984" t="s">
        <v>412</v>
      </c>
      <c r="F1984">
        <f>HYPERLINK("https://www.wikidata.org/wiki/Q16683492", "Q16683492")</f>
        <v>0</v>
      </c>
      <c r="G1984" t="s">
        <v>1230</v>
      </c>
      <c r="H1984" t="s">
        <v>5955</v>
      </c>
      <c r="I1984" t="s">
        <v>9715</v>
      </c>
      <c r="J1984" t="s">
        <v>11962</v>
      </c>
      <c r="K1984" t="s">
        <v>16364</v>
      </c>
      <c r="L1984">
        <f>HYPERLINK("https://www2.assemblee-nationale.fr/sycomore/fiche/(num_dept)/1048", "1048")</f>
        <v>0</v>
      </c>
      <c r="N1984">
        <f>HYPERLINK("https://www.wikidata.org/wiki/Q15973886", "Q15973886")</f>
        <v>0</v>
      </c>
      <c r="O1984" t="s">
        <v>19968</v>
      </c>
      <c r="P1984" t="s">
        <v>20417</v>
      </c>
      <c r="Q1984" t="s">
        <v>20572</v>
      </c>
      <c r="R1984" t="s">
        <v>412</v>
      </c>
      <c r="S1984">
        <v>1481</v>
      </c>
    </row>
    <row r="1985" spans="1:19">
      <c r="A1985" t="s">
        <v>22</v>
      </c>
      <c r="B1985" t="s">
        <v>148</v>
      </c>
      <c r="C1985" t="s">
        <v>154</v>
      </c>
      <c r="D1985" t="s">
        <v>283</v>
      </c>
      <c r="E1985" t="s">
        <v>412</v>
      </c>
      <c r="F1985">
        <f>HYPERLINK("https://www.wikidata.org/wiki/Q16683492", "Q16683492")</f>
        <v>0</v>
      </c>
      <c r="G1985" t="s">
        <v>1384</v>
      </c>
      <c r="H1985" t="s">
        <v>6095</v>
      </c>
      <c r="I1985" t="s">
        <v>9784</v>
      </c>
      <c r="J1985" t="s">
        <v>12110</v>
      </c>
      <c r="K1985" t="s">
        <v>16511</v>
      </c>
      <c r="L1985">
        <f>HYPERLINK("https://www2.assemblee-nationale.fr/sycomore/fiche/(num_dept)/1057", "1057")</f>
        <v>0</v>
      </c>
      <c r="N1985">
        <f>HYPERLINK("https://www.wikidata.org/wiki/Q3383019", "Q3383019")</f>
        <v>0</v>
      </c>
      <c r="O1985" t="s">
        <v>19961</v>
      </c>
      <c r="P1985" t="s">
        <v>20423</v>
      </c>
      <c r="Q1985" t="s">
        <v>20572</v>
      </c>
      <c r="R1985" t="s">
        <v>412</v>
      </c>
      <c r="S1985">
        <v>1481</v>
      </c>
    </row>
    <row r="1986" spans="1:19">
      <c r="A1986" t="s">
        <v>22</v>
      </c>
      <c r="B1986" t="s">
        <v>148</v>
      </c>
      <c r="C1986" t="s">
        <v>154</v>
      </c>
      <c r="D1986" t="s">
        <v>283</v>
      </c>
      <c r="E1986" t="s">
        <v>412</v>
      </c>
      <c r="F1986">
        <f>HYPERLINK("https://www.wikidata.org/wiki/Q16683492", "Q16683492")</f>
        <v>0</v>
      </c>
      <c r="G1986" t="s">
        <v>1729</v>
      </c>
      <c r="H1986" t="s">
        <v>6403</v>
      </c>
      <c r="I1986" t="s">
        <v>6175</v>
      </c>
      <c r="J1986" t="s">
        <v>12430</v>
      </c>
      <c r="K1986" t="s">
        <v>16838</v>
      </c>
      <c r="L1986">
        <f>HYPERLINK("https://www2.assemblee-nationale.fr/sycomore/fiche/(num_dept)/1063", "1063")</f>
        <v>0</v>
      </c>
      <c r="M1986">
        <f>HYPERLINK("https://www.senat.fr/senateur-3eme-republique/boully_georges1852r3.html", "boully_georges1852r3")</f>
        <v>0</v>
      </c>
      <c r="N1986">
        <f>HYPERLINK("https://www.wikidata.org/wiki/Q3102343", "Q3102343")</f>
        <v>0</v>
      </c>
      <c r="O1986" t="s">
        <v>20034</v>
      </c>
      <c r="P1986" t="s">
        <v>20425</v>
      </c>
      <c r="Q1986" t="s">
        <v>20572</v>
      </c>
      <c r="R1986" t="s">
        <v>412</v>
      </c>
      <c r="S1986">
        <v>1481</v>
      </c>
    </row>
    <row r="1987" spans="1:19">
      <c r="A1987" t="s">
        <v>22</v>
      </c>
      <c r="B1987" t="s">
        <v>148</v>
      </c>
      <c r="C1987" t="s">
        <v>154</v>
      </c>
      <c r="D1987" t="s">
        <v>283</v>
      </c>
      <c r="E1987" t="s">
        <v>412</v>
      </c>
      <c r="F1987">
        <f>HYPERLINK("https://www.wikidata.org/wiki/Q16683492", "Q16683492")</f>
        <v>0</v>
      </c>
      <c r="G1987" t="s">
        <v>1730</v>
      </c>
      <c r="H1987" t="s">
        <v>6404</v>
      </c>
      <c r="I1987" t="s">
        <v>9457</v>
      </c>
      <c r="J1987" t="s">
        <v>12431</v>
      </c>
      <c r="K1987" t="s">
        <v>16839</v>
      </c>
      <c r="L1987">
        <f>HYPERLINK("https://www2.assemblee-nationale.fr/sycomore/fiche/(num_dept)/1099", "1099")</f>
        <v>0</v>
      </c>
      <c r="N1987">
        <f>HYPERLINK("https://www.wikidata.org/wiki/Q15973876", "Q15973876")</f>
        <v>0</v>
      </c>
      <c r="O1987" t="s">
        <v>19969</v>
      </c>
      <c r="P1987" t="s">
        <v>20424</v>
      </c>
      <c r="Q1987" t="s">
        <v>20572</v>
      </c>
      <c r="R1987" t="s">
        <v>412</v>
      </c>
      <c r="S1987">
        <v>1481</v>
      </c>
    </row>
    <row r="1988" spans="1:19">
      <c r="A1988" t="s">
        <v>22</v>
      </c>
      <c r="B1988" t="s">
        <v>148</v>
      </c>
      <c r="C1988" t="s">
        <v>154</v>
      </c>
      <c r="D1988" t="s">
        <v>283</v>
      </c>
      <c r="E1988" t="s">
        <v>412</v>
      </c>
      <c r="F1988">
        <f>HYPERLINK("https://www.wikidata.org/wiki/Q16683492", "Q16683492")</f>
        <v>0</v>
      </c>
      <c r="G1988" t="s">
        <v>1386</v>
      </c>
      <c r="H1988" t="s">
        <v>6097</v>
      </c>
      <c r="I1988" t="s">
        <v>9785</v>
      </c>
      <c r="J1988" t="s">
        <v>12112</v>
      </c>
      <c r="K1988" t="s">
        <v>16513</v>
      </c>
      <c r="L1988">
        <f>HYPERLINK("https://www2.assemblee-nationale.fr/sycomore/fiche/(num_dept)/1128", "1128")</f>
        <v>0</v>
      </c>
      <c r="N1988">
        <f>HYPERLINK("https://www.wikidata.org/wiki/Q3045156", "Q3045156")</f>
        <v>0</v>
      </c>
      <c r="O1988" t="s">
        <v>19989</v>
      </c>
      <c r="P1988" t="s">
        <v>20422</v>
      </c>
      <c r="Q1988" t="s">
        <v>20572</v>
      </c>
      <c r="R1988" t="s">
        <v>412</v>
      </c>
      <c r="S1988">
        <v>1481</v>
      </c>
    </row>
    <row r="1989" spans="1:19">
      <c r="A1989" t="s">
        <v>22</v>
      </c>
      <c r="B1989" t="s">
        <v>148</v>
      </c>
      <c r="C1989" t="s">
        <v>154</v>
      </c>
      <c r="D1989" t="s">
        <v>283</v>
      </c>
      <c r="E1989" t="s">
        <v>412</v>
      </c>
      <c r="F1989">
        <f>HYPERLINK("https://www.wikidata.org/wiki/Q16683492", "Q16683492")</f>
        <v>0</v>
      </c>
      <c r="G1989" t="s">
        <v>549</v>
      </c>
      <c r="H1989" t="s">
        <v>5312</v>
      </c>
      <c r="I1989" t="s">
        <v>6200</v>
      </c>
      <c r="J1989" t="s">
        <v>11301</v>
      </c>
      <c r="K1989" t="s">
        <v>15701</v>
      </c>
      <c r="L1989">
        <f>HYPERLINK("https://www2.assemblee-nationale.fr/sycomore/fiche/(num_dept)/1138", "1138")</f>
        <v>0</v>
      </c>
      <c r="M1989">
        <f>HYPERLINK("https://www.senat.fr/senateur-3eme-republique/bouveri_jean1220r3.html", "bouveri_jean1220r3")</f>
        <v>0</v>
      </c>
      <c r="N1989">
        <f>HYPERLINK("https://www.wikidata.org/wiki/Q3170948", "Q3170948")</f>
        <v>0</v>
      </c>
      <c r="O1989" t="s">
        <v>19994</v>
      </c>
      <c r="P1989" t="s">
        <v>20404</v>
      </c>
      <c r="Q1989" t="s">
        <v>20572</v>
      </c>
      <c r="R1989" t="s">
        <v>15701</v>
      </c>
      <c r="S1989">
        <v>1148</v>
      </c>
    </row>
    <row r="1990" spans="1:19">
      <c r="A1990" t="s">
        <v>22</v>
      </c>
      <c r="B1990" t="s">
        <v>148</v>
      </c>
      <c r="C1990" t="s">
        <v>154</v>
      </c>
      <c r="D1990" t="s">
        <v>283</v>
      </c>
      <c r="E1990" t="s">
        <v>412</v>
      </c>
      <c r="F1990">
        <f>HYPERLINK("https://www.wikidata.org/wiki/Q16683492", "Q16683492")</f>
        <v>0</v>
      </c>
      <c r="G1990" t="s">
        <v>550</v>
      </c>
      <c r="H1990" t="s">
        <v>5313</v>
      </c>
      <c r="I1990" t="s">
        <v>9408</v>
      </c>
      <c r="J1990" t="s">
        <v>11302</v>
      </c>
      <c r="K1990" t="s">
        <v>15702</v>
      </c>
      <c r="L1990">
        <f>HYPERLINK("https://www2.assemblee-nationale.fr/sycomore/fiche/(num_dept)/1147", "1147")</f>
        <v>0</v>
      </c>
      <c r="N1990">
        <f>HYPERLINK("https://www.wikidata.org/wiki/Q3270443", "Q3270443")</f>
        <v>0</v>
      </c>
      <c r="O1990" t="s">
        <v>19995</v>
      </c>
      <c r="P1990" t="s">
        <v>20423</v>
      </c>
      <c r="Q1990" t="s">
        <v>20572</v>
      </c>
      <c r="R1990" t="s">
        <v>412</v>
      </c>
      <c r="S1990">
        <v>1481</v>
      </c>
    </row>
    <row r="1991" spans="1:19">
      <c r="A1991" t="s">
        <v>22</v>
      </c>
      <c r="B1991" t="s">
        <v>148</v>
      </c>
      <c r="C1991" t="s">
        <v>154</v>
      </c>
      <c r="D1991" t="s">
        <v>283</v>
      </c>
      <c r="E1991" t="s">
        <v>412</v>
      </c>
      <c r="F1991">
        <f>HYPERLINK("https://www.wikidata.org/wiki/Q16683492", "Q16683492")</f>
        <v>0</v>
      </c>
      <c r="G1991" t="s">
        <v>1389</v>
      </c>
      <c r="H1991" t="s">
        <v>6100</v>
      </c>
      <c r="I1991" t="s">
        <v>9728</v>
      </c>
      <c r="J1991" t="s">
        <v>12115</v>
      </c>
      <c r="K1991" t="s">
        <v>16516</v>
      </c>
      <c r="L1991">
        <f>HYPERLINK("https://www2.assemblee-nationale.fr/sycomore/fiche/(num_dept)/1149", "1149")</f>
        <v>0</v>
      </c>
      <c r="N1991">
        <f>HYPERLINK("https://www.wikidata.org/wiki/Q3579752", "Q3579752")</f>
        <v>0</v>
      </c>
      <c r="O1991" t="s">
        <v>20006</v>
      </c>
      <c r="P1991" t="s">
        <v>20425</v>
      </c>
      <c r="Q1991" t="s">
        <v>20572</v>
      </c>
      <c r="R1991" t="s">
        <v>412</v>
      </c>
      <c r="S1991">
        <v>1481</v>
      </c>
    </row>
    <row r="1992" spans="1:19">
      <c r="A1992" t="s">
        <v>22</v>
      </c>
      <c r="B1992" t="s">
        <v>148</v>
      </c>
      <c r="C1992" t="s">
        <v>154</v>
      </c>
      <c r="D1992" t="s">
        <v>283</v>
      </c>
      <c r="E1992" t="s">
        <v>412</v>
      </c>
      <c r="F1992">
        <f>HYPERLINK("https://www.wikidata.org/wiki/Q16683492", "Q16683492")</f>
        <v>0</v>
      </c>
      <c r="G1992" t="s">
        <v>1731</v>
      </c>
      <c r="H1992" t="s">
        <v>6405</v>
      </c>
      <c r="I1992" t="s">
        <v>9913</v>
      </c>
      <c r="J1992" t="s">
        <v>12432</v>
      </c>
      <c r="K1992" t="s">
        <v>16840</v>
      </c>
      <c r="L1992">
        <f>HYPERLINK("https://www2.assemblee-nationale.fr/sycomore/fiche/(num_dept)/1151", "1151")</f>
        <v>0</v>
      </c>
      <c r="N1992">
        <f>HYPERLINK("https://www.wikidata.org/wiki/Q15973908", "Q15973908")</f>
        <v>0</v>
      </c>
      <c r="O1992" t="s">
        <v>19980</v>
      </c>
      <c r="P1992" t="s">
        <v>20412</v>
      </c>
      <c r="Q1992" t="s">
        <v>20572</v>
      </c>
      <c r="R1992" t="s">
        <v>412</v>
      </c>
      <c r="S1992">
        <v>1481</v>
      </c>
    </row>
    <row r="1993" spans="1:19">
      <c r="A1993" t="s">
        <v>22</v>
      </c>
      <c r="B1993" t="s">
        <v>148</v>
      </c>
      <c r="C1993" t="s">
        <v>154</v>
      </c>
      <c r="D1993" t="s">
        <v>283</v>
      </c>
      <c r="E1993" t="s">
        <v>412</v>
      </c>
      <c r="F1993">
        <f>HYPERLINK("https://www.wikidata.org/wiki/Q16683492", "Q16683492")</f>
        <v>0</v>
      </c>
      <c r="G1993" t="s">
        <v>1732</v>
      </c>
      <c r="H1993" t="s">
        <v>6405</v>
      </c>
      <c r="I1993" t="s">
        <v>9914</v>
      </c>
      <c r="J1993" t="s">
        <v>12433</v>
      </c>
      <c r="K1993" t="s">
        <v>16841</v>
      </c>
      <c r="L1993">
        <f>HYPERLINK("https://www2.assemblee-nationale.fr/sycomore/fiche/(num_dept)/1154", "1154")</f>
        <v>0</v>
      </c>
      <c r="N1993">
        <f>HYPERLINK("https://www.wikidata.org/wiki/Q15973936", "Q15973936")</f>
        <v>0</v>
      </c>
      <c r="O1993" t="s">
        <v>19993</v>
      </c>
      <c r="P1993" t="s">
        <v>20401</v>
      </c>
      <c r="Q1993" t="s">
        <v>20572</v>
      </c>
      <c r="R1993" t="s">
        <v>412</v>
      </c>
      <c r="S1993">
        <v>1481</v>
      </c>
    </row>
    <row r="1994" spans="1:19">
      <c r="A1994" t="s">
        <v>22</v>
      </c>
      <c r="B1994" t="s">
        <v>148</v>
      </c>
      <c r="C1994" t="s">
        <v>154</v>
      </c>
      <c r="D1994" t="s">
        <v>283</v>
      </c>
      <c r="E1994" t="s">
        <v>412</v>
      </c>
      <c r="F1994">
        <f>HYPERLINK("https://www.wikidata.org/wiki/Q16683492", "Q16683492")</f>
        <v>0</v>
      </c>
      <c r="G1994" t="s">
        <v>1733</v>
      </c>
      <c r="H1994" t="s">
        <v>6406</v>
      </c>
      <c r="I1994" t="s">
        <v>9915</v>
      </c>
      <c r="J1994" t="s">
        <v>12434</v>
      </c>
      <c r="K1994" t="s">
        <v>16842</v>
      </c>
      <c r="L1994">
        <f>HYPERLINK("https://www2.assemblee-nationale.fr/sycomore/fiche/(num_dept)/1191", "1191")</f>
        <v>0</v>
      </c>
      <c r="N1994">
        <f>HYPERLINK("https://www.wikidata.org/wiki/Q15972150", "Q15972150")</f>
        <v>0</v>
      </c>
      <c r="O1994" t="s">
        <v>20042</v>
      </c>
      <c r="P1994" t="s">
        <v>20425</v>
      </c>
      <c r="Q1994" t="s">
        <v>20572</v>
      </c>
      <c r="R1994" t="s">
        <v>412</v>
      </c>
      <c r="S1994">
        <v>1481</v>
      </c>
    </row>
    <row r="1995" spans="1:19">
      <c r="A1995" t="s">
        <v>22</v>
      </c>
      <c r="B1995" t="s">
        <v>148</v>
      </c>
      <c r="C1995" t="s">
        <v>154</v>
      </c>
      <c r="D1995" t="s">
        <v>283</v>
      </c>
      <c r="E1995" t="s">
        <v>412</v>
      </c>
      <c r="F1995">
        <f>HYPERLINK("https://www.wikidata.org/wiki/Q16683492", "Q16683492")</f>
        <v>0</v>
      </c>
      <c r="G1995" t="s">
        <v>1734</v>
      </c>
      <c r="H1995" t="s">
        <v>6407</v>
      </c>
      <c r="I1995" t="s">
        <v>9916</v>
      </c>
      <c r="J1995" t="s">
        <v>12435</v>
      </c>
      <c r="K1995" t="s">
        <v>16843</v>
      </c>
      <c r="L1995">
        <f>HYPERLINK("https://www2.assemblee-nationale.fr/sycomore/fiche/(num_dept)/1195", "1195")</f>
        <v>0</v>
      </c>
      <c r="N1995">
        <f>HYPERLINK("https://www.wikidata.org/wiki/Q3102377", "Q3102377")</f>
        <v>0</v>
      </c>
      <c r="O1995" t="s">
        <v>19998</v>
      </c>
      <c r="P1995" t="s">
        <v>20422</v>
      </c>
      <c r="Q1995" t="s">
        <v>20572</v>
      </c>
      <c r="R1995" t="s">
        <v>412</v>
      </c>
      <c r="S1995">
        <v>1481</v>
      </c>
    </row>
    <row r="1996" spans="1:19">
      <c r="A1996" t="s">
        <v>22</v>
      </c>
      <c r="B1996" t="s">
        <v>148</v>
      </c>
      <c r="C1996" t="s">
        <v>154</v>
      </c>
      <c r="D1996" t="s">
        <v>283</v>
      </c>
      <c r="E1996" t="s">
        <v>412</v>
      </c>
      <c r="F1996">
        <f>HYPERLINK("https://www.wikidata.org/wiki/Q16683492", "Q16683492")</f>
        <v>0</v>
      </c>
      <c r="G1996" t="s">
        <v>1735</v>
      </c>
      <c r="H1996" t="s">
        <v>6408</v>
      </c>
      <c r="I1996" t="s">
        <v>9917</v>
      </c>
      <c r="J1996" t="s">
        <v>12436</v>
      </c>
      <c r="K1996" t="s">
        <v>16844</v>
      </c>
      <c r="L1996">
        <f>HYPERLINK("https://www2.assemblee-nationale.fr/sycomore/fiche/(num_dept)/1197", "1197")</f>
        <v>0</v>
      </c>
      <c r="M1996">
        <f>HYPERLINK("https://www.senat.fr/senateur-3eme-republique/breteau_almire1241r3.html", "breteau_almire1241r3")</f>
        <v>0</v>
      </c>
      <c r="N1996">
        <f>HYPERLINK("https://www.wikidata.org/wiki/Q2839123", "Q2839123")</f>
        <v>0</v>
      </c>
      <c r="O1996" t="s">
        <v>19956</v>
      </c>
      <c r="P1996" t="s">
        <v>20423</v>
      </c>
      <c r="Q1996" t="s">
        <v>20572</v>
      </c>
      <c r="R1996" t="s">
        <v>21406</v>
      </c>
      <c r="S1996">
        <v>991</v>
      </c>
    </row>
    <row r="1997" spans="1:19">
      <c r="A1997" t="s">
        <v>22</v>
      </c>
      <c r="B1997" t="s">
        <v>148</v>
      </c>
      <c r="C1997" t="s">
        <v>154</v>
      </c>
      <c r="D1997" t="s">
        <v>283</v>
      </c>
      <c r="E1997" t="s">
        <v>412</v>
      </c>
      <c r="F1997">
        <f>HYPERLINK("https://www.wikidata.org/wiki/Q16683492", "Q16683492")</f>
        <v>0</v>
      </c>
      <c r="G1997" t="s">
        <v>1736</v>
      </c>
      <c r="H1997" t="s">
        <v>5315</v>
      </c>
      <c r="I1997" t="s">
        <v>9638</v>
      </c>
      <c r="J1997" t="s">
        <v>12437</v>
      </c>
      <c r="K1997" t="s">
        <v>16845</v>
      </c>
      <c r="L1997">
        <f>HYPERLINK("https://www2.assemblee-nationale.fr/sycomore/fiche/(num_dept)/1202", "1202")</f>
        <v>0</v>
      </c>
      <c r="N1997">
        <f>HYPERLINK("https://www.wikidata.org/wiki/Q15973928", "Q15973928")</f>
        <v>0</v>
      </c>
      <c r="O1997" t="s">
        <v>19965</v>
      </c>
      <c r="P1997" t="s">
        <v>20404</v>
      </c>
      <c r="Q1997" t="s">
        <v>20572</v>
      </c>
      <c r="R1997" t="s">
        <v>412</v>
      </c>
      <c r="S1997">
        <v>1481</v>
      </c>
    </row>
    <row r="1998" spans="1:19">
      <c r="A1998" t="s">
        <v>22</v>
      </c>
      <c r="B1998" t="s">
        <v>148</v>
      </c>
      <c r="C1998" t="s">
        <v>154</v>
      </c>
      <c r="D1998" t="s">
        <v>283</v>
      </c>
      <c r="E1998" t="s">
        <v>412</v>
      </c>
      <c r="F1998">
        <f>HYPERLINK("https://www.wikidata.org/wiki/Q16683492", "Q16683492")</f>
        <v>0</v>
      </c>
      <c r="G1998" t="s">
        <v>553</v>
      </c>
      <c r="H1998" t="s">
        <v>5316</v>
      </c>
      <c r="I1998" t="s">
        <v>9411</v>
      </c>
      <c r="J1998" t="s">
        <v>11304</v>
      </c>
      <c r="K1998" t="s">
        <v>15705</v>
      </c>
      <c r="L1998">
        <f>HYPERLINK("https://www2.assemblee-nationale.fr/sycomore/fiche/(num_dept)/1211", "1211")</f>
        <v>0</v>
      </c>
      <c r="N1998">
        <f>HYPERLINK("https://www.wikidata.org/wiki/Q179888", "Q179888")</f>
        <v>0</v>
      </c>
      <c r="O1998" t="s">
        <v>20023</v>
      </c>
      <c r="P1998" t="s">
        <v>20425</v>
      </c>
      <c r="Q1998" t="s">
        <v>20572</v>
      </c>
      <c r="R1998" t="s">
        <v>412</v>
      </c>
      <c r="S1998">
        <v>1481</v>
      </c>
    </row>
    <row r="1999" spans="1:19">
      <c r="A1999" t="s">
        <v>22</v>
      </c>
      <c r="B1999" t="s">
        <v>148</v>
      </c>
      <c r="C1999" t="s">
        <v>154</v>
      </c>
      <c r="D1999" t="s">
        <v>283</v>
      </c>
      <c r="E1999" t="s">
        <v>412</v>
      </c>
      <c r="F1999">
        <f>HYPERLINK("https://www.wikidata.org/wiki/Q16683492", "Q16683492")</f>
        <v>0</v>
      </c>
      <c r="G1999" t="s">
        <v>1737</v>
      </c>
      <c r="H1999" t="s">
        <v>6409</v>
      </c>
      <c r="I1999" t="s">
        <v>9918</v>
      </c>
      <c r="J1999" t="s">
        <v>12438</v>
      </c>
      <c r="K1999" t="s">
        <v>16846</v>
      </c>
      <c r="L1999">
        <f>HYPERLINK("https://www2.assemblee-nationale.fr/sycomore/fiche/(num_dept)/1226", "1226")</f>
        <v>0</v>
      </c>
      <c r="N1999">
        <f>HYPERLINK("https://www.wikidata.org/wiki/Q15973967", "Q15973967")</f>
        <v>0</v>
      </c>
      <c r="O1999" t="s">
        <v>20013</v>
      </c>
      <c r="P1999" t="s">
        <v>20404</v>
      </c>
      <c r="Q1999" t="s">
        <v>20572</v>
      </c>
      <c r="R1999" t="s">
        <v>412</v>
      </c>
      <c r="S1999">
        <v>1481</v>
      </c>
    </row>
    <row r="2000" spans="1:19">
      <c r="A2000" t="s">
        <v>22</v>
      </c>
      <c r="B2000" t="s">
        <v>148</v>
      </c>
      <c r="C2000" t="s">
        <v>154</v>
      </c>
      <c r="D2000" t="s">
        <v>283</v>
      </c>
      <c r="E2000" t="s">
        <v>412</v>
      </c>
      <c r="F2000">
        <f>HYPERLINK("https://www.wikidata.org/wiki/Q16683492", "Q16683492")</f>
        <v>0</v>
      </c>
      <c r="G2000" t="s">
        <v>1738</v>
      </c>
      <c r="H2000" t="s">
        <v>6410</v>
      </c>
      <c r="I2000" t="s">
        <v>9919</v>
      </c>
      <c r="J2000" t="s">
        <v>12439</v>
      </c>
      <c r="K2000" t="s">
        <v>16847</v>
      </c>
      <c r="L2000">
        <f>HYPERLINK("https://www2.assemblee-nationale.fr/sycomore/fiche/(num_dept)/1228", "1228")</f>
        <v>0</v>
      </c>
      <c r="N2000">
        <f>HYPERLINK("https://www.wikidata.org/wiki/Q8306803", "Q8306803")</f>
        <v>0</v>
      </c>
      <c r="O2000" t="s">
        <v>20008</v>
      </c>
      <c r="P2000" t="s">
        <v>20404</v>
      </c>
      <c r="Q2000" t="s">
        <v>20572</v>
      </c>
      <c r="R2000" t="s">
        <v>412</v>
      </c>
      <c r="S2000">
        <v>1481</v>
      </c>
    </row>
    <row r="2001" spans="1:19">
      <c r="A2001" t="s">
        <v>22</v>
      </c>
      <c r="B2001" t="s">
        <v>148</v>
      </c>
      <c r="C2001" t="s">
        <v>154</v>
      </c>
      <c r="D2001" t="s">
        <v>283</v>
      </c>
      <c r="E2001" t="s">
        <v>412</v>
      </c>
      <c r="F2001">
        <f>HYPERLINK("https://www.wikidata.org/wiki/Q16683492", "Q16683492")</f>
        <v>0</v>
      </c>
      <c r="G2001" t="s">
        <v>1390</v>
      </c>
      <c r="H2001" t="s">
        <v>6101</v>
      </c>
      <c r="I2001" t="s">
        <v>6495</v>
      </c>
      <c r="J2001" t="s">
        <v>12116</v>
      </c>
      <c r="K2001" t="s">
        <v>16517</v>
      </c>
      <c r="L2001">
        <f>HYPERLINK("https://www2.assemblee-nationale.fr/sycomore/fiche/(num_dept)/1235", "1235")</f>
        <v>0</v>
      </c>
      <c r="M2001">
        <f>HYPERLINK("https://www.senat.fr/senateur-3eme-republique/bringer_louis0862r3.html", "bringer_louis0862r3")</f>
        <v>0</v>
      </c>
      <c r="N2001">
        <f>HYPERLINK("https://www.wikidata.org/wiki/Q3261361", "Q3261361")</f>
        <v>0</v>
      </c>
      <c r="O2001" t="s">
        <v>20004</v>
      </c>
      <c r="P2001" t="s">
        <v>20409</v>
      </c>
      <c r="Q2001" t="s">
        <v>20572</v>
      </c>
      <c r="R2001" t="s">
        <v>412</v>
      </c>
      <c r="S2001">
        <v>1481</v>
      </c>
    </row>
    <row r="2002" spans="1:19">
      <c r="A2002" t="s">
        <v>22</v>
      </c>
      <c r="B2002" t="s">
        <v>148</v>
      </c>
      <c r="C2002" t="s">
        <v>154</v>
      </c>
      <c r="D2002" t="s">
        <v>283</v>
      </c>
      <c r="E2002" t="s">
        <v>412</v>
      </c>
      <c r="F2002">
        <f>HYPERLINK("https://www.wikidata.org/wiki/Q16683492", "Q16683492")</f>
        <v>0</v>
      </c>
      <c r="G2002" t="s">
        <v>1739</v>
      </c>
      <c r="H2002" t="s">
        <v>6411</v>
      </c>
      <c r="I2002" t="s">
        <v>9920</v>
      </c>
      <c r="J2002" t="s">
        <v>12440</v>
      </c>
      <c r="K2002" t="s">
        <v>16710</v>
      </c>
      <c r="L2002">
        <f>HYPERLINK("https://www2.assemblee-nationale.fr/sycomore/fiche/(num_dept)/1243", "1243")</f>
        <v>0</v>
      </c>
      <c r="N2002">
        <f>HYPERLINK("https://www.wikidata.org/wiki/Q2857109", "Q2857109")</f>
        <v>0</v>
      </c>
      <c r="O2002" t="s">
        <v>19969</v>
      </c>
      <c r="P2002" t="s">
        <v>20412</v>
      </c>
      <c r="Q2002" t="s">
        <v>20572</v>
      </c>
      <c r="R2002" t="s">
        <v>412</v>
      </c>
      <c r="S2002">
        <v>1481</v>
      </c>
    </row>
    <row r="2003" spans="1:19">
      <c r="A2003" t="s">
        <v>22</v>
      </c>
      <c r="B2003" t="s">
        <v>148</v>
      </c>
      <c r="C2003" t="s">
        <v>154</v>
      </c>
      <c r="D2003" t="s">
        <v>283</v>
      </c>
      <c r="E2003" t="s">
        <v>412</v>
      </c>
      <c r="F2003">
        <f>HYPERLINK("https://www.wikidata.org/wiki/Q16683492", "Q16683492")</f>
        <v>0</v>
      </c>
      <c r="G2003" t="s">
        <v>1740</v>
      </c>
      <c r="H2003" t="s">
        <v>6412</v>
      </c>
      <c r="I2003" t="s">
        <v>9407</v>
      </c>
      <c r="J2003" t="s">
        <v>12441</v>
      </c>
      <c r="K2003" t="s">
        <v>16848</v>
      </c>
      <c r="L2003">
        <f>HYPERLINK("https://www2.assemblee-nationale.fr/sycomore/fiche/(num_dept)/1254", "1254")</f>
        <v>0</v>
      </c>
      <c r="M2003">
        <f>HYPERLINK("https://www.senat.fr/senateur-3eme-republique/brom_joseph1111r3.html", "brom_joseph1111r3")</f>
        <v>0</v>
      </c>
      <c r="N2003">
        <f>HYPERLINK("https://www.wikidata.org/wiki/Q104941", "Q104941")</f>
        <v>0</v>
      </c>
      <c r="O2003" t="s">
        <v>20049</v>
      </c>
      <c r="P2003" t="s">
        <v>20426</v>
      </c>
      <c r="Q2003" t="s">
        <v>20572</v>
      </c>
      <c r="R2003" t="s">
        <v>412</v>
      </c>
      <c r="S2003">
        <v>1481</v>
      </c>
    </row>
    <row r="2004" spans="1:19">
      <c r="A2004" t="s">
        <v>22</v>
      </c>
      <c r="B2004" t="s">
        <v>148</v>
      </c>
      <c r="C2004" t="s">
        <v>154</v>
      </c>
      <c r="D2004" t="s">
        <v>283</v>
      </c>
      <c r="E2004" t="s">
        <v>412</v>
      </c>
      <c r="F2004">
        <f>HYPERLINK("https://www.wikidata.org/wiki/Q16683492", "Q16683492")</f>
        <v>0</v>
      </c>
      <c r="G2004" t="s">
        <v>1741</v>
      </c>
      <c r="H2004" t="s">
        <v>5650</v>
      </c>
      <c r="I2004" t="s">
        <v>9921</v>
      </c>
      <c r="J2004" t="s">
        <v>12442</v>
      </c>
      <c r="K2004" t="s">
        <v>16849</v>
      </c>
      <c r="L2004">
        <f>HYPERLINK("https://www2.assemblee-nationale.fr/sycomore/fiche/(num_dept)/1283", "1283")</f>
        <v>0</v>
      </c>
      <c r="N2004">
        <f>HYPERLINK("https://www.wikidata.org/wiki/Q2871093", "Q2871093")</f>
        <v>0</v>
      </c>
      <c r="O2004" t="s">
        <v>19963</v>
      </c>
      <c r="P2004" t="s">
        <v>20423</v>
      </c>
      <c r="Q2004" t="s">
        <v>20572</v>
      </c>
      <c r="R2004" t="s">
        <v>412</v>
      </c>
      <c r="S2004">
        <v>1481</v>
      </c>
    </row>
    <row r="2005" spans="1:19">
      <c r="A2005" t="s">
        <v>22</v>
      </c>
      <c r="B2005" t="s">
        <v>148</v>
      </c>
      <c r="C2005" t="s">
        <v>154</v>
      </c>
      <c r="D2005" t="s">
        <v>283</v>
      </c>
      <c r="E2005" t="s">
        <v>412</v>
      </c>
      <c r="F2005">
        <f>HYPERLINK("https://www.wikidata.org/wiki/Q16683492", "Q16683492")</f>
        <v>0</v>
      </c>
      <c r="G2005" t="s">
        <v>1155</v>
      </c>
      <c r="H2005" t="s">
        <v>5650</v>
      </c>
      <c r="I2005" t="s">
        <v>9683</v>
      </c>
      <c r="J2005" t="s">
        <v>11889</v>
      </c>
      <c r="K2005" t="s">
        <v>16290</v>
      </c>
      <c r="L2005">
        <f>HYPERLINK("https://www2.assemblee-nationale.fr/sycomore/fiche/(num_dept)/1284", "1284")</f>
        <v>0</v>
      </c>
      <c r="N2005">
        <f>HYPERLINK("https://www.wikidata.org/wiki/Q2853742", "Q2853742")</f>
        <v>0</v>
      </c>
      <c r="O2005" t="s">
        <v>19969</v>
      </c>
      <c r="P2005" t="s">
        <v>20425</v>
      </c>
      <c r="Q2005" t="s">
        <v>20572</v>
      </c>
      <c r="R2005" t="s">
        <v>412</v>
      </c>
      <c r="S2005">
        <v>1481</v>
      </c>
    </row>
    <row r="2006" spans="1:19">
      <c r="A2006" t="s">
        <v>22</v>
      </c>
      <c r="B2006" t="s">
        <v>148</v>
      </c>
      <c r="C2006" t="s">
        <v>154</v>
      </c>
      <c r="D2006" t="s">
        <v>283</v>
      </c>
      <c r="E2006" t="s">
        <v>412</v>
      </c>
      <c r="F2006">
        <f>HYPERLINK("https://www.wikidata.org/wiki/Q16683492", "Q16683492")</f>
        <v>0</v>
      </c>
      <c r="G2006" t="s">
        <v>1232</v>
      </c>
      <c r="H2006" t="s">
        <v>5957</v>
      </c>
      <c r="I2006" t="s">
        <v>9717</v>
      </c>
      <c r="J2006" t="s">
        <v>11964</v>
      </c>
      <c r="K2006" t="s">
        <v>16366</v>
      </c>
      <c r="L2006">
        <f>HYPERLINK("https://www2.assemblee-nationale.fr/sycomore/fiche/(num_dept)/1304", "1304")</f>
        <v>0</v>
      </c>
      <c r="N2006">
        <f>HYPERLINK("https://www.wikidata.org/wiki/Q3511108", "Q3511108")</f>
        <v>0</v>
      </c>
      <c r="O2006" t="s">
        <v>20006</v>
      </c>
      <c r="P2006" t="s">
        <v>20404</v>
      </c>
      <c r="Q2006" t="s">
        <v>20572</v>
      </c>
      <c r="R2006" t="s">
        <v>412</v>
      </c>
      <c r="S2006">
        <v>1481</v>
      </c>
    </row>
    <row r="2007" spans="1:19">
      <c r="A2007" t="s">
        <v>22</v>
      </c>
      <c r="B2007" t="s">
        <v>148</v>
      </c>
      <c r="C2007" t="s">
        <v>154</v>
      </c>
      <c r="D2007" t="s">
        <v>283</v>
      </c>
      <c r="E2007" t="s">
        <v>412</v>
      </c>
      <c r="F2007">
        <f>HYPERLINK("https://www.wikidata.org/wiki/Q16683492", "Q16683492")</f>
        <v>0</v>
      </c>
      <c r="G2007" t="s">
        <v>896</v>
      </c>
      <c r="H2007" t="s">
        <v>5652</v>
      </c>
      <c r="I2007" t="s">
        <v>6175</v>
      </c>
      <c r="J2007" t="s">
        <v>11642</v>
      </c>
      <c r="K2007" t="s">
        <v>16041</v>
      </c>
      <c r="L2007">
        <f>HYPERLINK("https://www2.assemblee-nationale.fr/sycomore/fiche/(num_dept)/1313", "1313")</f>
        <v>0</v>
      </c>
      <c r="N2007">
        <f>HYPERLINK("https://www.wikidata.org/wiki/Q3102398", "Q3102398")</f>
        <v>0</v>
      </c>
      <c r="O2007" t="s">
        <v>19978</v>
      </c>
      <c r="P2007" t="s">
        <v>20412</v>
      </c>
      <c r="Q2007" t="s">
        <v>20572</v>
      </c>
      <c r="R2007" t="s">
        <v>412</v>
      </c>
      <c r="S2007">
        <v>1481</v>
      </c>
    </row>
    <row r="2008" spans="1:19">
      <c r="A2008" t="s">
        <v>22</v>
      </c>
      <c r="B2008" t="s">
        <v>148</v>
      </c>
      <c r="C2008" t="s">
        <v>154</v>
      </c>
      <c r="D2008" t="s">
        <v>283</v>
      </c>
      <c r="E2008" t="s">
        <v>412</v>
      </c>
      <c r="F2008">
        <f>HYPERLINK("https://www.wikidata.org/wiki/Q16683492", "Q16683492")</f>
        <v>0</v>
      </c>
      <c r="G2008" t="s">
        <v>1742</v>
      </c>
      <c r="H2008" t="s">
        <v>6413</v>
      </c>
      <c r="I2008" t="s">
        <v>9922</v>
      </c>
      <c r="J2008" t="s">
        <v>12443</v>
      </c>
      <c r="K2008" t="s">
        <v>16850</v>
      </c>
      <c r="L2008">
        <f>HYPERLINK("https://www2.assemblee-nationale.fr/sycomore/fiche/(num_dept)/1315", "1315")</f>
        <v>0</v>
      </c>
      <c r="N2008">
        <f>HYPERLINK("https://www.wikidata.org/wiki/Q8298901", "Q8298901")</f>
        <v>0</v>
      </c>
      <c r="O2008" t="s">
        <v>20049</v>
      </c>
      <c r="P2008" t="s">
        <v>20412</v>
      </c>
      <c r="Q2008" t="s">
        <v>20572</v>
      </c>
      <c r="R2008" t="s">
        <v>16850</v>
      </c>
      <c r="S2008">
        <v>1086</v>
      </c>
    </row>
    <row r="2009" spans="1:19">
      <c r="A2009" t="s">
        <v>22</v>
      </c>
      <c r="B2009" t="s">
        <v>148</v>
      </c>
      <c r="C2009" t="s">
        <v>154</v>
      </c>
      <c r="D2009" t="s">
        <v>283</v>
      </c>
      <c r="E2009" t="s">
        <v>412</v>
      </c>
      <c r="F2009">
        <f>HYPERLINK("https://www.wikidata.org/wiki/Q16683492", "Q16683492")</f>
        <v>0</v>
      </c>
      <c r="G2009" t="s">
        <v>558</v>
      </c>
      <c r="H2009" t="s">
        <v>5321</v>
      </c>
      <c r="I2009" t="s">
        <v>9415</v>
      </c>
      <c r="J2009" t="s">
        <v>11309</v>
      </c>
      <c r="K2009" t="s">
        <v>15710</v>
      </c>
      <c r="L2009">
        <f>HYPERLINK("https://www2.assemblee-nationale.fr/sycomore/fiche/(num_dept)/1325", "1325")</f>
        <v>0</v>
      </c>
      <c r="N2009">
        <f>HYPERLINK("https://www.wikidata.org/wiki/Q15974084", "Q15974084")</f>
        <v>0</v>
      </c>
      <c r="O2009" t="s">
        <v>19969</v>
      </c>
      <c r="P2009" t="s">
        <v>20417</v>
      </c>
      <c r="Q2009" t="s">
        <v>20572</v>
      </c>
      <c r="R2009" t="s">
        <v>412</v>
      </c>
      <c r="S2009">
        <v>1481</v>
      </c>
    </row>
    <row r="2010" spans="1:19">
      <c r="A2010" t="s">
        <v>22</v>
      </c>
      <c r="B2010" t="s">
        <v>148</v>
      </c>
      <c r="C2010" t="s">
        <v>154</v>
      </c>
      <c r="D2010" t="s">
        <v>283</v>
      </c>
      <c r="E2010" t="s">
        <v>412</v>
      </c>
      <c r="F2010">
        <f>HYPERLINK("https://www.wikidata.org/wiki/Q16683492", "Q16683492")</f>
        <v>0</v>
      </c>
      <c r="G2010" t="s">
        <v>1234</v>
      </c>
      <c r="H2010" t="s">
        <v>5959</v>
      </c>
      <c r="I2010" t="s">
        <v>9719</v>
      </c>
      <c r="J2010" t="s">
        <v>11489</v>
      </c>
      <c r="K2010" t="s">
        <v>16368</v>
      </c>
      <c r="L2010">
        <f>HYPERLINK("https://www2.assemblee-nationale.fr/sycomore/fiche/(num_dept)/1346", "1346")</f>
        <v>0</v>
      </c>
      <c r="M2010">
        <f>HYPERLINK("https://www.senat.fr/senateur-3eme-republique/cachin_marcel1405r3.html", "cachin_marcel1405r3")</f>
        <v>0</v>
      </c>
      <c r="N2010">
        <f>HYPERLINK("https://www.wikidata.org/wiki/Q658479", "Q658479")</f>
        <v>0</v>
      </c>
      <c r="O2010" t="s">
        <v>19969</v>
      </c>
      <c r="P2010" t="s">
        <v>20424</v>
      </c>
      <c r="Q2010" t="s">
        <v>20572</v>
      </c>
      <c r="R2010" t="s">
        <v>412</v>
      </c>
      <c r="S2010">
        <v>1481</v>
      </c>
    </row>
    <row r="2011" spans="1:19">
      <c r="A2011" t="s">
        <v>22</v>
      </c>
      <c r="B2011" t="s">
        <v>148</v>
      </c>
      <c r="C2011" t="s">
        <v>154</v>
      </c>
      <c r="D2011" t="s">
        <v>283</v>
      </c>
      <c r="E2011" t="s">
        <v>412</v>
      </c>
      <c r="F2011">
        <f>HYPERLINK("https://www.wikidata.org/wiki/Q16683492", "Q16683492")</f>
        <v>0</v>
      </c>
      <c r="G2011" t="s">
        <v>559</v>
      </c>
      <c r="H2011" t="s">
        <v>5322</v>
      </c>
      <c r="I2011" t="s">
        <v>5948</v>
      </c>
      <c r="J2011" t="s">
        <v>11310</v>
      </c>
      <c r="K2011" t="s">
        <v>15711</v>
      </c>
      <c r="L2011">
        <f>HYPERLINK("https://www2.assemblee-nationale.fr/sycomore/fiche/(num_dept)/1347", "1347")</f>
        <v>0</v>
      </c>
      <c r="N2011">
        <f>HYPERLINK("https://www.wikidata.org/wiki/Q822341", "Q822341")</f>
        <v>0</v>
      </c>
      <c r="O2011" t="s">
        <v>19990</v>
      </c>
      <c r="P2011" t="s">
        <v>20404</v>
      </c>
      <c r="Q2011" t="s">
        <v>20572</v>
      </c>
      <c r="R2011" t="s">
        <v>412</v>
      </c>
      <c r="S2011">
        <v>1481</v>
      </c>
    </row>
    <row r="2012" spans="1:19">
      <c r="A2012" t="s">
        <v>22</v>
      </c>
      <c r="B2012" t="s">
        <v>148</v>
      </c>
      <c r="C2012" t="s">
        <v>154</v>
      </c>
      <c r="D2012" t="s">
        <v>283</v>
      </c>
      <c r="E2012" t="s">
        <v>412</v>
      </c>
      <c r="F2012">
        <f>HYPERLINK("https://www.wikidata.org/wiki/Q16683492", "Q16683492")</f>
        <v>0</v>
      </c>
      <c r="G2012" t="s">
        <v>1743</v>
      </c>
      <c r="H2012" t="s">
        <v>6414</v>
      </c>
      <c r="I2012" t="s">
        <v>9923</v>
      </c>
      <c r="J2012" t="s">
        <v>12444</v>
      </c>
      <c r="K2012" t="s">
        <v>16851</v>
      </c>
      <c r="L2012">
        <f>HYPERLINK("https://www2.assemblee-nationale.fr/sycomore/fiche/(num_dept)/1350", "1350")</f>
        <v>0</v>
      </c>
      <c r="N2012">
        <f>HYPERLINK("https://www.wikidata.org/wiki/Q3184693", "Q3184693")</f>
        <v>0</v>
      </c>
      <c r="O2012" t="s">
        <v>19961</v>
      </c>
      <c r="P2012" t="s">
        <v>20422</v>
      </c>
      <c r="Q2012" t="s">
        <v>20572</v>
      </c>
      <c r="R2012" t="s">
        <v>412</v>
      </c>
      <c r="S2012">
        <v>1481</v>
      </c>
    </row>
    <row r="2013" spans="1:19">
      <c r="A2013" t="s">
        <v>22</v>
      </c>
      <c r="B2013" t="s">
        <v>148</v>
      </c>
      <c r="C2013" t="s">
        <v>154</v>
      </c>
      <c r="D2013" t="s">
        <v>283</v>
      </c>
      <c r="E2013" t="s">
        <v>412</v>
      </c>
      <c r="F2013">
        <f>HYPERLINK("https://www.wikidata.org/wiki/Q16683492", "Q16683492")</f>
        <v>0</v>
      </c>
      <c r="G2013" t="s">
        <v>1156</v>
      </c>
      <c r="H2013" t="s">
        <v>5890</v>
      </c>
      <c r="I2013" t="s">
        <v>9684</v>
      </c>
      <c r="J2013" t="s">
        <v>11890</v>
      </c>
      <c r="K2013" t="s">
        <v>16291</v>
      </c>
      <c r="L2013">
        <f>HYPERLINK("https://www2.assemblee-nationale.fr/sycomore/fiche/(num_dept)/1353", "1353")</f>
        <v>0</v>
      </c>
      <c r="M2013">
        <f>HYPERLINK("https://www.senat.fr/senateur-3eme-republique/cadot_henri0980r3.html", "cadot_henri0980r3")</f>
        <v>0</v>
      </c>
      <c r="N2013">
        <f>HYPERLINK("https://www.wikidata.org/wiki/Q3130771", "Q3130771")</f>
        <v>0</v>
      </c>
      <c r="O2013" t="s">
        <v>19968</v>
      </c>
      <c r="P2013" t="s">
        <v>20404</v>
      </c>
      <c r="Q2013" t="s">
        <v>20572</v>
      </c>
      <c r="R2013" t="s">
        <v>412</v>
      </c>
      <c r="S2013">
        <v>1481</v>
      </c>
    </row>
    <row r="2014" spans="1:19">
      <c r="A2014" t="s">
        <v>22</v>
      </c>
      <c r="B2014" t="s">
        <v>148</v>
      </c>
      <c r="C2014" t="s">
        <v>154</v>
      </c>
      <c r="D2014" t="s">
        <v>283</v>
      </c>
      <c r="E2014" t="s">
        <v>412</v>
      </c>
      <c r="F2014">
        <f>HYPERLINK("https://www.wikidata.org/wiki/Q16683492", "Q16683492")</f>
        <v>0</v>
      </c>
      <c r="G2014" t="s">
        <v>1157</v>
      </c>
      <c r="H2014" t="s">
        <v>5891</v>
      </c>
      <c r="I2014" t="s">
        <v>9685</v>
      </c>
      <c r="J2014" t="s">
        <v>11891</v>
      </c>
      <c r="K2014" t="s">
        <v>16292</v>
      </c>
      <c r="L2014">
        <f>HYPERLINK("https://www2.assemblee-nationale.fr/sycomore/fiche/(num_dept)/1356", "1356")</f>
        <v>0</v>
      </c>
      <c r="N2014">
        <f>HYPERLINK("https://www.wikidata.org/wiki/Q2959687", "Q2959687")</f>
        <v>0</v>
      </c>
      <c r="O2014" t="s">
        <v>7411</v>
      </c>
      <c r="P2014" t="s">
        <v>20423</v>
      </c>
      <c r="Q2014" t="s">
        <v>20572</v>
      </c>
      <c r="R2014" t="s">
        <v>412</v>
      </c>
      <c r="S2014">
        <v>1481</v>
      </c>
    </row>
    <row r="2015" spans="1:19">
      <c r="A2015" t="s">
        <v>22</v>
      </c>
      <c r="B2015" t="s">
        <v>148</v>
      </c>
      <c r="C2015" t="s">
        <v>154</v>
      </c>
      <c r="D2015" t="s">
        <v>283</v>
      </c>
      <c r="E2015" t="s">
        <v>412</v>
      </c>
      <c r="F2015">
        <f>HYPERLINK("https://www.wikidata.org/wiki/Q16683492", "Q16683492")</f>
        <v>0</v>
      </c>
      <c r="G2015" t="s">
        <v>1394</v>
      </c>
      <c r="H2015" t="s">
        <v>6105</v>
      </c>
      <c r="I2015" t="s">
        <v>9790</v>
      </c>
      <c r="J2015" t="s">
        <v>12120</v>
      </c>
      <c r="K2015" t="s">
        <v>16521</v>
      </c>
      <c r="L2015">
        <f>HYPERLINK("https://www2.assemblee-nationale.fr/sycomore/fiche/(num_dept)/1371", "1371")</f>
        <v>0</v>
      </c>
      <c r="N2015">
        <f>HYPERLINK("https://www.wikidata.org/wiki/Q15974097", "Q15974097")</f>
        <v>0</v>
      </c>
      <c r="O2015" t="s">
        <v>19955</v>
      </c>
      <c r="P2015" t="s">
        <v>20423</v>
      </c>
      <c r="Q2015" t="s">
        <v>20572</v>
      </c>
      <c r="R2015" t="s">
        <v>412</v>
      </c>
      <c r="S2015">
        <v>1481</v>
      </c>
    </row>
    <row r="2016" spans="1:19">
      <c r="A2016" t="s">
        <v>22</v>
      </c>
      <c r="B2016" t="s">
        <v>148</v>
      </c>
      <c r="C2016" t="s">
        <v>154</v>
      </c>
      <c r="D2016" t="s">
        <v>283</v>
      </c>
      <c r="E2016" t="s">
        <v>412</v>
      </c>
      <c r="F2016">
        <f>HYPERLINK("https://www.wikidata.org/wiki/Q16683492", "Q16683492")</f>
        <v>0</v>
      </c>
      <c r="G2016" t="s">
        <v>1744</v>
      </c>
      <c r="H2016" t="s">
        <v>6415</v>
      </c>
      <c r="I2016" t="s">
        <v>9924</v>
      </c>
      <c r="J2016" t="s">
        <v>12445</v>
      </c>
      <c r="K2016" t="s">
        <v>16852</v>
      </c>
      <c r="L2016">
        <f>HYPERLINK("https://www2.assemblee-nationale.fr/sycomore/fiche/(num_dept)/1385", "1385")</f>
        <v>0</v>
      </c>
      <c r="N2016">
        <f>HYPERLINK("https://www.wikidata.org/wiki/Q15974126", "Q15974126")</f>
        <v>0</v>
      </c>
      <c r="O2016" t="s">
        <v>19974</v>
      </c>
      <c r="P2016" t="s">
        <v>20404</v>
      </c>
      <c r="Q2016" t="s">
        <v>20572</v>
      </c>
      <c r="R2016" t="s">
        <v>412</v>
      </c>
      <c r="S2016">
        <v>1481</v>
      </c>
    </row>
    <row r="2017" spans="1:19">
      <c r="A2017" t="s">
        <v>22</v>
      </c>
      <c r="B2017" t="s">
        <v>148</v>
      </c>
      <c r="C2017" t="s">
        <v>154</v>
      </c>
      <c r="D2017" t="s">
        <v>283</v>
      </c>
      <c r="E2017" t="s">
        <v>412</v>
      </c>
      <c r="F2017">
        <f>HYPERLINK("https://www.wikidata.org/wiki/Q16683492", "Q16683492")</f>
        <v>0</v>
      </c>
      <c r="G2017" t="s">
        <v>561</v>
      </c>
      <c r="H2017" t="s">
        <v>5324</v>
      </c>
      <c r="I2017" t="s">
        <v>9416</v>
      </c>
      <c r="J2017" t="s">
        <v>11312</v>
      </c>
      <c r="K2017" t="s">
        <v>15713</v>
      </c>
      <c r="L2017">
        <f>HYPERLINK("https://www2.assemblee-nationale.fr/sycomore/fiche/(num_dept)/1408", "1408")</f>
        <v>0</v>
      </c>
      <c r="N2017">
        <f>HYPERLINK("https://www.wikidata.org/wiki/Q15974169", "Q15974169")</f>
        <v>0</v>
      </c>
      <c r="O2017" t="s">
        <v>20002</v>
      </c>
      <c r="P2017" t="s">
        <v>20409</v>
      </c>
      <c r="Q2017" t="s">
        <v>20572</v>
      </c>
      <c r="R2017" t="s">
        <v>412</v>
      </c>
      <c r="S2017">
        <v>1481</v>
      </c>
    </row>
    <row r="2018" spans="1:19">
      <c r="A2018" t="s">
        <v>22</v>
      </c>
      <c r="B2018" t="s">
        <v>148</v>
      </c>
      <c r="C2018" t="s">
        <v>154</v>
      </c>
      <c r="D2018" t="s">
        <v>283</v>
      </c>
      <c r="E2018" t="s">
        <v>412</v>
      </c>
      <c r="F2018">
        <f>HYPERLINK("https://www.wikidata.org/wiki/Q16683492", "Q16683492")</f>
        <v>0</v>
      </c>
      <c r="G2018" t="s">
        <v>1397</v>
      </c>
      <c r="H2018" t="s">
        <v>6108</v>
      </c>
      <c r="I2018" t="s">
        <v>9792</v>
      </c>
      <c r="J2018" t="s">
        <v>12123</v>
      </c>
      <c r="K2018" t="s">
        <v>16524</v>
      </c>
      <c r="L2018">
        <f>HYPERLINK("https://www2.assemblee-nationale.fr/sycomore/fiche/(num_dept)/1412", "1412")</f>
        <v>0</v>
      </c>
      <c r="N2018">
        <f>HYPERLINK("https://www.wikidata.org/wiki/Q3163931", "Q3163931")</f>
        <v>0</v>
      </c>
      <c r="O2018" t="s">
        <v>19990</v>
      </c>
      <c r="P2018" t="s">
        <v>20404</v>
      </c>
      <c r="Q2018" t="s">
        <v>20572</v>
      </c>
      <c r="R2018" t="s">
        <v>412</v>
      </c>
      <c r="S2018">
        <v>1481</v>
      </c>
    </row>
    <row r="2019" spans="1:19">
      <c r="A2019" t="s">
        <v>22</v>
      </c>
      <c r="B2019" t="s">
        <v>148</v>
      </c>
      <c r="C2019" t="s">
        <v>154</v>
      </c>
      <c r="D2019" t="s">
        <v>283</v>
      </c>
      <c r="E2019" t="s">
        <v>412</v>
      </c>
      <c r="F2019">
        <f>HYPERLINK("https://www.wikidata.org/wiki/Q16683492", "Q16683492")</f>
        <v>0</v>
      </c>
      <c r="G2019" t="s">
        <v>1100</v>
      </c>
      <c r="H2019" t="s">
        <v>5841</v>
      </c>
      <c r="I2019" t="s">
        <v>6707</v>
      </c>
      <c r="J2019" t="s">
        <v>11836</v>
      </c>
      <c r="K2019" t="s">
        <v>16236</v>
      </c>
      <c r="L2019">
        <f>HYPERLINK("https://www2.assemblee-nationale.fr/sycomore/fiche/(num_dept)/1415", "1415")</f>
        <v>0</v>
      </c>
      <c r="N2019">
        <f>HYPERLINK("https://www.wikidata.org/wiki/Q3115697", "Q3115697")</f>
        <v>0</v>
      </c>
      <c r="O2019" t="s">
        <v>20028</v>
      </c>
      <c r="P2019" t="s">
        <v>20425</v>
      </c>
      <c r="Q2019" t="s">
        <v>20572</v>
      </c>
      <c r="R2019" t="s">
        <v>412</v>
      </c>
      <c r="S2019">
        <v>1481</v>
      </c>
    </row>
    <row r="2020" spans="1:19">
      <c r="A2020" t="s">
        <v>22</v>
      </c>
      <c r="B2020" t="s">
        <v>148</v>
      </c>
      <c r="C2020" t="s">
        <v>154</v>
      </c>
      <c r="D2020" t="s">
        <v>283</v>
      </c>
      <c r="E2020" t="s">
        <v>412</v>
      </c>
      <c r="F2020">
        <f>HYPERLINK("https://www.wikidata.org/wiki/Q16683492", "Q16683492")</f>
        <v>0</v>
      </c>
      <c r="G2020" t="s">
        <v>1745</v>
      </c>
      <c r="H2020" t="s">
        <v>6416</v>
      </c>
      <c r="I2020" t="s">
        <v>9925</v>
      </c>
      <c r="J2020" t="s">
        <v>12446</v>
      </c>
      <c r="K2020" t="s">
        <v>16853</v>
      </c>
      <c r="L2020">
        <f>HYPERLINK("https://www2.assemblee-nationale.fr/sycomore/fiche/(num_dept)/1418", "1418")</f>
        <v>0</v>
      </c>
      <c r="N2020">
        <f>HYPERLINK("https://www.wikidata.org/wiki/Q15974138", "Q15974138")</f>
        <v>0</v>
      </c>
      <c r="O2020" t="s">
        <v>19987</v>
      </c>
      <c r="P2020" t="s">
        <v>20423</v>
      </c>
      <c r="Q2020" t="s">
        <v>20572</v>
      </c>
      <c r="R2020" t="s">
        <v>412</v>
      </c>
      <c r="S2020">
        <v>1481</v>
      </c>
    </row>
    <row r="2021" spans="1:19">
      <c r="A2021" t="s">
        <v>22</v>
      </c>
      <c r="B2021" t="s">
        <v>148</v>
      </c>
      <c r="C2021" t="s">
        <v>154</v>
      </c>
      <c r="D2021" t="s">
        <v>283</v>
      </c>
      <c r="E2021" t="s">
        <v>412</v>
      </c>
      <c r="F2021">
        <f>HYPERLINK("https://www.wikidata.org/wiki/Q16683492", "Q16683492")</f>
        <v>0</v>
      </c>
      <c r="G2021" t="s">
        <v>1746</v>
      </c>
      <c r="H2021" t="s">
        <v>6417</v>
      </c>
      <c r="I2021" t="s">
        <v>9401</v>
      </c>
      <c r="J2021" t="s">
        <v>12447</v>
      </c>
      <c r="K2021" t="s">
        <v>16854</v>
      </c>
      <c r="L2021">
        <f>HYPERLINK("https://www2.assemblee-nationale.fr/sycomore/fiche/(num_dept)/1425", "1425")</f>
        <v>0</v>
      </c>
      <c r="N2021">
        <f>HYPERLINK("https://www.wikidata.org/wiki/Q15974133", "Q15974133")</f>
        <v>0</v>
      </c>
      <c r="O2021" t="s">
        <v>20045</v>
      </c>
      <c r="P2021" t="s">
        <v>20404</v>
      </c>
      <c r="Q2021" t="s">
        <v>20572</v>
      </c>
      <c r="R2021" t="s">
        <v>412</v>
      </c>
      <c r="S2021">
        <v>1481</v>
      </c>
    </row>
    <row r="2022" spans="1:19">
      <c r="A2022" t="s">
        <v>22</v>
      </c>
      <c r="B2022" t="s">
        <v>148</v>
      </c>
      <c r="C2022" t="s">
        <v>154</v>
      </c>
      <c r="D2022" t="s">
        <v>283</v>
      </c>
      <c r="E2022" t="s">
        <v>412</v>
      </c>
      <c r="F2022">
        <f>HYPERLINK("https://www.wikidata.org/wiki/Q16683492", "Q16683492")</f>
        <v>0</v>
      </c>
      <c r="G2022" t="s">
        <v>1398</v>
      </c>
      <c r="H2022" t="s">
        <v>6109</v>
      </c>
      <c r="I2022" t="s">
        <v>9407</v>
      </c>
      <c r="J2022" t="s">
        <v>12124</v>
      </c>
      <c r="K2022" t="s">
        <v>16525</v>
      </c>
      <c r="L2022">
        <f>HYPERLINK("https://www2.assemblee-nationale.fr/sycomore/fiche/(num_dept)/1429", "1429")</f>
        <v>0</v>
      </c>
      <c r="M2022">
        <f>HYPERLINK("https://www.senat.fr/senateur-3eme-republique/capus_joseph0215r3.html", "capus_joseph0215r3")</f>
        <v>0</v>
      </c>
      <c r="N2022">
        <f>HYPERLINK("https://www.wikidata.org/wiki/Q2405409", "Q2405409")</f>
        <v>0</v>
      </c>
      <c r="O2022" t="s">
        <v>19987</v>
      </c>
      <c r="P2022" t="s">
        <v>20417</v>
      </c>
      <c r="Q2022" t="s">
        <v>20572</v>
      </c>
      <c r="R2022" t="s">
        <v>412</v>
      </c>
      <c r="S2022">
        <v>1481</v>
      </c>
    </row>
    <row r="2023" spans="1:19">
      <c r="A2023" t="s">
        <v>22</v>
      </c>
      <c r="B2023" t="s">
        <v>148</v>
      </c>
      <c r="C2023" t="s">
        <v>154</v>
      </c>
      <c r="D2023" t="s">
        <v>283</v>
      </c>
      <c r="E2023" t="s">
        <v>412</v>
      </c>
      <c r="F2023">
        <f>HYPERLINK("https://www.wikidata.org/wiki/Q16683492", "Q16683492")</f>
        <v>0</v>
      </c>
      <c r="G2023" t="s">
        <v>1747</v>
      </c>
      <c r="H2023" t="s">
        <v>6418</v>
      </c>
      <c r="I2023" t="s">
        <v>9926</v>
      </c>
      <c r="J2023" t="s">
        <v>12448</v>
      </c>
      <c r="K2023" t="s">
        <v>16855</v>
      </c>
      <c r="L2023">
        <f>HYPERLINK("https://www2.assemblee-nationale.fr/sycomore/fiche/(num_dept)/1447", "1447")</f>
        <v>0</v>
      </c>
      <c r="N2023">
        <f>HYPERLINK("https://www.wikidata.org/wiki/Q15974149", "Q15974149")</f>
        <v>0</v>
      </c>
      <c r="O2023" t="s">
        <v>20042</v>
      </c>
      <c r="P2023" t="s">
        <v>20404</v>
      </c>
      <c r="Q2023" t="s">
        <v>20572</v>
      </c>
      <c r="R2023" t="s">
        <v>412</v>
      </c>
      <c r="S2023">
        <v>1481</v>
      </c>
    </row>
    <row r="2024" spans="1:19">
      <c r="A2024" t="s">
        <v>22</v>
      </c>
      <c r="B2024" t="s">
        <v>148</v>
      </c>
      <c r="C2024" t="s">
        <v>154</v>
      </c>
      <c r="D2024" t="s">
        <v>283</v>
      </c>
      <c r="E2024" t="s">
        <v>412</v>
      </c>
      <c r="F2024">
        <f>HYPERLINK("https://www.wikidata.org/wiki/Q16683492", "Q16683492")</f>
        <v>0</v>
      </c>
      <c r="G2024" t="s">
        <v>1748</v>
      </c>
      <c r="H2024" t="s">
        <v>5325</v>
      </c>
      <c r="I2024" t="s">
        <v>9927</v>
      </c>
      <c r="J2024" t="s">
        <v>12449</v>
      </c>
      <c r="K2024" t="s">
        <v>16856</v>
      </c>
      <c r="L2024">
        <f>HYPERLINK("https://www2.assemblee-nationale.fr/sycomore/fiche/(num_dept)/1452", "1452")</f>
        <v>0</v>
      </c>
      <c r="N2024">
        <f>HYPERLINK("https://www.wikidata.org/wiki/Q15974152", "Q15974152")</f>
        <v>0</v>
      </c>
      <c r="O2024" t="s">
        <v>20031</v>
      </c>
      <c r="P2024" t="s">
        <v>20417</v>
      </c>
      <c r="Q2024" t="s">
        <v>20572</v>
      </c>
      <c r="R2024" t="s">
        <v>412</v>
      </c>
      <c r="S2024">
        <v>1481</v>
      </c>
    </row>
    <row r="2025" spans="1:19">
      <c r="A2025" t="s">
        <v>22</v>
      </c>
      <c r="B2025" t="s">
        <v>148</v>
      </c>
      <c r="C2025" t="s">
        <v>154</v>
      </c>
      <c r="D2025" t="s">
        <v>283</v>
      </c>
      <c r="E2025" t="s">
        <v>412</v>
      </c>
      <c r="F2025">
        <f>HYPERLINK("https://www.wikidata.org/wiki/Q16683492", "Q16683492")</f>
        <v>0</v>
      </c>
      <c r="G2025" t="s">
        <v>1749</v>
      </c>
      <c r="H2025" t="s">
        <v>6419</v>
      </c>
      <c r="I2025" t="s">
        <v>9928</v>
      </c>
      <c r="J2025" t="s">
        <v>11879</v>
      </c>
      <c r="K2025" t="s">
        <v>16857</v>
      </c>
      <c r="L2025">
        <f>HYPERLINK("https://www2.assemblee-nationale.fr/sycomore/fiche/(num_dept)/1470", "1470")</f>
        <v>0</v>
      </c>
      <c r="N2025">
        <f>HYPERLINK("https://www.wikidata.org/wiki/Q3143572", "Q3143572")</f>
        <v>0</v>
      </c>
      <c r="O2025" t="s">
        <v>19988</v>
      </c>
      <c r="P2025" t="s">
        <v>20423</v>
      </c>
      <c r="Q2025" t="s">
        <v>20572</v>
      </c>
      <c r="R2025" t="s">
        <v>412</v>
      </c>
      <c r="S2025">
        <v>1481</v>
      </c>
    </row>
    <row r="2026" spans="1:19">
      <c r="A2026" t="s">
        <v>22</v>
      </c>
      <c r="B2026" t="s">
        <v>148</v>
      </c>
      <c r="C2026" t="s">
        <v>154</v>
      </c>
      <c r="D2026" t="s">
        <v>283</v>
      </c>
      <c r="E2026" t="s">
        <v>412</v>
      </c>
      <c r="F2026">
        <f>HYPERLINK("https://www.wikidata.org/wiki/Q16683492", "Q16683492")</f>
        <v>0</v>
      </c>
      <c r="G2026" t="s">
        <v>1750</v>
      </c>
      <c r="H2026" t="s">
        <v>6420</v>
      </c>
      <c r="I2026" t="s">
        <v>9929</v>
      </c>
      <c r="J2026" t="s">
        <v>12450</v>
      </c>
      <c r="K2026" t="s">
        <v>16423</v>
      </c>
      <c r="L2026">
        <f>HYPERLINK("https://www2.assemblee-nationale.fr/sycomore/fiche/(num_dept)/1496", "1496")</f>
        <v>0</v>
      </c>
      <c r="N2026">
        <f>HYPERLINK("https://www.wikidata.org/wiki/Q15974200", "Q15974200")</f>
        <v>0</v>
      </c>
      <c r="O2026" t="s">
        <v>19970</v>
      </c>
      <c r="P2026" t="s">
        <v>20422</v>
      </c>
      <c r="Q2026" t="s">
        <v>20572</v>
      </c>
      <c r="R2026" t="s">
        <v>412</v>
      </c>
      <c r="S2026">
        <v>1481</v>
      </c>
    </row>
    <row r="2027" spans="1:19">
      <c r="A2027" t="s">
        <v>22</v>
      </c>
      <c r="B2027" t="s">
        <v>148</v>
      </c>
      <c r="C2027" t="s">
        <v>154</v>
      </c>
      <c r="D2027" t="s">
        <v>283</v>
      </c>
      <c r="E2027" t="s">
        <v>412</v>
      </c>
      <c r="F2027">
        <f>HYPERLINK("https://www.wikidata.org/wiki/Q16683492", "Q16683492")</f>
        <v>0</v>
      </c>
      <c r="G2027" t="s">
        <v>1401</v>
      </c>
      <c r="H2027" t="s">
        <v>6112</v>
      </c>
      <c r="I2027" t="s">
        <v>5528</v>
      </c>
      <c r="J2027" t="s">
        <v>11473</v>
      </c>
      <c r="K2027" t="s">
        <v>16528</v>
      </c>
      <c r="L2027">
        <f>HYPERLINK("https://www2.assemblee-nationale.fr/sycomore/fiche/(num_dept)/1500", "1500")</f>
        <v>0</v>
      </c>
      <c r="N2027">
        <f>HYPERLINK("https://www.wikidata.org/wiki/Q3270798", "Q3270798")</f>
        <v>0</v>
      </c>
      <c r="O2027" t="s">
        <v>19960</v>
      </c>
      <c r="P2027" t="s">
        <v>20423</v>
      </c>
      <c r="Q2027" t="s">
        <v>20572</v>
      </c>
      <c r="R2027" t="s">
        <v>412</v>
      </c>
      <c r="S2027">
        <v>1481</v>
      </c>
    </row>
    <row r="2028" spans="1:19">
      <c r="A2028" t="s">
        <v>22</v>
      </c>
      <c r="B2028" t="s">
        <v>148</v>
      </c>
      <c r="C2028" t="s">
        <v>154</v>
      </c>
      <c r="D2028" t="s">
        <v>283</v>
      </c>
      <c r="E2028" t="s">
        <v>412</v>
      </c>
      <c r="F2028">
        <f>HYPERLINK("https://www.wikidata.org/wiki/Q16683492", "Q16683492")</f>
        <v>0</v>
      </c>
      <c r="G2028" t="s">
        <v>1751</v>
      </c>
      <c r="H2028" t="s">
        <v>6421</v>
      </c>
      <c r="I2028" t="s">
        <v>9930</v>
      </c>
      <c r="J2028" t="s">
        <v>12451</v>
      </c>
      <c r="K2028" t="s">
        <v>16530</v>
      </c>
      <c r="L2028">
        <f>HYPERLINK("https://www2.assemblee-nationale.fr/sycomore/fiche/(num_dept)/1529", "1529")</f>
        <v>0</v>
      </c>
      <c r="N2028">
        <f>HYPERLINK("https://www.wikidata.org/wiki/Q15974171", "Q15974171")</f>
        <v>0</v>
      </c>
      <c r="O2028" t="s">
        <v>19987</v>
      </c>
      <c r="P2028" t="s">
        <v>20423</v>
      </c>
      <c r="Q2028" t="s">
        <v>20572</v>
      </c>
      <c r="R2028" t="s">
        <v>412</v>
      </c>
      <c r="S2028">
        <v>1481</v>
      </c>
    </row>
    <row r="2029" spans="1:19">
      <c r="A2029" t="s">
        <v>22</v>
      </c>
      <c r="B2029" t="s">
        <v>148</v>
      </c>
      <c r="C2029" t="s">
        <v>154</v>
      </c>
      <c r="D2029" t="s">
        <v>283</v>
      </c>
      <c r="E2029" t="s">
        <v>412</v>
      </c>
      <c r="F2029">
        <f>HYPERLINK("https://www.wikidata.org/wiki/Q16683492", "Q16683492")</f>
        <v>0</v>
      </c>
      <c r="G2029" t="s">
        <v>1404</v>
      </c>
      <c r="H2029" t="s">
        <v>6114</v>
      </c>
      <c r="I2029" t="s">
        <v>9388</v>
      </c>
      <c r="J2029" t="s">
        <v>12129</v>
      </c>
      <c r="K2029" t="s">
        <v>16531</v>
      </c>
      <c r="L2029">
        <f>HYPERLINK("https://www2.assemblee-nationale.fr/sycomore/fiche/(num_dept)/1534", "1534")</f>
        <v>0</v>
      </c>
      <c r="N2029">
        <f>HYPERLINK("https://www.wikidata.org/wiki/Q15974258", "Q15974258")</f>
        <v>0</v>
      </c>
      <c r="O2029" t="s">
        <v>20036</v>
      </c>
      <c r="P2029" t="s">
        <v>20422</v>
      </c>
      <c r="Q2029" t="s">
        <v>20572</v>
      </c>
      <c r="R2029" t="s">
        <v>16531</v>
      </c>
      <c r="S2029">
        <v>1308</v>
      </c>
    </row>
    <row r="2030" spans="1:19">
      <c r="A2030" t="s">
        <v>22</v>
      </c>
      <c r="B2030" t="s">
        <v>148</v>
      </c>
      <c r="C2030" t="s">
        <v>154</v>
      </c>
      <c r="D2030" t="s">
        <v>283</v>
      </c>
      <c r="E2030" t="s">
        <v>412</v>
      </c>
      <c r="F2030">
        <f>HYPERLINK("https://www.wikidata.org/wiki/Q16683492", "Q16683492")</f>
        <v>0</v>
      </c>
      <c r="G2030" t="s">
        <v>1405</v>
      </c>
      <c r="H2030" t="s">
        <v>6115</v>
      </c>
      <c r="I2030" t="s">
        <v>9506</v>
      </c>
      <c r="J2030" t="s">
        <v>12130</v>
      </c>
      <c r="K2030" t="s">
        <v>16532</v>
      </c>
      <c r="L2030">
        <f>HYPERLINK("https://www2.assemblee-nationale.fr/sycomore/fiche/(num_dept)/1536", "1536")</f>
        <v>0</v>
      </c>
      <c r="M2030">
        <f>HYPERLINK("https://www.senat.fr/senateur-3eme-republique/cautru_camille0339r3.html", "cautru_camille0339r3")</f>
        <v>0</v>
      </c>
      <c r="N2030">
        <f>HYPERLINK("https://www.wikidata.org/wiki/Q2934880", "Q2934880")</f>
        <v>0</v>
      </c>
      <c r="O2030" t="s">
        <v>20009</v>
      </c>
      <c r="P2030" t="s">
        <v>20422</v>
      </c>
      <c r="Q2030" t="s">
        <v>20572</v>
      </c>
      <c r="R2030" t="s">
        <v>412</v>
      </c>
      <c r="S2030">
        <v>1481</v>
      </c>
    </row>
    <row r="2031" spans="1:19">
      <c r="A2031" t="s">
        <v>22</v>
      </c>
      <c r="B2031" t="s">
        <v>148</v>
      </c>
      <c r="C2031" t="s">
        <v>154</v>
      </c>
      <c r="D2031" t="s">
        <v>283</v>
      </c>
      <c r="E2031" t="s">
        <v>412</v>
      </c>
      <c r="F2031">
        <f>HYPERLINK("https://www.wikidata.org/wiki/Q16683492", "Q16683492")</f>
        <v>0</v>
      </c>
      <c r="G2031" t="s">
        <v>1752</v>
      </c>
      <c r="H2031" t="s">
        <v>6422</v>
      </c>
      <c r="I2031" t="s">
        <v>9931</v>
      </c>
      <c r="J2031" t="s">
        <v>12452</v>
      </c>
      <c r="K2031" t="s">
        <v>16858</v>
      </c>
      <c r="L2031">
        <f>HYPERLINK("https://www2.assemblee-nationale.fr/sycomore/fiche/(num_dept)/1546", "1546")</f>
        <v>0</v>
      </c>
      <c r="N2031">
        <f>HYPERLINK("https://www.wikidata.org/wiki/Q2853775", "Q2853775")</f>
        <v>0</v>
      </c>
      <c r="O2031" t="s">
        <v>19987</v>
      </c>
      <c r="P2031" t="s">
        <v>20404</v>
      </c>
      <c r="Q2031" t="s">
        <v>20572</v>
      </c>
      <c r="R2031" t="s">
        <v>412</v>
      </c>
      <c r="S2031">
        <v>1481</v>
      </c>
    </row>
    <row r="2032" spans="1:19">
      <c r="A2032" t="s">
        <v>22</v>
      </c>
      <c r="B2032" t="s">
        <v>148</v>
      </c>
      <c r="C2032" t="s">
        <v>154</v>
      </c>
      <c r="D2032" t="s">
        <v>283</v>
      </c>
      <c r="E2032" t="s">
        <v>412</v>
      </c>
      <c r="F2032">
        <f>HYPERLINK("https://www.wikidata.org/wiki/Q16683492", "Q16683492")</f>
        <v>0</v>
      </c>
      <c r="G2032" t="s">
        <v>1406</v>
      </c>
      <c r="H2032" t="s">
        <v>6116</v>
      </c>
      <c r="I2032" t="s">
        <v>9797</v>
      </c>
      <c r="J2032" t="s">
        <v>12131</v>
      </c>
      <c r="K2032" t="s">
        <v>16533</v>
      </c>
      <c r="L2032">
        <f>HYPERLINK("https://www2.assemblee-nationale.fr/sycomore/fiche/(num_dept)/1551", "1551")</f>
        <v>0</v>
      </c>
      <c r="N2032">
        <f>HYPERLINK("https://www.wikidata.org/wiki/Q14613510", "Q14613510")</f>
        <v>0</v>
      </c>
      <c r="O2032" t="s">
        <v>20019</v>
      </c>
      <c r="P2032" t="s">
        <v>20423</v>
      </c>
      <c r="Q2032" t="s">
        <v>20572</v>
      </c>
      <c r="R2032" t="s">
        <v>412</v>
      </c>
      <c r="S2032">
        <v>1481</v>
      </c>
    </row>
    <row r="2033" spans="1:19">
      <c r="A2033" t="s">
        <v>22</v>
      </c>
      <c r="B2033" t="s">
        <v>148</v>
      </c>
      <c r="C2033" t="s">
        <v>154</v>
      </c>
      <c r="D2033" t="s">
        <v>283</v>
      </c>
      <c r="E2033" t="s">
        <v>412</v>
      </c>
      <c r="F2033">
        <f>HYPERLINK("https://www.wikidata.org/wiki/Q16683492", "Q16683492")</f>
        <v>0</v>
      </c>
      <c r="G2033" t="s">
        <v>565</v>
      </c>
      <c r="H2033" t="s">
        <v>5328</v>
      </c>
      <c r="I2033" t="s">
        <v>6860</v>
      </c>
      <c r="J2033" t="s">
        <v>11316</v>
      </c>
      <c r="K2033" t="s">
        <v>15717</v>
      </c>
      <c r="L2033">
        <f>HYPERLINK("https://www2.assemblee-nationale.fr/sycomore/fiche/(num_dept)/1623", "1623")</f>
        <v>0</v>
      </c>
      <c r="M2033">
        <f>HYPERLINK("https://www.senat.fr/senateur-3eme-republique/de_chambrun_pierre0856r3.html", "de_chambrun_pierre0856r3")</f>
        <v>0</v>
      </c>
      <c r="N2033">
        <f>HYPERLINK("https://www.wikidata.org/wiki/Q3042196", "Q3042196")</f>
        <v>0</v>
      </c>
      <c r="O2033" t="s">
        <v>20004</v>
      </c>
      <c r="P2033" t="s">
        <v>20412</v>
      </c>
      <c r="Q2033" t="s">
        <v>20572</v>
      </c>
      <c r="R2033" t="s">
        <v>412</v>
      </c>
      <c r="S2033">
        <v>1481</v>
      </c>
    </row>
    <row r="2034" spans="1:19">
      <c r="A2034" t="s">
        <v>22</v>
      </c>
      <c r="B2034" t="s">
        <v>148</v>
      </c>
      <c r="C2034" t="s">
        <v>154</v>
      </c>
      <c r="D2034" t="s">
        <v>283</v>
      </c>
      <c r="E2034" t="s">
        <v>412</v>
      </c>
      <c r="F2034">
        <f>HYPERLINK("https://www.wikidata.org/wiki/Q16683492", "Q16683492")</f>
        <v>0</v>
      </c>
      <c r="G2034" t="s">
        <v>1753</v>
      </c>
      <c r="H2034" t="s">
        <v>6423</v>
      </c>
      <c r="I2034" t="s">
        <v>7419</v>
      </c>
      <c r="J2034" t="s">
        <v>12453</v>
      </c>
      <c r="K2034" t="s">
        <v>16859</v>
      </c>
      <c r="L2034">
        <f>HYPERLINK("https://www2.assemblee-nationale.fr/sycomore/fiche/(num_dept)/1626", "1626")</f>
        <v>0</v>
      </c>
      <c r="M2034">
        <f>HYPERLINK("https://www.senat.fr/senateur-3eme-republique/de_chammard_jacques0464r3.html", "de_chammard_jacques0464r3")</f>
        <v>0</v>
      </c>
      <c r="N2034">
        <f>HYPERLINK("https://www.wikidata.org/wiki/Q3160262", "Q3160262")</f>
        <v>0</v>
      </c>
      <c r="O2034" t="s">
        <v>20020</v>
      </c>
      <c r="P2034" t="s">
        <v>20423</v>
      </c>
      <c r="Q2034" t="s">
        <v>20572</v>
      </c>
      <c r="R2034" t="s">
        <v>412</v>
      </c>
      <c r="S2034">
        <v>1481</v>
      </c>
    </row>
    <row r="2035" spans="1:19">
      <c r="A2035" t="s">
        <v>22</v>
      </c>
      <c r="B2035" t="s">
        <v>148</v>
      </c>
      <c r="C2035" t="s">
        <v>154</v>
      </c>
      <c r="D2035" t="s">
        <v>283</v>
      </c>
      <c r="E2035" t="s">
        <v>412</v>
      </c>
      <c r="F2035">
        <f>HYPERLINK("https://www.wikidata.org/wiki/Q16683492", "Q16683492")</f>
        <v>0</v>
      </c>
      <c r="G2035" t="s">
        <v>1754</v>
      </c>
      <c r="H2035" t="s">
        <v>6424</v>
      </c>
      <c r="I2035" t="s">
        <v>9552</v>
      </c>
      <c r="J2035" t="s">
        <v>12454</v>
      </c>
      <c r="K2035" t="s">
        <v>16860</v>
      </c>
      <c r="L2035">
        <f>HYPERLINK("https://www2.assemblee-nationale.fr/sycomore/fiche/(num_dept)/1631", "1631")</f>
        <v>0</v>
      </c>
      <c r="M2035">
        <f>HYPERLINK("https://www.senat.fr/senateur-3eme-republique/champetier_de_ribes_auguste0517r4.html", "champetier_de_ribes_auguste0517r4")</f>
        <v>0</v>
      </c>
      <c r="N2035">
        <f>HYPERLINK("https://www.wikidata.org/wiki/Q478746", "Q478746")</f>
        <v>0</v>
      </c>
      <c r="O2035" t="s">
        <v>19970</v>
      </c>
      <c r="P2035" t="s">
        <v>20426</v>
      </c>
      <c r="Q2035" t="s">
        <v>20572</v>
      </c>
      <c r="R2035" t="s">
        <v>412</v>
      </c>
      <c r="S2035">
        <v>1481</v>
      </c>
    </row>
    <row r="2036" spans="1:19">
      <c r="A2036" t="s">
        <v>22</v>
      </c>
      <c r="B2036" t="s">
        <v>148</v>
      </c>
      <c r="C2036" t="s">
        <v>154</v>
      </c>
      <c r="D2036" t="s">
        <v>283</v>
      </c>
      <c r="E2036" t="s">
        <v>412</v>
      </c>
      <c r="F2036">
        <f>HYPERLINK("https://www.wikidata.org/wiki/Q16683492", "Q16683492")</f>
        <v>0</v>
      </c>
      <c r="G2036" t="s">
        <v>906</v>
      </c>
      <c r="H2036" t="s">
        <v>5662</v>
      </c>
      <c r="I2036" t="s">
        <v>6495</v>
      </c>
      <c r="J2036" t="s">
        <v>11377</v>
      </c>
      <c r="K2036" t="s">
        <v>16050</v>
      </c>
      <c r="L2036">
        <f>HYPERLINK("https://www2.assemblee-nationale.fr/sycomore/fiche/(num_dept)/1648", "1648")</f>
        <v>0</v>
      </c>
      <c r="N2036">
        <f>HYPERLINK("https://www.wikidata.org/wiki/Q3263418", "Q3263418")</f>
        <v>0</v>
      </c>
      <c r="O2036" t="s">
        <v>19964</v>
      </c>
      <c r="P2036" t="s">
        <v>20401</v>
      </c>
      <c r="Q2036" t="s">
        <v>20572</v>
      </c>
      <c r="R2036" t="s">
        <v>412</v>
      </c>
      <c r="S2036">
        <v>1481</v>
      </c>
    </row>
    <row r="2037" spans="1:19">
      <c r="A2037" t="s">
        <v>22</v>
      </c>
      <c r="B2037" t="s">
        <v>148</v>
      </c>
      <c r="C2037" t="s">
        <v>154</v>
      </c>
      <c r="D2037" t="s">
        <v>283</v>
      </c>
      <c r="E2037" t="s">
        <v>412</v>
      </c>
      <c r="F2037">
        <f>HYPERLINK("https://www.wikidata.org/wiki/Q16683492", "Q16683492")</f>
        <v>0</v>
      </c>
      <c r="G2037" t="s">
        <v>1755</v>
      </c>
      <c r="H2037" t="s">
        <v>6425</v>
      </c>
      <c r="I2037" t="s">
        <v>9932</v>
      </c>
      <c r="J2037" t="s">
        <v>12455</v>
      </c>
      <c r="K2037" t="s">
        <v>16861</v>
      </c>
      <c r="L2037">
        <f>HYPERLINK("https://www2.assemblee-nationale.fr/sycomore/fiche/(num_dept)/1674", "1674")</f>
        <v>0</v>
      </c>
      <c r="N2037">
        <f>HYPERLINK("https://www.wikidata.org/wiki/Q15971903", "Q15971903")</f>
        <v>0</v>
      </c>
      <c r="O2037" t="s">
        <v>19987</v>
      </c>
      <c r="P2037" t="s">
        <v>20423</v>
      </c>
      <c r="Q2037" t="s">
        <v>20572</v>
      </c>
      <c r="R2037" t="s">
        <v>412</v>
      </c>
      <c r="S2037">
        <v>1481</v>
      </c>
    </row>
    <row r="2038" spans="1:19">
      <c r="A2038" t="s">
        <v>22</v>
      </c>
      <c r="B2038" t="s">
        <v>148</v>
      </c>
      <c r="C2038" t="s">
        <v>154</v>
      </c>
      <c r="D2038" t="s">
        <v>283</v>
      </c>
      <c r="E2038" t="s">
        <v>412</v>
      </c>
      <c r="F2038">
        <f>HYPERLINK("https://www.wikidata.org/wiki/Q16683492", "Q16683492")</f>
        <v>0</v>
      </c>
      <c r="G2038" t="s">
        <v>1407</v>
      </c>
      <c r="H2038" t="s">
        <v>6117</v>
      </c>
      <c r="I2038" t="s">
        <v>9798</v>
      </c>
      <c r="J2038" t="s">
        <v>12132</v>
      </c>
      <c r="K2038" t="s">
        <v>16534</v>
      </c>
      <c r="L2038">
        <f>HYPERLINK("https://www2.assemblee-nationale.fr/sycomore/fiche/(num_dept)/1692", "1692")</f>
        <v>0</v>
      </c>
      <c r="N2038">
        <f>HYPERLINK("https://www.wikidata.org/wiki/Q3370851", "Q3370851")</f>
        <v>0</v>
      </c>
      <c r="O2038" t="s">
        <v>19969</v>
      </c>
      <c r="P2038" t="s">
        <v>20422</v>
      </c>
      <c r="Q2038" t="s">
        <v>20572</v>
      </c>
      <c r="R2038" t="s">
        <v>412</v>
      </c>
      <c r="S2038">
        <v>1481</v>
      </c>
    </row>
    <row r="2039" spans="1:19">
      <c r="A2039" t="s">
        <v>22</v>
      </c>
      <c r="B2039" t="s">
        <v>148</v>
      </c>
      <c r="C2039" t="s">
        <v>154</v>
      </c>
      <c r="D2039" t="s">
        <v>283</v>
      </c>
      <c r="E2039" t="s">
        <v>412</v>
      </c>
      <c r="F2039">
        <f>HYPERLINK("https://www.wikidata.org/wiki/Q16683492", "Q16683492")</f>
        <v>0</v>
      </c>
      <c r="G2039" t="s">
        <v>569</v>
      </c>
      <c r="H2039" t="s">
        <v>5332</v>
      </c>
      <c r="I2039" t="s">
        <v>9422</v>
      </c>
      <c r="J2039" t="s">
        <v>11320</v>
      </c>
      <c r="K2039" t="s">
        <v>15721</v>
      </c>
      <c r="L2039">
        <f>HYPERLINK("https://www2.assemblee-nationale.fr/sycomore/fiche/(num_dept)/1693", "1693")</f>
        <v>0</v>
      </c>
      <c r="M2039">
        <f>HYPERLINK("https://www.senat.fr/senateur-3eme-republique/chassaing_eugene0995r3.html", "chassaing_eugene0995r3")</f>
        <v>0</v>
      </c>
      <c r="N2039">
        <f>HYPERLINK("https://www.wikidata.org/wiki/Q3059770", "Q3059770")</f>
        <v>0</v>
      </c>
      <c r="O2039" t="s">
        <v>20005</v>
      </c>
      <c r="P2039" t="s">
        <v>20423</v>
      </c>
      <c r="Q2039" t="s">
        <v>20572</v>
      </c>
      <c r="R2039" t="s">
        <v>412</v>
      </c>
      <c r="S2039">
        <v>1481</v>
      </c>
    </row>
    <row r="2040" spans="1:19">
      <c r="A2040" t="s">
        <v>22</v>
      </c>
      <c r="B2040" t="s">
        <v>148</v>
      </c>
      <c r="C2040" t="s">
        <v>154</v>
      </c>
      <c r="D2040" t="s">
        <v>283</v>
      </c>
      <c r="E2040" t="s">
        <v>412</v>
      </c>
      <c r="F2040">
        <f>HYPERLINK("https://www.wikidata.org/wiki/Q16683492", "Q16683492")</f>
        <v>0</v>
      </c>
      <c r="G2040" t="s">
        <v>1756</v>
      </c>
      <c r="H2040" t="s">
        <v>6426</v>
      </c>
      <c r="I2040" t="s">
        <v>9933</v>
      </c>
      <c r="J2040" t="s">
        <v>12456</v>
      </c>
      <c r="K2040" t="s">
        <v>16862</v>
      </c>
      <c r="L2040">
        <f>HYPERLINK("https://www2.assemblee-nationale.fr/sycomore/fiche/(num_dept)/1698", "1698")</f>
        <v>0</v>
      </c>
      <c r="N2040">
        <f>HYPERLINK("https://www.wikidata.org/wiki/Q3166703", "Q3166703")</f>
        <v>0</v>
      </c>
      <c r="O2040" t="s">
        <v>20006</v>
      </c>
      <c r="P2040" t="s">
        <v>20404</v>
      </c>
      <c r="Q2040" t="s">
        <v>20572</v>
      </c>
      <c r="R2040" t="s">
        <v>412</v>
      </c>
      <c r="S2040">
        <v>1481</v>
      </c>
    </row>
    <row r="2041" spans="1:19">
      <c r="A2041" t="s">
        <v>22</v>
      </c>
      <c r="B2041" t="s">
        <v>148</v>
      </c>
      <c r="C2041" t="s">
        <v>154</v>
      </c>
      <c r="D2041" t="s">
        <v>283</v>
      </c>
      <c r="E2041" t="s">
        <v>412</v>
      </c>
      <c r="F2041">
        <f>HYPERLINK("https://www.wikidata.org/wiki/Q16683492", "Q16683492")</f>
        <v>0</v>
      </c>
      <c r="G2041" t="s">
        <v>1408</v>
      </c>
      <c r="H2041" t="s">
        <v>6118</v>
      </c>
      <c r="I2041" t="s">
        <v>9799</v>
      </c>
      <c r="J2041" t="s">
        <v>12133</v>
      </c>
      <c r="K2041" t="s">
        <v>16535</v>
      </c>
      <c r="L2041">
        <f>HYPERLINK("https://www2.assemblee-nationale.fr/sycomore/fiche/(num_dept)/1714", "1714")</f>
        <v>0</v>
      </c>
      <c r="N2041">
        <f>HYPERLINK("https://www.wikidata.org/wiki/Q16026266", "Q16026266")</f>
        <v>0</v>
      </c>
      <c r="O2041" t="s">
        <v>19977</v>
      </c>
      <c r="P2041" t="s">
        <v>20404</v>
      </c>
      <c r="Q2041" t="s">
        <v>20572</v>
      </c>
      <c r="R2041" t="s">
        <v>412</v>
      </c>
      <c r="S2041">
        <v>1481</v>
      </c>
    </row>
    <row r="2042" spans="1:19">
      <c r="A2042" t="s">
        <v>22</v>
      </c>
      <c r="B2042" t="s">
        <v>148</v>
      </c>
      <c r="C2042" t="s">
        <v>154</v>
      </c>
      <c r="D2042" t="s">
        <v>283</v>
      </c>
      <c r="E2042" t="s">
        <v>412</v>
      </c>
      <c r="F2042">
        <f>HYPERLINK("https://www.wikidata.org/wiki/Q16683492", "Q16683492")</f>
        <v>0</v>
      </c>
      <c r="G2042" t="s">
        <v>1757</v>
      </c>
      <c r="H2042" t="s">
        <v>5892</v>
      </c>
      <c r="I2042" t="s">
        <v>9934</v>
      </c>
      <c r="J2042" t="s">
        <v>12457</v>
      </c>
      <c r="K2042" t="s">
        <v>16863</v>
      </c>
      <c r="L2042">
        <f>HYPERLINK("https://www2.assemblee-nationale.fr/sycomore/fiche/(num_dept)/1717", "1717")</f>
        <v>0</v>
      </c>
      <c r="N2042">
        <f>HYPERLINK("https://www.wikidata.org/wiki/Q16025431", "Q16025431")</f>
        <v>0</v>
      </c>
      <c r="O2042" t="s">
        <v>20043</v>
      </c>
      <c r="P2042" t="s">
        <v>20423</v>
      </c>
      <c r="Q2042" t="s">
        <v>20572</v>
      </c>
      <c r="R2042" t="s">
        <v>412</v>
      </c>
      <c r="S2042">
        <v>1481</v>
      </c>
    </row>
    <row r="2043" spans="1:19">
      <c r="A2043" t="s">
        <v>22</v>
      </c>
      <c r="B2043" t="s">
        <v>148</v>
      </c>
      <c r="C2043" t="s">
        <v>154</v>
      </c>
      <c r="D2043" t="s">
        <v>283</v>
      </c>
      <c r="E2043" t="s">
        <v>412</v>
      </c>
      <c r="F2043">
        <f>HYPERLINK("https://www.wikidata.org/wiki/Q16683492", "Q16683492")</f>
        <v>0</v>
      </c>
      <c r="G2043" t="s">
        <v>1409</v>
      </c>
      <c r="H2043" t="s">
        <v>6119</v>
      </c>
      <c r="I2043" t="s">
        <v>9800</v>
      </c>
      <c r="J2043" t="s">
        <v>12134</v>
      </c>
      <c r="K2043" t="s">
        <v>16536</v>
      </c>
      <c r="L2043">
        <f>HYPERLINK("https://www2.assemblee-nationale.fr/sycomore/fiche/(num_dept)/1722", "1722")</f>
        <v>0</v>
      </c>
      <c r="N2043">
        <f>HYPERLINK("https://www.wikidata.org/wiki/Q2865047", "Q2865047")</f>
        <v>0</v>
      </c>
      <c r="O2043" t="s">
        <v>20026</v>
      </c>
      <c r="P2043" t="s">
        <v>20404</v>
      </c>
      <c r="Q2043" t="s">
        <v>20572</v>
      </c>
      <c r="R2043" t="s">
        <v>412</v>
      </c>
      <c r="S2043">
        <v>1481</v>
      </c>
    </row>
    <row r="2044" spans="1:19">
      <c r="A2044" t="s">
        <v>22</v>
      </c>
      <c r="B2044" t="s">
        <v>148</v>
      </c>
      <c r="C2044" t="s">
        <v>154</v>
      </c>
      <c r="D2044" t="s">
        <v>283</v>
      </c>
      <c r="E2044" t="s">
        <v>412</v>
      </c>
      <c r="F2044">
        <f>HYPERLINK("https://www.wikidata.org/wiki/Q16683492", "Q16683492")</f>
        <v>0</v>
      </c>
      <c r="G2044" t="s">
        <v>1410</v>
      </c>
      <c r="H2044" t="s">
        <v>5337</v>
      </c>
      <c r="I2044" t="s">
        <v>9506</v>
      </c>
      <c r="J2044" t="s">
        <v>12135</v>
      </c>
      <c r="K2044" t="s">
        <v>16537</v>
      </c>
      <c r="L2044">
        <f>HYPERLINK("https://www2.assemblee-nationale.fr/sycomore/fiche/(num_dept)/1726", "1726")</f>
        <v>0</v>
      </c>
      <c r="M2044">
        <f>HYPERLINK("https://www.senat.fr/senateur-3eme-republique/chautemps_camille0380r3.html", "chautemps_camille0380r3")</f>
        <v>0</v>
      </c>
      <c r="N2044">
        <f>HYPERLINK("https://www.wikidata.org/wiki/Q263884", "Q263884")</f>
        <v>0</v>
      </c>
      <c r="O2044" t="s">
        <v>20008</v>
      </c>
      <c r="P2044" t="s">
        <v>20423</v>
      </c>
      <c r="Q2044" t="s">
        <v>20572</v>
      </c>
      <c r="R2044" t="s">
        <v>412</v>
      </c>
      <c r="S2044">
        <v>1481</v>
      </c>
    </row>
    <row r="2045" spans="1:19">
      <c r="A2045" t="s">
        <v>22</v>
      </c>
      <c r="B2045" t="s">
        <v>148</v>
      </c>
      <c r="C2045" t="s">
        <v>154</v>
      </c>
      <c r="D2045" t="s">
        <v>283</v>
      </c>
      <c r="E2045" t="s">
        <v>412</v>
      </c>
      <c r="F2045">
        <f>HYPERLINK("https://www.wikidata.org/wiki/Q16683492", "Q16683492")</f>
        <v>0</v>
      </c>
      <c r="G2045" t="s">
        <v>1758</v>
      </c>
      <c r="H2045" t="s">
        <v>6427</v>
      </c>
      <c r="I2045" t="s">
        <v>9935</v>
      </c>
      <c r="J2045" t="s">
        <v>12458</v>
      </c>
      <c r="K2045" t="s">
        <v>16864</v>
      </c>
      <c r="L2045">
        <f>HYPERLINK("https://www2.assemblee-nationale.fr/sycomore/fiche/(num_dept)/1735", "1735")</f>
        <v>0</v>
      </c>
      <c r="N2045">
        <f>HYPERLINK("https://www.wikidata.org/wiki/Q17176142", "Q17176142")</f>
        <v>0</v>
      </c>
      <c r="O2045" t="s">
        <v>19993</v>
      </c>
      <c r="P2045" t="s">
        <v>20423</v>
      </c>
      <c r="Q2045" t="s">
        <v>20572</v>
      </c>
      <c r="R2045" t="s">
        <v>412</v>
      </c>
      <c r="S2045">
        <v>1481</v>
      </c>
    </row>
    <row r="2046" spans="1:19">
      <c r="A2046" t="s">
        <v>22</v>
      </c>
      <c r="B2046" t="s">
        <v>148</v>
      </c>
      <c r="C2046" t="s">
        <v>154</v>
      </c>
      <c r="D2046" t="s">
        <v>283</v>
      </c>
      <c r="E2046" t="s">
        <v>412</v>
      </c>
      <c r="F2046">
        <f>HYPERLINK("https://www.wikidata.org/wiki/Q16683492", "Q16683492")</f>
        <v>0</v>
      </c>
      <c r="G2046" t="s">
        <v>1759</v>
      </c>
      <c r="H2046" t="s">
        <v>6427</v>
      </c>
      <c r="I2046" t="s">
        <v>6175</v>
      </c>
      <c r="J2046" t="s">
        <v>12459</v>
      </c>
      <c r="K2046" t="s">
        <v>16865</v>
      </c>
      <c r="L2046">
        <f>HYPERLINK("https://www2.assemblee-nationale.fr/sycomore/fiche/(num_dept)/1737", "1737")</f>
        <v>0</v>
      </c>
      <c r="N2046">
        <f>HYPERLINK("https://www.wikidata.org/wiki/Q3102461", "Q3102461")</f>
        <v>0</v>
      </c>
      <c r="O2046" t="s">
        <v>19992</v>
      </c>
      <c r="P2046" t="s">
        <v>20423</v>
      </c>
      <c r="Q2046" t="s">
        <v>20572</v>
      </c>
      <c r="R2046" t="s">
        <v>412</v>
      </c>
      <c r="S2046">
        <v>1481</v>
      </c>
    </row>
    <row r="2047" spans="1:19">
      <c r="A2047" t="s">
        <v>22</v>
      </c>
      <c r="B2047" t="s">
        <v>148</v>
      </c>
      <c r="C2047" t="s">
        <v>154</v>
      </c>
      <c r="D2047" t="s">
        <v>283</v>
      </c>
      <c r="E2047" t="s">
        <v>412</v>
      </c>
      <c r="F2047">
        <f>HYPERLINK("https://www.wikidata.org/wiki/Q16683492", "Q16683492")</f>
        <v>0</v>
      </c>
      <c r="G2047" t="s">
        <v>1760</v>
      </c>
      <c r="H2047" t="s">
        <v>6428</v>
      </c>
      <c r="I2047" t="s">
        <v>9936</v>
      </c>
      <c r="J2047" t="s">
        <v>12460</v>
      </c>
      <c r="K2047" t="s">
        <v>16866</v>
      </c>
      <c r="L2047">
        <f>HYPERLINK("https://www2.assemblee-nationale.fr/sycomore/fiche/(num_dept)/1739", "1739")</f>
        <v>0</v>
      </c>
      <c r="N2047">
        <f>HYPERLINK("https://www.wikidata.org/wiki/Q8323114", "Q8323114")</f>
        <v>0</v>
      </c>
      <c r="O2047" t="s">
        <v>20039</v>
      </c>
      <c r="P2047" t="s">
        <v>20425</v>
      </c>
      <c r="Q2047" t="s">
        <v>20572</v>
      </c>
      <c r="R2047" t="s">
        <v>412</v>
      </c>
      <c r="S2047">
        <v>1481</v>
      </c>
    </row>
    <row r="2048" spans="1:19">
      <c r="A2048" t="s">
        <v>22</v>
      </c>
      <c r="B2048" t="s">
        <v>148</v>
      </c>
      <c r="C2048" t="s">
        <v>154</v>
      </c>
      <c r="D2048" t="s">
        <v>283</v>
      </c>
      <c r="E2048" t="s">
        <v>412</v>
      </c>
      <c r="F2048">
        <f>HYPERLINK("https://www.wikidata.org/wiki/Q16683492", "Q16683492")</f>
        <v>0</v>
      </c>
      <c r="G2048" t="s">
        <v>1761</v>
      </c>
      <c r="H2048" t="s">
        <v>6429</v>
      </c>
      <c r="I2048" t="s">
        <v>9937</v>
      </c>
      <c r="J2048" t="s">
        <v>12461</v>
      </c>
      <c r="K2048" t="s">
        <v>16867</v>
      </c>
      <c r="L2048">
        <f>HYPERLINK("https://www2.assemblee-nationale.fr/sycomore/fiche/(num_dept)/1745", "1745")</f>
        <v>0</v>
      </c>
      <c r="N2048">
        <f>HYPERLINK("https://www.wikidata.org/wiki/Q2847425", "Q2847425")</f>
        <v>0</v>
      </c>
      <c r="O2048" t="s">
        <v>20026</v>
      </c>
      <c r="P2048" t="s">
        <v>20423</v>
      </c>
      <c r="Q2048" t="s">
        <v>20572</v>
      </c>
      <c r="R2048" t="s">
        <v>412</v>
      </c>
      <c r="S2048">
        <v>1481</v>
      </c>
    </row>
    <row r="2049" spans="1:19">
      <c r="A2049" t="s">
        <v>22</v>
      </c>
      <c r="B2049" t="s">
        <v>148</v>
      </c>
      <c r="C2049" t="s">
        <v>154</v>
      </c>
      <c r="D2049" t="s">
        <v>283</v>
      </c>
      <c r="E2049" t="s">
        <v>412</v>
      </c>
      <c r="F2049">
        <f>HYPERLINK("https://www.wikidata.org/wiki/Q16683492", "Q16683492")</f>
        <v>0</v>
      </c>
      <c r="G2049" t="s">
        <v>1762</v>
      </c>
      <c r="H2049" t="s">
        <v>6430</v>
      </c>
      <c r="I2049" t="s">
        <v>6495</v>
      </c>
      <c r="J2049" t="s">
        <v>11743</v>
      </c>
      <c r="K2049" t="s">
        <v>16868</v>
      </c>
      <c r="L2049">
        <f>HYPERLINK("https://www2.assemblee-nationale.fr/sycomore/fiche/(num_dept)/1754", "1754")</f>
        <v>0</v>
      </c>
      <c r="N2049">
        <f>HYPERLINK("https://www.wikidata.org/wiki/Q16025442", "Q16025442")</f>
        <v>0</v>
      </c>
      <c r="O2049" t="s">
        <v>19965</v>
      </c>
      <c r="P2049" t="s">
        <v>20423</v>
      </c>
      <c r="Q2049" t="s">
        <v>20572</v>
      </c>
      <c r="R2049" t="s">
        <v>412</v>
      </c>
      <c r="S2049">
        <v>1481</v>
      </c>
    </row>
    <row r="2050" spans="1:19">
      <c r="A2050" t="s">
        <v>22</v>
      </c>
      <c r="B2050" t="s">
        <v>148</v>
      </c>
      <c r="C2050" t="s">
        <v>154</v>
      </c>
      <c r="D2050" t="s">
        <v>283</v>
      </c>
      <c r="E2050" t="s">
        <v>412</v>
      </c>
      <c r="F2050">
        <f>HYPERLINK("https://www.wikidata.org/wiki/Q16683492", "Q16683492")</f>
        <v>0</v>
      </c>
      <c r="G2050" t="s">
        <v>1763</v>
      </c>
      <c r="H2050" t="s">
        <v>6431</v>
      </c>
      <c r="I2050" t="s">
        <v>9709</v>
      </c>
      <c r="J2050" t="s">
        <v>12462</v>
      </c>
      <c r="K2050" t="s">
        <v>16869</v>
      </c>
      <c r="L2050">
        <f>HYPERLINK("https://www2.assemblee-nationale.fr/sycomore/fiche/(num_dept)/1789", "1789")</f>
        <v>0</v>
      </c>
      <c r="N2050">
        <f>HYPERLINK("https://www.wikidata.org/wiki/Q3130828", "Q3130828")</f>
        <v>0</v>
      </c>
      <c r="O2050" t="s">
        <v>19958</v>
      </c>
      <c r="P2050" t="s">
        <v>20423</v>
      </c>
      <c r="Q2050" t="s">
        <v>20572</v>
      </c>
      <c r="R2050" t="s">
        <v>412</v>
      </c>
      <c r="S2050">
        <v>1481</v>
      </c>
    </row>
    <row r="2051" spans="1:19">
      <c r="A2051" t="s">
        <v>22</v>
      </c>
      <c r="B2051" t="s">
        <v>148</v>
      </c>
      <c r="C2051" t="s">
        <v>154</v>
      </c>
      <c r="D2051" t="s">
        <v>283</v>
      </c>
      <c r="E2051" t="s">
        <v>412</v>
      </c>
      <c r="F2051">
        <f>HYPERLINK("https://www.wikidata.org/wiki/Q16683492", "Q16683492")</f>
        <v>0</v>
      </c>
      <c r="G2051" t="s">
        <v>1764</v>
      </c>
      <c r="H2051" t="s">
        <v>6432</v>
      </c>
      <c r="I2051" t="s">
        <v>9938</v>
      </c>
      <c r="J2051" t="s">
        <v>12463</v>
      </c>
      <c r="K2051" t="s">
        <v>16870</v>
      </c>
      <c r="L2051">
        <f>HYPERLINK("https://www2.assemblee-nationale.fr/sycomore/fiche/(num_dept)/1804", "1804")</f>
        <v>0</v>
      </c>
      <c r="N2051">
        <f>HYPERLINK("https://www.wikidata.org/wiki/Q3526641", "Q3526641")</f>
        <v>0</v>
      </c>
      <c r="O2051" t="s">
        <v>19958</v>
      </c>
      <c r="P2051" t="s">
        <v>20423</v>
      </c>
      <c r="Q2051" t="s">
        <v>20572</v>
      </c>
      <c r="R2051" t="s">
        <v>412</v>
      </c>
      <c r="S2051">
        <v>1481</v>
      </c>
    </row>
    <row r="2052" spans="1:19">
      <c r="A2052" t="s">
        <v>22</v>
      </c>
      <c r="B2052" t="s">
        <v>148</v>
      </c>
      <c r="C2052" t="s">
        <v>154</v>
      </c>
      <c r="D2052" t="s">
        <v>283</v>
      </c>
      <c r="E2052" t="s">
        <v>412</v>
      </c>
      <c r="F2052">
        <f>HYPERLINK("https://www.wikidata.org/wiki/Q16683492", "Q16683492")</f>
        <v>0</v>
      </c>
      <c r="G2052" t="s">
        <v>1765</v>
      </c>
      <c r="H2052" t="s">
        <v>6433</v>
      </c>
      <c r="I2052" t="s">
        <v>9606</v>
      </c>
      <c r="J2052" t="s">
        <v>12464</v>
      </c>
      <c r="K2052" t="s">
        <v>16871</v>
      </c>
      <c r="L2052">
        <f>HYPERLINK("https://www2.assemblee-nationale.fr/sycomore/fiche/(num_dept)/1829", "1829")</f>
        <v>0</v>
      </c>
      <c r="M2052">
        <f>HYPERLINK("https://www.senat.fr/senateur-3eme-republique/clamamus_jean_marie1568r3.html", "clamamus_jean_marie1568r3")</f>
        <v>0</v>
      </c>
      <c r="N2052">
        <f>HYPERLINK("https://www.wikidata.org/wiki/Q3167607", "Q3167607")</f>
        <v>0</v>
      </c>
      <c r="O2052" t="s">
        <v>19969</v>
      </c>
      <c r="P2052" t="s">
        <v>20424</v>
      </c>
      <c r="Q2052" t="s">
        <v>20572</v>
      </c>
      <c r="R2052" t="s">
        <v>412</v>
      </c>
      <c r="S2052">
        <v>1481</v>
      </c>
    </row>
    <row r="2053" spans="1:19">
      <c r="A2053" t="s">
        <v>22</v>
      </c>
      <c r="B2053" t="s">
        <v>148</v>
      </c>
      <c r="C2053" t="s">
        <v>154</v>
      </c>
      <c r="D2053" t="s">
        <v>283</v>
      </c>
      <c r="E2053" t="s">
        <v>412</v>
      </c>
      <c r="F2053">
        <f>HYPERLINK("https://www.wikidata.org/wiki/Q16683492", "Q16683492")</f>
        <v>0</v>
      </c>
      <c r="G2053" t="s">
        <v>1766</v>
      </c>
      <c r="H2053" t="s">
        <v>6434</v>
      </c>
      <c r="I2053" t="s">
        <v>7790</v>
      </c>
      <c r="J2053" t="s">
        <v>12465</v>
      </c>
      <c r="K2053" t="s">
        <v>16872</v>
      </c>
      <c r="L2053">
        <f>HYPERLINK("https://www2.assemblee-nationale.fr/sycomore/fiche/(num_dept)/1833", "1833")</f>
        <v>0</v>
      </c>
      <c r="N2053">
        <f>HYPERLINK("https://www.wikidata.org/wiki/Q2861803", "Q2861803")</f>
        <v>0</v>
      </c>
      <c r="O2053" t="s">
        <v>20014</v>
      </c>
      <c r="P2053" t="s">
        <v>20423</v>
      </c>
      <c r="Q2053" t="s">
        <v>20572</v>
      </c>
      <c r="R2053" t="s">
        <v>16872</v>
      </c>
      <c r="S2053">
        <v>1042</v>
      </c>
    </row>
    <row r="2054" spans="1:19">
      <c r="A2054" t="s">
        <v>22</v>
      </c>
      <c r="B2054" t="s">
        <v>148</v>
      </c>
      <c r="C2054" t="s">
        <v>154</v>
      </c>
      <c r="D2054" t="s">
        <v>283</v>
      </c>
      <c r="E2054" t="s">
        <v>412</v>
      </c>
      <c r="F2054">
        <f>HYPERLINK("https://www.wikidata.org/wiki/Q16683492", "Q16683492")</f>
        <v>0</v>
      </c>
      <c r="G2054" t="s">
        <v>1093</v>
      </c>
      <c r="H2054" t="s">
        <v>5835</v>
      </c>
      <c r="I2054" t="s">
        <v>9407</v>
      </c>
      <c r="J2054" t="s">
        <v>11829</v>
      </c>
      <c r="K2054" t="s">
        <v>16229</v>
      </c>
      <c r="L2054">
        <f>HYPERLINK("https://www2.assemblee-nationale.fr/sycomore/fiche/(num_dept)/1839", "1839")</f>
        <v>0</v>
      </c>
      <c r="N2054">
        <f>HYPERLINK("https://www.wikidata.org/wiki/Q3184763", "Q3184763")</f>
        <v>0</v>
      </c>
      <c r="O2054" t="s">
        <v>20005</v>
      </c>
      <c r="P2054" t="s">
        <v>20404</v>
      </c>
      <c r="Q2054" t="s">
        <v>20572</v>
      </c>
      <c r="R2054" t="s">
        <v>16229</v>
      </c>
      <c r="S2054">
        <v>547</v>
      </c>
    </row>
    <row r="2055" spans="1:19">
      <c r="A2055" t="s">
        <v>22</v>
      </c>
      <c r="B2055" t="s">
        <v>148</v>
      </c>
      <c r="C2055" t="s">
        <v>154</v>
      </c>
      <c r="D2055" t="s">
        <v>283</v>
      </c>
      <c r="E2055" t="s">
        <v>412</v>
      </c>
      <c r="F2055">
        <f>HYPERLINK("https://www.wikidata.org/wiki/Q16683492", "Q16683492")</f>
        <v>0</v>
      </c>
      <c r="G2055" t="s">
        <v>1767</v>
      </c>
      <c r="H2055" t="s">
        <v>6435</v>
      </c>
      <c r="I2055" t="s">
        <v>9939</v>
      </c>
      <c r="J2055" t="s">
        <v>12466</v>
      </c>
      <c r="K2055" t="s">
        <v>16873</v>
      </c>
      <c r="L2055">
        <f>HYPERLINK("https://www2.assemblee-nationale.fr/sycomore/fiche/(num_dept)/1864", "1864")</f>
        <v>0</v>
      </c>
      <c r="N2055">
        <f>HYPERLINK("https://www.wikidata.org/wiki/Q16025464", "Q16025464")</f>
        <v>0</v>
      </c>
      <c r="O2055" t="s">
        <v>19981</v>
      </c>
      <c r="P2055" t="s">
        <v>20404</v>
      </c>
      <c r="Q2055" t="s">
        <v>20572</v>
      </c>
      <c r="R2055" t="s">
        <v>412</v>
      </c>
      <c r="S2055">
        <v>1481</v>
      </c>
    </row>
    <row r="2056" spans="1:19">
      <c r="A2056" t="s">
        <v>22</v>
      </c>
      <c r="B2056" t="s">
        <v>148</v>
      </c>
      <c r="C2056" t="s">
        <v>154</v>
      </c>
      <c r="D2056" t="s">
        <v>283</v>
      </c>
      <c r="E2056" t="s">
        <v>412</v>
      </c>
      <c r="F2056">
        <f>HYPERLINK("https://www.wikidata.org/wiki/Q16683492", "Q16683492")</f>
        <v>0</v>
      </c>
      <c r="G2056" t="s">
        <v>1768</v>
      </c>
      <c r="H2056" t="s">
        <v>6436</v>
      </c>
      <c r="I2056" t="s">
        <v>9457</v>
      </c>
      <c r="J2056" t="s">
        <v>12467</v>
      </c>
      <c r="K2056" t="s">
        <v>16874</v>
      </c>
      <c r="L2056">
        <f>HYPERLINK("https://www2.assemblee-nationale.fr/sycomore/fiche/(num_dept)/1901", "1901")</f>
        <v>0</v>
      </c>
      <c r="N2056">
        <f>HYPERLINK("https://www.wikidata.org/wiki/Q16025471", "Q16025471")</f>
        <v>0</v>
      </c>
      <c r="O2056" t="s">
        <v>19972</v>
      </c>
      <c r="P2056" t="s">
        <v>20409</v>
      </c>
      <c r="Q2056" t="s">
        <v>20572</v>
      </c>
      <c r="R2056" t="s">
        <v>412</v>
      </c>
      <c r="S2056">
        <v>1481</v>
      </c>
    </row>
    <row r="2057" spans="1:19">
      <c r="A2057" t="s">
        <v>22</v>
      </c>
      <c r="B2057" t="s">
        <v>148</v>
      </c>
      <c r="C2057" t="s">
        <v>154</v>
      </c>
      <c r="D2057" t="s">
        <v>283</v>
      </c>
      <c r="E2057" t="s">
        <v>412</v>
      </c>
      <c r="F2057">
        <f>HYPERLINK("https://www.wikidata.org/wiki/Q16683492", "Q16683492")</f>
        <v>0</v>
      </c>
      <c r="G2057" t="s">
        <v>1413</v>
      </c>
      <c r="H2057" t="s">
        <v>6121</v>
      </c>
      <c r="I2057" t="s">
        <v>7642</v>
      </c>
      <c r="J2057" t="s">
        <v>12137</v>
      </c>
      <c r="K2057" t="s">
        <v>16540</v>
      </c>
      <c r="L2057">
        <f>HYPERLINK("https://www2.assemblee-nationale.fr/sycomore/fiche/(num_dept)/1923", "1923")</f>
        <v>0</v>
      </c>
      <c r="N2057">
        <f>HYPERLINK("https://www.wikidata.org/wiki/Q3300588", "Q3300588")</f>
        <v>0</v>
      </c>
      <c r="O2057" t="s">
        <v>19976</v>
      </c>
      <c r="P2057" t="s">
        <v>20417</v>
      </c>
      <c r="Q2057" t="s">
        <v>20572</v>
      </c>
      <c r="R2057" t="s">
        <v>412</v>
      </c>
      <c r="S2057">
        <v>1481</v>
      </c>
    </row>
    <row r="2058" spans="1:19">
      <c r="A2058" t="s">
        <v>22</v>
      </c>
      <c r="B2058" t="s">
        <v>148</v>
      </c>
      <c r="C2058" t="s">
        <v>154</v>
      </c>
      <c r="D2058" t="s">
        <v>283</v>
      </c>
      <c r="E2058" t="s">
        <v>412</v>
      </c>
      <c r="F2058">
        <f>HYPERLINK("https://www.wikidata.org/wiki/Q16683492", "Q16683492")</f>
        <v>0</v>
      </c>
      <c r="G2058" t="s">
        <v>587</v>
      </c>
      <c r="H2058" t="s">
        <v>5348</v>
      </c>
      <c r="I2058" t="s">
        <v>9436</v>
      </c>
      <c r="J2058" t="s">
        <v>11338</v>
      </c>
      <c r="K2058" t="s">
        <v>15739</v>
      </c>
      <c r="L2058">
        <f>HYPERLINK("https://www2.assemblee-nationale.fr/sycomore/fiche/(num_dept)/1934", "1934")</f>
        <v>0</v>
      </c>
      <c r="N2058">
        <f>HYPERLINK("https://www.wikidata.org/wiki/Q2825487", "Q2825487")</f>
        <v>0</v>
      </c>
      <c r="O2058" t="s">
        <v>20014</v>
      </c>
      <c r="P2058" t="s">
        <v>20404</v>
      </c>
      <c r="Q2058" t="s">
        <v>20572</v>
      </c>
      <c r="R2058" t="s">
        <v>412</v>
      </c>
      <c r="S2058">
        <v>1481</v>
      </c>
    </row>
    <row r="2059" spans="1:19">
      <c r="A2059" t="s">
        <v>22</v>
      </c>
      <c r="B2059" t="s">
        <v>148</v>
      </c>
      <c r="C2059" t="s">
        <v>154</v>
      </c>
      <c r="D2059" t="s">
        <v>283</v>
      </c>
      <c r="E2059" t="s">
        <v>412</v>
      </c>
      <c r="F2059">
        <f>HYPERLINK("https://www.wikidata.org/wiki/Q16683492", "Q16683492")</f>
        <v>0</v>
      </c>
      <c r="G2059" t="s">
        <v>1769</v>
      </c>
      <c r="H2059" t="s">
        <v>6437</v>
      </c>
      <c r="I2059" t="s">
        <v>9388</v>
      </c>
      <c r="J2059" t="s">
        <v>12468</v>
      </c>
      <c r="K2059" t="s">
        <v>16875</v>
      </c>
      <c r="L2059">
        <f>HYPERLINK("https://www2.assemblee-nationale.fr/sycomore/fiche/(num_dept)/1937", "1937")</f>
        <v>0</v>
      </c>
      <c r="N2059">
        <f>HYPERLINK("https://www.wikidata.org/wiki/Q16025478", "Q16025478")</f>
        <v>0</v>
      </c>
      <c r="O2059" t="s">
        <v>20031</v>
      </c>
      <c r="P2059" t="s">
        <v>20422</v>
      </c>
      <c r="Q2059" t="s">
        <v>20572</v>
      </c>
      <c r="R2059" t="s">
        <v>412</v>
      </c>
      <c r="S2059">
        <v>1481</v>
      </c>
    </row>
    <row r="2060" spans="1:19">
      <c r="A2060" t="s">
        <v>22</v>
      </c>
      <c r="B2060" t="s">
        <v>148</v>
      </c>
      <c r="C2060" t="s">
        <v>154</v>
      </c>
      <c r="D2060" t="s">
        <v>283</v>
      </c>
      <c r="E2060" t="s">
        <v>412</v>
      </c>
      <c r="F2060">
        <f>HYPERLINK("https://www.wikidata.org/wiki/Q16683492", "Q16683492")</f>
        <v>0</v>
      </c>
      <c r="G2060" t="s">
        <v>1240</v>
      </c>
      <c r="H2060" t="s">
        <v>5965</v>
      </c>
      <c r="I2060" t="s">
        <v>9457</v>
      </c>
      <c r="J2060" t="s">
        <v>11971</v>
      </c>
      <c r="K2060" t="s">
        <v>16374</v>
      </c>
      <c r="L2060">
        <f>HYPERLINK("https://www2.assemblee-nationale.fr/sycomore/fiche/(num_dept)/1939", "1939")</f>
        <v>0</v>
      </c>
      <c r="M2060">
        <f>HYPERLINK("https://www.senat.fr/senateur-3eme-republique/connevot_henri0649r3.html", "connevot_henri0649r3")</f>
        <v>0</v>
      </c>
      <c r="N2060">
        <f>HYPERLINK("https://www.wikidata.org/wiki/Q3130867", "Q3130867")</f>
        <v>0</v>
      </c>
      <c r="O2060" t="s">
        <v>19979</v>
      </c>
      <c r="P2060" t="s">
        <v>20423</v>
      </c>
      <c r="Q2060" t="s">
        <v>20572</v>
      </c>
      <c r="R2060" t="s">
        <v>412</v>
      </c>
      <c r="S2060">
        <v>1481</v>
      </c>
    </row>
    <row r="2061" spans="1:19">
      <c r="A2061" t="s">
        <v>22</v>
      </c>
      <c r="B2061" t="s">
        <v>148</v>
      </c>
      <c r="C2061" t="s">
        <v>154</v>
      </c>
      <c r="D2061" t="s">
        <v>283</v>
      </c>
      <c r="E2061" t="s">
        <v>412</v>
      </c>
      <c r="F2061">
        <f>HYPERLINK("https://www.wikidata.org/wiki/Q16683492", "Q16683492")</f>
        <v>0</v>
      </c>
      <c r="G2061" t="s">
        <v>1161</v>
      </c>
      <c r="H2061" t="s">
        <v>5867</v>
      </c>
      <c r="I2061" t="s">
        <v>9689</v>
      </c>
      <c r="J2061" t="s">
        <v>11894</v>
      </c>
      <c r="K2061" t="s">
        <v>16296</v>
      </c>
      <c r="L2061">
        <f>HYPERLINK("https://www2.assemblee-nationale.fr/sycomore/fiche/(num_dept)/1944", "1944")</f>
        <v>0</v>
      </c>
      <c r="N2061">
        <f>HYPERLINK("https://www.wikidata.org/wiki/Q3370923", "Q3370923")</f>
        <v>0</v>
      </c>
      <c r="O2061" t="s">
        <v>19999</v>
      </c>
      <c r="P2061" t="s">
        <v>20404</v>
      </c>
      <c r="Q2061" t="s">
        <v>20572</v>
      </c>
      <c r="R2061" t="s">
        <v>412</v>
      </c>
      <c r="S2061">
        <v>1481</v>
      </c>
    </row>
    <row r="2062" spans="1:19">
      <c r="A2062" t="s">
        <v>22</v>
      </c>
      <c r="B2062" t="s">
        <v>148</v>
      </c>
      <c r="C2062" t="s">
        <v>154</v>
      </c>
      <c r="D2062" t="s">
        <v>283</v>
      </c>
      <c r="E2062" t="s">
        <v>412</v>
      </c>
      <c r="F2062">
        <f>HYPERLINK("https://www.wikidata.org/wiki/Q16683492", "Q16683492")</f>
        <v>0</v>
      </c>
      <c r="G2062" t="s">
        <v>1414</v>
      </c>
      <c r="H2062" t="s">
        <v>5867</v>
      </c>
      <c r="I2062" t="s">
        <v>9802</v>
      </c>
      <c r="J2062" t="s">
        <v>12138</v>
      </c>
      <c r="K2062" t="s">
        <v>16541</v>
      </c>
      <c r="L2062">
        <f>HYPERLINK("https://www2.assemblee-nationale.fr/sycomore/fiche/(num_dept)/1945", "1945")</f>
        <v>0</v>
      </c>
      <c r="N2062">
        <f>HYPERLINK("https://www.wikidata.org/wiki/Q16025481", "Q16025481")</f>
        <v>0</v>
      </c>
      <c r="O2062" t="s">
        <v>19960</v>
      </c>
      <c r="P2062" t="s">
        <v>20412</v>
      </c>
      <c r="Q2062" t="s">
        <v>20572</v>
      </c>
      <c r="R2062" t="s">
        <v>412</v>
      </c>
      <c r="S2062">
        <v>1481</v>
      </c>
    </row>
    <row r="2063" spans="1:19">
      <c r="A2063" t="s">
        <v>22</v>
      </c>
      <c r="B2063" t="s">
        <v>148</v>
      </c>
      <c r="C2063" t="s">
        <v>154</v>
      </c>
      <c r="D2063" t="s">
        <v>283</v>
      </c>
      <c r="E2063" t="s">
        <v>412</v>
      </c>
      <c r="F2063">
        <f>HYPERLINK("https://www.wikidata.org/wiki/Q16683492", "Q16683492")</f>
        <v>0</v>
      </c>
      <c r="G2063" t="s">
        <v>1770</v>
      </c>
      <c r="H2063" t="s">
        <v>6438</v>
      </c>
      <c r="I2063" t="s">
        <v>9940</v>
      </c>
      <c r="J2063" t="s">
        <v>12455</v>
      </c>
      <c r="K2063" t="s">
        <v>16876</v>
      </c>
      <c r="L2063">
        <f>HYPERLINK("https://www2.assemblee-nationale.fr/sycomore/fiche/(num_dept)/1953", "1953")</f>
        <v>0</v>
      </c>
      <c r="N2063">
        <f>HYPERLINK("https://www.wikidata.org/wiki/Q16025482", "Q16025482")</f>
        <v>0</v>
      </c>
      <c r="O2063" t="s">
        <v>20013</v>
      </c>
      <c r="P2063" t="s">
        <v>20404</v>
      </c>
      <c r="Q2063" t="s">
        <v>20572</v>
      </c>
      <c r="R2063" t="s">
        <v>412</v>
      </c>
      <c r="S2063">
        <v>1481</v>
      </c>
    </row>
    <row r="2064" spans="1:19">
      <c r="A2064" t="s">
        <v>22</v>
      </c>
      <c r="B2064" t="s">
        <v>148</v>
      </c>
      <c r="C2064" t="s">
        <v>154</v>
      </c>
      <c r="D2064" t="s">
        <v>283</v>
      </c>
      <c r="E2064" t="s">
        <v>412</v>
      </c>
      <c r="F2064">
        <f>HYPERLINK("https://www.wikidata.org/wiki/Q16683492", "Q16683492")</f>
        <v>0</v>
      </c>
      <c r="G2064" t="s">
        <v>1771</v>
      </c>
      <c r="H2064" t="s">
        <v>6439</v>
      </c>
      <c r="I2064" t="s">
        <v>9941</v>
      </c>
      <c r="J2064" t="s">
        <v>12469</v>
      </c>
      <c r="K2064" t="s">
        <v>16877</v>
      </c>
      <c r="L2064">
        <f>HYPERLINK("https://www2.assemblee-nationale.fr/sycomore/fiche/(num_dept)/1966", "1966")</f>
        <v>0</v>
      </c>
      <c r="M2064">
        <f>HYPERLINK("https://www.senat.fr/senateur-3eme-republique/cornand_leon0086r3.html", "cornand_leon0086r3")</f>
        <v>0</v>
      </c>
      <c r="N2064">
        <f>HYPERLINK("https://www.wikidata.org/wiki/Q3270842", "Q3270842")</f>
        <v>0</v>
      </c>
      <c r="O2064" t="s">
        <v>19981</v>
      </c>
      <c r="P2064" t="s">
        <v>20425</v>
      </c>
      <c r="Q2064" t="s">
        <v>20572</v>
      </c>
      <c r="R2064" t="s">
        <v>19617</v>
      </c>
      <c r="S2064">
        <v>326</v>
      </c>
    </row>
    <row r="2065" spans="1:19">
      <c r="A2065" t="s">
        <v>22</v>
      </c>
      <c r="B2065" t="s">
        <v>148</v>
      </c>
      <c r="C2065" t="s">
        <v>154</v>
      </c>
      <c r="D2065" t="s">
        <v>283</v>
      </c>
      <c r="E2065" t="s">
        <v>412</v>
      </c>
      <c r="F2065">
        <f>HYPERLINK("https://www.wikidata.org/wiki/Q16683492", "Q16683492")</f>
        <v>0</v>
      </c>
      <c r="G2065" t="s">
        <v>1772</v>
      </c>
      <c r="H2065" t="s">
        <v>6440</v>
      </c>
      <c r="I2065" t="s">
        <v>9942</v>
      </c>
      <c r="J2065" t="s">
        <v>12470</v>
      </c>
      <c r="K2065" t="s">
        <v>16878</v>
      </c>
      <c r="L2065">
        <f>HYPERLINK("https://www2.assemblee-nationale.fr/sycomore/fiche/(num_dept)/1967", "1967")</f>
        <v>0</v>
      </c>
      <c r="N2065">
        <f>HYPERLINK("https://www.wikidata.org/wiki/Q3098956", "Q3098956")</f>
        <v>0</v>
      </c>
      <c r="O2065" t="s">
        <v>19996</v>
      </c>
      <c r="P2065" t="s">
        <v>20424</v>
      </c>
      <c r="Q2065" t="s">
        <v>20572</v>
      </c>
      <c r="R2065" t="s">
        <v>412</v>
      </c>
      <c r="S2065">
        <v>1481</v>
      </c>
    </row>
    <row r="2066" spans="1:19">
      <c r="A2066" t="s">
        <v>22</v>
      </c>
      <c r="B2066" t="s">
        <v>148</v>
      </c>
      <c r="C2066" t="s">
        <v>154</v>
      </c>
      <c r="D2066" t="s">
        <v>283</v>
      </c>
      <c r="E2066" t="s">
        <v>412</v>
      </c>
      <c r="F2066">
        <f>HYPERLINK("https://www.wikidata.org/wiki/Q16683492", "Q16683492")</f>
        <v>0</v>
      </c>
      <c r="G2066" t="s">
        <v>1692</v>
      </c>
      <c r="H2066" t="s">
        <v>6370</v>
      </c>
      <c r="I2066" t="s">
        <v>9476</v>
      </c>
      <c r="J2066" t="s">
        <v>12396</v>
      </c>
      <c r="K2066" t="s">
        <v>16804</v>
      </c>
      <c r="L2066">
        <f>HYPERLINK("https://www2.assemblee-nationale.fr/sycomore/fiche/(num_dept)/2000", "2000")</f>
        <v>0</v>
      </c>
      <c r="M2066">
        <f>HYPERLINK("https://www.senat.fr/senateur-3eme-republique/coty_rene0134r4.html", "coty_rene0134r4")</f>
        <v>0</v>
      </c>
      <c r="N2066">
        <f>HYPERLINK("https://www.wikidata.org/wiki/Q158768", "Q158768")</f>
        <v>0</v>
      </c>
      <c r="O2066" t="s">
        <v>19978</v>
      </c>
      <c r="P2066" t="s">
        <v>20412</v>
      </c>
      <c r="Q2066" t="s">
        <v>20572</v>
      </c>
      <c r="R2066" t="s">
        <v>412</v>
      </c>
      <c r="S2066">
        <v>1481</v>
      </c>
    </row>
    <row r="2067" spans="1:19">
      <c r="A2067" t="s">
        <v>22</v>
      </c>
      <c r="B2067" t="s">
        <v>148</v>
      </c>
      <c r="C2067" t="s">
        <v>154</v>
      </c>
      <c r="D2067" t="s">
        <v>283</v>
      </c>
      <c r="E2067" t="s">
        <v>412</v>
      </c>
      <c r="F2067">
        <f>HYPERLINK("https://www.wikidata.org/wiki/Q16683492", "Q16683492")</f>
        <v>0</v>
      </c>
      <c r="G2067" t="s">
        <v>1417</v>
      </c>
      <c r="H2067" t="s">
        <v>6123</v>
      </c>
      <c r="I2067" t="s">
        <v>9407</v>
      </c>
      <c r="J2067" t="s">
        <v>12141</v>
      </c>
      <c r="K2067" t="s">
        <v>16543</v>
      </c>
      <c r="L2067">
        <f>HYPERLINK("https://www2.assemblee-nationale.fr/sycomore/fiche/(num_dept)/2003", "2003")</f>
        <v>0</v>
      </c>
      <c r="M2067">
        <f>HYPERLINK("https://www.senat.fr/senateur-3eme-republique/coucoureux_joseph0296r3.html", "coucoureux_joseph0296r3")</f>
        <v>0</v>
      </c>
      <c r="N2067">
        <f>HYPERLINK("https://www.wikidata.org/wiki/Q3184791", "Q3184791")</f>
        <v>0</v>
      </c>
      <c r="O2067" t="s">
        <v>19967</v>
      </c>
      <c r="P2067" t="s">
        <v>20422</v>
      </c>
      <c r="Q2067" t="s">
        <v>20572</v>
      </c>
      <c r="R2067" t="s">
        <v>412</v>
      </c>
      <c r="S2067">
        <v>1481</v>
      </c>
    </row>
    <row r="2068" spans="1:19">
      <c r="A2068" t="s">
        <v>22</v>
      </c>
      <c r="B2068" t="s">
        <v>148</v>
      </c>
      <c r="C2068" t="s">
        <v>154</v>
      </c>
      <c r="D2068" t="s">
        <v>283</v>
      </c>
      <c r="E2068" t="s">
        <v>412</v>
      </c>
      <c r="F2068">
        <f>HYPERLINK("https://www.wikidata.org/wiki/Q16683492", "Q16683492")</f>
        <v>0</v>
      </c>
      <c r="G2068" t="s">
        <v>1773</v>
      </c>
      <c r="H2068" t="s">
        <v>6441</v>
      </c>
      <c r="I2068" t="s">
        <v>9943</v>
      </c>
      <c r="J2068" t="s">
        <v>12471</v>
      </c>
      <c r="K2068" t="s">
        <v>16879</v>
      </c>
      <c r="L2068">
        <f>HYPERLINK("https://www2.assemblee-nationale.fr/sycomore/fiche/(num_dept)/2014", "2014")</f>
        <v>0</v>
      </c>
      <c r="N2068">
        <f>HYPERLINK("https://www.wikidata.org/wiki/Q16025493", "Q16025493")</f>
        <v>0</v>
      </c>
      <c r="O2068" t="s">
        <v>19968</v>
      </c>
      <c r="P2068" t="s">
        <v>20417</v>
      </c>
      <c r="Q2068" t="s">
        <v>20572</v>
      </c>
      <c r="R2068" t="s">
        <v>412</v>
      </c>
      <c r="S2068">
        <v>1481</v>
      </c>
    </row>
    <row r="2069" spans="1:19">
      <c r="A2069" t="s">
        <v>22</v>
      </c>
      <c r="B2069" t="s">
        <v>148</v>
      </c>
      <c r="C2069" t="s">
        <v>154</v>
      </c>
      <c r="D2069" t="s">
        <v>283</v>
      </c>
      <c r="E2069" t="s">
        <v>412</v>
      </c>
      <c r="F2069">
        <f>HYPERLINK("https://www.wikidata.org/wiki/Q16683492", "Q16683492")</f>
        <v>0</v>
      </c>
      <c r="G2069" t="s">
        <v>1774</v>
      </c>
      <c r="H2069" t="s">
        <v>6442</v>
      </c>
      <c r="I2069" t="s">
        <v>9944</v>
      </c>
      <c r="J2069" t="s">
        <v>12472</v>
      </c>
      <c r="K2069" t="s">
        <v>16880</v>
      </c>
      <c r="L2069">
        <f>HYPERLINK("https://www2.assemblee-nationale.fr/sycomore/fiche/(num_dept)/2033", "2033")</f>
        <v>0</v>
      </c>
      <c r="N2069">
        <f>HYPERLINK("https://www.wikidata.org/wiki/Q3188501", "Q3188501")</f>
        <v>0</v>
      </c>
      <c r="O2069" t="s">
        <v>19959</v>
      </c>
      <c r="P2069" t="s">
        <v>20425</v>
      </c>
      <c r="Q2069" t="s">
        <v>20572</v>
      </c>
      <c r="R2069" t="s">
        <v>412</v>
      </c>
      <c r="S2069">
        <v>1481</v>
      </c>
    </row>
    <row r="2070" spans="1:19">
      <c r="A2070" t="s">
        <v>22</v>
      </c>
      <c r="B2070" t="s">
        <v>148</v>
      </c>
      <c r="C2070" t="s">
        <v>154</v>
      </c>
      <c r="D2070" t="s">
        <v>283</v>
      </c>
      <c r="E2070" t="s">
        <v>412</v>
      </c>
      <c r="F2070">
        <f>HYPERLINK("https://www.wikidata.org/wiki/Q16683492", "Q16683492")</f>
        <v>0</v>
      </c>
      <c r="G2070" t="s">
        <v>1421</v>
      </c>
      <c r="H2070" t="s">
        <v>6126</v>
      </c>
      <c r="I2070" t="s">
        <v>9804</v>
      </c>
      <c r="J2070" t="s">
        <v>12145</v>
      </c>
      <c r="K2070" t="s">
        <v>16547</v>
      </c>
      <c r="L2070">
        <f>HYPERLINK("https://www2.assemblee-nationale.fr/sycomore/fiche/(num_dept)/2049", "2049")</f>
        <v>0</v>
      </c>
      <c r="N2070">
        <f>HYPERLINK("https://www.wikidata.org/wiki/Q3056904", "Q3056904")</f>
        <v>0</v>
      </c>
      <c r="O2070" t="s">
        <v>20013</v>
      </c>
      <c r="P2070" t="s">
        <v>20404</v>
      </c>
      <c r="Q2070" t="s">
        <v>20572</v>
      </c>
      <c r="R2070" t="s">
        <v>412</v>
      </c>
      <c r="S2070">
        <v>1481</v>
      </c>
    </row>
    <row r="2071" spans="1:19">
      <c r="A2071" t="s">
        <v>22</v>
      </c>
      <c r="B2071" t="s">
        <v>148</v>
      </c>
      <c r="C2071" t="s">
        <v>154</v>
      </c>
      <c r="D2071" t="s">
        <v>283</v>
      </c>
      <c r="E2071" t="s">
        <v>412</v>
      </c>
      <c r="F2071">
        <f>HYPERLINK("https://www.wikidata.org/wiki/Q16683492", "Q16683492")</f>
        <v>0</v>
      </c>
      <c r="G2071" t="s">
        <v>1422</v>
      </c>
      <c r="H2071" t="s">
        <v>6127</v>
      </c>
      <c r="I2071" t="s">
        <v>9805</v>
      </c>
      <c r="J2071" t="s">
        <v>12146</v>
      </c>
      <c r="K2071" t="s">
        <v>16548</v>
      </c>
      <c r="L2071">
        <f>HYPERLINK("https://www2.assemblee-nationale.fr/sycomore/fiche/(num_dept)/2068", "2068")</f>
        <v>0</v>
      </c>
      <c r="N2071">
        <f>HYPERLINK("https://www.wikidata.org/wiki/Q16025504", "Q16025504")</f>
        <v>0</v>
      </c>
      <c r="O2071" t="s">
        <v>20013</v>
      </c>
      <c r="P2071" t="s">
        <v>20422</v>
      </c>
      <c r="Q2071" t="s">
        <v>20572</v>
      </c>
      <c r="R2071" t="s">
        <v>412</v>
      </c>
      <c r="S2071">
        <v>1481</v>
      </c>
    </row>
    <row r="2072" spans="1:19">
      <c r="A2072" t="s">
        <v>22</v>
      </c>
      <c r="B2072" t="s">
        <v>148</v>
      </c>
      <c r="C2072" t="s">
        <v>154</v>
      </c>
      <c r="D2072" t="s">
        <v>283</v>
      </c>
      <c r="E2072" t="s">
        <v>412</v>
      </c>
      <c r="F2072">
        <f>HYPERLINK("https://www.wikidata.org/wiki/Q16683492", "Q16683492")</f>
        <v>0</v>
      </c>
      <c r="G2072" t="s">
        <v>1423</v>
      </c>
      <c r="H2072" t="s">
        <v>6128</v>
      </c>
      <c r="I2072" t="s">
        <v>9728</v>
      </c>
      <c r="J2072" t="s">
        <v>12147</v>
      </c>
      <c r="K2072" t="s">
        <v>16549</v>
      </c>
      <c r="L2072">
        <f>HYPERLINK("https://www2.assemblee-nationale.fr/sycomore/fiche/(num_dept)/2105", "2105")</f>
        <v>0</v>
      </c>
      <c r="N2072">
        <f>HYPERLINK("https://www.wikidata.org/wiki/Q213526", "Q213526")</f>
        <v>0</v>
      </c>
      <c r="O2072" t="s">
        <v>20047</v>
      </c>
      <c r="P2072" t="s">
        <v>20423</v>
      </c>
      <c r="Q2072" t="s">
        <v>20572</v>
      </c>
      <c r="R2072" t="s">
        <v>412</v>
      </c>
      <c r="S2072">
        <v>1481</v>
      </c>
    </row>
    <row r="2073" spans="1:19">
      <c r="A2073" t="s">
        <v>22</v>
      </c>
      <c r="B2073" t="s">
        <v>148</v>
      </c>
      <c r="C2073" t="s">
        <v>154</v>
      </c>
      <c r="D2073" t="s">
        <v>283</v>
      </c>
      <c r="E2073" t="s">
        <v>412</v>
      </c>
      <c r="F2073">
        <f>HYPERLINK("https://www.wikidata.org/wiki/Q16683492", "Q16683492")</f>
        <v>0</v>
      </c>
      <c r="G2073" t="s">
        <v>918</v>
      </c>
      <c r="H2073" t="s">
        <v>5674</v>
      </c>
      <c r="I2073" t="s">
        <v>9483</v>
      </c>
      <c r="J2073" t="s">
        <v>11661</v>
      </c>
      <c r="K2073" t="s">
        <v>16061</v>
      </c>
      <c r="L2073">
        <f>HYPERLINK("https://www2.assemblee-nationale.fr/sycomore/fiche/(num_dept)/2108", "2108")</f>
        <v>0</v>
      </c>
      <c r="M2073">
        <f>HYPERLINK("https://www.senat.fr/senateur-3eme-republique/dalbiez_victor1098r3.html", "dalbiez_victor1098r3")</f>
        <v>0</v>
      </c>
      <c r="N2073">
        <f>HYPERLINK("https://www.wikidata.org/wiki/Q3557251", "Q3557251")</f>
        <v>0</v>
      </c>
      <c r="O2073" t="s">
        <v>20001</v>
      </c>
      <c r="P2073" t="s">
        <v>20423</v>
      </c>
      <c r="Q2073" t="s">
        <v>20572</v>
      </c>
      <c r="R2073" t="s">
        <v>404</v>
      </c>
      <c r="S2073">
        <v>973</v>
      </c>
    </row>
    <row r="2074" spans="1:19">
      <c r="A2074" t="s">
        <v>22</v>
      </c>
      <c r="B2074" t="s">
        <v>148</v>
      </c>
      <c r="C2074" t="s">
        <v>154</v>
      </c>
      <c r="D2074" t="s">
        <v>283</v>
      </c>
      <c r="E2074" t="s">
        <v>412</v>
      </c>
      <c r="F2074">
        <f>HYPERLINK("https://www.wikidata.org/wiki/Q16683492", "Q16683492")</f>
        <v>0</v>
      </c>
      <c r="G2074" t="s">
        <v>597</v>
      </c>
      <c r="H2074" t="s">
        <v>5358</v>
      </c>
      <c r="I2074" t="s">
        <v>6584</v>
      </c>
      <c r="J2074" t="s">
        <v>11348</v>
      </c>
      <c r="K2074" t="s">
        <v>15749</v>
      </c>
      <c r="L2074">
        <f>HYPERLINK("https://www2.assemblee-nationale.fr/sycomore/fiche/(num_dept)/2110", "2110")</f>
        <v>0</v>
      </c>
      <c r="N2074">
        <f>HYPERLINK("https://www.wikidata.org/wiki/Q2831073", "Q2831073")</f>
        <v>0</v>
      </c>
      <c r="O2074" t="s">
        <v>19976</v>
      </c>
      <c r="P2074" t="s">
        <v>20423</v>
      </c>
      <c r="Q2074" t="s">
        <v>20572</v>
      </c>
      <c r="R2074" t="s">
        <v>412</v>
      </c>
      <c r="S2074">
        <v>1481</v>
      </c>
    </row>
    <row r="2075" spans="1:19">
      <c r="A2075" t="s">
        <v>22</v>
      </c>
      <c r="B2075" t="s">
        <v>148</v>
      </c>
      <c r="C2075" t="s">
        <v>154</v>
      </c>
      <c r="D2075" t="s">
        <v>283</v>
      </c>
      <c r="E2075" t="s">
        <v>412</v>
      </c>
      <c r="F2075">
        <f>HYPERLINK("https://www.wikidata.org/wiki/Q16683492", "Q16683492")</f>
        <v>0</v>
      </c>
      <c r="G2075" t="s">
        <v>1775</v>
      </c>
      <c r="H2075" t="s">
        <v>6443</v>
      </c>
      <c r="I2075" t="s">
        <v>6175</v>
      </c>
      <c r="J2075" t="s">
        <v>12473</v>
      </c>
      <c r="K2075" t="s">
        <v>16881</v>
      </c>
      <c r="L2075">
        <f>HYPERLINK("https://www2.assemblee-nationale.fr/sycomore/fiche/(num_dept)/2112", "2112")</f>
        <v>0</v>
      </c>
      <c r="N2075">
        <f>HYPERLINK("https://www.wikidata.org/wiki/Q16025511", "Q16025511")</f>
        <v>0</v>
      </c>
      <c r="O2075" t="s">
        <v>19956</v>
      </c>
      <c r="P2075" t="s">
        <v>20423</v>
      </c>
      <c r="Q2075" t="s">
        <v>20572</v>
      </c>
      <c r="R2075" t="s">
        <v>412</v>
      </c>
      <c r="S2075">
        <v>1481</v>
      </c>
    </row>
    <row r="2076" spans="1:19">
      <c r="A2076" t="s">
        <v>22</v>
      </c>
      <c r="B2076" t="s">
        <v>148</v>
      </c>
      <c r="C2076" t="s">
        <v>154</v>
      </c>
      <c r="D2076" t="s">
        <v>283</v>
      </c>
      <c r="E2076" t="s">
        <v>412</v>
      </c>
      <c r="F2076">
        <f>HYPERLINK("https://www.wikidata.org/wiki/Q16683492", "Q16683492")</f>
        <v>0</v>
      </c>
      <c r="G2076" t="s">
        <v>920</v>
      </c>
      <c r="H2076" t="s">
        <v>5676</v>
      </c>
      <c r="I2076" t="s">
        <v>9385</v>
      </c>
      <c r="J2076" t="s">
        <v>11662</v>
      </c>
      <c r="K2076" t="s">
        <v>16063</v>
      </c>
      <c r="L2076">
        <f>HYPERLINK("https://www2.assemblee-nationale.fr/sycomore/fiche/(num_dept)/2124", "2124")</f>
        <v>0</v>
      </c>
      <c r="N2076">
        <f>HYPERLINK("https://www.wikidata.org/wiki/Q2958846", "Q2958846")</f>
        <v>0</v>
      </c>
      <c r="O2076" t="s">
        <v>20011</v>
      </c>
      <c r="P2076" t="s">
        <v>20401</v>
      </c>
      <c r="Q2076" t="s">
        <v>20572</v>
      </c>
      <c r="R2076" t="s">
        <v>412</v>
      </c>
      <c r="S2076">
        <v>1481</v>
      </c>
    </row>
    <row r="2077" spans="1:19">
      <c r="A2077" t="s">
        <v>22</v>
      </c>
      <c r="B2077" t="s">
        <v>148</v>
      </c>
      <c r="C2077" t="s">
        <v>154</v>
      </c>
      <c r="D2077" t="s">
        <v>283</v>
      </c>
      <c r="E2077" t="s">
        <v>412</v>
      </c>
      <c r="F2077">
        <f>HYPERLINK("https://www.wikidata.org/wiki/Q16683492", "Q16683492")</f>
        <v>0</v>
      </c>
      <c r="G2077" t="s">
        <v>599</v>
      </c>
      <c r="H2077" t="s">
        <v>5360</v>
      </c>
      <c r="I2077" t="s">
        <v>9445</v>
      </c>
      <c r="J2077" t="s">
        <v>11350</v>
      </c>
      <c r="K2077" t="s">
        <v>15751</v>
      </c>
      <c r="L2077">
        <f>HYPERLINK("https://www2.assemblee-nationale.fr/sycomore/fiche/(num_dept)/2132", "2132")</f>
        <v>0</v>
      </c>
      <c r="N2077">
        <f>HYPERLINK("https://www.wikidata.org/wiki/Q2825149", "Q2825149")</f>
        <v>0</v>
      </c>
      <c r="O2077" t="s">
        <v>19957</v>
      </c>
      <c r="P2077" t="s">
        <v>20412</v>
      </c>
      <c r="Q2077" t="s">
        <v>20572</v>
      </c>
      <c r="R2077" t="s">
        <v>412</v>
      </c>
      <c r="S2077">
        <v>1481</v>
      </c>
    </row>
    <row r="2078" spans="1:19">
      <c r="A2078" t="s">
        <v>22</v>
      </c>
      <c r="B2078" t="s">
        <v>148</v>
      </c>
      <c r="C2078" t="s">
        <v>154</v>
      </c>
      <c r="D2078" t="s">
        <v>283</v>
      </c>
      <c r="E2078" t="s">
        <v>412</v>
      </c>
      <c r="F2078">
        <f>HYPERLINK("https://www.wikidata.org/wiki/Q16683492", "Q16683492")</f>
        <v>0</v>
      </c>
      <c r="G2078" t="s">
        <v>1776</v>
      </c>
      <c r="H2078" t="s">
        <v>6444</v>
      </c>
      <c r="I2078" t="s">
        <v>9483</v>
      </c>
      <c r="J2078" t="s">
        <v>11732</v>
      </c>
      <c r="K2078" t="s">
        <v>16882</v>
      </c>
      <c r="L2078">
        <f>HYPERLINK("https://www2.assemblee-nationale.fr/sycomore/fiche/(num_dept)/2135", "2135")</f>
        <v>0</v>
      </c>
      <c r="N2078">
        <f>HYPERLINK("https://www.wikidata.org/wiki/Q16025518", "Q16025518")</f>
        <v>0</v>
      </c>
      <c r="O2078" t="s">
        <v>19965</v>
      </c>
      <c r="P2078" t="s">
        <v>20404</v>
      </c>
      <c r="Q2078" t="s">
        <v>20572</v>
      </c>
      <c r="R2078" t="s">
        <v>412</v>
      </c>
      <c r="S2078">
        <v>1481</v>
      </c>
    </row>
    <row r="2079" spans="1:19">
      <c r="A2079" t="s">
        <v>22</v>
      </c>
      <c r="B2079" t="s">
        <v>148</v>
      </c>
      <c r="C2079" t="s">
        <v>154</v>
      </c>
      <c r="D2079" t="s">
        <v>283</v>
      </c>
      <c r="E2079" t="s">
        <v>412</v>
      </c>
      <c r="F2079">
        <f>HYPERLINK("https://www.wikidata.org/wiki/Q16683492", "Q16683492")</f>
        <v>0</v>
      </c>
      <c r="G2079" t="s">
        <v>1777</v>
      </c>
      <c r="H2079" t="s">
        <v>6445</v>
      </c>
      <c r="I2079" t="s">
        <v>9945</v>
      </c>
      <c r="J2079" t="s">
        <v>12474</v>
      </c>
      <c r="K2079" t="s">
        <v>16883</v>
      </c>
      <c r="L2079">
        <f>HYPERLINK("https://www2.assemblee-nationale.fr/sycomore/fiche/(num_dept)/2164", "2164")</f>
        <v>0</v>
      </c>
      <c r="N2079">
        <f>HYPERLINK("https://www.wikidata.org/wiki/Q3420785", "Q3420785")</f>
        <v>0</v>
      </c>
      <c r="O2079" t="s">
        <v>19975</v>
      </c>
      <c r="P2079" t="s">
        <v>20423</v>
      </c>
      <c r="Q2079" t="s">
        <v>20572</v>
      </c>
      <c r="R2079" t="s">
        <v>412</v>
      </c>
      <c r="S2079">
        <v>1481</v>
      </c>
    </row>
    <row r="2080" spans="1:19">
      <c r="A2080" t="s">
        <v>22</v>
      </c>
      <c r="B2080" t="s">
        <v>148</v>
      </c>
      <c r="C2080" t="s">
        <v>154</v>
      </c>
      <c r="D2080" t="s">
        <v>283</v>
      </c>
      <c r="E2080" t="s">
        <v>412</v>
      </c>
      <c r="F2080">
        <f>HYPERLINK("https://www.wikidata.org/wiki/Q16683492", "Q16683492")</f>
        <v>0</v>
      </c>
      <c r="G2080" t="s">
        <v>603</v>
      </c>
      <c r="H2080" t="s">
        <v>5363</v>
      </c>
      <c r="I2080" t="s">
        <v>9447</v>
      </c>
      <c r="J2080" t="s">
        <v>11354</v>
      </c>
      <c r="K2080" t="s">
        <v>15755</v>
      </c>
      <c r="L2080">
        <f>HYPERLINK("https://www2.assemblee-nationale.fr/sycomore/fiche/(num_dept)/2240", "2240")</f>
        <v>0</v>
      </c>
      <c r="N2080">
        <f>HYPERLINK("https://www.wikidata.org/wiki/Q11954687", "Q11954687")</f>
        <v>0</v>
      </c>
      <c r="O2080" t="s">
        <v>19969</v>
      </c>
      <c r="P2080" t="s">
        <v>20425</v>
      </c>
      <c r="Q2080" t="s">
        <v>20572</v>
      </c>
      <c r="R2080" t="s">
        <v>15755</v>
      </c>
      <c r="S2080">
        <v>1305</v>
      </c>
    </row>
    <row r="2081" spans="1:19">
      <c r="A2081" t="s">
        <v>22</v>
      </c>
      <c r="B2081" t="s">
        <v>148</v>
      </c>
      <c r="C2081" t="s">
        <v>154</v>
      </c>
      <c r="D2081" t="s">
        <v>283</v>
      </c>
      <c r="E2081" t="s">
        <v>412</v>
      </c>
      <c r="F2081">
        <f>HYPERLINK("https://www.wikidata.org/wiki/Q16683492", "Q16683492")</f>
        <v>0</v>
      </c>
      <c r="G2081" t="s">
        <v>923</v>
      </c>
      <c r="H2081" t="s">
        <v>5679</v>
      </c>
      <c r="I2081" t="s">
        <v>7265</v>
      </c>
      <c r="J2081" t="s">
        <v>11665</v>
      </c>
      <c r="K2081" t="s">
        <v>16066</v>
      </c>
      <c r="L2081">
        <f>HYPERLINK("https://www2.assemblee-nationale.fr/sycomore/fiche/(num_dept)/2264", "2264")</f>
        <v>0</v>
      </c>
      <c r="N2081">
        <f>HYPERLINK("https://www.wikidata.org/wiki/Q8323949", "Q8323949")</f>
        <v>0</v>
      </c>
      <c r="O2081" t="s">
        <v>20023</v>
      </c>
      <c r="P2081" t="s">
        <v>20425</v>
      </c>
      <c r="Q2081" t="s">
        <v>20572</v>
      </c>
      <c r="R2081" t="s">
        <v>412</v>
      </c>
      <c r="S2081">
        <v>1481</v>
      </c>
    </row>
    <row r="2082" spans="1:19">
      <c r="A2082" t="s">
        <v>22</v>
      </c>
      <c r="B2082" t="s">
        <v>148</v>
      </c>
      <c r="C2082" t="s">
        <v>154</v>
      </c>
      <c r="D2082" t="s">
        <v>283</v>
      </c>
      <c r="E2082" t="s">
        <v>412</v>
      </c>
      <c r="F2082">
        <f>HYPERLINK("https://www.wikidata.org/wiki/Q16683492", "Q16683492")</f>
        <v>0</v>
      </c>
      <c r="G2082" t="s">
        <v>1778</v>
      </c>
      <c r="H2082" t="s">
        <v>6446</v>
      </c>
      <c r="I2082" t="s">
        <v>9946</v>
      </c>
      <c r="J2082" t="s">
        <v>12475</v>
      </c>
      <c r="K2082" t="s">
        <v>16884</v>
      </c>
      <c r="L2082">
        <f>HYPERLINK("https://www2.assemblee-nationale.fr/sycomore/fiche/(num_dept)/2282", "2282")</f>
        <v>0</v>
      </c>
      <c r="N2082">
        <f>HYPERLINK("https://www.wikidata.org/wiki/Q362673", "Q362673")</f>
        <v>0</v>
      </c>
      <c r="O2082" t="s">
        <v>20010</v>
      </c>
      <c r="P2082" t="s">
        <v>20423</v>
      </c>
      <c r="Q2082" t="s">
        <v>20572</v>
      </c>
      <c r="R2082" t="s">
        <v>412</v>
      </c>
      <c r="S2082">
        <v>1481</v>
      </c>
    </row>
    <row r="2083" spans="1:19">
      <c r="A2083" t="s">
        <v>22</v>
      </c>
      <c r="B2083" t="s">
        <v>148</v>
      </c>
      <c r="C2083" t="s">
        <v>154</v>
      </c>
      <c r="D2083" t="s">
        <v>283</v>
      </c>
      <c r="E2083" t="s">
        <v>412</v>
      </c>
      <c r="F2083">
        <f>HYPERLINK("https://www.wikidata.org/wiki/Q16683492", "Q16683492")</f>
        <v>0</v>
      </c>
      <c r="G2083" t="s">
        <v>1430</v>
      </c>
      <c r="H2083" t="s">
        <v>6135</v>
      </c>
      <c r="I2083" t="s">
        <v>9385</v>
      </c>
      <c r="J2083" t="s">
        <v>12153</v>
      </c>
      <c r="K2083" t="s">
        <v>16556</v>
      </c>
      <c r="L2083">
        <f>HYPERLINK("https://www2.assemblee-nationale.fr/sycomore/fiche/(num_dept)/2295", "2295")</f>
        <v>0</v>
      </c>
      <c r="M2083">
        <f>HYPERLINK("https://www.senat.fr/senateur-3eme-republique/delesalle_charles0979r3.html", "delesalle_charles0979r3")</f>
        <v>0</v>
      </c>
      <c r="N2083">
        <f>HYPERLINK("https://www.wikidata.org/wiki/Q2958867", "Q2958867")</f>
        <v>0</v>
      </c>
      <c r="O2083" t="s">
        <v>20013</v>
      </c>
      <c r="P2083" t="s">
        <v>20401</v>
      </c>
      <c r="Q2083" t="s">
        <v>20572</v>
      </c>
      <c r="R2083" t="s">
        <v>412</v>
      </c>
      <c r="S2083">
        <v>1481</v>
      </c>
    </row>
    <row r="2084" spans="1:19">
      <c r="A2084" t="s">
        <v>22</v>
      </c>
      <c r="B2084" t="s">
        <v>148</v>
      </c>
      <c r="C2084" t="s">
        <v>154</v>
      </c>
      <c r="D2084" t="s">
        <v>283</v>
      </c>
      <c r="E2084" t="s">
        <v>412</v>
      </c>
      <c r="F2084">
        <f>HYPERLINK("https://www.wikidata.org/wiki/Q16683492", "Q16683492")</f>
        <v>0</v>
      </c>
      <c r="G2084" t="s">
        <v>1779</v>
      </c>
      <c r="H2084" t="s">
        <v>6447</v>
      </c>
      <c r="I2084" t="s">
        <v>6200</v>
      </c>
      <c r="J2084" t="s">
        <v>12476</v>
      </c>
      <c r="K2084" t="s">
        <v>16885</v>
      </c>
      <c r="L2084">
        <f>HYPERLINK("https://www2.assemblee-nationale.fr/sycomore/fiche/(num_dept)/2308", "2308")</f>
        <v>0</v>
      </c>
      <c r="N2084">
        <f>HYPERLINK("https://www.wikidata.org/wiki/Q16025552", "Q16025552")</f>
        <v>0</v>
      </c>
      <c r="O2084" t="s">
        <v>19987</v>
      </c>
      <c r="P2084" t="s">
        <v>20423</v>
      </c>
      <c r="Q2084" t="s">
        <v>20572</v>
      </c>
      <c r="R2084" t="s">
        <v>412</v>
      </c>
      <c r="S2084">
        <v>1481</v>
      </c>
    </row>
    <row r="2085" spans="1:19">
      <c r="A2085" t="s">
        <v>22</v>
      </c>
      <c r="B2085" t="s">
        <v>148</v>
      </c>
      <c r="C2085" t="s">
        <v>154</v>
      </c>
      <c r="D2085" t="s">
        <v>283</v>
      </c>
      <c r="E2085" t="s">
        <v>412</v>
      </c>
      <c r="F2085">
        <f>HYPERLINK("https://www.wikidata.org/wiki/Q16683492", "Q16683492")</f>
        <v>0</v>
      </c>
      <c r="G2085" t="s">
        <v>1780</v>
      </c>
      <c r="H2085" t="s">
        <v>6448</v>
      </c>
      <c r="I2085" t="s">
        <v>9947</v>
      </c>
      <c r="J2085" t="s">
        <v>12119</v>
      </c>
      <c r="K2085" t="s">
        <v>16886</v>
      </c>
      <c r="L2085">
        <f>HYPERLINK("https://www2.assemblee-nationale.fr/sycomore/fiche/(num_dept)/2318", "2318")</f>
        <v>0</v>
      </c>
      <c r="N2085">
        <f>HYPERLINK("https://www.wikidata.org/wiki/Q2832159", "Q2832159")</f>
        <v>0</v>
      </c>
      <c r="O2085" t="s">
        <v>20035</v>
      </c>
      <c r="P2085" t="s">
        <v>20425</v>
      </c>
      <c r="Q2085" t="s">
        <v>20572</v>
      </c>
      <c r="R2085" t="s">
        <v>412</v>
      </c>
      <c r="S2085">
        <v>1481</v>
      </c>
    </row>
    <row r="2086" spans="1:19">
      <c r="A2086" t="s">
        <v>22</v>
      </c>
      <c r="B2086" t="s">
        <v>148</v>
      </c>
      <c r="C2086" t="s">
        <v>154</v>
      </c>
      <c r="D2086" t="s">
        <v>283</v>
      </c>
      <c r="E2086" t="s">
        <v>412</v>
      </c>
      <c r="F2086">
        <f>HYPERLINK("https://www.wikidata.org/wiki/Q16683492", "Q16683492")</f>
        <v>0</v>
      </c>
      <c r="G2086" t="s">
        <v>926</v>
      </c>
      <c r="H2086" t="s">
        <v>5682</v>
      </c>
      <c r="I2086" t="s">
        <v>9421</v>
      </c>
      <c r="J2086" t="s">
        <v>11668</v>
      </c>
      <c r="K2086" t="s">
        <v>16069</v>
      </c>
      <c r="L2086">
        <f>HYPERLINK("https://www2.assemblee-nationale.fr/sycomore/fiche/(num_dept)/2335", "2335")</f>
        <v>0</v>
      </c>
      <c r="N2086">
        <f>HYPERLINK("https://www.wikidata.org/wiki/Q3121159", "Q3121159")</f>
        <v>0</v>
      </c>
      <c r="O2086" t="s">
        <v>20013</v>
      </c>
      <c r="P2086" t="s">
        <v>20404</v>
      </c>
      <c r="Q2086" t="s">
        <v>20572</v>
      </c>
      <c r="R2086" t="s">
        <v>16069</v>
      </c>
      <c r="S2086">
        <v>463</v>
      </c>
    </row>
    <row r="2087" spans="1:19">
      <c r="A2087" t="s">
        <v>22</v>
      </c>
      <c r="B2087" t="s">
        <v>148</v>
      </c>
      <c r="C2087" t="s">
        <v>154</v>
      </c>
      <c r="D2087" t="s">
        <v>283</v>
      </c>
      <c r="E2087" t="s">
        <v>412</v>
      </c>
      <c r="F2087">
        <f>HYPERLINK("https://www.wikidata.org/wiki/Q16683492", "Q16683492")</f>
        <v>0</v>
      </c>
      <c r="G2087" t="s">
        <v>1781</v>
      </c>
      <c r="H2087" t="s">
        <v>6449</v>
      </c>
      <c r="I2087" t="s">
        <v>9948</v>
      </c>
      <c r="J2087" t="s">
        <v>12477</v>
      </c>
      <c r="K2087" t="s">
        <v>16887</v>
      </c>
      <c r="L2087">
        <f>HYPERLINK("https://www2.assemblee-nationale.fr/sycomore/fiche/(num_dept)/2337", "2337")</f>
        <v>0</v>
      </c>
      <c r="N2087">
        <f>HYPERLINK("https://www.wikidata.org/wiki/Q16025559", "Q16025559")</f>
        <v>0</v>
      </c>
      <c r="O2087" t="s">
        <v>20013</v>
      </c>
      <c r="P2087" t="s">
        <v>20424</v>
      </c>
      <c r="Q2087" t="s">
        <v>20572</v>
      </c>
      <c r="R2087" t="s">
        <v>412</v>
      </c>
      <c r="S2087">
        <v>1481</v>
      </c>
    </row>
    <row r="2088" spans="1:19">
      <c r="A2088" t="s">
        <v>22</v>
      </c>
      <c r="B2088" t="s">
        <v>148</v>
      </c>
      <c r="C2088" t="s">
        <v>154</v>
      </c>
      <c r="D2088" t="s">
        <v>283</v>
      </c>
      <c r="E2088" t="s">
        <v>412</v>
      </c>
      <c r="F2088">
        <f>HYPERLINK("https://www.wikidata.org/wiki/Q16683492", "Q16683492")</f>
        <v>0</v>
      </c>
      <c r="G2088" t="s">
        <v>1782</v>
      </c>
      <c r="H2088" t="s">
        <v>6450</v>
      </c>
      <c r="I2088" t="s">
        <v>9949</v>
      </c>
      <c r="J2088" t="s">
        <v>12478</v>
      </c>
      <c r="K2088" t="s">
        <v>16888</v>
      </c>
      <c r="L2088">
        <f>HYPERLINK("https://www2.assemblee-nationale.fr/sycomore/fiche/(num_dept)/2350", "2350")</f>
        <v>0</v>
      </c>
      <c r="M2088">
        <f>HYPERLINK("https://www.senat.fr/senateur-3eme-republique/delthil_roger0436r4.html", "delthil_roger0436r4")</f>
        <v>0</v>
      </c>
      <c r="N2088">
        <f>HYPERLINK("https://www.wikidata.org/wiki/Q3438883", "Q3438883")</f>
        <v>0</v>
      </c>
      <c r="O2088" t="s">
        <v>20045</v>
      </c>
      <c r="P2088" t="s">
        <v>20423</v>
      </c>
      <c r="Q2088" t="s">
        <v>20572</v>
      </c>
      <c r="R2088" t="s">
        <v>404</v>
      </c>
      <c r="S2088">
        <v>973</v>
      </c>
    </row>
    <row r="2089" spans="1:19">
      <c r="A2089" t="s">
        <v>22</v>
      </c>
      <c r="B2089" t="s">
        <v>148</v>
      </c>
      <c r="C2089" t="s">
        <v>154</v>
      </c>
      <c r="D2089" t="s">
        <v>283</v>
      </c>
      <c r="E2089" t="s">
        <v>412</v>
      </c>
      <c r="F2089">
        <f>HYPERLINK("https://www.wikidata.org/wiki/Q16683492", "Q16683492")</f>
        <v>0</v>
      </c>
      <c r="G2089" t="s">
        <v>612</v>
      </c>
      <c r="H2089" t="s">
        <v>5372</v>
      </c>
      <c r="I2089" t="s">
        <v>6495</v>
      </c>
      <c r="J2089" t="s">
        <v>11363</v>
      </c>
      <c r="K2089" t="s">
        <v>15764</v>
      </c>
      <c r="L2089">
        <f>HYPERLINK("https://www2.assemblee-nationale.fr/sycomore/fiche/(num_dept)/2362", "2362")</f>
        <v>0</v>
      </c>
      <c r="M2089">
        <f>HYPERLINK("https://www.senat.fr/senateur-3eme-republique/demellier_louis1641r3.html", "demellier_louis1641r3")</f>
        <v>0</v>
      </c>
      <c r="N2089">
        <f>HYPERLINK("https://www.wikidata.org/wiki/Q3261694", "Q3261694")</f>
        <v>0</v>
      </c>
      <c r="O2089" t="s">
        <v>20021</v>
      </c>
      <c r="P2089" t="s">
        <v>20423</v>
      </c>
      <c r="Q2089" t="s">
        <v>20572</v>
      </c>
      <c r="R2089" t="s">
        <v>412</v>
      </c>
      <c r="S2089">
        <v>1481</v>
      </c>
    </row>
    <row r="2090" spans="1:19">
      <c r="A2090" t="s">
        <v>22</v>
      </c>
      <c r="B2090" t="s">
        <v>148</v>
      </c>
      <c r="C2090" t="s">
        <v>154</v>
      </c>
      <c r="D2090" t="s">
        <v>283</v>
      </c>
      <c r="E2090" t="s">
        <v>412</v>
      </c>
      <c r="F2090">
        <f>HYPERLINK("https://www.wikidata.org/wiki/Q16683492", "Q16683492")</f>
        <v>0</v>
      </c>
      <c r="G2090" t="s">
        <v>1435</v>
      </c>
      <c r="H2090" t="s">
        <v>5686</v>
      </c>
      <c r="I2090" t="s">
        <v>9385</v>
      </c>
      <c r="J2090" t="s">
        <v>11756</v>
      </c>
      <c r="K2090" t="s">
        <v>16561</v>
      </c>
      <c r="L2090">
        <f>HYPERLINK("https://www2.assemblee-nationale.fr/sycomore/fiche/(num_dept)/2441", "2441")</f>
        <v>0</v>
      </c>
      <c r="M2090">
        <f>HYPERLINK("https://www.senat.fr/senateur-3eme-republique/desjardins_charles0031r3.html", "desjardins_charles0031r3")</f>
        <v>0</v>
      </c>
      <c r="N2090">
        <f>HYPERLINK("https://www.wikidata.org/wiki/Q2958888", "Q2958888")</f>
        <v>0</v>
      </c>
      <c r="O2090" t="s">
        <v>20015</v>
      </c>
      <c r="P2090" t="s">
        <v>20422</v>
      </c>
      <c r="Q2090" t="s">
        <v>20572</v>
      </c>
      <c r="R2090" t="s">
        <v>412</v>
      </c>
      <c r="S2090">
        <v>1481</v>
      </c>
    </row>
    <row r="2091" spans="1:19">
      <c r="A2091" t="s">
        <v>22</v>
      </c>
      <c r="B2091" t="s">
        <v>148</v>
      </c>
      <c r="C2091" t="s">
        <v>154</v>
      </c>
      <c r="D2091" t="s">
        <v>283</v>
      </c>
      <c r="E2091" t="s">
        <v>412</v>
      </c>
      <c r="F2091">
        <f>HYPERLINK("https://www.wikidata.org/wiki/Q16683492", "Q16683492")</f>
        <v>0</v>
      </c>
      <c r="G2091" t="s">
        <v>1783</v>
      </c>
      <c r="H2091" t="s">
        <v>6451</v>
      </c>
      <c r="I2091" t="s">
        <v>9950</v>
      </c>
      <c r="J2091" t="s">
        <v>12479</v>
      </c>
      <c r="K2091" t="s">
        <v>16889</v>
      </c>
      <c r="L2091">
        <f>HYPERLINK("https://www2.assemblee-nationale.fr/sycomore/fiche/(num_dept)/2447", "2447")</f>
        <v>0</v>
      </c>
      <c r="N2091">
        <f>HYPERLINK("https://www.wikidata.org/wiki/Q16025581", "Q16025581")</f>
        <v>0</v>
      </c>
      <c r="O2091" t="s">
        <v>20013</v>
      </c>
      <c r="P2091" t="s">
        <v>20424</v>
      </c>
      <c r="Q2091" t="s">
        <v>20572</v>
      </c>
      <c r="R2091" t="s">
        <v>412</v>
      </c>
      <c r="S2091">
        <v>1481</v>
      </c>
    </row>
    <row r="2092" spans="1:19">
      <c r="A2092" t="s">
        <v>22</v>
      </c>
      <c r="B2092" t="s">
        <v>148</v>
      </c>
      <c r="C2092" t="s">
        <v>154</v>
      </c>
      <c r="D2092" t="s">
        <v>283</v>
      </c>
      <c r="E2092" t="s">
        <v>412</v>
      </c>
      <c r="F2092">
        <f>HYPERLINK("https://www.wikidata.org/wiki/Q16683492", "Q16683492")</f>
        <v>0</v>
      </c>
      <c r="G2092" t="s">
        <v>1164</v>
      </c>
      <c r="H2092" t="s">
        <v>5896</v>
      </c>
      <c r="I2092" t="s">
        <v>9375</v>
      </c>
      <c r="J2092" t="s">
        <v>11897</v>
      </c>
      <c r="K2092" t="s">
        <v>16299</v>
      </c>
      <c r="L2092">
        <f>HYPERLINK("https://www2.assemblee-nationale.fr/sycomore/fiche/(num_dept)/2455", "2455")</f>
        <v>0</v>
      </c>
      <c r="N2092">
        <f>HYPERLINK("https://www.wikidata.org/wiki/Q16025586", "Q16025586")</f>
        <v>0</v>
      </c>
      <c r="O2092" t="s">
        <v>20022</v>
      </c>
      <c r="P2092" t="s">
        <v>20412</v>
      </c>
      <c r="Q2092" t="s">
        <v>20572</v>
      </c>
      <c r="R2092" t="s">
        <v>412</v>
      </c>
      <c r="S2092">
        <v>1481</v>
      </c>
    </row>
    <row r="2093" spans="1:19">
      <c r="A2093" t="s">
        <v>22</v>
      </c>
      <c r="B2093" t="s">
        <v>148</v>
      </c>
      <c r="C2093" t="s">
        <v>154</v>
      </c>
      <c r="D2093" t="s">
        <v>283</v>
      </c>
      <c r="E2093" t="s">
        <v>412</v>
      </c>
      <c r="F2093">
        <f>HYPERLINK("https://www.wikidata.org/wiki/Q16683492", "Q16683492")</f>
        <v>0</v>
      </c>
      <c r="G2093" t="s">
        <v>1250</v>
      </c>
      <c r="H2093" t="s">
        <v>5974</v>
      </c>
      <c r="I2093" t="s">
        <v>6860</v>
      </c>
      <c r="J2093" t="s">
        <v>11980</v>
      </c>
      <c r="K2093" t="s">
        <v>16383</v>
      </c>
      <c r="L2093">
        <f>HYPERLINK("https://www2.assemblee-nationale.fr/sycomore/fiche/(num_dept)/2488", "2488")</f>
        <v>0</v>
      </c>
      <c r="N2093">
        <f>HYPERLINK("https://www.wikidata.org/wiki/Q16025596", "Q16025596")</f>
        <v>0</v>
      </c>
      <c r="O2093" t="s">
        <v>19995</v>
      </c>
      <c r="P2093" t="s">
        <v>20423</v>
      </c>
      <c r="Q2093" t="s">
        <v>20572</v>
      </c>
      <c r="R2093" t="s">
        <v>412</v>
      </c>
      <c r="S2093">
        <v>1481</v>
      </c>
    </row>
    <row r="2094" spans="1:19">
      <c r="A2094" t="s">
        <v>22</v>
      </c>
      <c r="B2094" t="s">
        <v>148</v>
      </c>
      <c r="C2094" t="s">
        <v>154</v>
      </c>
      <c r="D2094" t="s">
        <v>283</v>
      </c>
      <c r="E2094" t="s">
        <v>412</v>
      </c>
      <c r="F2094">
        <f>HYPERLINK("https://www.wikidata.org/wiki/Q16683492", "Q16683492")</f>
        <v>0</v>
      </c>
      <c r="G2094" t="s">
        <v>1437</v>
      </c>
      <c r="H2094" t="s">
        <v>6139</v>
      </c>
      <c r="I2094" t="s">
        <v>6860</v>
      </c>
      <c r="J2094" t="s">
        <v>12158</v>
      </c>
      <c r="K2094" t="s">
        <v>16563</v>
      </c>
      <c r="L2094">
        <f>HYPERLINK("https://www2.assemblee-nationale.fr/sycomore/fiche/(num_dept)/2490", "2490")</f>
        <v>0</v>
      </c>
      <c r="N2094">
        <f>HYPERLINK("https://www.wikidata.org/wiki/Q3384896", "Q3384896")</f>
        <v>0</v>
      </c>
      <c r="O2094" t="s">
        <v>19958</v>
      </c>
      <c r="P2094" t="s">
        <v>20423</v>
      </c>
      <c r="Q2094" t="s">
        <v>20572</v>
      </c>
      <c r="R2094" t="s">
        <v>412</v>
      </c>
      <c r="S2094">
        <v>1481</v>
      </c>
    </row>
    <row r="2095" spans="1:19">
      <c r="A2095" t="s">
        <v>22</v>
      </c>
      <c r="B2095" t="s">
        <v>148</v>
      </c>
      <c r="C2095" t="s">
        <v>154</v>
      </c>
      <c r="D2095" t="s">
        <v>283</v>
      </c>
      <c r="E2095" t="s">
        <v>412</v>
      </c>
      <c r="F2095">
        <f>HYPERLINK("https://www.wikidata.org/wiki/Q16683492", "Q16683492")</f>
        <v>0</v>
      </c>
      <c r="G2095" t="s">
        <v>1251</v>
      </c>
      <c r="H2095" t="s">
        <v>5975</v>
      </c>
      <c r="I2095" t="s">
        <v>9727</v>
      </c>
      <c r="J2095" t="s">
        <v>11981</v>
      </c>
      <c r="K2095" t="s">
        <v>16384</v>
      </c>
      <c r="L2095">
        <f>HYPERLINK("https://www2.assemblee-nationale.fr/sycomore/fiche/(num_dept)/2496", "2496")</f>
        <v>0</v>
      </c>
      <c r="N2095">
        <f>HYPERLINK("https://www.wikidata.org/wiki/Q725749", "Q725749")</f>
        <v>0</v>
      </c>
      <c r="O2095" t="s">
        <v>20046</v>
      </c>
      <c r="P2095" t="s">
        <v>20425</v>
      </c>
      <c r="Q2095" t="s">
        <v>20572</v>
      </c>
      <c r="R2095" t="s">
        <v>412</v>
      </c>
      <c r="S2095">
        <v>1481</v>
      </c>
    </row>
    <row r="2096" spans="1:19">
      <c r="A2096" t="s">
        <v>22</v>
      </c>
      <c r="B2096" t="s">
        <v>148</v>
      </c>
      <c r="C2096" t="s">
        <v>154</v>
      </c>
      <c r="D2096" t="s">
        <v>283</v>
      </c>
      <c r="E2096" t="s">
        <v>412</v>
      </c>
      <c r="F2096">
        <f>HYPERLINK("https://www.wikidata.org/wiki/Q16683492", "Q16683492")</f>
        <v>0</v>
      </c>
      <c r="G2096" t="s">
        <v>1784</v>
      </c>
      <c r="H2096" t="s">
        <v>6452</v>
      </c>
      <c r="I2096" t="s">
        <v>9458</v>
      </c>
      <c r="J2096" t="s">
        <v>12480</v>
      </c>
      <c r="K2096" t="s">
        <v>16364</v>
      </c>
      <c r="L2096">
        <f>HYPERLINK("https://www2.assemblee-nationale.fr/sycomore/fiche/(num_dept)/2505", "2505")</f>
        <v>0</v>
      </c>
      <c r="N2096">
        <f>HYPERLINK("https://www.wikidata.org/wiki/Q2835070", "Q2835070")</f>
        <v>0</v>
      </c>
      <c r="O2096" t="s">
        <v>20030</v>
      </c>
      <c r="P2096" t="s">
        <v>20417</v>
      </c>
      <c r="Q2096" t="s">
        <v>20572</v>
      </c>
      <c r="R2096" t="s">
        <v>412</v>
      </c>
      <c r="S2096">
        <v>1481</v>
      </c>
    </row>
    <row r="2097" spans="1:19">
      <c r="A2097" t="s">
        <v>22</v>
      </c>
      <c r="B2097" t="s">
        <v>148</v>
      </c>
      <c r="C2097" t="s">
        <v>154</v>
      </c>
      <c r="D2097" t="s">
        <v>283</v>
      </c>
      <c r="E2097" t="s">
        <v>412</v>
      </c>
      <c r="F2097">
        <f>HYPERLINK("https://www.wikidata.org/wiki/Q16683492", "Q16683492")</f>
        <v>0</v>
      </c>
      <c r="G2097" t="s">
        <v>1438</v>
      </c>
      <c r="H2097" t="s">
        <v>6140</v>
      </c>
      <c r="I2097" t="s">
        <v>6860</v>
      </c>
      <c r="J2097" t="s">
        <v>12159</v>
      </c>
      <c r="K2097" t="s">
        <v>16564</v>
      </c>
      <c r="L2097">
        <f>HYPERLINK("https://www2.assemblee-nationale.fr/sycomore/fiche/(num_dept)/2514", "2514")</f>
        <v>0</v>
      </c>
      <c r="N2097">
        <f>HYPERLINK("https://www.wikidata.org/wiki/Q3384763", "Q3384763")</f>
        <v>0</v>
      </c>
      <c r="O2097" t="s">
        <v>19987</v>
      </c>
      <c r="P2097" t="s">
        <v>20412</v>
      </c>
      <c r="Q2097" t="s">
        <v>20572</v>
      </c>
      <c r="R2097" t="s">
        <v>412</v>
      </c>
      <c r="S2097">
        <v>1481</v>
      </c>
    </row>
    <row r="2098" spans="1:19">
      <c r="A2098" t="s">
        <v>22</v>
      </c>
      <c r="B2098" t="s">
        <v>148</v>
      </c>
      <c r="C2098" t="s">
        <v>154</v>
      </c>
      <c r="D2098" t="s">
        <v>283</v>
      </c>
      <c r="E2098" t="s">
        <v>412</v>
      </c>
      <c r="F2098">
        <f>HYPERLINK("https://www.wikidata.org/wiki/Q16683492", "Q16683492")</f>
        <v>0</v>
      </c>
      <c r="G2098" t="s">
        <v>617</v>
      </c>
      <c r="H2098" t="s">
        <v>5377</v>
      </c>
      <c r="I2098" t="s">
        <v>9455</v>
      </c>
      <c r="J2098" t="s">
        <v>11367</v>
      </c>
      <c r="K2098" t="s">
        <v>15769</v>
      </c>
      <c r="L2098">
        <f>HYPERLINK("https://www2.assemblee-nationale.fr/sycomore/fiche/(num_dept)/2522", "2522")</f>
        <v>0</v>
      </c>
      <c r="N2098">
        <f>HYPERLINK("https://www.wikidata.org/wiki/Q3265475", "Q3265475")</f>
        <v>0</v>
      </c>
      <c r="O2098" t="s">
        <v>19985</v>
      </c>
      <c r="P2098" t="s">
        <v>20412</v>
      </c>
      <c r="Q2098" t="s">
        <v>20572</v>
      </c>
      <c r="R2098" t="s">
        <v>412</v>
      </c>
      <c r="S2098">
        <v>1481</v>
      </c>
    </row>
    <row r="2099" spans="1:19">
      <c r="A2099" t="s">
        <v>22</v>
      </c>
      <c r="B2099" t="s">
        <v>148</v>
      </c>
      <c r="C2099" t="s">
        <v>154</v>
      </c>
      <c r="D2099" t="s">
        <v>283</v>
      </c>
      <c r="E2099" t="s">
        <v>412</v>
      </c>
      <c r="F2099">
        <f>HYPERLINK("https://www.wikidata.org/wiki/Q16683492", "Q16683492")</f>
        <v>0</v>
      </c>
      <c r="G2099" t="s">
        <v>1785</v>
      </c>
      <c r="H2099" t="s">
        <v>6453</v>
      </c>
      <c r="I2099" t="s">
        <v>7419</v>
      </c>
      <c r="J2099" t="s">
        <v>12481</v>
      </c>
      <c r="K2099" t="s">
        <v>16890</v>
      </c>
      <c r="L2099">
        <f>HYPERLINK("https://www2.assemblee-nationale.fr/sycomore/fiche/(num_dept)/2556", "2556")</f>
        <v>0</v>
      </c>
      <c r="N2099">
        <f>HYPERLINK("https://www.wikidata.org/wiki/Q724729", "Q724729")</f>
        <v>0</v>
      </c>
      <c r="O2099" t="s">
        <v>19969</v>
      </c>
      <c r="P2099" t="s">
        <v>20424</v>
      </c>
      <c r="Q2099" t="s">
        <v>20572</v>
      </c>
      <c r="R2099" t="s">
        <v>412</v>
      </c>
      <c r="S2099">
        <v>1481</v>
      </c>
    </row>
    <row r="2100" spans="1:19">
      <c r="A2100" t="s">
        <v>22</v>
      </c>
      <c r="B2100" t="s">
        <v>148</v>
      </c>
      <c r="C2100" t="s">
        <v>154</v>
      </c>
      <c r="D2100" t="s">
        <v>283</v>
      </c>
      <c r="E2100" t="s">
        <v>412</v>
      </c>
      <c r="F2100">
        <f>HYPERLINK("https://www.wikidata.org/wiki/Q16683492", "Q16683492")</f>
        <v>0</v>
      </c>
      <c r="G2100" t="s">
        <v>1786</v>
      </c>
      <c r="H2100" t="s">
        <v>6454</v>
      </c>
      <c r="I2100" t="s">
        <v>6175</v>
      </c>
      <c r="J2100" t="s">
        <v>12482</v>
      </c>
      <c r="K2100" t="s">
        <v>16891</v>
      </c>
      <c r="L2100">
        <f>HYPERLINK("https://www2.assemblee-nationale.fr/sycomore/fiche/(num_dept)/2557", "2557")</f>
        <v>0</v>
      </c>
      <c r="N2100">
        <f>HYPERLINK("https://www.wikidata.org/wiki/Q3102621", "Q3102621")</f>
        <v>0</v>
      </c>
      <c r="O2100" t="s">
        <v>20006</v>
      </c>
      <c r="P2100" t="s">
        <v>20423</v>
      </c>
      <c r="Q2100" t="s">
        <v>20572</v>
      </c>
      <c r="R2100" t="s">
        <v>412</v>
      </c>
      <c r="S2100">
        <v>1481</v>
      </c>
    </row>
    <row r="2101" spans="1:19">
      <c r="A2101" t="s">
        <v>22</v>
      </c>
      <c r="B2101" t="s">
        <v>148</v>
      </c>
      <c r="C2101" t="s">
        <v>154</v>
      </c>
      <c r="D2101" t="s">
        <v>283</v>
      </c>
      <c r="E2101" t="s">
        <v>412</v>
      </c>
      <c r="F2101">
        <f>HYPERLINK("https://www.wikidata.org/wiki/Q16683492", "Q16683492")</f>
        <v>0</v>
      </c>
      <c r="G2101" t="s">
        <v>1680</v>
      </c>
      <c r="H2101" t="s">
        <v>6359</v>
      </c>
      <c r="I2101" t="s">
        <v>7419</v>
      </c>
      <c r="J2101" t="s">
        <v>12385</v>
      </c>
      <c r="K2101" t="s">
        <v>16794</v>
      </c>
      <c r="L2101">
        <f>HYPERLINK("https://www2.assemblee-nationale.fr/sycomore/fiche/(num_dept)/2614", "2614")</f>
        <v>0</v>
      </c>
      <c r="N2101">
        <f>HYPERLINK("https://www.wikidata.org/wiki/Q2118124", "Q2118124")</f>
        <v>0</v>
      </c>
      <c r="O2101" t="s">
        <v>20018</v>
      </c>
      <c r="P2101" t="s">
        <v>20423</v>
      </c>
      <c r="Q2101" t="s">
        <v>20572</v>
      </c>
      <c r="R2101" t="s">
        <v>412</v>
      </c>
      <c r="S2101">
        <v>1481</v>
      </c>
    </row>
    <row r="2102" spans="1:19">
      <c r="A2102" t="s">
        <v>22</v>
      </c>
      <c r="B2102" t="s">
        <v>148</v>
      </c>
      <c r="C2102" t="s">
        <v>154</v>
      </c>
      <c r="D2102" t="s">
        <v>283</v>
      </c>
      <c r="E2102" t="s">
        <v>412</v>
      </c>
      <c r="F2102">
        <f>HYPERLINK("https://www.wikidata.org/wiki/Q16683492", "Q16683492")</f>
        <v>0</v>
      </c>
      <c r="G2102" t="s">
        <v>939</v>
      </c>
      <c r="H2102" t="s">
        <v>5695</v>
      </c>
      <c r="I2102" t="s">
        <v>9594</v>
      </c>
      <c r="J2102" t="s">
        <v>11680</v>
      </c>
      <c r="K2102" t="s">
        <v>16081</v>
      </c>
      <c r="L2102">
        <f>HYPERLINK("https://www2.assemblee-nationale.fr/sycomore/fiche/(num_dept)/2622", "2622")</f>
        <v>0</v>
      </c>
      <c r="N2102">
        <f>HYPERLINK("https://www.wikidata.org/wiki/Q3261768", "Q3261768")</f>
        <v>0</v>
      </c>
      <c r="O2102" t="s">
        <v>19969</v>
      </c>
      <c r="P2102" t="s">
        <v>20422</v>
      </c>
      <c r="Q2102" t="s">
        <v>20572</v>
      </c>
      <c r="R2102" t="s">
        <v>412</v>
      </c>
      <c r="S2102">
        <v>1481</v>
      </c>
    </row>
    <row r="2103" spans="1:19">
      <c r="A2103" t="s">
        <v>22</v>
      </c>
      <c r="B2103" t="s">
        <v>148</v>
      </c>
      <c r="C2103" t="s">
        <v>154</v>
      </c>
      <c r="D2103" t="s">
        <v>283</v>
      </c>
      <c r="E2103" t="s">
        <v>412</v>
      </c>
      <c r="F2103">
        <f>HYPERLINK("https://www.wikidata.org/wiki/Q16683492", "Q16683492")</f>
        <v>0</v>
      </c>
      <c r="G2103" t="s">
        <v>1441</v>
      </c>
      <c r="H2103" t="s">
        <v>5695</v>
      </c>
      <c r="I2103" t="s">
        <v>9809</v>
      </c>
      <c r="J2103" t="s">
        <v>12162</v>
      </c>
      <c r="K2103" t="s">
        <v>16567</v>
      </c>
      <c r="L2103">
        <f>HYPERLINK("https://www2.assemblee-nationale.fr/sycomore/fiche/(num_dept)/2625", "2625")</f>
        <v>0</v>
      </c>
      <c r="N2103">
        <f>HYPERLINK("https://www.wikidata.org/wiki/Q16025617", "Q16025617")</f>
        <v>0</v>
      </c>
      <c r="O2103" t="s">
        <v>20012</v>
      </c>
      <c r="P2103" t="s">
        <v>20423</v>
      </c>
      <c r="Q2103" t="s">
        <v>20572</v>
      </c>
      <c r="R2103" t="s">
        <v>412</v>
      </c>
      <c r="S2103">
        <v>1481</v>
      </c>
    </row>
    <row r="2104" spans="1:19">
      <c r="A2104" t="s">
        <v>22</v>
      </c>
      <c r="B2104" t="s">
        <v>148</v>
      </c>
      <c r="C2104" t="s">
        <v>154</v>
      </c>
      <c r="D2104" t="s">
        <v>283</v>
      </c>
      <c r="E2104" t="s">
        <v>412</v>
      </c>
      <c r="F2104">
        <f>HYPERLINK("https://www.wikidata.org/wiki/Q16683492", "Q16683492")</f>
        <v>0</v>
      </c>
      <c r="G2104" t="s">
        <v>1166</v>
      </c>
      <c r="H2104" t="s">
        <v>5898</v>
      </c>
      <c r="I2104" t="s">
        <v>9690</v>
      </c>
      <c r="J2104" t="s">
        <v>11899</v>
      </c>
      <c r="K2104" t="s">
        <v>16301</v>
      </c>
      <c r="L2104">
        <f>HYPERLINK("https://www2.assemblee-nationale.fr/sycomore/fiche/(num_dept)/2634", "2634")</f>
        <v>0</v>
      </c>
      <c r="N2104">
        <f>HYPERLINK("https://www.wikidata.org/wiki/Q3158781", "Q3158781")</f>
        <v>0</v>
      </c>
      <c r="O2104" t="s">
        <v>19984</v>
      </c>
      <c r="P2104" t="s">
        <v>20422</v>
      </c>
      <c r="Q2104" t="s">
        <v>20572</v>
      </c>
      <c r="R2104" t="s">
        <v>412</v>
      </c>
      <c r="S2104">
        <v>1481</v>
      </c>
    </row>
    <row r="2105" spans="1:19">
      <c r="A2105" t="s">
        <v>22</v>
      </c>
      <c r="B2105" t="s">
        <v>148</v>
      </c>
      <c r="C2105" t="s">
        <v>154</v>
      </c>
      <c r="D2105" t="s">
        <v>283</v>
      </c>
      <c r="E2105" t="s">
        <v>412</v>
      </c>
      <c r="F2105">
        <f>HYPERLINK("https://www.wikidata.org/wiki/Q16683492", "Q16683492")</f>
        <v>0</v>
      </c>
      <c r="G2105" t="s">
        <v>1787</v>
      </c>
      <c r="H2105" t="s">
        <v>6455</v>
      </c>
      <c r="I2105" t="s">
        <v>9951</v>
      </c>
      <c r="J2105" t="s">
        <v>12483</v>
      </c>
      <c r="K2105" t="s">
        <v>16892</v>
      </c>
      <c r="L2105">
        <f>HYPERLINK("https://www2.assemblee-nationale.fr/sycomore/fiche/(num_dept)/2635", "2635")</f>
        <v>0</v>
      </c>
      <c r="N2105">
        <f>HYPERLINK("https://www.wikidata.org/wiki/Q3261774", "Q3261774")</f>
        <v>0</v>
      </c>
      <c r="O2105" t="s">
        <v>19978</v>
      </c>
      <c r="P2105" t="s">
        <v>20422</v>
      </c>
      <c r="Q2105" t="s">
        <v>20572</v>
      </c>
      <c r="R2105" t="s">
        <v>412</v>
      </c>
      <c r="S2105">
        <v>1481</v>
      </c>
    </row>
    <row r="2106" spans="1:19">
      <c r="A2106" t="s">
        <v>22</v>
      </c>
      <c r="B2106" t="s">
        <v>148</v>
      </c>
      <c r="C2106" t="s">
        <v>154</v>
      </c>
      <c r="D2106" t="s">
        <v>283</v>
      </c>
      <c r="E2106" t="s">
        <v>412</v>
      </c>
      <c r="F2106">
        <f>HYPERLINK("https://www.wikidata.org/wiki/Q16683492", "Q16683492")</f>
        <v>0</v>
      </c>
      <c r="G2106" t="s">
        <v>942</v>
      </c>
      <c r="H2106" t="s">
        <v>5698</v>
      </c>
      <c r="I2106" t="s">
        <v>9449</v>
      </c>
      <c r="J2106" t="s">
        <v>11683</v>
      </c>
      <c r="K2106" t="s">
        <v>16084</v>
      </c>
      <c r="L2106">
        <f>HYPERLINK("https://www2.assemblee-nationale.fr/sycomore/fiche/(num_dept)/2651", "2651")</f>
        <v>0</v>
      </c>
      <c r="M2106">
        <f>HYPERLINK("https://www.senat.fr/senateur-3eme-republique/duclaux_monteil_jules0135r3.html", "duclaux_monteil_jules0135r3")</f>
        <v>0</v>
      </c>
      <c r="N2106">
        <f>HYPERLINK("https://www.wikidata.org/wiki/Q3188550", "Q3188550")</f>
        <v>0</v>
      </c>
      <c r="O2106" t="s">
        <v>19991</v>
      </c>
      <c r="P2106" t="s">
        <v>20422</v>
      </c>
      <c r="Q2106" t="s">
        <v>20572</v>
      </c>
      <c r="R2106" t="s">
        <v>412</v>
      </c>
      <c r="S2106">
        <v>1481</v>
      </c>
    </row>
    <row r="2107" spans="1:19">
      <c r="A2107" t="s">
        <v>22</v>
      </c>
      <c r="B2107" t="s">
        <v>148</v>
      </c>
      <c r="C2107" t="s">
        <v>154</v>
      </c>
      <c r="D2107" t="s">
        <v>283</v>
      </c>
      <c r="E2107" t="s">
        <v>412</v>
      </c>
      <c r="F2107">
        <f>HYPERLINK("https://www.wikidata.org/wiki/Q16683492", "Q16683492")</f>
        <v>0</v>
      </c>
      <c r="G2107" t="s">
        <v>1444</v>
      </c>
      <c r="H2107" t="s">
        <v>6145</v>
      </c>
      <c r="I2107" t="s">
        <v>9472</v>
      </c>
      <c r="J2107" t="s">
        <v>12165</v>
      </c>
      <c r="K2107" t="s">
        <v>16570</v>
      </c>
      <c r="L2107">
        <f>HYPERLINK("https://www2.assemblee-nationale.fr/sycomore/fiche/(num_dept)/2655", "2655")</f>
        <v>0</v>
      </c>
      <c r="N2107">
        <f>HYPERLINK("https://www.wikidata.org/wiki/Q3136053", "Q3136053")</f>
        <v>0</v>
      </c>
      <c r="O2107" t="s">
        <v>20016</v>
      </c>
      <c r="P2107" t="s">
        <v>20423</v>
      </c>
      <c r="Q2107" t="s">
        <v>20572</v>
      </c>
      <c r="R2107" t="s">
        <v>412</v>
      </c>
      <c r="S2107">
        <v>1481</v>
      </c>
    </row>
    <row r="2108" spans="1:19">
      <c r="A2108" t="s">
        <v>22</v>
      </c>
      <c r="B2108" t="s">
        <v>148</v>
      </c>
      <c r="C2108" t="s">
        <v>154</v>
      </c>
      <c r="D2108" t="s">
        <v>283</v>
      </c>
      <c r="E2108" t="s">
        <v>412</v>
      </c>
      <c r="F2108">
        <f>HYPERLINK("https://www.wikidata.org/wiki/Q16683492", "Q16683492")</f>
        <v>0</v>
      </c>
      <c r="G2108" t="s">
        <v>625</v>
      </c>
      <c r="H2108" t="s">
        <v>5385</v>
      </c>
      <c r="I2108" t="s">
        <v>9460</v>
      </c>
      <c r="J2108" t="s">
        <v>11375</v>
      </c>
      <c r="K2108" t="s">
        <v>15777</v>
      </c>
      <c r="L2108">
        <f>HYPERLINK("https://www2.assemblee-nationale.fr/sycomore/fiche/(num_dept)/2699", "2699")</f>
        <v>0</v>
      </c>
      <c r="M2108">
        <f>HYPERLINK("https://www.senat.fr/senateur-3eme-republique/dumesnil_jacques1613r3.html", "dumesnil_jacques1613r3")</f>
        <v>0</v>
      </c>
      <c r="N2108">
        <f>HYPERLINK("https://www.wikidata.org/wiki/Q3157989", "Q3157989")</f>
        <v>0</v>
      </c>
      <c r="O2108" t="s">
        <v>20026</v>
      </c>
      <c r="P2108" t="s">
        <v>20423</v>
      </c>
      <c r="Q2108" t="s">
        <v>20572</v>
      </c>
      <c r="R2108" t="s">
        <v>412</v>
      </c>
      <c r="S2108">
        <v>1481</v>
      </c>
    </row>
    <row r="2109" spans="1:19">
      <c r="A2109" t="s">
        <v>22</v>
      </c>
      <c r="B2109" t="s">
        <v>148</v>
      </c>
      <c r="C2109" t="s">
        <v>154</v>
      </c>
      <c r="D2109" t="s">
        <v>283</v>
      </c>
      <c r="E2109" t="s">
        <v>412</v>
      </c>
      <c r="F2109">
        <f>HYPERLINK("https://www.wikidata.org/wiki/Q16683492", "Q16683492")</f>
        <v>0</v>
      </c>
      <c r="G2109" t="s">
        <v>949</v>
      </c>
      <c r="H2109" t="s">
        <v>5703</v>
      </c>
      <c r="I2109" t="s">
        <v>9598</v>
      </c>
      <c r="J2109" t="s">
        <v>11690</v>
      </c>
      <c r="K2109" t="s">
        <v>16091</v>
      </c>
      <c r="L2109">
        <f>HYPERLINK("https://www2.assemblee-nationale.fr/sycomore/fiche/(num_dept)/2711", "2711")</f>
        <v>0</v>
      </c>
      <c r="N2109">
        <f>HYPERLINK("https://www.wikidata.org/wiki/Q15971901", "Q15971901")</f>
        <v>0</v>
      </c>
      <c r="O2109" t="s">
        <v>19959</v>
      </c>
      <c r="P2109" t="s">
        <v>20401</v>
      </c>
      <c r="Q2109" t="s">
        <v>20572</v>
      </c>
      <c r="R2109" t="s">
        <v>16091</v>
      </c>
      <c r="S2109">
        <v>950</v>
      </c>
    </row>
    <row r="2110" spans="1:19">
      <c r="A2110" t="s">
        <v>22</v>
      </c>
      <c r="B2110" t="s">
        <v>148</v>
      </c>
      <c r="C2110" t="s">
        <v>154</v>
      </c>
      <c r="D2110" t="s">
        <v>283</v>
      </c>
      <c r="E2110" t="s">
        <v>412</v>
      </c>
      <c r="F2110">
        <f>HYPERLINK("https://www.wikidata.org/wiki/Q16683492", "Q16683492")</f>
        <v>0</v>
      </c>
      <c r="G2110" t="s">
        <v>627</v>
      </c>
      <c r="H2110" t="s">
        <v>5387</v>
      </c>
      <c r="I2110" t="s">
        <v>6860</v>
      </c>
      <c r="J2110" t="s">
        <v>11377</v>
      </c>
      <c r="K2110" t="s">
        <v>15779</v>
      </c>
      <c r="L2110">
        <f>HYPERLINK("https://www2.assemblee-nationale.fr/sycomore/fiche/(num_dept)/2743", "2743")</f>
        <v>0</v>
      </c>
      <c r="N2110">
        <f>HYPERLINK("https://www.wikidata.org/wiki/Q3384871", "Q3384871")</f>
        <v>0</v>
      </c>
      <c r="O2110" t="s">
        <v>19969</v>
      </c>
      <c r="P2110" t="s">
        <v>20412</v>
      </c>
      <c r="Q2110" t="s">
        <v>20572</v>
      </c>
      <c r="R2110" t="s">
        <v>412</v>
      </c>
      <c r="S2110">
        <v>1481</v>
      </c>
    </row>
    <row r="2111" spans="1:19">
      <c r="A2111" t="s">
        <v>22</v>
      </c>
      <c r="B2111" t="s">
        <v>148</v>
      </c>
      <c r="C2111" t="s">
        <v>154</v>
      </c>
      <c r="D2111" t="s">
        <v>283</v>
      </c>
      <c r="E2111" t="s">
        <v>412</v>
      </c>
      <c r="F2111">
        <f>HYPERLINK("https://www.wikidata.org/wiki/Q16683492", "Q16683492")</f>
        <v>0</v>
      </c>
      <c r="G2111" t="s">
        <v>952</v>
      </c>
      <c r="H2111" t="s">
        <v>5704</v>
      </c>
      <c r="I2111" t="s">
        <v>9401</v>
      </c>
      <c r="J2111" t="s">
        <v>11693</v>
      </c>
      <c r="K2111" t="s">
        <v>16094</v>
      </c>
      <c r="L2111">
        <f>HYPERLINK("https://www2.assemblee-nationale.fr/sycomore/fiche/(num_dept)/2750", "2750")</f>
        <v>0</v>
      </c>
      <c r="N2111">
        <f>HYPERLINK("https://www.wikidata.org/wiki/Q2853905", "Q2853905")</f>
        <v>0</v>
      </c>
      <c r="O2111" t="s">
        <v>19997</v>
      </c>
      <c r="P2111" t="s">
        <v>20423</v>
      </c>
      <c r="Q2111" t="s">
        <v>20572</v>
      </c>
      <c r="R2111" t="s">
        <v>412</v>
      </c>
      <c r="S2111">
        <v>1481</v>
      </c>
    </row>
    <row r="2112" spans="1:19">
      <c r="A2112" t="s">
        <v>22</v>
      </c>
      <c r="B2112" t="s">
        <v>148</v>
      </c>
      <c r="C2112" t="s">
        <v>154</v>
      </c>
      <c r="D2112" t="s">
        <v>283</v>
      </c>
      <c r="E2112" t="s">
        <v>412</v>
      </c>
      <c r="F2112">
        <f>HYPERLINK("https://www.wikidata.org/wiki/Q16683492", "Q16683492")</f>
        <v>0</v>
      </c>
      <c r="G2112" t="s">
        <v>1788</v>
      </c>
      <c r="H2112" t="s">
        <v>5388</v>
      </c>
      <c r="I2112" t="s">
        <v>9535</v>
      </c>
      <c r="J2112" t="s">
        <v>12484</v>
      </c>
      <c r="K2112" t="s">
        <v>16893</v>
      </c>
      <c r="L2112">
        <f>HYPERLINK("https://www2.assemblee-nationale.fr/sycomore/fiche/(num_dept)/2759", "2759")</f>
        <v>0</v>
      </c>
      <c r="N2112">
        <f>HYPERLINK("https://www.wikidata.org/wiki/Q3189483", "Q3189483")</f>
        <v>0</v>
      </c>
      <c r="O2112" t="s">
        <v>19973</v>
      </c>
      <c r="P2112" t="s">
        <v>20423</v>
      </c>
      <c r="Q2112" t="s">
        <v>20572</v>
      </c>
      <c r="R2112" t="s">
        <v>412</v>
      </c>
      <c r="S2112">
        <v>1481</v>
      </c>
    </row>
    <row r="2113" spans="1:19">
      <c r="A2113" t="s">
        <v>22</v>
      </c>
      <c r="B2113" t="s">
        <v>148</v>
      </c>
      <c r="C2113" t="s">
        <v>154</v>
      </c>
      <c r="D2113" t="s">
        <v>283</v>
      </c>
      <c r="E2113" t="s">
        <v>412</v>
      </c>
      <c r="F2113">
        <f>HYPERLINK("https://www.wikidata.org/wiki/Q16683492", "Q16683492")</f>
        <v>0</v>
      </c>
      <c r="G2113" t="s">
        <v>631</v>
      </c>
      <c r="H2113" t="s">
        <v>5390</v>
      </c>
      <c r="I2113" t="s">
        <v>7642</v>
      </c>
      <c r="J2113" t="s">
        <v>11381</v>
      </c>
      <c r="K2113" t="s">
        <v>15783</v>
      </c>
      <c r="L2113">
        <f>HYPERLINK("https://www2.assemblee-nationale.fr/sycomore/fiche/(num_dept)/2795", "2795")</f>
        <v>0</v>
      </c>
      <c r="N2113">
        <f>HYPERLINK("https://www.wikidata.org/wiki/Q3300740", "Q3300740")</f>
        <v>0</v>
      </c>
      <c r="O2113" t="s">
        <v>19984</v>
      </c>
      <c r="P2113" t="s">
        <v>20412</v>
      </c>
      <c r="Q2113" t="s">
        <v>20572</v>
      </c>
      <c r="R2113" t="s">
        <v>412</v>
      </c>
      <c r="S2113">
        <v>1481</v>
      </c>
    </row>
    <row r="2114" spans="1:19">
      <c r="A2114" t="s">
        <v>22</v>
      </c>
      <c r="B2114" t="s">
        <v>148</v>
      </c>
      <c r="C2114" t="s">
        <v>154</v>
      </c>
      <c r="D2114" t="s">
        <v>283</v>
      </c>
      <c r="E2114" t="s">
        <v>412</v>
      </c>
      <c r="F2114">
        <f>HYPERLINK("https://www.wikidata.org/wiki/Q16683492", "Q16683492")</f>
        <v>0</v>
      </c>
      <c r="G2114" t="s">
        <v>1448</v>
      </c>
      <c r="H2114" t="s">
        <v>6149</v>
      </c>
      <c r="I2114" t="s">
        <v>9814</v>
      </c>
      <c r="J2114" t="s">
        <v>12169</v>
      </c>
      <c r="K2114" t="s">
        <v>16573</v>
      </c>
      <c r="L2114">
        <f>HYPERLINK("https://www2.assemblee-nationale.fr/sycomore/fiche/(num_dept)/2798", "2798")</f>
        <v>0</v>
      </c>
      <c r="N2114">
        <f>HYPERLINK("https://www.wikidata.org/wiki/Q2833647", "Q2833647")</f>
        <v>0</v>
      </c>
      <c r="O2114" t="s">
        <v>19992</v>
      </c>
      <c r="P2114" t="s">
        <v>20422</v>
      </c>
      <c r="Q2114" t="s">
        <v>20572</v>
      </c>
      <c r="R2114" t="s">
        <v>412</v>
      </c>
      <c r="S2114">
        <v>1481</v>
      </c>
    </row>
    <row r="2115" spans="1:19">
      <c r="A2115" t="s">
        <v>22</v>
      </c>
      <c r="B2115" t="s">
        <v>148</v>
      </c>
      <c r="C2115" t="s">
        <v>154</v>
      </c>
      <c r="D2115" t="s">
        <v>283</v>
      </c>
      <c r="E2115" t="s">
        <v>412</v>
      </c>
      <c r="F2115">
        <f>HYPERLINK("https://www.wikidata.org/wiki/Q16683492", "Q16683492")</f>
        <v>0</v>
      </c>
      <c r="G2115" t="s">
        <v>1449</v>
      </c>
      <c r="H2115" t="s">
        <v>6150</v>
      </c>
      <c r="I2115" t="s">
        <v>9815</v>
      </c>
      <c r="J2115" t="s">
        <v>11723</v>
      </c>
      <c r="K2115" t="s">
        <v>16574</v>
      </c>
      <c r="L2115">
        <f>HYPERLINK("https://www2.assemblee-nationale.fr/sycomore/fiche/(num_dept)/2801", "2801")</f>
        <v>0</v>
      </c>
      <c r="N2115">
        <f>HYPERLINK("https://www.wikidata.org/wiki/Q3261828", "Q3261828")</f>
        <v>0</v>
      </c>
      <c r="O2115" t="s">
        <v>19969</v>
      </c>
      <c r="P2115" t="s">
        <v>20422</v>
      </c>
      <c r="Q2115" t="s">
        <v>20572</v>
      </c>
      <c r="R2115" t="s">
        <v>412</v>
      </c>
      <c r="S2115">
        <v>1481</v>
      </c>
    </row>
    <row r="2116" spans="1:19">
      <c r="A2116" t="s">
        <v>22</v>
      </c>
      <c r="B2116" t="s">
        <v>148</v>
      </c>
      <c r="C2116" t="s">
        <v>154</v>
      </c>
      <c r="D2116" t="s">
        <v>283</v>
      </c>
      <c r="E2116" t="s">
        <v>412</v>
      </c>
      <c r="F2116">
        <f>HYPERLINK("https://www.wikidata.org/wiki/Q16683492", "Q16683492")</f>
        <v>0</v>
      </c>
      <c r="G2116" t="s">
        <v>1789</v>
      </c>
      <c r="H2116" t="s">
        <v>6456</v>
      </c>
      <c r="I2116" t="s">
        <v>9952</v>
      </c>
      <c r="J2116" t="s">
        <v>12485</v>
      </c>
      <c r="K2116" t="s">
        <v>16894</v>
      </c>
      <c r="L2116">
        <f>HYPERLINK("https://www2.assemblee-nationale.fr/sycomore/fiche/(num_dept)/2817", "2817")</f>
        <v>0</v>
      </c>
      <c r="N2116">
        <f>HYPERLINK("https://www.wikidata.org/wiki/Q16025666", "Q16025666")</f>
        <v>0</v>
      </c>
      <c r="O2116" t="s">
        <v>19991</v>
      </c>
      <c r="P2116" t="s">
        <v>20404</v>
      </c>
      <c r="Q2116" t="s">
        <v>20572</v>
      </c>
      <c r="R2116" t="s">
        <v>412</v>
      </c>
      <c r="S2116">
        <v>1481</v>
      </c>
    </row>
    <row r="2117" spans="1:19">
      <c r="A2117" t="s">
        <v>22</v>
      </c>
      <c r="B2117" t="s">
        <v>148</v>
      </c>
      <c r="C2117" t="s">
        <v>154</v>
      </c>
      <c r="D2117" t="s">
        <v>283</v>
      </c>
      <c r="E2117" t="s">
        <v>412</v>
      </c>
      <c r="F2117">
        <f>HYPERLINK("https://www.wikidata.org/wiki/Q16683492", "Q16683492")</f>
        <v>0</v>
      </c>
      <c r="G2117" t="s">
        <v>633</v>
      </c>
      <c r="H2117" t="s">
        <v>5392</v>
      </c>
      <c r="I2117" t="s">
        <v>9446</v>
      </c>
      <c r="J2117" t="s">
        <v>11383</v>
      </c>
      <c r="K2117" t="s">
        <v>15785</v>
      </c>
      <c r="L2117">
        <f>HYPERLINK("https://www2.assemblee-nationale.fr/sycomore/fiche/(num_dept)/2829", "2829")</f>
        <v>0</v>
      </c>
      <c r="N2117">
        <f>HYPERLINK("https://www.wikidata.org/wiki/Q3069139", "Q3069139")</f>
        <v>0</v>
      </c>
      <c r="O2117" t="s">
        <v>20009</v>
      </c>
      <c r="P2117" t="s">
        <v>20422</v>
      </c>
      <c r="Q2117" t="s">
        <v>20572</v>
      </c>
      <c r="R2117" t="s">
        <v>412</v>
      </c>
      <c r="S2117">
        <v>1481</v>
      </c>
    </row>
    <row r="2118" spans="1:19">
      <c r="A2118" t="s">
        <v>22</v>
      </c>
      <c r="B2118" t="s">
        <v>148</v>
      </c>
      <c r="C2118" t="s">
        <v>154</v>
      </c>
      <c r="D2118" t="s">
        <v>283</v>
      </c>
      <c r="E2118" t="s">
        <v>412</v>
      </c>
      <c r="F2118">
        <f>HYPERLINK("https://www.wikidata.org/wiki/Q16683492", "Q16683492")</f>
        <v>0</v>
      </c>
      <c r="G2118" t="s">
        <v>1790</v>
      </c>
      <c r="H2118" t="s">
        <v>6457</v>
      </c>
      <c r="I2118" t="s">
        <v>6200</v>
      </c>
      <c r="J2118" t="s">
        <v>12486</v>
      </c>
      <c r="K2118" t="s">
        <v>16895</v>
      </c>
      <c r="L2118">
        <f>HYPERLINK("https://www2.assemblee-nationale.fr/sycomore/fiche/(num_dept)/2831", "2831")</f>
        <v>0</v>
      </c>
      <c r="N2118">
        <f>HYPERLINK("https://www.wikidata.org/wiki/Q2407910", "Q2407910")</f>
        <v>0</v>
      </c>
      <c r="O2118" t="s">
        <v>19964</v>
      </c>
      <c r="P2118" t="s">
        <v>20422</v>
      </c>
      <c r="Q2118" t="s">
        <v>20572</v>
      </c>
      <c r="R2118" t="s">
        <v>412</v>
      </c>
      <c r="S2118">
        <v>1481</v>
      </c>
    </row>
    <row r="2119" spans="1:19">
      <c r="A2119" t="s">
        <v>22</v>
      </c>
      <c r="B2119" t="s">
        <v>148</v>
      </c>
      <c r="C2119" t="s">
        <v>154</v>
      </c>
      <c r="D2119" t="s">
        <v>283</v>
      </c>
      <c r="E2119" t="s">
        <v>412</v>
      </c>
      <c r="F2119">
        <f>HYPERLINK("https://www.wikidata.org/wiki/Q16683492", "Q16683492")</f>
        <v>0</v>
      </c>
      <c r="G2119" t="s">
        <v>1451</v>
      </c>
      <c r="H2119" t="s">
        <v>6152</v>
      </c>
      <c r="I2119" t="s">
        <v>6585</v>
      </c>
      <c r="J2119" t="s">
        <v>12171</v>
      </c>
      <c r="K2119" t="s">
        <v>16576</v>
      </c>
      <c r="L2119">
        <f>HYPERLINK("https://www2.assemblee-nationale.fr/sycomore/fiche/(num_dept)/2840", "2840")</f>
        <v>0</v>
      </c>
      <c r="N2119">
        <f>HYPERLINK("https://www.wikidata.org/wiki/Q16025671", "Q16025671")</f>
        <v>0</v>
      </c>
      <c r="O2119" t="s">
        <v>20044</v>
      </c>
      <c r="P2119" t="s">
        <v>20423</v>
      </c>
      <c r="Q2119" t="s">
        <v>20572</v>
      </c>
      <c r="R2119" t="s">
        <v>412</v>
      </c>
      <c r="S2119">
        <v>1481</v>
      </c>
    </row>
    <row r="2120" spans="1:19">
      <c r="A2120" t="s">
        <v>22</v>
      </c>
      <c r="B2120" t="s">
        <v>148</v>
      </c>
      <c r="C2120" t="s">
        <v>154</v>
      </c>
      <c r="D2120" t="s">
        <v>283</v>
      </c>
      <c r="E2120" t="s">
        <v>412</v>
      </c>
      <c r="F2120">
        <f>HYPERLINK("https://www.wikidata.org/wiki/Q16683492", "Q16683492")</f>
        <v>0</v>
      </c>
      <c r="G2120" t="s">
        <v>1452</v>
      </c>
      <c r="H2120" t="s">
        <v>6152</v>
      </c>
      <c r="I2120" t="s">
        <v>5528</v>
      </c>
      <c r="J2120" t="s">
        <v>12172</v>
      </c>
      <c r="K2120" t="s">
        <v>16577</v>
      </c>
      <c r="L2120">
        <f>HYPERLINK("https://www2.assemblee-nationale.fr/sycomore/fiche/(num_dept)/2841", "2841")</f>
        <v>0</v>
      </c>
      <c r="N2120">
        <f>HYPERLINK("https://www.wikidata.org/wiki/Q3270943", "Q3270943")</f>
        <v>0</v>
      </c>
      <c r="O2120" t="s">
        <v>20013</v>
      </c>
      <c r="P2120" t="s">
        <v>20404</v>
      </c>
      <c r="Q2120" t="s">
        <v>20572</v>
      </c>
      <c r="R2120" t="s">
        <v>412</v>
      </c>
      <c r="S2120">
        <v>1481</v>
      </c>
    </row>
    <row r="2121" spans="1:19">
      <c r="A2121" t="s">
        <v>22</v>
      </c>
      <c r="B2121" t="s">
        <v>148</v>
      </c>
      <c r="C2121" t="s">
        <v>154</v>
      </c>
      <c r="D2121" t="s">
        <v>283</v>
      </c>
      <c r="E2121" t="s">
        <v>412</v>
      </c>
      <c r="F2121">
        <f>HYPERLINK("https://www.wikidata.org/wiki/Q16683492", "Q16683492")</f>
        <v>0</v>
      </c>
      <c r="G2121" t="s">
        <v>1791</v>
      </c>
      <c r="H2121" t="s">
        <v>6458</v>
      </c>
      <c r="I2121" t="s">
        <v>9953</v>
      </c>
      <c r="J2121" t="s">
        <v>12487</v>
      </c>
      <c r="K2121" t="s">
        <v>16896</v>
      </c>
      <c r="L2121">
        <f>HYPERLINK("https://www2.assemblee-nationale.fr/sycomore/fiche/(num_dept)/2842", "2842")</f>
        <v>0</v>
      </c>
      <c r="N2121">
        <f>HYPERLINK("https://www.wikidata.org/wiki/Q16025672", "Q16025672")</f>
        <v>0</v>
      </c>
      <c r="O2121" t="s">
        <v>20044</v>
      </c>
      <c r="P2121" t="s">
        <v>20423</v>
      </c>
      <c r="Q2121" t="s">
        <v>20572</v>
      </c>
      <c r="R2121" t="s">
        <v>412</v>
      </c>
      <c r="S2121">
        <v>1481</v>
      </c>
    </row>
    <row r="2122" spans="1:19">
      <c r="A2122" t="s">
        <v>22</v>
      </c>
      <c r="B2122" t="s">
        <v>148</v>
      </c>
      <c r="C2122" t="s">
        <v>154</v>
      </c>
      <c r="D2122" t="s">
        <v>283</v>
      </c>
      <c r="E2122" t="s">
        <v>412</v>
      </c>
      <c r="F2122">
        <f>HYPERLINK("https://www.wikidata.org/wiki/Q16683492", "Q16683492")</f>
        <v>0</v>
      </c>
      <c r="G2122" t="s">
        <v>634</v>
      </c>
      <c r="H2122" t="s">
        <v>5393</v>
      </c>
      <c r="I2122" t="s">
        <v>9388</v>
      </c>
      <c r="J2122" t="s">
        <v>11384</v>
      </c>
      <c r="K2122" t="s">
        <v>15786</v>
      </c>
      <c r="L2122">
        <f>HYPERLINK("https://www2.assemblee-nationale.fr/sycomore/fiche/(num_dept)/2844", "2844")</f>
        <v>0</v>
      </c>
      <c r="N2122">
        <f>HYPERLINK("https://www.wikidata.org/wiki/Q13089371", "Q13089371")</f>
        <v>0</v>
      </c>
      <c r="O2122" t="s">
        <v>19969</v>
      </c>
      <c r="P2122" t="s">
        <v>20422</v>
      </c>
      <c r="Q2122" t="s">
        <v>20572</v>
      </c>
      <c r="R2122" t="s">
        <v>412</v>
      </c>
      <c r="S2122">
        <v>1481</v>
      </c>
    </row>
    <row r="2123" spans="1:19">
      <c r="A2123" t="s">
        <v>22</v>
      </c>
      <c r="B2123" t="s">
        <v>148</v>
      </c>
      <c r="C2123" t="s">
        <v>154</v>
      </c>
      <c r="D2123" t="s">
        <v>283</v>
      </c>
      <c r="E2123" t="s">
        <v>412</v>
      </c>
      <c r="F2123">
        <f>HYPERLINK("https://www.wikidata.org/wiki/Q16683492", "Q16683492")</f>
        <v>0</v>
      </c>
      <c r="G2123" t="s">
        <v>1453</v>
      </c>
      <c r="H2123" t="s">
        <v>6153</v>
      </c>
      <c r="I2123" t="s">
        <v>9414</v>
      </c>
      <c r="J2123" t="s">
        <v>11701</v>
      </c>
      <c r="K2123" t="s">
        <v>16578</v>
      </c>
      <c r="L2123">
        <f>HYPERLINK("https://www2.assemblee-nationale.fr/sycomore/fiche/(num_dept)/2865", "2865")</f>
        <v>0</v>
      </c>
      <c r="N2123">
        <f>HYPERLINK("https://www.wikidata.org/wiki/Q16025676", "Q16025676")</f>
        <v>0</v>
      </c>
      <c r="O2123" t="s">
        <v>19969</v>
      </c>
      <c r="P2123" t="s">
        <v>20412</v>
      </c>
      <c r="Q2123" t="s">
        <v>20572</v>
      </c>
      <c r="R2123" t="s">
        <v>412</v>
      </c>
      <c r="S2123">
        <v>1481</v>
      </c>
    </row>
    <row r="2124" spans="1:19">
      <c r="A2124" t="s">
        <v>22</v>
      </c>
      <c r="B2124" t="s">
        <v>148</v>
      </c>
      <c r="C2124" t="s">
        <v>154</v>
      </c>
      <c r="D2124" t="s">
        <v>283</v>
      </c>
      <c r="E2124" t="s">
        <v>412</v>
      </c>
      <c r="F2124">
        <f>HYPERLINK("https://www.wikidata.org/wiki/Q16683492", "Q16683492")</f>
        <v>0</v>
      </c>
      <c r="G2124" t="s">
        <v>1454</v>
      </c>
      <c r="H2124" t="s">
        <v>6154</v>
      </c>
      <c r="I2124" t="s">
        <v>9500</v>
      </c>
      <c r="J2124" t="s">
        <v>12173</v>
      </c>
      <c r="K2124" t="s">
        <v>16579</v>
      </c>
      <c r="L2124">
        <f>HYPERLINK("https://www2.assemblee-nationale.fr/sycomore/fiche/(num_dept)/2870", "2870")</f>
        <v>0</v>
      </c>
      <c r="N2124">
        <f>HYPERLINK("https://www.wikidata.org/wiki/Q16025678", "Q16025678")</f>
        <v>0</v>
      </c>
      <c r="O2124" t="s">
        <v>19968</v>
      </c>
      <c r="P2124" t="s">
        <v>20404</v>
      </c>
      <c r="Q2124" t="s">
        <v>20572</v>
      </c>
      <c r="R2124" t="s">
        <v>412</v>
      </c>
      <c r="S2124">
        <v>1481</v>
      </c>
    </row>
    <row r="2125" spans="1:19">
      <c r="A2125" t="s">
        <v>22</v>
      </c>
      <c r="B2125" t="s">
        <v>148</v>
      </c>
      <c r="C2125" t="s">
        <v>154</v>
      </c>
      <c r="D2125" t="s">
        <v>283</v>
      </c>
      <c r="E2125" t="s">
        <v>412</v>
      </c>
      <c r="F2125">
        <f>HYPERLINK("https://www.wikidata.org/wiki/Q16683492", "Q16683492")</f>
        <v>0</v>
      </c>
      <c r="G2125" t="s">
        <v>1170</v>
      </c>
      <c r="H2125" t="s">
        <v>5901</v>
      </c>
      <c r="I2125" t="s">
        <v>5592</v>
      </c>
      <c r="J2125" t="s">
        <v>11903</v>
      </c>
      <c r="K2125" t="s">
        <v>16305</v>
      </c>
      <c r="L2125">
        <f>HYPERLINK("https://www2.assemblee-nationale.fr/sycomore/fiche/(num_dept)/2874", "2874")</f>
        <v>0</v>
      </c>
      <c r="M2125">
        <f>HYPERLINK("https://www.senat.fr/senateur-3eme-republique/eynac_laurent0520r3.html", "eynac_laurent0520r3")</f>
        <v>0</v>
      </c>
      <c r="N2125">
        <f>HYPERLINK("https://www.wikidata.org/wiki/Q3219208", "Q3219208")</f>
        <v>0</v>
      </c>
      <c r="O2125" t="s">
        <v>19993</v>
      </c>
      <c r="P2125" t="s">
        <v>20401</v>
      </c>
      <c r="Q2125" t="s">
        <v>20572</v>
      </c>
      <c r="R2125" t="s">
        <v>412</v>
      </c>
      <c r="S2125">
        <v>1481</v>
      </c>
    </row>
    <row r="2126" spans="1:19">
      <c r="A2126" t="s">
        <v>22</v>
      </c>
      <c r="B2126" t="s">
        <v>148</v>
      </c>
      <c r="C2126" t="s">
        <v>154</v>
      </c>
      <c r="D2126" t="s">
        <v>283</v>
      </c>
      <c r="E2126" t="s">
        <v>412</v>
      </c>
      <c r="F2126">
        <f>HYPERLINK("https://www.wikidata.org/wiki/Q16683492", "Q16683492")</f>
        <v>0</v>
      </c>
      <c r="G2126" t="s">
        <v>1455</v>
      </c>
      <c r="H2126" t="s">
        <v>6155</v>
      </c>
      <c r="I2126" t="s">
        <v>6200</v>
      </c>
      <c r="J2126" t="s">
        <v>12174</v>
      </c>
      <c r="K2126" t="s">
        <v>16580</v>
      </c>
      <c r="L2126">
        <f>HYPERLINK("https://www2.assemblee-nationale.fr/sycomore/fiche/(num_dept)/2884", "2884")</f>
        <v>0</v>
      </c>
      <c r="M2126">
        <f>HYPERLINK("https://www.senat.fr/senateur-3eme-republique/fabry_jean0685r3.html", "fabry_jean0685r3")</f>
        <v>0</v>
      </c>
      <c r="N2126">
        <f>HYPERLINK("https://www.wikidata.org/wiki/Q3171965", "Q3171965")</f>
        <v>0</v>
      </c>
      <c r="O2126" t="s">
        <v>19969</v>
      </c>
      <c r="P2126" t="s">
        <v>20417</v>
      </c>
      <c r="Q2126" t="s">
        <v>20572</v>
      </c>
      <c r="R2126" t="s">
        <v>412</v>
      </c>
      <c r="S2126">
        <v>1481</v>
      </c>
    </row>
    <row r="2127" spans="1:19">
      <c r="A2127" t="s">
        <v>22</v>
      </c>
      <c r="B2127" t="s">
        <v>148</v>
      </c>
      <c r="C2127" t="s">
        <v>154</v>
      </c>
      <c r="D2127" t="s">
        <v>283</v>
      </c>
      <c r="E2127" t="s">
        <v>412</v>
      </c>
      <c r="F2127">
        <f>HYPERLINK("https://www.wikidata.org/wiki/Q16683492", "Q16683492")</f>
        <v>0</v>
      </c>
      <c r="G2127" t="s">
        <v>1171</v>
      </c>
      <c r="H2127" t="s">
        <v>5902</v>
      </c>
      <c r="I2127" t="s">
        <v>9407</v>
      </c>
      <c r="J2127" t="s">
        <v>11904</v>
      </c>
      <c r="K2127" t="s">
        <v>16306</v>
      </c>
      <c r="L2127">
        <f>HYPERLINK("https://www2.assemblee-nationale.fr/sycomore/fiche/(num_dept)/2894", "2894")</f>
        <v>0</v>
      </c>
      <c r="N2127">
        <f>HYPERLINK("https://www.wikidata.org/wiki/Q7123699", "Q7123699")</f>
        <v>0</v>
      </c>
      <c r="O2127" t="s">
        <v>19994</v>
      </c>
      <c r="P2127" t="s">
        <v>20401</v>
      </c>
      <c r="Q2127" t="s">
        <v>20572</v>
      </c>
      <c r="R2127" t="s">
        <v>16306</v>
      </c>
      <c r="S2127">
        <v>621</v>
      </c>
    </row>
    <row r="2128" spans="1:19">
      <c r="A2128" t="s">
        <v>22</v>
      </c>
      <c r="B2128" t="s">
        <v>148</v>
      </c>
      <c r="C2128" t="s">
        <v>154</v>
      </c>
      <c r="D2128" t="s">
        <v>283</v>
      </c>
      <c r="E2128" t="s">
        <v>412</v>
      </c>
      <c r="F2128">
        <f>HYPERLINK("https://www.wikidata.org/wiki/Q16683492", "Q16683492")</f>
        <v>0</v>
      </c>
      <c r="G2128" t="s">
        <v>1792</v>
      </c>
      <c r="H2128" t="s">
        <v>6459</v>
      </c>
      <c r="I2128" t="s">
        <v>9457</v>
      </c>
      <c r="J2128" t="s">
        <v>11694</v>
      </c>
      <c r="K2128" t="s">
        <v>16897</v>
      </c>
      <c r="L2128">
        <f>HYPERLINK("https://www2.assemblee-nationale.fr/sycomore/fiche/(num_dept)/2899", "2899")</f>
        <v>0</v>
      </c>
      <c r="N2128">
        <f>HYPERLINK("https://www.wikidata.org/wiki/Q3131064", "Q3131064")</f>
        <v>0</v>
      </c>
      <c r="O2128" t="s">
        <v>19988</v>
      </c>
      <c r="P2128" t="s">
        <v>20425</v>
      </c>
      <c r="Q2128" t="s">
        <v>20572</v>
      </c>
      <c r="R2128" t="s">
        <v>412</v>
      </c>
      <c r="S2128">
        <v>1481</v>
      </c>
    </row>
    <row r="2129" spans="1:19">
      <c r="A2129" t="s">
        <v>22</v>
      </c>
      <c r="B2129" t="s">
        <v>148</v>
      </c>
      <c r="C2129" t="s">
        <v>154</v>
      </c>
      <c r="D2129" t="s">
        <v>283</v>
      </c>
      <c r="E2129" t="s">
        <v>412</v>
      </c>
      <c r="F2129">
        <f>HYPERLINK("https://www.wikidata.org/wiki/Q16683492", "Q16683492")</f>
        <v>0</v>
      </c>
      <c r="G2129" t="s">
        <v>1456</v>
      </c>
      <c r="H2129" t="s">
        <v>6156</v>
      </c>
      <c r="I2129" t="s">
        <v>6585</v>
      </c>
      <c r="J2129" t="s">
        <v>12175</v>
      </c>
      <c r="K2129" t="s">
        <v>16581</v>
      </c>
      <c r="L2129">
        <f>HYPERLINK("https://www2.assemblee-nationale.fr/sycomore/fiche/(num_dept)/2900", "2900")</f>
        <v>0</v>
      </c>
      <c r="M2129">
        <f>HYPERLINK("https://www.senat.fr/senateur-3eme-republique/fallieres_andre0749r3.html", "fallieres_andre0749r3")</f>
        <v>0</v>
      </c>
      <c r="N2129">
        <f>HYPERLINK("https://www.wikidata.org/wiki/Q2847742", "Q2847742")</f>
        <v>0</v>
      </c>
      <c r="O2129" t="s">
        <v>20043</v>
      </c>
      <c r="P2129" t="s">
        <v>20401</v>
      </c>
      <c r="Q2129" t="s">
        <v>20572</v>
      </c>
      <c r="R2129" t="s">
        <v>412</v>
      </c>
      <c r="S2129">
        <v>1481</v>
      </c>
    </row>
    <row r="2130" spans="1:19">
      <c r="A2130" t="s">
        <v>22</v>
      </c>
      <c r="B2130" t="s">
        <v>148</v>
      </c>
      <c r="C2130" t="s">
        <v>154</v>
      </c>
      <c r="D2130" t="s">
        <v>283</v>
      </c>
      <c r="E2130" t="s">
        <v>412</v>
      </c>
      <c r="F2130">
        <f>HYPERLINK("https://www.wikidata.org/wiki/Q16683492", "Q16683492")</f>
        <v>0</v>
      </c>
      <c r="G2130" t="s">
        <v>1793</v>
      </c>
      <c r="H2130" t="s">
        <v>6460</v>
      </c>
      <c r="I2130" t="s">
        <v>6175</v>
      </c>
      <c r="J2130" t="s">
        <v>12488</v>
      </c>
      <c r="K2130" t="s">
        <v>16898</v>
      </c>
      <c r="L2130">
        <f>HYPERLINK("https://www2.assemblee-nationale.fr/sycomore/fiche/(num_dept)/2918", "2918")</f>
        <v>0</v>
      </c>
      <c r="M2130">
        <f>HYPERLINK("https://www.senat.fr/senateur-3eme-republique/faugere_georges0669r3.html", "faugere_georges0669r3")</f>
        <v>0</v>
      </c>
      <c r="N2130">
        <f>HYPERLINK("https://www.wikidata.org/wiki/Q3102698", "Q3102698")</f>
        <v>0</v>
      </c>
      <c r="O2130" t="s">
        <v>20010</v>
      </c>
      <c r="P2130" t="s">
        <v>20423</v>
      </c>
      <c r="Q2130" t="s">
        <v>20572</v>
      </c>
      <c r="R2130" t="s">
        <v>412</v>
      </c>
      <c r="S2130">
        <v>1481</v>
      </c>
    </row>
    <row r="2131" spans="1:19">
      <c r="A2131" t="s">
        <v>22</v>
      </c>
      <c r="B2131" t="s">
        <v>148</v>
      </c>
      <c r="C2131" t="s">
        <v>154</v>
      </c>
      <c r="D2131" t="s">
        <v>283</v>
      </c>
      <c r="E2131" t="s">
        <v>412</v>
      </c>
      <c r="F2131">
        <f>HYPERLINK("https://www.wikidata.org/wiki/Q16683492", "Q16683492")</f>
        <v>0</v>
      </c>
      <c r="G2131" t="s">
        <v>1794</v>
      </c>
      <c r="H2131" t="s">
        <v>5397</v>
      </c>
      <c r="I2131" t="s">
        <v>9376</v>
      </c>
      <c r="J2131" t="s">
        <v>12489</v>
      </c>
      <c r="K2131" t="s">
        <v>16899</v>
      </c>
      <c r="L2131">
        <f>HYPERLINK("https://www2.assemblee-nationale.fr/sycomore/fiche/(num_dept)/2926", "2926")</f>
        <v>0</v>
      </c>
      <c r="N2131">
        <f>HYPERLINK("https://www.wikidata.org/wiki/Q16025683", "Q16025683")</f>
        <v>0</v>
      </c>
      <c r="O2131" t="s">
        <v>19997</v>
      </c>
      <c r="P2131" t="s">
        <v>20427</v>
      </c>
      <c r="Q2131" t="s">
        <v>20572</v>
      </c>
      <c r="R2131" t="s">
        <v>412</v>
      </c>
      <c r="S2131">
        <v>1481</v>
      </c>
    </row>
    <row r="2132" spans="1:19">
      <c r="A2132" t="s">
        <v>22</v>
      </c>
      <c r="B2132" t="s">
        <v>148</v>
      </c>
      <c r="C2132" t="s">
        <v>154</v>
      </c>
      <c r="D2132" t="s">
        <v>283</v>
      </c>
      <c r="E2132" t="s">
        <v>412</v>
      </c>
      <c r="F2132">
        <f>HYPERLINK("https://www.wikidata.org/wiki/Q16683492", "Q16683492")</f>
        <v>0</v>
      </c>
      <c r="G2132" t="s">
        <v>1795</v>
      </c>
      <c r="H2132" t="s">
        <v>5397</v>
      </c>
      <c r="I2132" t="s">
        <v>9388</v>
      </c>
      <c r="J2132" t="s">
        <v>12490</v>
      </c>
      <c r="K2132" t="s">
        <v>16900</v>
      </c>
      <c r="L2132">
        <f>HYPERLINK("https://www2.assemblee-nationale.fr/sycomore/fiche/(num_dept)/2934", "2934")</f>
        <v>0</v>
      </c>
      <c r="N2132">
        <f>HYPERLINK("https://www.wikidata.org/wiki/Q783434", "Q783434")</f>
        <v>0</v>
      </c>
      <c r="O2132" t="s">
        <v>19994</v>
      </c>
      <c r="P2132" t="s">
        <v>20404</v>
      </c>
      <c r="Q2132" t="s">
        <v>20572</v>
      </c>
      <c r="R2132" t="s">
        <v>412</v>
      </c>
      <c r="S2132">
        <v>1481</v>
      </c>
    </row>
    <row r="2133" spans="1:19">
      <c r="A2133" t="s">
        <v>22</v>
      </c>
      <c r="B2133" t="s">
        <v>148</v>
      </c>
      <c r="C2133" t="s">
        <v>154</v>
      </c>
      <c r="D2133" t="s">
        <v>283</v>
      </c>
      <c r="E2133" t="s">
        <v>412</v>
      </c>
      <c r="F2133">
        <f>HYPERLINK("https://www.wikidata.org/wiki/Q16683492", "Q16683492")</f>
        <v>0</v>
      </c>
      <c r="G2133" t="s">
        <v>1458</v>
      </c>
      <c r="H2133" t="s">
        <v>6158</v>
      </c>
      <c r="I2133" t="s">
        <v>6200</v>
      </c>
      <c r="J2133" t="s">
        <v>12177</v>
      </c>
      <c r="K2133" t="s">
        <v>16583</v>
      </c>
      <c r="L2133">
        <f>HYPERLINK("https://www2.assemblee-nationale.fr/sycomore/fiche/(num_dept)/2954", "2954")</f>
        <v>0</v>
      </c>
      <c r="N2133">
        <f>HYPERLINK("https://www.wikidata.org/wiki/Q3172165", "Q3172165")</f>
        <v>0</v>
      </c>
      <c r="O2133" t="s">
        <v>7411</v>
      </c>
      <c r="P2133" t="s">
        <v>20404</v>
      </c>
      <c r="Q2133" t="s">
        <v>20572</v>
      </c>
      <c r="R2133" t="s">
        <v>412</v>
      </c>
      <c r="S2133">
        <v>1481</v>
      </c>
    </row>
    <row r="2134" spans="1:19">
      <c r="A2134" t="s">
        <v>22</v>
      </c>
      <c r="B2134" t="s">
        <v>148</v>
      </c>
      <c r="C2134" t="s">
        <v>154</v>
      </c>
      <c r="D2134" t="s">
        <v>283</v>
      </c>
      <c r="E2134" t="s">
        <v>412</v>
      </c>
      <c r="F2134">
        <f>HYPERLINK("https://www.wikidata.org/wiki/Q16683492", "Q16683492")</f>
        <v>0</v>
      </c>
      <c r="G2134" t="s">
        <v>1459</v>
      </c>
      <c r="H2134" t="s">
        <v>6159</v>
      </c>
      <c r="I2134" t="s">
        <v>9385</v>
      </c>
      <c r="J2134" t="s">
        <v>12178</v>
      </c>
      <c r="K2134" t="s">
        <v>16584</v>
      </c>
      <c r="L2134">
        <f>HYPERLINK("https://www2.assemblee-nationale.fr/sycomore/fiche/(num_dept)/2966", "2966")</f>
        <v>0</v>
      </c>
      <c r="N2134">
        <f>HYPERLINK("https://www.wikidata.org/wiki/Q16025689", "Q16025689")</f>
        <v>0</v>
      </c>
      <c r="O2134" t="s">
        <v>19968</v>
      </c>
      <c r="P2134" t="s">
        <v>20404</v>
      </c>
      <c r="Q2134" t="s">
        <v>20572</v>
      </c>
      <c r="R2134" t="s">
        <v>16584</v>
      </c>
      <c r="S2134">
        <v>430</v>
      </c>
    </row>
    <row r="2135" spans="1:19">
      <c r="A2135" t="s">
        <v>22</v>
      </c>
      <c r="B2135" t="s">
        <v>148</v>
      </c>
      <c r="C2135" t="s">
        <v>154</v>
      </c>
      <c r="D2135" t="s">
        <v>283</v>
      </c>
      <c r="E2135" t="s">
        <v>412</v>
      </c>
      <c r="F2135">
        <f>HYPERLINK("https://www.wikidata.org/wiki/Q16683492", "Q16683492")</f>
        <v>0</v>
      </c>
      <c r="G2135" t="s">
        <v>1462</v>
      </c>
      <c r="H2135" t="s">
        <v>5400</v>
      </c>
      <c r="I2135" t="s">
        <v>9818</v>
      </c>
      <c r="J2135" t="s">
        <v>12181</v>
      </c>
      <c r="K2135" t="s">
        <v>16587</v>
      </c>
      <c r="L2135">
        <f>HYPERLINK("https://www2.assemblee-nationale.fr/sycomore/fiche/(num_dept)/2987", "2987")</f>
        <v>0</v>
      </c>
      <c r="N2135">
        <f>HYPERLINK("https://www.wikidata.org/wiki/Q3045174", "Q3045174")</f>
        <v>0</v>
      </c>
      <c r="O2135" t="s">
        <v>20007</v>
      </c>
      <c r="P2135" t="s">
        <v>20422</v>
      </c>
      <c r="Q2135" t="s">
        <v>20572</v>
      </c>
      <c r="R2135" t="s">
        <v>412</v>
      </c>
      <c r="S2135">
        <v>1481</v>
      </c>
    </row>
    <row r="2136" spans="1:19">
      <c r="A2136" t="s">
        <v>22</v>
      </c>
      <c r="B2136" t="s">
        <v>148</v>
      </c>
      <c r="C2136" t="s">
        <v>154</v>
      </c>
      <c r="D2136" t="s">
        <v>283</v>
      </c>
      <c r="E2136" t="s">
        <v>412</v>
      </c>
      <c r="F2136">
        <f>HYPERLINK("https://www.wikidata.org/wiki/Q16683492", "Q16683492")</f>
        <v>0</v>
      </c>
      <c r="G2136" t="s">
        <v>1796</v>
      </c>
      <c r="H2136" t="s">
        <v>6461</v>
      </c>
      <c r="I2136" t="s">
        <v>9457</v>
      </c>
      <c r="J2136" t="s">
        <v>12491</v>
      </c>
      <c r="K2136" t="s">
        <v>16901</v>
      </c>
      <c r="L2136">
        <f>HYPERLINK("https://www2.assemblee-nationale.fr/sycomore/fiche/(num_dept)/2989", "2989")</f>
        <v>0</v>
      </c>
      <c r="N2136">
        <f>HYPERLINK("https://www.wikidata.org/wiki/Q16025698", "Q16025698")</f>
        <v>0</v>
      </c>
      <c r="O2136" t="s">
        <v>20015</v>
      </c>
      <c r="P2136" t="s">
        <v>20422</v>
      </c>
      <c r="Q2136" t="s">
        <v>20572</v>
      </c>
      <c r="R2136" t="s">
        <v>412</v>
      </c>
      <c r="S2136">
        <v>1481</v>
      </c>
    </row>
    <row r="2137" spans="1:19">
      <c r="A2137" t="s">
        <v>22</v>
      </c>
      <c r="B2137" t="s">
        <v>148</v>
      </c>
      <c r="C2137" t="s">
        <v>154</v>
      </c>
      <c r="D2137" t="s">
        <v>283</v>
      </c>
      <c r="E2137" t="s">
        <v>412</v>
      </c>
      <c r="F2137">
        <f>HYPERLINK("https://www.wikidata.org/wiki/Q16683492", "Q16683492")</f>
        <v>0</v>
      </c>
      <c r="G2137" t="s">
        <v>1797</v>
      </c>
      <c r="H2137" t="s">
        <v>6462</v>
      </c>
      <c r="I2137" t="s">
        <v>6585</v>
      </c>
      <c r="J2137" t="s">
        <v>12492</v>
      </c>
      <c r="K2137" t="s">
        <v>16902</v>
      </c>
      <c r="L2137">
        <f>HYPERLINK("https://www2.assemblee-nationale.fr/sycomore/fiche/(num_dept)/2995", "2995")</f>
        <v>0</v>
      </c>
      <c r="N2137">
        <f>HYPERLINK("https://www.wikidata.org/wiki/Q2847791", "Q2847791")</f>
        <v>0</v>
      </c>
      <c r="O2137" t="s">
        <v>19965</v>
      </c>
      <c r="P2137" t="s">
        <v>20404</v>
      </c>
      <c r="Q2137" t="s">
        <v>20572</v>
      </c>
      <c r="R2137" t="s">
        <v>412</v>
      </c>
      <c r="S2137">
        <v>1481</v>
      </c>
    </row>
    <row r="2138" spans="1:19">
      <c r="A2138" t="s">
        <v>22</v>
      </c>
      <c r="B2138" t="s">
        <v>148</v>
      </c>
      <c r="C2138" t="s">
        <v>154</v>
      </c>
      <c r="D2138" t="s">
        <v>283</v>
      </c>
      <c r="E2138" t="s">
        <v>412</v>
      </c>
      <c r="F2138">
        <f>HYPERLINK("https://www.wikidata.org/wiki/Q16683492", "Q16683492")</f>
        <v>0</v>
      </c>
      <c r="G2138" t="s">
        <v>1798</v>
      </c>
      <c r="H2138" t="s">
        <v>6463</v>
      </c>
      <c r="I2138" t="s">
        <v>9954</v>
      </c>
      <c r="J2138" t="s">
        <v>12493</v>
      </c>
      <c r="K2138" t="s">
        <v>16903</v>
      </c>
      <c r="L2138">
        <f>HYPERLINK("https://www2.assemblee-nationale.fr/sycomore/fiche/(num_dept)/2997", "2997")</f>
        <v>0</v>
      </c>
      <c r="N2138">
        <f>HYPERLINK("https://www.wikidata.org/wiki/Q2864433", "Q2864433")</f>
        <v>0</v>
      </c>
      <c r="O2138" t="s">
        <v>20032</v>
      </c>
      <c r="P2138" t="s">
        <v>20425</v>
      </c>
      <c r="Q2138" t="s">
        <v>20572</v>
      </c>
      <c r="R2138" t="s">
        <v>412</v>
      </c>
      <c r="S2138">
        <v>1481</v>
      </c>
    </row>
    <row r="2139" spans="1:19">
      <c r="A2139" t="s">
        <v>22</v>
      </c>
      <c r="B2139" t="s">
        <v>148</v>
      </c>
      <c r="C2139" t="s">
        <v>154</v>
      </c>
      <c r="D2139" t="s">
        <v>283</v>
      </c>
      <c r="E2139" t="s">
        <v>412</v>
      </c>
      <c r="F2139">
        <f>HYPERLINK("https://www.wikidata.org/wiki/Q16683492", "Q16683492")</f>
        <v>0</v>
      </c>
      <c r="G2139" t="s">
        <v>1799</v>
      </c>
      <c r="H2139" t="s">
        <v>6464</v>
      </c>
      <c r="I2139" t="s">
        <v>9606</v>
      </c>
      <c r="J2139" t="s">
        <v>12494</v>
      </c>
      <c r="K2139" t="s">
        <v>16904</v>
      </c>
      <c r="L2139">
        <f>HYPERLINK("https://www2.assemblee-nationale.fr/sycomore/fiche/(num_dept)/3010", "3010")</f>
        <v>0</v>
      </c>
      <c r="N2139">
        <f>HYPERLINK("https://www.wikidata.org/wiki/Q16025701", "Q16025701")</f>
        <v>0</v>
      </c>
      <c r="O2139" t="s">
        <v>19965</v>
      </c>
      <c r="P2139" t="s">
        <v>20423</v>
      </c>
      <c r="Q2139" t="s">
        <v>20572</v>
      </c>
      <c r="R2139" t="s">
        <v>412</v>
      </c>
      <c r="S2139">
        <v>1481</v>
      </c>
    </row>
    <row r="2140" spans="1:19">
      <c r="A2140" t="s">
        <v>22</v>
      </c>
      <c r="B2140" t="s">
        <v>148</v>
      </c>
      <c r="C2140" t="s">
        <v>154</v>
      </c>
      <c r="D2140" t="s">
        <v>283</v>
      </c>
      <c r="E2140" t="s">
        <v>412</v>
      </c>
      <c r="F2140">
        <f>HYPERLINK("https://www.wikidata.org/wiki/Q16683492", "Q16683492")</f>
        <v>0</v>
      </c>
      <c r="G2140" t="s">
        <v>643</v>
      </c>
      <c r="H2140" t="s">
        <v>5402</v>
      </c>
      <c r="I2140" t="s">
        <v>9442</v>
      </c>
      <c r="J2140" t="s">
        <v>11393</v>
      </c>
      <c r="K2140" t="s">
        <v>15795</v>
      </c>
      <c r="L2140">
        <f>HYPERLINK("https://www2.assemblee-nationale.fr/sycomore/fiche/(num_dept)/3021", "3021")</f>
        <v>0</v>
      </c>
      <c r="N2140">
        <f>HYPERLINK("https://www.wikidata.org/wiki/Q3056952", "Q3056952")</f>
        <v>0</v>
      </c>
      <c r="O2140" t="s">
        <v>20009</v>
      </c>
      <c r="P2140" t="s">
        <v>20422</v>
      </c>
      <c r="Q2140" t="s">
        <v>20572</v>
      </c>
      <c r="R2140" t="s">
        <v>412</v>
      </c>
      <c r="S2140">
        <v>1481</v>
      </c>
    </row>
    <row r="2141" spans="1:19">
      <c r="A2141" t="s">
        <v>22</v>
      </c>
      <c r="B2141" t="s">
        <v>148</v>
      </c>
      <c r="C2141" t="s">
        <v>154</v>
      </c>
      <c r="D2141" t="s">
        <v>283</v>
      </c>
      <c r="E2141" t="s">
        <v>412</v>
      </c>
      <c r="F2141">
        <f>HYPERLINK("https://www.wikidata.org/wiki/Q16683492", "Q16683492")</f>
        <v>0</v>
      </c>
      <c r="G2141" t="s">
        <v>644</v>
      </c>
      <c r="H2141" t="s">
        <v>5403</v>
      </c>
      <c r="I2141" t="s">
        <v>7642</v>
      </c>
      <c r="J2141" t="s">
        <v>11394</v>
      </c>
      <c r="K2141" t="s">
        <v>15796</v>
      </c>
      <c r="L2141">
        <f>HYPERLINK("https://www2.assemblee-nationale.fr/sycomore/fiche/(num_dept)/3025", "3025")</f>
        <v>0</v>
      </c>
      <c r="M2141">
        <f>HYPERLINK("https://www.senat.fr/senateur-3eme-republique/flayelle_maurice1800r3.html", "flayelle_maurice1800r3")</f>
        <v>0</v>
      </c>
      <c r="N2141">
        <f>HYPERLINK("https://www.wikidata.org/wiki/Q3300781", "Q3300781")</f>
        <v>0</v>
      </c>
      <c r="O2141" t="s">
        <v>20017</v>
      </c>
      <c r="P2141" t="s">
        <v>20422</v>
      </c>
      <c r="Q2141" t="s">
        <v>20572</v>
      </c>
      <c r="R2141" t="s">
        <v>21408</v>
      </c>
      <c r="S2141">
        <v>684</v>
      </c>
    </row>
    <row r="2142" spans="1:19">
      <c r="A2142" t="s">
        <v>22</v>
      </c>
      <c r="B2142" t="s">
        <v>148</v>
      </c>
      <c r="C2142" t="s">
        <v>154</v>
      </c>
      <c r="D2142" t="s">
        <v>283</v>
      </c>
      <c r="E2142" t="s">
        <v>412</v>
      </c>
      <c r="F2142">
        <f>HYPERLINK("https://www.wikidata.org/wiki/Q16683492", "Q16683492")</f>
        <v>0</v>
      </c>
      <c r="G2142" t="s">
        <v>1800</v>
      </c>
      <c r="H2142" t="s">
        <v>6465</v>
      </c>
      <c r="I2142" t="s">
        <v>6478</v>
      </c>
      <c r="J2142" t="s">
        <v>12495</v>
      </c>
      <c r="K2142" t="s">
        <v>16905</v>
      </c>
      <c r="L2142">
        <f>HYPERLINK("https://www2.assemblee-nationale.fr/sycomore/fiche/(num_dept)/3048", "3048")</f>
        <v>0</v>
      </c>
      <c r="N2142">
        <f>HYPERLINK("https://www.wikidata.org/wiki/Q12948763", "Q12948763")</f>
        <v>0</v>
      </c>
      <c r="O2142" t="s">
        <v>19966</v>
      </c>
      <c r="P2142" t="s">
        <v>20404</v>
      </c>
      <c r="Q2142" t="s">
        <v>20572</v>
      </c>
      <c r="R2142" t="s">
        <v>412</v>
      </c>
      <c r="S2142">
        <v>1481</v>
      </c>
    </row>
    <row r="2143" spans="1:19">
      <c r="A2143" t="s">
        <v>22</v>
      </c>
      <c r="B2143" t="s">
        <v>148</v>
      </c>
      <c r="C2143" t="s">
        <v>154</v>
      </c>
      <c r="D2143" t="s">
        <v>283</v>
      </c>
      <c r="E2143" t="s">
        <v>412</v>
      </c>
      <c r="F2143">
        <f>HYPERLINK("https://www.wikidata.org/wiki/Q16683492", "Q16683492")</f>
        <v>0</v>
      </c>
      <c r="G2143" t="s">
        <v>1128</v>
      </c>
      <c r="H2143" t="s">
        <v>5866</v>
      </c>
      <c r="I2143" t="s">
        <v>6584</v>
      </c>
      <c r="J2143" t="s">
        <v>11862</v>
      </c>
      <c r="K2143" t="s">
        <v>16264</v>
      </c>
      <c r="L2143">
        <f>HYPERLINK("https://www2.assemblee-nationale.fr/sycomore/fiche/(num_dept)/3066", "3066")</f>
        <v>0</v>
      </c>
      <c r="N2143">
        <f>HYPERLINK("https://www.wikidata.org/wiki/Q16025718", "Q16025718")</f>
        <v>0</v>
      </c>
      <c r="O2143" t="s">
        <v>20015</v>
      </c>
      <c r="P2143" t="s">
        <v>20422</v>
      </c>
      <c r="Q2143" t="s">
        <v>20572</v>
      </c>
      <c r="R2143" t="s">
        <v>412</v>
      </c>
      <c r="S2143">
        <v>1481</v>
      </c>
    </row>
    <row r="2144" spans="1:19">
      <c r="A2144" t="s">
        <v>22</v>
      </c>
      <c r="B2144" t="s">
        <v>148</v>
      </c>
      <c r="C2144" t="s">
        <v>154</v>
      </c>
      <c r="D2144" t="s">
        <v>283</v>
      </c>
      <c r="E2144" t="s">
        <v>412</v>
      </c>
      <c r="F2144">
        <f>HYPERLINK("https://www.wikidata.org/wiki/Q16683492", "Q16683492")</f>
        <v>0</v>
      </c>
      <c r="G2144" t="s">
        <v>649</v>
      </c>
      <c r="H2144" t="s">
        <v>5408</v>
      </c>
      <c r="I2144" t="s">
        <v>9457</v>
      </c>
      <c r="J2144" t="s">
        <v>11399</v>
      </c>
      <c r="K2144" t="s">
        <v>15801</v>
      </c>
      <c r="L2144">
        <f>HYPERLINK("https://www2.assemblee-nationale.fr/sycomore/fiche/(num_dept)/3078", "3078")</f>
        <v>0</v>
      </c>
      <c r="N2144">
        <f>HYPERLINK("https://www.wikidata.org/wiki/Q8342835", "Q8342835")</f>
        <v>0</v>
      </c>
      <c r="O2144" t="s">
        <v>19975</v>
      </c>
      <c r="P2144" t="s">
        <v>20422</v>
      </c>
      <c r="Q2144" t="s">
        <v>20572</v>
      </c>
      <c r="R2144" t="s">
        <v>412</v>
      </c>
      <c r="S2144">
        <v>1481</v>
      </c>
    </row>
    <row r="2145" spans="1:19">
      <c r="A2145" t="s">
        <v>22</v>
      </c>
      <c r="B2145" t="s">
        <v>148</v>
      </c>
      <c r="C2145" t="s">
        <v>154</v>
      </c>
      <c r="D2145" t="s">
        <v>283</v>
      </c>
      <c r="E2145" t="s">
        <v>412</v>
      </c>
      <c r="F2145">
        <f>HYPERLINK("https://www.wikidata.org/wiki/Q16683492", "Q16683492")</f>
        <v>0</v>
      </c>
      <c r="G2145" t="s">
        <v>1466</v>
      </c>
      <c r="H2145" t="s">
        <v>6165</v>
      </c>
      <c r="I2145" t="s">
        <v>9820</v>
      </c>
      <c r="J2145" t="s">
        <v>12185</v>
      </c>
      <c r="K2145" t="s">
        <v>16591</v>
      </c>
      <c r="L2145">
        <f>HYPERLINK("https://www2.assemblee-nationale.fr/sycomore/fiche/(num_dept)/3080", "3080")</f>
        <v>0</v>
      </c>
      <c r="N2145">
        <f>HYPERLINK("https://www.wikidata.org/wiki/Q2861749", "Q2861749")</f>
        <v>0</v>
      </c>
      <c r="O2145" t="s">
        <v>20027</v>
      </c>
      <c r="P2145" t="s">
        <v>20422</v>
      </c>
      <c r="Q2145" t="s">
        <v>20572</v>
      </c>
      <c r="R2145" t="s">
        <v>412</v>
      </c>
      <c r="S2145">
        <v>1481</v>
      </c>
    </row>
    <row r="2146" spans="1:19">
      <c r="A2146" t="s">
        <v>22</v>
      </c>
      <c r="B2146" t="s">
        <v>148</v>
      </c>
      <c r="C2146" t="s">
        <v>154</v>
      </c>
      <c r="D2146" t="s">
        <v>283</v>
      </c>
      <c r="E2146" t="s">
        <v>412</v>
      </c>
      <c r="F2146">
        <f>HYPERLINK("https://www.wikidata.org/wiki/Q16683492", "Q16683492")</f>
        <v>0</v>
      </c>
      <c r="G2146" t="s">
        <v>651</v>
      </c>
      <c r="H2146" t="s">
        <v>5410</v>
      </c>
      <c r="I2146" t="s">
        <v>6759</v>
      </c>
      <c r="J2146" t="s">
        <v>11401</v>
      </c>
      <c r="K2146" t="s">
        <v>15803</v>
      </c>
      <c r="L2146">
        <f>HYPERLINK("https://www2.assemblee-nationale.fr/sycomore/fiche/(num_dept)/3098", "3098")</f>
        <v>0</v>
      </c>
      <c r="N2146">
        <f>HYPERLINK("https://www.wikidata.org/wiki/Q37391", "Q37391")</f>
        <v>0</v>
      </c>
      <c r="O2146" t="s">
        <v>19989</v>
      </c>
      <c r="P2146" t="s">
        <v>20422</v>
      </c>
      <c r="Q2146" t="s">
        <v>20572</v>
      </c>
      <c r="R2146" t="s">
        <v>412</v>
      </c>
      <c r="S2146">
        <v>1481</v>
      </c>
    </row>
    <row r="2147" spans="1:19">
      <c r="A2147" t="s">
        <v>22</v>
      </c>
      <c r="B2147" t="s">
        <v>148</v>
      </c>
      <c r="C2147" t="s">
        <v>154</v>
      </c>
      <c r="D2147" t="s">
        <v>283</v>
      </c>
      <c r="E2147" t="s">
        <v>412</v>
      </c>
      <c r="F2147">
        <f>HYPERLINK("https://www.wikidata.org/wiki/Q16683492", "Q16683492")</f>
        <v>0</v>
      </c>
      <c r="G2147" t="s">
        <v>1467</v>
      </c>
      <c r="H2147" t="s">
        <v>6166</v>
      </c>
      <c r="I2147" t="s">
        <v>9385</v>
      </c>
      <c r="J2147" t="s">
        <v>12186</v>
      </c>
      <c r="K2147" t="s">
        <v>16592</v>
      </c>
      <c r="L2147">
        <f>HYPERLINK("https://www2.assemblee-nationale.fr/sycomore/fiche/(num_dept)/3126", "3126")</f>
        <v>0</v>
      </c>
      <c r="N2147">
        <f>HYPERLINK("https://www.wikidata.org/wiki/Q16025731", "Q16025731")</f>
        <v>0</v>
      </c>
      <c r="O2147" t="s">
        <v>20050</v>
      </c>
      <c r="P2147" t="s">
        <v>20422</v>
      </c>
      <c r="Q2147" t="s">
        <v>20572</v>
      </c>
      <c r="R2147" t="s">
        <v>412</v>
      </c>
      <c r="S2147">
        <v>1481</v>
      </c>
    </row>
    <row r="2148" spans="1:19">
      <c r="A2148" t="s">
        <v>22</v>
      </c>
      <c r="B2148" t="s">
        <v>148</v>
      </c>
      <c r="C2148" t="s">
        <v>154</v>
      </c>
      <c r="D2148" t="s">
        <v>283</v>
      </c>
      <c r="E2148" t="s">
        <v>412</v>
      </c>
      <c r="F2148">
        <f>HYPERLINK("https://www.wikidata.org/wiki/Q16683492", "Q16683492")</f>
        <v>0</v>
      </c>
      <c r="G2148" t="s">
        <v>1801</v>
      </c>
      <c r="H2148" t="s">
        <v>6466</v>
      </c>
      <c r="I2148" t="s">
        <v>6585</v>
      </c>
      <c r="J2148" t="s">
        <v>12496</v>
      </c>
      <c r="K2148" t="s">
        <v>16906</v>
      </c>
      <c r="L2148">
        <f>HYPERLINK("https://www2.assemblee-nationale.fr/sycomore/fiche/(num_dept)/3130", "3130")</f>
        <v>0</v>
      </c>
      <c r="N2148">
        <f>HYPERLINK("https://www.wikidata.org/wiki/Q518576", "Q518576")</f>
        <v>0</v>
      </c>
      <c r="O2148" t="s">
        <v>19969</v>
      </c>
      <c r="P2148" t="s">
        <v>20417</v>
      </c>
      <c r="Q2148" t="s">
        <v>20572</v>
      </c>
      <c r="R2148" t="s">
        <v>412</v>
      </c>
      <c r="S2148">
        <v>1481</v>
      </c>
    </row>
    <row r="2149" spans="1:19">
      <c r="A2149" t="s">
        <v>22</v>
      </c>
      <c r="B2149" t="s">
        <v>148</v>
      </c>
      <c r="C2149" t="s">
        <v>154</v>
      </c>
      <c r="D2149" t="s">
        <v>283</v>
      </c>
      <c r="E2149" t="s">
        <v>412</v>
      </c>
      <c r="F2149">
        <f>HYPERLINK("https://www.wikidata.org/wiki/Q16683492", "Q16683492")</f>
        <v>0</v>
      </c>
      <c r="G2149" t="s">
        <v>960</v>
      </c>
      <c r="H2149" t="s">
        <v>5712</v>
      </c>
      <c r="I2149" t="s">
        <v>9457</v>
      </c>
      <c r="J2149" t="s">
        <v>11570</v>
      </c>
      <c r="K2149" t="s">
        <v>16102</v>
      </c>
      <c r="L2149">
        <f>HYPERLINK("https://www2.assemblee-nationale.fr/sycomore/fiche/(num_dept)/3134", "3134")</f>
        <v>0</v>
      </c>
      <c r="N2149">
        <f>HYPERLINK("https://www.wikidata.org/wiki/Q3132784", "Q3132784")</f>
        <v>0</v>
      </c>
      <c r="O2149" t="s">
        <v>19976</v>
      </c>
      <c r="P2149" t="s">
        <v>20423</v>
      </c>
      <c r="Q2149" t="s">
        <v>20572</v>
      </c>
      <c r="R2149" t="s">
        <v>412</v>
      </c>
      <c r="S2149">
        <v>1481</v>
      </c>
    </row>
    <row r="2150" spans="1:19">
      <c r="A2150" t="s">
        <v>22</v>
      </c>
      <c r="B2150" t="s">
        <v>148</v>
      </c>
      <c r="C2150" t="s">
        <v>154</v>
      </c>
      <c r="D2150" t="s">
        <v>283</v>
      </c>
      <c r="E2150" t="s">
        <v>412</v>
      </c>
      <c r="F2150">
        <f>HYPERLINK("https://www.wikidata.org/wiki/Q16683492", "Q16683492")</f>
        <v>0</v>
      </c>
      <c r="G2150" t="s">
        <v>1468</v>
      </c>
      <c r="H2150" t="s">
        <v>6167</v>
      </c>
      <c r="I2150" t="s">
        <v>9385</v>
      </c>
      <c r="J2150" t="s">
        <v>12187</v>
      </c>
      <c r="K2150" t="s">
        <v>16593</v>
      </c>
      <c r="L2150">
        <f>HYPERLINK("https://www2.assemblee-nationale.fr/sycomore/fiche/(num_dept)/3153", "3153")</f>
        <v>0</v>
      </c>
      <c r="N2150">
        <f>HYPERLINK("https://www.wikidata.org/wiki/Q2959129", "Q2959129")</f>
        <v>0</v>
      </c>
      <c r="O2150" t="s">
        <v>20048</v>
      </c>
      <c r="P2150" t="s">
        <v>20417</v>
      </c>
      <c r="Q2150" t="s">
        <v>20572</v>
      </c>
      <c r="R2150" t="s">
        <v>412</v>
      </c>
      <c r="S2150">
        <v>1481</v>
      </c>
    </row>
    <row r="2151" spans="1:19">
      <c r="A2151" t="s">
        <v>22</v>
      </c>
      <c r="B2151" t="s">
        <v>148</v>
      </c>
      <c r="C2151" t="s">
        <v>154</v>
      </c>
      <c r="D2151" t="s">
        <v>283</v>
      </c>
      <c r="E2151" t="s">
        <v>412</v>
      </c>
      <c r="F2151">
        <f>HYPERLINK("https://www.wikidata.org/wiki/Q16683492", "Q16683492")</f>
        <v>0</v>
      </c>
      <c r="G2151" t="s">
        <v>1255</v>
      </c>
      <c r="H2151" t="s">
        <v>5979</v>
      </c>
      <c r="I2151" t="s">
        <v>9385</v>
      </c>
      <c r="J2151" t="s">
        <v>11985</v>
      </c>
      <c r="K2151" t="s">
        <v>16388</v>
      </c>
      <c r="L2151">
        <f>HYPERLINK("https://www2.assemblee-nationale.fr/sycomore/fiche/(num_dept)/3156", "3156")</f>
        <v>0</v>
      </c>
      <c r="N2151">
        <f>HYPERLINK("https://www.wikidata.org/wiki/Q16025733", "Q16025733")</f>
        <v>0</v>
      </c>
      <c r="O2151" t="s">
        <v>20007</v>
      </c>
      <c r="P2151" t="s">
        <v>20401</v>
      </c>
      <c r="Q2151" t="s">
        <v>20572</v>
      </c>
      <c r="R2151" t="s">
        <v>412</v>
      </c>
      <c r="S2151">
        <v>1481</v>
      </c>
    </row>
    <row r="2152" spans="1:19">
      <c r="A2152" t="s">
        <v>22</v>
      </c>
      <c r="B2152" t="s">
        <v>148</v>
      </c>
      <c r="C2152" t="s">
        <v>154</v>
      </c>
      <c r="D2152" t="s">
        <v>283</v>
      </c>
      <c r="E2152" t="s">
        <v>412</v>
      </c>
      <c r="F2152">
        <f>HYPERLINK("https://www.wikidata.org/wiki/Q16683492", "Q16683492")</f>
        <v>0</v>
      </c>
      <c r="G2152" t="s">
        <v>1802</v>
      </c>
      <c r="H2152" t="s">
        <v>6467</v>
      </c>
      <c r="I2152" t="s">
        <v>9465</v>
      </c>
      <c r="J2152" t="s">
        <v>12497</v>
      </c>
      <c r="K2152" t="s">
        <v>16907</v>
      </c>
      <c r="L2152">
        <f>HYPERLINK("https://www2.assemblee-nationale.fr/sycomore/fiche/(num_dept)/3167", "3167")</f>
        <v>0</v>
      </c>
      <c r="N2152">
        <f>HYPERLINK("https://www.wikidata.org/wiki/Q3059882", "Q3059882")</f>
        <v>0</v>
      </c>
      <c r="O2152" t="s">
        <v>19958</v>
      </c>
      <c r="P2152" t="s">
        <v>20404</v>
      </c>
      <c r="Q2152" t="s">
        <v>20572</v>
      </c>
      <c r="R2152" t="s">
        <v>412</v>
      </c>
      <c r="S2152">
        <v>1481</v>
      </c>
    </row>
    <row r="2153" spans="1:19">
      <c r="A2153" t="s">
        <v>22</v>
      </c>
      <c r="B2153" t="s">
        <v>148</v>
      </c>
      <c r="C2153" t="s">
        <v>154</v>
      </c>
      <c r="D2153" t="s">
        <v>283</v>
      </c>
      <c r="E2153" t="s">
        <v>412</v>
      </c>
      <c r="F2153">
        <f>HYPERLINK("https://www.wikidata.org/wiki/Q16683492", "Q16683492")</f>
        <v>0</v>
      </c>
      <c r="G2153" t="s">
        <v>1470</v>
      </c>
      <c r="H2153" t="s">
        <v>6169</v>
      </c>
      <c r="I2153" t="s">
        <v>6158</v>
      </c>
      <c r="J2153" t="s">
        <v>12189</v>
      </c>
      <c r="K2153" t="s">
        <v>16595</v>
      </c>
      <c r="L2153">
        <f>HYPERLINK("https://www2.assemblee-nationale.fr/sycomore/fiche/(num_dept)/3193", "3193")</f>
        <v>0</v>
      </c>
      <c r="M2153">
        <f>HYPERLINK("https://www.senat.fr/senateur-3eme-republique/gadaud_felix0673r3.html", "gadaud_felix0673r3")</f>
        <v>0</v>
      </c>
      <c r="N2153">
        <f>HYPERLINK("https://www.wikidata.org/wiki/Q3092440", "Q3092440")</f>
        <v>0</v>
      </c>
      <c r="O2153" t="s">
        <v>20010</v>
      </c>
      <c r="P2153" t="s">
        <v>20401</v>
      </c>
      <c r="Q2153" t="s">
        <v>20572</v>
      </c>
      <c r="R2153" t="s">
        <v>412</v>
      </c>
      <c r="S2153">
        <v>1481</v>
      </c>
    </row>
    <row r="2154" spans="1:19">
      <c r="A2154" t="s">
        <v>22</v>
      </c>
      <c r="B2154" t="s">
        <v>148</v>
      </c>
      <c r="C2154" t="s">
        <v>154</v>
      </c>
      <c r="D2154" t="s">
        <v>283</v>
      </c>
      <c r="E2154" t="s">
        <v>412</v>
      </c>
      <c r="F2154">
        <f>HYPERLINK("https://www.wikidata.org/wiki/Q16683492", "Q16683492")</f>
        <v>0</v>
      </c>
      <c r="G2154" t="s">
        <v>1685</v>
      </c>
      <c r="H2154" t="s">
        <v>6364</v>
      </c>
      <c r="I2154" t="s">
        <v>9885</v>
      </c>
      <c r="J2154" t="s">
        <v>12389</v>
      </c>
      <c r="K2154" t="s">
        <v>16799</v>
      </c>
      <c r="L2154">
        <f>HYPERLINK("https://www2.assemblee-nationale.fr/sycomore/fiche/(num_dept)/3226", "3226")</f>
        <v>0</v>
      </c>
      <c r="N2154">
        <f>HYPERLINK("https://www.wikidata.org/wiki/Q3573422", "Q3573422")</f>
        <v>0</v>
      </c>
      <c r="O2154" t="s">
        <v>19964</v>
      </c>
      <c r="P2154" t="s">
        <v>20412</v>
      </c>
      <c r="Q2154" t="s">
        <v>20572</v>
      </c>
      <c r="R2154" t="s">
        <v>412</v>
      </c>
      <c r="S2154">
        <v>1481</v>
      </c>
    </row>
    <row r="2155" spans="1:19">
      <c r="A2155" t="s">
        <v>22</v>
      </c>
      <c r="B2155" t="s">
        <v>148</v>
      </c>
      <c r="C2155" t="s">
        <v>154</v>
      </c>
      <c r="D2155" t="s">
        <v>283</v>
      </c>
      <c r="E2155" t="s">
        <v>412</v>
      </c>
      <c r="F2155">
        <f>HYPERLINK("https://www.wikidata.org/wiki/Q16683492", "Q16683492")</f>
        <v>0</v>
      </c>
      <c r="G2155" t="s">
        <v>1803</v>
      </c>
      <c r="H2155" t="s">
        <v>6468</v>
      </c>
      <c r="I2155" t="s">
        <v>9457</v>
      </c>
      <c r="J2155" t="s">
        <v>12498</v>
      </c>
      <c r="K2155" t="s">
        <v>16908</v>
      </c>
      <c r="L2155">
        <f>HYPERLINK("https://www2.assemblee-nationale.fr/sycomore/fiche/(num_dept)/3236", "3236")</f>
        <v>0</v>
      </c>
      <c r="N2155">
        <f>HYPERLINK("https://www.wikidata.org/wiki/Q16025742", "Q16025742")</f>
        <v>0</v>
      </c>
      <c r="O2155" t="s">
        <v>20032</v>
      </c>
      <c r="P2155" t="s">
        <v>20404</v>
      </c>
      <c r="Q2155" t="s">
        <v>20572</v>
      </c>
      <c r="R2155" t="s">
        <v>412</v>
      </c>
      <c r="S2155">
        <v>1481</v>
      </c>
    </row>
    <row r="2156" spans="1:19">
      <c r="A2156" t="s">
        <v>22</v>
      </c>
      <c r="B2156" t="s">
        <v>148</v>
      </c>
      <c r="C2156" t="s">
        <v>154</v>
      </c>
      <c r="D2156" t="s">
        <v>283</v>
      </c>
      <c r="E2156" t="s">
        <v>412</v>
      </c>
      <c r="F2156">
        <f>HYPERLINK("https://www.wikidata.org/wiki/Q16683492", "Q16683492")</f>
        <v>0</v>
      </c>
      <c r="G2156" t="s">
        <v>655</v>
      </c>
      <c r="H2156" t="s">
        <v>5414</v>
      </c>
      <c r="I2156" t="s">
        <v>9407</v>
      </c>
      <c r="J2156" t="s">
        <v>11405</v>
      </c>
      <c r="K2156" t="s">
        <v>15807</v>
      </c>
      <c r="L2156">
        <f>HYPERLINK("https://www2.assemblee-nationale.fr/sycomore/fiche/(num_dept)/3247", "3247")</f>
        <v>0</v>
      </c>
      <c r="N2156">
        <f>HYPERLINK("https://www.wikidata.org/wiki/Q3184989", "Q3184989")</f>
        <v>0</v>
      </c>
      <c r="O2156" t="s">
        <v>19970</v>
      </c>
      <c r="P2156" t="s">
        <v>20423</v>
      </c>
      <c r="Q2156" t="s">
        <v>20572</v>
      </c>
      <c r="R2156" t="s">
        <v>412</v>
      </c>
      <c r="S2156">
        <v>1481</v>
      </c>
    </row>
    <row r="2157" spans="1:19">
      <c r="A2157" t="s">
        <v>22</v>
      </c>
      <c r="B2157" t="s">
        <v>148</v>
      </c>
      <c r="C2157" t="s">
        <v>154</v>
      </c>
      <c r="D2157" t="s">
        <v>283</v>
      </c>
      <c r="E2157" t="s">
        <v>412</v>
      </c>
      <c r="F2157">
        <f>HYPERLINK("https://www.wikidata.org/wiki/Q16683492", "Q16683492")</f>
        <v>0</v>
      </c>
      <c r="G2157" t="s">
        <v>1804</v>
      </c>
      <c r="H2157" t="s">
        <v>6469</v>
      </c>
      <c r="I2157" t="s">
        <v>9955</v>
      </c>
      <c r="J2157" t="s">
        <v>12499</v>
      </c>
      <c r="K2157" t="s">
        <v>16909</v>
      </c>
      <c r="L2157">
        <f>HYPERLINK("https://www2.assemblee-nationale.fr/sycomore/fiche/(num_dept)/3250", "3250")</f>
        <v>0</v>
      </c>
      <c r="N2157">
        <f>HYPERLINK("https://www.wikidata.org/wiki/Q3172213", "Q3172213")</f>
        <v>0</v>
      </c>
      <c r="O2157" t="s">
        <v>19969</v>
      </c>
      <c r="P2157" t="s">
        <v>20424</v>
      </c>
      <c r="Q2157" t="s">
        <v>20572</v>
      </c>
      <c r="R2157" t="s">
        <v>412</v>
      </c>
      <c r="S2157">
        <v>1481</v>
      </c>
    </row>
    <row r="2158" spans="1:19">
      <c r="A2158" t="s">
        <v>22</v>
      </c>
      <c r="B2158" t="s">
        <v>148</v>
      </c>
      <c r="C2158" t="s">
        <v>154</v>
      </c>
      <c r="D2158" t="s">
        <v>283</v>
      </c>
      <c r="E2158" t="s">
        <v>412</v>
      </c>
      <c r="F2158">
        <f>HYPERLINK("https://www.wikidata.org/wiki/Q16683492", "Q16683492")</f>
        <v>0</v>
      </c>
      <c r="G2158" t="s">
        <v>656</v>
      </c>
      <c r="H2158" t="s">
        <v>5415</v>
      </c>
      <c r="I2158" t="s">
        <v>9471</v>
      </c>
      <c r="J2158" t="s">
        <v>11406</v>
      </c>
      <c r="K2158" t="s">
        <v>15808</v>
      </c>
      <c r="L2158">
        <f>HYPERLINK("https://www2.assemblee-nationale.fr/sycomore/fiche/(num_dept)/3276", "3276")</f>
        <v>0</v>
      </c>
      <c r="N2158">
        <f>HYPERLINK("https://www.wikidata.org/wiki/Q3265516", "Q3265516")</f>
        <v>0</v>
      </c>
      <c r="O2158" t="s">
        <v>19963</v>
      </c>
      <c r="P2158" t="s">
        <v>20423</v>
      </c>
      <c r="Q2158" t="s">
        <v>20572</v>
      </c>
      <c r="R2158" t="s">
        <v>412</v>
      </c>
      <c r="S2158">
        <v>1481</v>
      </c>
    </row>
    <row r="2159" spans="1:19">
      <c r="A2159" t="s">
        <v>22</v>
      </c>
      <c r="B2159" t="s">
        <v>148</v>
      </c>
      <c r="C2159" t="s">
        <v>154</v>
      </c>
      <c r="D2159" t="s">
        <v>283</v>
      </c>
      <c r="E2159" t="s">
        <v>412</v>
      </c>
      <c r="F2159">
        <f>HYPERLINK("https://www.wikidata.org/wiki/Q16683492", "Q16683492")</f>
        <v>0</v>
      </c>
      <c r="G2159" t="s">
        <v>1805</v>
      </c>
      <c r="H2159" t="s">
        <v>6470</v>
      </c>
      <c r="I2159" t="s">
        <v>7642</v>
      </c>
      <c r="J2159" t="s">
        <v>12500</v>
      </c>
      <c r="K2159" t="s">
        <v>16910</v>
      </c>
      <c r="L2159">
        <f>HYPERLINK("https://www2.assemblee-nationale.fr/sycomore/fiche/(num_dept)/3308", "3308")</f>
        <v>0</v>
      </c>
      <c r="N2159">
        <f>HYPERLINK("https://www.wikidata.org/wiki/Q16025753", "Q16025753")</f>
        <v>0</v>
      </c>
      <c r="O2159" t="s">
        <v>19978</v>
      </c>
      <c r="P2159" t="s">
        <v>20424</v>
      </c>
      <c r="Q2159" t="s">
        <v>20572</v>
      </c>
      <c r="R2159" t="s">
        <v>412</v>
      </c>
      <c r="S2159">
        <v>1481</v>
      </c>
    </row>
    <row r="2160" spans="1:19">
      <c r="A2160" t="s">
        <v>22</v>
      </c>
      <c r="B2160" t="s">
        <v>148</v>
      </c>
      <c r="C2160" t="s">
        <v>154</v>
      </c>
      <c r="D2160" t="s">
        <v>283</v>
      </c>
      <c r="E2160" t="s">
        <v>412</v>
      </c>
      <c r="F2160">
        <f>HYPERLINK("https://www.wikidata.org/wiki/Q16683492", "Q16683492")</f>
        <v>0</v>
      </c>
      <c r="G2160" t="s">
        <v>1476</v>
      </c>
      <c r="H2160" t="s">
        <v>6175</v>
      </c>
      <c r="I2160" t="s">
        <v>6303</v>
      </c>
      <c r="J2160" t="s">
        <v>12195</v>
      </c>
      <c r="K2160" t="s">
        <v>16601</v>
      </c>
      <c r="L2160">
        <f>HYPERLINK("https://www2.assemblee-nationale.fr/sycomore/fiche/(num_dept)/3356", "3356")</f>
        <v>0</v>
      </c>
      <c r="N2160">
        <f>HYPERLINK("https://www.wikidata.org/wiki/Q8325344", "Q8325344")</f>
        <v>0</v>
      </c>
      <c r="O2160" t="s">
        <v>20039</v>
      </c>
      <c r="P2160" t="s">
        <v>20404</v>
      </c>
      <c r="Q2160" t="s">
        <v>20572</v>
      </c>
      <c r="R2160" t="s">
        <v>412</v>
      </c>
      <c r="S2160">
        <v>1481</v>
      </c>
    </row>
    <row r="2161" spans="1:19">
      <c r="A2161" t="s">
        <v>22</v>
      </c>
      <c r="B2161" t="s">
        <v>148</v>
      </c>
      <c r="C2161" t="s">
        <v>154</v>
      </c>
      <c r="D2161" t="s">
        <v>283</v>
      </c>
      <c r="E2161" t="s">
        <v>412</v>
      </c>
      <c r="F2161">
        <f>HYPERLINK("https://www.wikidata.org/wiki/Q16683492", "Q16683492")</f>
        <v>0</v>
      </c>
      <c r="G2161" t="s">
        <v>1477</v>
      </c>
      <c r="H2161" t="s">
        <v>5417</v>
      </c>
      <c r="I2161" t="s">
        <v>6166</v>
      </c>
      <c r="J2161" t="s">
        <v>12196</v>
      </c>
      <c r="K2161" t="s">
        <v>16602</v>
      </c>
      <c r="L2161">
        <f>HYPERLINK("https://www2.assemblee-nationale.fr/sycomore/fiche/(num_dept)/3359", "3359")</f>
        <v>0</v>
      </c>
      <c r="N2161">
        <f>HYPERLINK("https://www.wikidata.org/wiki/Q3084814", "Q3084814")</f>
        <v>0</v>
      </c>
      <c r="O2161" t="s">
        <v>20009</v>
      </c>
      <c r="P2161" t="s">
        <v>20422</v>
      </c>
      <c r="Q2161" t="s">
        <v>20572</v>
      </c>
      <c r="R2161" t="s">
        <v>412</v>
      </c>
      <c r="S2161">
        <v>1481</v>
      </c>
    </row>
    <row r="2162" spans="1:19">
      <c r="A2162" t="s">
        <v>22</v>
      </c>
      <c r="B2162" t="s">
        <v>148</v>
      </c>
      <c r="C2162" t="s">
        <v>154</v>
      </c>
      <c r="D2162" t="s">
        <v>283</v>
      </c>
      <c r="E2162" t="s">
        <v>412</v>
      </c>
      <c r="F2162">
        <f>HYPERLINK("https://www.wikidata.org/wiki/Q16683492", "Q16683492")</f>
        <v>0</v>
      </c>
      <c r="G2162" t="s">
        <v>1806</v>
      </c>
      <c r="H2162" t="s">
        <v>6471</v>
      </c>
      <c r="I2162" t="s">
        <v>6166</v>
      </c>
      <c r="J2162" t="s">
        <v>12501</v>
      </c>
      <c r="K2162" t="s">
        <v>16911</v>
      </c>
      <c r="L2162">
        <f>HYPERLINK("https://www2.assemblee-nationale.fr/sycomore/fiche/(num_dept)/3369", "3369")</f>
        <v>0</v>
      </c>
      <c r="N2162">
        <f>HYPERLINK("https://www.wikidata.org/wiki/Q16025767", "Q16025767")</f>
        <v>0</v>
      </c>
      <c r="O2162" t="s">
        <v>19965</v>
      </c>
      <c r="P2162" t="s">
        <v>20404</v>
      </c>
      <c r="Q2162" t="s">
        <v>20572</v>
      </c>
      <c r="R2162" t="s">
        <v>412</v>
      </c>
      <c r="S2162">
        <v>1481</v>
      </c>
    </row>
    <row r="2163" spans="1:19">
      <c r="A2163" t="s">
        <v>22</v>
      </c>
      <c r="B2163" t="s">
        <v>148</v>
      </c>
      <c r="C2163" t="s">
        <v>154</v>
      </c>
      <c r="D2163" t="s">
        <v>283</v>
      </c>
      <c r="E2163" t="s">
        <v>412</v>
      </c>
      <c r="F2163">
        <f>HYPERLINK("https://www.wikidata.org/wiki/Q16683492", "Q16683492")</f>
        <v>0</v>
      </c>
      <c r="G2163" t="s">
        <v>661</v>
      </c>
      <c r="H2163" t="s">
        <v>5420</v>
      </c>
      <c r="I2163" t="s">
        <v>9385</v>
      </c>
      <c r="J2163" t="s">
        <v>11411</v>
      </c>
      <c r="K2163" t="s">
        <v>15813</v>
      </c>
      <c r="L2163">
        <f>HYPERLINK("https://www2.assemblee-nationale.fr/sycomore/fiche/(num_dept)/3418", "3418")</f>
        <v>0</v>
      </c>
      <c r="N2163">
        <f>HYPERLINK("https://www.wikidata.org/wiki/Q2959214", "Q2959214")</f>
        <v>0</v>
      </c>
      <c r="O2163" t="s">
        <v>20023</v>
      </c>
      <c r="P2163" t="s">
        <v>20409</v>
      </c>
      <c r="Q2163" t="s">
        <v>20572</v>
      </c>
      <c r="R2163" t="s">
        <v>412</v>
      </c>
      <c r="S2163">
        <v>1481</v>
      </c>
    </row>
    <row r="2164" spans="1:19">
      <c r="A2164" t="s">
        <v>22</v>
      </c>
      <c r="B2164" t="s">
        <v>148</v>
      </c>
      <c r="C2164" t="s">
        <v>154</v>
      </c>
      <c r="D2164" t="s">
        <v>283</v>
      </c>
      <c r="E2164" t="s">
        <v>412</v>
      </c>
      <c r="F2164">
        <f>HYPERLINK("https://www.wikidata.org/wiki/Q16683492", "Q16683492")</f>
        <v>0</v>
      </c>
      <c r="G2164" t="s">
        <v>1115</v>
      </c>
      <c r="H2164" t="s">
        <v>5856</v>
      </c>
      <c r="I2164" t="s">
        <v>9552</v>
      </c>
      <c r="J2164" t="s">
        <v>11849</v>
      </c>
      <c r="K2164" t="s">
        <v>16251</v>
      </c>
      <c r="L2164">
        <f>HYPERLINK("https://www2.assemblee-nationale.fr/sycomore/fiche/(num_dept)/3427", "3427")</f>
        <v>0</v>
      </c>
      <c r="N2164">
        <f>HYPERLINK("https://www.wikidata.org/wiki/Q16025776", "Q16025776")</f>
        <v>0</v>
      </c>
      <c r="O2164" t="s">
        <v>19990</v>
      </c>
      <c r="P2164" t="s">
        <v>20423</v>
      </c>
      <c r="Q2164" t="s">
        <v>20572</v>
      </c>
      <c r="R2164" t="s">
        <v>16251</v>
      </c>
      <c r="S2164">
        <v>1139</v>
      </c>
    </row>
    <row r="2165" spans="1:19">
      <c r="A2165" t="s">
        <v>22</v>
      </c>
      <c r="B2165" t="s">
        <v>148</v>
      </c>
      <c r="C2165" t="s">
        <v>154</v>
      </c>
      <c r="D2165" t="s">
        <v>283</v>
      </c>
      <c r="E2165" t="s">
        <v>412</v>
      </c>
      <c r="F2165">
        <f>HYPERLINK("https://www.wikidata.org/wiki/Q16683492", "Q16683492")</f>
        <v>0</v>
      </c>
      <c r="G2165" t="s">
        <v>663</v>
      </c>
      <c r="H2165" t="s">
        <v>5422</v>
      </c>
      <c r="I2165" t="s">
        <v>9475</v>
      </c>
      <c r="J2165" t="s">
        <v>11413</v>
      </c>
      <c r="K2165" t="s">
        <v>15815</v>
      </c>
      <c r="L2165">
        <f>HYPERLINK("https://www2.assemblee-nationale.fr/sycomore/fiche/(num_dept)/3443", "3443")</f>
        <v>0</v>
      </c>
      <c r="N2165">
        <f>HYPERLINK("https://www.wikidata.org/wiki/Q16025783", "Q16025783")</f>
        <v>0</v>
      </c>
      <c r="O2165" t="s">
        <v>19973</v>
      </c>
      <c r="P2165" t="s">
        <v>20423</v>
      </c>
      <c r="Q2165" t="s">
        <v>20572</v>
      </c>
      <c r="R2165" t="s">
        <v>412</v>
      </c>
      <c r="S2165">
        <v>1481</v>
      </c>
    </row>
    <row r="2166" spans="1:19">
      <c r="A2166" t="s">
        <v>22</v>
      </c>
      <c r="B2166" t="s">
        <v>148</v>
      </c>
      <c r="C2166" t="s">
        <v>154</v>
      </c>
      <c r="D2166" t="s">
        <v>283</v>
      </c>
      <c r="E2166" t="s">
        <v>412</v>
      </c>
      <c r="F2166">
        <f>HYPERLINK("https://www.wikidata.org/wiki/Q16683492", "Q16683492")</f>
        <v>0</v>
      </c>
      <c r="G2166" t="s">
        <v>966</v>
      </c>
      <c r="H2166" t="s">
        <v>5718</v>
      </c>
      <c r="I2166" t="s">
        <v>9605</v>
      </c>
      <c r="J2166" t="s">
        <v>11705</v>
      </c>
      <c r="K2166" t="s">
        <v>16108</v>
      </c>
      <c r="L2166">
        <f>HYPERLINK("https://www2.assemblee-nationale.fr/sycomore/fiche/(num_dept)/3460", "3460")</f>
        <v>0</v>
      </c>
      <c r="M2166">
        <f>HYPERLINK("https://www.senat.fr/senateur-3eme-republique/godart_justin1138r3.html", "godart_justin1138r3")</f>
        <v>0</v>
      </c>
      <c r="N2166">
        <f>HYPERLINK("https://www.wikidata.org/wiki/Q3190446", "Q3190446")</f>
        <v>0</v>
      </c>
      <c r="O2166" t="s">
        <v>19965</v>
      </c>
      <c r="P2166" t="s">
        <v>20423</v>
      </c>
      <c r="Q2166" t="s">
        <v>20572</v>
      </c>
      <c r="R2166" t="s">
        <v>21409</v>
      </c>
      <c r="S2166">
        <v>754</v>
      </c>
    </row>
    <row r="2167" spans="1:19">
      <c r="A2167" t="s">
        <v>22</v>
      </c>
      <c r="B2167" t="s">
        <v>148</v>
      </c>
      <c r="C2167" t="s">
        <v>154</v>
      </c>
      <c r="D2167" t="s">
        <v>283</v>
      </c>
      <c r="E2167" t="s">
        <v>412</v>
      </c>
      <c r="F2167">
        <f>HYPERLINK("https://www.wikidata.org/wiki/Q16683492", "Q16683492")</f>
        <v>0</v>
      </c>
      <c r="G2167" t="s">
        <v>1807</v>
      </c>
      <c r="H2167" t="s">
        <v>6472</v>
      </c>
      <c r="I2167" t="s">
        <v>6585</v>
      </c>
      <c r="J2167" t="s">
        <v>12502</v>
      </c>
      <c r="K2167" t="s">
        <v>16912</v>
      </c>
      <c r="L2167">
        <f>HYPERLINK("https://www2.assemblee-nationale.fr/sycomore/fiche/(num_dept)/3471", "3471")</f>
        <v>0</v>
      </c>
      <c r="M2167">
        <f>HYPERLINK("https://www.senat.fr/senateur-3eme-republique/goirand_andre1629r3.html", "goirand_andre1629r3")</f>
        <v>0</v>
      </c>
      <c r="N2167">
        <f>HYPERLINK("https://www.wikidata.org/wiki/Q2847861", "Q2847861")</f>
        <v>0</v>
      </c>
      <c r="O2167" t="s">
        <v>20021</v>
      </c>
      <c r="P2167" t="s">
        <v>20423</v>
      </c>
      <c r="Q2167" t="s">
        <v>20572</v>
      </c>
      <c r="R2167" t="s">
        <v>21410</v>
      </c>
      <c r="S2167">
        <v>965</v>
      </c>
    </row>
    <row r="2168" spans="1:19">
      <c r="A2168" t="s">
        <v>22</v>
      </c>
      <c r="B2168" t="s">
        <v>148</v>
      </c>
      <c r="C2168" t="s">
        <v>154</v>
      </c>
      <c r="D2168" t="s">
        <v>283</v>
      </c>
      <c r="E2168" t="s">
        <v>412</v>
      </c>
      <c r="F2168">
        <f>HYPERLINK("https://www.wikidata.org/wiki/Q16683492", "Q16683492")</f>
        <v>0</v>
      </c>
      <c r="G2168" t="s">
        <v>664</v>
      </c>
      <c r="H2168" t="s">
        <v>5423</v>
      </c>
      <c r="I2168" t="s">
        <v>9385</v>
      </c>
      <c r="J2168" t="s">
        <v>11414</v>
      </c>
      <c r="K2168" t="s">
        <v>15816</v>
      </c>
      <c r="L2168">
        <f>HYPERLINK("https://www2.assemblee-nationale.fr/sycomore/fiche/(num_dept)/3477", "3477")</f>
        <v>0</v>
      </c>
      <c r="N2168">
        <f>HYPERLINK("https://www.wikidata.org/wiki/Q16025794", "Q16025794")</f>
        <v>0</v>
      </c>
      <c r="O2168" t="s">
        <v>20013</v>
      </c>
      <c r="P2168" t="s">
        <v>20404</v>
      </c>
      <c r="Q2168" t="s">
        <v>20572</v>
      </c>
      <c r="R2168" t="s">
        <v>412</v>
      </c>
      <c r="S2168">
        <v>1481</v>
      </c>
    </row>
    <row r="2169" spans="1:19">
      <c r="A2169" t="s">
        <v>22</v>
      </c>
      <c r="B2169" t="s">
        <v>148</v>
      </c>
      <c r="C2169" t="s">
        <v>154</v>
      </c>
      <c r="D2169" t="s">
        <v>283</v>
      </c>
      <c r="E2169" t="s">
        <v>412</v>
      </c>
      <c r="F2169">
        <f>HYPERLINK("https://www.wikidata.org/wiki/Q16683492", "Q16683492")</f>
        <v>0</v>
      </c>
      <c r="G2169" t="s">
        <v>1480</v>
      </c>
      <c r="H2169" t="s">
        <v>6178</v>
      </c>
      <c r="I2169" t="s">
        <v>9822</v>
      </c>
      <c r="J2169" t="s">
        <v>12199</v>
      </c>
      <c r="K2169" t="s">
        <v>16604</v>
      </c>
      <c r="L2169">
        <f>HYPERLINK("https://www2.assemblee-nationale.fr/sycomore/fiche/(num_dept)/3479", "3479")</f>
        <v>0</v>
      </c>
      <c r="N2169">
        <f>HYPERLINK("https://www.wikidata.org/wiki/Q16025796", "Q16025796")</f>
        <v>0</v>
      </c>
      <c r="O2169" t="s">
        <v>20012</v>
      </c>
      <c r="P2169" t="s">
        <v>20401</v>
      </c>
      <c r="Q2169" t="s">
        <v>20572</v>
      </c>
      <c r="R2169" t="s">
        <v>412</v>
      </c>
      <c r="S2169">
        <v>1481</v>
      </c>
    </row>
    <row r="2170" spans="1:19">
      <c r="A2170" t="s">
        <v>22</v>
      </c>
      <c r="B2170" t="s">
        <v>148</v>
      </c>
      <c r="C2170" t="s">
        <v>154</v>
      </c>
      <c r="D2170" t="s">
        <v>283</v>
      </c>
      <c r="E2170" t="s">
        <v>412</v>
      </c>
      <c r="F2170">
        <f>HYPERLINK("https://www.wikidata.org/wiki/Q16683492", "Q16683492")</f>
        <v>0</v>
      </c>
      <c r="G2170" t="s">
        <v>968</v>
      </c>
      <c r="H2170" t="s">
        <v>5720</v>
      </c>
      <c r="I2170" t="s">
        <v>9389</v>
      </c>
      <c r="J2170" t="s">
        <v>11707</v>
      </c>
      <c r="K2170" t="s">
        <v>16110</v>
      </c>
      <c r="L2170">
        <f>HYPERLINK("https://www2.assemblee-nationale.fr/sycomore/fiche/(num_dept)/3491", "3491")</f>
        <v>0</v>
      </c>
      <c r="N2170">
        <f>HYPERLINK("https://www.wikidata.org/wiki/Q3588541", "Q3588541")</f>
        <v>0</v>
      </c>
      <c r="O2170" t="s">
        <v>20011</v>
      </c>
      <c r="P2170" t="s">
        <v>20404</v>
      </c>
      <c r="Q2170" t="s">
        <v>20572</v>
      </c>
      <c r="R2170" t="s">
        <v>412</v>
      </c>
      <c r="S2170">
        <v>1481</v>
      </c>
    </row>
    <row r="2171" spans="1:19">
      <c r="A2171" t="s">
        <v>22</v>
      </c>
      <c r="B2171" t="s">
        <v>148</v>
      </c>
      <c r="C2171" t="s">
        <v>154</v>
      </c>
      <c r="D2171" t="s">
        <v>283</v>
      </c>
      <c r="E2171" t="s">
        <v>412</v>
      </c>
      <c r="F2171">
        <f>HYPERLINK("https://www.wikidata.org/wiki/Q16683492", "Q16683492")</f>
        <v>0</v>
      </c>
      <c r="G2171" t="s">
        <v>1808</v>
      </c>
      <c r="H2171" t="s">
        <v>6473</v>
      </c>
      <c r="I2171" t="s">
        <v>9956</v>
      </c>
      <c r="J2171" t="s">
        <v>12503</v>
      </c>
      <c r="K2171" t="s">
        <v>16913</v>
      </c>
      <c r="L2171">
        <f>HYPERLINK("https://www2.assemblee-nationale.fr/sycomore/fiche/(num_dept)/3496", "3496")</f>
        <v>0</v>
      </c>
      <c r="N2171">
        <f>HYPERLINK("https://www.wikidata.org/wiki/Q381187", "Q381187")</f>
        <v>0</v>
      </c>
      <c r="O2171" t="s">
        <v>19990</v>
      </c>
      <c r="P2171" t="s">
        <v>20404</v>
      </c>
      <c r="Q2171" t="s">
        <v>20572</v>
      </c>
      <c r="R2171" t="s">
        <v>412</v>
      </c>
      <c r="S2171">
        <v>1481</v>
      </c>
    </row>
    <row r="2172" spans="1:19">
      <c r="A2172" t="s">
        <v>22</v>
      </c>
      <c r="B2172" t="s">
        <v>148</v>
      </c>
      <c r="C2172" t="s">
        <v>154</v>
      </c>
      <c r="D2172" t="s">
        <v>283</v>
      </c>
      <c r="E2172" t="s">
        <v>412</v>
      </c>
      <c r="F2172">
        <f>HYPERLINK("https://www.wikidata.org/wiki/Q16683492", "Q16683492")</f>
        <v>0</v>
      </c>
      <c r="G2172" t="s">
        <v>1177</v>
      </c>
      <c r="H2172" t="s">
        <v>5908</v>
      </c>
      <c r="I2172" t="s">
        <v>9552</v>
      </c>
      <c r="J2172" t="s">
        <v>11910</v>
      </c>
      <c r="K2172" t="s">
        <v>16312</v>
      </c>
      <c r="L2172">
        <f>HYPERLINK("https://www2.assemblee-nationale.fr/sycomore/fiche/(num_dept)/3519", "3519")</f>
        <v>0</v>
      </c>
      <c r="N2172">
        <f>HYPERLINK("https://www.wikidata.org/wiki/Q8331251", "Q8331251")</f>
        <v>0</v>
      </c>
      <c r="O2172" t="s">
        <v>19976</v>
      </c>
      <c r="P2172" t="s">
        <v>20423</v>
      </c>
      <c r="Q2172" t="s">
        <v>20572</v>
      </c>
      <c r="R2172" t="s">
        <v>412</v>
      </c>
      <c r="S2172">
        <v>1481</v>
      </c>
    </row>
    <row r="2173" spans="1:19">
      <c r="A2173" t="s">
        <v>22</v>
      </c>
      <c r="B2173" t="s">
        <v>148</v>
      </c>
      <c r="C2173" t="s">
        <v>154</v>
      </c>
      <c r="D2173" t="s">
        <v>283</v>
      </c>
      <c r="E2173" t="s">
        <v>412</v>
      </c>
      <c r="F2173">
        <f>HYPERLINK("https://www.wikidata.org/wiki/Q16683492", "Q16683492")</f>
        <v>0</v>
      </c>
      <c r="G2173" t="s">
        <v>1809</v>
      </c>
      <c r="H2173" t="s">
        <v>6474</v>
      </c>
      <c r="I2173" t="s">
        <v>6200</v>
      </c>
      <c r="J2173" t="s">
        <v>12504</v>
      </c>
      <c r="K2173" t="s">
        <v>16914</v>
      </c>
      <c r="L2173">
        <f>HYPERLINK("https://www2.assemblee-nationale.fr/sycomore/fiche/(num_dept)/3531", "3531")</f>
        <v>0</v>
      </c>
      <c r="N2173">
        <f>HYPERLINK("https://www.wikidata.org/wiki/Q3172356", "Q3172356")</f>
        <v>0</v>
      </c>
      <c r="O2173" t="s">
        <v>19969</v>
      </c>
      <c r="P2173" t="s">
        <v>20409</v>
      </c>
      <c r="Q2173" t="s">
        <v>20572</v>
      </c>
      <c r="R2173" t="s">
        <v>412</v>
      </c>
      <c r="S2173">
        <v>1481</v>
      </c>
    </row>
    <row r="2174" spans="1:19">
      <c r="A2174" t="s">
        <v>22</v>
      </c>
      <c r="B2174" t="s">
        <v>148</v>
      </c>
      <c r="C2174" t="s">
        <v>154</v>
      </c>
      <c r="D2174" t="s">
        <v>283</v>
      </c>
      <c r="E2174" t="s">
        <v>412</v>
      </c>
      <c r="F2174">
        <f>HYPERLINK("https://www.wikidata.org/wiki/Q16683492", "Q16683492")</f>
        <v>0</v>
      </c>
      <c r="G2174" t="s">
        <v>668</v>
      </c>
      <c r="H2174" t="s">
        <v>5427</v>
      </c>
      <c r="I2174" t="s">
        <v>6175</v>
      </c>
      <c r="J2174" t="s">
        <v>11418</v>
      </c>
      <c r="K2174" t="s">
        <v>15820</v>
      </c>
      <c r="L2174">
        <f>HYPERLINK("https://www2.assemblee-nationale.fr/sycomore/fiche/(num_dept)/3542", "3542")</f>
        <v>0</v>
      </c>
      <c r="M2174">
        <f>HYPERLINK("https://www.senat.fr/senateur-3eme-republique/de_grandmaison_georges1070r3.html", "de_grandmaison_georges1070r3")</f>
        <v>0</v>
      </c>
      <c r="N2174">
        <f>HYPERLINK("https://www.wikidata.org/wiki/Q3103201", "Q3103201")</f>
        <v>0</v>
      </c>
      <c r="O2174" t="s">
        <v>19980</v>
      </c>
      <c r="P2174" t="s">
        <v>20422</v>
      </c>
      <c r="Q2174" t="s">
        <v>20572</v>
      </c>
      <c r="R2174" t="s">
        <v>412</v>
      </c>
      <c r="S2174">
        <v>1481</v>
      </c>
    </row>
    <row r="2175" spans="1:19">
      <c r="A2175" t="s">
        <v>22</v>
      </c>
      <c r="B2175" t="s">
        <v>148</v>
      </c>
      <c r="C2175" t="s">
        <v>154</v>
      </c>
      <c r="D2175" t="s">
        <v>283</v>
      </c>
      <c r="E2175" t="s">
        <v>412</v>
      </c>
      <c r="F2175">
        <f>HYPERLINK("https://www.wikidata.org/wiki/Q16683492", "Q16683492")</f>
        <v>0</v>
      </c>
      <c r="G2175" t="s">
        <v>1483</v>
      </c>
      <c r="H2175" t="s">
        <v>6181</v>
      </c>
      <c r="I2175" t="s">
        <v>9728</v>
      </c>
      <c r="J2175" t="s">
        <v>12202</v>
      </c>
      <c r="K2175" t="s">
        <v>16607</v>
      </c>
      <c r="L2175">
        <f>HYPERLINK("https://www2.assemblee-nationale.fr/sycomore/fiche/(num_dept)/3589", "3589")</f>
        <v>0</v>
      </c>
      <c r="N2175">
        <f>HYPERLINK("https://www.wikidata.org/wiki/Q3579872", "Q3579872")</f>
        <v>0</v>
      </c>
      <c r="O2175" t="s">
        <v>20024</v>
      </c>
      <c r="P2175" t="s">
        <v>20417</v>
      </c>
      <c r="Q2175" t="s">
        <v>20572</v>
      </c>
      <c r="R2175" t="s">
        <v>412</v>
      </c>
      <c r="S2175">
        <v>1481</v>
      </c>
    </row>
    <row r="2176" spans="1:19">
      <c r="A2176" t="s">
        <v>22</v>
      </c>
      <c r="B2176" t="s">
        <v>148</v>
      </c>
      <c r="C2176" t="s">
        <v>154</v>
      </c>
      <c r="D2176" t="s">
        <v>283</v>
      </c>
      <c r="E2176" t="s">
        <v>412</v>
      </c>
      <c r="F2176">
        <f>HYPERLINK("https://www.wikidata.org/wiki/Q16683492", "Q16683492")</f>
        <v>0</v>
      </c>
      <c r="G2176" t="s">
        <v>1810</v>
      </c>
      <c r="H2176" t="s">
        <v>6475</v>
      </c>
      <c r="I2176" t="s">
        <v>6495</v>
      </c>
      <c r="J2176" t="s">
        <v>12328</v>
      </c>
      <c r="K2176" t="s">
        <v>16915</v>
      </c>
      <c r="L2176">
        <f>HYPERLINK("https://www2.assemblee-nationale.fr/sycomore/fiche/(num_dept)/3600", "3600")</f>
        <v>0</v>
      </c>
      <c r="N2176">
        <f>HYPERLINK("https://www.wikidata.org/wiki/Q3262089", "Q3262089")</f>
        <v>0</v>
      </c>
      <c r="O2176" t="s">
        <v>20047</v>
      </c>
      <c r="P2176" t="s">
        <v>20404</v>
      </c>
      <c r="Q2176" t="s">
        <v>20572</v>
      </c>
      <c r="R2176" t="s">
        <v>412</v>
      </c>
      <c r="S2176">
        <v>1481</v>
      </c>
    </row>
    <row r="2177" spans="1:19">
      <c r="A2177" t="s">
        <v>22</v>
      </c>
      <c r="B2177" t="s">
        <v>148</v>
      </c>
      <c r="C2177" t="s">
        <v>154</v>
      </c>
      <c r="D2177" t="s">
        <v>283</v>
      </c>
      <c r="E2177" t="s">
        <v>412</v>
      </c>
      <c r="F2177">
        <f>HYPERLINK("https://www.wikidata.org/wiki/Q16683492", "Q16683492")</f>
        <v>0</v>
      </c>
      <c r="G2177" t="s">
        <v>671</v>
      </c>
      <c r="H2177" t="s">
        <v>5430</v>
      </c>
      <c r="I2177" t="s">
        <v>9457</v>
      </c>
      <c r="J2177" t="s">
        <v>11421</v>
      </c>
      <c r="K2177" t="s">
        <v>15822</v>
      </c>
      <c r="L2177">
        <f>HYPERLINK("https://www2.assemblee-nationale.fr/sycomore/fiche/(num_dept)/3605", "3605")</f>
        <v>0</v>
      </c>
      <c r="N2177">
        <f>HYPERLINK("https://www.wikidata.org/wiki/Q3130359", "Q3130359")</f>
        <v>0</v>
      </c>
      <c r="O2177" t="s">
        <v>20013</v>
      </c>
      <c r="P2177" t="s">
        <v>20409</v>
      </c>
      <c r="Q2177" t="s">
        <v>20572</v>
      </c>
      <c r="R2177" t="s">
        <v>412</v>
      </c>
      <c r="S2177">
        <v>1481</v>
      </c>
    </row>
    <row r="2178" spans="1:19">
      <c r="A2178" t="s">
        <v>22</v>
      </c>
      <c r="B2178" t="s">
        <v>148</v>
      </c>
      <c r="C2178" t="s">
        <v>154</v>
      </c>
      <c r="D2178" t="s">
        <v>283</v>
      </c>
      <c r="E2178" t="s">
        <v>412</v>
      </c>
      <c r="F2178">
        <f>HYPERLINK("https://www.wikidata.org/wiki/Q16683492", "Q16683492")</f>
        <v>0</v>
      </c>
      <c r="G2178" t="s">
        <v>1485</v>
      </c>
      <c r="H2178" t="s">
        <v>6183</v>
      </c>
      <c r="I2178" t="s">
        <v>9421</v>
      </c>
      <c r="J2178" t="s">
        <v>12204</v>
      </c>
      <c r="K2178" t="s">
        <v>16609</v>
      </c>
      <c r="L2178">
        <f>HYPERLINK("https://www2.assemblee-nationale.fr/sycomore/fiche/(num_dept)/3627", "3627")</f>
        <v>0</v>
      </c>
      <c r="M2178">
        <f>HYPERLINK("https://www.senat.fr/senateur-3eme-republique/guerin_gustave1038r3.html", "guerin_gustave1038r3")</f>
        <v>0</v>
      </c>
      <c r="N2178">
        <f>HYPERLINK("https://www.wikidata.org/wiki/Q3121205", "Q3121205")</f>
        <v>0</v>
      </c>
      <c r="O2178" t="s">
        <v>19985</v>
      </c>
      <c r="P2178" t="s">
        <v>20422</v>
      </c>
      <c r="Q2178" t="s">
        <v>20572</v>
      </c>
      <c r="R2178" t="s">
        <v>412</v>
      </c>
      <c r="S2178">
        <v>1481</v>
      </c>
    </row>
    <row r="2179" spans="1:19">
      <c r="A2179" t="s">
        <v>22</v>
      </c>
      <c r="B2179" t="s">
        <v>148</v>
      </c>
      <c r="C2179" t="s">
        <v>154</v>
      </c>
      <c r="D2179" t="s">
        <v>283</v>
      </c>
      <c r="E2179" t="s">
        <v>412</v>
      </c>
      <c r="F2179">
        <f>HYPERLINK("https://www.wikidata.org/wiki/Q16683492", "Q16683492")</f>
        <v>0</v>
      </c>
      <c r="G2179" t="s">
        <v>971</v>
      </c>
      <c r="H2179" t="s">
        <v>5723</v>
      </c>
      <c r="I2179" t="s">
        <v>6495</v>
      </c>
      <c r="J2179" t="s">
        <v>11709</v>
      </c>
      <c r="K2179" t="s">
        <v>16113</v>
      </c>
      <c r="L2179">
        <f>HYPERLINK("https://www2.assemblee-nationale.fr/sycomore/fiche/(num_dept)/3650", "3650")</f>
        <v>0</v>
      </c>
      <c r="N2179">
        <f>HYPERLINK("https://www.wikidata.org/wiki/Q3262102", "Q3262102")</f>
        <v>0</v>
      </c>
      <c r="O2179" t="s">
        <v>20047</v>
      </c>
      <c r="P2179" t="s">
        <v>20423</v>
      </c>
      <c r="Q2179" t="s">
        <v>20572</v>
      </c>
      <c r="R2179" t="s">
        <v>412</v>
      </c>
      <c r="S2179">
        <v>1481</v>
      </c>
    </row>
    <row r="2180" spans="1:19">
      <c r="A2180" t="s">
        <v>22</v>
      </c>
      <c r="B2180" t="s">
        <v>148</v>
      </c>
      <c r="C2180" t="s">
        <v>154</v>
      </c>
      <c r="D2180" t="s">
        <v>283</v>
      </c>
      <c r="E2180" t="s">
        <v>412</v>
      </c>
      <c r="F2180">
        <f>HYPERLINK("https://www.wikidata.org/wiki/Q16683492", "Q16683492")</f>
        <v>0</v>
      </c>
      <c r="G2180" t="s">
        <v>1487</v>
      </c>
      <c r="H2180" t="s">
        <v>6185</v>
      </c>
      <c r="I2180" t="s">
        <v>9385</v>
      </c>
      <c r="J2180" t="s">
        <v>12206</v>
      </c>
      <c r="K2180" t="s">
        <v>16611</v>
      </c>
      <c r="L2180">
        <f>HYPERLINK("https://www2.assemblee-nationale.fr/sycomore/fiche/(num_dept)/3666", "3666")</f>
        <v>0</v>
      </c>
      <c r="N2180">
        <f>HYPERLINK("https://www.wikidata.org/wiki/Q12948415", "Q12948415")</f>
        <v>0</v>
      </c>
      <c r="O2180" t="s">
        <v>7411</v>
      </c>
      <c r="P2180" t="s">
        <v>20423</v>
      </c>
      <c r="Q2180" t="s">
        <v>20572</v>
      </c>
      <c r="R2180" t="s">
        <v>412</v>
      </c>
      <c r="S2180">
        <v>1481</v>
      </c>
    </row>
    <row r="2181" spans="1:19">
      <c r="A2181" t="s">
        <v>22</v>
      </c>
      <c r="B2181" t="s">
        <v>148</v>
      </c>
      <c r="C2181" t="s">
        <v>154</v>
      </c>
      <c r="D2181" t="s">
        <v>283</v>
      </c>
      <c r="E2181" t="s">
        <v>412</v>
      </c>
      <c r="F2181">
        <f>HYPERLINK("https://www.wikidata.org/wiki/Q16683492", "Q16683492")</f>
        <v>0</v>
      </c>
      <c r="G2181" t="s">
        <v>678</v>
      </c>
      <c r="H2181" t="s">
        <v>5437</v>
      </c>
      <c r="I2181" t="s">
        <v>9442</v>
      </c>
      <c r="J2181" t="s">
        <v>11428</v>
      </c>
      <c r="K2181" t="s">
        <v>15829</v>
      </c>
      <c r="L2181">
        <f>HYPERLINK("https://www2.assemblee-nationale.fr/sycomore/fiche/(num_dept)/3760", "3760")</f>
        <v>0</v>
      </c>
      <c r="M2181">
        <f>HYPERLINK("https://www.senat.fr/senateur-3eme-republique/haudos_ernest0650r3.html", "haudos_ernest0650r3")</f>
        <v>0</v>
      </c>
      <c r="N2181">
        <f>HYPERLINK("https://www.wikidata.org/wiki/Q3057000", "Q3057000")</f>
        <v>0</v>
      </c>
      <c r="O2181" t="s">
        <v>20025</v>
      </c>
      <c r="P2181" t="s">
        <v>20423</v>
      </c>
      <c r="Q2181" t="s">
        <v>20572</v>
      </c>
      <c r="R2181" t="s">
        <v>21411</v>
      </c>
      <c r="S2181">
        <v>613</v>
      </c>
    </row>
    <row r="2182" spans="1:19">
      <c r="A2182" t="s">
        <v>22</v>
      </c>
      <c r="B2182" t="s">
        <v>148</v>
      </c>
      <c r="C2182" t="s">
        <v>154</v>
      </c>
      <c r="D2182" t="s">
        <v>283</v>
      </c>
      <c r="E2182" t="s">
        <v>412</v>
      </c>
      <c r="F2182">
        <f>HYPERLINK("https://www.wikidata.org/wiki/Q16683492", "Q16683492")</f>
        <v>0</v>
      </c>
      <c r="G2182" t="s">
        <v>679</v>
      </c>
      <c r="H2182" t="s">
        <v>5438</v>
      </c>
      <c r="I2182" t="s">
        <v>6584</v>
      </c>
      <c r="J2182" t="s">
        <v>11429</v>
      </c>
      <c r="K2182" t="s">
        <v>15830</v>
      </c>
      <c r="L2182">
        <f>HYPERLINK("https://www2.assemblee-nationale.fr/sycomore/fiche/(num_dept)/3762", "3762")</f>
        <v>0</v>
      </c>
      <c r="N2182">
        <f>HYPERLINK("https://www.wikidata.org/wiki/Q2831231", "Q2831231")</f>
        <v>0</v>
      </c>
      <c r="O2182" t="s">
        <v>20015</v>
      </c>
      <c r="P2182" t="s">
        <v>20423</v>
      </c>
      <c r="Q2182" t="s">
        <v>20572</v>
      </c>
      <c r="R2182" t="s">
        <v>412</v>
      </c>
      <c r="S2182">
        <v>1481</v>
      </c>
    </row>
    <row r="2183" spans="1:19">
      <c r="A2183" t="s">
        <v>22</v>
      </c>
      <c r="B2183" t="s">
        <v>148</v>
      </c>
      <c r="C2183" t="s">
        <v>154</v>
      </c>
      <c r="D2183" t="s">
        <v>283</v>
      </c>
      <c r="E2183" t="s">
        <v>412</v>
      </c>
      <c r="F2183">
        <f>HYPERLINK("https://www.wikidata.org/wiki/Q16683492", "Q16683492")</f>
        <v>0</v>
      </c>
      <c r="G2183" t="s">
        <v>1811</v>
      </c>
      <c r="H2183" t="s">
        <v>6476</v>
      </c>
      <c r="I2183" t="s">
        <v>6495</v>
      </c>
      <c r="J2183" t="s">
        <v>12505</v>
      </c>
      <c r="K2183" t="s">
        <v>16916</v>
      </c>
      <c r="L2183">
        <f>HYPERLINK("https://www2.assemblee-nationale.fr/sycomore/fiche/(num_dept)/3782", "3782")</f>
        <v>0</v>
      </c>
      <c r="N2183">
        <f>HYPERLINK("https://www.wikidata.org/wiki/Q8325995", "Q8325995")</f>
        <v>0</v>
      </c>
      <c r="O2183" t="s">
        <v>19975</v>
      </c>
      <c r="P2183" t="s">
        <v>20404</v>
      </c>
      <c r="Q2183" t="s">
        <v>20572</v>
      </c>
      <c r="R2183" t="s">
        <v>412</v>
      </c>
      <c r="S2183">
        <v>1481</v>
      </c>
    </row>
    <row r="2184" spans="1:19">
      <c r="A2184" t="s">
        <v>22</v>
      </c>
      <c r="B2184" t="s">
        <v>148</v>
      </c>
      <c r="C2184" t="s">
        <v>154</v>
      </c>
      <c r="D2184" t="s">
        <v>283</v>
      </c>
      <c r="E2184" t="s">
        <v>412</v>
      </c>
      <c r="F2184">
        <f>HYPERLINK("https://www.wikidata.org/wiki/Q16683492", "Q16683492")</f>
        <v>0</v>
      </c>
      <c r="G2184" t="s">
        <v>682</v>
      </c>
      <c r="H2184" t="s">
        <v>5440</v>
      </c>
      <c r="I2184" t="s">
        <v>6200</v>
      </c>
      <c r="J2184" t="s">
        <v>11432</v>
      </c>
      <c r="K2184" t="s">
        <v>15833</v>
      </c>
      <c r="L2184">
        <f>HYPERLINK("https://www2.assemblee-nationale.fr/sycomore/fiche/(num_dept)/3795", "3795")</f>
        <v>0</v>
      </c>
      <c r="N2184">
        <f>HYPERLINK("https://www.wikidata.org/wiki/Q554679", "Q554679")</f>
        <v>0</v>
      </c>
      <c r="O2184" t="s">
        <v>20031</v>
      </c>
      <c r="P2184" t="s">
        <v>20425</v>
      </c>
      <c r="Q2184" t="s">
        <v>20572</v>
      </c>
      <c r="R2184" t="s">
        <v>412</v>
      </c>
      <c r="S2184">
        <v>1481</v>
      </c>
    </row>
    <row r="2185" spans="1:19">
      <c r="A2185" t="s">
        <v>22</v>
      </c>
      <c r="B2185" t="s">
        <v>148</v>
      </c>
      <c r="C2185" t="s">
        <v>154</v>
      </c>
      <c r="D2185" t="s">
        <v>283</v>
      </c>
      <c r="E2185" t="s">
        <v>412</v>
      </c>
      <c r="F2185">
        <f>HYPERLINK("https://www.wikidata.org/wiki/Q16683492", "Q16683492")</f>
        <v>0</v>
      </c>
      <c r="G2185" t="s">
        <v>1812</v>
      </c>
      <c r="H2185" t="s">
        <v>6477</v>
      </c>
      <c r="I2185" t="s">
        <v>9453</v>
      </c>
      <c r="J2185" t="s">
        <v>12506</v>
      </c>
      <c r="K2185" t="s">
        <v>16917</v>
      </c>
      <c r="L2185">
        <f>HYPERLINK("https://www2.assemblee-nationale.fr/sycomore/fiche/(num_dept)/3796", "3796")</f>
        <v>0</v>
      </c>
      <c r="N2185">
        <f>HYPERLINK("https://www.wikidata.org/wiki/Q2865137", "Q2865137")</f>
        <v>0</v>
      </c>
      <c r="O2185" t="s">
        <v>19969</v>
      </c>
      <c r="P2185" t="s">
        <v>20424</v>
      </c>
      <c r="Q2185" t="s">
        <v>20572</v>
      </c>
      <c r="R2185" t="s">
        <v>412</v>
      </c>
      <c r="S2185">
        <v>1481</v>
      </c>
    </row>
    <row r="2186" spans="1:19">
      <c r="A2186" t="s">
        <v>22</v>
      </c>
      <c r="B2186" t="s">
        <v>148</v>
      </c>
      <c r="C2186" t="s">
        <v>154</v>
      </c>
      <c r="D2186" t="s">
        <v>283</v>
      </c>
      <c r="E2186" t="s">
        <v>412</v>
      </c>
      <c r="F2186">
        <f>HYPERLINK("https://www.wikidata.org/wiki/Q16683492", "Q16683492")</f>
        <v>0</v>
      </c>
      <c r="G2186" t="s">
        <v>1813</v>
      </c>
      <c r="H2186" t="s">
        <v>6478</v>
      </c>
      <c r="I2186" t="s">
        <v>9955</v>
      </c>
      <c r="J2186" t="s">
        <v>12507</v>
      </c>
      <c r="K2186" t="s">
        <v>16918</v>
      </c>
      <c r="L2186">
        <f>HYPERLINK("https://www2.assemblee-nationale.fr/sycomore/fiche/(num_dept)/3800", "3800")</f>
        <v>0</v>
      </c>
      <c r="N2186">
        <f>HYPERLINK("https://www.wikidata.org/wiki/Q3166817", "Q3166817")</f>
        <v>0</v>
      </c>
      <c r="O2186" t="s">
        <v>20011</v>
      </c>
      <c r="P2186" t="s">
        <v>20422</v>
      </c>
      <c r="Q2186" t="s">
        <v>20572</v>
      </c>
      <c r="R2186" t="s">
        <v>412</v>
      </c>
      <c r="S2186">
        <v>1481</v>
      </c>
    </row>
    <row r="2187" spans="1:19">
      <c r="A2187" t="s">
        <v>22</v>
      </c>
      <c r="B2187" t="s">
        <v>148</v>
      </c>
      <c r="C2187" t="s">
        <v>154</v>
      </c>
      <c r="D2187" t="s">
        <v>283</v>
      </c>
      <c r="E2187" t="s">
        <v>412</v>
      </c>
      <c r="F2187">
        <f>HYPERLINK("https://www.wikidata.org/wiki/Q16683492", "Q16683492")</f>
        <v>0</v>
      </c>
      <c r="G2187" t="s">
        <v>1814</v>
      </c>
      <c r="H2187" t="s">
        <v>6479</v>
      </c>
      <c r="I2187" t="s">
        <v>9523</v>
      </c>
      <c r="J2187" t="s">
        <v>12508</v>
      </c>
      <c r="K2187" t="s">
        <v>16919</v>
      </c>
      <c r="L2187">
        <f>HYPERLINK("https://www2.assemblee-nationale.fr/sycomore/fiche/(num_dept)/3804", "3804")</f>
        <v>0</v>
      </c>
      <c r="N2187">
        <f>HYPERLINK("https://www.wikidata.org/wiki/Q339436", "Q339436")</f>
        <v>0</v>
      </c>
      <c r="O2187" t="s">
        <v>19969</v>
      </c>
      <c r="P2187" t="s">
        <v>20417</v>
      </c>
      <c r="Q2187" t="s">
        <v>20572</v>
      </c>
      <c r="R2187" t="s">
        <v>412</v>
      </c>
      <c r="S2187">
        <v>1481</v>
      </c>
    </row>
    <row r="2188" spans="1:19">
      <c r="A2188" t="s">
        <v>22</v>
      </c>
      <c r="B2188" t="s">
        <v>148</v>
      </c>
      <c r="C2188" t="s">
        <v>154</v>
      </c>
      <c r="D2188" t="s">
        <v>283</v>
      </c>
      <c r="E2188" t="s">
        <v>412</v>
      </c>
      <c r="F2188">
        <f>HYPERLINK("https://www.wikidata.org/wiki/Q16683492", "Q16683492")</f>
        <v>0</v>
      </c>
      <c r="G2188" t="s">
        <v>1492</v>
      </c>
      <c r="H2188" t="s">
        <v>6190</v>
      </c>
      <c r="I2188" t="s">
        <v>9728</v>
      </c>
      <c r="J2188" t="s">
        <v>12210</v>
      </c>
      <c r="K2188" t="s">
        <v>16616</v>
      </c>
      <c r="L2188">
        <f>HYPERLINK("https://www2.assemblee-nationale.fr/sycomore/fiche/(num_dept)/3819", "3819")</f>
        <v>0</v>
      </c>
      <c r="M2188">
        <f>HYPERLINK("https://www.senat.fr/senateur-3eme-republique/herriot_edouard1121r3.html", "herriot_edouard1121r3")</f>
        <v>0</v>
      </c>
      <c r="N2188">
        <f>HYPERLINK("https://www.wikidata.org/wiki/Q274344", "Q274344")</f>
        <v>0</v>
      </c>
      <c r="O2188" t="s">
        <v>19965</v>
      </c>
      <c r="P2188" t="s">
        <v>20423</v>
      </c>
      <c r="Q2188" t="s">
        <v>20572</v>
      </c>
      <c r="R2188" t="s">
        <v>412</v>
      </c>
      <c r="S2188">
        <v>1481</v>
      </c>
    </row>
    <row r="2189" spans="1:19">
      <c r="A2189" t="s">
        <v>22</v>
      </c>
      <c r="B2189" t="s">
        <v>148</v>
      </c>
      <c r="C2189" t="s">
        <v>154</v>
      </c>
      <c r="D2189" t="s">
        <v>283</v>
      </c>
      <c r="E2189" t="s">
        <v>412</v>
      </c>
      <c r="F2189">
        <f>HYPERLINK("https://www.wikidata.org/wiki/Q16683492", "Q16683492")</f>
        <v>0</v>
      </c>
      <c r="G2189" t="s">
        <v>1815</v>
      </c>
      <c r="H2189" t="s">
        <v>5442</v>
      </c>
      <c r="I2189" t="s">
        <v>9957</v>
      </c>
      <c r="J2189" t="s">
        <v>12509</v>
      </c>
      <c r="K2189" t="s">
        <v>16920</v>
      </c>
      <c r="L2189">
        <f>HYPERLINK("https://www2.assemblee-nationale.fr/sycomore/fiche/(num_dept)/3836", "3836")</f>
        <v>0</v>
      </c>
      <c r="N2189">
        <f>HYPERLINK("https://www.wikidata.org/wiki/Q16025850", "Q16025850")</f>
        <v>0</v>
      </c>
      <c r="O2189" t="s">
        <v>19956</v>
      </c>
      <c r="P2189" t="s">
        <v>20404</v>
      </c>
      <c r="Q2189" t="s">
        <v>20572</v>
      </c>
      <c r="R2189" t="s">
        <v>16920</v>
      </c>
      <c r="S2189">
        <v>557</v>
      </c>
    </row>
    <row r="2190" spans="1:19">
      <c r="A2190" t="s">
        <v>22</v>
      </c>
      <c r="B2190" t="s">
        <v>148</v>
      </c>
      <c r="C2190" t="s">
        <v>154</v>
      </c>
      <c r="D2190" t="s">
        <v>283</v>
      </c>
      <c r="E2190" t="s">
        <v>412</v>
      </c>
      <c r="F2190">
        <f>HYPERLINK("https://www.wikidata.org/wiki/Q16683492", "Q16683492")</f>
        <v>0</v>
      </c>
      <c r="G2190" t="s">
        <v>1816</v>
      </c>
      <c r="H2190" t="s">
        <v>6480</v>
      </c>
      <c r="I2190" t="s">
        <v>9958</v>
      </c>
      <c r="J2190" t="s">
        <v>12510</v>
      </c>
      <c r="K2190" t="s">
        <v>16921</v>
      </c>
      <c r="L2190">
        <f>HYPERLINK("https://www2.assemblee-nationale.fr/sycomore/fiche/(num_dept)/3888", "3888")</f>
        <v>0</v>
      </c>
      <c r="N2190">
        <f>HYPERLINK("https://www.wikidata.org/wiki/Q78231", "Q78231")</f>
        <v>0</v>
      </c>
      <c r="O2190" t="s">
        <v>20048</v>
      </c>
      <c r="P2190" t="s">
        <v>20424</v>
      </c>
      <c r="Q2190" t="s">
        <v>20572</v>
      </c>
      <c r="R2190" t="s">
        <v>412</v>
      </c>
      <c r="S2190">
        <v>1481</v>
      </c>
    </row>
    <row r="2191" spans="1:19">
      <c r="A2191" t="s">
        <v>22</v>
      </c>
      <c r="B2191" t="s">
        <v>148</v>
      </c>
      <c r="C2191" t="s">
        <v>154</v>
      </c>
      <c r="D2191" t="s">
        <v>283</v>
      </c>
      <c r="E2191" t="s">
        <v>412</v>
      </c>
      <c r="F2191">
        <f>HYPERLINK("https://www.wikidata.org/wiki/Q16683492", "Q16683492")</f>
        <v>0</v>
      </c>
      <c r="G2191" t="s">
        <v>1495</v>
      </c>
      <c r="H2191" t="s">
        <v>6193</v>
      </c>
      <c r="I2191" t="s">
        <v>9423</v>
      </c>
      <c r="J2191" t="s">
        <v>12213</v>
      </c>
      <c r="K2191" t="s">
        <v>16619</v>
      </c>
      <c r="L2191">
        <f>HYPERLINK("https://www2.assemblee-nationale.fr/sycomore/fiche/(num_dept)/3901", "3901")</f>
        <v>0</v>
      </c>
      <c r="N2191">
        <f>HYPERLINK("https://www.wikidata.org/wiki/Q16025856", "Q16025856")</f>
        <v>0</v>
      </c>
      <c r="O2191" t="s">
        <v>20005</v>
      </c>
      <c r="P2191" t="s">
        <v>20423</v>
      </c>
      <c r="Q2191" t="s">
        <v>20572</v>
      </c>
      <c r="R2191" t="s">
        <v>412</v>
      </c>
      <c r="S2191">
        <v>1481</v>
      </c>
    </row>
    <row r="2192" spans="1:19">
      <c r="A2192" t="s">
        <v>22</v>
      </c>
      <c r="B2192" t="s">
        <v>148</v>
      </c>
      <c r="C2192" t="s">
        <v>154</v>
      </c>
      <c r="D2192" t="s">
        <v>283</v>
      </c>
      <c r="E2192" t="s">
        <v>412</v>
      </c>
      <c r="F2192">
        <f>HYPERLINK("https://www.wikidata.org/wiki/Q16683492", "Q16683492")</f>
        <v>0</v>
      </c>
      <c r="G2192" t="s">
        <v>1817</v>
      </c>
      <c r="H2192" t="s">
        <v>6481</v>
      </c>
      <c r="I2192" t="s">
        <v>6860</v>
      </c>
      <c r="J2192" t="s">
        <v>12511</v>
      </c>
      <c r="K2192" t="s">
        <v>16001</v>
      </c>
      <c r="L2192">
        <f>HYPERLINK("https://www2.assemblee-nationale.fr/sycomore/fiche/(num_dept)/3904", "3904")</f>
        <v>0</v>
      </c>
      <c r="N2192">
        <f>HYPERLINK("https://www.wikidata.org/wiki/Q3385472", "Q3385472")</f>
        <v>0</v>
      </c>
      <c r="O2192" t="s">
        <v>19982</v>
      </c>
      <c r="P2192" t="s">
        <v>20423</v>
      </c>
      <c r="Q2192" t="s">
        <v>20572</v>
      </c>
      <c r="R2192" t="s">
        <v>412</v>
      </c>
      <c r="S2192">
        <v>1481</v>
      </c>
    </row>
    <row r="2193" spans="1:19">
      <c r="A2193" t="s">
        <v>22</v>
      </c>
      <c r="B2193" t="s">
        <v>148</v>
      </c>
      <c r="C2193" t="s">
        <v>154</v>
      </c>
      <c r="D2193" t="s">
        <v>283</v>
      </c>
      <c r="E2193" t="s">
        <v>412</v>
      </c>
      <c r="F2193">
        <f>HYPERLINK("https://www.wikidata.org/wiki/Q16683492", "Q16683492")</f>
        <v>0</v>
      </c>
      <c r="G2193" t="s">
        <v>1261</v>
      </c>
      <c r="H2193" t="s">
        <v>5985</v>
      </c>
      <c r="I2193" t="s">
        <v>9728</v>
      </c>
      <c r="J2193" t="s">
        <v>11991</v>
      </c>
      <c r="K2193" t="s">
        <v>16394</v>
      </c>
      <c r="L2193">
        <f>HYPERLINK("https://www2.assemblee-nationale.fr/sycomore/fiche/(num_dept)/3926", "3926")</f>
        <v>0</v>
      </c>
      <c r="N2193">
        <f>HYPERLINK("https://www.wikidata.org/wiki/Q3579897", "Q3579897")</f>
        <v>0</v>
      </c>
      <c r="O2193" t="s">
        <v>19969</v>
      </c>
      <c r="P2193" t="s">
        <v>20412</v>
      </c>
      <c r="Q2193" t="s">
        <v>20572</v>
      </c>
      <c r="R2193" t="s">
        <v>16394</v>
      </c>
      <c r="S2193">
        <v>73</v>
      </c>
    </row>
    <row r="2194" spans="1:19">
      <c r="A2194" t="s">
        <v>22</v>
      </c>
      <c r="B2194" t="s">
        <v>148</v>
      </c>
      <c r="C2194" t="s">
        <v>154</v>
      </c>
      <c r="D2194" t="s">
        <v>283</v>
      </c>
      <c r="E2194" t="s">
        <v>412</v>
      </c>
      <c r="F2194">
        <f>HYPERLINK("https://www.wikidata.org/wiki/Q16683492", "Q16683492")</f>
        <v>0</v>
      </c>
      <c r="G2194" t="s">
        <v>1496</v>
      </c>
      <c r="H2194" t="s">
        <v>6194</v>
      </c>
      <c r="I2194" t="s">
        <v>5812</v>
      </c>
      <c r="J2194" t="s">
        <v>12214</v>
      </c>
      <c r="K2194" t="s">
        <v>16221</v>
      </c>
      <c r="L2194">
        <f>HYPERLINK("https://www2.assemblee-nationale.fr/sycomore/fiche/(num_dept)/3933", "3933")</f>
        <v>0</v>
      </c>
      <c r="N2194">
        <f>HYPERLINK("https://www.wikidata.org/wiki/Q3559675", "Q3559675")</f>
        <v>0</v>
      </c>
      <c r="O2194" t="s">
        <v>20011</v>
      </c>
      <c r="P2194" t="s">
        <v>20422</v>
      </c>
      <c r="Q2194" t="s">
        <v>20572</v>
      </c>
      <c r="R2194" t="s">
        <v>412</v>
      </c>
      <c r="S2194">
        <v>1481</v>
      </c>
    </row>
    <row r="2195" spans="1:19">
      <c r="A2195" t="s">
        <v>22</v>
      </c>
      <c r="B2195" t="s">
        <v>148</v>
      </c>
      <c r="C2195" t="s">
        <v>154</v>
      </c>
      <c r="D2195" t="s">
        <v>283</v>
      </c>
      <c r="E2195" t="s">
        <v>412</v>
      </c>
      <c r="F2195">
        <f>HYPERLINK("https://www.wikidata.org/wiki/Q16683492", "Q16683492")</f>
        <v>0</v>
      </c>
      <c r="G2195" t="s">
        <v>689</v>
      </c>
      <c r="H2195" t="s">
        <v>5447</v>
      </c>
      <c r="I2195" t="s">
        <v>9388</v>
      </c>
      <c r="J2195" t="s">
        <v>11439</v>
      </c>
      <c r="K2195" t="s">
        <v>15840</v>
      </c>
      <c r="L2195">
        <f>HYPERLINK("https://www2.assemblee-nationale.fr/sycomore/fiche/(num_dept)/3970", "3970")</f>
        <v>0</v>
      </c>
      <c r="M2195">
        <f>HYPERLINK("https://www.senat.fr/senateur-3eme-republique/jacquier_paul1310r3.html", "jacquier_paul1310r3")</f>
        <v>0</v>
      </c>
      <c r="N2195">
        <f>HYPERLINK("https://www.wikidata.org/wiki/Q3371508", "Q3371508")</f>
        <v>0</v>
      </c>
      <c r="O2195" t="s">
        <v>20018</v>
      </c>
      <c r="P2195" t="s">
        <v>20423</v>
      </c>
      <c r="Q2195" t="s">
        <v>20572</v>
      </c>
      <c r="R2195" t="s">
        <v>412</v>
      </c>
      <c r="S2195">
        <v>1481</v>
      </c>
    </row>
    <row r="2196" spans="1:19">
      <c r="A2196" t="s">
        <v>22</v>
      </c>
      <c r="B2196" t="s">
        <v>148</v>
      </c>
      <c r="C2196" t="s">
        <v>154</v>
      </c>
      <c r="D2196" t="s">
        <v>283</v>
      </c>
      <c r="E2196" t="s">
        <v>412</v>
      </c>
      <c r="F2196">
        <f>HYPERLINK("https://www.wikidata.org/wiki/Q16683492", "Q16683492")</f>
        <v>0</v>
      </c>
      <c r="G2196" t="s">
        <v>1818</v>
      </c>
      <c r="H2196" t="s">
        <v>6482</v>
      </c>
      <c r="I2196" t="s">
        <v>6200</v>
      </c>
      <c r="J2196" t="s">
        <v>12512</v>
      </c>
      <c r="K2196" t="s">
        <v>16922</v>
      </c>
      <c r="L2196">
        <f>HYPERLINK("https://www2.assemblee-nationale.fr/sycomore/fiche/(num_dept)/3973", "3973")</f>
        <v>0</v>
      </c>
      <c r="M2196">
        <f>HYPERLINK("https://www.senat.fr/senateur-3eme-republique/jacquy_jean0652r3.html", "jacquy_jean0652r3")</f>
        <v>0</v>
      </c>
      <c r="N2196">
        <f>HYPERLINK("https://www.wikidata.org/wiki/Q3172779", "Q3172779")</f>
        <v>0</v>
      </c>
      <c r="O2196" t="s">
        <v>20025</v>
      </c>
      <c r="P2196" t="s">
        <v>20412</v>
      </c>
      <c r="Q2196" t="s">
        <v>20572</v>
      </c>
      <c r="R2196" t="s">
        <v>412</v>
      </c>
      <c r="S2196">
        <v>1481</v>
      </c>
    </row>
    <row r="2197" spans="1:19">
      <c r="A2197" t="s">
        <v>22</v>
      </c>
      <c r="B2197" t="s">
        <v>148</v>
      </c>
      <c r="C2197" t="s">
        <v>154</v>
      </c>
      <c r="D2197" t="s">
        <v>283</v>
      </c>
      <c r="E2197" t="s">
        <v>412</v>
      </c>
      <c r="F2197">
        <f>HYPERLINK("https://www.wikidata.org/wiki/Q16683492", "Q16683492")</f>
        <v>0</v>
      </c>
      <c r="G2197" t="s">
        <v>1499</v>
      </c>
      <c r="H2197" t="s">
        <v>6197</v>
      </c>
      <c r="I2197" t="s">
        <v>6200</v>
      </c>
      <c r="J2197" t="s">
        <v>12217</v>
      </c>
      <c r="K2197" t="s">
        <v>16622</v>
      </c>
      <c r="L2197">
        <f>HYPERLINK("https://www2.assemblee-nationale.fr/sycomore/fiche/(num_dept)/3975", "3975")</f>
        <v>0</v>
      </c>
      <c r="N2197">
        <f>HYPERLINK("https://www.wikidata.org/wiki/Q3172781", "Q3172781")</f>
        <v>0</v>
      </c>
      <c r="O2197" t="s">
        <v>20011</v>
      </c>
      <c r="P2197" t="s">
        <v>20426</v>
      </c>
      <c r="Q2197" t="s">
        <v>20572</v>
      </c>
      <c r="R2197" t="s">
        <v>412</v>
      </c>
      <c r="S2197">
        <v>1481</v>
      </c>
    </row>
    <row r="2198" spans="1:19">
      <c r="A2198" t="s">
        <v>22</v>
      </c>
      <c r="B2198" t="s">
        <v>148</v>
      </c>
      <c r="C2198" t="s">
        <v>154</v>
      </c>
      <c r="D2198" t="s">
        <v>283</v>
      </c>
      <c r="E2198" t="s">
        <v>412</v>
      </c>
      <c r="F2198">
        <f>HYPERLINK("https://www.wikidata.org/wiki/Q16683492", "Q16683492")</f>
        <v>0</v>
      </c>
      <c r="G2198" t="s">
        <v>1819</v>
      </c>
      <c r="H2198" t="s">
        <v>5448</v>
      </c>
      <c r="I2198" t="s">
        <v>6495</v>
      </c>
      <c r="J2198" t="s">
        <v>12513</v>
      </c>
      <c r="K2198" t="s">
        <v>16923</v>
      </c>
      <c r="L2198">
        <f>HYPERLINK("https://www2.assemblee-nationale.fr/sycomore/fiche/(num_dept)/4012", "4012")</f>
        <v>0</v>
      </c>
      <c r="N2198">
        <f>HYPERLINK("https://www.wikidata.org/wiki/Q3262311", "Q3262311")</f>
        <v>0</v>
      </c>
      <c r="O2198" t="s">
        <v>19969</v>
      </c>
      <c r="P2198" t="s">
        <v>20425</v>
      </c>
      <c r="Q2198" t="s">
        <v>20572</v>
      </c>
      <c r="R2198" t="s">
        <v>412</v>
      </c>
      <c r="S2198">
        <v>1481</v>
      </c>
    </row>
    <row r="2199" spans="1:19">
      <c r="A2199" t="s">
        <v>22</v>
      </c>
      <c r="B2199" t="s">
        <v>148</v>
      </c>
      <c r="C2199" t="s">
        <v>154</v>
      </c>
      <c r="D2199" t="s">
        <v>283</v>
      </c>
      <c r="E2199" t="s">
        <v>412</v>
      </c>
      <c r="F2199">
        <f>HYPERLINK("https://www.wikidata.org/wiki/Q16683492", "Q16683492")</f>
        <v>0</v>
      </c>
      <c r="G2199" t="s">
        <v>1679</v>
      </c>
      <c r="H2199" t="s">
        <v>6200</v>
      </c>
      <c r="I2199" t="s">
        <v>9881</v>
      </c>
      <c r="J2199" t="s">
        <v>12384</v>
      </c>
      <c r="K2199" t="s">
        <v>16793</v>
      </c>
      <c r="L2199">
        <f>HYPERLINK("https://www2.assemblee-nationale.fr/sycomore/fiche/(num_dept)/4017", "4017")</f>
        <v>0</v>
      </c>
      <c r="N2199">
        <f>HYPERLINK("https://www.wikidata.org/wiki/Q3424912", "Q3424912")</f>
        <v>0</v>
      </c>
      <c r="O2199" t="s">
        <v>20043</v>
      </c>
      <c r="P2199" t="s">
        <v>20424</v>
      </c>
      <c r="Q2199" t="s">
        <v>20572</v>
      </c>
      <c r="R2199" t="s">
        <v>412</v>
      </c>
      <c r="S2199">
        <v>1481</v>
      </c>
    </row>
    <row r="2200" spans="1:19">
      <c r="A2200" t="s">
        <v>22</v>
      </c>
      <c r="B2200" t="s">
        <v>148</v>
      </c>
      <c r="C2200" t="s">
        <v>154</v>
      </c>
      <c r="D2200" t="s">
        <v>283</v>
      </c>
      <c r="E2200" t="s">
        <v>412</v>
      </c>
      <c r="F2200">
        <f>HYPERLINK("https://www.wikidata.org/wiki/Q16683492", "Q16683492")</f>
        <v>0</v>
      </c>
      <c r="G2200" t="s">
        <v>1503</v>
      </c>
      <c r="H2200" t="s">
        <v>6200</v>
      </c>
      <c r="I2200" t="s">
        <v>9483</v>
      </c>
      <c r="J2200" t="s">
        <v>12221</v>
      </c>
      <c r="K2200" t="s">
        <v>16626</v>
      </c>
      <c r="L2200">
        <f>HYPERLINK("https://www2.assemblee-nationale.fr/sycomore/fiche/(num_dept)/4018", "4018")</f>
        <v>0</v>
      </c>
      <c r="N2200">
        <f>HYPERLINK("https://www.wikidata.org/wiki/Q2522404", "Q2522404")</f>
        <v>0</v>
      </c>
      <c r="O2200" t="s">
        <v>19990</v>
      </c>
      <c r="P2200" t="s">
        <v>20423</v>
      </c>
      <c r="Q2200" t="s">
        <v>20572</v>
      </c>
      <c r="R2200" t="s">
        <v>412</v>
      </c>
      <c r="S2200">
        <v>1481</v>
      </c>
    </row>
    <row r="2201" spans="1:19">
      <c r="A2201" t="s">
        <v>22</v>
      </c>
      <c r="B2201" t="s">
        <v>148</v>
      </c>
      <c r="C2201" t="s">
        <v>154</v>
      </c>
      <c r="D2201" t="s">
        <v>283</v>
      </c>
      <c r="E2201" t="s">
        <v>412</v>
      </c>
      <c r="F2201">
        <f>HYPERLINK("https://www.wikidata.org/wiki/Q16683492", "Q16683492")</f>
        <v>0</v>
      </c>
      <c r="G2201" t="s">
        <v>1820</v>
      </c>
      <c r="H2201" t="s">
        <v>6483</v>
      </c>
      <c r="I2201" t="s">
        <v>7790</v>
      </c>
      <c r="J2201" t="s">
        <v>12514</v>
      </c>
      <c r="K2201" t="s">
        <v>16924</v>
      </c>
      <c r="L2201">
        <f>HYPERLINK("https://www2.assemblee-nationale.fr/sycomore/fiche/(num_dept)/4020", "4020")</f>
        <v>0</v>
      </c>
      <c r="N2201">
        <f>HYPERLINK("https://www.wikidata.org/wiki/Q4792670", "Q4792670")</f>
        <v>0</v>
      </c>
      <c r="O2201" t="s">
        <v>20028</v>
      </c>
      <c r="P2201" t="s">
        <v>20423</v>
      </c>
      <c r="Q2201" t="s">
        <v>20572</v>
      </c>
      <c r="R2201" t="s">
        <v>412</v>
      </c>
      <c r="S2201">
        <v>1481</v>
      </c>
    </row>
    <row r="2202" spans="1:19">
      <c r="A2202" t="s">
        <v>22</v>
      </c>
      <c r="B2202" t="s">
        <v>148</v>
      </c>
      <c r="C2202" t="s">
        <v>154</v>
      </c>
      <c r="D2202" t="s">
        <v>283</v>
      </c>
      <c r="E2202" t="s">
        <v>412</v>
      </c>
      <c r="F2202">
        <f>HYPERLINK("https://www.wikidata.org/wiki/Q16683492", "Q16683492")</f>
        <v>0</v>
      </c>
      <c r="G2202" t="s">
        <v>1505</v>
      </c>
      <c r="H2202" t="s">
        <v>6202</v>
      </c>
      <c r="I2202" t="s">
        <v>6585</v>
      </c>
      <c r="J2202" t="s">
        <v>12223</v>
      </c>
      <c r="K2202" t="s">
        <v>16628</v>
      </c>
      <c r="L2202">
        <f>HYPERLINK("https://www2.assemblee-nationale.fr/sycomore/fiche/(num_dept)/4038", "4038")</f>
        <v>0</v>
      </c>
      <c r="M2202">
        <f>HYPERLINK("https://www.senat.fr/senateur-3eme-republique/join_lambert_andre0759r3.html", "join_lambert_andre0759r3")</f>
        <v>0</v>
      </c>
      <c r="N2202">
        <f>HYPERLINK("https://www.wikidata.org/wiki/Q2847994", "Q2847994")</f>
        <v>0</v>
      </c>
      <c r="O2202" t="s">
        <v>19992</v>
      </c>
      <c r="P2202" t="s">
        <v>20422</v>
      </c>
      <c r="Q2202" t="s">
        <v>20572</v>
      </c>
      <c r="R2202" t="s">
        <v>412</v>
      </c>
      <c r="S2202">
        <v>1481</v>
      </c>
    </row>
    <row r="2203" spans="1:19">
      <c r="A2203" t="s">
        <v>22</v>
      </c>
      <c r="B2203" t="s">
        <v>148</v>
      </c>
      <c r="C2203" t="s">
        <v>154</v>
      </c>
      <c r="D2203" t="s">
        <v>283</v>
      </c>
      <c r="E2203" t="s">
        <v>412</v>
      </c>
      <c r="F2203">
        <f>HYPERLINK("https://www.wikidata.org/wiki/Q16683492", "Q16683492")</f>
        <v>0</v>
      </c>
      <c r="G2203" t="s">
        <v>1821</v>
      </c>
      <c r="H2203" t="s">
        <v>6484</v>
      </c>
      <c r="I2203" t="s">
        <v>6585</v>
      </c>
      <c r="J2203" t="s">
        <v>12515</v>
      </c>
      <c r="K2203" t="s">
        <v>16925</v>
      </c>
      <c r="L2203">
        <f>HYPERLINK("https://www2.assemblee-nationale.fr/sycomore/fiche/(num_dept)/4061", "4061")</f>
        <v>0</v>
      </c>
      <c r="N2203">
        <f>HYPERLINK("https://www.wikidata.org/wiki/Q2848010", "Q2848010")</f>
        <v>0</v>
      </c>
      <c r="O2203" t="s">
        <v>20021</v>
      </c>
      <c r="P2203" t="s">
        <v>20423</v>
      </c>
      <c r="Q2203" t="s">
        <v>20572</v>
      </c>
      <c r="R2203" t="s">
        <v>412</v>
      </c>
      <c r="S2203">
        <v>1481</v>
      </c>
    </row>
    <row r="2204" spans="1:19">
      <c r="A2204" t="s">
        <v>22</v>
      </c>
      <c r="B2204" t="s">
        <v>148</v>
      </c>
      <c r="C2204" t="s">
        <v>154</v>
      </c>
      <c r="D2204" t="s">
        <v>283</v>
      </c>
      <c r="E2204" t="s">
        <v>412</v>
      </c>
      <c r="F2204">
        <f>HYPERLINK("https://www.wikidata.org/wiki/Q16683492", "Q16683492")</f>
        <v>0</v>
      </c>
      <c r="G2204" t="s">
        <v>1822</v>
      </c>
      <c r="H2204" t="s">
        <v>6485</v>
      </c>
      <c r="I2204" t="s">
        <v>9401</v>
      </c>
      <c r="J2204" t="s">
        <v>12516</v>
      </c>
      <c r="K2204" t="s">
        <v>16926</v>
      </c>
      <c r="L2204">
        <f>HYPERLINK("https://www2.assemblee-nationale.fr/sycomore/fiche/(num_dept)/4066", "4066")</f>
        <v>0</v>
      </c>
      <c r="N2204">
        <f>HYPERLINK("https://www.wikidata.org/wiki/Q16025878", "Q16025878")</f>
        <v>0</v>
      </c>
      <c r="O2204" t="s">
        <v>19997</v>
      </c>
      <c r="P2204" t="s">
        <v>20427</v>
      </c>
      <c r="Q2204" t="s">
        <v>20572</v>
      </c>
      <c r="R2204" t="s">
        <v>412</v>
      </c>
      <c r="S2204">
        <v>1481</v>
      </c>
    </row>
    <row r="2205" spans="1:19">
      <c r="A2205" t="s">
        <v>22</v>
      </c>
      <c r="B2205" t="s">
        <v>148</v>
      </c>
      <c r="C2205" t="s">
        <v>154</v>
      </c>
      <c r="D2205" t="s">
        <v>283</v>
      </c>
      <c r="E2205" t="s">
        <v>412</v>
      </c>
      <c r="F2205">
        <f>HYPERLINK("https://www.wikidata.org/wiki/Q16683492", "Q16683492")</f>
        <v>0</v>
      </c>
      <c r="G2205" t="s">
        <v>1823</v>
      </c>
      <c r="H2205" t="s">
        <v>6204</v>
      </c>
      <c r="I2205" t="s">
        <v>9959</v>
      </c>
      <c r="J2205" t="s">
        <v>12517</v>
      </c>
      <c r="K2205" t="s">
        <v>16927</v>
      </c>
      <c r="L2205">
        <f>HYPERLINK("https://www2.assemblee-nationale.fr/sycomore/fiche/(num_dept)/4068", "4068")</f>
        <v>0</v>
      </c>
      <c r="N2205">
        <f>HYPERLINK("https://www.wikidata.org/wiki/Q16025879", "Q16025879")</f>
        <v>0</v>
      </c>
      <c r="O2205" t="s">
        <v>20012</v>
      </c>
      <c r="P2205" t="s">
        <v>20401</v>
      </c>
      <c r="Q2205" t="s">
        <v>20572</v>
      </c>
      <c r="R2205" t="s">
        <v>412</v>
      </c>
      <c r="S2205">
        <v>1481</v>
      </c>
    </row>
    <row r="2206" spans="1:19">
      <c r="A2206" t="s">
        <v>22</v>
      </c>
      <c r="B2206" t="s">
        <v>148</v>
      </c>
      <c r="C2206" t="s">
        <v>154</v>
      </c>
      <c r="D2206" t="s">
        <v>283</v>
      </c>
      <c r="E2206" t="s">
        <v>412</v>
      </c>
      <c r="F2206">
        <f>HYPERLINK("https://www.wikidata.org/wiki/Q16683492", "Q16683492")</f>
        <v>0</v>
      </c>
      <c r="G2206" t="s">
        <v>1507</v>
      </c>
      <c r="H2206" t="s">
        <v>6204</v>
      </c>
      <c r="I2206" t="s">
        <v>9388</v>
      </c>
      <c r="J2206" t="s">
        <v>12225</v>
      </c>
      <c r="K2206" t="s">
        <v>16630</v>
      </c>
      <c r="L2206">
        <f>HYPERLINK("https://www2.assemblee-nationale.fr/sycomore/fiche/(num_dept)/4069", "4069")</f>
        <v>0</v>
      </c>
      <c r="M2206">
        <f>HYPERLINK("https://www.senat.fr/senateur-3eme-republique/jourdain_paul1113r3.html", "jourdain_paul1113r3")</f>
        <v>0</v>
      </c>
      <c r="N2206">
        <f>HYPERLINK("https://www.wikidata.org/wiki/Q3371547", "Q3371547")</f>
        <v>0</v>
      </c>
      <c r="O2206" t="s">
        <v>20049</v>
      </c>
      <c r="P2206" t="s">
        <v>20412</v>
      </c>
      <c r="Q2206" t="s">
        <v>20572</v>
      </c>
      <c r="R2206" t="s">
        <v>412</v>
      </c>
      <c r="S2206">
        <v>1481</v>
      </c>
    </row>
    <row r="2207" spans="1:19">
      <c r="A2207" t="s">
        <v>22</v>
      </c>
      <c r="B2207" t="s">
        <v>148</v>
      </c>
      <c r="C2207" t="s">
        <v>154</v>
      </c>
      <c r="D2207" t="s">
        <v>283</v>
      </c>
      <c r="E2207" t="s">
        <v>412</v>
      </c>
      <c r="F2207">
        <f>HYPERLINK("https://www.wikidata.org/wiki/Q16683492", "Q16683492")</f>
        <v>0</v>
      </c>
      <c r="G2207" t="s">
        <v>1084</v>
      </c>
      <c r="H2207" t="s">
        <v>5827</v>
      </c>
      <c r="I2207" t="s">
        <v>7419</v>
      </c>
      <c r="J2207" t="s">
        <v>11820</v>
      </c>
      <c r="K2207" t="s">
        <v>16221</v>
      </c>
      <c r="L2207">
        <f>HYPERLINK("https://www2.assemblee-nationale.fr/sycomore/fiche/(num_dept)/4090", "4090")</f>
        <v>0</v>
      </c>
      <c r="M2207">
        <f>HYPERLINK("https://www.senat.fr/senateur-3eme-republique/de_juigne_jacques1286r3.html", "de_juigne_jacques1286r3")</f>
        <v>0</v>
      </c>
      <c r="N2207">
        <f>HYPERLINK("https://www.wikidata.org/wiki/Q3158160", "Q3158160")</f>
        <v>0</v>
      </c>
      <c r="O2207" t="s">
        <v>20023</v>
      </c>
      <c r="P2207" t="s">
        <v>20409</v>
      </c>
      <c r="Q2207" t="s">
        <v>20572</v>
      </c>
      <c r="R2207" t="s">
        <v>412</v>
      </c>
      <c r="S2207">
        <v>1481</v>
      </c>
    </row>
    <row r="2208" spans="1:19">
      <c r="A2208" t="s">
        <v>22</v>
      </c>
      <c r="B2208" t="s">
        <v>148</v>
      </c>
      <c r="C2208" t="s">
        <v>154</v>
      </c>
      <c r="D2208" t="s">
        <v>283</v>
      </c>
      <c r="E2208" t="s">
        <v>412</v>
      </c>
      <c r="F2208">
        <f>HYPERLINK("https://www.wikidata.org/wiki/Q16683492", "Q16683492")</f>
        <v>0</v>
      </c>
      <c r="G2208" t="s">
        <v>1824</v>
      </c>
      <c r="H2208" t="s">
        <v>6486</v>
      </c>
      <c r="I2208" t="s">
        <v>9960</v>
      </c>
      <c r="J2208" t="s">
        <v>12518</v>
      </c>
      <c r="K2208" t="s">
        <v>16928</v>
      </c>
      <c r="L2208">
        <f>HYPERLINK("https://www2.assemblee-nationale.fr/sycomore/fiche/(num_dept)/4138", "4138")</f>
        <v>0</v>
      </c>
      <c r="N2208">
        <f>HYPERLINK("https://www.wikidata.org/wiki/Q16025891", "Q16025891")</f>
        <v>0</v>
      </c>
      <c r="O2208" t="s">
        <v>19972</v>
      </c>
      <c r="P2208" t="s">
        <v>20409</v>
      </c>
      <c r="Q2208" t="s">
        <v>20572</v>
      </c>
      <c r="R2208" t="s">
        <v>412</v>
      </c>
      <c r="S2208">
        <v>1481</v>
      </c>
    </row>
    <row r="2209" spans="1:19">
      <c r="A2209" t="s">
        <v>22</v>
      </c>
      <c r="B2209" t="s">
        <v>148</v>
      </c>
      <c r="C2209" t="s">
        <v>154</v>
      </c>
      <c r="D2209" t="s">
        <v>283</v>
      </c>
      <c r="E2209" t="s">
        <v>412</v>
      </c>
      <c r="F2209">
        <f>HYPERLINK("https://www.wikidata.org/wiki/Q16683492", "Q16683492")</f>
        <v>0</v>
      </c>
      <c r="G2209" t="s">
        <v>696</v>
      </c>
      <c r="H2209" t="s">
        <v>5454</v>
      </c>
      <c r="I2209" t="s">
        <v>9484</v>
      </c>
      <c r="J2209" t="s">
        <v>11446</v>
      </c>
      <c r="K2209" t="s">
        <v>15847</v>
      </c>
      <c r="L2209">
        <f>HYPERLINK("https://www2.assemblee-nationale.fr/sycomore/fiche/(num_dept)/4148", "4148")</f>
        <v>0</v>
      </c>
      <c r="M2209">
        <f>HYPERLINK("https://www.senat.fr/senateur-3eme-republique/klotz_louis1683r3.html", "klotz_louis1683r3")</f>
        <v>0</v>
      </c>
      <c r="N2209">
        <f>HYPERLINK("https://www.wikidata.org/wiki/Q179586", "Q179586")</f>
        <v>0</v>
      </c>
      <c r="O2209" t="s">
        <v>20012</v>
      </c>
      <c r="P2209" t="s">
        <v>20423</v>
      </c>
      <c r="Q2209" t="s">
        <v>20572</v>
      </c>
      <c r="R2209" t="s">
        <v>21412</v>
      </c>
      <c r="S2209">
        <v>235</v>
      </c>
    </row>
    <row r="2210" spans="1:19">
      <c r="A2210" t="s">
        <v>22</v>
      </c>
      <c r="B2210" t="s">
        <v>148</v>
      </c>
      <c r="C2210" t="s">
        <v>154</v>
      </c>
      <c r="D2210" t="s">
        <v>283</v>
      </c>
      <c r="E2210" t="s">
        <v>412</v>
      </c>
      <c r="F2210">
        <f>HYPERLINK("https://www.wikidata.org/wiki/Q16683492", "Q16683492")</f>
        <v>0</v>
      </c>
      <c r="G2210" t="s">
        <v>700</v>
      </c>
      <c r="H2210" t="s">
        <v>5458</v>
      </c>
      <c r="I2210" t="s">
        <v>9486</v>
      </c>
      <c r="J2210" t="s">
        <v>11450</v>
      </c>
      <c r="K2210" t="s">
        <v>15851</v>
      </c>
      <c r="L2210">
        <f>HYPERLINK("https://www2.assemblee-nationale.fr/sycomore/fiche/(num_dept)/4177", "4177")</f>
        <v>0</v>
      </c>
      <c r="N2210">
        <f>HYPERLINK("https://www.wikidata.org/wiki/Q3132286", "Q3132286")</f>
        <v>0</v>
      </c>
      <c r="O2210" t="s">
        <v>20023</v>
      </c>
      <c r="P2210" t="s">
        <v>20409</v>
      </c>
      <c r="Q2210" t="s">
        <v>20572</v>
      </c>
      <c r="R2210" t="s">
        <v>412</v>
      </c>
      <c r="S2210">
        <v>1481</v>
      </c>
    </row>
    <row r="2211" spans="1:19">
      <c r="A2211" t="s">
        <v>22</v>
      </c>
      <c r="B2211" t="s">
        <v>148</v>
      </c>
      <c r="C2211" t="s">
        <v>154</v>
      </c>
      <c r="D2211" t="s">
        <v>283</v>
      </c>
      <c r="E2211" t="s">
        <v>412</v>
      </c>
      <c r="F2211">
        <f>HYPERLINK("https://www.wikidata.org/wiki/Q16683492", "Q16683492")</f>
        <v>0</v>
      </c>
      <c r="G2211" t="s">
        <v>1509</v>
      </c>
      <c r="H2211" t="s">
        <v>6206</v>
      </c>
      <c r="I2211" t="s">
        <v>9376</v>
      </c>
      <c r="J2211" t="s">
        <v>12227</v>
      </c>
      <c r="K2211" t="s">
        <v>16632</v>
      </c>
      <c r="L2211">
        <f>HYPERLINK("https://www2.assemblee-nationale.fr/sycomore/fiche/(num_dept)/4185", "4185")</f>
        <v>0</v>
      </c>
      <c r="M2211">
        <f>HYPERLINK("https://www.senat.fr/senateur-3eme-republique/baston_de_la_riboisiere_ferdinand0556r3.html", "baston_de_la_riboisiere_ferdinand0556r3")</f>
        <v>0</v>
      </c>
      <c r="N2211">
        <f>HYPERLINK("https://www.wikidata.org/wiki/Q3068526", "Q3068526")</f>
        <v>0</v>
      </c>
      <c r="O2211" t="s">
        <v>19998</v>
      </c>
      <c r="P2211" t="s">
        <v>20422</v>
      </c>
      <c r="Q2211" t="s">
        <v>20572</v>
      </c>
      <c r="R2211" t="s">
        <v>412</v>
      </c>
      <c r="S2211">
        <v>1481</v>
      </c>
    </row>
    <row r="2212" spans="1:19">
      <c r="A2212" t="s">
        <v>22</v>
      </c>
      <c r="B2212" t="s">
        <v>148</v>
      </c>
      <c r="C2212" t="s">
        <v>154</v>
      </c>
      <c r="D2212" t="s">
        <v>283</v>
      </c>
      <c r="E2212" t="s">
        <v>412</v>
      </c>
      <c r="F2212">
        <f>HYPERLINK("https://www.wikidata.org/wiki/Q16683492", "Q16683492")</f>
        <v>0</v>
      </c>
      <c r="G2212" t="s">
        <v>1825</v>
      </c>
      <c r="H2212" t="s">
        <v>6487</v>
      </c>
      <c r="I2212" t="s">
        <v>9455</v>
      </c>
      <c r="J2212" t="s">
        <v>12519</v>
      </c>
      <c r="K2212" t="s">
        <v>16929</v>
      </c>
      <c r="L2212">
        <f>HYPERLINK("https://www2.assemblee-nationale.fr/sycomore/fiche/(num_dept)/4197", "4197")</f>
        <v>0</v>
      </c>
      <c r="N2212">
        <f>HYPERLINK("https://www.wikidata.org/wiki/Q16025901", "Q16025901")</f>
        <v>0</v>
      </c>
      <c r="O2212" t="s">
        <v>20016</v>
      </c>
      <c r="P2212" t="s">
        <v>20404</v>
      </c>
      <c r="Q2212" t="s">
        <v>20572</v>
      </c>
      <c r="R2212" t="s">
        <v>412</v>
      </c>
      <c r="S2212">
        <v>1481</v>
      </c>
    </row>
    <row r="2213" spans="1:19">
      <c r="A2213" t="s">
        <v>22</v>
      </c>
      <c r="B2213" t="s">
        <v>148</v>
      </c>
      <c r="C2213" t="s">
        <v>154</v>
      </c>
      <c r="D2213" t="s">
        <v>283</v>
      </c>
      <c r="E2213" t="s">
        <v>412</v>
      </c>
      <c r="F2213">
        <f>HYPERLINK("https://www.wikidata.org/wiki/Q16683492", "Q16683492")</f>
        <v>0</v>
      </c>
      <c r="G2213" t="s">
        <v>1826</v>
      </c>
      <c r="H2213" t="s">
        <v>6488</v>
      </c>
      <c r="I2213" t="s">
        <v>9961</v>
      </c>
      <c r="J2213" t="s">
        <v>12520</v>
      </c>
      <c r="K2213" t="s">
        <v>16930</v>
      </c>
      <c r="L2213">
        <f>HYPERLINK("https://www2.assemblee-nationale.fr/sycomore/fiche/(num_dept)/4202", "4202")</f>
        <v>0</v>
      </c>
      <c r="N2213">
        <f>HYPERLINK("https://www.wikidata.org/wiki/Q3579920", "Q3579920")</f>
        <v>0</v>
      </c>
      <c r="O2213" t="s">
        <v>19961</v>
      </c>
      <c r="P2213" t="s">
        <v>20401</v>
      </c>
      <c r="Q2213" t="s">
        <v>20572</v>
      </c>
      <c r="R2213" t="s">
        <v>412</v>
      </c>
      <c r="S2213">
        <v>1481</v>
      </c>
    </row>
    <row r="2214" spans="1:19">
      <c r="A2214" t="s">
        <v>22</v>
      </c>
      <c r="B2214" t="s">
        <v>148</v>
      </c>
      <c r="C2214" t="s">
        <v>154</v>
      </c>
      <c r="D2214" t="s">
        <v>283</v>
      </c>
      <c r="E2214" t="s">
        <v>412</v>
      </c>
      <c r="F2214">
        <f>HYPERLINK("https://www.wikidata.org/wiki/Q16683492", "Q16683492")</f>
        <v>0</v>
      </c>
      <c r="G2214" t="s">
        <v>1510</v>
      </c>
      <c r="H2214" t="s">
        <v>6207</v>
      </c>
      <c r="I2214" t="s">
        <v>7308</v>
      </c>
      <c r="J2214" t="s">
        <v>12228</v>
      </c>
      <c r="K2214" t="s">
        <v>16633</v>
      </c>
      <c r="L2214">
        <f>HYPERLINK("https://www2.assemblee-nationale.fr/sycomore/fiche/(num_dept)/4243", "4243")</f>
        <v>0</v>
      </c>
      <c r="N2214">
        <f>HYPERLINK("https://www.wikidata.org/wiki/Q16025917", "Q16025917")</f>
        <v>0</v>
      </c>
      <c r="O2214" t="s">
        <v>20019</v>
      </c>
      <c r="P2214" t="s">
        <v>20423</v>
      </c>
      <c r="Q2214" t="s">
        <v>20572</v>
      </c>
      <c r="R2214" t="s">
        <v>412</v>
      </c>
      <c r="S2214">
        <v>1481</v>
      </c>
    </row>
    <row r="2215" spans="1:19">
      <c r="A2215" t="s">
        <v>22</v>
      </c>
      <c r="B2215" t="s">
        <v>148</v>
      </c>
      <c r="C2215" t="s">
        <v>154</v>
      </c>
      <c r="D2215" t="s">
        <v>283</v>
      </c>
      <c r="E2215" t="s">
        <v>412</v>
      </c>
      <c r="F2215">
        <f>HYPERLINK("https://www.wikidata.org/wiki/Q16683492", "Q16683492")</f>
        <v>0</v>
      </c>
      <c r="G2215" t="s">
        <v>1511</v>
      </c>
      <c r="H2215" t="s">
        <v>6208</v>
      </c>
      <c r="I2215" t="s">
        <v>9476</v>
      </c>
      <c r="J2215" t="s">
        <v>12058</v>
      </c>
      <c r="K2215" t="s">
        <v>16634</v>
      </c>
      <c r="L2215">
        <f>HYPERLINK("https://www2.assemblee-nationale.fr/sycomore/fiche/(num_dept)/4244", "4244")</f>
        <v>0</v>
      </c>
      <c r="N2215">
        <f>HYPERLINK("https://www.wikidata.org/wiki/Q16025918", "Q16025918")</f>
        <v>0</v>
      </c>
      <c r="O2215" t="s">
        <v>20020</v>
      </c>
      <c r="P2215" t="s">
        <v>20417</v>
      </c>
      <c r="Q2215" t="s">
        <v>20572</v>
      </c>
      <c r="R2215" t="s">
        <v>412</v>
      </c>
      <c r="S2215">
        <v>1481</v>
      </c>
    </row>
    <row r="2216" spans="1:19">
      <c r="A2216" t="s">
        <v>22</v>
      </c>
      <c r="B2216" t="s">
        <v>148</v>
      </c>
      <c r="C2216" t="s">
        <v>154</v>
      </c>
      <c r="D2216" t="s">
        <v>283</v>
      </c>
      <c r="E2216" t="s">
        <v>412</v>
      </c>
      <c r="F2216">
        <f>HYPERLINK("https://www.wikidata.org/wiki/Q16683492", "Q16683492")</f>
        <v>0</v>
      </c>
      <c r="G2216" t="s">
        <v>1267</v>
      </c>
      <c r="H2216" t="s">
        <v>5991</v>
      </c>
      <c r="I2216" t="s">
        <v>9388</v>
      </c>
      <c r="J2216" t="s">
        <v>11997</v>
      </c>
      <c r="K2216" t="s">
        <v>16400</v>
      </c>
      <c r="L2216">
        <f>HYPERLINK("https://www2.assemblee-nationale.fr/sycomore/fiche/(num_dept)/4253", "4253")</f>
        <v>0</v>
      </c>
      <c r="M2216">
        <f>HYPERLINK("https://www.senat.fr/senateur-3eme-republique/laffont_paul0184r3.html", "laffont_paul0184r3")</f>
        <v>0</v>
      </c>
      <c r="N2216">
        <f>HYPERLINK("https://www.wikidata.org/wiki/Q3371619", "Q3371619")</f>
        <v>0</v>
      </c>
      <c r="O2216" t="s">
        <v>20019</v>
      </c>
      <c r="P2216" t="s">
        <v>20423</v>
      </c>
      <c r="Q2216" t="s">
        <v>20572</v>
      </c>
      <c r="R2216" t="s">
        <v>412</v>
      </c>
      <c r="S2216">
        <v>1481</v>
      </c>
    </row>
    <row r="2217" spans="1:19">
      <c r="A2217" t="s">
        <v>22</v>
      </c>
      <c r="B2217" t="s">
        <v>148</v>
      </c>
      <c r="C2217" t="s">
        <v>154</v>
      </c>
      <c r="D2217" t="s">
        <v>283</v>
      </c>
      <c r="E2217" t="s">
        <v>412</v>
      </c>
      <c r="F2217">
        <f>HYPERLINK("https://www.wikidata.org/wiki/Q16683492", "Q16683492")</f>
        <v>0</v>
      </c>
      <c r="G2217" t="s">
        <v>1268</v>
      </c>
      <c r="H2217" t="s">
        <v>5992</v>
      </c>
      <c r="I2217" t="s">
        <v>9730</v>
      </c>
      <c r="J2217" t="s">
        <v>11998</v>
      </c>
      <c r="K2217" t="s">
        <v>16401</v>
      </c>
      <c r="L2217">
        <f>HYPERLINK("https://www2.assemblee-nationale.fr/sycomore/fiche/(num_dept)/4259", "4259")</f>
        <v>0</v>
      </c>
      <c r="N2217">
        <f>HYPERLINK("https://www.wikidata.org/wiki/Q3057034", "Q3057034")</f>
        <v>0</v>
      </c>
      <c r="O2217" t="s">
        <v>19997</v>
      </c>
      <c r="P2217" t="s">
        <v>20427</v>
      </c>
      <c r="Q2217" t="s">
        <v>20572</v>
      </c>
      <c r="R2217" t="s">
        <v>412</v>
      </c>
      <c r="S2217">
        <v>1481</v>
      </c>
    </row>
    <row r="2218" spans="1:19">
      <c r="A2218" t="s">
        <v>22</v>
      </c>
      <c r="B2218" t="s">
        <v>148</v>
      </c>
      <c r="C2218" t="s">
        <v>154</v>
      </c>
      <c r="D2218" t="s">
        <v>283</v>
      </c>
      <c r="E2218" t="s">
        <v>412</v>
      </c>
      <c r="F2218">
        <f>HYPERLINK("https://www.wikidata.org/wiki/Q16683492", "Q16683492")</f>
        <v>0</v>
      </c>
      <c r="G2218" t="s">
        <v>1827</v>
      </c>
      <c r="H2218" t="s">
        <v>6489</v>
      </c>
      <c r="I2218" t="s">
        <v>9962</v>
      </c>
      <c r="J2218" t="s">
        <v>12521</v>
      </c>
      <c r="K2218" t="s">
        <v>16931</v>
      </c>
      <c r="L2218">
        <f>HYPERLINK("https://www2.assemblee-nationale.fr/sycomore/fiche/(num_dept)/4278", "4278")</f>
        <v>0</v>
      </c>
      <c r="N2218">
        <f>HYPERLINK("https://www.wikidata.org/wiki/Q16025924", "Q16025924")</f>
        <v>0</v>
      </c>
      <c r="O2218" t="s">
        <v>19956</v>
      </c>
      <c r="P2218" t="s">
        <v>20425</v>
      </c>
      <c r="Q2218" t="s">
        <v>20572</v>
      </c>
      <c r="R2218" t="s">
        <v>412</v>
      </c>
      <c r="S2218">
        <v>1481</v>
      </c>
    </row>
    <row r="2219" spans="1:19">
      <c r="A2219" t="s">
        <v>22</v>
      </c>
      <c r="B2219" t="s">
        <v>148</v>
      </c>
      <c r="C2219" t="s">
        <v>154</v>
      </c>
      <c r="D2219" t="s">
        <v>283</v>
      </c>
      <c r="E2219" t="s">
        <v>412</v>
      </c>
      <c r="F2219">
        <f>HYPERLINK("https://www.wikidata.org/wiki/Q16683492", "Q16683492")</f>
        <v>0</v>
      </c>
      <c r="G2219" t="s">
        <v>1094</v>
      </c>
      <c r="H2219" t="s">
        <v>5836</v>
      </c>
      <c r="I2219" t="s">
        <v>9470</v>
      </c>
      <c r="J2219" t="s">
        <v>11830</v>
      </c>
      <c r="K2219" t="s">
        <v>16230</v>
      </c>
      <c r="L2219">
        <f>HYPERLINK("https://www2.assemblee-nationale.fr/sycomore/fiche/(num_dept)/4287", "4287")</f>
        <v>0</v>
      </c>
      <c r="N2219">
        <f>HYPERLINK("https://www.wikidata.org/wiki/Q16025926", "Q16025926")</f>
        <v>0</v>
      </c>
      <c r="O2219" t="s">
        <v>19995</v>
      </c>
      <c r="P2219" t="s">
        <v>20423</v>
      </c>
      <c r="Q2219" t="s">
        <v>20572</v>
      </c>
      <c r="R2219" t="s">
        <v>412</v>
      </c>
      <c r="S2219">
        <v>1481</v>
      </c>
    </row>
    <row r="2220" spans="1:19">
      <c r="A2220" t="s">
        <v>22</v>
      </c>
      <c r="B2220" t="s">
        <v>148</v>
      </c>
      <c r="C2220" t="s">
        <v>154</v>
      </c>
      <c r="D2220" t="s">
        <v>283</v>
      </c>
      <c r="E2220" t="s">
        <v>412</v>
      </c>
      <c r="F2220">
        <f>HYPERLINK("https://www.wikidata.org/wiki/Q16683492", "Q16683492")</f>
        <v>0</v>
      </c>
      <c r="G2220" t="s">
        <v>1828</v>
      </c>
      <c r="H2220" t="s">
        <v>6490</v>
      </c>
      <c r="I2220" t="s">
        <v>6860</v>
      </c>
      <c r="J2220" t="s">
        <v>12522</v>
      </c>
      <c r="K2220" t="s">
        <v>16932</v>
      </c>
      <c r="L2220">
        <f>HYPERLINK("https://www2.assemblee-nationale.fr/sycomore/fiche/(num_dept)/4300", "4300")</f>
        <v>0</v>
      </c>
      <c r="N2220">
        <f>HYPERLINK("https://www.wikidata.org/wiki/Q16025929", "Q16025929")</f>
        <v>0</v>
      </c>
      <c r="O2220" t="s">
        <v>19970</v>
      </c>
      <c r="P2220" t="s">
        <v>20426</v>
      </c>
      <c r="Q2220" t="s">
        <v>20572</v>
      </c>
      <c r="R2220" t="s">
        <v>412</v>
      </c>
      <c r="S2220">
        <v>1481</v>
      </c>
    </row>
    <row r="2221" spans="1:19">
      <c r="A2221" t="s">
        <v>22</v>
      </c>
      <c r="B2221" t="s">
        <v>148</v>
      </c>
      <c r="C2221" t="s">
        <v>154</v>
      </c>
      <c r="D2221" t="s">
        <v>283</v>
      </c>
      <c r="E2221" t="s">
        <v>412</v>
      </c>
      <c r="F2221">
        <f>HYPERLINK("https://www.wikidata.org/wiki/Q16683492", "Q16683492")</f>
        <v>0</v>
      </c>
      <c r="G2221" t="s">
        <v>1829</v>
      </c>
      <c r="H2221" t="s">
        <v>6491</v>
      </c>
      <c r="I2221" t="s">
        <v>9963</v>
      </c>
      <c r="J2221" t="s">
        <v>12523</v>
      </c>
      <c r="K2221" t="s">
        <v>16933</v>
      </c>
      <c r="L2221">
        <f>HYPERLINK("https://www2.assemblee-nationale.fr/sycomore/fiche/(num_dept)/4302", "4302")</f>
        <v>0</v>
      </c>
      <c r="N2221">
        <f>HYPERLINK("https://www.wikidata.org/wiki/Q2959557", "Q2959557")</f>
        <v>0</v>
      </c>
      <c r="O2221" t="s">
        <v>19965</v>
      </c>
      <c r="P2221" t="s">
        <v>20423</v>
      </c>
      <c r="Q2221" t="s">
        <v>20572</v>
      </c>
      <c r="R2221" t="s">
        <v>412</v>
      </c>
      <c r="S2221">
        <v>1481</v>
      </c>
    </row>
    <row r="2222" spans="1:19">
      <c r="A2222" t="s">
        <v>22</v>
      </c>
      <c r="B2222" t="s">
        <v>148</v>
      </c>
      <c r="C2222" t="s">
        <v>154</v>
      </c>
      <c r="D2222" t="s">
        <v>283</v>
      </c>
      <c r="E2222" t="s">
        <v>412</v>
      </c>
      <c r="F2222">
        <f>HYPERLINK("https://www.wikidata.org/wiki/Q16683492", "Q16683492")</f>
        <v>0</v>
      </c>
      <c r="G2222" t="s">
        <v>1512</v>
      </c>
      <c r="H2222" t="s">
        <v>5734</v>
      </c>
      <c r="I2222" t="s">
        <v>9455</v>
      </c>
      <c r="J2222" t="s">
        <v>12229</v>
      </c>
      <c r="K2222" t="s">
        <v>16635</v>
      </c>
      <c r="L2222">
        <f>HYPERLINK("https://www2.assemblee-nationale.fr/sycomore/fiche/(num_dept)/4318", "4318")</f>
        <v>0</v>
      </c>
      <c r="N2222">
        <f>HYPERLINK("https://www.wikidata.org/wiki/Q3265583", "Q3265583")</f>
        <v>0</v>
      </c>
      <c r="O2222" t="s">
        <v>19999</v>
      </c>
      <c r="P2222" t="s">
        <v>20423</v>
      </c>
      <c r="Q2222" t="s">
        <v>20572</v>
      </c>
      <c r="R2222" t="s">
        <v>412</v>
      </c>
      <c r="S2222">
        <v>1481</v>
      </c>
    </row>
    <row r="2223" spans="1:19">
      <c r="A2223" t="s">
        <v>22</v>
      </c>
      <c r="B2223" t="s">
        <v>148</v>
      </c>
      <c r="C2223" t="s">
        <v>154</v>
      </c>
      <c r="D2223" t="s">
        <v>283</v>
      </c>
      <c r="E2223" t="s">
        <v>412</v>
      </c>
      <c r="F2223">
        <f>HYPERLINK("https://www.wikidata.org/wiki/Q16683492", "Q16683492")</f>
        <v>0</v>
      </c>
      <c r="G2223" t="s">
        <v>983</v>
      </c>
      <c r="H2223" t="s">
        <v>5735</v>
      </c>
      <c r="I2223" t="s">
        <v>9534</v>
      </c>
      <c r="J2223" t="s">
        <v>11721</v>
      </c>
      <c r="K2223" t="s">
        <v>16125</v>
      </c>
      <c r="L2223">
        <f>HYPERLINK("https://www2.assemblee-nationale.fr/sycomore/fiche/(num_dept)/4326", "4326")</f>
        <v>0</v>
      </c>
      <c r="M2223">
        <f>HYPERLINK("https://www.senat.fr/senateur-3eme-republique/landry_adolphe0199r4.html", "landry_adolphe0199r4")</f>
        <v>0</v>
      </c>
      <c r="N2223">
        <f>HYPERLINK("https://www.wikidata.org/wiki/Q2824853", "Q2824853")</f>
        <v>0</v>
      </c>
      <c r="O2223" t="s">
        <v>19955</v>
      </c>
      <c r="P2223" t="s">
        <v>20417</v>
      </c>
      <c r="Q2223" t="s">
        <v>20572</v>
      </c>
      <c r="R2223" t="s">
        <v>412</v>
      </c>
      <c r="S2223">
        <v>1481</v>
      </c>
    </row>
    <row r="2224" spans="1:19">
      <c r="A2224" t="s">
        <v>22</v>
      </c>
      <c r="B2224" t="s">
        <v>148</v>
      </c>
      <c r="C2224" t="s">
        <v>154</v>
      </c>
      <c r="D2224" t="s">
        <v>283</v>
      </c>
      <c r="E2224" t="s">
        <v>412</v>
      </c>
      <c r="F2224">
        <f>HYPERLINK("https://www.wikidata.org/wiki/Q16683492", "Q16683492")</f>
        <v>0</v>
      </c>
      <c r="G2224" t="s">
        <v>709</v>
      </c>
      <c r="H2224" t="s">
        <v>5467</v>
      </c>
      <c r="I2224" t="s">
        <v>9457</v>
      </c>
      <c r="J2224" t="s">
        <v>11267</v>
      </c>
      <c r="K2224" t="s">
        <v>15860</v>
      </c>
      <c r="L2224">
        <f>HYPERLINK("https://www2.assemblee-nationale.fr/sycomore/fiche/(num_dept)/4337", "4337")</f>
        <v>0</v>
      </c>
      <c r="N2224">
        <f>HYPERLINK("https://www.wikidata.org/wiki/Q3131419", "Q3131419")</f>
        <v>0</v>
      </c>
      <c r="O2224" t="s">
        <v>20009</v>
      </c>
      <c r="P2224" t="s">
        <v>20422</v>
      </c>
      <c r="Q2224" t="s">
        <v>20572</v>
      </c>
      <c r="R2224" t="s">
        <v>412</v>
      </c>
      <c r="S2224">
        <v>1481</v>
      </c>
    </row>
    <row r="2225" spans="1:19">
      <c r="A2225" t="s">
        <v>22</v>
      </c>
      <c r="B2225" t="s">
        <v>148</v>
      </c>
      <c r="C2225" t="s">
        <v>154</v>
      </c>
      <c r="D2225" t="s">
        <v>283</v>
      </c>
      <c r="E2225" t="s">
        <v>412</v>
      </c>
      <c r="F2225">
        <f>HYPERLINK("https://www.wikidata.org/wiki/Q16683492", "Q16683492")</f>
        <v>0</v>
      </c>
      <c r="G2225" t="s">
        <v>1830</v>
      </c>
      <c r="H2225" t="s">
        <v>6492</v>
      </c>
      <c r="I2225" t="s">
        <v>6200</v>
      </c>
      <c r="J2225" t="s">
        <v>12524</v>
      </c>
      <c r="K2225" t="s">
        <v>16934</v>
      </c>
      <c r="L2225">
        <f>HYPERLINK("https://www2.assemblee-nationale.fr/sycomore/fiche/(num_dept)/4347", "4347")</f>
        <v>0</v>
      </c>
      <c r="N2225">
        <f>HYPERLINK("https://www.wikidata.org/wiki/Q16025938", "Q16025938")</f>
        <v>0</v>
      </c>
      <c r="O2225" t="s">
        <v>19969</v>
      </c>
      <c r="P2225" t="s">
        <v>20424</v>
      </c>
      <c r="Q2225" t="s">
        <v>20572</v>
      </c>
      <c r="R2225" t="s">
        <v>412</v>
      </c>
      <c r="S2225">
        <v>1481</v>
      </c>
    </row>
    <row r="2226" spans="1:19">
      <c r="A2226" t="s">
        <v>22</v>
      </c>
      <c r="B2226" t="s">
        <v>148</v>
      </c>
      <c r="C2226" t="s">
        <v>154</v>
      </c>
      <c r="D2226" t="s">
        <v>283</v>
      </c>
      <c r="E2226" t="s">
        <v>412</v>
      </c>
      <c r="F2226">
        <f>HYPERLINK("https://www.wikidata.org/wiki/Q16683492", "Q16683492")</f>
        <v>0</v>
      </c>
      <c r="G2226" t="s">
        <v>1831</v>
      </c>
      <c r="H2226" t="s">
        <v>6493</v>
      </c>
      <c r="I2226" t="s">
        <v>9602</v>
      </c>
      <c r="J2226" t="s">
        <v>12525</v>
      </c>
      <c r="K2226" t="s">
        <v>16935</v>
      </c>
      <c r="L2226">
        <f>HYPERLINK("https://www2.assemblee-nationale.fr/sycomore/fiche/(num_dept)/4364", "4364")</f>
        <v>0</v>
      </c>
      <c r="N2226">
        <f>HYPERLINK("https://www.wikidata.org/wiki/Q3047887", "Q3047887")</f>
        <v>0</v>
      </c>
      <c r="O2226" t="s">
        <v>20031</v>
      </c>
      <c r="P2226" t="s">
        <v>20422</v>
      </c>
      <c r="Q2226" t="s">
        <v>20572</v>
      </c>
      <c r="R2226" t="s">
        <v>412</v>
      </c>
      <c r="S2226">
        <v>1481</v>
      </c>
    </row>
    <row r="2227" spans="1:19">
      <c r="A2227" t="s">
        <v>22</v>
      </c>
      <c r="B2227" t="s">
        <v>148</v>
      </c>
      <c r="C2227" t="s">
        <v>154</v>
      </c>
      <c r="D2227" t="s">
        <v>283</v>
      </c>
      <c r="E2227" t="s">
        <v>412</v>
      </c>
      <c r="F2227">
        <f>HYPERLINK("https://www.wikidata.org/wiki/Q16683492", "Q16683492")</f>
        <v>0</v>
      </c>
      <c r="G2227" t="s">
        <v>1832</v>
      </c>
      <c r="H2227" t="s">
        <v>6494</v>
      </c>
      <c r="I2227" t="s">
        <v>6759</v>
      </c>
      <c r="J2227" t="s">
        <v>12526</v>
      </c>
      <c r="K2227" t="s">
        <v>16936</v>
      </c>
      <c r="L2227">
        <f>HYPERLINK("https://www2.assemblee-nationale.fr/sycomore/fiche/(num_dept)/4380", "4380")</f>
        <v>0</v>
      </c>
      <c r="N2227">
        <f>HYPERLINK("https://www.wikidata.org/wiki/Q3435667", "Q3435667")</f>
        <v>0</v>
      </c>
      <c r="O2227" t="s">
        <v>19995</v>
      </c>
      <c r="P2227" t="s">
        <v>20423</v>
      </c>
      <c r="Q2227" t="s">
        <v>20572</v>
      </c>
      <c r="R2227" t="s">
        <v>412</v>
      </c>
      <c r="S2227">
        <v>1481</v>
      </c>
    </row>
    <row r="2228" spans="1:19">
      <c r="A2228" t="s">
        <v>22</v>
      </c>
      <c r="B2228" t="s">
        <v>148</v>
      </c>
      <c r="C2228" t="s">
        <v>154</v>
      </c>
      <c r="D2228" t="s">
        <v>283</v>
      </c>
      <c r="E2228" t="s">
        <v>412</v>
      </c>
      <c r="F2228">
        <f>HYPERLINK("https://www.wikidata.org/wiki/Q16683492", "Q16683492")</f>
        <v>0</v>
      </c>
      <c r="G2228" t="s">
        <v>1833</v>
      </c>
      <c r="H2228" t="s">
        <v>6341</v>
      </c>
      <c r="I2228" t="s">
        <v>9964</v>
      </c>
      <c r="J2228" t="s">
        <v>12527</v>
      </c>
      <c r="K2228" t="s">
        <v>16937</v>
      </c>
      <c r="L2228">
        <f>HYPERLINK("https://www2.assemblee-nationale.fr/sycomore/fiche/(num_dept)/4399", "4399")</f>
        <v>0</v>
      </c>
      <c r="N2228">
        <f>HYPERLINK("https://www.wikidata.org/wiki/Q16025949", "Q16025949")</f>
        <v>0</v>
      </c>
      <c r="O2228" t="s">
        <v>8449</v>
      </c>
      <c r="P2228" t="s">
        <v>20422</v>
      </c>
      <c r="Q2228" t="s">
        <v>20572</v>
      </c>
      <c r="R2228" t="s">
        <v>16937</v>
      </c>
      <c r="S2228">
        <v>1039</v>
      </c>
    </row>
    <row r="2229" spans="1:19">
      <c r="A2229" t="s">
        <v>22</v>
      </c>
      <c r="B2229" t="s">
        <v>148</v>
      </c>
      <c r="C2229" t="s">
        <v>154</v>
      </c>
      <c r="D2229" t="s">
        <v>283</v>
      </c>
      <c r="E2229" t="s">
        <v>412</v>
      </c>
      <c r="F2229">
        <f>HYPERLINK("https://www.wikidata.org/wiki/Q16683492", "Q16683492")</f>
        <v>0</v>
      </c>
      <c r="G2229" t="s">
        <v>1517</v>
      </c>
      <c r="H2229" t="s">
        <v>6213</v>
      </c>
      <c r="I2229" t="s">
        <v>6495</v>
      </c>
      <c r="J2229" t="s">
        <v>12234</v>
      </c>
      <c r="K2229" t="s">
        <v>16640</v>
      </c>
      <c r="L2229">
        <f>HYPERLINK("https://www2.assemblee-nationale.fr/sycomore/fiche/(num_dept)/4823", "4823")</f>
        <v>0</v>
      </c>
      <c r="N2229">
        <f>HYPERLINK("https://www.wikidata.org/wiki/Q2788498", "Q2788498")</f>
        <v>0</v>
      </c>
      <c r="O2229" t="s">
        <v>20013</v>
      </c>
      <c r="P2229" t="s">
        <v>20401</v>
      </c>
      <c r="Q2229" t="s">
        <v>20572</v>
      </c>
      <c r="R2229" t="s">
        <v>412</v>
      </c>
      <c r="S2229">
        <v>1481</v>
      </c>
    </row>
    <row r="2230" spans="1:19">
      <c r="A2230" t="s">
        <v>22</v>
      </c>
      <c r="B2230" t="s">
        <v>148</v>
      </c>
      <c r="C2230" t="s">
        <v>154</v>
      </c>
      <c r="D2230" t="s">
        <v>283</v>
      </c>
      <c r="E2230" t="s">
        <v>412</v>
      </c>
      <c r="F2230">
        <f>HYPERLINK("https://www.wikidata.org/wiki/Q16683492", "Q16683492")</f>
        <v>0</v>
      </c>
      <c r="G2230" t="s">
        <v>1834</v>
      </c>
      <c r="H2230" t="s">
        <v>6495</v>
      </c>
      <c r="I2230" t="s">
        <v>9470</v>
      </c>
      <c r="J2230" t="s">
        <v>12528</v>
      </c>
      <c r="K2230" t="s">
        <v>16938</v>
      </c>
      <c r="L2230">
        <f>HYPERLINK("https://www2.assemblee-nationale.fr/sycomore/fiche/(num_dept)/4825", "4825")</f>
        <v>0</v>
      </c>
      <c r="N2230">
        <f>HYPERLINK("https://www.wikidata.org/wiki/Q16026011", "Q16026011")</f>
        <v>0</v>
      </c>
      <c r="O2230" t="s">
        <v>20050</v>
      </c>
      <c r="P2230" t="s">
        <v>20426</v>
      </c>
      <c r="Q2230" t="s">
        <v>20572</v>
      </c>
      <c r="R2230" t="s">
        <v>412</v>
      </c>
      <c r="S2230">
        <v>1481</v>
      </c>
    </row>
    <row r="2231" spans="1:19">
      <c r="A2231" t="s">
        <v>22</v>
      </c>
      <c r="B2231" t="s">
        <v>148</v>
      </c>
      <c r="C2231" t="s">
        <v>154</v>
      </c>
      <c r="D2231" t="s">
        <v>283</v>
      </c>
      <c r="E2231" t="s">
        <v>412</v>
      </c>
      <c r="F2231">
        <f>HYPERLINK("https://www.wikidata.org/wiki/Q16683492", "Q16683492")</f>
        <v>0</v>
      </c>
      <c r="G2231" t="s">
        <v>1272</v>
      </c>
      <c r="H2231" t="s">
        <v>5996</v>
      </c>
      <c r="I2231" t="s">
        <v>9476</v>
      </c>
      <c r="J2231" t="s">
        <v>12002</v>
      </c>
      <c r="K2231" t="s">
        <v>16405</v>
      </c>
      <c r="L2231">
        <f>HYPERLINK("https://www2.assemblee-nationale.fr/sycomore/fiche/(num_dept)/4849", "4849")</f>
        <v>0</v>
      </c>
      <c r="M2231">
        <f>HYPERLINK("https://www.senat.fr/senateur-3eme-republique/de_ludre_frolois_rene0897r3.html", "de_ludre_frolois_rene0897r3")</f>
        <v>0</v>
      </c>
      <c r="N2231">
        <f>HYPERLINK("https://www.wikidata.org/wiki/Q3427060", "Q3427060")</f>
        <v>0</v>
      </c>
      <c r="O2231" t="s">
        <v>19957</v>
      </c>
      <c r="P2231" t="s">
        <v>20422</v>
      </c>
      <c r="Q2231" t="s">
        <v>20572</v>
      </c>
      <c r="R2231" t="s">
        <v>412</v>
      </c>
      <c r="S2231">
        <v>1481</v>
      </c>
    </row>
    <row r="2232" spans="1:19">
      <c r="A2232" t="s">
        <v>22</v>
      </c>
      <c r="B2232" t="s">
        <v>148</v>
      </c>
      <c r="C2232" t="s">
        <v>154</v>
      </c>
      <c r="D2232" t="s">
        <v>283</v>
      </c>
      <c r="E2232" t="s">
        <v>412</v>
      </c>
      <c r="F2232">
        <f>HYPERLINK("https://www.wikidata.org/wiki/Q16683492", "Q16683492")</f>
        <v>0</v>
      </c>
      <c r="G2232" t="s">
        <v>1518</v>
      </c>
      <c r="H2232" t="s">
        <v>6214</v>
      </c>
      <c r="I2232" t="s">
        <v>9442</v>
      </c>
      <c r="J2232" t="s">
        <v>12235</v>
      </c>
      <c r="K2232" t="s">
        <v>16641</v>
      </c>
      <c r="L2232">
        <f>HYPERLINK("https://www2.assemblee-nationale.fr/sycomore/fiche/(num_dept)/4865", "4865")</f>
        <v>0</v>
      </c>
      <c r="N2232">
        <f>HYPERLINK("https://www.wikidata.org/wiki/Q16026021", "Q16026021")</f>
        <v>0</v>
      </c>
      <c r="O2232" t="s">
        <v>20013</v>
      </c>
      <c r="P2232" t="s">
        <v>20401</v>
      </c>
      <c r="Q2232" t="s">
        <v>20572</v>
      </c>
      <c r="R2232" t="s">
        <v>16641</v>
      </c>
      <c r="S2232">
        <v>877</v>
      </c>
    </row>
    <row r="2233" spans="1:19">
      <c r="A2233" t="s">
        <v>22</v>
      </c>
      <c r="B2233" t="s">
        <v>148</v>
      </c>
      <c r="C2233" t="s">
        <v>154</v>
      </c>
      <c r="D2233" t="s">
        <v>283</v>
      </c>
      <c r="E2233" t="s">
        <v>412</v>
      </c>
      <c r="F2233">
        <f>HYPERLINK("https://www.wikidata.org/wiki/Q16683492", "Q16683492")</f>
        <v>0</v>
      </c>
      <c r="G2233" t="s">
        <v>1835</v>
      </c>
      <c r="H2233" t="s">
        <v>6496</v>
      </c>
      <c r="I2233" t="s">
        <v>9965</v>
      </c>
      <c r="J2233" t="s">
        <v>11382</v>
      </c>
      <c r="K2233" t="s">
        <v>16939</v>
      </c>
      <c r="L2233">
        <f>HYPERLINK("https://www2.assemblee-nationale.fr/sycomore/fiche/(num_dept)/4873", "4873")</f>
        <v>0</v>
      </c>
      <c r="N2233">
        <f>HYPERLINK("https://www.wikidata.org/wiki/Q586479", "Q586479")</f>
        <v>0</v>
      </c>
      <c r="O2233" t="s">
        <v>20017</v>
      </c>
      <c r="P2233" t="s">
        <v>20422</v>
      </c>
      <c r="Q2233" t="s">
        <v>20572</v>
      </c>
      <c r="R2233" t="s">
        <v>412</v>
      </c>
      <c r="S2233">
        <v>1481</v>
      </c>
    </row>
    <row r="2234" spans="1:19">
      <c r="A2234" t="s">
        <v>22</v>
      </c>
      <c r="B2234" t="s">
        <v>148</v>
      </c>
      <c r="C2234" t="s">
        <v>154</v>
      </c>
      <c r="D2234" t="s">
        <v>283</v>
      </c>
      <c r="E2234" t="s">
        <v>412</v>
      </c>
      <c r="F2234">
        <f>HYPERLINK("https://www.wikidata.org/wiki/Q16683492", "Q16683492")</f>
        <v>0</v>
      </c>
      <c r="G2234" t="s">
        <v>1519</v>
      </c>
      <c r="H2234" t="s">
        <v>6215</v>
      </c>
      <c r="I2234" t="s">
        <v>9827</v>
      </c>
      <c r="J2234" t="s">
        <v>12236</v>
      </c>
      <c r="K2234" t="s">
        <v>16642</v>
      </c>
      <c r="L2234">
        <f>HYPERLINK("https://www2.assemblee-nationale.fr/sycomore/fiche/(num_dept)/4877", "4877")</f>
        <v>0</v>
      </c>
      <c r="N2234">
        <f>HYPERLINK("https://www.wikidata.org/wiki/Q2835322", "Q2835322")</f>
        <v>0</v>
      </c>
      <c r="O2234" t="s">
        <v>19968</v>
      </c>
      <c r="P2234" t="s">
        <v>20404</v>
      </c>
      <c r="Q2234" t="s">
        <v>20572</v>
      </c>
      <c r="R2234" t="s">
        <v>412</v>
      </c>
      <c r="S2234">
        <v>1481</v>
      </c>
    </row>
    <row r="2235" spans="1:19">
      <c r="A2235" t="s">
        <v>22</v>
      </c>
      <c r="B2235" t="s">
        <v>148</v>
      </c>
      <c r="C2235" t="s">
        <v>154</v>
      </c>
      <c r="D2235" t="s">
        <v>283</v>
      </c>
      <c r="E2235" t="s">
        <v>412</v>
      </c>
      <c r="F2235">
        <f>HYPERLINK("https://www.wikidata.org/wiki/Q16683492", "Q16683492")</f>
        <v>0</v>
      </c>
      <c r="G2235" t="s">
        <v>717</v>
      </c>
      <c r="H2235" t="s">
        <v>5475</v>
      </c>
      <c r="I2235" t="s">
        <v>6585</v>
      </c>
      <c r="J2235" t="s">
        <v>11466</v>
      </c>
      <c r="K2235" t="s">
        <v>15868</v>
      </c>
      <c r="L2235">
        <f>HYPERLINK("https://www2.assemblee-nationale.fr/sycomore/fiche/(num_dept)/4882", "4882")</f>
        <v>0</v>
      </c>
      <c r="N2235">
        <f>HYPERLINK("https://www.wikidata.org/wiki/Q318617", "Q318617")</f>
        <v>0</v>
      </c>
      <c r="O2235" t="s">
        <v>20030</v>
      </c>
      <c r="P2235" t="s">
        <v>20417</v>
      </c>
      <c r="Q2235" t="s">
        <v>20572</v>
      </c>
      <c r="R2235" t="s">
        <v>412</v>
      </c>
      <c r="S2235">
        <v>1481</v>
      </c>
    </row>
    <row r="2236" spans="1:19">
      <c r="A2236" t="s">
        <v>22</v>
      </c>
      <c r="B2236" t="s">
        <v>148</v>
      </c>
      <c r="C2236" t="s">
        <v>154</v>
      </c>
      <c r="D2236" t="s">
        <v>283</v>
      </c>
      <c r="E2236" t="s">
        <v>412</v>
      </c>
      <c r="F2236">
        <f>HYPERLINK("https://www.wikidata.org/wiki/Q16683492", "Q16683492")</f>
        <v>0</v>
      </c>
      <c r="G2236" t="s">
        <v>993</v>
      </c>
      <c r="H2236" t="s">
        <v>5745</v>
      </c>
      <c r="I2236" t="s">
        <v>9611</v>
      </c>
      <c r="J2236" t="s">
        <v>11731</v>
      </c>
      <c r="K2236" t="s">
        <v>16134</v>
      </c>
      <c r="L2236">
        <f>HYPERLINK("https://www2.assemblee-nationale.fr/sycomore/fiche/(num_dept)/4913", "4913")</f>
        <v>0</v>
      </c>
      <c r="N2236">
        <f>HYPERLINK("https://www.wikidata.org/wiki/Q16026028", "Q16026028")</f>
        <v>0</v>
      </c>
      <c r="O2236" t="s">
        <v>19994</v>
      </c>
      <c r="P2236" t="s">
        <v>20409</v>
      </c>
      <c r="Q2236" t="s">
        <v>20572</v>
      </c>
      <c r="R2236" t="s">
        <v>412</v>
      </c>
      <c r="S2236">
        <v>1481</v>
      </c>
    </row>
    <row r="2237" spans="1:19">
      <c r="A2237" t="s">
        <v>22</v>
      </c>
      <c r="B2237" t="s">
        <v>148</v>
      </c>
      <c r="C2237" t="s">
        <v>154</v>
      </c>
      <c r="D2237" t="s">
        <v>283</v>
      </c>
      <c r="E2237" t="s">
        <v>412</v>
      </c>
      <c r="F2237">
        <f>HYPERLINK("https://www.wikidata.org/wiki/Q16683492", "Q16683492")</f>
        <v>0</v>
      </c>
      <c r="G2237" t="s">
        <v>721</v>
      </c>
      <c r="H2237" t="s">
        <v>5479</v>
      </c>
      <c r="I2237" t="s">
        <v>6495</v>
      </c>
      <c r="J2237" t="s">
        <v>11470</v>
      </c>
      <c r="K2237" t="s">
        <v>15872</v>
      </c>
      <c r="L2237">
        <f>HYPERLINK("https://www2.assemblee-nationale.fr/sycomore/fiche/(num_dept)/4940", "4940")</f>
        <v>0</v>
      </c>
      <c r="N2237">
        <f>HYPERLINK("https://www.wikidata.org/wiki/Q3262600", "Q3262600")</f>
        <v>0</v>
      </c>
      <c r="O2237" t="s">
        <v>19974</v>
      </c>
      <c r="P2237" t="s">
        <v>20423</v>
      </c>
      <c r="Q2237" t="s">
        <v>20572</v>
      </c>
      <c r="R2237" t="s">
        <v>412</v>
      </c>
      <c r="S2237">
        <v>1481</v>
      </c>
    </row>
    <row r="2238" spans="1:19">
      <c r="A2238" t="s">
        <v>22</v>
      </c>
      <c r="B2238" t="s">
        <v>148</v>
      </c>
      <c r="C2238" t="s">
        <v>154</v>
      </c>
      <c r="D2238" t="s">
        <v>283</v>
      </c>
      <c r="E2238" t="s">
        <v>412</v>
      </c>
      <c r="F2238">
        <f>HYPERLINK("https://www.wikidata.org/wiki/Q16683492", "Q16683492")</f>
        <v>0</v>
      </c>
      <c r="G2238" t="s">
        <v>1836</v>
      </c>
      <c r="H2238" t="s">
        <v>6497</v>
      </c>
      <c r="I2238" t="s">
        <v>9966</v>
      </c>
      <c r="J2238" t="s">
        <v>12529</v>
      </c>
      <c r="K2238" t="s">
        <v>16940</v>
      </c>
      <c r="L2238">
        <f>HYPERLINK("https://www2.assemblee-nationale.fr/sycomore/fiche/(num_dept)/4957", "4957")</f>
        <v>0</v>
      </c>
      <c r="N2238">
        <f>HYPERLINK("https://www.wikidata.org/wiki/Q16026035", "Q16026035")</f>
        <v>0</v>
      </c>
      <c r="O2238" t="s">
        <v>19997</v>
      </c>
      <c r="P2238" t="s">
        <v>20423</v>
      </c>
      <c r="Q2238" t="s">
        <v>20572</v>
      </c>
      <c r="R2238" t="s">
        <v>412</v>
      </c>
      <c r="S2238">
        <v>1481</v>
      </c>
    </row>
    <row r="2239" spans="1:19">
      <c r="A2239" t="s">
        <v>22</v>
      </c>
      <c r="B2239" t="s">
        <v>148</v>
      </c>
      <c r="C2239" t="s">
        <v>154</v>
      </c>
      <c r="D2239" t="s">
        <v>283</v>
      </c>
      <c r="E2239" t="s">
        <v>412</v>
      </c>
      <c r="F2239">
        <f>HYPERLINK("https://www.wikidata.org/wiki/Q16683492", "Q16683492")</f>
        <v>0</v>
      </c>
      <c r="G2239" t="s">
        <v>1529</v>
      </c>
      <c r="H2239" t="s">
        <v>6224</v>
      </c>
      <c r="I2239" t="s">
        <v>9831</v>
      </c>
      <c r="J2239" t="s">
        <v>12246</v>
      </c>
      <c r="K2239" t="s">
        <v>15895</v>
      </c>
      <c r="L2239">
        <f>HYPERLINK("https://www2.assemblee-nationale.fr/sycomore/fiche/(num_dept)/4971", "4971")</f>
        <v>0</v>
      </c>
      <c r="N2239">
        <f>HYPERLINK("https://www.wikidata.org/wiki/Q3301111", "Q3301111")</f>
        <v>0</v>
      </c>
      <c r="O2239" t="s">
        <v>19961</v>
      </c>
      <c r="P2239" t="s">
        <v>20401</v>
      </c>
      <c r="Q2239" t="s">
        <v>20572</v>
      </c>
      <c r="R2239" t="s">
        <v>412</v>
      </c>
      <c r="S2239">
        <v>1481</v>
      </c>
    </row>
    <row r="2240" spans="1:19">
      <c r="A2240" t="s">
        <v>22</v>
      </c>
      <c r="B2240" t="s">
        <v>148</v>
      </c>
      <c r="C2240" t="s">
        <v>154</v>
      </c>
      <c r="D2240" t="s">
        <v>283</v>
      </c>
      <c r="E2240" t="s">
        <v>412</v>
      </c>
      <c r="F2240">
        <f>HYPERLINK("https://www.wikidata.org/wiki/Q16683492", "Q16683492")</f>
        <v>0</v>
      </c>
      <c r="G2240" t="s">
        <v>1837</v>
      </c>
      <c r="H2240" t="s">
        <v>6498</v>
      </c>
      <c r="I2240" t="s">
        <v>9967</v>
      </c>
      <c r="J2240" t="s">
        <v>12530</v>
      </c>
      <c r="K2240" t="s">
        <v>16941</v>
      </c>
      <c r="L2240">
        <f>HYPERLINK("https://www2.assemblee-nationale.fr/sycomore/fiche/(num_dept)/4981", "4981")</f>
        <v>0</v>
      </c>
      <c r="N2240">
        <f>HYPERLINK("https://www.wikidata.org/wiki/Q3426598", "Q3426598")</f>
        <v>0</v>
      </c>
      <c r="O2240" t="s">
        <v>19998</v>
      </c>
      <c r="P2240" t="s">
        <v>20422</v>
      </c>
      <c r="Q2240" t="s">
        <v>20572</v>
      </c>
      <c r="R2240" t="s">
        <v>412</v>
      </c>
      <c r="S2240">
        <v>1481</v>
      </c>
    </row>
    <row r="2241" spans="1:19">
      <c r="A2241" t="s">
        <v>22</v>
      </c>
      <c r="B2241" t="s">
        <v>148</v>
      </c>
      <c r="C2241" t="s">
        <v>154</v>
      </c>
      <c r="D2241" t="s">
        <v>283</v>
      </c>
      <c r="E2241" t="s">
        <v>412</v>
      </c>
      <c r="F2241">
        <f>HYPERLINK("https://www.wikidata.org/wiki/Q16683492", "Q16683492")</f>
        <v>0</v>
      </c>
      <c r="G2241" t="s">
        <v>723</v>
      </c>
      <c r="H2241" t="s">
        <v>5481</v>
      </c>
      <c r="I2241" t="s">
        <v>9458</v>
      </c>
      <c r="J2241" t="s">
        <v>11472</v>
      </c>
      <c r="K2241" t="s">
        <v>15874</v>
      </c>
      <c r="L2241">
        <f>HYPERLINK("https://www2.assemblee-nationale.fr/sycomore/fiche/(num_dept)/4991", "4991")</f>
        <v>0</v>
      </c>
      <c r="N2241">
        <f>HYPERLINK("https://www.wikidata.org/wiki/Q2835305", "Q2835305")</f>
        <v>0</v>
      </c>
      <c r="O2241" t="s">
        <v>20025</v>
      </c>
      <c r="P2241" t="s">
        <v>20423</v>
      </c>
      <c r="Q2241" t="s">
        <v>20572</v>
      </c>
      <c r="R2241" t="s">
        <v>412</v>
      </c>
      <c r="S2241">
        <v>1481</v>
      </c>
    </row>
    <row r="2242" spans="1:19">
      <c r="A2242" t="s">
        <v>22</v>
      </c>
      <c r="B2242" t="s">
        <v>148</v>
      </c>
      <c r="C2242" t="s">
        <v>154</v>
      </c>
      <c r="D2242" t="s">
        <v>283</v>
      </c>
      <c r="E2242" t="s">
        <v>412</v>
      </c>
      <c r="F2242">
        <f>HYPERLINK("https://www.wikidata.org/wiki/Q16683492", "Q16683492")</f>
        <v>0</v>
      </c>
      <c r="G2242" t="s">
        <v>724</v>
      </c>
      <c r="H2242" t="s">
        <v>5482</v>
      </c>
      <c r="I2242" t="s">
        <v>6495</v>
      </c>
      <c r="J2242" t="s">
        <v>11473</v>
      </c>
      <c r="K2242" t="s">
        <v>15875</v>
      </c>
      <c r="L2242">
        <f>HYPERLINK("https://www2.assemblee-nationale.fr/sycomore/fiche/(num_dept)/5001", "5001")</f>
        <v>0</v>
      </c>
      <c r="N2242">
        <f>HYPERLINK("https://www.wikidata.org/wiki/Q1229977", "Q1229977")</f>
        <v>0</v>
      </c>
      <c r="O2242" t="s">
        <v>20007</v>
      </c>
      <c r="P2242" t="s">
        <v>20422</v>
      </c>
      <c r="Q2242" t="s">
        <v>20572</v>
      </c>
      <c r="R2242" t="s">
        <v>412</v>
      </c>
      <c r="S2242">
        <v>1481</v>
      </c>
    </row>
    <row r="2243" spans="1:19">
      <c r="A2243" t="s">
        <v>22</v>
      </c>
      <c r="B2243" t="s">
        <v>148</v>
      </c>
      <c r="C2243" t="s">
        <v>154</v>
      </c>
      <c r="D2243" t="s">
        <v>283</v>
      </c>
      <c r="E2243" t="s">
        <v>412</v>
      </c>
      <c r="F2243">
        <f>HYPERLINK("https://www.wikidata.org/wiki/Q16683492", "Q16683492")</f>
        <v>0</v>
      </c>
      <c r="G2243" t="s">
        <v>1838</v>
      </c>
      <c r="H2243" t="s">
        <v>6499</v>
      </c>
      <c r="I2243" t="s">
        <v>9968</v>
      </c>
      <c r="J2243" t="s">
        <v>12295</v>
      </c>
      <c r="K2243" t="s">
        <v>16942</v>
      </c>
      <c r="L2243">
        <f>HYPERLINK("https://www2.assemblee-nationale.fr/sycomore/fiche/(num_dept)/5003", "5003")</f>
        <v>0</v>
      </c>
      <c r="N2243">
        <f>HYPERLINK("https://www.wikidata.org/wiki/Q16026043", "Q16026043")</f>
        <v>0</v>
      </c>
      <c r="O2243" t="s">
        <v>20022</v>
      </c>
      <c r="P2243" t="s">
        <v>20422</v>
      </c>
      <c r="Q2243" t="s">
        <v>20572</v>
      </c>
      <c r="R2243" t="s">
        <v>412</v>
      </c>
      <c r="S2243">
        <v>1481</v>
      </c>
    </row>
    <row r="2244" spans="1:19">
      <c r="A2244" t="s">
        <v>22</v>
      </c>
      <c r="B2244" t="s">
        <v>148</v>
      </c>
      <c r="C2244" t="s">
        <v>154</v>
      </c>
      <c r="D2244" t="s">
        <v>283</v>
      </c>
      <c r="E2244" t="s">
        <v>412</v>
      </c>
      <c r="F2244">
        <f>HYPERLINK("https://www.wikidata.org/wiki/Q16683492", "Q16683492")</f>
        <v>0</v>
      </c>
      <c r="G2244" t="s">
        <v>1839</v>
      </c>
      <c r="H2244" t="s">
        <v>5749</v>
      </c>
      <c r="I2244" t="s">
        <v>9445</v>
      </c>
      <c r="J2244" t="s">
        <v>12531</v>
      </c>
      <c r="K2244" t="s">
        <v>16943</v>
      </c>
      <c r="L2244">
        <f>HYPERLINK("https://www2.assemblee-nationale.fr/sycomore/fiche/(num_dept)/5018", "5018")</f>
        <v>0</v>
      </c>
      <c r="N2244">
        <f>HYPERLINK("https://www.wikidata.org/wiki/Q2825221", "Q2825221")</f>
        <v>0</v>
      </c>
      <c r="O2244" t="s">
        <v>19987</v>
      </c>
      <c r="P2244" t="s">
        <v>20404</v>
      </c>
      <c r="Q2244" t="s">
        <v>20572</v>
      </c>
      <c r="R2244" t="s">
        <v>412</v>
      </c>
      <c r="S2244">
        <v>1481</v>
      </c>
    </row>
    <row r="2245" spans="1:19">
      <c r="A2245" t="s">
        <v>22</v>
      </c>
      <c r="B2245" t="s">
        <v>148</v>
      </c>
      <c r="C2245" t="s">
        <v>154</v>
      </c>
      <c r="D2245" t="s">
        <v>283</v>
      </c>
      <c r="E2245" t="s">
        <v>412</v>
      </c>
      <c r="F2245">
        <f>HYPERLINK("https://www.wikidata.org/wiki/Q16683492", "Q16683492")</f>
        <v>0</v>
      </c>
      <c r="G2245" t="s">
        <v>1840</v>
      </c>
      <c r="H2245" t="s">
        <v>6500</v>
      </c>
      <c r="I2245" t="s">
        <v>9446</v>
      </c>
      <c r="J2245" t="s">
        <v>12532</v>
      </c>
      <c r="K2245" t="s">
        <v>16944</v>
      </c>
      <c r="L2245">
        <f>HYPERLINK("https://www2.assemblee-nationale.fr/sycomore/fiche/(num_dept)/5021", "5021")</f>
        <v>0</v>
      </c>
      <c r="N2245">
        <f>HYPERLINK("https://www.wikidata.org/wiki/Q16026049", "Q16026049")</f>
        <v>0</v>
      </c>
      <c r="O2245" t="s">
        <v>20015</v>
      </c>
      <c r="P2245" t="s">
        <v>20423</v>
      </c>
      <c r="Q2245" t="s">
        <v>20572</v>
      </c>
      <c r="R2245" t="s">
        <v>412</v>
      </c>
      <c r="S2245">
        <v>1481</v>
      </c>
    </row>
    <row r="2246" spans="1:19">
      <c r="A2246" t="s">
        <v>22</v>
      </c>
      <c r="B2246" t="s">
        <v>148</v>
      </c>
      <c r="C2246" t="s">
        <v>154</v>
      </c>
      <c r="D2246" t="s">
        <v>283</v>
      </c>
      <c r="E2246" t="s">
        <v>412</v>
      </c>
      <c r="F2246">
        <f>HYPERLINK("https://www.wikidata.org/wiki/Q16683492", "Q16683492")</f>
        <v>0</v>
      </c>
      <c r="G2246" t="s">
        <v>725</v>
      </c>
      <c r="H2246" t="s">
        <v>5483</v>
      </c>
      <c r="I2246" t="s">
        <v>9497</v>
      </c>
      <c r="J2246" t="s">
        <v>11474</v>
      </c>
      <c r="K2246" t="s">
        <v>15876</v>
      </c>
      <c r="L2246">
        <f>HYPERLINK("https://www2.assemblee-nationale.fr/sycomore/fiche/(num_dept)/5024", "5024")</f>
        <v>0</v>
      </c>
      <c r="M2246">
        <f>HYPERLINK("https://www.senat.fr/senateur-3eme-republique/marrou_baptiste0987r3.html", "marrou_baptiste0987r3")</f>
        <v>0</v>
      </c>
      <c r="N2246">
        <f>HYPERLINK("https://www.wikidata.org/wiki/Q2883668", "Q2883668")</f>
        <v>0</v>
      </c>
      <c r="O2246" t="s">
        <v>20005</v>
      </c>
      <c r="P2246" t="s">
        <v>20423</v>
      </c>
      <c r="Q2246" t="s">
        <v>20572</v>
      </c>
      <c r="R2246" t="s">
        <v>21407</v>
      </c>
      <c r="S2246">
        <v>1157</v>
      </c>
    </row>
    <row r="2247" spans="1:19">
      <c r="A2247" t="s">
        <v>22</v>
      </c>
      <c r="B2247" t="s">
        <v>148</v>
      </c>
      <c r="C2247" t="s">
        <v>154</v>
      </c>
      <c r="D2247" t="s">
        <v>283</v>
      </c>
      <c r="E2247" t="s">
        <v>412</v>
      </c>
      <c r="F2247">
        <f>HYPERLINK("https://www.wikidata.org/wiki/Q16683492", "Q16683492")</f>
        <v>0</v>
      </c>
      <c r="G2247" t="s">
        <v>1841</v>
      </c>
      <c r="H2247" t="s">
        <v>6501</v>
      </c>
      <c r="I2247" t="s">
        <v>6200</v>
      </c>
      <c r="J2247" t="s">
        <v>11590</v>
      </c>
      <c r="K2247" t="s">
        <v>16945</v>
      </c>
      <c r="L2247">
        <f>HYPERLINK("https://www2.assemblee-nationale.fr/sycomore/fiche/(num_dept)/5041", "5041")</f>
        <v>0</v>
      </c>
      <c r="N2247">
        <f>HYPERLINK("https://www.wikidata.org/wiki/Q16026056", "Q16026056")</f>
        <v>0</v>
      </c>
      <c r="O2247" t="s">
        <v>19969</v>
      </c>
      <c r="P2247" t="s">
        <v>20404</v>
      </c>
      <c r="Q2247" t="s">
        <v>20572</v>
      </c>
      <c r="R2247" t="s">
        <v>16945</v>
      </c>
      <c r="S2247">
        <v>893</v>
      </c>
    </row>
    <row r="2248" spans="1:19">
      <c r="A2248" t="s">
        <v>22</v>
      </c>
      <c r="B2248" t="s">
        <v>148</v>
      </c>
      <c r="C2248" t="s">
        <v>154</v>
      </c>
      <c r="D2248" t="s">
        <v>283</v>
      </c>
      <c r="E2248" t="s">
        <v>412</v>
      </c>
      <c r="F2248">
        <f>HYPERLINK("https://www.wikidata.org/wiki/Q16683492", "Q16683492")</f>
        <v>0</v>
      </c>
      <c r="G2248" t="s">
        <v>1842</v>
      </c>
      <c r="H2248" t="s">
        <v>6502</v>
      </c>
      <c r="I2248" t="s">
        <v>6585</v>
      </c>
      <c r="J2248" t="s">
        <v>12533</v>
      </c>
      <c r="K2248" t="s">
        <v>16676</v>
      </c>
      <c r="L2248">
        <f>HYPERLINK("https://www2.assemblee-nationale.fr/sycomore/fiche/(num_dept)/5056", "5056")</f>
        <v>0</v>
      </c>
      <c r="N2248">
        <f>HYPERLINK("https://www.wikidata.org/wiki/Q369785", "Q369785")</f>
        <v>0</v>
      </c>
      <c r="O2248" t="s">
        <v>19976</v>
      </c>
      <c r="P2248" t="s">
        <v>20424</v>
      </c>
      <c r="Q2248" t="s">
        <v>20572</v>
      </c>
      <c r="R2248" t="s">
        <v>412</v>
      </c>
      <c r="S2248">
        <v>1481</v>
      </c>
    </row>
    <row r="2249" spans="1:19">
      <c r="A2249" t="s">
        <v>22</v>
      </c>
      <c r="B2249" t="s">
        <v>148</v>
      </c>
      <c r="C2249" t="s">
        <v>154</v>
      </c>
      <c r="D2249" t="s">
        <v>283</v>
      </c>
      <c r="E2249" t="s">
        <v>412</v>
      </c>
      <c r="F2249">
        <f>HYPERLINK("https://www.wikidata.org/wiki/Q16683492", "Q16683492")</f>
        <v>0</v>
      </c>
      <c r="G2249" t="s">
        <v>1843</v>
      </c>
      <c r="H2249" t="s">
        <v>5750</v>
      </c>
      <c r="I2249" t="s">
        <v>9950</v>
      </c>
      <c r="J2249" t="s">
        <v>12534</v>
      </c>
      <c r="K2249" t="s">
        <v>16946</v>
      </c>
      <c r="L2249">
        <f>HYPERLINK("https://www2.assemblee-nationale.fr/sycomore/fiche/(num_dept)/5072", "5072")</f>
        <v>0</v>
      </c>
      <c r="N2249">
        <f>HYPERLINK("https://www.wikidata.org/wiki/Q2871618", "Q2871618")</f>
        <v>0</v>
      </c>
      <c r="O2249" t="s">
        <v>19996</v>
      </c>
      <c r="P2249" t="s">
        <v>20423</v>
      </c>
      <c r="Q2249" t="s">
        <v>20572</v>
      </c>
      <c r="R2249" t="s">
        <v>412</v>
      </c>
      <c r="S2249">
        <v>1481</v>
      </c>
    </row>
    <row r="2250" spans="1:19">
      <c r="A2250" t="s">
        <v>22</v>
      </c>
      <c r="B2250" t="s">
        <v>148</v>
      </c>
      <c r="C2250" t="s">
        <v>154</v>
      </c>
      <c r="D2250" t="s">
        <v>283</v>
      </c>
      <c r="E2250" t="s">
        <v>412</v>
      </c>
      <c r="F2250">
        <f>HYPERLINK("https://www.wikidata.org/wiki/Q16683492", "Q16683492")</f>
        <v>0</v>
      </c>
      <c r="G2250" t="s">
        <v>1531</v>
      </c>
      <c r="H2250" t="s">
        <v>6226</v>
      </c>
      <c r="I2250" t="s">
        <v>9472</v>
      </c>
      <c r="J2250" t="s">
        <v>12248</v>
      </c>
      <c r="K2250" t="s">
        <v>16653</v>
      </c>
      <c r="L2250">
        <f>HYPERLINK("https://www2.assemblee-nationale.fr/sycomore/fiche/(num_dept)/5082", "5082")</f>
        <v>0</v>
      </c>
      <c r="N2250">
        <f>HYPERLINK("https://www.wikidata.org/wiki/Q3188665", "Q3188665")</f>
        <v>0</v>
      </c>
      <c r="O2250" t="s">
        <v>20011</v>
      </c>
      <c r="P2250" t="s">
        <v>20404</v>
      </c>
      <c r="Q2250" t="s">
        <v>20572</v>
      </c>
      <c r="R2250" t="s">
        <v>412</v>
      </c>
      <c r="S2250">
        <v>1481</v>
      </c>
    </row>
    <row r="2251" spans="1:19">
      <c r="A2251" t="s">
        <v>22</v>
      </c>
      <c r="B2251" t="s">
        <v>148</v>
      </c>
      <c r="C2251" t="s">
        <v>154</v>
      </c>
      <c r="D2251" t="s">
        <v>283</v>
      </c>
      <c r="E2251" t="s">
        <v>412</v>
      </c>
      <c r="F2251">
        <f>HYPERLINK("https://www.wikidata.org/wiki/Q16683492", "Q16683492")</f>
        <v>0</v>
      </c>
      <c r="G2251" t="s">
        <v>1532</v>
      </c>
      <c r="H2251" t="s">
        <v>5485</v>
      </c>
      <c r="I2251" t="s">
        <v>9375</v>
      </c>
      <c r="J2251" t="s">
        <v>12249</v>
      </c>
      <c r="K2251" t="s">
        <v>16654</v>
      </c>
      <c r="L2251">
        <f>HYPERLINK("https://www2.assemblee-nationale.fr/sycomore/fiche/(num_dept)/5101", "5101")</f>
        <v>0</v>
      </c>
      <c r="N2251">
        <f>HYPERLINK("https://www.wikidata.org/wiki/Q16026066", "Q16026066")</f>
        <v>0</v>
      </c>
      <c r="O2251" t="s">
        <v>20017</v>
      </c>
      <c r="P2251" t="s">
        <v>20422</v>
      </c>
      <c r="Q2251" t="s">
        <v>20572</v>
      </c>
      <c r="R2251" t="s">
        <v>16654</v>
      </c>
      <c r="S2251">
        <v>886</v>
      </c>
    </row>
    <row r="2252" spans="1:19">
      <c r="A2252" t="s">
        <v>22</v>
      </c>
      <c r="B2252" t="s">
        <v>148</v>
      </c>
      <c r="C2252" t="s">
        <v>154</v>
      </c>
      <c r="D2252" t="s">
        <v>283</v>
      </c>
      <c r="E2252" t="s">
        <v>412</v>
      </c>
      <c r="F2252">
        <f>HYPERLINK("https://www.wikidata.org/wiki/Q16683492", "Q16683492")</f>
        <v>0</v>
      </c>
      <c r="G2252" t="s">
        <v>1844</v>
      </c>
      <c r="H2252" t="s">
        <v>6503</v>
      </c>
      <c r="I2252" t="s">
        <v>6860</v>
      </c>
      <c r="J2252" t="s">
        <v>12535</v>
      </c>
      <c r="K2252" t="s">
        <v>16947</v>
      </c>
      <c r="L2252">
        <f>HYPERLINK("https://www2.assemblee-nationale.fr/sycomore/fiche/(num_dept)/5114", "5114")</f>
        <v>0</v>
      </c>
      <c r="N2252">
        <f>HYPERLINK("https://www.wikidata.org/wiki/Q16026068", "Q16026068")</f>
        <v>0</v>
      </c>
      <c r="O2252" t="s">
        <v>20039</v>
      </c>
      <c r="P2252" t="s">
        <v>20425</v>
      </c>
      <c r="Q2252" t="s">
        <v>20572</v>
      </c>
      <c r="R2252" t="s">
        <v>16947</v>
      </c>
      <c r="S2252">
        <v>179</v>
      </c>
    </row>
    <row r="2253" spans="1:19">
      <c r="A2253" t="s">
        <v>22</v>
      </c>
      <c r="B2253" t="s">
        <v>148</v>
      </c>
      <c r="C2253" t="s">
        <v>154</v>
      </c>
      <c r="D2253" t="s">
        <v>283</v>
      </c>
      <c r="E2253" t="s">
        <v>412</v>
      </c>
      <c r="F2253">
        <f>HYPERLINK("https://www.wikidata.org/wiki/Q16683492", "Q16683492")</f>
        <v>0</v>
      </c>
      <c r="G2253" t="s">
        <v>1845</v>
      </c>
      <c r="H2253" t="s">
        <v>6504</v>
      </c>
      <c r="I2253" t="s">
        <v>9457</v>
      </c>
      <c r="J2253" t="s">
        <v>12536</v>
      </c>
      <c r="K2253" t="s">
        <v>16948</v>
      </c>
      <c r="L2253">
        <f>HYPERLINK("https://www2.assemblee-nationale.fr/sycomore/fiche/(num_dept)/5122", "5122")</f>
        <v>0</v>
      </c>
      <c r="M2253">
        <f>HYPERLINK("https://www.senat.fr/senateur-3eme-republique/maupoil_henri0356r4.html", "maupoil_henri0356r4")</f>
        <v>0</v>
      </c>
      <c r="N2253">
        <f>HYPERLINK("https://www.wikidata.org/wiki/Q3131615", "Q3131615")</f>
        <v>0</v>
      </c>
      <c r="O2253" t="s">
        <v>19994</v>
      </c>
      <c r="P2253" t="s">
        <v>20423</v>
      </c>
      <c r="Q2253" t="s">
        <v>20572</v>
      </c>
      <c r="R2253" t="s">
        <v>412</v>
      </c>
      <c r="S2253">
        <v>1481</v>
      </c>
    </row>
    <row r="2254" spans="1:19">
      <c r="A2254" t="s">
        <v>22</v>
      </c>
      <c r="B2254" t="s">
        <v>148</v>
      </c>
      <c r="C2254" t="s">
        <v>154</v>
      </c>
      <c r="D2254" t="s">
        <v>283</v>
      </c>
      <c r="E2254" t="s">
        <v>412</v>
      </c>
      <c r="F2254">
        <f>HYPERLINK("https://www.wikidata.org/wiki/Q16683492", "Q16683492")</f>
        <v>0</v>
      </c>
      <c r="G2254" t="s">
        <v>1539</v>
      </c>
      <c r="H2254" t="s">
        <v>6233</v>
      </c>
      <c r="I2254" t="s">
        <v>6175</v>
      </c>
      <c r="J2254" t="s">
        <v>11729</v>
      </c>
      <c r="K2254" t="s">
        <v>16661</v>
      </c>
      <c r="L2254">
        <f>HYPERLINK("https://www2.assemblee-nationale.fr/sycomore/fiche/(num_dept)/5146", "5146")</f>
        <v>0</v>
      </c>
      <c r="N2254">
        <f>HYPERLINK("https://www.wikidata.org/wiki/Q3103182", "Q3103182")</f>
        <v>0</v>
      </c>
      <c r="O2254" t="s">
        <v>20007</v>
      </c>
      <c r="P2254" t="s">
        <v>20412</v>
      </c>
      <c r="Q2254" t="s">
        <v>20572</v>
      </c>
      <c r="R2254" t="s">
        <v>412</v>
      </c>
      <c r="S2254">
        <v>1481</v>
      </c>
    </row>
    <row r="2255" spans="1:19">
      <c r="A2255" t="s">
        <v>22</v>
      </c>
      <c r="B2255" t="s">
        <v>148</v>
      </c>
      <c r="C2255" t="s">
        <v>154</v>
      </c>
      <c r="D2255" t="s">
        <v>283</v>
      </c>
      <c r="E2255" t="s">
        <v>412</v>
      </c>
      <c r="F2255">
        <f>HYPERLINK("https://www.wikidata.org/wiki/Q16683492", "Q16683492")</f>
        <v>0</v>
      </c>
      <c r="G2255" t="s">
        <v>1540</v>
      </c>
      <c r="H2255" t="s">
        <v>6234</v>
      </c>
      <c r="I2255" t="s">
        <v>9834</v>
      </c>
      <c r="J2255" t="s">
        <v>12256</v>
      </c>
      <c r="K2255" t="s">
        <v>16662</v>
      </c>
      <c r="L2255">
        <f>HYPERLINK("https://www2.assemblee-nationale.fr/sycomore/fiche/(num_dept)/5184", "5184")</f>
        <v>0</v>
      </c>
      <c r="N2255">
        <f>HYPERLINK("https://www.wikidata.org/wiki/Q16026084", "Q16026084")</f>
        <v>0</v>
      </c>
      <c r="O2255" t="s">
        <v>20036</v>
      </c>
      <c r="P2255" t="s">
        <v>20422</v>
      </c>
      <c r="Q2255" t="s">
        <v>20572</v>
      </c>
      <c r="R2255" t="s">
        <v>412</v>
      </c>
      <c r="S2255">
        <v>1481</v>
      </c>
    </row>
    <row r="2256" spans="1:19">
      <c r="A2256" t="s">
        <v>22</v>
      </c>
      <c r="B2256" t="s">
        <v>148</v>
      </c>
      <c r="C2256" t="s">
        <v>154</v>
      </c>
      <c r="D2256" t="s">
        <v>283</v>
      </c>
      <c r="E2256" t="s">
        <v>412</v>
      </c>
      <c r="F2256">
        <f>HYPERLINK("https://www.wikidata.org/wiki/Q16683492", "Q16683492")</f>
        <v>0</v>
      </c>
      <c r="G2256" t="s">
        <v>1846</v>
      </c>
      <c r="H2256" t="s">
        <v>6505</v>
      </c>
      <c r="I2256" t="s">
        <v>9601</v>
      </c>
      <c r="J2256" t="s">
        <v>12537</v>
      </c>
      <c r="K2256" t="s">
        <v>16949</v>
      </c>
      <c r="L2256">
        <f>HYPERLINK("https://www2.assemblee-nationale.fr/sycomore/fiche/(num_dept)/5202", "5202")</f>
        <v>0</v>
      </c>
      <c r="N2256">
        <f>HYPERLINK("https://www.wikidata.org/wiki/Q3081593", "Q3081593")</f>
        <v>0</v>
      </c>
      <c r="O2256" t="s">
        <v>20023</v>
      </c>
      <c r="P2256" t="s">
        <v>20422</v>
      </c>
      <c r="Q2256" t="s">
        <v>20572</v>
      </c>
      <c r="R2256" t="s">
        <v>412</v>
      </c>
      <c r="S2256">
        <v>1481</v>
      </c>
    </row>
    <row r="2257" spans="1:19">
      <c r="A2257" t="s">
        <v>22</v>
      </c>
      <c r="B2257" t="s">
        <v>148</v>
      </c>
      <c r="C2257" t="s">
        <v>154</v>
      </c>
      <c r="D2257" t="s">
        <v>283</v>
      </c>
      <c r="E2257" t="s">
        <v>412</v>
      </c>
      <c r="F2257">
        <f>HYPERLINK("https://www.wikidata.org/wiki/Q16683492", "Q16683492")</f>
        <v>0</v>
      </c>
      <c r="G2257" t="s">
        <v>1545</v>
      </c>
      <c r="H2257" t="s">
        <v>5489</v>
      </c>
      <c r="I2257" t="s">
        <v>9837</v>
      </c>
      <c r="J2257" t="s">
        <v>12260</v>
      </c>
      <c r="K2257" t="s">
        <v>16667</v>
      </c>
      <c r="L2257">
        <f>HYPERLINK("https://www2.assemblee-nationale.fr/sycomore/fiche/(num_dept)/5232", "5232")</f>
        <v>0</v>
      </c>
      <c r="M2257">
        <f>HYPERLINK("https://www.senat.fr/senateur-3eme-republique/meunier_albert0164r3.html", "meunier_albert0164r3")</f>
        <v>0</v>
      </c>
      <c r="N2257">
        <f>HYPERLINK("https://www.wikidata.org/wiki/Q16026095", "Q16026095")</f>
        <v>0</v>
      </c>
      <c r="O2257" t="s">
        <v>19959</v>
      </c>
      <c r="P2257" t="s">
        <v>20401</v>
      </c>
      <c r="Q2257" t="s">
        <v>20572</v>
      </c>
      <c r="R2257" t="s">
        <v>412</v>
      </c>
      <c r="S2257">
        <v>1481</v>
      </c>
    </row>
    <row r="2258" spans="1:19">
      <c r="A2258" t="s">
        <v>22</v>
      </c>
      <c r="B2258" t="s">
        <v>148</v>
      </c>
      <c r="C2258" t="s">
        <v>154</v>
      </c>
      <c r="D2258" t="s">
        <v>283</v>
      </c>
      <c r="E2258" t="s">
        <v>412</v>
      </c>
      <c r="F2258">
        <f>HYPERLINK("https://www.wikidata.org/wiki/Q16683492", "Q16683492")</f>
        <v>0</v>
      </c>
      <c r="G2258" t="s">
        <v>1693</v>
      </c>
      <c r="H2258" t="s">
        <v>6239</v>
      </c>
      <c r="I2258" t="s">
        <v>5528</v>
      </c>
      <c r="J2258" t="s">
        <v>12397</v>
      </c>
      <c r="K2258" t="s">
        <v>16805</v>
      </c>
      <c r="L2258">
        <f>HYPERLINK("https://www2.assemblee-nationale.fr/sycomore/fiche/(num_dept)/5241", "5241")</f>
        <v>0</v>
      </c>
      <c r="N2258">
        <f>HYPERLINK("https://www.wikidata.org/wiki/Q1879449", "Q1879449")</f>
        <v>0</v>
      </c>
      <c r="O2258" t="s">
        <v>19978</v>
      </c>
      <c r="P2258" t="s">
        <v>20423</v>
      </c>
      <c r="Q2258" t="s">
        <v>20572</v>
      </c>
      <c r="R2258" t="s">
        <v>412</v>
      </c>
      <c r="S2258">
        <v>1481</v>
      </c>
    </row>
    <row r="2259" spans="1:19">
      <c r="A2259" t="s">
        <v>22</v>
      </c>
      <c r="B2259" t="s">
        <v>148</v>
      </c>
      <c r="C2259" t="s">
        <v>154</v>
      </c>
      <c r="D2259" t="s">
        <v>283</v>
      </c>
      <c r="E2259" t="s">
        <v>412</v>
      </c>
      <c r="F2259">
        <f>HYPERLINK("https://www.wikidata.org/wiki/Q16683492", "Q16683492")</f>
        <v>0</v>
      </c>
      <c r="G2259" t="s">
        <v>1546</v>
      </c>
      <c r="H2259" t="s">
        <v>6239</v>
      </c>
      <c r="I2259" t="s">
        <v>6495</v>
      </c>
      <c r="J2259" t="s">
        <v>12261</v>
      </c>
      <c r="K2259" t="s">
        <v>16668</v>
      </c>
      <c r="L2259">
        <f>HYPERLINK("https://www2.assemblee-nationale.fr/sycomore/fiche/(num_dept)/5242", "5242")</f>
        <v>0</v>
      </c>
      <c r="N2259">
        <f>HYPERLINK("https://www.wikidata.org/wiki/Q1871865", "Q1871865")</f>
        <v>0</v>
      </c>
      <c r="O2259" t="s">
        <v>20050</v>
      </c>
      <c r="P2259" t="s">
        <v>20426</v>
      </c>
      <c r="Q2259" t="s">
        <v>20572</v>
      </c>
      <c r="R2259" t="s">
        <v>412</v>
      </c>
      <c r="S2259">
        <v>1481</v>
      </c>
    </row>
    <row r="2260" spans="1:19">
      <c r="A2260" t="s">
        <v>22</v>
      </c>
      <c r="B2260" t="s">
        <v>148</v>
      </c>
      <c r="C2260" t="s">
        <v>154</v>
      </c>
      <c r="D2260" t="s">
        <v>283</v>
      </c>
      <c r="E2260" t="s">
        <v>412</v>
      </c>
      <c r="F2260">
        <f>HYPERLINK("https://www.wikidata.org/wiki/Q16683492", "Q16683492")</f>
        <v>0</v>
      </c>
      <c r="G2260" t="s">
        <v>1847</v>
      </c>
      <c r="H2260" t="s">
        <v>6506</v>
      </c>
      <c r="I2260" t="s">
        <v>9969</v>
      </c>
      <c r="J2260" t="s">
        <v>12538</v>
      </c>
      <c r="K2260" t="s">
        <v>16950</v>
      </c>
      <c r="L2260">
        <f>HYPERLINK("https://www2.assemblee-nationale.fr/sycomore/fiche/(num_dept)/5260", "5260")</f>
        <v>0</v>
      </c>
      <c r="M2260">
        <f>HYPERLINK("https://www.senat.fr/senateur-3eme-republique/michel_henri0069r3.html", "michel_henri0069r3")</f>
        <v>0</v>
      </c>
      <c r="N2260">
        <f>HYPERLINK("https://www.wikidata.org/wiki/Q3131640", "Q3131640")</f>
        <v>0</v>
      </c>
      <c r="O2260" t="s">
        <v>20033</v>
      </c>
      <c r="P2260" t="s">
        <v>20423</v>
      </c>
      <c r="Q2260" t="s">
        <v>20572</v>
      </c>
      <c r="R2260" t="s">
        <v>412</v>
      </c>
      <c r="S2260">
        <v>1481</v>
      </c>
    </row>
    <row r="2261" spans="1:19">
      <c r="A2261" t="s">
        <v>22</v>
      </c>
      <c r="B2261" t="s">
        <v>148</v>
      </c>
      <c r="C2261" t="s">
        <v>154</v>
      </c>
      <c r="D2261" t="s">
        <v>283</v>
      </c>
      <c r="E2261" t="s">
        <v>412</v>
      </c>
      <c r="F2261">
        <f>HYPERLINK("https://www.wikidata.org/wiki/Q16683492", "Q16683492")</f>
        <v>0</v>
      </c>
      <c r="G2261" t="s">
        <v>1848</v>
      </c>
      <c r="H2261" t="s">
        <v>6507</v>
      </c>
      <c r="I2261" t="s">
        <v>6584</v>
      </c>
      <c r="J2261" t="s">
        <v>12539</v>
      </c>
      <c r="K2261" t="s">
        <v>16951</v>
      </c>
      <c r="L2261">
        <f>HYPERLINK("https://www2.assemblee-nationale.fr/sycomore/fiche/(num_dept)/5280", "5280")</f>
        <v>0</v>
      </c>
      <c r="N2261">
        <f>HYPERLINK("https://www.wikidata.org/wiki/Q2831401", "Q2831401")</f>
        <v>0</v>
      </c>
      <c r="O2261" t="s">
        <v>7411</v>
      </c>
      <c r="P2261" t="s">
        <v>20423</v>
      </c>
      <c r="Q2261" t="s">
        <v>20572</v>
      </c>
      <c r="R2261" t="s">
        <v>412</v>
      </c>
      <c r="S2261">
        <v>1481</v>
      </c>
    </row>
    <row r="2262" spans="1:19">
      <c r="A2262" t="s">
        <v>22</v>
      </c>
      <c r="B2262" t="s">
        <v>148</v>
      </c>
      <c r="C2262" t="s">
        <v>154</v>
      </c>
      <c r="D2262" t="s">
        <v>283</v>
      </c>
      <c r="E2262" t="s">
        <v>412</v>
      </c>
      <c r="F2262">
        <f>HYPERLINK("https://www.wikidata.org/wiki/Q16683492", "Q16683492")</f>
        <v>0</v>
      </c>
      <c r="G2262" t="s">
        <v>1547</v>
      </c>
      <c r="H2262" t="s">
        <v>6240</v>
      </c>
      <c r="I2262" t="s">
        <v>9838</v>
      </c>
      <c r="J2262" t="s">
        <v>12262</v>
      </c>
      <c r="K2262" t="s">
        <v>16669</v>
      </c>
      <c r="L2262">
        <f>HYPERLINK("https://www2.assemblee-nationale.fr/sycomore/fiche/(num_dept)/5281", "5281")</f>
        <v>0</v>
      </c>
      <c r="N2262">
        <f>HYPERLINK("https://www.wikidata.org/wiki/Q3085363", "Q3085363")</f>
        <v>0</v>
      </c>
      <c r="O2262" t="s">
        <v>19960</v>
      </c>
      <c r="P2262" t="s">
        <v>20423</v>
      </c>
      <c r="Q2262" t="s">
        <v>20572</v>
      </c>
      <c r="R2262" t="s">
        <v>412</v>
      </c>
      <c r="S2262">
        <v>1481</v>
      </c>
    </row>
    <row r="2263" spans="1:19">
      <c r="A2263" t="s">
        <v>22</v>
      </c>
      <c r="B2263" t="s">
        <v>148</v>
      </c>
      <c r="C2263" t="s">
        <v>154</v>
      </c>
      <c r="D2263" t="s">
        <v>283</v>
      </c>
      <c r="E2263" t="s">
        <v>412</v>
      </c>
      <c r="F2263">
        <f>HYPERLINK("https://www.wikidata.org/wiki/Q16683492", "Q16683492")</f>
        <v>0</v>
      </c>
      <c r="G2263" t="s">
        <v>1849</v>
      </c>
      <c r="H2263" t="s">
        <v>6508</v>
      </c>
      <c r="I2263" t="s">
        <v>6941</v>
      </c>
      <c r="J2263" t="s">
        <v>12540</v>
      </c>
      <c r="K2263" t="s">
        <v>16952</v>
      </c>
      <c r="L2263">
        <f>HYPERLINK("https://www2.assemblee-nationale.fr/sycomore/fiche/(num_dept)/5309", "5309")</f>
        <v>0</v>
      </c>
      <c r="N2263">
        <f>HYPERLINK("https://www.wikidata.org/wiki/Q16026113", "Q16026113")</f>
        <v>0</v>
      </c>
      <c r="O2263" t="s">
        <v>19969</v>
      </c>
      <c r="P2263" t="s">
        <v>20422</v>
      </c>
      <c r="Q2263" t="s">
        <v>20572</v>
      </c>
      <c r="R2263" t="s">
        <v>412</v>
      </c>
      <c r="S2263">
        <v>1481</v>
      </c>
    </row>
    <row r="2264" spans="1:19">
      <c r="A2264" t="s">
        <v>22</v>
      </c>
      <c r="B2264" t="s">
        <v>148</v>
      </c>
      <c r="C2264" t="s">
        <v>154</v>
      </c>
      <c r="D2264" t="s">
        <v>283</v>
      </c>
      <c r="E2264" t="s">
        <v>412</v>
      </c>
      <c r="F2264">
        <f>HYPERLINK("https://www.wikidata.org/wiki/Q16683492", "Q16683492")</f>
        <v>0</v>
      </c>
      <c r="G2264" t="s">
        <v>1006</v>
      </c>
      <c r="H2264" t="s">
        <v>5757</v>
      </c>
      <c r="I2264" t="s">
        <v>9388</v>
      </c>
      <c r="J2264" t="s">
        <v>11743</v>
      </c>
      <c r="K2264" t="s">
        <v>16147</v>
      </c>
      <c r="L2264">
        <f>HYPERLINK("https://www2.assemblee-nationale.fr/sycomore/fiche/(num_dept)/5311", "5311")</f>
        <v>0</v>
      </c>
      <c r="N2264">
        <f>HYPERLINK("https://www.wikidata.org/wiki/Q3371849", "Q3371849")</f>
        <v>0</v>
      </c>
      <c r="O2264" t="s">
        <v>20006</v>
      </c>
      <c r="P2264" t="s">
        <v>20404</v>
      </c>
      <c r="Q2264" t="s">
        <v>20572</v>
      </c>
      <c r="R2264" t="s">
        <v>412</v>
      </c>
      <c r="S2264">
        <v>1481</v>
      </c>
    </row>
    <row r="2265" spans="1:19">
      <c r="A2265" t="s">
        <v>22</v>
      </c>
      <c r="B2265" t="s">
        <v>148</v>
      </c>
      <c r="C2265" t="s">
        <v>154</v>
      </c>
      <c r="D2265" t="s">
        <v>283</v>
      </c>
      <c r="E2265" t="s">
        <v>412</v>
      </c>
      <c r="F2265">
        <f>HYPERLINK("https://www.wikidata.org/wiki/Q16683492", "Q16683492")</f>
        <v>0</v>
      </c>
      <c r="G2265" t="s">
        <v>1548</v>
      </c>
      <c r="H2265" t="s">
        <v>6241</v>
      </c>
      <c r="I2265" t="s">
        <v>9592</v>
      </c>
      <c r="J2265" t="s">
        <v>12263</v>
      </c>
      <c r="K2265" t="s">
        <v>16670</v>
      </c>
      <c r="L2265">
        <f>HYPERLINK("https://www2.assemblee-nationale.fr/sycomore/fiche/(num_dept)/5328", "5328")</f>
        <v>0</v>
      </c>
      <c r="N2265">
        <f>HYPERLINK("https://www.wikidata.org/wiki/Q13080885", "Q13080885")</f>
        <v>0</v>
      </c>
      <c r="O2265" t="s">
        <v>19969</v>
      </c>
      <c r="P2265" t="s">
        <v>20401</v>
      </c>
      <c r="Q2265" t="s">
        <v>20572</v>
      </c>
      <c r="R2265" t="s">
        <v>412</v>
      </c>
      <c r="S2265">
        <v>1481</v>
      </c>
    </row>
    <row r="2266" spans="1:19">
      <c r="A2266" t="s">
        <v>22</v>
      </c>
      <c r="B2266" t="s">
        <v>148</v>
      </c>
      <c r="C2266" t="s">
        <v>154</v>
      </c>
      <c r="D2266" t="s">
        <v>283</v>
      </c>
      <c r="E2266" t="s">
        <v>412</v>
      </c>
      <c r="F2266">
        <f>HYPERLINK("https://www.wikidata.org/wiki/Q16683492", "Q16683492")</f>
        <v>0</v>
      </c>
      <c r="G2266" t="s">
        <v>1549</v>
      </c>
      <c r="H2266" t="s">
        <v>6241</v>
      </c>
      <c r="I2266" t="s">
        <v>6200</v>
      </c>
      <c r="J2266" t="s">
        <v>12264</v>
      </c>
      <c r="K2266" t="s">
        <v>16671</v>
      </c>
      <c r="L2266">
        <f>HYPERLINK("https://www2.assemblee-nationale.fr/sycomore/fiche/(num_dept)/5329", "5329")</f>
        <v>0</v>
      </c>
      <c r="N2266">
        <f>HYPERLINK("https://www.wikidata.org/wiki/Q3173564", "Q3173564")</f>
        <v>0</v>
      </c>
      <c r="O2266" t="s">
        <v>19967</v>
      </c>
      <c r="P2266" t="s">
        <v>20409</v>
      </c>
      <c r="Q2266" t="s">
        <v>20572</v>
      </c>
      <c r="R2266" t="s">
        <v>412</v>
      </c>
      <c r="S2266">
        <v>1481</v>
      </c>
    </row>
    <row r="2267" spans="1:19">
      <c r="A2267" t="s">
        <v>22</v>
      </c>
      <c r="B2267" t="s">
        <v>148</v>
      </c>
      <c r="C2267" t="s">
        <v>154</v>
      </c>
      <c r="D2267" t="s">
        <v>283</v>
      </c>
      <c r="E2267" t="s">
        <v>412</v>
      </c>
      <c r="F2267">
        <f>HYPERLINK("https://www.wikidata.org/wiki/Q16683492", "Q16683492")</f>
        <v>0</v>
      </c>
      <c r="G2267" t="s">
        <v>1850</v>
      </c>
      <c r="H2267" t="s">
        <v>6509</v>
      </c>
      <c r="I2267" t="s">
        <v>9970</v>
      </c>
      <c r="J2267" t="s">
        <v>12541</v>
      </c>
      <c r="K2267" t="s">
        <v>16953</v>
      </c>
      <c r="L2267">
        <f>HYPERLINK("https://www2.assemblee-nationale.fr/sycomore/fiche/(num_dept)/5334", "5334")</f>
        <v>0</v>
      </c>
      <c r="N2267">
        <f>HYPERLINK("https://www.wikidata.org/wiki/Q3579966", "Q3579966")</f>
        <v>0</v>
      </c>
      <c r="O2267" t="s">
        <v>20050</v>
      </c>
      <c r="P2267" t="s">
        <v>20422</v>
      </c>
      <c r="Q2267" t="s">
        <v>20572</v>
      </c>
      <c r="R2267" t="s">
        <v>412</v>
      </c>
      <c r="S2267">
        <v>1481</v>
      </c>
    </row>
    <row r="2268" spans="1:19">
      <c r="A2268" t="s">
        <v>22</v>
      </c>
      <c r="B2268" t="s">
        <v>148</v>
      </c>
      <c r="C2268" t="s">
        <v>154</v>
      </c>
      <c r="D2268" t="s">
        <v>283</v>
      </c>
      <c r="E2268" t="s">
        <v>412</v>
      </c>
      <c r="F2268">
        <f>HYPERLINK("https://www.wikidata.org/wiki/Q16683492", "Q16683492")</f>
        <v>0</v>
      </c>
      <c r="G2268" t="s">
        <v>1550</v>
      </c>
      <c r="H2268" t="s">
        <v>6242</v>
      </c>
      <c r="I2268" t="s">
        <v>9839</v>
      </c>
      <c r="J2268" t="s">
        <v>12265</v>
      </c>
      <c r="K2268" t="s">
        <v>16672</v>
      </c>
      <c r="L2268">
        <f>HYPERLINK("https://www2.assemblee-nationale.fr/sycomore/fiche/(num_dept)/5341", "5341")</f>
        <v>0</v>
      </c>
      <c r="N2268">
        <f>HYPERLINK("https://www.wikidata.org/wiki/Q3387633", "Q3387633")</f>
        <v>0</v>
      </c>
      <c r="O2268" t="s">
        <v>19986</v>
      </c>
      <c r="P2268" t="s">
        <v>20422</v>
      </c>
      <c r="Q2268" t="s">
        <v>20572</v>
      </c>
      <c r="R2268" t="s">
        <v>412</v>
      </c>
      <c r="S2268">
        <v>1481</v>
      </c>
    </row>
    <row r="2269" spans="1:19">
      <c r="A2269" t="s">
        <v>22</v>
      </c>
      <c r="B2269" t="s">
        <v>148</v>
      </c>
      <c r="C2269" t="s">
        <v>154</v>
      </c>
      <c r="D2269" t="s">
        <v>283</v>
      </c>
      <c r="E2269" t="s">
        <v>412</v>
      </c>
      <c r="F2269">
        <f>HYPERLINK("https://www.wikidata.org/wiki/Q16683492", "Q16683492")</f>
        <v>0</v>
      </c>
      <c r="G2269" t="s">
        <v>1851</v>
      </c>
      <c r="H2269" t="s">
        <v>6510</v>
      </c>
      <c r="I2269" t="s">
        <v>9971</v>
      </c>
      <c r="J2269" t="s">
        <v>12542</v>
      </c>
      <c r="K2269" t="s">
        <v>16954</v>
      </c>
      <c r="L2269">
        <f>HYPERLINK("https://www2.assemblee-nationale.fr/sycomore/fiche/(num_dept)/5388", "5388")</f>
        <v>0</v>
      </c>
      <c r="N2269">
        <f>HYPERLINK("https://www.wikidata.org/wiki/Q3173588", "Q3173588")</f>
        <v>0</v>
      </c>
      <c r="O2269" t="s">
        <v>19956</v>
      </c>
      <c r="P2269" t="s">
        <v>20423</v>
      </c>
      <c r="Q2269" t="s">
        <v>20572</v>
      </c>
      <c r="R2269" t="s">
        <v>412</v>
      </c>
      <c r="S2269">
        <v>1481</v>
      </c>
    </row>
    <row r="2270" spans="1:19">
      <c r="A2270" t="s">
        <v>22</v>
      </c>
      <c r="B2270" t="s">
        <v>148</v>
      </c>
      <c r="C2270" t="s">
        <v>154</v>
      </c>
      <c r="D2270" t="s">
        <v>283</v>
      </c>
      <c r="E2270" t="s">
        <v>412</v>
      </c>
      <c r="F2270">
        <f>HYPERLINK("https://www.wikidata.org/wiki/Q16683492", "Q16683492")</f>
        <v>0</v>
      </c>
      <c r="G2270" t="s">
        <v>737</v>
      </c>
      <c r="H2270" t="s">
        <v>5495</v>
      </c>
      <c r="I2270" t="s">
        <v>9502</v>
      </c>
      <c r="J2270" t="s">
        <v>11486</v>
      </c>
      <c r="K2270" t="s">
        <v>15888</v>
      </c>
      <c r="L2270">
        <f>HYPERLINK("https://www2.assemblee-nationale.fr/sycomore/fiche/(num_dept)/5390", "5390")</f>
        <v>0</v>
      </c>
      <c r="N2270">
        <f>HYPERLINK("https://www.wikidata.org/wiki/Q3580083", "Q3580083")</f>
        <v>0</v>
      </c>
      <c r="O2270" t="s">
        <v>19982</v>
      </c>
      <c r="P2270" t="s">
        <v>20412</v>
      </c>
      <c r="Q2270" t="s">
        <v>20572</v>
      </c>
      <c r="R2270" t="s">
        <v>412</v>
      </c>
      <c r="S2270">
        <v>1481</v>
      </c>
    </row>
    <row r="2271" spans="1:19">
      <c r="A2271" t="s">
        <v>22</v>
      </c>
      <c r="B2271" t="s">
        <v>148</v>
      </c>
      <c r="C2271" t="s">
        <v>154</v>
      </c>
      <c r="D2271" t="s">
        <v>283</v>
      </c>
      <c r="E2271" t="s">
        <v>412</v>
      </c>
      <c r="F2271">
        <f>HYPERLINK("https://www.wikidata.org/wiki/Q16683492", "Q16683492")</f>
        <v>0</v>
      </c>
      <c r="G2271" t="s">
        <v>1552</v>
      </c>
      <c r="H2271" t="s">
        <v>5495</v>
      </c>
      <c r="I2271" t="s">
        <v>9840</v>
      </c>
      <c r="J2271" t="s">
        <v>12266</v>
      </c>
      <c r="K2271" t="s">
        <v>16674</v>
      </c>
      <c r="L2271">
        <f>HYPERLINK("https://www2.assemblee-nationale.fr/sycomore/fiche/(num_dept)/5392", "5392")</f>
        <v>0</v>
      </c>
      <c r="N2271">
        <f>HYPERLINK("https://www.wikidata.org/wiki/Q3122275", "Q3122275")</f>
        <v>0</v>
      </c>
      <c r="O2271" t="s">
        <v>19984</v>
      </c>
      <c r="P2271" t="s">
        <v>20422</v>
      </c>
      <c r="Q2271" t="s">
        <v>20572</v>
      </c>
      <c r="R2271" t="s">
        <v>412</v>
      </c>
      <c r="S2271">
        <v>1481</v>
      </c>
    </row>
    <row r="2272" spans="1:19">
      <c r="A2272" t="s">
        <v>22</v>
      </c>
      <c r="B2272" t="s">
        <v>148</v>
      </c>
      <c r="C2272" t="s">
        <v>154</v>
      </c>
      <c r="D2272" t="s">
        <v>283</v>
      </c>
      <c r="E2272" t="s">
        <v>412</v>
      </c>
      <c r="F2272">
        <f>HYPERLINK("https://www.wikidata.org/wiki/Q16683492", "Q16683492")</f>
        <v>0</v>
      </c>
      <c r="G2272" t="s">
        <v>1852</v>
      </c>
      <c r="H2272" t="s">
        <v>5498</v>
      </c>
      <c r="I2272" t="s">
        <v>6166</v>
      </c>
      <c r="J2272" t="s">
        <v>12543</v>
      </c>
      <c r="K2272" t="s">
        <v>16483</v>
      </c>
      <c r="L2272">
        <f>HYPERLINK("https://www2.assemblee-nationale.fr/sycomore/fiche/(num_dept)/5409", "5409")</f>
        <v>0</v>
      </c>
      <c r="N2272">
        <f>HYPERLINK("https://www.wikidata.org/wiki/Q16026145", "Q16026145")</f>
        <v>0</v>
      </c>
      <c r="O2272" t="s">
        <v>19962</v>
      </c>
      <c r="P2272" t="s">
        <v>20423</v>
      </c>
      <c r="Q2272" t="s">
        <v>20572</v>
      </c>
      <c r="R2272" t="s">
        <v>412</v>
      </c>
      <c r="S2272">
        <v>1481</v>
      </c>
    </row>
    <row r="2273" spans="1:19">
      <c r="A2273" t="s">
        <v>22</v>
      </c>
      <c r="B2273" t="s">
        <v>148</v>
      </c>
      <c r="C2273" t="s">
        <v>154</v>
      </c>
      <c r="D2273" t="s">
        <v>283</v>
      </c>
      <c r="E2273" t="s">
        <v>412</v>
      </c>
      <c r="F2273">
        <f>HYPERLINK("https://www.wikidata.org/wiki/Q16683492", "Q16683492")</f>
        <v>0</v>
      </c>
      <c r="G2273" t="s">
        <v>740</v>
      </c>
      <c r="H2273" t="s">
        <v>5498</v>
      </c>
      <c r="I2273" t="s">
        <v>9388</v>
      </c>
      <c r="J2273" t="s">
        <v>11489</v>
      </c>
      <c r="K2273" t="s">
        <v>15891</v>
      </c>
      <c r="L2273">
        <f>HYPERLINK("https://www2.assemblee-nationale.fr/sycomore/fiche/(num_dept)/5413", "5413")</f>
        <v>0</v>
      </c>
      <c r="N2273">
        <f>HYPERLINK("https://www.wikidata.org/wiki/Q3371866", "Q3371866")</f>
        <v>0</v>
      </c>
      <c r="O2273" t="s">
        <v>20036</v>
      </c>
      <c r="P2273" t="s">
        <v>20401</v>
      </c>
      <c r="Q2273" t="s">
        <v>20572</v>
      </c>
      <c r="R2273" t="s">
        <v>412</v>
      </c>
      <c r="S2273">
        <v>1481</v>
      </c>
    </row>
    <row r="2274" spans="1:19">
      <c r="A2274" t="s">
        <v>22</v>
      </c>
      <c r="B2274" t="s">
        <v>148</v>
      </c>
      <c r="C2274" t="s">
        <v>154</v>
      </c>
      <c r="D2274" t="s">
        <v>283</v>
      </c>
      <c r="E2274" t="s">
        <v>412</v>
      </c>
      <c r="F2274">
        <f>HYPERLINK("https://www.wikidata.org/wiki/Q16683492", "Q16683492")</f>
        <v>0</v>
      </c>
      <c r="G2274" t="s">
        <v>1009</v>
      </c>
      <c r="H2274" t="s">
        <v>5498</v>
      </c>
      <c r="I2274" t="s">
        <v>9483</v>
      </c>
      <c r="J2274" t="s">
        <v>11746</v>
      </c>
      <c r="K2274" t="s">
        <v>16149</v>
      </c>
      <c r="L2274">
        <f>HYPERLINK("https://www2.assemblee-nationale.fr/sycomore/fiche/(num_dept)/5414", "5414")</f>
        <v>0</v>
      </c>
      <c r="N2274">
        <f>HYPERLINK("https://www.wikidata.org/wiki/Q16026151", "Q16026151")</f>
        <v>0</v>
      </c>
      <c r="O2274" t="s">
        <v>19968</v>
      </c>
      <c r="P2274" t="s">
        <v>20401</v>
      </c>
      <c r="Q2274" t="s">
        <v>20572</v>
      </c>
      <c r="R2274" t="s">
        <v>16149</v>
      </c>
      <c r="S2274">
        <v>987</v>
      </c>
    </row>
    <row r="2275" spans="1:19">
      <c r="A2275" t="s">
        <v>22</v>
      </c>
      <c r="B2275" t="s">
        <v>148</v>
      </c>
      <c r="C2275" t="s">
        <v>154</v>
      </c>
      <c r="D2275" t="s">
        <v>283</v>
      </c>
      <c r="E2275" t="s">
        <v>412</v>
      </c>
      <c r="F2275">
        <f>HYPERLINK("https://www.wikidata.org/wiki/Q16683492", "Q16683492")</f>
        <v>0</v>
      </c>
      <c r="G2275" t="s">
        <v>1278</v>
      </c>
      <c r="H2275" t="s">
        <v>5760</v>
      </c>
      <c r="I2275" t="s">
        <v>9376</v>
      </c>
      <c r="J2275" t="s">
        <v>12008</v>
      </c>
      <c r="K2275" t="s">
        <v>16411</v>
      </c>
      <c r="L2275">
        <f>HYPERLINK("https://www2.assemblee-nationale.fr/sycomore/fiche/(num_dept)/5421", "5421")</f>
        <v>0</v>
      </c>
      <c r="N2275">
        <f>HYPERLINK("https://www.wikidata.org/wiki/Q3068631", "Q3068631")</f>
        <v>0</v>
      </c>
      <c r="O2275" t="s">
        <v>20008</v>
      </c>
      <c r="P2275" t="s">
        <v>20404</v>
      </c>
      <c r="Q2275" t="s">
        <v>20572</v>
      </c>
      <c r="R2275" t="s">
        <v>412</v>
      </c>
      <c r="S2275">
        <v>1481</v>
      </c>
    </row>
    <row r="2276" spans="1:19">
      <c r="A2276" t="s">
        <v>22</v>
      </c>
      <c r="B2276" t="s">
        <v>148</v>
      </c>
      <c r="C2276" t="s">
        <v>154</v>
      </c>
      <c r="D2276" t="s">
        <v>283</v>
      </c>
      <c r="E2276" t="s">
        <v>412</v>
      </c>
      <c r="F2276">
        <f>HYPERLINK("https://www.wikidata.org/wiki/Q16683492", "Q16683492")</f>
        <v>0</v>
      </c>
      <c r="G2276" t="s">
        <v>1553</v>
      </c>
      <c r="H2276" t="s">
        <v>6244</v>
      </c>
      <c r="I2276" t="s">
        <v>9437</v>
      </c>
      <c r="J2276" t="s">
        <v>12267</v>
      </c>
      <c r="K2276" t="s">
        <v>16675</v>
      </c>
      <c r="L2276">
        <f>HYPERLINK("https://www2.assemblee-nationale.fr/sycomore/fiche/(num_dept)/5425", "5425")</f>
        <v>0</v>
      </c>
      <c r="N2276">
        <f>HYPERLINK("https://www.wikidata.org/wiki/Q3588669", "Q3588669")</f>
        <v>0</v>
      </c>
      <c r="O2276" t="s">
        <v>20000</v>
      </c>
      <c r="P2276" t="s">
        <v>20425</v>
      </c>
      <c r="Q2276" t="s">
        <v>20572</v>
      </c>
      <c r="R2276" t="s">
        <v>412</v>
      </c>
      <c r="S2276">
        <v>1481</v>
      </c>
    </row>
    <row r="2277" spans="1:19">
      <c r="A2277" t="s">
        <v>22</v>
      </c>
      <c r="B2277" t="s">
        <v>148</v>
      </c>
      <c r="C2277" t="s">
        <v>154</v>
      </c>
      <c r="D2277" t="s">
        <v>283</v>
      </c>
      <c r="E2277" t="s">
        <v>412</v>
      </c>
      <c r="F2277">
        <f>HYPERLINK("https://www.wikidata.org/wiki/Q16683492", "Q16683492")</f>
        <v>0</v>
      </c>
      <c r="G2277" t="s">
        <v>1554</v>
      </c>
      <c r="H2277" t="s">
        <v>6245</v>
      </c>
      <c r="I2277" t="s">
        <v>5812</v>
      </c>
      <c r="J2277" t="s">
        <v>12268</v>
      </c>
      <c r="K2277" t="s">
        <v>16676</v>
      </c>
      <c r="L2277">
        <f>HYPERLINK("https://www2.assemblee-nationale.fr/sycomore/fiche/(num_dept)/5431", "5431")</f>
        <v>0</v>
      </c>
      <c r="N2277">
        <f>HYPERLINK("https://www.wikidata.org/wiki/Q365259", "Q365259")</f>
        <v>0</v>
      </c>
      <c r="O2277" t="s">
        <v>19955</v>
      </c>
      <c r="P2277" t="s">
        <v>20425</v>
      </c>
      <c r="Q2277" t="s">
        <v>20572</v>
      </c>
      <c r="R2277" t="s">
        <v>412</v>
      </c>
      <c r="S2277">
        <v>1481</v>
      </c>
    </row>
    <row r="2278" spans="1:19">
      <c r="A2278" t="s">
        <v>22</v>
      </c>
      <c r="B2278" t="s">
        <v>148</v>
      </c>
      <c r="C2278" t="s">
        <v>154</v>
      </c>
      <c r="D2278" t="s">
        <v>283</v>
      </c>
      <c r="E2278" t="s">
        <v>412</v>
      </c>
      <c r="F2278">
        <f>HYPERLINK("https://www.wikidata.org/wiki/Q16683492", "Q16683492")</f>
        <v>0</v>
      </c>
      <c r="G2278" t="s">
        <v>1336</v>
      </c>
      <c r="H2278" t="s">
        <v>6054</v>
      </c>
      <c r="I2278" t="s">
        <v>9593</v>
      </c>
      <c r="J2278" t="s">
        <v>12063</v>
      </c>
      <c r="K2278" t="s">
        <v>16465</v>
      </c>
      <c r="L2278">
        <f>HYPERLINK("https://www2.assemblee-nationale.fr/sycomore/fiche/(num_dept)/5466", "5466")</f>
        <v>0</v>
      </c>
      <c r="N2278">
        <f>HYPERLINK("https://www.wikidata.org/wiki/Q3293837", "Q3293837")</f>
        <v>0</v>
      </c>
      <c r="O2278" t="s">
        <v>19965</v>
      </c>
      <c r="P2278" t="s">
        <v>20404</v>
      </c>
      <c r="Q2278" t="s">
        <v>20572</v>
      </c>
      <c r="R2278" t="s">
        <v>412</v>
      </c>
      <c r="S2278">
        <v>1481</v>
      </c>
    </row>
    <row r="2279" spans="1:19">
      <c r="A2279" t="s">
        <v>22</v>
      </c>
      <c r="B2279" t="s">
        <v>148</v>
      </c>
      <c r="C2279" t="s">
        <v>154</v>
      </c>
      <c r="D2279" t="s">
        <v>283</v>
      </c>
      <c r="E2279" t="s">
        <v>412</v>
      </c>
      <c r="F2279">
        <f>HYPERLINK("https://www.wikidata.org/wiki/Q16683492", "Q16683492")</f>
        <v>0</v>
      </c>
      <c r="G2279" t="s">
        <v>1557</v>
      </c>
      <c r="H2279" t="s">
        <v>6248</v>
      </c>
      <c r="I2279" t="s">
        <v>9465</v>
      </c>
      <c r="J2279" t="s">
        <v>12270</v>
      </c>
      <c r="K2279" t="s">
        <v>16679</v>
      </c>
      <c r="L2279">
        <f>HYPERLINK("https://www2.assemblee-nationale.fr/sycomore/fiche/(num_dept)/5478", "5478")</f>
        <v>0</v>
      </c>
      <c r="M2279">
        <f>HYPERLINK("https://www.senat.fr/senateur-3eme-republique/muller_eugene1101r3.html", "muller_eugene1101r3")</f>
        <v>0</v>
      </c>
      <c r="N2279">
        <f>HYPERLINK("https://www.wikidata.org/wiki/Q3060060", "Q3060060")</f>
        <v>0</v>
      </c>
      <c r="O2279" t="s">
        <v>20048</v>
      </c>
      <c r="P2279" t="s">
        <v>20422</v>
      </c>
      <c r="Q2279" t="s">
        <v>20572</v>
      </c>
      <c r="R2279" t="s">
        <v>18384</v>
      </c>
      <c r="S2279">
        <v>996</v>
      </c>
    </row>
    <row r="2280" spans="1:19">
      <c r="A2280" t="s">
        <v>22</v>
      </c>
      <c r="B2280" t="s">
        <v>148</v>
      </c>
      <c r="C2280" t="s">
        <v>154</v>
      </c>
      <c r="D2280" t="s">
        <v>283</v>
      </c>
      <c r="E2280" t="s">
        <v>412</v>
      </c>
      <c r="F2280">
        <f>HYPERLINK("https://www.wikidata.org/wiki/Q16683492", "Q16683492")</f>
        <v>0</v>
      </c>
      <c r="G2280" t="s">
        <v>1853</v>
      </c>
      <c r="H2280" t="s">
        <v>6248</v>
      </c>
      <c r="I2280" t="s">
        <v>9470</v>
      </c>
      <c r="J2280" t="s">
        <v>12544</v>
      </c>
      <c r="K2280" t="s">
        <v>16485</v>
      </c>
      <c r="L2280">
        <f>HYPERLINK("https://www2.assemblee-nationale.fr/sycomore/fiche/(num_dept)/5479", "5479")</f>
        <v>0</v>
      </c>
      <c r="N2280">
        <f>HYPERLINK("https://www.wikidata.org/wiki/Q16026169", "Q16026169")</f>
        <v>0</v>
      </c>
      <c r="O2280" t="s">
        <v>19969</v>
      </c>
      <c r="P2280" t="s">
        <v>20424</v>
      </c>
      <c r="Q2280" t="s">
        <v>20572</v>
      </c>
      <c r="R2280" t="s">
        <v>412</v>
      </c>
      <c r="S2280">
        <v>1481</v>
      </c>
    </row>
    <row r="2281" spans="1:19">
      <c r="A2281" t="s">
        <v>22</v>
      </c>
      <c r="B2281" t="s">
        <v>148</v>
      </c>
      <c r="C2281" t="s">
        <v>154</v>
      </c>
      <c r="D2281" t="s">
        <v>283</v>
      </c>
      <c r="E2281" t="s">
        <v>412</v>
      </c>
      <c r="F2281">
        <f>HYPERLINK("https://www.wikidata.org/wiki/Q16683492", "Q16683492")</f>
        <v>0</v>
      </c>
      <c r="G2281" t="s">
        <v>1280</v>
      </c>
      <c r="H2281" t="s">
        <v>5500</v>
      </c>
      <c r="I2281" t="s">
        <v>9733</v>
      </c>
      <c r="J2281" t="s">
        <v>12010</v>
      </c>
      <c r="K2281" t="s">
        <v>16413</v>
      </c>
      <c r="L2281">
        <f>HYPERLINK("https://www2.assemblee-nationale.fr/sycomore/fiche/(num_dept)/5483", "5483")</f>
        <v>0</v>
      </c>
      <c r="N2281">
        <f>HYPERLINK("https://www.wikidata.org/wiki/Q2899751", "Q2899751")</f>
        <v>0</v>
      </c>
      <c r="O2281" t="s">
        <v>20025</v>
      </c>
      <c r="P2281" t="s">
        <v>20422</v>
      </c>
      <c r="Q2281" t="s">
        <v>20572</v>
      </c>
      <c r="R2281" t="s">
        <v>412</v>
      </c>
      <c r="S2281">
        <v>1481</v>
      </c>
    </row>
    <row r="2282" spans="1:19">
      <c r="A2282" t="s">
        <v>22</v>
      </c>
      <c r="B2282" t="s">
        <v>148</v>
      </c>
      <c r="C2282" t="s">
        <v>154</v>
      </c>
      <c r="D2282" t="s">
        <v>283</v>
      </c>
      <c r="E2282" t="s">
        <v>412</v>
      </c>
      <c r="F2282">
        <f>HYPERLINK("https://www.wikidata.org/wiki/Q16683492", "Q16683492")</f>
        <v>0</v>
      </c>
      <c r="G2282" t="s">
        <v>1281</v>
      </c>
      <c r="H2282" t="s">
        <v>6003</v>
      </c>
      <c r="I2282" t="s">
        <v>9734</v>
      </c>
      <c r="J2282" t="s">
        <v>12011</v>
      </c>
      <c r="K2282" t="s">
        <v>16414</v>
      </c>
      <c r="L2282">
        <f>HYPERLINK("https://www2.assemblee-nationale.fr/sycomore/fiche/(num_dept)/5499", "5499")</f>
        <v>0</v>
      </c>
      <c r="N2282">
        <f>HYPERLINK("https://www.wikidata.org/wiki/Q3188821", "Q3188821")</f>
        <v>0</v>
      </c>
      <c r="O2282" t="s">
        <v>20044</v>
      </c>
      <c r="P2282" t="s">
        <v>20404</v>
      </c>
      <c r="Q2282" t="s">
        <v>20572</v>
      </c>
      <c r="R2282" t="s">
        <v>412</v>
      </c>
      <c r="S2282">
        <v>1481</v>
      </c>
    </row>
    <row r="2283" spans="1:19">
      <c r="A2283" t="s">
        <v>22</v>
      </c>
      <c r="B2283" t="s">
        <v>148</v>
      </c>
      <c r="C2283" t="s">
        <v>154</v>
      </c>
      <c r="D2283" t="s">
        <v>283</v>
      </c>
      <c r="E2283" t="s">
        <v>412</v>
      </c>
      <c r="F2283">
        <f>HYPERLINK("https://www.wikidata.org/wiki/Q16683492", "Q16683492")</f>
        <v>0</v>
      </c>
      <c r="G2283" t="s">
        <v>1854</v>
      </c>
      <c r="H2283" t="s">
        <v>6511</v>
      </c>
      <c r="I2283" t="s">
        <v>9516</v>
      </c>
      <c r="J2283" t="s">
        <v>12545</v>
      </c>
      <c r="K2283" t="s">
        <v>16955</v>
      </c>
      <c r="L2283">
        <f>HYPERLINK("https://www2.assemblee-nationale.fr/sycomore/fiche/(num_dept)/5505", "5505")</f>
        <v>0</v>
      </c>
      <c r="N2283">
        <f>HYPERLINK("https://www.wikidata.org/wiki/Q3592297", "Q3592297")</f>
        <v>0</v>
      </c>
      <c r="O2283" t="s">
        <v>20003</v>
      </c>
      <c r="P2283" t="s">
        <v>20423</v>
      </c>
      <c r="Q2283" t="s">
        <v>20572</v>
      </c>
      <c r="R2283" t="s">
        <v>412</v>
      </c>
      <c r="S2283">
        <v>1481</v>
      </c>
    </row>
    <row r="2284" spans="1:19">
      <c r="A2284" t="s">
        <v>22</v>
      </c>
      <c r="B2284" t="s">
        <v>148</v>
      </c>
      <c r="C2284" t="s">
        <v>154</v>
      </c>
      <c r="D2284" t="s">
        <v>283</v>
      </c>
      <c r="E2284" t="s">
        <v>412</v>
      </c>
      <c r="F2284">
        <f>HYPERLINK("https://www.wikidata.org/wiki/Q16683492", "Q16683492")</f>
        <v>0</v>
      </c>
      <c r="G2284" t="s">
        <v>1855</v>
      </c>
      <c r="H2284" t="s">
        <v>5503</v>
      </c>
      <c r="I2284" t="s">
        <v>6495</v>
      </c>
      <c r="J2284" t="s">
        <v>11675</v>
      </c>
      <c r="K2284" t="s">
        <v>16956</v>
      </c>
      <c r="L2284">
        <f>HYPERLINK("https://www2.assemblee-nationale.fr/sycomore/fiche/(num_dept)/5549", "5549")</f>
        <v>0</v>
      </c>
      <c r="N2284">
        <f>HYPERLINK("https://www.wikidata.org/wiki/Q3262798", "Q3262798")</f>
        <v>0</v>
      </c>
      <c r="O2284" t="s">
        <v>20013</v>
      </c>
      <c r="P2284" t="s">
        <v>20422</v>
      </c>
      <c r="Q2284" t="s">
        <v>20572</v>
      </c>
      <c r="R2284" t="s">
        <v>412</v>
      </c>
      <c r="S2284">
        <v>1481</v>
      </c>
    </row>
    <row r="2285" spans="1:19">
      <c r="A2285" t="s">
        <v>22</v>
      </c>
      <c r="B2285" t="s">
        <v>148</v>
      </c>
      <c r="C2285" t="s">
        <v>154</v>
      </c>
      <c r="D2285" t="s">
        <v>283</v>
      </c>
      <c r="E2285" t="s">
        <v>412</v>
      </c>
      <c r="F2285">
        <f>HYPERLINK("https://www.wikidata.org/wiki/Q16683492", "Q16683492")</f>
        <v>0</v>
      </c>
      <c r="G2285" t="s">
        <v>1856</v>
      </c>
      <c r="H2285" t="s">
        <v>6512</v>
      </c>
      <c r="I2285" t="s">
        <v>9388</v>
      </c>
      <c r="J2285" t="s">
        <v>12546</v>
      </c>
      <c r="K2285" t="s">
        <v>16957</v>
      </c>
      <c r="L2285">
        <f>HYPERLINK("https://www2.assemblee-nationale.fr/sycomore/fiche/(num_dept)/5550", "5550")</f>
        <v>0</v>
      </c>
      <c r="N2285">
        <f>HYPERLINK("https://www.wikidata.org/wiki/Q16026197", "Q16026197")</f>
        <v>0</v>
      </c>
      <c r="O2285" t="s">
        <v>19986</v>
      </c>
      <c r="P2285" t="s">
        <v>20404</v>
      </c>
      <c r="Q2285" t="s">
        <v>20572</v>
      </c>
      <c r="R2285" t="s">
        <v>412</v>
      </c>
      <c r="S2285">
        <v>1481</v>
      </c>
    </row>
    <row r="2286" spans="1:19">
      <c r="A2286" t="s">
        <v>22</v>
      </c>
      <c r="B2286" t="s">
        <v>148</v>
      </c>
      <c r="C2286" t="s">
        <v>154</v>
      </c>
      <c r="D2286" t="s">
        <v>283</v>
      </c>
      <c r="E2286" t="s">
        <v>412</v>
      </c>
      <c r="F2286">
        <f>HYPERLINK("https://www.wikidata.org/wiki/Q16683492", "Q16683492")</f>
        <v>0</v>
      </c>
      <c r="G2286" t="s">
        <v>1857</v>
      </c>
      <c r="H2286" t="s">
        <v>6513</v>
      </c>
      <c r="I2286" t="s">
        <v>5630</v>
      </c>
      <c r="J2286" t="s">
        <v>12547</v>
      </c>
      <c r="K2286" t="s">
        <v>16958</v>
      </c>
      <c r="L2286">
        <f>HYPERLINK("https://www2.assemblee-nationale.fr/sycomore/fiche/(num_dept)/5569", "5569")</f>
        <v>0</v>
      </c>
      <c r="N2286">
        <f>HYPERLINK("https://www.wikidata.org/wiki/Q2899637", "Q2899637")</f>
        <v>0</v>
      </c>
      <c r="O2286" t="s">
        <v>20027</v>
      </c>
      <c r="P2286" t="s">
        <v>20423</v>
      </c>
      <c r="Q2286" t="s">
        <v>20572</v>
      </c>
      <c r="R2286" t="s">
        <v>412</v>
      </c>
      <c r="S2286">
        <v>1481</v>
      </c>
    </row>
    <row r="2287" spans="1:19">
      <c r="A2287" t="s">
        <v>22</v>
      </c>
      <c r="B2287" t="s">
        <v>148</v>
      </c>
      <c r="C2287" t="s">
        <v>154</v>
      </c>
      <c r="D2287" t="s">
        <v>283</v>
      </c>
      <c r="E2287" t="s">
        <v>412</v>
      </c>
      <c r="F2287">
        <f>HYPERLINK("https://www.wikidata.org/wiki/Q16683492", "Q16683492")</f>
        <v>0</v>
      </c>
      <c r="G2287" t="s">
        <v>747</v>
      </c>
      <c r="H2287" t="s">
        <v>5505</v>
      </c>
      <c r="I2287" t="s">
        <v>9507</v>
      </c>
      <c r="J2287" t="s">
        <v>11496</v>
      </c>
      <c r="K2287" t="s">
        <v>15898</v>
      </c>
      <c r="L2287">
        <f>HYPERLINK("https://www2.assemblee-nationale.fr/sycomore/fiche/(num_dept)/5571", "5571")</f>
        <v>0</v>
      </c>
      <c r="M2287">
        <f>HYPERLINK("https://www.senat.fr/senateur-3eme-republique/nogues_louis1080r3.html", "nogues_louis1080r3")</f>
        <v>0</v>
      </c>
      <c r="N2287">
        <f>HYPERLINK("https://www.wikidata.org/wiki/Q3262803", "Q3262803")</f>
        <v>0</v>
      </c>
      <c r="O2287" t="s">
        <v>20027</v>
      </c>
      <c r="P2287" t="s">
        <v>20423</v>
      </c>
      <c r="Q2287" t="s">
        <v>20572</v>
      </c>
      <c r="R2287" t="s">
        <v>21413</v>
      </c>
      <c r="S2287">
        <v>426</v>
      </c>
    </row>
    <row r="2288" spans="1:19">
      <c r="A2288" t="s">
        <v>22</v>
      </c>
      <c r="B2288" t="s">
        <v>148</v>
      </c>
      <c r="C2288" t="s">
        <v>154</v>
      </c>
      <c r="D2288" t="s">
        <v>283</v>
      </c>
      <c r="E2288" t="s">
        <v>412</v>
      </c>
      <c r="F2288">
        <f>HYPERLINK("https://www.wikidata.org/wiki/Q16683492", "Q16683492")</f>
        <v>0</v>
      </c>
      <c r="G2288" t="s">
        <v>1858</v>
      </c>
      <c r="H2288" t="s">
        <v>6514</v>
      </c>
      <c r="I2288" t="s">
        <v>6175</v>
      </c>
      <c r="J2288" t="s">
        <v>12548</v>
      </c>
      <c r="K2288" t="s">
        <v>16959</v>
      </c>
      <c r="L2288">
        <f>HYPERLINK("https://www2.assemblee-nationale.fr/sycomore/fiche/(num_dept)/5581", "5581")</f>
        <v>0</v>
      </c>
      <c r="N2288">
        <f>HYPERLINK("https://www.wikidata.org/wiki/Q3103266", "Q3103266")</f>
        <v>0</v>
      </c>
      <c r="O2288" t="s">
        <v>19994</v>
      </c>
      <c r="P2288" t="s">
        <v>20404</v>
      </c>
      <c r="Q2288" t="s">
        <v>20572</v>
      </c>
      <c r="R2288" t="s">
        <v>412</v>
      </c>
      <c r="S2288">
        <v>1481</v>
      </c>
    </row>
    <row r="2289" spans="1:19">
      <c r="A2289" t="s">
        <v>22</v>
      </c>
      <c r="B2289" t="s">
        <v>148</v>
      </c>
      <c r="C2289" t="s">
        <v>154</v>
      </c>
      <c r="D2289" t="s">
        <v>283</v>
      </c>
      <c r="E2289" t="s">
        <v>412</v>
      </c>
      <c r="F2289">
        <f>HYPERLINK("https://www.wikidata.org/wiki/Q16683492", "Q16683492")</f>
        <v>0</v>
      </c>
      <c r="G2289" t="s">
        <v>1562</v>
      </c>
      <c r="H2289" t="s">
        <v>6253</v>
      </c>
      <c r="I2289" t="s">
        <v>9458</v>
      </c>
      <c r="J2289" t="s">
        <v>12275</v>
      </c>
      <c r="K2289" t="s">
        <v>16683</v>
      </c>
      <c r="L2289">
        <f>HYPERLINK("https://www2.assemblee-nationale.fr/sycomore/fiche/(num_dept)/5590", "5590")</f>
        <v>0</v>
      </c>
      <c r="N2289">
        <f>HYPERLINK("https://www.wikidata.org/wiki/Q2835374", "Q2835374")</f>
        <v>0</v>
      </c>
      <c r="O2289" t="s">
        <v>20048</v>
      </c>
      <c r="P2289" t="s">
        <v>20422</v>
      </c>
      <c r="Q2289" t="s">
        <v>20572</v>
      </c>
      <c r="R2289" t="s">
        <v>412</v>
      </c>
      <c r="S2289">
        <v>1481</v>
      </c>
    </row>
    <row r="2290" spans="1:19">
      <c r="A2290" t="s">
        <v>22</v>
      </c>
      <c r="B2290" t="s">
        <v>148</v>
      </c>
      <c r="C2290" t="s">
        <v>154</v>
      </c>
      <c r="D2290" t="s">
        <v>283</v>
      </c>
      <c r="E2290" t="s">
        <v>412</v>
      </c>
      <c r="F2290">
        <f>HYPERLINK("https://www.wikidata.org/wiki/Q16683492", "Q16683492")</f>
        <v>0</v>
      </c>
      <c r="G2290" t="s">
        <v>1859</v>
      </c>
      <c r="H2290" t="s">
        <v>6515</v>
      </c>
      <c r="I2290" t="s">
        <v>9391</v>
      </c>
      <c r="J2290" t="s">
        <v>12549</v>
      </c>
      <c r="K2290" t="s">
        <v>16960</v>
      </c>
      <c r="L2290">
        <f>HYPERLINK("https://www2.assemblee-nationale.fr/sycomore/fiche/(num_dept)/5599", "5599")</f>
        <v>0</v>
      </c>
      <c r="N2290">
        <f>HYPERLINK("https://www.wikidata.org/wiki/Q2977904", "Q2977904")</f>
        <v>0</v>
      </c>
      <c r="O2290" t="s">
        <v>20006</v>
      </c>
      <c r="P2290" t="s">
        <v>20423</v>
      </c>
      <c r="Q2290" t="s">
        <v>20572</v>
      </c>
      <c r="R2290" t="s">
        <v>412</v>
      </c>
      <c r="S2290">
        <v>1481</v>
      </c>
    </row>
    <row r="2291" spans="1:19">
      <c r="A2291" t="s">
        <v>22</v>
      </c>
      <c r="B2291" t="s">
        <v>148</v>
      </c>
      <c r="C2291" t="s">
        <v>154</v>
      </c>
      <c r="D2291" t="s">
        <v>283</v>
      </c>
      <c r="E2291" t="s">
        <v>412</v>
      </c>
      <c r="F2291">
        <f>HYPERLINK("https://www.wikidata.org/wiki/Q16683492", "Q16683492")</f>
        <v>0</v>
      </c>
      <c r="G2291" t="s">
        <v>1286</v>
      </c>
      <c r="H2291" t="s">
        <v>6008</v>
      </c>
      <c r="I2291" t="s">
        <v>6200</v>
      </c>
      <c r="J2291" t="s">
        <v>12016</v>
      </c>
      <c r="K2291" t="s">
        <v>16419</v>
      </c>
      <c r="L2291">
        <f>HYPERLINK("https://www2.assemblee-nationale.fr/sycomore/fiche/(num_dept)/5624", "5624")</f>
        <v>0</v>
      </c>
      <c r="N2291">
        <f>HYPERLINK("https://www.wikidata.org/wiki/Q3173799", "Q3173799")</f>
        <v>0</v>
      </c>
      <c r="O2291" t="s">
        <v>20024</v>
      </c>
      <c r="P2291" t="s">
        <v>20423</v>
      </c>
      <c r="Q2291" t="s">
        <v>20572</v>
      </c>
      <c r="R2291" t="s">
        <v>412</v>
      </c>
      <c r="S2291">
        <v>1481</v>
      </c>
    </row>
    <row r="2292" spans="1:19">
      <c r="A2292" t="s">
        <v>22</v>
      </c>
      <c r="B2292" t="s">
        <v>148</v>
      </c>
      <c r="C2292" t="s">
        <v>154</v>
      </c>
      <c r="D2292" t="s">
        <v>283</v>
      </c>
      <c r="E2292" t="s">
        <v>412</v>
      </c>
      <c r="F2292">
        <f>HYPERLINK("https://www.wikidata.org/wiki/Q16683492", "Q16683492")</f>
        <v>0</v>
      </c>
      <c r="G2292" t="s">
        <v>1287</v>
      </c>
      <c r="H2292" t="s">
        <v>6009</v>
      </c>
      <c r="I2292" t="s">
        <v>9442</v>
      </c>
      <c r="J2292" t="s">
        <v>12017</v>
      </c>
      <c r="K2292" t="s">
        <v>16420</v>
      </c>
      <c r="L2292">
        <f>HYPERLINK("https://www2.assemblee-nationale.fr/sycomore/fiche/(num_dept)/5636", "5636")</f>
        <v>0</v>
      </c>
      <c r="N2292">
        <f>HYPERLINK("https://www.wikidata.org/wiki/Q3057112", "Q3057112")</f>
        <v>0</v>
      </c>
      <c r="O2292" t="s">
        <v>20038</v>
      </c>
      <c r="P2292" t="s">
        <v>20417</v>
      </c>
      <c r="Q2292" t="s">
        <v>20572</v>
      </c>
      <c r="R2292" t="s">
        <v>412</v>
      </c>
      <c r="S2292">
        <v>1481</v>
      </c>
    </row>
    <row r="2293" spans="1:19">
      <c r="A2293" t="s">
        <v>22</v>
      </c>
      <c r="B2293" t="s">
        <v>148</v>
      </c>
      <c r="C2293" t="s">
        <v>154</v>
      </c>
      <c r="D2293" t="s">
        <v>283</v>
      </c>
      <c r="E2293" t="s">
        <v>412</v>
      </c>
      <c r="F2293">
        <f>HYPERLINK("https://www.wikidata.org/wiki/Q16683492", "Q16683492")</f>
        <v>0</v>
      </c>
      <c r="G2293" t="s">
        <v>1860</v>
      </c>
      <c r="H2293" t="s">
        <v>6516</v>
      </c>
      <c r="I2293" t="s">
        <v>9407</v>
      </c>
      <c r="J2293" t="s">
        <v>12550</v>
      </c>
      <c r="K2293" t="s">
        <v>16961</v>
      </c>
      <c r="L2293">
        <f>HYPERLINK("https://www2.assemblee-nationale.fr/sycomore/fiche/(num_dept)/5646", "5646")</f>
        <v>0</v>
      </c>
      <c r="M2293">
        <f>HYPERLINK("https://www.senat.fr/senateur-3eme-republique/paganon_joseph1203r3.html", "paganon_joseph1203r3")</f>
        <v>0</v>
      </c>
      <c r="N2293">
        <f>HYPERLINK("https://www.wikidata.org/wiki/Q3185441", "Q3185441")</f>
        <v>0</v>
      </c>
      <c r="O2293" t="s">
        <v>20006</v>
      </c>
      <c r="P2293" t="s">
        <v>20423</v>
      </c>
      <c r="Q2293" t="s">
        <v>20572</v>
      </c>
      <c r="R2293" t="s">
        <v>412</v>
      </c>
      <c r="S2293">
        <v>1481</v>
      </c>
    </row>
    <row r="2294" spans="1:19">
      <c r="A2294" t="s">
        <v>22</v>
      </c>
      <c r="B2294" t="s">
        <v>148</v>
      </c>
      <c r="C2294" t="s">
        <v>154</v>
      </c>
      <c r="D2294" t="s">
        <v>283</v>
      </c>
      <c r="E2294" t="s">
        <v>412</v>
      </c>
      <c r="F2294">
        <f>HYPERLINK("https://www.wikidata.org/wiki/Q16683492", "Q16683492")</f>
        <v>0</v>
      </c>
      <c r="G2294" t="s">
        <v>1017</v>
      </c>
      <c r="H2294" t="s">
        <v>5767</v>
      </c>
      <c r="I2294" t="s">
        <v>9388</v>
      </c>
      <c r="J2294" t="s">
        <v>11754</v>
      </c>
      <c r="K2294" t="s">
        <v>16157</v>
      </c>
      <c r="L2294">
        <f>HYPERLINK("https://www2.assemblee-nationale.fr/sycomore/fiche/(num_dept)/5653", "5653")</f>
        <v>0</v>
      </c>
      <c r="N2294">
        <f>HYPERLINK("https://www.wikidata.org/wiki/Q315434", "Q315434")</f>
        <v>0</v>
      </c>
      <c r="O2294" t="s">
        <v>19969</v>
      </c>
      <c r="P2294" t="s">
        <v>20425</v>
      </c>
      <c r="Q2294" t="s">
        <v>20572</v>
      </c>
      <c r="R2294" t="s">
        <v>412</v>
      </c>
      <c r="S2294">
        <v>1481</v>
      </c>
    </row>
    <row r="2295" spans="1:19">
      <c r="A2295" t="s">
        <v>22</v>
      </c>
      <c r="B2295" t="s">
        <v>148</v>
      </c>
      <c r="C2295" t="s">
        <v>154</v>
      </c>
      <c r="D2295" t="s">
        <v>283</v>
      </c>
      <c r="E2295" t="s">
        <v>412</v>
      </c>
      <c r="F2295">
        <f>HYPERLINK("https://www.wikidata.org/wiki/Q16683492", "Q16683492")</f>
        <v>0</v>
      </c>
      <c r="G2295" t="s">
        <v>1190</v>
      </c>
      <c r="H2295" t="s">
        <v>5920</v>
      </c>
      <c r="I2295" t="s">
        <v>6585</v>
      </c>
      <c r="J2295" t="s">
        <v>11923</v>
      </c>
      <c r="K2295" t="s">
        <v>16324</v>
      </c>
      <c r="L2295">
        <f>HYPERLINK("https://www2.assemblee-nationale.fr/sycomore/fiche/(num_dept)/5654", "5654")</f>
        <v>0</v>
      </c>
      <c r="N2295">
        <f>HYPERLINK("https://www.wikidata.org/wiki/Q2848387", "Q2848387")</f>
        <v>0</v>
      </c>
      <c r="O2295" t="s">
        <v>19989</v>
      </c>
      <c r="P2295" t="s">
        <v>20425</v>
      </c>
      <c r="Q2295" t="s">
        <v>20572</v>
      </c>
      <c r="R2295" t="s">
        <v>16324</v>
      </c>
      <c r="S2295">
        <v>696</v>
      </c>
    </row>
    <row r="2296" spans="1:19">
      <c r="A2296" t="s">
        <v>22</v>
      </c>
      <c r="B2296" t="s">
        <v>148</v>
      </c>
      <c r="C2296" t="s">
        <v>154</v>
      </c>
      <c r="D2296" t="s">
        <v>283</v>
      </c>
      <c r="E2296" t="s">
        <v>412</v>
      </c>
      <c r="F2296">
        <f>HYPERLINK("https://www.wikidata.org/wiki/Q16683492", "Q16683492")</f>
        <v>0</v>
      </c>
      <c r="G2296" t="s">
        <v>1861</v>
      </c>
      <c r="H2296" t="s">
        <v>6517</v>
      </c>
      <c r="I2296" t="s">
        <v>7642</v>
      </c>
      <c r="J2296" t="s">
        <v>11903</v>
      </c>
      <c r="K2296" t="s">
        <v>16962</v>
      </c>
      <c r="L2296">
        <f>HYPERLINK("https://www2.assemblee-nationale.fr/sycomore/fiche/(num_dept)/5662", "5662")</f>
        <v>0</v>
      </c>
      <c r="M2296">
        <f>HYPERLINK("https://www.senat.fr/senateur-3eme-republique/palmade_maurice0409r3.html", "palmade_maurice0409r3")</f>
        <v>0</v>
      </c>
      <c r="N2296">
        <f>HYPERLINK("https://www.wikidata.org/wiki/Q3301240", "Q3301240")</f>
        <v>0</v>
      </c>
      <c r="O2296" t="s">
        <v>20037</v>
      </c>
      <c r="P2296" t="s">
        <v>20423</v>
      </c>
      <c r="Q2296" t="s">
        <v>20572</v>
      </c>
      <c r="R2296" t="s">
        <v>412</v>
      </c>
      <c r="S2296">
        <v>1481</v>
      </c>
    </row>
    <row r="2297" spans="1:19">
      <c r="A2297" t="s">
        <v>22</v>
      </c>
      <c r="B2297" t="s">
        <v>148</v>
      </c>
      <c r="C2297" t="s">
        <v>154</v>
      </c>
      <c r="D2297" t="s">
        <v>283</v>
      </c>
      <c r="E2297" t="s">
        <v>412</v>
      </c>
      <c r="F2297">
        <f>HYPERLINK("https://www.wikidata.org/wiki/Q16683492", "Q16683492")</f>
        <v>0</v>
      </c>
      <c r="G2297" t="s">
        <v>1862</v>
      </c>
      <c r="H2297" t="s">
        <v>6518</v>
      </c>
      <c r="I2297" t="s">
        <v>9533</v>
      </c>
      <c r="J2297" t="s">
        <v>11861</v>
      </c>
      <c r="K2297" t="s">
        <v>16963</v>
      </c>
      <c r="L2297">
        <f>HYPERLINK("https://www2.assemblee-nationale.fr/sycomore/fiche/(num_dept)/5677", "5677")</f>
        <v>0</v>
      </c>
      <c r="N2297">
        <f>HYPERLINK("https://www.wikidata.org/wiki/Q16026259", "Q16026259")</f>
        <v>0</v>
      </c>
      <c r="O2297" t="s">
        <v>20050</v>
      </c>
      <c r="P2297" t="s">
        <v>20422</v>
      </c>
      <c r="Q2297" t="s">
        <v>20572</v>
      </c>
      <c r="R2297" t="s">
        <v>412</v>
      </c>
      <c r="S2297">
        <v>1481</v>
      </c>
    </row>
    <row r="2298" spans="1:19">
      <c r="A2298" t="s">
        <v>22</v>
      </c>
      <c r="B2298" t="s">
        <v>148</v>
      </c>
      <c r="C2298" t="s">
        <v>154</v>
      </c>
      <c r="D2298" t="s">
        <v>283</v>
      </c>
      <c r="E2298" t="s">
        <v>412</v>
      </c>
      <c r="F2298">
        <f>HYPERLINK("https://www.wikidata.org/wiki/Q16683492", "Q16683492")</f>
        <v>0</v>
      </c>
      <c r="G2298" t="s">
        <v>1288</v>
      </c>
      <c r="H2298" t="s">
        <v>6010</v>
      </c>
      <c r="I2298" t="s">
        <v>6200</v>
      </c>
      <c r="J2298" t="s">
        <v>12018</v>
      </c>
      <c r="K2298" t="s">
        <v>16421</v>
      </c>
      <c r="L2298">
        <f>HYPERLINK("https://www2.assemblee-nationale.fr/sycomore/fiche/(num_dept)/5693", "5693")</f>
        <v>0</v>
      </c>
      <c r="N2298">
        <f>HYPERLINK("https://www.wikidata.org/wiki/Q16026269", "Q16026269")</f>
        <v>0</v>
      </c>
      <c r="O2298" t="s">
        <v>19977</v>
      </c>
      <c r="P2298" t="s">
        <v>20404</v>
      </c>
      <c r="Q2298" t="s">
        <v>20572</v>
      </c>
      <c r="R2298" t="s">
        <v>412</v>
      </c>
      <c r="S2298">
        <v>1481</v>
      </c>
    </row>
    <row r="2299" spans="1:19">
      <c r="A2299" t="s">
        <v>22</v>
      </c>
      <c r="B2299" t="s">
        <v>148</v>
      </c>
      <c r="C2299" t="s">
        <v>154</v>
      </c>
      <c r="D2299" t="s">
        <v>283</v>
      </c>
      <c r="E2299" t="s">
        <v>412</v>
      </c>
      <c r="F2299">
        <f>HYPERLINK("https://www.wikidata.org/wiki/Q16683492", "Q16683492")</f>
        <v>0</v>
      </c>
      <c r="G2299" t="s">
        <v>1019</v>
      </c>
      <c r="H2299" t="s">
        <v>5769</v>
      </c>
      <c r="I2299" t="s">
        <v>6478</v>
      </c>
      <c r="J2299" t="s">
        <v>11756</v>
      </c>
      <c r="K2299" t="s">
        <v>16158</v>
      </c>
      <c r="L2299">
        <f>HYPERLINK("https://www2.assemblee-nationale.fr/sycomore/fiche/(num_dept)/5706", "5706")</f>
        <v>0</v>
      </c>
      <c r="N2299">
        <f>HYPERLINK("https://www.wikidata.org/wiki/Q3132997", "Q3132997")</f>
        <v>0</v>
      </c>
      <c r="O2299" t="s">
        <v>19969</v>
      </c>
      <c r="P2299" t="s">
        <v>20409</v>
      </c>
      <c r="Q2299" t="s">
        <v>20572</v>
      </c>
      <c r="R2299" t="s">
        <v>412</v>
      </c>
      <c r="S2299">
        <v>1481</v>
      </c>
    </row>
    <row r="2300" spans="1:19">
      <c r="A2300" t="s">
        <v>22</v>
      </c>
      <c r="B2300" t="s">
        <v>148</v>
      </c>
      <c r="C2300" t="s">
        <v>154</v>
      </c>
      <c r="D2300" t="s">
        <v>283</v>
      </c>
      <c r="E2300" t="s">
        <v>412</v>
      </c>
      <c r="F2300">
        <f>HYPERLINK("https://www.wikidata.org/wiki/Q16683492", "Q16683492")</f>
        <v>0</v>
      </c>
      <c r="G2300" t="s">
        <v>752</v>
      </c>
      <c r="H2300" t="s">
        <v>5510</v>
      </c>
      <c r="I2300" t="s">
        <v>9407</v>
      </c>
      <c r="J2300" t="s">
        <v>11500</v>
      </c>
      <c r="K2300" t="s">
        <v>15903</v>
      </c>
      <c r="L2300">
        <f>HYPERLINK("https://www2.assemblee-nationale.fr/sycomore/fiche/(num_dept)/5724", "5724")</f>
        <v>0</v>
      </c>
      <c r="M2300">
        <f>HYPERLINK("https://www.senat.fr/senateur-3eme-republique/paul_boncour_joseph0550r4.html", "paul_boncour_joseph0550r4")</f>
        <v>0</v>
      </c>
      <c r="N2300">
        <f>HYPERLINK("https://www.wikidata.org/wiki/Q285865", "Q285865")</f>
        <v>0</v>
      </c>
      <c r="O2300" t="s">
        <v>19962</v>
      </c>
      <c r="P2300" t="s">
        <v>20404</v>
      </c>
      <c r="Q2300" t="s">
        <v>20572</v>
      </c>
      <c r="R2300" t="s">
        <v>412</v>
      </c>
      <c r="S2300">
        <v>1481</v>
      </c>
    </row>
    <row r="2301" spans="1:19">
      <c r="A2301" t="s">
        <v>22</v>
      </c>
      <c r="B2301" t="s">
        <v>148</v>
      </c>
      <c r="C2301" t="s">
        <v>154</v>
      </c>
      <c r="D2301" t="s">
        <v>283</v>
      </c>
      <c r="E2301" t="s">
        <v>412</v>
      </c>
      <c r="F2301">
        <f>HYPERLINK("https://www.wikidata.org/wiki/Q16683492", "Q16683492")</f>
        <v>0</v>
      </c>
      <c r="G2301" t="s">
        <v>1863</v>
      </c>
      <c r="H2301" t="s">
        <v>6519</v>
      </c>
      <c r="I2301" t="s">
        <v>6584</v>
      </c>
      <c r="J2301" t="s">
        <v>12551</v>
      </c>
      <c r="K2301" t="s">
        <v>16964</v>
      </c>
      <c r="L2301">
        <f>HYPERLINK("https://www2.assemblee-nationale.fr/sycomore/fiche/(num_dept)/5726", "5726")</f>
        <v>0</v>
      </c>
      <c r="N2301">
        <f>HYPERLINK("https://www.wikidata.org/wiki/Q2831455", "Q2831455")</f>
        <v>0</v>
      </c>
      <c r="O2301" t="s">
        <v>20005</v>
      </c>
      <c r="P2301" t="s">
        <v>20404</v>
      </c>
      <c r="Q2301" t="s">
        <v>20572</v>
      </c>
      <c r="R2301" t="s">
        <v>412</v>
      </c>
      <c r="S2301">
        <v>1481</v>
      </c>
    </row>
    <row r="2302" spans="1:19">
      <c r="A2302" t="s">
        <v>22</v>
      </c>
      <c r="B2302" t="s">
        <v>148</v>
      </c>
      <c r="C2302" t="s">
        <v>154</v>
      </c>
      <c r="D2302" t="s">
        <v>283</v>
      </c>
      <c r="E2302" t="s">
        <v>412</v>
      </c>
      <c r="F2302">
        <f>HYPERLINK("https://www.wikidata.org/wiki/Q16683492", "Q16683492")</f>
        <v>0</v>
      </c>
      <c r="G2302" t="s">
        <v>1337</v>
      </c>
      <c r="H2302" t="s">
        <v>6055</v>
      </c>
      <c r="I2302" t="s">
        <v>6585</v>
      </c>
      <c r="J2302" t="s">
        <v>12064</v>
      </c>
      <c r="K2302" t="s">
        <v>16466</v>
      </c>
      <c r="L2302">
        <f>HYPERLINK("https://www2.assemblee-nationale.fr/sycomore/fiche/(num_dept)/5735", "5735")</f>
        <v>0</v>
      </c>
      <c r="N2302">
        <f>HYPERLINK("https://www.wikidata.org/wiki/Q13077231", "Q13077231")</f>
        <v>0</v>
      </c>
      <c r="O2302" t="s">
        <v>19969</v>
      </c>
      <c r="P2302" t="s">
        <v>20409</v>
      </c>
      <c r="Q2302" t="s">
        <v>20572</v>
      </c>
      <c r="R2302" t="s">
        <v>412</v>
      </c>
      <c r="S2302">
        <v>1481</v>
      </c>
    </row>
    <row r="2303" spans="1:19">
      <c r="A2303" t="s">
        <v>22</v>
      </c>
      <c r="B2303" t="s">
        <v>148</v>
      </c>
      <c r="C2303" t="s">
        <v>154</v>
      </c>
      <c r="D2303" t="s">
        <v>283</v>
      </c>
      <c r="E2303" t="s">
        <v>412</v>
      </c>
      <c r="F2303">
        <f>HYPERLINK("https://www.wikidata.org/wiki/Q16683492", "Q16683492")</f>
        <v>0</v>
      </c>
      <c r="G2303" t="s">
        <v>1864</v>
      </c>
      <c r="H2303" t="s">
        <v>6520</v>
      </c>
      <c r="I2303" t="s">
        <v>6200</v>
      </c>
      <c r="J2303" t="s">
        <v>12552</v>
      </c>
      <c r="K2303" t="s">
        <v>16965</v>
      </c>
      <c r="L2303">
        <f>HYPERLINK("https://www2.assemblee-nationale.fr/sycomore/fiche/(num_dept)/5736", "5736")</f>
        <v>0</v>
      </c>
      <c r="M2303">
        <f>HYPERLINK("https://www.senat.fr/senateur-3eme-republique/payra_jean1091r3.html", "payra_jean1091r3")</f>
        <v>0</v>
      </c>
      <c r="N2303">
        <f>HYPERLINK("https://www.wikidata.org/wiki/Q3173886", "Q3173886")</f>
        <v>0</v>
      </c>
      <c r="O2303" t="s">
        <v>20001</v>
      </c>
      <c r="P2303" t="s">
        <v>20404</v>
      </c>
      <c r="Q2303" t="s">
        <v>20572</v>
      </c>
      <c r="R2303" t="s">
        <v>412</v>
      </c>
      <c r="S2303">
        <v>1481</v>
      </c>
    </row>
    <row r="2304" spans="1:19">
      <c r="A2304" t="s">
        <v>22</v>
      </c>
      <c r="B2304" t="s">
        <v>148</v>
      </c>
      <c r="C2304" t="s">
        <v>154</v>
      </c>
      <c r="D2304" t="s">
        <v>283</v>
      </c>
      <c r="E2304" t="s">
        <v>412</v>
      </c>
      <c r="F2304">
        <f>HYPERLINK("https://www.wikidata.org/wiki/Q16683492", "Q16683492")</f>
        <v>0</v>
      </c>
      <c r="G2304" t="s">
        <v>1865</v>
      </c>
      <c r="H2304" t="s">
        <v>6521</v>
      </c>
      <c r="I2304" t="s">
        <v>9972</v>
      </c>
      <c r="J2304" t="s">
        <v>12553</v>
      </c>
      <c r="K2304" t="s">
        <v>16966</v>
      </c>
      <c r="L2304">
        <f>HYPERLINK("https://www2.assemblee-nationale.fr/sycomore/fiche/(num_dept)/5748", "5748")</f>
        <v>0</v>
      </c>
      <c r="N2304">
        <f>HYPERLINK("https://www.wikidata.org/wiki/Q16026291", "Q16026291")</f>
        <v>0</v>
      </c>
      <c r="O2304" t="s">
        <v>19971</v>
      </c>
      <c r="P2304" t="s">
        <v>20423</v>
      </c>
      <c r="Q2304" t="s">
        <v>20572</v>
      </c>
      <c r="R2304" t="s">
        <v>412</v>
      </c>
      <c r="S2304">
        <v>1481</v>
      </c>
    </row>
    <row r="2305" spans="1:19">
      <c r="A2305" t="s">
        <v>22</v>
      </c>
      <c r="B2305" t="s">
        <v>148</v>
      </c>
      <c r="C2305" t="s">
        <v>154</v>
      </c>
      <c r="D2305" t="s">
        <v>283</v>
      </c>
      <c r="E2305" t="s">
        <v>412</v>
      </c>
      <c r="F2305">
        <f>HYPERLINK("https://www.wikidata.org/wiki/Q16683492", "Q16683492")</f>
        <v>0</v>
      </c>
      <c r="G2305" t="s">
        <v>1866</v>
      </c>
      <c r="H2305" t="s">
        <v>6522</v>
      </c>
      <c r="I2305" t="s">
        <v>9973</v>
      </c>
      <c r="J2305" t="s">
        <v>12554</v>
      </c>
      <c r="K2305" t="s">
        <v>16967</v>
      </c>
      <c r="L2305">
        <f>HYPERLINK("https://www2.assemblee-nationale.fr/sycomore/fiche/(num_dept)/5752", "5752")</f>
        <v>0</v>
      </c>
      <c r="N2305">
        <f>HYPERLINK("https://www.wikidata.org/wiki/Q74670", "Q74670")</f>
        <v>0</v>
      </c>
      <c r="O2305" t="s">
        <v>20048</v>
      </c>
      <c r="P2305" t="s">
        <v>20404</v>
      </c>
      <c r="Q2305" t="s">
        <v>20572</v>
      </c>
      <c r="R2305" t="s">
        <v>412</v>
      </c>
      <c r="S2305">
        <v>1481</v>
      </c>
    </row>
    <row r="2306" spans="1:19">
      <c r="A2306" t="s">
        <v>22</v>
      </c>
      <c r="B2306" t="s">
        <v>148</v>
      </c>
      <c r="C2306" t="s">
        <v>154</v>
      </c>
      <c r="D2306" t="s">
        <v>283</v>
      </c>
      <c r="E2306" t="s">
        <v>412</v>
      </c>
      <c r="F2306">
        <f>HYPERLINK("https://www.wikidata.org/wiki/Q16683492", "Q16683492")</f>
        <v>0</v>
      </c>
      <c r="G2306" t="s">
        <v>1867</v>
      </c>
      <c r="H2306" t="s">
        <v>6523</v>
      </c>
      <c r="I2306" t="s">
        <v>9974</v>
      </c>
      <c r="J2306" t="s">
        <v>12555</v>
      </c>
      <c r="K2306" t="s">
        <v>16968</v>
      </c>
      <c r="L2306">
        <f>HYPERLINK("https://www2.assemblee-nationale.fr/sycomore/fiche/(num_dept)/5760", "5760")</f>
        <v>0</v>
      </c>
      <c r="N2306">
        <f>HYPERLINK("https://www.wikidata.org/wiki/Q16026298", "Q16026298")</f>
        <v>0</v>
      </c>
      <c r="O2306" t="s">
        <v>19960</v>
      </c>
      <c r="P2306" t="s">
        <v>20404</v>
      </c>
      <c r="Q2306" t="s">
        <v>20572</v>
      </c>
      <c r="R2306" t="s">
        <v>412</v>
      </c>
      <c r="S2306">
        <v>1481</v>
      </c>
    </row>
    <row r="2307" spans="1:19">
      <c r="A2307" t="s">
        <v>22</v>
      </c>
      <c r="B2307" t="s">
        <v>148</v>
      </c>
      <c r="C2307" t="s">
        <v>154</v>
      </c>
      <c r="D2307" t="s">
        <v>283</v>
      </c>
      <c r="E2307" t="s">
        <v>412</v>
      </c>
      <c r="F2307">
        <f>HYPERLINK("https://www.wikidata.org/wiki/Q16683492", "Q16683492")</f>
        <v>0</v>
      </c>
      <c r="G2307" t="s">
        <v>1868</v>
      </c>
      <c r="H2307" t="s">
        <v>6524</v>
      </c>
      <c r="I2307" t="s">
        <v>9389</v>
      </c>
      <c r="J2307" t="s">
        <v>12556</v>
      </c>
      <c r="K2307" t="s">
        <v>16969</v>
      </c>
      <c r="L2307">
        <f>HYPERLINK("https://www2.assemblee-nationale.fr/sycomore/fiche/(num_dept)/5771", "5771")</f>
        <v>0</v>
      </c>
      <c r="N2307">
        <f>HYPERLINK("https://www.wikidata.org/wiki/Q3588707", "Q3588707")</f>
        <v>0</v>
      </c>
      <c r="O2307" t="s">
        <v>19996</v>
      </c>
      <c r="P2307" t="s">
        <v>20409</v>
      </c>
      <c r="Q2307" t="s">
        <v>20572</v>
      </c>
      <c r="R2307" t="s">
        <v>412</v>
      </c>
      <c r="S2307">
        <v>1481</v>
      </c>
    </row>
    <row r="2308" spans="1:19">
      <c r="A2308" t="s">
        <v>22</v>
      </c>
      <c r="B2308" t="s">
        <v>148</v>
      </c>
      <c r="C2308" t="s">
        <v>154</v>
      </c>
      <c r="D2308" t="s">
        <v>283</v>
      </c>
      <c r="E2308" t="s">
        <v>412</v>
      </c>
      <c r="F2308">
        <f>HYPERLINK("https://www.wikidata.org/wiki/Q16683492", "Q16683492")</f>
        <v>0</v>
      </c>
      <c r="G2308" t="s">
        <v>755</v>
      </c>
      <c r="H2308" t="s">
        <v>5513</v>
      </c>
      <c r="I2308" t="s">
        <v>9500</v>
      </c>
      <c r="J2308" t="s">
        <v>11503</v>
      </c>
      <c r="K2308" t="s">
        <v>15906</v>
      </c>
      <c r="L2308">
        <f>HYPERLINK("https://www2.assemblee-nationale.fr/sycomore/fiche/(num_dept)/5779", "5779")</f>
        <v>0</v>
      </c>
      <c r="M2308">
        <f>HYPERLINK("https://www.senat.fr/senateur-3eme-republique/peret_raoul1766r3.html", "peret_raoul1766r3")</f>
        <v>0</v>
      </c>
      <c r="N2308">
        <f>HYPERLINK("https://www.wikidata.org/wiki/Q3419252", "Q3419252")</f>
        <v>0</v>
      </c>
      <c r="O2308" t="s">
        <v>19982</v>
      </c>
      <c r="P2308" t="s">
        <v>20401</v>
      </c>
      <c r="Q2308" t="s">
        <v>20572</v>
      </c>
      <c r="R2308" t="s">
        <v>412</v>
      </c>
      <c r="S2308">
        <v>1481</v>
      </c>
    </row>
    <row r="2309" spans="1:19">
      <c r="A2309" t="s">
        <v>22</v>
      </c>
      <c r="B2309" t="s">
        <v>148</v>
      </c>
      <c r="C2309" t="s">
        <v>154</v>
      </c>
      <c r="D2309" t="s">
        <v>283</v>
      </c>
      <c r="E2309" t="s">
        <v>412</v>
      </c>
      <c r="F2309">
        <f>HYPERLINK("https://www.wikidata.org/wiki/Q16683492", "Q16683492")</f>
        <v>0</v>
      </c>
      <c r="G2309" t="s">
        <v>1566</v>
      </c>
      <c r="H2309" t="s">
        <v>6256</v>
      </c>
      <c r="I2309" t="s">
        <v>6200</v>
      </c>
      <c r="J2309" t="s">
        <v>12279</v>
      </c>
      <c r="K2309" t="s">
        <v>16687</v>
      </c>
      <c r="L2309">
        <f>HYPERLINK("https://www2.assemblee-nationale.fr/sycomore/fiche/(num_dept)/5793", "5793")</f>
        <v>0</v>
      </c>
      <c r="N2309">
        <f>HYPERLINK("https://www.wikidata.org/wiki/Q8344143", "Q8344143")</f>
        <v>0</v>
      </c>
      <c r="O2309" t="s">
        <v>19976</v>
      </c>
      <c r="P2309" t="s">
        <v>20417</v>
      </c>
      <c r="Q2309" t="s">
        <v>20572</v>
      </c>
      <c r="R2309" t="s">
        <v>412</v>
      </c>
      <c r="S2309">
        <v>1481</v>
      </c>
    </row>
    <row r="2310" spans="1:19">
      <c r="A2310" t="s">
        <v>22</v>
      </c>
      <c r="B2310" t="s">
        <v>148</v>
      </c>
      <c r="C2310" t="s">
        <v>154</v>
      </c>
      <c r="D2310" t="s">
        <v>283</v>
      </c>
      <c r="E2310" t="s">
        <v>412</v>
      </c>
      <c r="F2310">
        <f>HYPERLINK("https://www.wikidata.org/wiki/Q16683492", "Q16683492")</f>
        <v>0</v>
      </c>
      <c r="G2310" t="s">
        <v>1869</v>
      </c>
      <c r="H2310" t="s">
        <v>6525</v>
      </c>
      <c r="I2310" t="s">
        <v>6175</v>
      </c>
      <c r="J2310" t="s">
        <v>12557</v>
      </c>
      <c r="K2310" t="s">
        <v>16970</v>
      </c>
      <c r="L2310">
        <f>HYPERLINK("https://www2.assemblee-nationale.fr/sycomore/fiche/(num_dept)/5799", "5799")</f>
        <v>0</v>
      </c>
      <c r="M2310">
        <f>HYPERLINK("https://www.senat.fr/senateur-3eme-republique/pernot_georges0335r4.html", "pernot_georges0335r4")</f>
        <v>0</v>
      </c>
      <c r="N2310">
        <f>HYPERLINK("https://www.wikidata.org/wiki/Q2670356", "Q2670356")</f>
        <v>0</v>
      </c>
      <c r="O2310" t="s">
        <v>19973</v>
      </c>
      <c r="P2310" t="s">
        <v>20422</v>
      </c>
      <c r="Q2310" t="s">
        <v>20572</v>
      </c>
      <c r="R2310" t="s">
        <v>412</v>
      </c>
      <c r="S2310">
        <v>1481</v>
      </c>
    </row>
    <row r="2311" spans="1:19">
      <c r="A2311" t="s">
        <v>22</v>
      </c>
      <c r="B2311" t="s">
        <v>148</v>
      </c>
      <c r="C2311" t="s">
        <v>154</v>
      </c>
      <c r="D2311" t="s">
        <v>283</v>
      </c>
      <c r="E2311" t="s">
        <v>412</v>
      </c>
      <c r="F2311">
        <f>HYPERLINK("https://www.wikidata.org/wiki/Q16683492", "Q16683492")</f>
        <v>0</v>
      </c>
      <c r="G2311" t="s">
        <v>1116</v>
      </c>
      <c r="H2311" t="s">
        <v>5775</v>
      </c>
      <c r="I2311" t="s">
        <v>6860</v>
      </c>
      <c r="J2311" t="s">
        <v>11850</v>
      </c>
      <c r="K2311" t="s">
        <v>16252</v>
      </c>
      <c r="L2311">
        <f>HYPERLINK("https://www2.assemblee-nationale.fr/sycomore/fiche/(num_dept)/5808", "5808")</f>
        <v>0</v>
      </c>
      <c r="N2311">
        <f>HYPERLINK("https://www.wikidata.org/wiki/Q3386559", "Q3386559")</f>
        <v>0</v>
      </c>
      <c r="O2311" t="s">
        <v>20034</v>
      </c>
      <c r="P2311" t="s">
        <v>20417</v>
      </c>
      <c r="Q2311" t="s">
        <v>20572</v>
      </c>
      <c r="R2311" t="s">
        <v>412</v>
      </c>
      <c r="S2311">
        <v>1481</v>
      </c>
    </row>
    <row r="2312" spans="1:19">
      <c r="A2312" t="s">
        <v>22</v>
      </c>
      <c r="B2312" t="s">
        <v>148</v>
      </c>
      <c r="C2312" t="s">
        <v>154</v>
      </c>
      <c r="D2312" t="s">
        <v>283</v>
      </c>
      <c r="E2312" t="s">
        <v>412</v>
      </c>
      <c r="F2312">
        <f>HYPERLINK("https://www.wikidata.org/wiki/Q16683492", "Q16683492")</f>
        <v>0</v>
      </c>
      <c r="G2312" t="s">
        <v>1870</v>
      </c>
      <c r="H2312" t="s">
        <v>6526</v>
      </c>
      <c r="I2312" t="s">
        <v>7308</v>
      </c>
      <c r="J2312" t="s">
        <v>12558</v>
      </c>
      <c r="K2312" t="s">
        <v>16971</v>
      </c>
      <c r="L2312">
        <f>HYPERLINK("https://www2.assemblee-nationale.fr/sycomore/fiche/(num_dept)/5823", "5823")</f>
        <v>0</v>
      </c>
      <c r="N2312">
        <f>HYPERLINK("https://www.wikidata.org/wiki/Q3439357", "Q3439357")</f>
        <v>0</v>
      </c>
      <c r="O2312" t="s">
        <v>19973</v>
      </c>
      <c r="P2312" t="s">
        <v>20423</v>
      </c>
      <c r="Q2312" t="s">
        <v>20572</v>
      </c>
      <c r="R2312" t="s">
        <v>412</v>
      </c>
      <c r="S2312">
        <v>1481</v>
      </c>
    </row>
    <row r="2313" spans="1:19">
      <c r="A2313" t="s">
        <v>22</v>
      </c>
      <c r="B2313" t="s">
        <v>148</v>
      </c>
      <c r="C2313" t="s">
        <v>154</v>
      </c>
      <c r="D2313" t="s">
        <v>283</v>
      </c>
      <c r="E2313" t="s">
        <v>412</v>
      </c>
      <c r="F2313">
        <f>HYPERLINK("https://www.wikidata.org/wiki/Q16683492", "Q16683492")</f>
        <v>0</v>
      </c>
      <c r="G2313" t="s">
        <v>1569</v>
      </c>
      <c r="H2313" t="s">
        <v>6259</v>
      </c>
      <c r="I2313" t="s">
        <v>9391</v>
      </c>
      <c r="J2313" t="s">
        <v>12282</v>
      </c>
      <c r="K2313" t="s">
        <v>16690</v>
      </c>
      <c r="L2313">
        <f>HYPERLINK("https://www2.assemblee-nationale.fr/sycomore/fiche/(num_dept)/5843", "5843")</f>
        <v>0</v>
      </c>
      <c r="N2313">
        <f>HYPERLINK("https://www.wikidata.org/wiki/Q13626561", "Q13626561")</f>
        <v>0</v>
      </c>
      <c r="O2313" t="s">
        <v>20000</v>
      </c>
      <c r="P2313" t="s">
        <v>20425</v>
      </c>
      <c r="Q2313" t="s">
        <v>20572</v>
      </c>
      <c r="R2313" t="s">
        <v>412</v>
      </c>
      <c r="S2313">
        <v>1481</v>
      </c>
    </row>
    <row r="2314" spans="1:19">
      <c r="A2314" t="s">
        <v>22</v>
      </c>
      <c r="B2314" t="s">
        <v>148</v>
      </c>
      <c r="C2314" t="s">
        <v>154</v>
      </c>
      <c r="D2314" t="s">
        <v>283</v>
      </c>
      <c r="E2314" t="s">
        <v>412</v>
      </c>
      <c r="F2314">
        <f>HYPERLINK("https://www.wikidata.org/wiki/Q16683492", "Q16683492")</f>
        <v>0</v>
      </c>
      <c r="G2314" t="s">
        <v>1570</v>
      </c>
      <c r="H2314" t="s">
        <v>6260</v>
      </c>
      <c r="I2314" t="s">
        <v>9602</v>
      </c>
      <c r="J2314" t="s">
        <v>12283</v>
      </c>
      <c r="K2314" t="s">
        <v>15740</v>
      </c>
      <c r="L2314">
        <f>HYPERLINK("https://www2.assemblee-nationale.fr/sycomore/fiche/(num_dept)/5848", "5848")</f>
        <v>0</v>
      </c>
      <c r="N2314">
        <f>HYPERLINK("https://www.wikidata.org/wiki/Q15972003", "Q15972003")</f>
        <v>0</v>
      </c>
      <c r="O2314" t="s">
        <v>19959</v>
      </c>
      <c r="P2314" t="s">
        <v>20426</v>
      </c>
      <c r="Q2314" t="s">
        <v>20572</v>
      </c>
      <c r="R2314" t="s">
        <v>412</v>
      </c>
      <c r="S2314">
        <v>1481</v>
      </c>
    </row>
    <row r="2315" spans="1:19">
      <c r="A2315" t="s">
        <v>22</v>
      </c>
      <c r="B2315" t="s">
        <v>148</v>
      </c>
      <c r="C2315" t="s">
        <v>154</v>
      </c>
      <c r="D2315" t="s">
        <v>283</v>
      </c>
      <c r="E2315" t="s">
        <v>412</v>
      </c>
      <c r="F2315">
        <f>HYPERLINK("https://www.wikidata.org/wiki/Q16683492", "Q16683492")</f>
        <v>0</v>
      </c>
      <c r="G2315" t="s">
        <v>1871</v>
      </c>
      <c r="H2315" t="s">
        <v>6527</v>
      </c>
      <c r="I2315" t="s">
        <v>9975</v>
      </c>
      <c r="J2315" t="s">
        <v>12559</v>
      </c>
      <c r="K2315" t="s">
        <v>16807</v>
      </c>
      <c r="L2315">
        <f>HYPERLINK("https://www2.assemblee-nationale.fr/sycomore/fiche/(num_dept)/5849", "5849")</f>
        <v>0</v>
      </c>
      <c r="N2315">
        <f>HYPERLINK("https://www.wikidata.org/wiki/Q16026329", "Q16026329")</f>
        <v>0</v>
      </c>
      <c r="O2315" t="s">
        <v>20007</v>
      </c>
      <c r="P2315" t="s">
        <v>11123</v>
      </c>
      <c r="Q2315" t="s">
        <v>20572</v>
      </c>
      <c r="R2315" t="s">
        <v>16807</v>
      </c>
      <c r="S2315">
        <v>16</v>
      </c>
    </row>
    <row r="2316" spans="1:19">
      <c r="A2316" t="s">
        <v>22</v>
      </c>
      <c r="B2316" t="s">
        <v>148</v>
      </c>
      <c r="C2316" t="s">
        <v>154</v>
      </c>
      <c r="D2316" t="s">
        <v>283</v>
      </c>
      <c r="E2316" t="s">
        <v>412</v>
      </c>
      <c r="F2316">
        <f>HYPERLINK("https://www.wikidata.org/wiki/Q16683492", "Q16683492")</f>
        <v>0</v>
      </c>
      <c r="G2316" t="s">
        <v>1872</v>
      </c>
      <c r="H2316" t="s">
        <v>6012</v>
      </c>
      <c r="I2316" t="s">
        <v>9976</v>
      </c>
      <c r="J2316" t="s">
        <v>12560</v>
      </c>
      <c r="K2316" t="s">
        <v>16972</v>
      </c>
      <c r="L2316">
        <f>HYPERLINK("https://www2.assemblee-nationale.fr/sycomore/fiche/(num_dept)/5850", "5850")</f>
        <v>0</v>
      </c>
      <c r="N2316">
        <f>HYPERLINK("https://www.wikidata.org/wiki/Q16026330", "Q16026330")</f>
        <v>0</v>
      </c>
      <c r="O2316" t="s">
        <v>20041</v>
      </c>
      <c r="P2316" t="s">
        <v>20423</v>
      </c>
      <c r="Q2316" t="s">
        <v>20572</v>
      </c>
      <c r="R2316" t="s">
        <v>412</v>
      </c>
      <c r="S2316">
        <v>1481</v>
      </c>
    </row>
    <row r="2317" spans="1:19">
      <c r="A2317" t="s">
        <v>22</v>
      </c>
      <c r="B2317" t="s">
        <v>148</v>
      </c>
      <c r="C2317" t="s">
        <v>154</v>
      </c>
      <c r="D2317" t="s">
        <v>283</v>
      </c>
      <c r="E2317" t="s">
        <v>412</v>
      </c>
      <c r="F2317">
        <f>HYPERLINK("https://www.wikidata.org/wiki/Q16683492", "Q16683492")</f>
        <v>0</v>
      </c>
      <c r="G2317" t="s">
        <v>1102</v>
      </c>
      <c r="H2317" t="s">
        <v>5843</v>
      </c>
      <c r="I2317" t="s">
        <v>9660</v>
      </c>
      <c r="J2317" t="s">
        <v>11838</v>
      </c>
      <c r="K2317" t="s">
        <v>16238</v>
      </c>
      <c r="L2317">
        <f>HYPERLINK("https://www2.assemblee-nationale.fr/sycomore/fiche/(num_dept)/5870", "5870")</f>
        <v>0</v>
      </c>
      <c r="N2317">
        <f>HYPERLINK("https://www.wikidata.org/wiki/Q16026334", "Q16026334")</f>
        <v>0</v>
      </c>
      <c r="O2317" t="s">
        <v>19978</v>
      </c>
      <c r="P2317" t="s">
        <v>20422</v>
      </c>
      <c r="Q2317" t="s">
        <v>20572</v>
      </c>
      <c r="R2317" t="s">
        <v>412</v>
      </c>
      <c r="S2317">
        <v>1481</v>
      </c>
    </row>
    <row r="2318" spans="1:19">
      <c r="A2318" t="s">
        <v>22</v>
      </c>
      <c r="B2318" t="s">
        <v>148</v>
      </c>
      <c r="C2318" t="s">
        <v>154</v>
      </c>
      <c r="D2318" t="s">
        <v>283</v>
      </c>
      <c r="E2318" t="s">
        <v>412</v>
      </c>
      <c r="F2318">
        <f>HYPERLINK("https://www.wikidata.org/wiki/Q16683492", "Q16683492")</f>
        <v>0</v>
      </c>
      <c r="G2318" t="s">
        <v>1571</v>
      </c>
      <c r="H2318" t="s">
        <v>6261</v>
      </c>
      <c r="I2318" t="s">
        <v>9407</v>
      </c>
      <c r="J2318" t="s">
        <v>12284</v>
      </c>
      <c r="K2318" t="s">
        <v>16691</v>
      </c>
      <c r="L2318">
        <f>HYPERLINK("https://www2.assemblee-nationale.fr/sycomore/fiche/(num_dept)/5880", "5880")</f>
        <v>0</v>
      </c>
      <c r="M2318">
        <f>HYPERLINK("https://www.senat.fr/senateur-3eme-republique/pfleger_joseph0282r4.html", "pfleger_joseph0282r4")</f>
        <v>0</v>
      </c>
      <c r="N2318">
        <f>HYPERLINK("https://www.wikidata.org/wiki/Q1707820", "Q1707820")</f>
        <v>0</v>
      </c>
      <c r="O2318" t="s">
        <v>20049</v>
      </c>
      <c r="P2318" t="s">
        <v>20422</v>
      </c>
      <c r="Q2318" t="s">
        <v>20572</v>
      </c>
      <c r="R2318" t="s">
        <v>412</v>
      </c>
      <c r="S2318">
        <v>1481</v>
      </c>
    </row>
    <row r="2319" spans="1:19">
      <c r="A2319" t="s">
        <v>22</v>
      </c>
      <c r="B2319" t="s">
        <v>148</v>
      </c>
      <c r="C2319" t="s">
        <v>154</v>
      </c>
      <c r="D2319" t="s">
        <v>283</v>
      </c>
      <c r="E2319" t="s">
        <v>412</v>
      </c>
      <c r="F2319">
        <f>HYPERLINK("https://www.wikidata.org/wiki/Q16683492", "Q16683492")</f>
        <v>0</v>
      </c>
      <c r="G2319" t="s">
        <v>1572</v>
      </c>
      <c r="H2319" t="s">
        <v>6262</v>
      </c>
      <c r="I2319" t="s">
        <v>9457</v>
      </c>
      <c r="J2319" t="s">
        <v>12285</v>
      </c>
      <c r="K2319" t="s">
        <v>15702</v>
      </c>
      <c r="L2319">
        <f>HYPERLINK("https://www2.assemblee-nationale.fr/sycomore/fiche/(num_dept)/5891", "5891")</f>
        <v>0</v>
      </c>
      <c r="M2319">
        <f>HYPERLINK("https://www.senat.fr/senateur-3eme-republique/philippoteaux_henri0169r3.html", "philippoteaux_henri0169r3")</f>
        <v>0</v>
      </c>
      <c r="N2319">
        <f>HYPERLINK("https://www.wikidata.org/wiki/Q3131770", "Q3131770")</f>
        <v>0</v>
      </c>
      <c r="O2319" t="s">
        <v>19959</v>
      </c>
      <c r="P2319" t="s">
        <v>20425</v>
      </c>
      <c r="Q2319" t="s">
        <v>20572</v>
      </c>
      <c r="R2319" t="s">
        <v>412</v>
      </c>
      <c r="S2319">
        <v>1481</v>
      </c>
    </row>
    <row r="2320" spans="1:19">
      <c r="A2320" t="s">
        <v>22</v>
      </c>
      <c r="B2320" t="s">
        <v>148</v>
      </c>
      <c r="C2320" t="s">
        <v>154</v>
      </c>
      <c r="D2320" t="s">
        <v>283</v>
      </c>
      <c r="E2320" t="s">
        <v>412</v>
      </c>
      <c r="F2320">
        <f>HYPERLINK("https://www.wikidata.org/wiki/Q16683492", "Q16683492")</f>
        <v>0</v>
      </c>
      <c r="G2320" t="s">
        <v>1027</v>
      </c>
      <c r="H2320" t="s">
        <v>5777</v>
      </c>
      <c r="I2320" t="s">
        <v>9506</v>
      </c>
      <c r="J2320" t="s">
        <v>11764</v>
      </c>
      <c r="K2320" t="s">
        <v>16165</v>
      </c>
      <c r="L2320">
        <f>HYPERLINK("https://www2.assemblee-nationale.fr/sycomore/fiche/(num_dept)/5898", "5898")</f>
        <v>0</v>
      </c>
      <c r="N2320">
        <f>HYPERLINK("https://www.wikidata.org/wiki/Q16026338", "Q16026338")</f>
        <v>0</v>
      </c>
      <c r="O2320" t="s">
        <v>20017</v>
      </c>
      <c r="P2320" t="s">
        <v>20423</v>
      </c>
      <c r="Q2320" t="s">
        <v>20572</v>
      </c>
      <c r="R2320" t="s">
        <v>412</v>
      </c>
      <c r="S2320">
        <v>1481</v>
      </c>
    </row>
    <row r="2321" spans="1:19">
      <c r="A2321" t="s">
        <v>22</v>
      </c>
      <c r="B2321" t="s">
        <v>148</v>
      </c>
      <c r="C2321" t="s">
        <v>154</v>
      </c>
      <c r="D2321" t="s">
        <v>283</v>
      </c>
      <c r="E2321" t="s">
        <v>412</v>
      </c>
      <c r="F2321">
        <f>HYPERLINK("https://www.wikidata.org/wiki/Q16683492", "Q16683492")</f>
        <v>0</v>
      </c>
      <c r="G2321" t="s">
        <v>1573</v>
      </c>
      <c r="H2321" t="s">
        <v>6263</v>
      </c>
      <c r="I2321" t="s">
        <v>9843</v>
      </c>
      <c r="J2321" t="s">
        <v>12286</v>
      </c>
      <c r="K2321" t="s">
        <v>16692</v>
      </c>
      <c r="L2321">
        <f>HYPERLINK("https://www2.assemblee-nationale.fr/sycomore/fiche/(num_dept)/5908", "5908")</f>
        <v>0</v>
      </c>
      <c r="N2321">
        <f>HYPERLINK("https://www.wikidata.org/wiki/Q3573892", "Q3573892")</f>
        <v>0</v>
      </c>
      <c r="O2321" t="s">
        <v>19987</v>
      </c>
      <c r="P2321" t="s">
        <v>20417</v>
      </c>
      <c r="Q2321" t="s">
        <v>20572</v>
      </c>
      <c r="R2321" t="s">
        <v>412</v>
      </c>
      <c r="S2321">
        <v>1481</v>
      </c>
    </row>
    <row r="2322" spans="1:19">
      <c r="A2322" t="s">
        <v>22</v>
      </c>
      <c r="B2322" t="s">
        <v>148</v>
      </c>
      <c r="C2322" t="s">
        <v>154</v>
      </c>
      <c r="D2322" t="s">
        <v>283</v>
      </c>
      <c r="E2322" t="s">
        <v>412</v>
      </c>
      <c r="F2322">
        <f>HYPERLINK("https://www.wikidata.org/wiki/Q16683492", "Q16683492")</f>
        <v>0</v>
      </c>
      <c r="G2322" t="s">
        <v>1873</v>
      </c>
      <c r="H2322" t="s">
        <v>6528</v>
      </c>
      <c r="I2322" t="s">
        <v>6166</v>
      </c>
      <c r="J2322" t="s">
        <v>12561</v>
      </c>
      <c r="K2322" t="s">
        <v>16973</v>
      </c>
      <c r="L2322">
        <f>HYPERLINK("https://www2.assemblee-nationale.fr/sycomore/fiche/(num_dept)/5924", "5924")</f>
        <v>0</v>
      </c>
      <c r="N2322">
        <f>HYPERLINK("https://www.wikidata.org/wiki/Q3085590", "Q3085590")</f>
        <v>0</v>
      </c>
      <c r="O2322" t="s">
        <v>19955</v>
      </c>
      <c r="P2322" t="s">
        <v>20412</v>
      </c>
      <c r="Q2322" t="s">
        <v>20572</v>
      </c>
      <c r="R2322" t="s">
        <v>412</v>
      </c>
      <c r="S2322">
        <v>1481</v>
      </c>
    </row>
    <row r="2323" spans="1:19">
      <c r="A2323" t="s">
        <v>22</v>
      </c>
      <c r="B2323" t="s">
        <v>148</v>
      </c>
      <c r="C2323" t="s">
        <v>154</v>
      </c>
      <c r="D2323" t="s">
        <v>283</v>
      </c>
      <c r="E2323" t="s">
        <v>412</v>
      </c>
      <c r="F2323">
        <f>HYPERLINK("https://www.wikidata.org/wiki/Q16683492", "Q16683492")</f>
        <v>0</v>
      </c>
      <c r="G2323" t="s">
        <v>1575</v>
      </c>
      <c r="H2323" t="s">
        <v>6265</v>
      </c>
      <c r="I2323" t="s">
        <v>9534</v>
      </c>
      <c r="J2323" t="s">
        <v>12288</v>
      </c>
      <c r="K2323" t="s">
        <v>16694</v>
      </c>
      <c r="L2323">
        <f>HYPERLINK("https://www2.assemblee-nationale.fr/sycomore/fiche/(num_dept)/5938", "5938")</f>
        <v>0</v>
      </c>
      <c r="N2323">
        <f>HYPERLINK("https://www.wikidata.org/wiki/Q365798", "Q365798")</f>
        <v>0</v>
      </c>
      <c r="O2323" t="s">
        <v>19969</v>
      </c>
      <c r="P2323" t="s">
        <v>20423</v>
      </c>
      <c r="Q2323" t="s">
        <v>20572</v>
      </c>
      <c r="R2323" t="s">
        <v>412</v>
      </c>
      <c r="S2323">
        <v>1481</v>
      </c>
    </row>
    <row r="2324" spans="1:19">
      <c r="A2324" t="s">
        <v>22</v>
      </c>
      <c r="B2324" t="s">
        <v>148</v>
      </c>
      <c r="C2324" t="s">
        <v>154</v>
      </c>
      <c r="D2324" t="s">
        <v>283</v>
      </c>
      <c r="E2324" t="s">
        <v>412</v>
      </c>
      <c r="F2324">
        <f>HYPERLINK("https://www.wikidata.org/wiki/Q16683492", "Q16683492")</f>
        <v>0</v>
      </c>
      <c r="G2324" t="s">
        <v>1874</v>
      </c>
      <c r="H2324" t="s">
        <v>6529</v>
      </c>
      <c r="I2324" t="s">
        <v>9977</v>
      </c>
      <c r="J2324" t="s">
        <v>12562</v>
      </c>
      <c r="K2324" t="s">
        <v>16974</v>
      </c>
      <c r="L2324">
        <f>HYPERLINK("https://www2.assemblee-nationale.fr/sycomore/fiche/(num_dept)/5957", "5957")</f>
        <v>0</v>
      </c>
      <c r="N2324">
        <f>HYPERLINK("https://www.wikidata.org/wiki/Q2833972", "Q2833972")</f>
        <v>0</v>
      </c>
      <c r="O2324" t="s">
        <v>19969</v>
      </c>
      <c r="P2324" t="s">
        <v>20424</v>
      </c>
      <c r="Q2324" t="s">
        <v>20572</v>
      </c>
      <c r="R2324" t="s">
        <v>412</v>
      </c>
      <c r="S2324">
        <v>1481</v>
      </c>
    </row>
    <row r="2325" spans="1:19">
      <c r="A2325" t="s">
        <v>22</v>
      </c>
      <c r="B2325" t="s">
        <v>148</v>
      </c>
      <c r="C2325" t="s">
        <v>154</v>
      </c>
      <c r="D2325" t="s">
        <v>283</v>
      </c>
      <c r="E2325" t="s">
        <v>412</v>
      </c>
      <c r="F2325">
        <f>HYPERLINK("https://www.wikidata.org/wiki/Q16683492", "Q16683492")</f>
        <v>0</v>
      </c>
      <c r="G2325" t="s">
        <v>1577</v>
      </c>
      <c r="H2325" t="s">
        <v>6267</v>
      </c>
      <c r="I2325" t="s">
        <v>9523</v>
      </c>
      <c r="J2325" t="s">
        <v>12290</v>
      </c>
      <c r="K2325" t="s">
        <v>16696</v>
      </c>
      <c r="L2325">
        <f>HYPERLINK("https://www2.assemblee-nationale.fr/sycomore/fiche/(num_dept)/5965", "5965")</f>
        <v>0</v>
      </c>
      <c r="M2325">
        <f>HYPERLINK("https://www.senat.fr/senateur-3eme-republique/plaisant_marcel0005r4.html", "plaisant_marcel0005r4")</f>
        <v>0</v>
      </c>
      <c r="N2325">
        <f>HYPERLINK("https://www.wikidata.org/wiki/Q3289294", "Q3289294")</f>
        <v>0</v>
      </c>
      <c r="O2325" t="s">
        <v>19996</v>
      </c>
      <c r="P2325" t="s">
        <v>20401</v>
      </c>
      <c r="Q2325" t="s">
        <v>20572</v>
      </c>
      <c r="R2325" t="s">
        <v>412</v>
      </c>
      <c r="S2325">
        <v>1481</v>
      </c>
    </row>
    <row r="2326" spans="1:19">
      <c r="A2326" t="s">
        <v>22</v>
      </c>
      <c r="B2326" t="s">
        <v>148</v>
      </c>
      <c r="C2326" t="s">
        <v>154</v>
      </c>
      <c r="D2326" t="s">
        <v>283</v>
      </c>
      <c r="E2326" t="s">
        <v>412</v>
      </c>
      <c r="F2326">
        <f>HYPERLINK("https://www.wikidata.org/wiki/Q16683492", "Q16683492")</f>
        <v>0</v>
      </c>
      <c r="G2326" t="s">
        <v>1294</v>
      </c>
      <c r="H2326" t="s">
        <v>6016</v>
      </c>
      <c r="I2326" t="s">
        <v>7671</v>
      </c>
      <c r="J2326" t="s">
        <v>12024</v>
      </c>
      <c r="K2326" t="s">
        <v>16427</v>
      </c>
      <c r="L2326">
        <f>HYPERLINK("https://www2.assemblee-nationale.fr/sycomore/fiche/(num_dept)/5967", "5967")</f>
        <v>0</v>
      </c>
      <c r="N2326">
        <f>HYPERLINK("https://www.wikidata.org/wiki/Q3084727", "Q3084727")</f>
        <v>0</v>
      </c>
      <c r="O2326" t="s">
        <v>19981</v>
      </c>
      <c r="P2326" t="s">
        <v>20423</v>
      </c>
      <c r="Q2326" t="s">
        <v>20572</v>
      </c>
      <c r="R2326" t="s">
        <v>16427</v>
      </c>
      <c r="S2326">
        <v>13</v>
      </c>
    </row>
    <row r="2327" spans="1:19">
      <c r="A2327" t="s">
        <v>22</v>
      </c>
      <c r="B2327" t="s">
        <v>148</v>
      </c>
      <c r="C2327" t="s">
        <v>154</v>
      </c>
      <c r="D2327" t="s">
        <v>283</v>
      </c>
      <c r="E2327" t="s">
        <v>412</v>
      </c>
      <c r="F2327">
        <f>HYPERLINK("https://www.wikidata.org/wiki/Q16683492", "Q16683492")</f>
        <v>0</v>
      </c>
      <c r="G2327" t="s">
        <v>1875</v>
      </c>
      <c r="H2327" t="s">
        <v>6530</v>
      </c>
      <c r="I2327" t="s">
        <v>9978</v>
      </c>
      <c r="J2327" t="s">
        <v>11663</v>
      </c>
      <c r="K2327" t="s">
        <v>16975</v>
      </c>
      <c r="L2327">
        <f>HYPERLINK("https://www2.assemblee-nationale.fr/sycomore/fiche/(num_dept)/5968", "5968")</f>
        <v>0</v>
      </c>
      <c r="N2327">
        <f>HYPERLINK("https://www.wikidata.org/wiki/Q8299181", "Q8299181")</f>
        <v>0</v>
      </c>
      <c r="O2327" t="s">
        <v>19980</v>
      </c>
      <c r="P2327" t="s">
        <v>20409</v>
      </c>
      <c r="Q2327" t="s">
        <v>20572</v>
      </c>
      <c r="R2327" t="s">
        <v>16975</v>
      </c>
      <c r="S2327">
        <v>1176</v>
      </c>
    </row>
    <row r="2328" spans="1:19">
      <c r="A2328" t="s">
        <v>22</v>
      </c>
      <c r="B2328" t="s">
        <v>148</v>
      </c>
      <c r="C2328" t="s">
        <v>154</v>
      </c>
      <c r="D2328" t="s">
        <v>283</v>
      </c>
      <c r="E2328" t="s">
        <v>412</v>
      </c>
      <c r="F2328">
        <f>HYPERLINK("https://www.wikidata.org/wiki/Q16683492", "Q16683492")</f>
        <v>0</v>
      </c>
      <c r="G2328" t="s">
        <v>1578</v>
      </c>
      <c r="H2328" t="s">
        <v>6268</v>
      </c>
      <c r="I2328" t="s">
        <v>9442</v>
      </c>
      <c r="J2328" t="s">
        <v>12291</v>
      </c>
      <c r="K2328" t="s">
        <v>16697</v>
      </c>
      <c r="L2328">
        <f>HYPERLINK("https://www2.assemblee-nationale.fr/sycomore/fiche/(num_dept)/5979", "5979")</f>
        <v>0</v>
      </c>
      <c r="N2328">
        <f>HYPERLINK("https://www.wikidata.org/wiki/Q3057138", "Q3057138")</f>
        <v>0</v>
      </c>
      <c r="O2328" t="s">
        <v>20013</v>
      </c>
      <c r="P2328" t="s">
        <v>20404</v>
      </c>
      <c r="Q2328" t="s">
        <v>20572</v>
      </c>
      <c r="R2328" t="s">
        <v>412</v>
      </c>
      <c r="S2328">
        <v>1481</v>
      </c>
    </row>
    <row r="2329" spans="1:19">
      <c r="A2329" t="s">
        <v>22</v>
      </c>
      <c r="B2329" t="s">
        <v>148</v>
      </c>
      <c r="C2329" t="s">
        <v>154</v>
      </c>
      <c r="D2329" t="s">
        <v>283</v>
      </c>
      <c r="E2329" t="s">
        <v>412</v>
      </c>
      <c r="F2329">
        <f>HYPERLINK("https://www.wikidata.org/wiki/Q16683492", "Q16683492")</f>
        <v>0</v>
      </c>
      <c r="G2329" t="s">
        <v>762</v>
      </c>
      <c r="H2329" t="s">
        <v>5520</v>
      </c>
      <c r="I2329" t="s">
        <v>9514</v>
      </c>
      <c r="J2329" t="s">
        <v>11507</v>
      </c>
      <c r="K2329" t="s">
        <v>15913</v>
      </c>
      <c r="L2329">
        <f>HYPERLINK("https://www2.assemblee-nationale.fr/sycomore/fiche/(num_dept)/5981", "5981")</f>
        <v>0</v>
      </c>
      <c r="M2329">
        <f>HYPERLINK("https://www.senat.fr/senateur-3eme-republique/plichon_jean1422r3.html", "plichon_jean1422r3")</f>
        <v>0</v>
      </c>
      <c r="N2329">
        <f>HYPERLINK("https://www.wikidata.org/wiki/Q3174051", "Q3174051")</f>
        <v>0</v>
      </c>
      <c r="O2329" t="s">
        <v>20013</v>
      </c>
      <c r="P2329" t="s">
        <v>20422</v>
      </c>
      <c r="Q2329" t="s">
        <v>20572</v>
      </c>
      <c r="R2329" t="s">
        <v>412</v>
      </c>
      <c r="S2329">
        <v>1481</v>
      </c>
    </row>
    <row r="2330" spans="1:19">
      <c r="A2330" t="s">
        <v>22</v>
      </c>
      <c r="B2330" t="s">
        <v>148</v>
      </c>
      <c r="C2330" t="s">
        <v>154</v>
      </c>
      <c r="D2330" t="s">
        <v>283</v>
      </c>
      <c r="E2330" t="s">
        <v>412</v>
      </c>
      <c r="F2330">
        <f>HYPERLINK("https://www.wikidata.org/wiki/Q16683492", "Q16683492")</f>
        <v>0</v>
      </c>
      <c r="G2330" t="s">
        <v>1876</v>
      </c>
      <c r="H2330" t="s">
        <v>6531</v>
      </c>
      <c r="I2330" t="s">
        <v>6076</v>
      </c>
      <c r="J2330" t="s">
        <v>12563</v>
      </c>
      <c r="K2330" t="s">
        <v>16976</v>
      </c>
      <c r="L2330">
        <f>HYPERLINK("https://www2.assemblee-nationale.fr/sycomore/fiche/(num_dept)/6010", "6010")</f>
        <v>0</v>
      </c>
      <c r="N2330">
        <f>HYPERLINK("https://www.wikidata.org/wiki/Q2885993", "Q2885993")</f>
        <v>0</v>
      </c>
      <c r="O2330" t="s">
        <v>19969</v>
      </c>
      <c r="P2330" t="s">
        <v>20412</v>
      </c>
      <c r="Q2330" t="s">
        <v>20572</v>
      </c>
      <c r="R2330" t="s">
        <v>412</v>
      </c>
      <c r="S2330">
        <v>1481</v>
      </c>
    </row>
    <row r="2331" spans="1:19">
      <c r="A2331" t="s">
        <v>22</v>
      </c>
      <c r="B2331" t="s">
        <v>148</v>
      </c>
      <c r="C2331" t="s">
        <v>154</v>
      </c>
      <c r="D2331" t="s">
        <v>283</v>
      </c>
      <c r="E2331" t="s">
        <v>412</v>
      </c>
      <c r="F2331">
        <f>HYPERLINK("https://www.wikidata.org/wiki/Q16683492", "Q16683492")</f>
        <v>0</v>
      </c>
      <c r="G2331" t="s">
        <v>1192</v>
      </c>
      <c r="H2331" t="s">
        <v>5922</v>
      </c>
      <c r="I2331" t="s">
        <v>9700</v>
      </c>
      <c r="J2331" t="s">
        <v>11925</v>
      </c>
      <c r="K2331" t="s">
        <v>16326</v>
      </c>
      <c r="L2331">
        <f>HYPERLINK("https://www2.assemblee-nationale.fr/sycomore/fiche/(num_dept)/6016", "6016")</f>
        <v>0</v>
      </c>
      <c r="M2331">
        <f>HYPERLINK("https://www.senat.fr/senateur-3eme-republique/robert_pierre1327r3.html", "robert_pierre1327r3")</f>
        <v>0</v>
      </c>
      <c r="N2331">
        <f>HYPERLINK("https://www.wikidata.org/wiki/Q3386818", "Q3386818")</f>
        <v>0</v>
      </c>
      <c r="O2331" t="s">
        <v>19997</v>
      </c>
      <c r="P2331" t="s">
        <v>20423</v>
      </c>
      <c r="Q2331" t="s">
        <v>20572</v>
      </c>
      <c r="R2331" t="s">
        <v>412</v>
      </c>
      <c r="S2331">
        <v>1481</v>
      </c>
    </row>
    <row r="2332" spans="1:19">
      <c r="A2332" t="s">
        <v>22</v>
      </c>
      <c r="B2332" t="s">
        <v>148</v>
      </c>
      <c r="C2332" t="s">
        <v>154</v>
      </c>
      <c r="D2332" t="s">
        <v>283</v>
      </c>
      <c r="E2332" t="s">
        <v>412</v>
      </c>
      <c r="F2332">
        <f>HYPERLINK("https://www.wikidata.org/wiki/Q16683492", "Q16683492")</f>
        <v>0</v>
      </c>
      <c r="G2332" t="s">
        <v>1193</v>
      </c>
      <c r="H2332" t="s">
        <v>5923</v>
      </c>
      <c r="I2332" t="s">
        <v>9701</v>
      </c>
      <c r="J2332" t="s">
        <v>11926</v>
      </c>
      <c r="K2332" t="s">
        <v>16327</v>
      </c>
      <c r="L2332">
        <f>HYPERLINK("https://www2.assemblee-nationale.fr/sycomore/fiche/(num_dept)/6018", "6018")</f>
        <v>0</v>
      </c>
      <c r="N2332">
        <f>HYPERLINK("https://www.wikidata.org/wiki/Q3557548", "Q3557548")</f>
        <v>0</v>
      </c>
      <c r="O2332" t="s">
        <v>19961</v>
      </c>
      <c r="P2332" t="s">
        <v>20422</v>
      </c>
      <c r="Q2332" t="s">
        <v>20572</v>
      </c>
      <c r="R2332" t="s">
        <v>412</v>
      </c>
      <c r="S2332">
        <v>1481</v>
      </c>
    </row>
    <row r="2333" spans="1:19">
      <c r="A2333" t="s">
        <v>22</v>
      </c>
      <c r="B2333" t="s">
        <v>148</v>
      </c>
      <c r="C2333" t="s">
        <v>154</v>
      </c>
      <c r="D2333" t="s">
        <v>283</v>
      </c>
      <c r="E2333" t="s">
        <v>412</v>
      </c>
      <c r="F2333">
        <f>HYPERLINK("https://www.wikidata.org/wiki/Q16683492", "Q16683492")</f>
        <v>0</v>
      </c>
      <c r="G2333" t="s">
        <v>1194</v>
      </c>
      <c r="H2333" t="s">
        <v>5924</v>
      </c>
      <c r="I2333" t="s">
        <v>9483</v>
      </c>
      <c r="J2333" t="s">
        <v>11927</v>
      </c>
      <c r="K2333" t="s">
        <v>16328</v>
      </c>
      <c r="L2333">
        <f>HYPERLINK("https://www2.assemblee-nationale.fr/sycomore/fiche/(num_dept)/6039", "6039")</f>
        <v>0</v>
      </c>
      <c r="N2333">
        <f>HYPERLINK("https://www.wikidata.org/wiki/Q3557551", "Q3557551")</f>
        <v>0</v>
      </c>
      <c r="O2333" t="s">
        <v>19972</v>
      </c>
      <c r="P2333" t="s">
        <v>20409</v>
      </c>
      <c r="Q2333" t="s">
        <v>20572</v>
      </c>
      <c r="R2333" t="s">
        <v>412</v>
      </c>
      <c r="S2333">
        <v>1481</v>
      </c>
    </row>
    <row r="2334" spans="1:19">
      <c r="A2334" t="s">
        <v>22</v>
      </c>
      <c r="B2334" t="s">
        <v>148</v>
      </c>
      <c r="C2334" t="s">
        <v>154</v>
      </c>
      <c r="D2334" t="s">
        <v>283</v>
      </c>
      <c r="E2334" t="s">
        <v>412</v>
      </c>
      <c r="F2334">
        <f>HYPERLINK("https://www.wikidata.org/wiki/Q16683492", "Q16683492")</f>
        <v>0</v>
      </c>
      <c r="G2334" t="s">
        <v>1877</v>
      </c>
      <c r="H2334" t="s">
        <v>6532</v>
      </c>
      <c r="I2334" t="s">
        <v>9552</v>
      </c>
      <c r="J2334" t="s">
        <v>12564</v>
      </c>
      <c r="K2334" t="s">
        <v>16977</v>
      </c>
      <c r="L2334">
        <f>HYPERLINK("https://www2.assemblee-nationale.fr/sycomore/fiche/(num_dept)/6047", "6047")</f>
        <v>0</v>
      </c>
      <c r="N2334">
        <f>HYPERLINK("https://www.wikidata.org/wiki/Q8328995", "Q8328995")</f>
        <v>0</v>
      </c>
      <c r="O2334" t="s">
        <v>19971</v>
      </c>
      <c r="P2334" t="s">
        <v>20423</v>
      </c>
      <c r="Q2334" t="s">
        <v>20572</v>
      </c>
      <c r="R2334" t="s">
        <v>412</v>
      </c>
      <c r="S2334">
        <v>1481</v>
      </c>
    </row>
    <row r="2335" spans="1:19">
      <c r="A2335" t="s">
        <v>22</v>
      </c>
      <c r="B2335" t="s">
        <v>148</v>
      </c>
      <c r="C2335" t="s">
        <v>154</v>
      </c>
      <c r="D2335" t="s">
        <v>283</v>
      </c>
      <c r="E2335" t="s">
        <v>412</v>
      </c>
      <c r="F2335">
        <f>HYPERLINK("https://www.wikidata.org/wiki/Q16683492", "Q16683492")</f>
        <v>0</v>
      </c>
      <c r="G2335" t="s">
        <v>769</v>
      </c>
      <c r="H2335" t="s">
        <v>5527</v>
      </c>
      <c r="I2335" t="s">
        <v>9516</v>
      </c>
      <c r="J2335" t="s">
        <v>11516</v>
      </c>
      <c r="K2335" t="s">
        <v>15920</v>
      </c>
      <c r="L2335">
        <f>HYPERLINK("https://www2.assemblee-nationale.fr/sycomore/fiche/(num_dept)/6053", "6053")</f>
        <v>0</v>
      </c>
      <c r="N2335">
        <f>HYPERLINK("https://www.wikidata.org/wiki/Q13091126", "Q13091126")</f>
        <v>0</v>
      </c>
      <c r="O2335" t="s">
        <v>19965</v>
      </c>
      <c r="P2335" t="s">
        <v>20404</v>
      </c>
      <c r="Q2335" t="s">
        <v>20572</v>
      </c>
      <c r="R2335" t="s">
        <v>412</v>
      </c>
      <c r="S2335">
        <v>1481</v>
      </c>
    </row>
    <row r="2336" spans="1:19">
      <c r="A2336" t="s">
        <v>22</v>
      </c>
      <c r="B2336" t="s">
        <v>148</v>
      </c>
      <c r="C2336" t="s">
        <v>154</v>
      </c>
      <c r="D2336" t="s">
        <v>283</v>
      </c>
      <c r="E2336" t="s">
        <v>412</v>
      </c>
      <c r="F2336">
        <f>HYPERLINK("https://www.wikidata.org/wiki/Q16683492", "Q16683492")</f>
        <v>0</v>
      </c>
      <c r="G2336" t="s">
        <v>1581</v>
      </c>
      <c r="H2336" t="s">
        <v>6271</v>
      </c>
      <c r="I2336" t="s">
        <v>6495</v>
      </c>
      <c r="J2336" t="s">
        <v>12293</v>
      </c>
      <c r="K2336" t="s">
        <v>16700</v>
      </c>
      <c r="L2336">
        <f>HYPERLINK("https://www2.assemblee-nationale.fr/sycomore/fiche/(num_dept)/6068", "6068")</f>
        <v>0</v>
      </c>
      <c r="N2336">
        <f>HYPERLINK("https://www.wikidata.org/wiki/Q3263043", "Q3263043")</f>
        <v>0</v>
      </c>
      <c r="O2336" t="s">
        <v>19969</v>
      </c>
      <c r="P2336" t="s">
        <v>20412</v>
      </c>
      <c r="Q2336" t="s">
        <v>20572</v>
      </c>
      <c r="R2336" t="s">
        <v>412</v>
      </c>
      <c r="S2336">
        <v>1481</v>
      </c>
    </row>
    <row r="2337" spans="1:19">
      <c r="A2337" t="s">
        <v>22</v>
      </c>
      <c r="B2337" t="s">
        <v>148</v>
      </c>
      <c r="C2337" t="s">
        <v>154</v>
      </c>
      <c r="D2337" t="s">
        <v>283</v>
      </c>
      <c r="E2337" t="s">
        <v>412</v>
      </c>
      <c r="F2337">
        <f>HYPERLINK("https://www.wikidata.org/wiki/Q16683492", "Q16683492")</f>
        <v>0</v>
      </c>
      <c r="G2337" t="s">
        <v>1585</v>
      </c>
      <c r="H2337" t="s">
        <v>6275</v>
      </c>
      <c r="I2337" t="s">
        <v>9423</v>
      </c>
      <c r="J2337" t="s">
        <v>12296</v>
      </c>
      <c r="K2337" t="s">
        <v>16704</v>
      </c>
      <c r="L2337">
        <f>HYPERLINK("https://www2.assemblee-nationale.fr/sycomore/fiche/(num_dept)/6104", "6104")</f>
        <v>0</v>
      </c>
      <c r="M2337">
        <f>HYPERLINK("https://www.senat.fr/senateur-3eme-republique/des_rotours_guillaume1419r3.html", "des_rotours_guillaume1419r3")</f>
        <v>0</v>
      </c>
      <c r="N2337">
        <f>HYPERLINK("https://www.wikidata.org/wiki/Q3120480", "Q3120480")</f>
        <v>0</v>
      </c>
      <c r="O2337" t="s">
        <v>20013</v>
      </c>
      <c r="P2337" t="s">
        <v>20422</v>
      </c>
      <c r="Q2337" t="s">
        <v>20572</v>
      </c>
      <c r="R2337" t="s">
        <v>412</v>
      </c>
      <c r="S2337">
        <v>1481</v>
      </c>
    </row>
    <row r="2338" spans="1:19">
      <c r="A2338" t="s">
        <v>22</v>
      </c>
      <c r="B2338" t="s">
        <v>148</v>
      </c>
      <c r="C2338" t="s">
        <v>154</v>
      </c>
      <c r="D2338" t="s">
        <v>283</v>
      </c>
      <c r="E2338" t="s">
        <v>412</v>
      </c>
      <c r="F2338">
        <f>HYPERLINK("https://www.wikidata.org/wiki/Q16683492", "Q16683492")</f>
        <v>0</v>
      </c>
      <c r="G2338" t="s">
        <v>772</v>
      </c>
      <c r="H2338" t="s">
        <v>5530</v>
      </c>
      <c r="I2338" t="s">
        <v>5445</v>
      </c>
      <c r="J2338" t="s">
        <v>11519</v>
      </c>
      <c r="K2338" t="s">
        <v>15923</v>
      </c>
      <c r="L2338">
        <f>HYPERLINK("https://www2.assemblee-nationale.fr/sycomore/fiche/(num_dept)/6116", "6116")</f>
        <v>0</v>
      </c>
      <c r="N2338">
        <f>HYPERLINK("https://www.wikidata.org/wiki/Q29767", "Q29767")</f>
        <v>0</v>
      </c>
      <c r="O2338" t="s">
        <v>20014</v>
      </c>
      <c r="P2338" t="s">
        <v>20404</v>
      </c>
      <c r="Q2338" t="s">
        <v>20572</v>
      </c>
      <c r="R2338" t="s">
        <v>412</v>
      </c>
      <c r="S2338">
        <v>1481</v>
      </c>
    </row>
    <row r="2339" spans="1:19">
      <c r="A2339" t="s">
        <v>22</v>
      </c>
      <c r="B2339" t="s">
        <v>148</v>
      </c>
      <c r="C2339" t="s">
        <v>154</v>
      </c>
      <c r="D2339" t="s">
        <v>283</v>
      </c>
      <c r="E2339" t="s">
        <v>412</v>
      </c>
      <c r="F2339">
        <f>HYPERLINK("https://www.wikidata.org/wiki/Q16683492", "Q16683492")</f>
        <v>0</v>
      </c>
      <c r="G2339" t="s">
        <v>774</v>
      </c>
      <c r="H2339" t="s">
        <v>5532</v>
      </c>
      <c r="I2339" t="s">
        <v>9520</v>
      </c>
      <c r="J2339" t="s">
        <v>11521</v>
      </c>
      <c r="K2339" t="s">
        <v>15925</v>
      </c>
      <c r="L2339">
        <f>HYPERLINK("https://www2.assemblee-nationale.fr/sycomore/fiche/(num_dept)/6124", "6124")</f>
        <v>0</v>
      </c>
      <c r="N2339">
        <f>HYPERLINK("https://www.wikidata.org/wiki/Q8329099", "Q8329099")</f>
        <v>0</v>
      </c>
      <c r="O2339" t="s">
        <v>19957</v>
      </c>
      <c r="P2339" t="s">
        <v>20422</v>
      </c>
      <c r="Q2339" t="s">
        <v>20572</v>
      </c>
      <c r="R2339" t="s">
        <v>412</v>
      </c>
      <c r="S2339">
        <v>1481</v>
      </c>
    </row>
    <row r="2340" spans="1:19">
      <c r="A2340" t="s">
        <v>22</v>
      </c>
      <c r="B2340" t="s">
        <v>148</v>
      </c>
      <c r="C2340" t="s">
        <v>154</v>
      </c>
      <c r="D2340" t="s">
        <v>283</v>
      </c>
      <c r="E2340" t="s">
        <v>412</v>
      </c>
      <c r="F2340">
        <f>HYPERLINK("https://www.wikidata.org/wiki/Q16683492", "Q16683492")</f>
        <v>0</v>
      </c>
      <c r="G2340" t="s">
        <v>1878</v>
      </c>
      <c r="H2340" t="s">
        <v>6277</v>
      </c>
      <c r="I2340" t="s">
        <v>6585</v>
      </c>
      <c r="J2340" t="s">
        <v>12565</v>
      </c>
      <c r="K2340" t="s">
        <v>16978</v>
      </c>
      <c r="L2340">
        <f>HYPERLINK("https://www2.assemblee-nationale.fr/sycomore/fiche/(num_dept)/6154", "6154")</f>
        <v>0</v>
      </c>
      <c r="N2340">
        <f>HYPERLINK("https://www.wikidata.org/wiki/Q16526906", "Q16526906")</f>
        <v>0</v>
      </c>
      <c r="O2340" t="s">
        <v>19993</v>
      </c>
      <c r="P2340" t="s">
        <v>20423</v>
      </c>
      <c r="Q2340" t="s">
        <v>20572</v>
      </c>
      <c r="R2340" t="s">
        <v>412</v>
      </c>
      <c r="S2340">
        <v>1481</v>
      </c>
    </row>
    <row r="2341" spans="1:19">
      <c r="A2341" t="s">
        <v>22</v>
      </c>
      <c r="B2341" t="s">
        <v>148</v>
      </c>
      <c r="C2341" t="s">
        <v>154</v>
      </c>
      <c r="D2341" t="s">
        <v>283</v>
      </c>
      <c r="E2341" t="s">
        <v>412</v>
      </c>
      <c r="F2341">
        <f>HYPERLINK("https://www.wikidata.org/wiki/Q16683492", "Q16683492")</f>
        <v>0</v>
      </c>
      <c r="G2341" t="s">
        <v>1587</v>
      </c>
      <c r="H2341" t="s">
        <v>6277</v>
      </c>
      <c r="I2341" t="s">
        <v>9849</v>
      </c>
      <c r="J2341" t="s">
        <v>11937</v>
      </c>
      <c r="K2341" t="s">
        <v>316</v>
      </c>
      <c r="L2341">
        <f>HYPERLINK("https://www2.assemblee-nationale.fr/sycomore/fiche/(num_dept)/6155", "6155")</f>
        <v>0</v>
      </c>
      <c r="N2341">
        <f>HYPERLINK("https://www.wikidata.org/wiki/Q2960157", "Q2960157")</f>
        <v>0</v>
      </c>
      <c r="O2341" t="s">
        <v>19958</v>
      </c>
      <c r="P2341" t="s">
        <v>20423</v>
      </c>
      <c r="Q2341" t="s">
        <v>20572</v>
      </c>
      <c r="R2341" t="s">
        <v>412</v>
      </c>
      <c r="S2341">
        <v>1481</v>
      </c>
    </row>
    <row r="2342" spans="1:19">
      <c r="A2342" t="s">
        <v>22</v>
      </c>
      <c r="B2342" t="s">
        <v>148</v>
      </c>
      <c r="C2342" t="s">
        <v>154</v>
      </c>
      <c r="D2342" t="s">
        <v>283</v>
      </c>
      <c r="E2342" t="s">
        <v>412</v>
      </c>
      <c r="F2342">
        <f>HYPERLINK("https://www.wikidata.org/wiki/Q16683492", "Q16683492")</f>
        <v>0</v>
      </c>
      <c r="G2342" t="s">
        <v>1879</v>
      </c>
      <c r="H2342" t="s">
        <v>6277</v>
      </c>
      <c r="I2342" t="s">
        <v>9979</v>
      </c>
      <c r="J2342" t="s">
        <v>12566</v>
      </c>
      <c r="K2342" t="s">
        <v>16979</v>
      </c>
      <c r="L2342">
        <f>HYPERLINK("https://www2.assemblee-nationale.fr/sycomore/fiche/(num_dept)/6162", "6162")</f>
        <v>0</v>
      </c>
      <c r="N2342">
        <f>HYPERLINK("https://www.wikidata.org/wiki/Q24845886", "Q24845886")</f>
        <v>0</v>
      </c>
      <c r="O2342" t="s">
        <v>19990</v>
      </c>
      <c r="P2342" t="s">
        <v>20404</v>
      </c>
      <c r="Q2342" t="s">
        <v>20572</v>
      </c>
      <c r="R2342" t="s">
        <v>412</v>
      </c>
      <c r="S2342">
        <v>1481</v>
      </c>
    </row>
    <row r="2343" spans="1:19">
      <c r="A2343" t="s">
        <v>22</v>
      </c>
      <c r="B2343" t="s">
        <v>148</v>
      </c>
      <c r="C2343" t="s">
        <v>154</v>
      </c>
      <c r="D2343" t="s">
        <v>283</v>
      </c>
      <c r="E2343" t="s">
        <v>412</v>
      </c>
      <c r="F2343">
        <f>HYPERLINK("https://www.wikidata.org/wiki/Q16683492", "Q16683492")</f>
        <v>0</v>
      </c>
      <c r="G2343" t="s">
        <v>1674</v>
      </c>
      <c r="H2343" t="s">
        <v>6354</v>
      </c>
      <c r="I2343" t="s">
        <v>9878</v>
      </c>
      <c r="J2343" t="s">
        <v>12380</v>
      </c>
      <c r="K2343" t="s">
        <v>16788</v>
      </c>
      <c r="L2343">
        <f>HYPERLINK("https://www2.assemblee-nationale.fr/sycomore/fiche/(num_dept)/6166", "6166")</f>
        <v>0</v>
      </c>
      <c r="M2343">
        <f>HYPERLINK("https://www.senat.fr/senateur-3eme-republique/roux_freissineng_pierre1827r3.html", "roux_freissineng_pierre1827r3")</f>
        <v>0</v>
      </c>
      <c r="N2343">
        <f>HYPERLINK("https://www.wikidata.org/wiki/Q3386881", "Q3386881")</f>
        <v>0</v>
      </c>
      <c r="O2343" t="s">
        <v>20000</v>
      </c>
      <c r="P2343" t="s">
        <v>20401</v>
      </c>
      <c r="Q2343" t="s">
        <v>20572</v>
      </c>
      <c r="R2343" t="s">
        <v>412</v>
      </c>
      <c r="S2343">
        <v>1481</v>
      </c>
    </row>
    <row r="2344" spans="1:19">
      <c r="A2344" t="s">
        <v>22</v>
      </c>
      <c r="B2344" t="s">
        <v>148</v>
      </c>
      <c r="C2344" t="s">
        <v>154</v>
      </c>
      <c r="D2344" t="s">
        <v>283</v>
      </c>
      <c r="E2344" t="s">
        <v>412</v>
      </c>
      <c r="F2344">
        <f>HYPERLINK("https://www.wikidata.org/wiki/Q16683492", "Q16683492")</f>
        <v>0</v>
      </c>
      <c r="G2344" t="s">
        <v>1880</v>
      </c>
      <c r="H2344" t="s">
        <v>6533</v>
      </c>
      <c r="I2344" t="s">
        <v>9980</v>
      </c>
      <c r="J2344" t="s">
        <v>12567</v>
      </c>
      <c r="K2344" t="s">
        <v>16980</v>
      </c>
      <c r="L2344">
        <f>HYPERLINK("https://www2.assemblee-nationale.fr/sycomore/fiche/(num_dept)/6217", "6217")</f>
        <v>0</v>
      </c>
      <c r="N2344">
        <f>HYPERLINK("https://www.wikidata.org/wiki/Q3557652", "Q3557652")</f>
        <v>0</v>
      </c>
      <c r="O2344" t="s">
        <v>19968</v>
      </c>
      <c r="P2344" t="s">
        <v>20422</v>
      </c>
      <c r="Q2344" t="s">
        <v>20572</v>
      </c>
      <c r="R2344" t="s">
        <v>412</v>
      </c>
      <c r="S2344">
        <v>1481</v>
      </c>
    </row>
    <row r="2345" spans="1:19">
      <c r="A2345" t="s">
        <v>22</v>
      </c>
      <c r="B2345" t="s">
        <v>148</v>
      </c>
      <c r="C2345" t="s">
        <v>154</v>
      </c>
      <c r="D2345" t="s">
        <v>283</v>
      </c>
      <c r="E2345" t="s">
        <v>412</v>
      </c>
      <c r="F2345">
        <f>HYPERLINK("https://www.wikidata.org/wiki/Q16683492", "Q16683492")</f>
        <v>0</v>
      </c>
      <c r="G2345" t="s">
        <v>1590</v>
      </c>
      <c r="H2345" t="s">
        <v>6280</v>
      </c>
      <c r="I2345" t="s">
        <v>9385</v>
      </c>
      <c r="J2345" t="s">
        <v>12299</v>
      </c>
      <c r="K2345" t="s">
        <v>16708</v>
      </c>
      <c r="L2345">
        <f>HYPERLINK("https://www2.assemblee-nationale.fr/sycomore/fiche/(num_dept)/6233", "6233")</f>
        <v>0</v>
      </c>
      <c r="N2345">
        <f>HYPERLINK("https://www.wikidata.org/wiki/Q37793124", "Q37793124")</f>
        <v>0</v>
      </c>
      <c r="O2345" t="s">
        <v>20013</v>
      </c>
      <c r="P2345" t="s">
        <v>20404</v>
      </c>
      <c r="Q2345" t="s">
        <v>20572</v>
      </c>
      <c r="R2345" t="s">
        <v>16708</v>
      </c>
      <c r="S2345">
        <v>735</v>
      </c>
    </row>
    <row r="2346" spans="1:19">
      <c r="A2346" t="s">
        <v>22</v>
      </c>
      <c r="B2346" t="s">
        <v>148</v>
      </c>
      <c r="C2346" t="s">
        <v>154</v>
      </c>
      <c r="D2346" t="s">
        <v>283</v>
      </c>
      <c r="E2346" t="s">
        <v>412</v>
      </c>
      <c r="F2346">
        <f>HYPERLINK("https://www.wikidata.org/wiki/Q16683492", "Q16683492")</f>
        <v>0</v>
      </c>
      <c r="G2346" t="s">
        <v>1881</v>
      </c>
      <c r="H2346" t="s">
        <v>6534</v>
      </c>
      <c r="I2346" t="s">
        <v>9458</v>
      </c>
      <c r="J2346" t="s">
        <v>12568</v>
      </c>
      <c r="K2346" t="s">
        <v>16981</v>
      </c>
      <c r="L2346">
        <f>HYPERLINK("https://www2.assemblee-nationale.fr/sycomore/fiche/(num_dept)/6259", "6259")</f>
        <v>0</v>
      </c>
      <c r="M2346">
        <f>HYPERLINK("https://www.senat.fr/senateur-3eme-republique/salmon_alfred0977r3.html", "salmon_alfred0977r3")</f>
        <v>0</v>
      </c>
      <c r="N2346">
        <f>HYPERLINK("https://www.wikidata.org/wiki/Q2835437", "Q2835437")</f>
        <v>0</v>
      </c>
      <c r="O2346" t="s">
        <v>19968</v>
      </c>
      <c r="P2346" t="s">
        <v>20417</v>
      </c>
      <c r="Q2346" t="s">
        <v>20572</v>
      </c>
      <c r="R2346" t="s">
        <v>412</v>
      </c>
      <c r="S2346">
        <v>1481</v>
      </c>
    </row>
    <row r="2347" spans="1:19">
      <c r="A2347" t="s">
        <v>22</v>
      </c>
      <c r="B2347" t="s">
        <v>148</v>
      </c>
      <c r="C2347" t="s">
        <v>154</v>
      </c>
      <c r="D2347" t="s">
        <v>283</v>
      </c>
      <c r="E2347" t="s">
        <v>412</v>
      </c>
      <c r="F2347">
        <f>HYPERLINK("https://www.wikidata.org/wiki/Q16683492", "Q16683492")</f>
        <v>0</v>
      </c>
      <c r="G2347" t="s">
        <v>779</v>
      </c>
      <c r="H2347" t="s">
        <v>5537</v>
      </c>
      <c r="I2347" t="s">
        <v>6175</v>
      </c>
      <c r="J2347" t="s">
        <v>11526</v>
      </c>
      <c r="K2347" t="s">
        <v>15930</v>
      </c>
      <c r="L2347">
        <f>HYPERLINK("https://www2.assemblee-nationale.fr/sycomore/fiche/(num_dept)/6306", "6306")</f>
        <v>0</v>
      </c>
      <c r="N2347">
        <f>HYPERLINK("https://www.wikidata.org/wiki/Q16026484", "Q16026484")</f>
        <v>0</v>
      </c>
      <c r="O2347" t="s">
        <v>20010</v>
      </c>
      <c r="P2347" t="s">
        <v>20412</v>
      </c>
      <c r="Q2347" t="s">
        <v>20572</v>
      </c>
      <c r="R2347" t="s">
        <v>412</v>
      </c>
      <c r="S2347">
        <v>1481</v>
      </c>
    </row>
    <row r="2348" spans="1:19">
      <c r="A2348" t="s">
        <v>22</v>
      </c>
      <c r="B2348" t="s">
        <v>148</v>
      </c>
      <c r="C2348" t="s">
        <v>154</v>
      </c>
      <c r="D2348" t="s">
        <v>283</v>
      </c>
      <c r="E2348" t="s">
        <v>412</v>
      </c>
      <c r="F2348">
        <f>HYPERLINK("https://www.wikidata.org/wiki/Q16683492", "Q16683492")</f>
        <v>0</v>
      </c>
      <c r="G2348" t="s">
        <v>1593</v>
      </c>
      <c r="H2348" t="s">
        <v>6283</v>
      </c>
      <c r="I2348" t="s">
        <v>9385</v>
      </c>
      <c r="J2348" t="s">
        <v>12301</v>
      </c>
      <c r="K2348" t="s">
        <v>16711</v>
      </c>
      <c r="L2348">
        <f>HYPERLINK("https://www2.assemblee-nationale.fr/sycomore/fiche/(num_dept)/6332", "6332")</f>
        <v>0</v>
      </c>
      <c r="N2348">
        <f>HYPERLINK("https://www.wikidata.org/wiki/Q8340240", "Q8340240")</f>
        <v>0</v>
      </c>
      <c r="O2348" t="s">
        <v>20049</v>
      </c>
      <c r="P2348" t="s">
        <v>20412</v>
      </c>
      <c r="Q2348" t="s">
        <v>20572</v>
      </c>
      <c r="R2348" t="s">
        <v>412</v>
      </c>
      <c r="S2348">
        <v>1481</v>
      </c>
    </row>
    <row r="2349" spans="1:19">
      <c r="A2349" t="s">
        <v>22</v>
      </c>
      <c r="B2349" t="s">
        <v>148</v>
      </c>
      <c r="C2349" t="s">
        <v>154</v>
      </c>
      <c r="D2349" t="s">
        <v>283</v>
      </c>
      <c r="E2349" t="s">
        <v>412</v>
      </c>
      <c r="F2349">
        <f>HYPERLINK("https://www.wikidata.org/wiki/Q16683492", "Q16683492")</f>
        <v>0</v>
      </c>
      <c r="G2349" t="s">
        <v>1882</v>
      </c>
      <c r="H2349" t="s">
        <v>6535</v>
      </c>
      <c r="I2349" t="s">
        <v>9483</v>
      </c>
      <c r="J2349" t="s">
        <v>12569</v>
      </c>
      <c r="K2349" t="s">
        <v>15891</v>
      </c>
      <c r="L2349">
        <f>HYPERLINK("https://www2.assemblee-nationale.fr/sycomore/fiche/(num_dept)/6339", "6339")</f>
        <v>0</v>
      </c>
      <c r="N2349">
        <f>HYPERLINK("https://www.wikidata.org/wiki/Q16026490", "Q16026490")</f>
        <v>0</v>
      </c>
      <c r="O2349" t="s">
        <v>20030</v>
      </c>
      <c r="P2349" t="s">
        <v>20422</v>
      </c>
      <c r="Q2349" t="s">
        <v>20572</v>
      </c>
      <c r="R2349" t="s">
        <v>412</v>
      </c>
      <c r="S2349">
        <v>1481</v>
      </c>
    </row>
    <row r="2350" spans="1:19">
      <c r="A2350" t="s">
        <v>22</v>
      </c>
      <c r="B2350" t="s">
        <v>148</v>
      </c>
      <c r="C2350" t="s">
        <v>154</v>
      </c>
      <c r="D2350" t="s">
        <v>283</v>
      </c>
      <c r="E2350" t="s">
        <v>412</v>
      </c>
      <c r="F2350">
        <f>HYPERLINK("https://www.wikidata.org/wiki/Q16683492", "Q16683492")</f>
        <v>0</v>
      </c>
      <c r="G2350" t="s">
        <v>1687</v>
      </c>
      <c r="H2350" t="s">
        <v>5785</v>
      </c>
      <c r="I2350" t="s">
        <v>9887</v>
      </c>
      <c r="J2350" t="s">
        <v>12391</v>
      </c>
      <c r="K2350" t="s">
        <v>16800</v>
      </c>
      <c r="L2350">
        <f>HYPERLINK("https://www2.assemblee-nationale.fr/sycomore/fiche/(num_dept)/6343", "6343")</f>
        <v>0</v>
      </c>
      <c r="N2350">
        <f>HYPERLINK("https://www.wikidata.org/wiki/Q3161589", "Q3161589")</f>
        <v>0</v>
      </c>
      <c r="O2350" t="s">
        <v>19989</v>
      </c>
      <c r="P2350" t="s">
        <v>20423</v>
      </c>
      <c r="Q2350" t="s">
        <v>20572</v>
      </c>
      <c r="R2350" t="s">
        <v>412</v>
      </c>
      <c r="S2350">
        <v>1481</v>
      </c>
    </row>
    <row r="2351" spans="1:19">
      <c r="A2351" t="s">
        <v>22</v>
      </c>
      <c r="B2351" t="s">
        <v>148</v>
      </c>
      <c r="C2351" t="s">
        <v>154</v>
      </c>
      <c r="D2351" t="s">
        <v>283</v>
      </c>
      <c r="E2351" t="s">
        <v>412</v>
      </c>
      <c r="F2351">
        <f>HYPERLINK("https://www.wikidata.org/wiki/Q16683492", "Q16683492")</f>
        <v>0</v>
      </c>
      <c r="G2351" t="s">
        <v>1594</v>
      </c>
      <c r="H2351" t="s">
        <v>6284</v>
      </c>
      <c r="I2351" t="s">
        <v>6759</v>
      </c>
      <c r="J2351" t="s">
        <v>12302</v>
      </c>
      <c r="K2351" t="s">
        <v>16712</v>
      </c>
      <c r="L2351">
        <f>HYPERLINK("https://www2.assemblee-nationale.fr/sycomore/fiche/(num_dept)/6358", "6358")</f>
        <v>0</v>
      </c>
      <c r="N2351">
        <f>HYPERLINK("https://www.wikidata.org/wiki/Q15981", "Q15981")</f>
        <v>0</v>
      </c>
      <c r="O2351" t="s">
        <v>20050</v>
      </c>
      <c r="P2351" t="s">
        <v>20422</v>
      </c>
      <c r="Q2351" t="s">
        <v>20572</v>
      </c>
      <c r="R2351" t="s">
        <v>412</v>
      </c>
      <c r="S2351">
        <v>1481</v>
      </c>
    </row>
    <row r="2352" spans="1:19">
      <c r="A2352" t="s">
        <v>22</v>
      </c>
      <c r="B2352" t="s">
        <v>148</v>
      </c>
      <c r="C2352" t="s">
        <v>154</v>
      </c>
      <c r="D2352" t="s">
        <v>283</v>
      </c>
      <c r="E2352" t="s">
        <v>412</v>
      </c>
      <c r="F2352">
        <f>HYPERLINK("https://www.wikidata.org/wiki/Q16683492", "Q16683492")</f>
        <v>0</v>
      </c>
      <c r="G2352" t="s">
        <v>1883</v>
      </c>
      <c r="H2352" t="s">
        <v>6536</v>
      </c>
      <c r="I2352" t="s">
        <v>9981</v>
      </c>
      <c r="J2352" t="s">
        <v>12570</v>
      </c>
      <c r="K2352" t="s">
        <v>16982</v>
      </c>
      <c r="L2352">
        <f>HYPERLINK("https://www2.assemblee-nationale.fr/sycomore/fiche/(num_dept)/6364", "6364")</f>
        <v>0</v>
      </c>
      <c r="M2352">
        <f>HYPERLINK("https://www.senat.fr/senateur-3eme-republique/sclafer_james0169r4.html", "sclafer_james0169r4")</f>
        <v>0</v>
      </c>
      <c r="N2352">
        <f>HYPERLINK("https://www.wikidata.org/wiki/Q3161394", "Q3161394")</f>
        <v>0</v>
      </c>
      <c r="O2352" t="s">
        <v>20037</v>
      </c>
      <c r="P2352" t="s">
        <v>20423</v>
      </c>
      <c r="Q2352" t="s">
        <v>20572</v>
      </c>
      <c r="R2352" t="s">
        <v>412</v>
      </c>
      <c r="S2352">
        <v>1481</v>
      </c>
    </row>
    <row r="2353" spans="1:19">
      <c r="A2353" t="s">
        <v>22</v>
      </c>
      <c r="B2353" t="s">
        <v>148</v>
      </c>
      <c r="C2353" t="s">
        <v>154</v>
      </c>
      <c r="D2353" t="s">
        <v>283</v>
      </c>
      <c r="E2353" t="s">
        <v>412</v>
      </c>
      <c r="F2353">
        <f>HYPERLINK("https://www.wikidata.org/wiki/Q16683492", "Q16683492")</f>
        <v>0</v>
      </c>
      <c r="G2353" t="s">
        <v>1595</v>
      </c>
      <c r="H2353" t="s">
        <v>6285</v>
      </c>
      <c r="I2353" t="s">
        <v>6367</v>
      </c>
      <c r="J2353" t="s">
        <v>12303</v>
      </c>
      <c r="K2353" t="s">
        <v>16713</v>
      </c>
      <c r="L2353">
        <f>HYPERLINK("https://www2.assemblee-nationale.fr/sycomore/fiche/(num_dept)/6378", "6378")</f>
        <v>0</v>
      </c>
      <c r="N2353">
        <f>HYPERLINK("https://www.wikidata.org/wiki/Q3525560", "Q3525560")</f>
        <v>0</v>
      </c>
      <c r="O2353" t="s">
        <v>20048</v>
      </c>
      <c r="P2353" t="s">
        <v>20426</v>
      </c>
      <c r="Q2353" t="s">
        <v>20572</v>
      </c>
      <c r="R2353" t="s">
        <v>412</v>
      </c>
      <c r="S2353">
        <v>1481</v>
      </c>
    </row>
    <row r="2354" spans="1:19">
      <c r="A2354" t="s">
        <v>22</v>
      </c>
      <c r="B2354" t="s">
        <v>148</v>
      </c>
      <c r="C2354" t="s">
        <v>154</v>
      </c>
      <c r="D2354" t="s">
        <v>283</v>
      </c>
      <c r="E2354" t="s">
        <v>412</v>
      </c>
      <c r="F2354">
        <f>HYPERLINK("https://www.wikidata.org/wiki/Q16683492", "Q16683492")</f>
        <v>0</v>
      </c>
      <c r="G2354" t="s">
        <v>1597</v>
      </c>
      <c r="H2354" t="s">
        <v>6287</v>
      </c>
      <c r="I2354" t="s">
        <v>6200</v>
      </c>
      <c r="J2354" t="s">
        <v>12305</v>
      </c>
      <c r="K2354" t="s">
        <v>16715</v>
      </c>
      <c r="L2354">
        <f>HYPERLINK("https://www2.assemblee-nationale.fr/sycomore/fiche/(num_dept)/6381", "6381")</f>
        <v>0</v>
      </c>
      <c r="N2354">
        <f>HYPERLINK("https://www.wikidata.org/wiki/Q16798560", "Q16798560")</f>
        <v>0</v>
      </c>
      <c r="O2354" t="s">
        <v>20003</v>
      </c>
      <c r="P2354" t="s">
        <v>20423</v>
      </c>
      <c r="Q2354" t="s">
        <v>20572</v>
      </c>
      <c r="R2354" t="s">
        <v>412</v>
      </c>
      <c r="S2354">
        <v>1481</v>
      </c>
    </row>
    <row r="2355" spans="1:19">
      <c r="A2355" t="s">
        <v>22</v>
      </c>
      <c r="B2355" t="s">
        <v>148</v>
      </c>
      <c r="C2355" t="s">
        <v>154</v>
      </c>
      <c r="D2355" t="s">
        <v>283</v>
      </c>
      <c r="E2355" t="s">
        <v>412</v>
      </c>
      <c r="F2355">
        <f>HYPERLINK("https://www.wikidata.org/wiki/Q16683492", "Q16683492")</f>
        <v>0</v>
      </c>
      <c r="G2355" t="s">
        <v>1884</v>
      </c>
      <c r="H2355" t="s">
        <v>6537</v>
      </c>
      <c r="I2355" t="s">
        <v>9982</v>
      </c>
      <c r="J2355" t="s">
        <v>12571</v>
      </c>
      <c r="K2355" t="s">
        <v>16983</v>
      </c>
      <c r="L2355">
        <f>HYPERLINK("https://www2.assemblee-nationale.fr/sycomore/fiche/(num_dept)/6390", "6390")</f>
        <v>0</v>
      </c>
      <c r="N2355">
        <f>HYPERLINK("https://www.wikidata.org/wiki/Q3383056", "Q3383056")</f>
        <v>0</v>
      </c>
      <c r="O2355" t="s">
        <v>19964</v>
      </c>
      <c r="P2355" t="s">
        <v>20417</v>
      </c>
      <c r="Q2355" t="s">
        <v>20572</v>
      </c>
      <c r="R2355" t="s">
        <v>412</v>
      </c>
      <c r="S2355">
        <v>1481</v>
      </c>
    </row>
    <row r="2356" spans="1:19">
      <c r="A2356" t="s">
        <v>22</v>
      </c>
      <c r="B2356" t="s">
        <v>148</v>
      </c>
      <c r="C2356" t="s">
        <v>154</v>
      </c>
      <c r="D2356" t="s">
        <v>283</v>
      </c>
      <c r="E2356" t="s">
        <v>412</v>
      </c>
      <c r="F2356">
        <f>HYPERLINK("https://www.wikidata.org/wiki/Q16683492", "Q16683492")</f>
        <v>0</v>
      </c>
      <c r="G2356" t="s">
        <v>1885</v>
      </c>
      <c r="H2356" t="s">
        <v>6538</v>
      </c>
      <c r="I2356" t="s">
        <v>6584</v>
      </c>
      <c r="J2356" t="s">
        <v>12572</v>
      </c>
      <c r="K2356" t="s">
        <v>16984</v>
      </c>
      <c r="L2356">
        <f>HYPERLINK("https://www2.assemblee-nationale.fr/sycomore/fiche/(num_dept)/6395", "6395")</f>
        <v>0</v>
      </c>
      <c r="N2356">
        <f>HYPERLINK("https://www.wikidata.org/wiki/Q8334416", "Q8334416")</f>
        <v>0</v>
      </c>
      <c r="O2356" t="s">
        <v>19997</v>
      </c>
      <c r="P2356" t="s">
        <v>20404</v>
      </c>
      <c r="Q2356" t="s">
        <v>20572</v>
      </c>
      <c r="R2356" t="s">
        <v>412</v>
      </c>
      <c r="S2356">
        <v>1481</v>
      </c>
    </row>
    <row r="2357" spans="1:19">
      <c r="A2357" t="s">
        <v>22</v>
      </c>
      <c r="B2357" t="s">
        <v>148</v>
      </c>
      <c r="C2357" t="s">
        <v>154</v>
      </c>
      <c r="D2357" t="s">
        <v>283</v>
      </c>
      <c r="E2357" t="s">
        <v>412</v>
      </c>
      <c r="F2357">
        <f>HYPERLINK("https://www.wikidata.org/wiki/Q16683492", "Q16683492")</f>
        <v>0</v>
      </c>
      <c r="G2357" t="s">
        <v>1598</v>
      </c>
      <c r="H2357" t="s">
        <v>6288</v>
      </c>
      <c r="I2357" t="s">
        <v>6759</v>
      </c>
      <c r="J2357" t="s">
        <v>12306</v>
      </c>
      <c r="K2357" t="s">
        <v>16716</v>
      </c>
      <c r="L2357">
        <f>HYPERLINK("https://www2.assemblee-nationale.fr/sycomore/fiche/(num_dept)/6396", "6396")</f>
        <v>0</v>
      </c>
      <c r="N2357">
        <f>HYPERLINK("https://www.wikidata.org/wiki/Q3436380", "Q3436380")</f>
        <v>0</v>
      </c>
      <c r="O2357" t="s">
        <v>20050</v>
      </c>
      <c r="P2357" t="s">
        <v>20422</v>
      </c>
      <c r="Q2357" t="s">
        <v>20572</v>
      </c>
      <c r="R2357" t="s">
        <v>412</v>
      </c>
      <c r="S2357">
        <v>1481</v>
      </c>
    </row>
    <row r="2358" spans="1:19">
      <c r="A2358" t="s">
        <v>22</v>
      </c>
      <c r="B2358" t="s">
        <v>148</v>
      </c>
      <c r="C2358" t="s">
        <v>154</v>
      </c>
      <c r="D2358" t="s">
        <v>283</v>
      </c>
      <c r="E2358" t="s">
        <v>412</v>
      </c>
      <c r="F2358">
        <f>HYPERLINK("https://www.wikidata.org/wiki/Q16683492", "Q16683492")</f>
        <v>0</v>
      </c>
      <c r="G2358" t="s">
        <v>1599</v>
      </c>
      <c r="H2358" t="s">
        <v>5786</v>
      </c>
      <c r="I2358" t="s">
        <v>9852</v>
      </c>
      <c r="J2358" t="s">
        <v>12307</v>
      </c>
      <c r="K2358" t="s">
        <v>16717</v>
      </c>
      <c r="L2358">
        <f>HYPERLINK("https://www2.assemblee-nationale.fr/sycomore/fiche/(num_dept)/6401", "6401")</f>
        <v>0</v>
      </c>
      <c r="N2358">
        <f>HYPERLINK("https://www.wikidata.org/wiki/Q3159791", "Q3159791")</f>
        <v>0</v>
      </c>
      <c r="O2358" t="s">
        <v>20031</v>
      </c>
      <c r="P2358" t="s">
        <v>20422</v>
      </c>
      <c r="Q2358" t="s">
        <v>20572</v>
      </c>
      <c r="R2358" t="s">
        <v>412</v>
      </c>
      <c r="S2358">
        <v>1481</v>
      </c>
    </row>
    <row r="2359" spans="1:19">
      <c r="A2359" t="s">
        <v>22</v>
      </c>
      <c r="B2359" t="s">
        <v>148</v>
      </c>
      <c r="C2359" t="s">
        <v>154</v>
      </c>
      <c r="D2359" t="s">
        <v>283</v>
      </c>
      <c r="E2359" t="s">
        <v>412</v>
      </c>
      <c r="F2359">
        <f>HYPERLINK("https://www.wikidata.org/wiki/Q16683492", "Q16683492")</f>
        <v>0</v>
      </c>
      <c r="G2359" t="s">
        <v>1600</v>
      </c>
      <c r="H2359" t="s">
        <v>6289</v>
      </c>
      <c r="I2359" t="s">
        <v>9470</v>
      </c>
      <c r="J2359" t="s">
        <v>12308</v>
      </c>
      <c r="K2359" t="s">
        <v>16212</v>
      </c>
      <c r="L2359">
        <f>HYPERLINK("https://www2.assemblee-nationale.fr/sycomore/fiche/(num_dept)/6403", "6403")</f>
        <v>0</v>
      </c>
      <c r="N2359">
        <f>HYPERLINK("https://www.wikidata.org/wiki/Q3099119", "Q3099119")</f>
        <v>0</v>
      </c>
      <c r="O2359" t="s">
        <v>20025</v>
      </c>
      <c r="P2359" t="s">
        <v>20425</v>
      </c>
      <c r="Q2359" t="s">
        <v>20572</v>
      </c>
      <c r="R2359" t="s">
        <v>412</v>
      </c>
      <c r="S2359">
        <v>1481</v>
      </c>
    </row>
    <row r="2360" spans="1:19">
      <c r="A2360" t="s">
        <v>22</v>
      </c>
      <c r="B2360" t="s">
        <v>148</v>
      </c>
      <c r="C2360" t="s">
        <v>154</v>
      </c>
      <c r="D2360" t="s">
        <v>283</v>
      </c>
      <c r="E2360" t="s">
        <v>412</v>
      </c>
      <c r="F2360">
        <f>HYPERLINK("https://www.wikidata.org/wiki/Q16683492", "Q16683492")</f>
        <v>0</v>
      </c>
      <c r="G2360" t="s">
        <v>1886</v>
      </c>
      <c r="H2360" t="s">
        <v>6539</v>
      </c>
      <c r="I2360" t="s">
        <v>9983</v>
      </c>
      <c r="J2360" t="s">
        <v>12573</v>
      </c>
      <c r="K2360" t="s">
        <v>16985</v>
      </c>
      <c r="L2360">
        <f>HYPERLINK("https://www2.assemblee-nationale.fr/sycomore/fiche/(num_dept)/6411", "6411")</f>
        <v>0</v>
      </c>
      <c r="N2360">
        <f>HYPERLINK("https://www.wikidata.org/wiki/Q8336100", "Q8336100")</f>
        <v>0</v>
      </c>
      <c r="O2360" t="s">
        <v>20041</v>
      </c>
      <c r="P2360" t="s">
        <v>20404</v>
      </c>
      <c r="Q2360" t="s">
        <v>20572</v>
      </c>
      <c r="R2360" t="s">
        <v>21414</v>
      </c>
      <c r="S2360">
        <v>1401</v>
      </c>
    </row>
    <row r="2361" spans="1:19">
      <c r="A2361" t="s">
        <v>22</v>
      </c>
      <c r="B2361" t="s">
        <v>148</v>
      </c>
      <c r="C2361" t="s">
        <v>154</v>
      </c>
      <c r="D2361" t="s">
        <v>283</v>
      </c>
      <c r="E2361" t="s">
        <v>412</v>
      </c>
      <c r="F2361">
        <f>HYPERLINK("https://www.wikidata.org/wiki/Q16683492", "Q16683492")</f>
        <v>0</v>
      </c>
      <c r="G2361" t="s">
        <v>1300</v>
      </c>
      <c r="H2361" t="s">
        <v>6021</v>
      </c>
      <c r="I2361" t="s">
        <v>9739</v>
      </c>
      <c r="J2361" t="s">
        <v>12030</v>
      </c>
      <c r="K2361" t="s">
        <v>16431</v>
      </c>
      <c r="L2361">
        <f>HYPERLINK("https://www2.assemblee-nationale.fr/sycomore/fiche/(num_dept)/6414", "6414")</f>
        <v>0</v>
      </c>
      <c r="N2361">
        <f>HYPERLINK("https://www.wikidata.org/wiki/Q3372024", "Q3372024")</f>
        <v>0</v>
      </c>
      <c r="O2361" t="s">
        <v>19969</v>
      </c>
      <c r="P2361" t="s">
        <v>20404</v>
      </c>
      <c r="Q2361" t="s">
        <v>20572</v>
      </c>
      <c r="R2361" t="s">
        <v>412</v>
      </c>
      <c r="S2361">
        <v>1481</v>
      </c>
    </row>
    <row r="2362" spans="1:19">
      <c r="A2362" t="s">
        <v>22</v>
      </c>
      <c r="B2362" t="s">
        <v>148</v>
      </c>
      <c r="C2362" t="s">
        <v>154</v>
      </c>
      <c r="D2362" t="s">
        <v>283</v>
      </c>
      <c r="E2362" t="s">
        <v>412</v>
      </c>
      <c r="F2362">
        <f>HYPERLINK("https://www.wikidata.org/wiki/Q16683492", "Q16683492")</f>
        <v>0</v>
      </c>
      <c r="G2362" t="s">
        <v>1601</v>
      </c>
      <c r="H2362" t="s">
        <v>6290</v>
      </c>
      <c r="I2362" t="s">
        <v>9421</v>
      </c>
      <c r="J2362" t="s">
        <v>12309</v>
      </c>
      <c r="K2362" t="s">
        <v>16718</v>
      </c>
      <c r="L2362">
        <f>HYPERLINK("https://www2.assemblee-nationale.fr/sycomore/fiche/(num_dept)/6461", "6461")</f>
        <v>0</v>
      </c>
      <c r="N2362">
        <f>HYPERLINK("https://www.wikidata.org/wiki/Q3121300", "Q3121300")</f>
        <v>0</v>
      </c>
      <c r="O2362" t="s">
        <v>19998</v>
      </c>
      <c r="P2362" t="s">
        <v>20422</v>
      </c>
      <c r="Q2362" t="s">
        <v>20572</v>
      </c>
      <c r="R2362" t="s">
        <v>412</v>
      </c>
      <c r="S2362">
        <v>1481</v>
      </c>
    </row>
    <row r="2363" spans="1:19">
      <c r="A2363" t="s">
        <v>22</v>
      </c>
      <c r="B2363" t="s">
        <v>148</v>
      </c>
      <c r="C2363" t="s">
        <v>154</v>
      </c>
      <c r="D2363" t="s">
        <v>283</v>
      </c>
      <c r="E2363" t="s">
        <v>412</v>
      </c>
      <c r="F2363">
        <f>HYPERLINK("https://www.wikidata.org/wiki/Q16683492", "Q16683492")</f>
        <v>0</v>
      </c>
      <c r="G2363" t="s">
        <v>1302</v>
      </c>
      <c r="H2363" t="s">
        <v>6023</v>
      </c>
      <c r="I2363" t="s">
        <v>9375</v>
      </c>
      <c r="J2363" t="s">
        <v>12032</v>
      </c>
      <c r="K2363" t="s">
        <v>16433</v>
      </c>
      <c r="L2363">
        <f>HYPERLINK("https://www2.assemblee-nationale.fr/sycomore/fiche/(num_dept)/6467", "6467")</f>
        <v>0</v>
      </c>
      <c r="N2363">
        <f>HYPERLINK("https://www.wikidata.org/wiki/Q16026362", "Q16026362")</f>
        <v>0</v>
      </c>
      <c r="O2363" t="s">
        <v>20037</v>
      </c>
      <c r="P2363" t="s">
        <v>20404</v>
      </c>
      <c r="Q2363" t="s">
        <v>20572</v>
      </c>
      <c r="R2363" t="s">
        <v>412</v>
      </c>
      <c r="S2363">
        <v>1481</v>
      </c>
    </row>
    <row r="2364" spans="1:19">
      <c r="A2364" t="s">
        <v>22</v>
      </c>
      <c r="B2364" t="s">
        <v>148</v>
      </c>
      <c r="C2364" t="s">
        <v>154</v>
      </c>
      <c r="D2364" t="s">
        <v>283</v>
      </c>
      <c r="E2364" t="s">
        <v>412</v>
      </c>
      <c r="F2364">
        <f>HYPERLINK("https://www.wikidata.org/wiki/Q16683492", "Q16683492")</f>
        <v>0</v>
      </c>
      <c r="G2364" t="s">
        <v>1197</v>
      </c>
      <c r="H2364" t="s">
        <v>5927</v>
      </c>
      <c r="I2364" t="s">
        <v>9445</v>
      </c>
      <c r="J2364" t="s">
        <v>11930</v>
      </c>
      <c r="K2364" t="s">
        <v>16331</v>
      </c>
      <c r="L2364">
        <f>HYPERLINK("https://www2.assemblee-nationale.fr/sycomore/fiche/(num_dept)/6492", "6492")</f>
        <v>0</v>
      </c>
      <c r="N2364">
        <f>HYPERLINK("https://www.wikidata.org/wiki/Q4685656", "Q4685656")</f>
        <v>0</v>
      </c>
      <c r="O2364" t="s">
        <v>19977</v>
      </c>
      <c r="P2364" t="s">
        <v>20404</v>
      </c>
      <c r="Q2364" t="s">
        <v>20572</v>
      </c>
      <c r="R2364" t="s">
        <v>412</v>
      </c>
      <c r="S2364">
        <v>1481</v>
      </c>
    </row>
    <row r="2365" spans="1:19">
      <c r="A2365" t="s">
        <v>22</v>
      </c>
      <c r="B2365" t="s">
        <v>148</v>
      </c>
      <c r="C2365" t="s">
        <v>154</v>
      </c>
      <c r="D2365" t="s">
        <v>283</v>
      </c>
      <c r="E2365" t="s">
        <v>412</v>
      </c>
      <c r="F2365">
        <f>HYPERLINK("https://www.wikidata.org/wiki/Q16683492", "Q16683492")</f>
        <v>0</v>
      </c>
      <c r="G2365" t="s">
        <v>1603</v>
      </c>
      <c r="H2365" t="s">
        <v>6292</v>
      </c>
      <c r="I2365" t="s">
        <v>9853</v>
      </c>
      <c r="J2365" t="s">
        <v>12311</v>
      </c>
      <c r="K2365" t="s">
        <v>16720</v>
      </c>
      <c r="L2365">
        <f>HYPERLINK("https://www2.assemblee-nationale.fr/sycomore/fiche/(num_dept)/6497", "6497")</f>
        <v>0</v>
      </c>
      <c r="N2365">
        <f>HYPERLINK("https://www.wikidata.org/wiki/Q16026371", "Q16026371")</f>
        <v>0</v>
      </c>
      <c r="O2365" t="s">
        <v>20026</v>
      </c>
      <c r="P2365" t="s">
        <v>20422</v>
      </c>
      <c r="Q2365" t="s">
        <v>20572</v>
      </c>
      <c r="R2365" t="s">
        <v>412</v>
      </c>
      <c r="S2365">
        <v>1481</v>
      </c>
    </row>
    <row r="2366" spans="1:19">
      <c r="A2366" t="s">
        <v>22</v>
      </c>
      <c r="B2366" t="s">
        <v>148</v>
      </c>
      <c r="C2366" t="s">
        <v>154</v>
      </c>
      <c r="D2366" t="s">
        <v>283</v>
      </c>
      <c r="E2366" t="s">
        <v>412</v>
      </c>
      <c r="F2366">
        <f>HYPERLINK("https://www.wikidata.org/wiki/Q16683492", "Q16683492")</f>
        <v>0</v>
      </c>
      <c r="G2366" t="s">
        <v>1604</v>
      </c>
      <c r="H2366" t="s">
        <v>6024</v>
      </c>
      <c r="I2366" t="s">
        <v>9854</v>
      </c>
      <c r="J2366" t="s">
        <v>12312</v>
      </c>
      <c r="K2366" t="s">
        <v>16721</v>
      </c>
      <c r="L2366">
        <f>HYPERLINK("https://www2.assemblee-nationale.fr/sycomore/fiche/(num_dept)/6518", "6518")</f>
        <v>0</v>
      </c>
      <c r="N2366">
        <f>HYPERLINK("https://www.wikidata.org/wiki/Q3262960", "Q3262960")</f>
        <v>0</v>
      </c>
      <c r="O2366" t="s">
        <v>20008</v>
      </c>
      <c r="P2366" t="s">
        <v>20423</v>
      </c>
      <c r="Q2366" t="s">
        <v>20572</v>
      </c>
      <c r="R2366" t="s">
        <v>412</v>
      </c>
      <c r="S2366">
        <v>1481</v>
      </c>
    </row>
    <row r="2367" spans="1:19">
      <c r="A2367" t="s">
        <v>22</v>
      </c>
      <c r="B2367" t="s">
        <v>148</v>
      </c>
      <c r="C2367" t="s">
        <v>154</v>
      </c>
      <c r="D2367" t="s">
        <v>283</v>
      </c>
      <c r="E2367" t="s">
        <v>412</v>
      </c>
      <c r="F2367">
        <f>HYPERLINK("https://www.wikidata.org/wiki/Q16683492", "Q16683492")</f>
        <v>0</v>
      </c>
      <c r="G2367" t="s">
        <v>792</v>
      </c>
      <c r="H2367" t="s">
        <v>5549</v>
      </c>
      <c r="I2367" t="s">
        <v>6495</v>
      </c>
      <c r="J2367" t="s">
        <v>11539</v>
      </c>
      <c r="K2367" t="s">
        <v>15943</v>
      </c>
      <c r="L2367">
        <f>HYPERLINK("https://www2.assemblee-nationale.fr/sycomore/fiche/(num_dept)/6531", "6531")</f>
        <v>0</v>
      </c>
      <c r="N2367">
        <f>HYPERLINK("https://www.wikidata.org/wiki/Q3262963", "Q3262963")</f>
        <v>0</v>
      </c>
      <c r="O2367" t="s">
        <v>19969</v>
      </c>
      <c r="P2367" t="s">
        <v>20412</v>
      </c>
      <c r="Q2367" t="s">
        <v>20572</v>
      </c>
      <c r="R2367" t="s">
        <v>412</v>
      </c>
      <c r="S2367">
        <v>1481</v>
      </c>
    </row>
    <row r="2368" spans="1:19">
      <c r="A2368" t="s">
        <v>22</v>
      </c>
      <c r="B2368" t="s">
        <v>148</v>
      </c>
      <c r="C2368" t="s">
        <v>154</v>
      </c>
      <c r="D2368" t="s">
        <v>283</v>
      </c>
      <c r="E2368" t="s">
        <v>412</v>
      </c>
      <c r="F2368">
        <f>HYPERLINK("https://www.wikidata.org/wiki/Q16683492", "Q16683492")</f>
        <v>0</v>
      </c>
      <c r="G2368" t="s">
        <v>1887</v>
      </c>
      <c r="H2368" t="s">
        <v>6540</v>
      </c>
      <c r="I2368" t="s">
        <v>9984</v>
      </c>
      <c r="J2368" t="s">
        <v>12574</v>
      </c>
      <c r="K2368" t="s">
        <v>16986</v>
      </c>
      <c r="L2368">
        <f>HYPERLINK("https://www2.assemblee-nationale.fr/sycomore/fiche/(num_dept)/6533", "6533")</f>
        <v>0</v>
      </c>
      <c r="N2368">
        <f>HYPERLINK("https://www.wikidata.org/wiki/Q16026380", "Q16026380")</f>
        <v>0</v>
      </c>
      <c r="O2368" t="s">
        <v>19999</v>
      </c>
      <c r="P2368" t="s">
        <v>20404</v>
      </c>
      <c r="Q2368" t="s">
        <v>20572</v>
      </c>
      <c r="R2368" t="s">
        <v>16986</v>
      </c>
      <c r="S2368">
        <v>525</v>
      </c>
    </row>
    <row r="2369" spans="1:19">
      <c r="A2369" t="s">
        <v>22</v>
      </c>
      <c r="B2369" t="s">
        <v>148</v>
      </c>
      <c r="C2369" t="s">
        <v>154</v>
      </c>
      <c r="D2369" t="s">
        <v>283</v>
      </c>
      <c r="E2369" t="s">
        <v>412</v>
      </c>
      <c r="F2369">
        <f>HYPERLINK("https://www.wikidata.org/wiki/Q16683492", "Q16683492")</f>
        <v>0</v>
      </c>
      <c r="G2369" t="s">
        <v>1605</v>
      </c>
      <c r="H2369" t="s">
        <v>6293</v>
      </c>
      <c r="I2369" t="s">
        <v>9552</v>
      </c>
      <c r="J2369" t="s">
        <v>12313</v>
      </c>
      <c r="K2369" t="s">
        <v>16722</v>
      </c>
      <c r="L2369">
        <f>HYPERLINK("https://www2.assemblee-nationale.fr/sycomore/fiche/(num_dept)/6537", "6537")</f>
        <v>0</v>
      </c>
      <c r="M2369">
        <f>HYPERLINK("https://www.senat.fr/senateur-3eme-republique/puis_auguste1718r3.html", "puis_auguste1718r3")</f>
        <v>0</v>
      </c>
      <c r="N2369">
        <f>HYPERLINK("https://www.wikidata.org/wiki/Q2871367", "Q2871367")</f>
        <v>0</v>
      </c>
      <c r="O2369" t="s">
        <v>20045</v>
      </c>
      <c r="P2369" t="s">
        <v>20401</v>
      </c>
      <c r="Q2369" t="s">
        <v>20572</v>
      </c>
      <c r="R2369" t="s">
        <v>404</v>
      </c>
      <c r="S2369">
        <v>973</v>
      </c>
    </row>
    <row r="2370" spans="1:19">
      <c r="A2370" t="s">
        <v>22</v>
      </c>
      <c r="B2370" t="s">
        <v>148</v>
      </c>
      <c r="C2370" t="s">
        <v>154</v>
      </c>
      <c r="D2370" t="s">
        <v>283</v>
      </c>
      <c r="E2370" t="s">
        <v>412</v>
      </c>
      <c r="F2370">
        <f>HYPERLINK("https://www.wikidata.org/wiki/Q16683492", "Q16683492")</f>
        <v>0</v>
      </c>
      <c r="G2370" t="s">
        <v>1606</v>
      </c>
      <c r="H2370" t="s">
        <v>6294</v>
      </c>
      <c r="I2370" t="s">
        <v>9855</v>
      </c>
      <c r="J2370" t="s">
        <v>11665</v>
      </c>
      <c r="K2370" t="s">
        <v>16723</v>
      </c>
      <c r="L2370">
        <f>HYPERLINK("https://www2.assemblee-nationale.fr/sycomore/fiche/(num_dept)/6547", "6547")</f>
        <v>0</v>
      </c>
      <c r="N2370">
        <f>HYPERLINK("https://www.wikidata.org/wiki/Q2898489", "Q2898489")</f>
        <v>0</v>
      </c>
      <c r="O2370" t="s">
        <v>19985</v>
      </c>
      <c r="P2370" t="s">
        <v>20422</v>
      </c>
      <c r="Q2370" t="s">
        <v>20572</v>
      </c>
      <c r="R2370" t="s">
        <v>412</v>
      </c>
      <c r="S2370">
        <v>1481</v>
      </c>
    </row>
    <row r="2371" spans="1:19">
      <c r="A2371" t="s">
        <v>22</v>
      </c>
      <c r="B2371" t="s">
        <v>148</v>
      </c>
      <c r="C2371" t="s">
        <v>154</v>
      </c>
      <c r="D2371" t="s">
        <v>283</v>
      </c>
      <c r="E2371" t="s">
        <v>412</v>
      </c>
      <c r="F2371">
        <f>HYPERLINK("https://www.wikidata.org/wiki/Q16683492", "Q16683492")</f>
        <v>0</v>
      </c>
      <c r="G2371" t="s">
        <v>1304</v>
      </c>
      <c r="H2371" t="s">
        <v>6025</v>
      </c>
      <c r="I2371" t="s">
        <v>9457</v>
      </c>
      <c r="J2371" t="s">
        <v>12034</v>
      </c>
      <c r="K2371" t="s">
        <v>16435</v>
      </c>
      <c r="L2371">
        <f>HYPERLINK("https://www2.assemblee-nationale.fr/sycomore/fiche/(num_dept)/6554", "6554")</f>
        <v>0</v>
      </c>
      <c r="M2371">
        <f>HYPERLINK("https://www.senat.fr/senateur-3eme-republique/queuille_henri0469r3.html", "queuille_henri0469r3")</f>
        <v>0</v>
      </c>
      <c r="N2371">
        <f>HYPERLINK("https://www.wikidata.org/wiki/Q455655", "Q455655")</f>
        <v>0</v>
      </c>
      <c r="O2371" t="s">
        <v>20020</v>
      </c>
      <c r="P2371" t="s">
        <v>20423</v>
      </c>
      <c r="Q2371" t="s">
        <v>20572</v>
      </c>
      <c r="R2371" t="s">
        <v>412</v>
      </c>
      <c r="S2371">
        <v>1481</v>
      </c>
    </row>
    <row r="2372" spans="1:19">
      <c r="A2372" t="s">
        <v>22</v>
      </c>
      <c r="B2372" t="s">
        <v>148</v>
      </c>
      <c r="C2372" t="s">
        <v>154</v>
      </c>
      <c r="D2372" t="s">
        <v>283</v>
      </c>
      <c r="E2372" t="s">
        <v>412</v>
      </c>
      <c r="F2372">
        <f>HYPERLINK("https://www.wikidata.org/wiki/Q16683492", "Q16683492")</f>
        <v>0</v>
      </c>
      <c r="G2372" t="s">
        <v>1198</v>
      </c>
      <c r="H2372" t="s">
        <v>5928</v>
      </c>
      <c r="I2372" t="s">
        <v>9458</v>
      </c>
      <c r="J2372" t="s">
        <v>11931</v>
      </c>
      <c r="K2372" t="s">
        <v>16332</v>
      </c>
      <c r="L2372">
        <f>HYPERLINK("https://www2.assemblee-nationale.fr/sycomore/fiche/(num_dept)/6570", "6570")</f>
        <v>0</v>
      </c>
      <c r="N2372">
        <f>HYPERLINK("https://www.wikidata.org/wiki/Q2835410", "Q2835410")</f>
        <v>0</v>
      </c>
      <c r="O2372" t="s">
        <v>19980</v>
      </c>
      <c r="P2372" t="s">
        <v>20412</v>
      </c>
      <c r="Q2372" t="s">
        <v>20572</v>
      </c>
      <c r="R2372" t="s">
        <v>412</v>
      </c>
      <c r="S2372">
        <v>1481</v>
      </c>
    </row>
    <row r="2373" spans="1:19">
      <c r="A2373" t="s">
        <v>22</v>
      </c>
      <c r="B2373" t="s">
        <v>148</v>
      </c>
      <c r="C2373" t="s">
        <v>154</v>
      </c>
      <c r="D2373" t="s">
        <v>283</v>
      </c>
      <c r="E2373" t="s">
        <v>412</v>
      </c>
      <c r="F2373">
        <f>HYPERLINK("https://www.wikidata.org/wiki/Q16683492", "Q16683492")</f>
        <v>0</v>
      </c>
      <c r="G2373" t="s">
        <v>1888</v>
      </c>
      <c r="H2373" t="s">
        <v>6541</v>
      </c>
      <c r="I2373" t="s">
        <v>9985</v>
      </c>
      <c r="J2373" t="s">
        <v>12575</v>
      </c>
      <c r="K2373" t="s">
        <v>16987</v>
      </c>
      <c r="L2373">
        <f>HYPERLINK("https://www2.assemblee-nationale.fr/sycomore/fiche/(num_dept)/6582", "6582")</f>
        <v>0</v>
      </c>
      <c r="N2373">
        <f>HYPERLINK("https://www.wikidata.org/wiki/Q16026391", "Q16026391")</f>
        <v>0</v>
      </c>
      <c r="O2373" t="s">
        <v>7411</v>
      </c>
      <c r="P2373" t="s">
        <v>20425</v>
      </c>
      <c r="Q2373" t="s">
        <v>20572</v>
      </c>
      <c r="R2373" t="s">
        <v>412</v>
      </c>
      <c r="S2373">
        <v>1481</v>
      </c>
    </row>
    <row r="2374" spans="1:19">
      <c r="A2374" t="s">
        <v>22</v>
      </c>
      <c r="B2374" t="s">
        <v>148</v>
      </c>
      <c r="C2374" t="s">
        <v>154</v>
      </c>
      <c r="D2374" t="s">
        <v>283</v>
      </c>
      <c r="E2374" t="s">
        <v>412</v>
      </c>
      <c r="F2374">
        <f>HYPERLINK("https://www.wikidata.org/wiki/Q16683492", "Q16683492")</f>
        <v>0</v>
      </c>
      <c r="G2374" t="s">
        <v>1306</v>
      </c>
      <c r="H2374" t="s">
        <v>6027</v>
      </c>
      <c r="I2374" t="s">
        <v>6860</v>
      </c>
      <c r="J2374" t="s">
        <v>12036</v>
      </c>
      <c r="K2374" t="s">
        <v>16437</v>
      </c>
      <c r="L2374">
        <f>HYPERLINK("https://www2.assemblee-nationale.fr/sycomore/fiche/(num_dept)/6591", "6591")</f>
        <v>0</v>
      </c>
      <c r="M2374">
        <f>HYPERLINK("https://www.senat.fr/senateur-3eme-republique/rameil_pierre1090r3.html", "rameil_pierre1090r3")</f>
        <v>0</v>
      </c>
      <c r="N2374">
        <f>HYPERLINK("https://www.wikidata.org/wiki/Q3386748", "Q3386748")</f>
        <v>0</v>
      </c>
      <c r="O2374" t="s">
        <v>20001</v>
      </c>
      <c r="P2374" t="s">
        <v>20425</v>
      </c>
      <c r="Q2374" t="s">
        <v>20572</v>
      </c>
      <c r="R2374" t="s">
        <v>412</v>
      </c>
      <c r="S2374">
        <v>1481</v>
      </c>
    </row>
    <row r="2375" spans="1:19">
      <c r="A2375" t="s">
        <v>22</v>
      </c>
      <c r="B2375" t="s">
        <v>148</v>
      </c>
      <c r="C2375" t="s">
        <v>154</v>
      </c>
      <c r="D2375" t="s">
        <v>283</v>
      </c>
      <c r="E2375" t="s">
        <v>412</v>
      </c>
      <c r="F2375">
        <f>HYPERLINK("https://www.wikidata.org/wiki/Q16683492", "Q16683492")</f>
        <v>0</v>
      </c>
      <c r="G2375" t="s">
        <v>1607</v>
      </c>
      <c r="H2375" t="s">
        <v>5793</v>
      </c>
      <c r="I2375" t="s">
        <v>9856</v>
      </c>
      <c r="J2375" t="s">
        <v>12314</v>
      </c>
      <c r="K2375" t="s">
        <v>16724</v>
      </c>
      <c r="L2375">
        <f>HYPERLINK("https://www2.assemblee-nationale.fr/sycomore/fiche/(num_dept)/6594", "6594")</f>
        <v>0</v>
      </c>
      <c r="N2375">
        <f>HYPERLINK("https://www.wikidata.org/wiki/Q3086299", "Q3086299")</f>
        <v>0</v>
      </c>
      <c r="O2375" t="s">
        <v>20014</v>
      </c>
      <c r="P2375" t="s">
        <v>20409</v>
      </c>
      <c r="Q2375" t="s">
        <v>20572</v>
      </c>
      <c r="R2375" t="s">
        <v>412</v>
      </c>
      <c r="S2375">
        <v>1481</v>
      </c>
    </row>
    <row r="2376" spans="1:19">
      <c r="A2376" t="s">
        <v>22</v>
      </c>
      <c r="B2376" t="s">
        <v>148</v>
      </c>
      <c r="C2376" t="s">
        <v>154</v>
      </c>
      <c r="D2376" t="s">
        <v>283</v>
      </c>
      <c r="E2376" t="s">
        <v>412</v>
      </c>
      <c r="F2376">
        <f>HYPERLINK("https://www.wikidata.org/wiki/Q16683492", "Q16683492")</f>
        <v>0</v>
      </c>
      <c r="G2376" t="s">
        <v>1608</v>
      </c>
      <c r="H2376" t="s">
        <v>6295</v>
      </c>
      <c r="I2376" t="s">
        <v>9465</v>
      </c>
      <c r="J2376" t="s">
        <v>12315</v>
      </c>
      <c r="K2376" t="s">
        <v>16725</v>
      </c>
      <c r="L2376">
        <f>HYPERLINK("https://www2.assemblee-nationale.fr/sycomore/fiche/(num_dept)/6633", "6633")</f>
        <v>0</v>
      </c>
      <c r="M2376">
        <f>HYPERLINK("https://www.senat.fr/senateur-3eme-republique/raynaldy_eugene0290r3.html", "raynaldy_eugene0290r3")</f>
        <v>0</v>
      </c>
      <c r="N2376">
        <f>HYPERLINK("https://www.wikidata.org/wiki/Q3060128", "Q3060128")</f>
        <v>0</v>
      </c>
      <c r="O2376" t="s">
        <v>19967</v>
      </c>
      <c r="P2376" t="s">
        <v>20417</v>
      </c>
      <c r="Q2376" t="s">
        <v>20572</v>
      </c>
      <c r="R2376" t="s">
        <v>412</v>
      </c>
      <c r="S2376">
        <v>1481</v>
      </c>
    </row>
    <row r="2377" spans="1:19">
      <c r="A2377" t="s">
        <v>22</v>
      </c>
      <c r="B2377" t="s">
        <v>148</v>
      </c>
      <c r="C2377" t="s">
        <v>154</v>
      </c>
      <c r="D2377" t="s">
        <v>283</v>
      </c>
      <c r="E2377" t="s">
        <v>412</v>
      </c>
      <c r="F2377">
        <f>HYPERLINK("https://www.wikidata.org/wiki/Q16683492", "Q16683492")</f>
        <v>0</v>
      </c>
      <c r="G2377" t="s">
        <v>1889</v>
      </c>
      <c r="H2377" t="s">
        <v>6542</v>
      </c>
      <c r="I2377" t="s">
        <v>9986</v>
      </c>
      <c r="J2377" t="s">
        <v>12576</v>
      </c>
      <c r="K2377" t="s">
        <v>16988</v>
      </c>
      <c r="L2377">
        <f>HYPERLINK("https://www2.assemblee-nationale.fr/sycomore/fiche/(num_dept)/6649", "6649")</f>
        <v>0</v>
      </c>
      <c r="N2377">
        <f>HYPERLINK("https://www.wikidata.org/wiki/Q16026399", "Q16026399")</f>
        <v>0</v>
      </c>
      <c r="O2377" t="s">
        <v>19990</v>
      </c>
      <c r="P2377" t="s">
        <v>20417</v>
      </c>
      <c r="Q2377" t="s">
        <v>20572</v>
      </c>
      <c r="R2377" t="s">
        <v>412</v>
      </c>
      <c r="S2377">
        <v>1481</v>
      </c>
    </row>
    <row r="2378" spans="1:19">
      <c r="A2378" t="s">
        <v>22</v>
      </c>
      <c r="B2378" t="s">
        <v>148</v>
      </c>
      <c r="C2378" t="s">
        <v>154</v>
      </c>
      <c r="D2378" t="s">
        <v>283</v>
      </c>
      <c r="E2378" t="s">
        <v>412</v>
      </c>
      <c r="F2378">
        <f>HYPERLINK("https://www.wikidata.org/wiki/Q16683492", "Q16683492")</f>
        <v>0</v>
      </c>
      <c r="G2378" t="s">
        <v>1610</v>
      </c>
      <c r="H2378" t="s">
        <v>6297</v>
      </c>
      <c r="I2378" t="s">
        <v>9516</v>
      </c>
      <c r="J2378" t="s">
        <v>12317</v>
      </c>
      <c r="K2378" t="s">
        <v>16727</v>
      </c>
      <c r="L2378">
        <f>HYPERLINK("https://www2.assemblee-nationale.fr/sycomore/fiche/(num_dept)/6652", "6652")</f>
        <v>0</v>
      </c>
      <c r="N2378">
        <f>HYPERLINK("https://www.wikidata.org/wiki/Q16026401", "Q16026401")</f>
        <v>0</v>
      </c>
      <c r="O2378" t="s">
        <v>20034</v>
      </c>
      <c r="P2378" t="s">
        <v>20417</v>
      </c>
      <c r="Q2378" t="s">
        <v>20572</v>
      </c>
      <c r="R2378" t="s">
        <v>412</v>
      </c>
      <c r="S2378">
        <v>1481</v>
      </c>
    </row>
    <row r="2379" spans="1:19">
      <c r="A2379" t="s">
        <v>22</v>
      </c>
      <c r="B2379" t="s">
        <v>148</v>
      </c>
      <c r="C2379" t="s">
        <v>154</v>
      </c>
      <c r="D2379" t="s">
        <v>283</v>
      </c>
      <c r="E2379" t="s">
        <v>412</v>
      </c>
      <c r="F2379">
        <f>HYPERLINK("https://www.wikidata.org/wiki/Q16683492", "Q16683492")</f>
        <v>0</v>
      </c>
      <c r="G2379" t="s">
        <v>1611</v>
      </c>
      <c r="H2379" t="s">
        <v>6297</v>
      </c>
      <c r="I2379" t="s">
        <v>9457</v>
      </c>
      <c r="J2379" t="s">
        <v>12318</v>
      </c>
      <c r="K2379" t="s">
        <v>16728</v>
      </c>
      <c r="L2379">
        <f>HYPERLINK("https://www2.assemblee-nationale.fr/sycomore/fiche/(num_dept)/6653", "6653")</f>
        <v>0</v>
      </c>
      <c r="N2379">
        <f>HYPERLINK("https://www.wikidata.org/wiki/Q7127416", "Q7127416")</f>
        <v>0</v>
      </c>
      <c r="O2379" t="s">
        <v>20032</v>
      </c>
      <c r="P2379" t="s">
        <v>20422</v>
      </c>
      <c r="Q2379" t="s">
        <v>20572</v>
      </c>
      <c r="R2379" t="s">
        <v>16728</v>
      </c>
      <c r="S2379">
        <v>878</v>
      </c>
    </row>
    <row r="2380" spans="1:19">
      <c r="A2380" t="s">
        <v>22</v>
      </c>
      <c r="B2380" t="s">
        <v>148</v>
      </c>
      <c r="C2380" t="s">
        <v>154</v>
      </c>
      <c r="D2380" t="s">
        <v>283</v>
      </c>
      <c r="E2380" t="s">
        <v>412</v>
      </c>
      <c r="F2380">
        <f>HYPERLINK("https://www.wikidata.org/wiki/Q16683492", "Q16683492")</f>
        <v>0</v>
      </c>
      <c r="G2380" t="s">
        <v>1612</v>
      </c>
      <c r="H2380" t="s">
        <v>6298</v>
      </c>
      <c r="I2380" t="s">
        <v>9385</v>
      </c>
      <c r="J2380" t="s">
        <v>12319</v>
      </c>
      <c r="K2380" t="s">
        <v>16729</v>
      </c>
      <c r="L2380">
        <f>HYPERLINK("https://www2.assemblee-nationale.fr/sycomore/fiche/(num_dept)/6656", "6656")</f>
        <v>0</v>
      </c>
      <c r="M2380">
        <f>HYPERLINK("https://www.senat.fr/senateur-3eme-republique/reibel_charles1672r3.html", "reibel_charles1672r3")</f>
        <v>0</v>
      </c>
      <c r="N2380">
        <f>HYPERLINK("https://www.wikidata.org/wiki/Q2960097", "Q2960097")</f>
        <v>0</v>
      </c>
      <c r="O2380" t="s">
        <v>19976</v>
      </c>
      <c r="P2380" t="s">
        <v>20417</v>
      </c>
      <c r="Q2380" t="s">
        <v>20572</v>
      </c>
      <c r="R2380" t="s">
        <v>412</v>
      </c>
      <c r="S2380">
        <v>1481</v>
      </c>
    </row>
    <row r="2381" spans="1:19">
      <c r="A2381" t="s">
        <v>22</v>
      </c>
      <c r="B2381" t="s">
        <v>148</v>
      </c>
      <c r="C2381" t="s">
        <v>154</v>
      </c>
      <c r="D2381" t="s">
        <v>283</v>
      </c>
      <c r="E2381" t="s">
        <v>412</v>
      </c>
      <c r="F2381">
        <f>HYPERLINK("https://www.wikidata.org/wiki/Q16683492", "Q16683492")</f>
        <v>0</v>
      </c>
      <c r="G2381" t="s">
        <v>1307</v>
      </c>
      <c r="H2381" t="s">
        <v>6028</v>
      </c>
      <c r="I2381" t="s">
        <v>9742</v>
      </c>
      <c r="J2381" t="s">
        <v>12037</v>
      </c>
      <c r="K2381" t="s">
        <v>16438</v>
      </c>
      <c r="L2381">
        <f>HYPERLINK("https://www2.assemblee-nationale.fr/sycomore/fiche/(num_dept)/6676", "6676")</f>
        <v>0</v>
      </c>
      <c r="N2381">
        <f>HYPERLINK("https://www.wikidata.org/wiki/Q3386778", "Q3386778")</f>
        <v>0</v>
      </c>
      <c r="O2381" t="s">
        <v>20042</v>
      </c>
      <c r="P2381" t="s">
        <v>20404</v>
      </c>
      <c r="Q2381" t="s">
        <v>20572</v>
      </c>
      <c r="R2381" t="s">
        <v>412</v>
      </c>
      <c r="S2381">
        <v>1481</v>
      </c>
    </row>
    <row r="2382" spans="1:19">
      <c r="A2382" t="s">
        <v>22</v>
      </c>
      <c r="B2382" t="s">
        <v>148</v>
      </c>
      <c r="C2382" t="s">
        <v>154</v>
      </c>
      <c r="D2382" t="s">
        <v>283</v>
      </c>
      <c r="E2382" t="s">
        <v>412</v>
      </c>
      <c r="F2382">
        <f>HYPERLINK("https://www.wikidata.org/wiki/Q16683492", "Q16683492")</f>
        <v>0</v>
      </c>
      <c r="G2382" t="s">
        <v>1890</v>
      </c>
      <c r="H2382" t="s">
        <v>6301</v>
      </c>
      <c r="I2382" t="s">
        <v>9987</v>
      </c>
      <c r="J2382" t="s">
        <v>12577</v>
      </c>
      <c r="K2382" t="s">
        <v>16989</v>
      </c>
      <c r="L2382">
        <f>HYPERLINK("https://www2.assemblee-nationale.fr/sycomore/fiche/(num_dept)/6708", "6708")</f>
        <v>0</v>
      </c>
      <c r="N2382">
        <f>HYPERLINK("https://www.wikidata.org/wiki/Q21155030", "Q21155030")</f>
        <v>0</v>
      </c>
      <c r="O2382" t="s">
        <v>20042</v>
      </c>
      <c r="P2382" t="s">
        <v>20404</v>
      </c>
      <c r="Q2382" t="s">
        <v>20572</v>
      </c>
      <c r="R2382" t="s">
        <v>412</v>
      </c>
      <c r="S2382">
        <v>1481</v>
      </c>
    </row>
    <row r="2383" spans="1:19">
      <c r="A2383" t="s">
        <v>22</v>
      </c>
      <c r="B2383" t="s">
        <v>148</v>
      </c>
      <c r="C2383" t="s">
        <v>154</v>
      </c>
      <c r="D2383" t="s">
        <v>283</v>
      </c>
      <c r="E2383" t="s">
        <v>412</v>
      </c>
      <c r="F2383">
        <f>HYPERLINK("https://www.wikidata.org/wiki/Q16683492", "Q16683492")</f>
        <v>0</v>
      </c>
      <c r="G2383" t="s">
        <v>1891</v>
      </c>
      <c r="H2383" t="s">
        <v>6301</v>
      </c>
      <c r="I2383" t="s">
        <v>5800</v>
      </c>
      <c r="J2383" t="s">
        <v>12578</v>
      </c>
      <c r="K2383" t="s">
        <v>16990</v>
      </c>
      <c r="L2383">
        <f>HYPERLINK("https://www2.assemblee-nationale.fr/sycomore/fiche/(num_dept)/6711", "6711")</f>
        <v>0</v>
      </c>
      <c r="N2383">
        <f>HYPERLINK("https://www.wikidata.org/wiki/Q16026411", "Q16026411")</f>
        <v>0</v>
      </c>
      <c r="O2383" t="s">
        <v>19997</v>
      </c>
      <c r="P2383" t="s">
        <v>20425</v>
      </c>
      <c r="Q2383" t="s">
        <v>20572</v>
      </c>
      <c r="R2383" t="s">
        <v>412</v>
      </c>
      <c r="S2383">
        <v>1481</v>
      </c>
    </row>
    <row r="2384" spans="1:19">
      <c r="A2384" t="s">
        <v>22</v>
      </c>
      <c r="B2384" t="s">
        <v>148</v>
      </c>
      <c r="C2384" t="s">
        <v>154</v>
      </c>
      <c r="D2384" t="s">
        <v>283</v>
      </c>
      <c r="E2384" t="s">
        <v>412</v>
      </c>
      <c r="F2384">
        <f>HYPERLINK("https://www.wikidata.org/wiki/Q16683492", "Q16683492")</f>
        <v>0</v>
      </c>
      <c r="G2384" t="s">
        <v>1309</v>
      </c>
      <c r="H2384" t="s">
        <v>6030</v>
      </c>
      <c r="I2384" t="s">
        <v>9407</v>
      </c>
      <c r="J2384" t="s">
        <v>12039</v>
      </c>
      <c r="K2384" t="s">
        <v>16440</v>
      </c>
      <c r="L2384">
        <f>HYPERLINK("https://www2.assemblee-nationale.fr/sycomore/fiche/(num_dept)/6713", "6713")</f>
        <v>0</v>
      </c>
      <c r="N2384">
        <f>HYPERLINK("https://www.wikidata.org/wiki/Q16026412", "Q16026412")</f>
        <v>0</v>
      </c>
      <c r="O2384" t="s">
        <v>20005</v>
      </c>
      <c r="P2384" t="s">
        <v>20423</v>
      </c>
      <c r="Q2384" t="s">
        <v>20572</v>
      </c>
      <c r="R2384" t="s">
        <v>412</v>
      </c>
      <c r="S2384">
        <v>1481</v>
      </c>
    </row>
    <row r="2385" spans="1:19">
      <c r="A2385" t="s">
        <v>22</v>
      </c>
      <c r="B2385" t="s">
        <v>148</v>
      </c>
      <c r="C2385" t="s">
        <v>154</v>
      </c>
      <c r="D2385" t="s">
        <v>283</v>
      </c>
      <c r="E2385" t="s">
        <v>412</v>
      </c>
      <c r="F2385">
        <f>HYPERLINK("https://www.wikidata.org/wiki/Q16683492", "Q16683492")</f>
        <v>0</v>
      </c>
      <c r="G2385" t="s">
        <v>1892</v>
      </c>
      <c r="H2385" t="s">
        <v>6303</v>
      </c>
      <c r="I2385" t="s">
        <v>9476</v>
      </c>
      <c r="J2385" t="s">
        <v>12579</v>
      </c>
      <c r="K2385" t="s">
        <v>16991</v>
      </c>
      <c r="L2385">
        <f>HYPERLINK("https://www2.assemblee-nationale.fr/sycomore/fiche/(num_dept)/6740", "6740")</f>
        <v>0</v>
      </c>
      <c r="N2385">
        <f>HYPERLINK("https://www.wikidata.org/wiki/Q3426819", "Q3426819")</f>
        <v>0</v>
      </c>
      <c r="O2385" t="s">
        <v>20021</v>
      </c>
      <c r="P2385" t="s">
        <v>20423</v>
      </c>
      <c r="Q2385" t="s">
        <v>20572</v>
      </c>
      <c r="R2385" t="s">
        <v>412</v>
      </c>
      <c r="S2385">
        <v>1481</v>
      </c>
    </row>
    <row r="2386" spans="1:19">
      <c r="A2386" t="s">
        <v>22</v>
      </c>
      <c r="B2386" t="s">
        <v>148</v>
      </c>
      <c r="C2386" t="s">
        <v>154</v>
      </c>
      <c r="D2386" t="s">
        <v>283</v>
      </c>
      <c r="E2386" t="s">
        <v>412</v>
      </c>
      <c r="F2386">
        <f>HYPERLINK("https://www.wikidata.org/wiki/Q16683492", "Q16683492")</f>
        <v>0</v>
      </c>
      <c r="G2386" t="s">
        <v>1619</v>
      </c>
      <c r="H2386" t="s">
        <v>6304</v>
      </c>
      <c r="I2386" t="s">
        <v>7575</v>
      </c>
      <c r="J2386" t="s">
        <v>12326</v>
      </c>
      <c r="K2386" t="s">
        <v>16736</v>
      </c>
      <c r="L2386">
        <f>HYPERLINK("https://www2.assemblee-nationale.fr/sycomore/fiche/(num_dept)/6752", "6752")</f>
        <v>0</v>
      </c>
      <c r="N2386">
        <f>HYPERLINK("https://www.wikidata.org/wiki/Q3143189", "Q3143189")</f>
        <v>0</v>
      </c>
      <c r="O2386" t="s">
        <v>20024</v>
      </c>
      <c r="P2386" t="s">
        <v>20417</v>
      </c>
      <c r="Q2386" t="s">
        <v>20572</v>
      </c>
      <c r="R2386" t="s">
        <v>412</v>
      </c>
      <c r="S2386">
        <v>1481</v>
      </c>
    </row>
    <row r="2387" spans="1:19">
      <c r="A2387" t="s">
        <v>22</v>
      </c>
      <c r="B2387" t="s">
        <v>148</v>
      </c>
      <c r="C2387" t="s">
        <v>154</v>
      </c>
      <c r="D2387" t="s">
        <v>283</v>
      </c>
      <c r="E2387" t="s">
        <v>412</v>
      </c>
      <c r="F2387">
        <f>HYPERLINK("https://www.wikidata.org/wiki/Q16683492", "Q16683492")</f>
        <v>0</v>
      </c>
      <c r="G2387" t="s">
        <v>1893</v>
      </c>
      <c r="H2387" t="s">
        <v>6543</v>
      </c>
      <c r="I2387" t="s">
        <v>6200</v>
      </c>
      <c r="J2387" t="s">
        <v>12580</v>
      </c>
      <c r="K2387" t="s">
        <v>16992</v>
      </c>
      <c r="L2387">
        <f>HYPERLINK("https://www2.assemblee-nationale.fr/sycomore/fiche/(num_dept)/6759", "6759")</f>
        <v>0</v>
      </c>
      <c r="N2387">
        <f>HYPERLINK("https://www.wikidata.org/wiki/Q16026424", "Q16026424")</f>
        <v>0</v>
      </c>
      <c r="O2387" t="s">
        <v>20016</v>
      </c>
      <c r="P2387" t="s">
        <v>20404</v>
      </c>
      <c r="Q2387" t="s">
        <v>20572</v>
      </c>
      <c r="R2387" t="s">
        <v>412</v>
      </c>
      <c r="S2387">
        <v>1481</v>
      </c>
    </row>
    <row r="2388" spans="1:19">
      <c r="A2388" t="s">
        <v>22</v>
      </c>
      <c r="B2388" t="s">
        <v>148</v>
      </c>
      <c r="C2388" t="s">
        <v>154</v>
      </c>
      <c r="D2388" t="s">
        <v>283</v>
      </c>
      <c r="E2388" t="s">
        <v>412</v>
      </c>
      <c r="F2388">
        <f>HYPERLINK("https://www.wikidata.org/wiki/Q16683492", "Q16683492")</f>
        <v>0</v>
      </c>
      <c r="G2388" t="s">
        <v>1620</v>
      </c>
      <c r="H2388" t="s">
        <v>6305</v>
      </c>
      <c r="I2388" t="s">
        <v>9862</v>
      </c>
      <c r="J2388" t="s">
        <v>12327</v>
      </c>
      <c r="K2388" t="s">
        <v>16737</v>
      </c>
      <c r="L2388">
        <f>HYPERLINK("https://www2.assemblee-nationale.fr/sycomore/fiche/(num_dept)/6770", "6770")</f>
        <v>0</v>
      </c>
      <c r="M2388">
        <f>HYPERLINK("https://www.senat.fr/senateur-3eme-republique/rillard_de_verneuil_henri0040r3.html", "rillard_de_verneuil_henri0040r3")</f>
        <v>0</v>
      </c>
      <c r="N2388">
        <f>HYPERLINK("https://www.wikidata.org/wiki/Q3131913", "Q3131913")</f>
        <v>0</v>
      </c>
      <c r="O2388" t="s">
        <v>20015</v>
      </c>
      <c r="P2388" t="s">
        <v>20422</v>
      </c>
      <c r="Q2388" t="s">
        <v>20572</v>
      </c>
      <c r="R2388" t="s">
        <v>412</v>
      </c>
      <c r="S2388">
        <v>1481</v>
      </c>
    </row>
    <row r="2389" spans="1:19">
      <c r="A2389" t="s">
        <v>22</v>
      </c>
      <c r="B2389" t="s">
        <v>148</v>
      </c>
      <c r="C2389" t="s">
        <v>154</v>
      </c>
      <c r="D2389" t="s">
        <v>283</v>
      </c>
      <c r="E2389" t="s">
        <v>412</v>
      </c>
      <c r="F2389">
        <f>HYPERLINK("https://www.wikidata.org/wiki/Q16683492", "Q16683492")</f>
        <v>0</v>
      </c>
      <c r="G2389" t="s">
        <v>1894</v>
      </c>
      <c r="H2389" t="s">
        <v>6544</v>
      </c>
      <c r="I2389" t="s">
        <v>9988</v>
      </c>
      <c r="J2389" t="s">
        <v>12581</v>
      </c>
      <c r="K2389" t="s">
        <v>16993</v>
      </c>
      <c r="L2389">
        <f>HYPERLINK("https://www2.assemblee-nationale.fr/sycomore/fiche/(num_dept)/6774", "6774")</f>
        <v>0</v>
      </c>
      <c r="N2389">
        <f>HYPERLINK("https://www.wikidata.org/wiki/Q3069028", "Q3069028")</f>
        <v>0</v>
      </c>
      <c r="O2389" t="s">
        <v>19978</v>
      </c>
      <c r="P2389" t="s">
        <v>20401</v>
      </c>
      <c r="Q2389" t="s">
        <v>20572</v>
      </c>
      <c r="R2389" t="s">
        <v>412</v>
      </c>
      <c r="S2389">
        <v>1481</v>
      </c>
    </row>
    <row r="2390" spans="1:19">
      <c r="A2390" t="s">
        <v>22</v>
      </c>
      <c r="B2390" t="s">
        <v>148</v>
      </c>
      <c r="C2390" t="s">
        <v>154</v>
      </c>
      <c r="D2390" t="s">
        <v>283</v>
      </c>
      <c r="E2390" t="s">
        <v>412</v>
      </c>
      <c r="F2390">
        <f>HYPERLINK("https://www.wikidata.org/wiki/Q16683492", "Q16683492")</f>
        <v>0</v>
      </c>
      <c r="G2390" t="s">
        <v>1623</v>
      </c>
      <c r="H2390" t="s">
        <v>6308</v>
      </c>
      <c r="I2390" t="s">
        <v>9426</v>
      </c>
      <c r="J2390" t="s">
        <v>12330</v>
      </c>
      <c r="K2390" t="s">
        <v>16740</v>
      </c>
      <c r="L2390">
        <f>HYPERLINK("https://www2.assemblee-nationale.fr/sycomore/fiche/(num_dept)/6813", "6813")</f>
        <v>0</v>
      </c>
      <c r="N2390">
        <f>HYPERLINK("https://www.wikidata.org/wiki/Q2839960", "Q2839960")</f>
        <v>0</v>
      </c>
      <c r="O2390" t="s">
        <v>19961</v>
      </c>
      <c r="P2390" t="s">
        <v>20422</v>
      </c>
      <c r="Q2390" t="s">
        <v>20572</v>
      </c>
      <c r="R2390" t="s">
        <v>412</v>
      </c>
      <c r="S2390">
        <v>1481</v>
      </c>
    </row>
    <row r="2391" spans="1:19">
      <c r="A2391" t="s">
        <v>22</v>
      </c>
      <c r="B2391" t="s">
        <v>148</v>
      </c>
      <c r="C2391" t="s">
        <v>154</v>
      </c>
      <c r="D2391" t="s">
        <v>283</v>
      </c>
      <c r="E2391" t="s">
        <v>412</v>
      </c>
      <c r="F2391">
        <f>HYPERLINK("https://www.wikidata.org/wiki/Q16683492", "Q16683492")</f>
        <v>0</v>
      </c>
      <c r="G2391" t="s">
        <v>807</v>
      </c>
      <c r="H2391" t="s">
        <v>5564</v>
      </c>
      <c r="I2391" t="s">
        <v>9483</v>
      </c>
      <c r="J2391" t="s">
        <v>11554</v>
      </c>
      <c r="K2391" t="s">
        <v>15958</v>
      </c>
      <c r="L2391">
        <f>HYPERLINK("https://www2.assemblee-nationale.fr/sycomore/fiche/(num_dept)/6815", "6815")</f>
        <v>0</v>
      </c>
      <c r="N2391">
        <f>HYPERLINK("https://www.wikidata.org/wiki/Q3557596", "Q3557596")</f>
        <v>0</v>
      </c>
      <c r="O2391" t="s">
        <v>20035</v>
      </c>
      <c r="P2391" t="s">
        <v>20423</v>
      </c>
      <c r="Q2391" t="s">
        <v>20572</v>
      </c>
      <c r="R2391" t="s">
        <v>412</v>
      </c>
      <c r="S2391">
        <v>1481</v>
      </c>
    </row>
    <row r="2392" spans="1:19">
      <c r="A2392" t="s">
        <v>22</v>
      </c>
      <c r="B2392" t="s">
        <v>148</v>
      </c>
      <c r="C2392" t="s">
        <v>154</v>
      </c>
      <c r="D2392" t="s">
        <v>283</v>
      </c>
      <c r="E2392" t="s">
        <v>412</v>
      </c>
      <c r="F2392">
        <f>HYPERLINK("https://www.wikidata.org/wiki/Q16683492", "Q16683492")</f>
        <v>0</v>
      </c>
      <c r="G2392" t="s">
        <v>809</v>
      </c>
      <c r="H2392" t="s">
        <v>5566</v>
      </c>
      <c r="I2392" t="s">
        <v>7642</v>
      </c>
      <c r="J2392" t="s">
        <v>11556</v>
      </c>
      <c r="K2392" t="s">
        <v>15960</v>
      </c>
      <c r="L2392">
        <f>HYPERLINK("https://www2.assemblee-nationale.fr/sycomore/fiche/(num_dept)/6821", "6821")</f>
        <v>0</v>
      </c>
      <c r="N2392">
        <f>HYPERLINK("https://www.wikidata.org/wiki/Q3301402", "Q3301402")</f>
        <v>0</v>
      </c>
      <c r="O2392" t="s">
        <v>20023</v>
      </c>
      <c r="P2392" t="s">
        <v>20412</v>
      </c>
      <c r="Q2392" t="s">
        <v>20572</v>
      </c>
      <c r="R2392" t="s">
        <v>412</v>
      </c>
      <c r="S2392">
        <v>1481</v>
      </c>
    </row>
    <row r="2393" spans="1:19">
      <c r="A2393" t="s">
        <v>22</v>
      </c>
      <c r="B2393" t="s">
        <v>148</v>
      </c>
      <c r="C2393" t="s">
        <v>154</v>
      </c>
      <c r="D2393" t="s">
        <v>283</v>
      </c>
      <c r="E2393" t="s">
        <v>412</v>
      </c>
      <c r="F2393">
        <f>HYPERLINK("https://www.wikidata.org/wiki/Q16683492", "Q16683492")</f>
        <v>0</v>
      </c>
      <c r="G2393" t="s">
        <v>1895</v>
      </c>
      <c r="H2393" t="s">
        <v>6545</v>
      </c>
      <c r="I2393" t="s">
        <v>9407</v>
      </c>
      <c r="J2393" t="s">
        <v>12582</v>
      </c>
      <c r="K2393" t="s">
        <v>16994</v>
      </c>
      <c r="L2393">
        <f>HYPERLINK("https://www2.assemblee-nationale.fr/sycomore/fiche/(num_dept)/6838", "6838")</f>
        <v>0</v>
      </c>
      <c r="N2393">
        <f>HYPERLINK("https://www.wikidata.org/wiki/Q16026503", "Q16026503")</f>
        <v>0</v>
      </c>
      <c r="O2393" t="s">
        <v>20049</v>
      </c>
      <c r="P2393" t="s">
        <v>20422</v>
      </c>
      <c r="Q2393" t="s">
        <v>20572</v>
      </c>
      <c r="R2393" t="s">
        <v>412</v>
      </c>
      <c r="S2393">
        <v>1481</v>
      </c>
    </row>
    <row r="2394" spans="1:19">
      <c r="A2394" t="s">
        <v>22</v>
      </c>
      <c r="B2394" t="s">
        <v>148</v>
      </c>
      <c r="C2394" t="s">
        <v>154</v>
      </c>
      <c r="D2394" t="s">
        <v>283</v>
      </c>
      <c r="E2394" t="s">
        <v>412</v>
      </c>
      <c r="F2394">
        <f>HYPERLINK("https://www.wikidata.org/wiki/Q16683492", "Q16683492")</f>
        <v>0</v>
      </c>
      <c r="G2394" t="s">
        <v>1053</v>
      </c>
      <c r="H2394" t="s">
        <v>5800</v>
      </c>
      <c r="I2394" t="s">
        <v>6478</v>
      </c>
      <c r="J2394" t="s">
        <v>11790</v>
      </c>
      <c r="K2394" t="s">
        <v>16191</v>
      </c>
      <c r="L2394">
        <f>HYPERLINK("https://www2.assemblee-nationale.fr/sycomore/fiche/(num_dept)/6843", "6843")</f>
        <v>0</v>
      </c>
      <c r="N2394">
        <f>HYPERLINK("https://www.wikidata.org/wiki/Q773411", "Q773411")</f>
        <v>0</v>
      </c>
      <c r="O2394" t="s">
        <v>19962</v>
      </c>
      <c r="P2394" t="s">
        <v>20423</v>
      </c>
      <c r="Q2394" t="s">
        <v>20572</v>
      </c>
      <c r="R2394" t="s">
        <v>16191</v>
      </c>
      <c r="S2394">
        <v>935</v>
      </c>
    </row>
    <row r="2395" spans="1:19">
      <c r="A2395" t="s">
        <v>22</v>
      </c>
      <c r="B2395" t="s">
        <v>148</v>
      </c>
      <c r="C2395" t="s">
        <v>154</v>
      </c>
      <c r="D2395" t="s">
        <v>283</v>
      </c>
      <c r="E2395" t="s">
        <v>412</v>
      </c>
      <c r="F2395">
        <f>HYPERLINK("https://www.wikidata.org/wiki/Q16683492", "Q16683492")</f>
        <v>0</v>
      </c>
      <c r="G2395" t="s">
        <v>1132</v>
      </c>
      <c r="H2395" t="s">
        <v>5800</v>
      </c>
      <c r="I2395" t="s">
        <v>9388</v>
      </c>
      <c r="J2395" t="s">
        <v>11866</v>
      </c>
      <c r="K2395" t="s">
        <v>16268</v>
      </c>
      <c r="L2395">
        <f>HYPERLINK("https://www2.assemblee-nationale.fr/sycomore/fiche/(num_dept)/6845", "6845")</f>
        <v>0</v>
      </c>
      <c r="N2395">
        <f>HYPERLINK("https://www.wikidata.org/wiki/Q3372205", "Q3372205")</f>
        <v>0</v>
      </c>
      <c r="O2395" t="s">
        <v>20011</v>
      </c>
      <c r="P2395" t="s">
        <v>20426</v>
      </c>
      <c r="Q2395" t="s">
        <v>20572</v>
      </c>
      <c r="R2395" t="s">
        <v>412</v>
      </c>
      <c r="S2395">
        <v>1481</v>
      </c>
    </row>
    <row r="2396" spans="1:19">
      <c r="A2396" t="s">
        <v>22</v>
      </c>
      <c r="B2396" t="s">
        <v>148</v>
      </c>
      <c r="C2396" t="s">
        <v>154</v>
      </c>
      <c r="D2396" t="s">
        <v>283</v>
      </c>
      <c r="E2396" t="s">
        <v>412</v>
      </c>
      <c r="F2396">
        <f>HYPERLINK("https://www.wikidata.org/wiki/Q16683492", "Q16683492")</f>
        <v>0</v>
      </c>
      <c r="G2396" t="s">
        <v>1896</v>
      </c>
      <c r="H2396" t="s">
        <v>6546</v>
      </c>
      <c r="I2396" t="s">
        <v>9457</v>
      </c>
      <c r="J2396" t="s">
        <v>12583</v>
      </c>
      <c r="K2396" t="s">
        <v>16995</v>
      </c>
      <c r="L2396">
        <f>HYPERLINK("https://www2.assemblee-nationale.fr/sycomore/fiche/(num_dept)/6864", "6864")</f>
        <v>0</v>
      </c>
      <c r="N2396">
        <f>HYPERLINK("https://www.wikidata.org/wiki/Q3132022", "Q3132022")</f>
        <v>0</v>
      </c>
      <c r="O2396" t="s">
        <v>19962</v>
      </c>
      <c r="P2396" t="s">
        <v>20404</v>
      </c>
      <c r="Q2396" t="s">
        <v>20572</v>
      </c>
      <c r="R2396" t="s">
        <v>412</v>
      </c>
      <c r="S2396">
        <v>1481</v>
      </c>
    </row>
    <row r="2397" spans="1:19">
      <c r="A2397" t="s">
        <v>22</v>
      </c>
      <c r="B2397" t="s">
        <v>148</v>
      </c>
      <c r="C2397" t="s">
        <v>154</v>
      </c>
      <c r="D2397" t="s">
        <v>283</v>
      </c>
      <c r="E2397" t="s">
        <v>412</v>
      </c>
      <c r="F2397">
        <f>HYPERLINK("https://www.wikidata.org/wiki/Q16683492", "Q16683492")</f>
        <v>0</v>
      </c>
      <c r="G2397" t="s">
        <v>1626</v>
      </c>
      <c r="H2397" t="s">
        <v>6311</v>
      </c>
      <c r="I2397" t="s">
        <v>9375</v>
      </c>
      <c r="J2397" t="s">
        <v>12333</v>
      </c>
      <c r="K2397" t="s">
        <v>16742</v>
      </c>
      <c r="L2397">
        <f>HYPERLINK("https://www2.assemblee-nationale.fr/sycomore/fiche/(num_dept)/6883", "6883")</f>
        <v>0</v>
      </c>
      <c r="N2397">
        <f>HYPERLINK("https://www.wikidata.org/wiki/Q16026518", "Q16026518")</f>
        <v>0</v>
      </c>
      <c r="O2397" t="s">
        <v>19969</v>
      </c>
      <c r="P2397" t="s">
        <v>20422</v>
      </c>
      <c r="Q2397" t="s">
        <v>20572</v>
      </c>
      <c r="R2397" t="s">
        <v>412</v>
      </c>
      <c r="S2397">
        <v>1481</v>
      </c>
    </row>
    <row r="2398" spans="1:19">
      <c r="A2398" t="s">
        <v>22</v>
      </c>
      <c r="B2398" t="s">
        <v>148</v>
      </c>
      <c r="C2398" t="s">
        <v>154</v>
      </c>
      <c r="D2398" t="s">
        <v>283</v>
      </c>
      <c r="E2398" t="s">
        <v>412</v>
      </c>
      <c r="F2398">
        <f>HYPERLINK("https://www.wikidata.org/wiki/Q16683492", "Q16683492")</f>
        <v>0</v>
      </c>
      <c r="G2398" t="s">
        <v>1897</v>
      </c>
      <c r="H2398" t="s">
        <v>6547</v>
      </c>
      <c r="I2398" t="s">
        <v>9385</v>
      </c>
      <c r="J2398" t="s">
        <v>12584</v>
      </c>
      <c r="K2398" t="s">
        <v>16996</v>
      </c>
      <c r="L2398">
        <f>HYPERLINK("https://www2.assemblee-nationale.fr/sycomore/fiche/(num_dept)/6897", "6897")</f>
        <v>0</v>
      </c>
      <c r="N2398">
        <f>HYPERLINK("https://www.wikidata.org/wiki/Q2960255", "Q2960255")</f>
        <v>0</v>
      </c>
      <c r="O2398" t="s">
        <v>20020</v>
      </c>
      <c r="P2398" t="s">
        <v>20404</v>
      </c>
      <c r="Q2398" t="s">
        <v>20572</v>
      </c>
      <c r="R2398" t="s">
        <v>412</v>
      </c>
      <c r="S2398">
        <v>1481</v>
      </c>
    </row>
    <row r="2399" spans="1:19">
      <c r="A2399" t="s">
        <v>22</v>
      </c>
      <c r="B2399" t="s">
        <v>148</v>
      </c>
      <c r="C2399" t="s">
        <v>154</v>
      </c>
      <c r="D2399" t="s">
        <v>283</v>
      </c>
      <c r="E2399" t="s">
        <v>412</v>
      </c>
      <c r="F2399">
        <f>HYPERLINK("https://www.wikidata.org/wiki/Q16683492", "Q16683492")</f>
        <v>0</v>
      </c>
      <c r="G2399" t="s">
        <v>1627</v>
      </c>
      <c r="H2399" t="s">
        <v>6312</v>
      </c>
      <c r="I2399" t="s">
        <v>6860</v>
      </c>
      <c r="J2399" t="s">
        <v>12334</v>
      </c>
      <c r="K2399" t="s">
        <v>16743</v>
      </c>
      <c r="L2399">
        <f>HYPERLINK("https://www2.assemblee-nationale.fr/sycomore/fiche/(num_dept)/6941", "6941")</f>
        <v>0</v>
      </c>
      <c r="N2399">
        <f>HYPERLINK("https://www.wikidata.org/wiki/Q3387066", "Q3387066")</f>
        <v>0</v>
      </c>
      <c r="O2399" t="s">
        <v>19969</v>
      </c>
      <c r="P2399" t="s">
        <v>20422</v>
      </c>
      <c r="Q2399" t="s">
        <v>20572</v>
      </c>
      <c r="R2399" t="s">
        <v>412</v>
      </c>
      <c r="S2399">
        <v>1481</v>
      </c>
    </row>
    <row r="2400" spans="1:19">
      <c r="A2400" t="s">
        <v>22</v>
      </c>
      <c r="B2400" t="s">
        <v>148</v>
      </c>
      <c r="C2400" t="s">
        <v>154</v>
      </c>
      <c r="D2400" t="s">
        <v>283</v>
      </c>
      <c r="E2400" t="s">
        <v>412</v>
      </c>
      <c r="F2400">
        <f>HYPERLINK("https://www.wikidata.org/wiki/Q16683492", "Q16683492")</f>
        <v>0</v>
      </c>
      <c r="G2400" t="s">
        <v>1898</v>
      </c>
      <c r="H2400" t="s">
        <v>6548</v>
      </c>
      <c r="I2400" t="s">
        <v>9457</v>
      </c>
      <c r="J2400" t="s">
        <v>12585</v>
      </c>
      <c r="K2400" t="s">
        <v>16997</v>
      </c>
      <c r="L2400">
        <f>HYPERLINK("https://www2.assemblee-nationale.fr/sycomore/fiche/(num_dept)/6960", "6960")</f>
        <v>0</v>
      </c>
      <c r="M2400">
        <f>HYPERLINK("https://www.senat.fr/senateur-3eme-republique/tasso_henri0331r3.html", "tasso_henri0331r3")</f>
        <v>0</v>
      </c>
      <c r="N2400">
        <f>HYPERLINK("https://www.wikidata.org/wiki/Q3132056", "Q3132056")</f>
        <v>0</v>
      </c>
      <c r="O2400" t="s">
        <v>19990</v>
      </c>
      <c r="P2400" t="s">
        <v>20404</v>
      </c>
      <c r="Q2400" t="s">
        <v>20572</v>
      </c>
      <c r="R2400" t="s">
        <v>412</v>
      </c>
      <c r="S2400">
        <v>1481</v>
      </c>
    </row>
    <row r="2401" spans="1:19">
      <c r="A2401" t="s">
        <v>22</v>
      </c>
      <c r="B2401" t="s">
        <v>148</v>
      </c>
      <c r="C2401" t="s">
        <v>154</v>
      </c>
      <c r="D2401" t="s">
        <v>283</v>
      </c>
      <c r="E2401" t="s">
        <v>412</v>
      </c>
      <c r="F2401">
        <f>HYPERLINK("https://www.wikidata.org/wiki/Q16683492", "Q16683492")</f>
        <v>0</v>
      </c>
      <c r="G2401" t="s">
        <v>1899</v>
      </c>
      <c r="H2401" t="s">
        <v>6549</v>
      </c>
      <c r="I2401" t="s">
        <v>9989</v>
      </c>
      <c r="J2401" t="s">
        <v>12586</v>
      </c>
      <c r="K2401" t="s">
        <v>16998</v>
      </c>
      <c r="L2401">
        <f>HYPERLINK("https://www2.assemblee-nationale.fr/sycomore/fiche/(num_dept)/6963", "6963")</f>
        <v>0</v>
      </c>
      <c r="N2401">
        <f>HYPERLINK("https://www.wikidata.org/wiki/Q3260934", "Q3260934")</f>
        <v>0</v>
      </c>
      <c r="O2401" t="s">
        <v>20030</v>
      </c>
      <c r="P2401" t="s">
        <v>20417</v>
      </c>
      <c r="Q2401" t="s">
        <v>20572</v>
      </c>
      <c r="R2401" t="s">
        <v>412</v>
      </c>
      <c r="S2401">
        <v>1481</v>
      </c>
    </row>
    <row r="2402" spans="1:19">
      <c r="A2402" t="s">
        <v>22</v>
      </c>
      <c r="B2402" t="s">
        <v>148</v>
      </c>
      <c r="C2402" t="s">
        <v>154</v>
      </c>
      <c r="D2402" t="s">
        <v>283</v>
      </c>
      <c r="E2402" t="s">
        <v>412</v>
      </c>
      <c r="F2402">
        <f>HYPERLINK("https://www.wikidata.org/wiki/Q16683492", "Q16683492")</f>
        <v>0</v>
      </c>
      <c r="G2402" t="s">
        <v>1900</v>
      </c>
      <c r="H2402" t="s">
        <v>6550</v>
      </c>
      <c r="I2402" t="s">
        <v>9990</v>
      </c>
      <c r="J2402" t="s">
        <v>12587</v>
      </c>
      <c r="K2402" t="s">
        <v>16552</v>
      </c>
      <c r="L2402">
        <f>HYPERLINK("https://www2.assemblee-nationale.fr/sycomore/fiche/(num_dept)/6985", "6985")</f>
        <v>0</v>
      </c>
      <c r="N2402">
        <f>HYPERLINK("https://www.wikidata.org/wiki/Q16026545", "Q16026545")</f>
        <v>0</v>
      </c>
      <c r="O2402" t="s">
        <v>19969</v>
      </c>
      <c r="P2402" t="s">
        <v>20424</v>
      </c>
      <c r="Q2402" t="s">
        <v>20572</v>
      </c>
      <c r="R2402" t="s">
        <v>412</v>
      </c>
      <c r="S2402">
        <v>1481</v>
      </c>
    </row>
    <row r="2403" spans="1:19">
      <c r="A2403" t="s">
        <v>22</v>
      </c>
      <c r="B2403" t="s">
        <v>148</v>
      </c>
      <c r="C2403" t="s">
        <v>154</v>
      </c>
      <c r="D2403" t="s">
        <v>283</v>
      </c>
      <c r="E2403" t="s">
        <v>412</v>
      </c>
      <c r="F2403">
        <f>HYPERLINK("https://www.wikidata.org/wiki/Q16683492", "Q16683492")</f>
        <v>0</v>
      </c>
      <c r="G2403" t="s">
        <v>1087</v>
      </c>
      <c r="H2403" t="s">
        <v>5830</v>
      </c>
      <c r="I2403" t="s">
        <v>9657</v>
      </c>
      <c r="J2403" t="s">
        <v>11823</v>
      </c>
      <c r="K2403" t="s">
        <v>16224</v>
      </c>
      <c r="L2403">
        <f>HYPERLINK("https://www2.assemblee-nationale.fr/sycomore/fiche/(num_dept)/6988", "6988")</f>
        <v>0</v>
      </c>
      <c r="N2403">
        <f>HYPERLINK("https://www.wikidata.org/wiki/Q16026546", "Q16026546")</f>
        <v>0</v>
      </c>
      <c r="O2403" t="s">
        <v>20012</v>
      </c>
      <c r="P2403" t="s">
        <v>20423</v>
      </c>
      <c r="Q2403" t="s">
        <v>20572</v>
      </c>
      <c r="R2403" t="s">
        <v>412</v>
      </c>
      <c r="S2403">
        <v>1481</v>
      </c>
    </row>
    <row r="2404" spans="1:19">
      <c r="A2404" t="s">
        <v>22</v>
      </c>
      <c r="B2404" t="s">
        <v>148</v>
      </c>
      <c r="C2404" t="s">
        <v>154</v>
      </c>
      <c r="D2404" t="s">
        <v>283</v>
      </c>
      <c r="E2404" t="s">
        <v>412</v>
      </c>
      <c r="F2404">
        <f>HYPERLINK("https://www.wikidata.org/wiki/Q16683492", "Q16683492")</f>
        <v>0</v>
      </c>
      <c r="G2404" t="s">
        <v>1901</v>
      </c>
      <c r="H2404" t="s">
        <v>6551</v>
      </c>
      <c r="I2404" t="s">
        <v>9991</v>
      </c>
      <c r="J2404" t="s">
        <v>12588</v>
      </c>
      <c r="K2404" t="s">
        <v>16999</v>
      </c>
      <c r="L2404">
        <f>HYPERLINK("https://www2.assemblee-nationale.fr/sycomore/fiche/(num_dept)/7004", "7004")</f>
        <v>0</v>
      </c>
      <c r="N2404">
        <f>HYPERLINK("https://www.wikidata.org/wiki/Q16026547", "Q16026547")</f>
        <v>0</v>
      </c>
      <c r="O2404" t="s">
        <v>19987</v>
      </c>
      <c r="P2404" t="s">
        <v>20423</v>
      </c>
      <c r="Q2404" t="s">
        <v>20572</v>
      </c>
      <c r="R2404" t="s">
        <v>412</v>
      </c>
      <c r="S2404">
        <v>1481</v>
      </c>
    </row>
    <row r="2405" spans="1:19">
      <c r="A2405" t="s">
        <v>22</v>
      </c>
      <c r="B2405" t="s">
        <v>148</v>
      </c>
      <c r="C2405" t="s">
        <v>154</v>
      </c>
      <c r="D2405" t="s">
        <v>283</v>
      </c>
      <c r="E2405" t="s">
        <v>412</v>
      </c>
      <c r="F2405">
        <f>HYPERLINK("https://www.wikidata.org/wiki/Q16683492", "Q16683492")</f>
        <v>0</v>
      </c>
      <c r="G2405" t="s">
        <v>1314</v>
      </c>
      <c r="H2405" t="s">
        <v>6035</v>
      </c>
      <c r="I2405" t="s">
        <v>9744</v>
      </c>
      <c r="J2405" t="s">
        <v>12044</v>
      </c>
      <c r="K2405" t="s">
        <v>16444</v>
      </c>
      <c r="L2405">
        <f>HYPERLINK("https://www2.assemblee-nationale.fr/sycomore/fiche/(num_dept)/7015", "7015")</f>
        <v>0</v>
      </c>
      <c r="N2405">
        <f>HYPERLINK("https://www.wikidata.org/wiki/Q14917779", "Q14917779")</f>
        <v>0</v>
      </c>
      <c r="O2405" t="s">
        <v>19994</v>
      </c>
      <c r="P2405" t="s">
        <v>20404</v>
      </c>
      <c r="Q2405" t="s">
        <v>20572</v>
      </c>
      <c r="R2405" t="s">
        <v>412</v>
      </c>
      <c r="S2405">
        <v>1481</v>
      </c>
    </row>
    <row r="2406" spans="1:19">
      <c r="A2406" t="s">
        <v>22</v>
      </c>
      <c r="B2406" t="s">
        <v>148</v>
      </c>
      <c r="C2406" t="s">
        <v>154</v>
      </c>
      <c r="D2406" t="s">
        <v>283</v>
      </c>
      <c r="E2406" t="s">
        <v>412</v>
      </c>
      <c r="F2406">
        <f>HYPERLINK("https://www.wikidata.org/wiki/Q16683492", "Q16683492")</f>
        <v>0</v>
      </c>
      <c r="G2406" t="s">
        <v>1060</v>
      </c>
      <c r="H2406" t="s">
        <v>5806</v>
      </c>
      <c r="I2406" t="s">
        <v>9646</v>
      </c>
      <c r="J2406" t="s">
        <v>11797</v>
      </c>
      <c r="K2406" t="s">
        <v>15936</v>
      </c>
      <c r="L2406">
        <f>HYPERLINK("https://www2.assemblee-nationale.fr/sycomore/fiche/(num_dept)/7019", "7019")</f>
        <v>0</v>
      </c>
      <c r="N2406">
        <f>HYPERLINK("https://www.wikidata.org/wiki/Q16026551", "Q16026551")</f>
        <v>0</v>
      </c>
      <c r="O2406" t="s">
        <v>8449</v>
      </c>
      <c r="P2406" t="s">
        <v>20417</v>
      </c>
      <c r="Q2406" t="s">
        <v>20572</v>
      </c>
      <c r="R2406" t="s">
        <v>15936</v>
      </c>
      <c r="S2406">
        <v>1221</v>
      </c>
    </row>
    <row r="2407" spans="1:19">
      <c r="A2407" t="s">
        <v>22</v>
      </c>
      <c r="B2407" t="s">
        <v>148</v>
      </c>
      <c r="C2407" t="s">
        <v>154</v>
      </c>
      <c r="D2407" t="s">
        <v>283</v>
      </c>
      <c r="E2407" t="s">
        <v>412</v>
      </c>
      <c r="F2407">
        <f>HYPERLINK("https://www.wikidata.org/wiki/Q16683492", "Q16683492")</f>
        <v>0</v>
      </c>
      <c r="G2407" t="s">
        <v>1902</v>
      </c>
      <c r="H2407" t="s">
        <v>5807</v>
      </c>
      <c r="I2407" t="s">
        <v>9992</v>
      </c>
      <c r="J2407" t="s">
        <v>12589</v>
      </c>
      <c r="K2407" t="s">
        <v>17000</v>
      </c>
      <c r="L2407">
        <f>HYPERLINK("https://www2.assemblee-nationale.fr/sycomore/fiche/(num_dept)/7039", "7039")</f>
        <v>0</v>
      </c>
      <c r="N2407">
        <f>HYPERLINK("https://www.wikidata.org/wiki/Q3155329", "Q3155329")</f>
        <v>0</v>
      </c>
      <c r="O2407" t="s">
        <v>19999</v>
      </c>
      <c r="P2407" t="s">
        <v>20404</v>
      </c>
      <c r="Q2407" t="s">
        <v>20572</v>
      </c>
      <c r="R2407" t="s">
        <v>412</v>
      </c>
      <c r="S2407">
        <v>1481</v>
      </c>
    </row>
    <row r="2408" spans="1:19">
      <c r="A2408" t="s">
        <v>22</v>
      </c>
      <c r="B2408" t="s">
        <v>148</v>
      </c>
      <c r="C2408" t="s">
        <v>154</v>
      </c>
      <c r="D2408" t="s">
        <v>283</v>
      </c>
      <c r="E2408" t="s">
        <v>412</v>
      </c>
      <c r="F2408">
        <f>HYPERLINK("https://www.wikidata.org/wiki/Q16683492", "Q16683492")</f>
        <v>0</v>
      </c>
      <c r="G2408" t="s">
        <v>818</v>
      </c>
      <c r="H2408" t="s">
        <v>5575</v>
      </c>
      <c r="I2408" t="s">
        <v>9470</v>
      </c>
      <c r="J2408" t="s">
        <v>11565</v>
      </c>
      <c r="K2408" t="s">
        <v>15969</v>
      </c>
      <c r="L2408">
        <f>HYPERLINK("https://www2.assemblee-nationale.fr/sycomore/fiche/(num_dept)/7055", "7055")</f>
        <v>0</v>
      </c>
      <c r="N2408">
        <f>HYPERLINK("https://www.wikidata.org/wiki/Q2246519", "Q2246519")</f>
        <v>0</v>
      </c>
      <c r="O2408" t="s">
        <v>20000</v>
      </c>
      <c r="P2408" t="s">
        <v>20401</v>
      </c>
      <c r="Q2408" t="s">
        <v>20572</v>
      </c>
      <c r="R2408" t="s">
        <v>412</v>
      </c>
      <c r="S2408">
        <v>1481</v>
      </c>
    </row>
    <row r="2409" spans="1:19">
      <c r="A2409" t="s">
        <v>22</v>
      </c>
      <c r="B2409" t="s">
        <v>148</v>
      </c>
      <c r="C2409" t="s">
        <v>154</v>
      </c>
      <c r="D2409" t="s">
        <v>283</v>
      </c>
      <c r="E2409" t="s">
        <v>412</v>
      </c>
      <c r="F2409">
        <f>HYPERLINK("https://www.wikidata.org/wiki/Q16683492", "Q16683492")</f>
        <v>0</v>
      </c>
      <c r="G2409" t="s">
        <v>1632</v>
      </c>
      <c r="H2409" t="s">
        <v>6317</v>
      </c>
      <c r="I2409" t="s">
        <v>6759</v>
      </c>
      <c r="J2409" t="s">
        <v>12339</v>
      </c>
      <c r="K2409" t="s">
        <v>16748</v>
      </c>
      <c r="L2409">
        <f>HYPERLINK("https://www2.assemblee-nationale.fr/sycomore/fiche/(num_dept)/7066", "7066")</f>
        <v>0</v>
      </c>
      <c r="M2409">
        <f>HYPERLINK("https://www.senat.fr/senateur-3eme-republique/thoumyre_robert1579r3.html", "thoumyre_robert1579r3")</f>
        <v>0</v>
      </c>
      <c r="N2409">
        <f>HYPERLINK("https://www.wikidata.org/wiki/Q3436407", "Q3436407")</f>
        <v>0</v>
      </c>
      <c r="O2409" t="s">
        <v>19978</v>
      </c>
      <c r="P2409" t="s">
        <v>20417</v>
      </c>
      <c r="Q2409" t="s">
        <v>20572</v>
      </c>
      <c r="R2409" t="s">
        <v>412</v>
      </c>
      <c r="S2409">
        <v>1481</v>
      </c>
    </row>
    <row r="2410" spans="1:19">
      <c r="A2410" t="s">
        <v>22</v>
      </c>
      <c r="B2410" t="s">
        <v>148</v>
      </c>
      <c r="C2410" t="s">
        <v>154</v>
      </c>
      <c r="D2410" t="s">
        <v>283</v>
      </c>
      <c r="E2410" t="s">
        <v>412</v>
      </c>
      <c r="F2410">
        <f>HYPERLINK("https://www.wikidata.org/wiki/Q16683492", "Q16683492")</f>
        <v>0</v>
      </c>
      <c r="G2410" t="s">
        <v>1903</v>
      </c>
      <c r="H2410" t="s">
        <v>6552</v>
      </c>
      <c r="I2410" t="s">
        <v>9375</v>
      </c>
      <c r="J2410" t="s">
        <v>12590</v>
      </c>
      <c r="K2410" t="s">
        <v>17001</v>
      </c>
      <c r="L2410">
        <f>HYPERLINK("https://www2.assemblee-nationale.fr/sycomore/fiche/(num_dept)/7068", "7068")</f>
        <v>0</v>
      </c>
      <c r="N2410">
        <f>HYPERLINK("https://www.wikidata.org/wiki/Q3580046", "Q3580046")</f>
        <v>0</v>
      </c>
      <c r="O2410" t="s">
        <v>19998</v>
      </c>
      <c r="P2410" t="s">
        <v>20422</v>
      </c>
      <c r="Q2410" t="s">
        <v>20572</v>
      </c>
      <c r="R2410" t="s">
        <v>412</v>
      </c>
      <c r="S2410">
        <v>1481</v>
      </c>
    </row>
    <row r="2411" spans="1:19">
      <c r="A2411" t="s">
        <v>22</v>
      </c>
      <c r="B2411" t="s">
        <v>148</v>
      </c>
      <c r="C2411" t="s">
        <v>154</v>
      </c>
      <c r="D2411" t="s">
        <v>283</v>
      </c>
      <c r="E2411" t="s">
        <v>412</v>
      </c>
      <c r="F2411">
        <f>HYPERLINK("https://www.wikidata.org/wiki/Q16683492", "Q16683492")</f>
        <v>0</v>
      </c>
      <c r="G2411" t="s">
        <v>1904</v>
      </c>
      <c r="H2411" t="s">
        <v>6553</v>
      </c>
      <c r="I2411" t="s">
        <v>9993</v>
      </c>
      <c r="J2411" t="s">
        <v>12591</v>
      </c>
      <c r="K2411" t="s">
        <v>17002</v>
      </c>
      <c r="L2411">
        <f>HYPERLINK("https://www2.assemblee-nationale.fr/sycomore/fiche/(num_dept)/7077", "7077")</f>
        <v>0</v>
      </c>
      <c r="N2411">
        <f>HYPERLINK("https://www.wikidata.org/wiki/Q3060191", "Q3060191")</f>
        <v>0</v>
      </c>
      <c r="O2411" t="s">
        <v>19978</v>
      </c>
      <c r="P2411" t="s">
        <v>20404</v>
      </c>
      <c r="Q2411" t="s">
        <v>20572</v>
      </c>
      <c r="R2411" t="s">
        <v>412</v>
      </c>
      <c r="S2411">
        <v>1481</v>
      </c>
    </row>
    <row r="2412" spans="1:19">
      <c r="A2412" t="s">
        <v>22</v>
      </c>
      <c r="B2412" t="s">
        <v>148</v>
      </c>
      <c r="C2412" t="s">
        <v>154</v>
      </c>
      <c r="D2412" t="s">
        <v>283</v>
      </c>
      <c r="E2412" t="s">
        <v>412</v>
      </c>
      <c r="F2412">
        <f>HYPERLINK("https://www.wikidata.org/wiki/Q16683492", "Q16683492")</f>
        <v>0</v>
      </c>
      <c r="G2412" t="s">
        <v>1634</v>
      </c>
      <c r="H2412" t="s">
        <v>6319</v>
      </c>
      <c r="I2412" t="s">
        <v>9865</v>
      </c>
      <c r="J2412" t="s">
        <v>12341</v>
      </c>
      <c r="K2412" t="s">
        <v>16724</v>
      </c>
      <c r="L2412">
        <f>HYPERLINK("https://www2.assemblee-nationale.fr/sycomore/fiche/(num_dept)/7080", "7080")</f>
        <v>0</v>
      </c>
      <c r="N2412">
        <f>HYPERLINK("https://www.wikidata.org/wiki/Q3175732", "Q3175732")</f>
        <v>0</v>
      </c>
      <c r="O2412" t="s">
        <v>19972</v>
      </c>
      <c r="P2412" t="s">
        <v>20422</v>
      </c>
      <c r="Q2412" t="s">
        <v>20572</v>
      </c>
      <c r="R2412" t="s">
        <v>412</v>
      </c>
      <c r="S2412">
        <v>1481</v>
      </c>
    </row>
    <row r="2413" spans="1:19">
      <c r="A2413" t="s">
        <v>22</v>
      </c>
      <c r="B2413" t="s">
        <v>148</v>
      </c>
      <c r="C2413" t="s">
        <v>154</v>
      </c>
      <c r="D2413" t="s">
        <v>283</v>
      </c>
      <c r="E2413" t="s">
        <v>412</v>
      </c>
      <c r="F2413">
        <f>HYPERLINK("https://www.wikidata.org/wiki/Q16683492", "Q16683492")</f>
        <v>0</v>
      </c>
      <c r="G2413" t="s">
        <v>1637</v>
      </c>
      <c r="H2413" t="s">
        <v>6322</v>
      </c>
      <c r="I2413" t="s">
        <v>9867</v>
      </c>
      <c r="J2413" t="s">
        <v>12344</v>
      </c>
      <c r="K2413" t="s">
        <v>16751</v>
      </c>
      <c r="L2413">
        <f>HYPERLINK("https://www2.assemblee-nationale.fr/sycomore/fiche/(num_dept)/7128", "7128")</f>
        <v>0</v>
      </c>
      <c r="N2413">
        <f>HYPERLINK("https://www.wikidata.org/wiki/Q2828093", "Q2828093")</f>
        <v>0</v>
      </c>
      <c r="O2413" t="s">
        <v>19982</v>
      </c>
      <c r="P2413" t="s">
        <v>20401</v>
      </c>
      <c r="Q2413" t="s">
        <v>20572</v>
      </c>
      <c r="R2413" t="s">
        <v>412</v>
      </c>
      <c r="S2413">
        <v>1481</v>
      </c>
    </row>
    <row r="2414" spans="1:19">
      <c r="A2414" t="s">
        <v>22</v>
      </c>
      <c r="B2414" t="s">
        <v>148</v>
      </c>
      <c r="C2414" t="s">
        <v>154</v>
      </c>
      <c r="D2414" t="s">
        <v>283</v>
      </c>
      <c r="E2414" t="s">
        <v>412</v>
      </c>
      <c r="F2414">
        <f>HYPERLINK("https://www.wikidata.org/wiki/Q16683492", "Q16683492")</f>
        <v>0</v>
      </c>
      <c r="G2414" t="s">
        <v>1905</v>
      </c>
      <c r="H2414" t="s">
        <v>6554</v>
      </c>
      <c r="I2414" t="s">
        <v>9994</v>
      </c>
      <c r="J2414" t="s">
        <v>12592</v>
      </c>
      <c r="K2414" t="s">
        <v>17003</v>
      </c>
      <c r="L2414">
        <f>HYPERLINK("https://www2.assemblee-nationale.fr/sycomore/fiche/(num_dept)/7144", "7144")</f>
        <v>0</v>
      </c>
      <c r="N2414">
        <f>HYPERLINK("https://www.wikidata.org/wiki/Q3387181", "Q3387181")</f>
        <v>0</v>
      </c>
      <c r="O2414" t="s">
        <v>20011</v>
      </c>
      <c r="P2414" t="s">
        <v>20426</v>
      </c>
      <c r="Q2414" t="s">
        <v>20572</v>
      </c>
      <c r="R2414" t="s">
        <v>412</v>
      </c>
      <c r="S2414">
        <v>1481</v>
      </c>
    </row>
    <row r="2415" spans="1:19">
      <c r="A2415" t="s">
        <v>22</v>
      </c>
      <c r="B2415" t="s">
        <v>148</v>
      </c>
      <c r="C2415" t="s">
        <v>154</v>
      </c>
      <c r="D2415" t="s">
        <v>283</v>
      </c>
      <c r="E2415" t="s">
        <v>412</v>
      </c>
      <c r="F2415">
        <f>HYPERLINK("https://www.wikidata.org/wiki/Q16683492", "Q16683492")</f>
        <v>0</v>
      </c>
      <c r="G2415" t="s">
        <v>1906</v>
      </c>
      <c r="H2415" t="s">
        <v>6555</v>
      </c>
      <c r="I2415" t="s">
        <v>6860</v>
      </c>
      <c r="J2415" t="s">
        <v>11486</v>
      </c>
      <c r="K2415" t="s">
        <v>17004</v>
      </c>
      <c r="L2415">
        <f>HYPERLINK("https://www2.assemblee-nationale.fr/sycomore/fiche/(num_dept)/7148", "7148")</f>
        <v>0</v>
      </c>
      <c r="N2415">
        <f>HYPERLINK("https://www.wikidata.org/wiki/Q16026568", "Q16026568")</f>
        <v>0</v>
      </c>
      <c r="O2415" t="s">
        <v>19966</v>
      </c>
      <c r="P2415" t="s">
        <v>20423</v>
      </c>
      <c r="Q2415" t="s">
        <v>20572</v>
      </c>
      <c r="R2415" t="s">
        <v>412</v>
      </c>
      <c r="S2415">
        <v>1481</v>
      </c>
    </row>
    <row r="2416" spans="1:19">
      <c r="A2416" t="s">
        <v>22</v>
      </c>
      <c r="B2416" t="s">
        <v>148</v>
      </c>
      <c r="C2416" t="s">
        <v>154</v>
      </c>
      <c r="D2416" t="s">
        <v>283</v>
      </c>
      <c r="E2416" t="s">
        <v>412</v>
      </c>
      <c r="F2416">
        <f>HYPERLINK("https://www.wikidata.org/wiki/Q16683492", "Q16683492")</f>
        <v>0</v>
      </c>
      <c r="G2416" t="s">
        <v>1907</v>
      </c>
      <c r="H2416" t="s">
        <v>6556</v>
      </c>
      <c r="I2416" t="s">
        <v>9457</v>
      </c>
      <c r="J2416" t="s">
        <v>12593</v>
      </c>
      <c r="K2416" t="s">
        <v>17005</v>
      </c>
      <c r="L2416">
        <f>HYPERLINK("https://www2.assemblee-nationale.fr/sycomore/fiche/(num_dept)/7150", "7150")</f>
        <v>0</v>
      </c>
      <c r="N2416">
        <f>HYPERLINK("https://www.wikidata.org/wiki/Q3132090", "Q3132090")</f>
        <v>0</v>
      </c>
      <c r="O2416" t="s">
        <v>19971</v>
      </c>
      <c r="P2416" t="s">
        <v>20425</v>
      </c>
      <c r="Q2416" t="s">
        <v>20572</v>
      </c>
      <c r="R2416" t="s">
        <v>412</v>
      </c>
      <c r="S2416">
        <v>1481</v>
      </c>
    </row>
    <row r="2417" spans="1:19">
      <c r="A2417" t="s">
        <v>22</v>
      </c>
      <c r="B2417" t="s">
        <v>148</v>
      </c>
      <c r="C2417" t="s">
        <v>154</v>
      </c>
      <c r="D2417" t="s">
        <v>283</v>
      </c>
      <c r="E2417" t="s">
        <v>412</v>
      </c>
      <c r="F2417">
        <f>HYPERLINK("https://www.wikidata.org/wiki/Q16683492", "Q16683492")</f>
        <v>0</v>
      </c>
      <c r="G2417" t="s">
        <v>1639</v>
      </c>
      <c r="H2417" t="s">
        <v>6324</v>
      </c>
      <c r="I2417" t="s">
        <v>9449</v>
      </c>
      <c r="J2417" t="s">
        <v>12346</v>
      </c>
      <c r="K2417" t="s">
        <v>16753</v>
      </c>
      <c r="L2417">
        <f>HYPERLINK("https://www2.assemblee-nationale.fr/sycomore/fiche/(num_dept)/7184", "7184")</f>
        <v>0</v>
      </c>
      <c r="N2417">
        <f>HYPERLINK("https://www.wikidata.org/wiki/Q3188949", "Q3188949")</f>
        <v>0</v>
      </c>
      <c r="O2417" t="s">
        <v>19989</v>
      </c>
      <c r="P2417" t="s">
        <v>20404</v>
      </c>
      <c r="Q2417" t="s">
        <v>20572</v>
      </c>
      <c r="R2417" t="s">
        <v>412</v>
      </c>
      <c r="S2417">
        <v>1481</v>
      </c>
    </row>
    <row r="2418" spans="1:19">
      <c r="A2418" t="s">
        <v>22</v>
      </c>
      <c r="B2418" t="s">
        <v>148</v>
      </c>
      <c r="C2418" t="s">
        <v>154</v>
      </c>
      <c r="D2418" t="s">
        <v>283</v>
      </c>
      <c r="E2418" t="s">
        <v>412</v>
      </c>
      <c r="F2418">
        <f>HYPERLINK("https://www.wikidata.org/wiki/Q16683492", "Q16683492")</f>
        <v>0</v>
      </c>
      <c r="G2418" t="s">
        <v>1316</v>
      </c>
      <c r="H2418" t="s">
        <v>6036</v>
      </c>
      <c r="I2418" t="s">
        <v>9746</v>
      </c>
      <c r="J2418" t="s">
        <v>12046</v>
      </c>
      <c r="K2418" t="s">
        <v>16446</v>
      </c>
      <c r="L2418">
        <f>HYPERLINK("https://www2.assemblee-nationale.fr/sycomore/fiche/(num_dept)/7210", "7210")</f>
        <v>0</v>
      </c>
      <c r="N2418">
        <f>HYPERLINK("https://www.wikidata.org/wiki/Q1247638", "Q1247638")</f>
        <v>0</v>
      </c>
      <c r="O2418" t="s">
        <v>20005</v>
      </c>
      <c r="P2418" t="s">
        <v>20404</v>
      </c>
      <c r="Q2418" t="s">
        <v>20572</v>
      </c>
      <c r="R2418" t="s">
        <v>412</v>
      </c>
      <c r="S2418">
        <v>1481</v>
      </c>
    </row>
    <row r="2419" spans="1:19">
      <c r="A2419" t="s">
        <v>22</v>
      </c>
      <c r="B2419" t="s">
        <v>148</v>
      </c>
      <c r="C2419" t="s">
        <v>154</v>
      </c>
      <c r="D2419" t="s">
        <v>283</v>
      </c>
      <c r="E2419" t="s">
        <v>412</v>
      </c>
      <c r="F2419">
        <f>HYPERLINK("https://www.wikidata.org/wiki/Q16683492", "Q16683492")</f>
        <v>0</v>
      </c>
      <c r="G2419" t="s">
        <v>823</v>
      </c>
      <c r="H2419" t="s">
        <v>5580</v>
      </c>
      <c r="I2419" t="s">
        <v>7642</v>
      </c>
      <c r="J2419" t="s">
        <v>11570</v>
      </c>
      <c r="K2419" t="s">
        <v>15973</v>
      </c>
      <c r="L2419">
        <f>HYPERLINK("https://www2.assemblee-nationale.fr/sycomore/fiche/(num_dept)/7238", "7238")</f>
        <v>0</v>
      </c>
      <c r="M2419">
        <f>HYPERLINK("https://www.senat.fr/senateur-3eme-republique/viollette_maurice0773r3.html", "viollette_maurice0773r3")</f>
        <v>0</v>
      </c>
      <c r="N2419">
        <f>HYPERLINK("https://www.wikidata.org/wiki/Q3301513", "Q3301513")</f>
        <v>0</v>
      </c>
      <c r="O2419" t="s">
        <v>19971</v>
      </c>
      <c r="P2419" t="s">
        <v>20423</v>
      </c>
      <c r="Q2419" t="s">
        <v>20572</v>
      </c>
      <c r="R2419" t="s">
        <v>412</v>
      </c>
      <c r="S2419">
        <v>1481</v>
      </c>
    </row>
    <row r="2420" spans="1:19">
      <c r="A2420" t="s">
        <v>22</v>
      </c>
      <c r="B2420" t="s">
        <v>148</v>
      </c>
      <c r="C2420" t="s">
        <v>154</v>
      </c>
      <c r="D2420" t="s">
        <v>283</v>
      </c>
      <c r="E2420" t="s">
        <v>412</v>
      </c>
      <c r="F2420">
        <f>HYPERLINK("https://www.wikidata.org/wiki/Q16683492", "Q16683492")</f>
        <v>0</v>
      </c>
      <c r="G2420" t="s">
        <v>1208</v>
      </c>
      <c r="H2420" t="s">
        <v>5936</v>
      </c>
      <c r="I2420" t="s">
        <v>6200</v>
      </c>
      <c r="J2420" t="s">
        <v>11940</v>
      </c>
      <c r="K2420" t="s">
        <v>16342</v>
      </c>
      <c r="L2420">
        <f>HYPERLINK("https://www2.assemblee-nationale.fr/sycomore/fiche/(num_dept)/7299", "7299")</f>
        <v>0</v>
      </c>
      <c r="N2420">
        <f>HYPERLINK("https://www.wikidata.org/wiki/Q2624477", "Q2624477")</f>
        <v>0</v>
      </c>
      <c r="O2420" t="s">
        <v>19970</v>
      </c>
      <c r="P2420" t="s">
        <v>20422</v>
      </c>
      <c r="Q2420" t="s">
        <v>20572</v>
      </c>
      <c r="R2420" t="s">
        <v>412</v>
      </c>
      <c r="S2420">
        <v>1481</v>
      </c>
    </row>
    <row r="2421" spans="1:19">
      <c r="A2421" t="s">
        <v>22</v>
      </c>
      <c r="B2421" t="s">
        <v>148</v>
      </c>
      <c r="C2421" t="s">
        <v>154</v>
      </c>
      <c r="D2421" t="s">
        <v>283</v>
      </c>
      <c r="E2421" t="s">
        <v>412</v>
      </c>
      <c r="F2421">
        <f>HYPERLINK("https://www.wikidata.org/wiki/Q16683492", "Q16683492")</f>
        <v>0</v>
      </c>
      <c r="G2421" t="s">
        <v>1642</v>
      </c>
      <c r="H2421" t="s">
        <v>5815</v>
      </c>
      <c r="I2421" t="s">
        <v>6941</v>
      </c>
      <c r="J2421" t="s">
        <v>12349</v>
      </c>
      <c r="K2421" t="s">
        <v>16756</v>
      </c>
      <c r="L2421">
        <f>HYPERLINK("https://www2.assemblee-nationale.fr/sycomore/fiche/(num_dept)/7300", "7300")</f>
        <v>0</v>
      </c>
      <c r="N2421">
        <f>HYPERLINK("https://www.wikidata.org/wiki/Q3311115", "Q3311115")</f>
        <v>0</v>
      </c>
      <c r="O2421" t="s">
        <v>20048</v>
      </c>
      <c r="P2421" t="s">
        <v>20426</v>
      </c>
      <c r="Q2421" t="s">
        <v>20572</v>
      </c>
      <c r="R2421" t="s">
        <v>412</v>
      </c>
      <c r="S2421">
        <v>1481</v>
      </c>
    </row>
    <row r="2422" spans="1:19">
      <c r="A2422" t="s">
        <v>22</v>
      </c>
      <c r="B2422" t="s">
        <v>148</v>
      </c>
      <c r="C2422" t="s">
        <v>154</v>
      </c>
      <c r="D2422" t="s">
        <v>283</v>
      </c>
      <c r="E2422" t="s">
        <v>412</v>
      </c>
      <c r="F2422">
        <f>HYPERLINK("https://www.wikidata.org/wiki/Q16683492", "Q16683492")</f>
        <v>0</v>
      </c>
      <c r="G2422" t="s">
        <v>1643</v>
      </c>
      <c r="H2422" t="s">
        <v>6327</v>
      </c>
      <c r="I2422" t="s">
        <v>9869</v>
      </c>
      <c r="J2422" t="s">
        <v>12350</v>
      </c>
      <c r="K2422" t="s">
        <v>16757</v>
      </c>
      <c r="L2422">
        <f>HYPERLINK("https://www2.assemblee-nationale.fr/sycomore/fiche/(num_dept)/7302", "7302")</f>
        <v>0</v>
      </c>
      <c r="N2422">
        <f>HYPERLINK("https://www.wikidata.org/wiki/Q3372335", "Q3372335")</f>
        <v>0</v>
      </c>
      <c r="O2422" t="s">
        <v>19969</v>
      </c>
      <c r="P2422" t="s">
        <v>20424</v>
      </c>
      <c r="Q2422" t="s">
        <v>20572</v>
      </c>
      <c r="R2422" t="s">
        <v>412</v>
      </c>
      <c r="S2422">
        <v>1481</v>
      </c>
    </row>
    <row r="2423" spans="1:19">
      <c r="A2423" t="s">
        <v>22</v>
      </c>
      <c r="B2423" t="s">
        <v>148</v>
      </c>
      <c r="C2423" t="s">
        <v>154</v>
      </c>
      <c r="D2423" t="s">
        <v>283</v>
      </c>
      <c r="E2423" t="s">
        <v>412</v>
      </c>
      <c r="F2423">
        <f>HYPERLINK("https://www.wikidata.org/wiki/Q16683492", "Q16683492")</f>
        <v>0</v>
      </c>
      <c r="G2423" t="s">
        <v>1317</v>
      </c>
      <c r="H2423" t="s">
        <v>6037</v>
      </c>
      <c r="I2423" t="s">
        <v>9747</v>
      </c>
      <c r="J2423" t="s">
        <v>12047</v>
      </c>
      <c r="K2423" t="s">
        <v>16447</v>
      </c>
      <c r="L2423">
        <f>HYPERLINK("https://www2.assemblee-nationale.fr/sycomore/fiche/(num_dept)/7304", "7304")</f>
        <v>0</v>
      </c>
      <c r="N2423">
        <f>HYPERLINK("https://www.wikidata.org/wiki/Q3460596", "Q3460596")</f>
        <v>0</v>
      </c>
      <c r="O2423" t="s">
        <v>19977</v>
      </c>
      <c r="P2423" t="s">
        <v>20404</v>
      </c>
      <c r="Q2423" t="s">
        <v>20572</v>
      </c>
      <c r="R2423" t="s">
        <v>412</v>
      </c>
      <c r="S2423">
        <v>1481</v>
      </c>
    </row>
    <row r="2424" spans="1:19">
      <c r="A2424" t="s">
        <v>22</v>
      </c>
      <c r="B2424" t="s">
        <v>148</v>
      </c>
      <c r="C2424" t="s">
        <v>154</v>
      </c>
      <c r="D2424" t="s">
        <v>283</v>
      </c>
      <c r="E2424" t="s">
        <v>412</v>
      </c>
      <c r="F2424">
        <f>HYPERLINK("https://www.wikidata.org/wiki/Q16683492", "Q16683492")</f>
        <v>0</v>
      </c>
      <c r="G2424" t="s">
        <v>1908</v>
      </c>
      <c r="H2424" t="s">
        <v>6330</v>
      </c>
      <c r="I2424" t="s">
        <v>9407</v>
      </c>
      <c r="J2424" t="s">
        <v>12594</v>
      </c>
      <c r="K2424" t="s">
        <v>17006</v>
      </c>
      <c r="L2424">
        <f>HYPERLINK("https://www2.assemblee-nationale.fr/sycomore/fiche/(num_dept)/7332", "7332")</f>
        <v>0</v>
      </c>
      <c r="N2424">
        <f>HYPERLINK("https://www.wikidata.org/wiki/Q1708140", "Q1708140")</f>
        <v>0</v>
      </c>
      <c r="O2424" t="s">
        <v>19990</v>
      </c>
      <c r="P2424" t="s">
        <v>20417</v>
      </c>
      <c r="Q2424" t="s">
        <v>20572</v>
      </c>
      <c r="R2424" t="s">
        <v>412</v>
      </c>
      <c r="S2424">
        <v>1481</v>
      </c>
    </row>
    <row r="2425" spans="1:19">
      <c r="A2425" t="s">
        <v>22</v>
      </c>
      <c r="B2425" t="s">
        <v>148</v>
      </c>
      <c r="C2425" t="s">
        <v>154</v>
      </c>
      <c r="D2425" t="s">
        <v>283</v>
      </c>
      <c r="E2425" t="s">
        <v>412</v>
      </c>
      <c r="F2425">
        <f>HYPERLINK("https://www.wikidata.org/wiki/Q16683492", "Q16683492")</f>
        <v>0</v>
      </c>
      <c r="G2425" t="s">
        <v>1066</v>
      </c>
      <c r="H2425" t="s">
        <v>5812</v>
      </c>
      <c r="I2425" t="s">
        <v>9652</v>
      </c>
      <c r="J2425" t="s">
        <v>11803</v>
      </c>
      <c r="K2425" t="s">
        <v>16203</v>
      </c>
      <c r="L2425">
        <f>HYPERLINK("https://www2.assemblee-nationale.fr/sycomore/fiche/(num_dept)/7333", "7333")</f>
        <v>0</v>
      </c>
      <c r="M2425">
        <f>HYPERLINK("https://www.senat.fr/senateur-3eme-republique/vincent_emile0534r3.html", "vincent_emile0534r3")</f>
        <v>0</v>
      </c>
      <c r="N2425">
        <f>HYPERLINK("https://www.wikidata.org/wiki/Q3588785", "Q3588785")</f>
        <v>0</v>
      </c>
      <c r="O2425" t="s">
        <v>20002</v>
      </c>
      <c r="P2425" t="s">
        <v>20401</v>
      </c>
      <c r="Q2425" t="s">
        <v>20572</v>
      </c>
      <c r="R2425" t="s">
        <v>412</v>
      </c>
      <c r="S2425">
        <v>1481</v>
      </c>
    </row>
    <row r="2426" spans="1:19">
      <c r="A2426" t="s">
        <v>22</v>
      </c>
      <c r="B2426" t="s">
        <v>148</v>
      </c>
      <c r="C2426" t="s">
        <v>154</v>
      </c>
      <c r="D2426" t="s">
        <v>283</v>
      </c>
      <c r="E2426" t="s">
        <v>412</v>
      </c>
      <c r="F2426">
        <f>HYPERLINK("https://www.wikidata.org/wiki/Q16683492", "Q16683492")</f>
        <v>0</v>
      </c>
      <c r="G2426" t="s">
        <v>1209</v>
      </c>
      <c r="H2426" t="s">
        <v>5937</v>
      </c>
      <c r="I2426" t="s">
        <v>6166</v>
      </c>
      <c r="J2426" t="s">
        <v>11941</v>
      </c>
      <c r="K2426" t="s">
        <v>16343</v>
      </c>
      <c r="L2426">
        <f>HYPERLINK("https://www2.assemblee-nationale.fr/sycomore/fiche/(num_dept)/7335", "7335")</f>
        <v>0</v>
      </c>
      <c r="M2426">
        <f>HYPERLINK("https://www.senat.fr/senateur-3eme-republique/de_wendel_francois0946r3.html", "de_wendel_francois0946r3")</f>
        <v>0</v>
      </c>
      <c r="N2426">
        <f>HYPERLINK("https://www.wikidata.org/wiki/Q3086338", "Q3086338")</f>
        <v>0</v>
      </c>
      <c r="O2426" t="s">
        <v>20007</v>
      </c>
      <c r="P2426" t="s">
        <v>20422</v>
      </c>
      <c r="Q2426" t="s">
        <v>20572</v>
      </c>
      <c r="R2426" t="s">
        <v>412</v>
      </c>
      <c r="S2426">
        <v>1481</v>
      </c>
    </row>
    <row r="2427" spans="1:19">
      <c r="A2427" t="s">
        <v>22</v>
      </c>
      <c r="B2427" t="s">
        <v>148</v>
      </c>
      <c r="C2427" t="s">
        <v>154</v>
      </c>
      <c r="D2427" t="s">
        <v>283</v>
      </c>
      <c r="E2427" t="s">
        <v>412</v>
      </c>
      <c r="F2427">
        <f>HYPERLINK("https://www.wikidata.org/wiki/Q16683492", "Q16683492")</f>
        <v>0</v>
      </c>
      <c r="G2427" t="s">
        <v>1909</v>
      </c>
      <c r="H2427" t="s">
        <v>6557</v>
      </c>
      <c r="I2427" t="s">
        <v>6175</v>
      </c>
      <c r="J2427" t="s">
        <v>12595</v>
      </c>
      <c r="K2427" t="s">
        <v>17007</v>
      </c>
      <c r="L2427">
        <f>HYPERLINK("https://www2.assemblee-nationale.fr/sycomore/fiche/(num_dept)/7339", "7339")</f>
        <v>0</v>
      </c>
      <c r="N2427">
        <f>HYPERLINK("https://www.wikidata.org/wiki/Q111836", "Q111836")</f>
        <v>0</v>
      </c>
      <c r="O2427" t="s">
        <v>20048</v>
      </c>
      <c r="P2427" t="s">
        <v>20404</v>
      </c>
      <c r="Q2427" t="s">
        <v>20572</v>
      </c>
      <c r="R2427" t="s">
        <v>412</v>
      </c>
      <c r="S2427">
        <v>1481</v>
      </c>
    </row>
    <row r="2428" spans="1:19">
      <c r="A2428" t="s">
        <v>22</v>
      </c>
      <c r="B2428" t="s">
        <v>148</v>
      </c>
      <c r="C2428" t="s">
        <v>154</v>
      </c>
      <c r="D2428" t="s">
        <v>283</v>
      </c>
      <c r="E2428" t="s">
        <v>412</v>
      </c>
      <c r="F2428">
        <f>HYPERLINK("https://www.wikidata.org/wiki/Q16683492", "Q16683492")</f>
        <v>0</v>
      </c>
      <c r="G2428" t="s">
        <v>824</v>
      </c>
      <c r="H2428" t="s">
        <v>5581</v>
      </c>
      <c r="I2428" t="s">
        <v>5349</v>
      </c>
      <c r="J2428" t="s">
        <v>11571</v>
      </c>
      <c r="K2428" t="s">
        <v>15947</v>
      </c>
      <c r="L2428">
        <f>HYPERLINK("https://www2.assemblee-nationale.fr/sycomore/fiche/(num_dept)/7341", "7341")</f>
        <v>0</v>
      </c>
      <c r="N2428">
        <f>HYPERLINK("https://www.wikidata.org/wiki/Q2994900", "Q2994900")</f>
        <v>0</v>
      </c>
      <c r="O2428" t="s">
        <v>20017</v>
      </c>
      <c r="P2428" t="s">
        <v>20401</v>
      </c>
      <c r="Q2428" t="s">
        <v>20572</v>
      </c>
      <c r="R2428" t="s">
        <v>412</v>
      </c>
      <c r="S2428">
        <v>1481</v>
      </c>
    </row>
    <row r="2429" spans="1:19">
      <c r="A2429" t="s">
        <v>22</v>
      </c>
      <c r="B2429" t="s">
        <v>148</v>
      </c>
      <c r="C2429" t="s">
        <v>154</v>
      </c>
      <c r="D2429" t="s">
        <v>283</v>
      </c>
      <c r="E2429" t="s">
        <v>412</v>
      </c>
      <c r="F2429">
        <f>HYPERLINK("https://www.wikidata.org/wiki/Q16683492", "Q16683492")</f>
        <v>0</v>
      </c>
      <c r="G2429" t="s">
        <v>1644</v>
      </c>
      <c r="H2429" t="s">
        <v>6328</v>
      </c>
      <c r="I2429" t="s">
        <v>9870</v>
      </c>
      <c r="J2429" t="s">
        <v>12351</v>
      </c>
      <c r="K2429" t="s">
        <v>16758</v>
      </c>
      <c r="L2429">
        <f>HYPERLINK("https://www2.assemblee-nationale.fr/sycomore/fiche/(num_dept)/7342", "7342")</f>
        <v>0</v>
      </c>
      <c r="N2429">
        <f>HYPERLINK("https://www.wikidata.org/wiki/Q3580086", "Q3580086")</f>
        <v>0</v>
      </c>
      <c r="O2429" t="s">
        <v>20007</v>
      </c>
      <c r="P2429" t="s">
        <v>20422</v>
      </c>
      <c r="Q2429" t="s">
        <v>20572</v>
      </c>
      <c r="R2429" t="s">
        <v>412</v>
      </c>
      <c r="S2429">
        <v>1481</v>
      </c>
    </row>
    <row r="2430" spans="1:19">
      <c r="A2430" t="s">
        <v>22</v>
      </c>
      <c r="B2430" t="s">
        <v>148</v>
      </c>
      <c r="C2430" t="s">
        <v>154</v>
      </c>
      <c r="D2430" t="s">
        <v>283</v>
      </c>
      <c r="E2430" t="s">
        <v>412</v>
      </c>
      <c r="F2430">
        <f>HYPERLINK("https://www.wikidata.org/wiki/Q16683492", "Q16683492")</f>
        <v>0</v>
      </c>
      <c r="G2430" t="s">
        <v>1910</v>
      </c>
      <c r="H2430" t="s">
        <v>6558</v>
      </c>
      <c r="I2430" t="s">
        <v>9995</v>
      </c>
      <c r="J2430" t="s">
        <v>12596</v>
      </c>
      <c r="K2430" t="s">
        <v>17008</v>
      </c>
      <c r="L2430">
        <f>HYPERLINK("https://www2.assemblee-nationale.fr/sycomore/fiche/(num_dept)/7353", "7353")</f>
        <v>0</v>
      </c>
      <c r="M2430">
        <f>HYPERLINK("https://www.senat.fr/senateur-3eme-republique/villemant_emile0039r3.html", "villemant_emile0039r3")</f>
        <v>0</v>
      </c>
      <c r="N2430">
        <f>HYPERLINK("https://www.wikidata.org/wiki/Q3588784", "Q3588784")</f>
        <v>0</v>
      </c>
      <c r="O2430" t="s">
        <v>20015</v>
      </c>
      <c r="P2430" t="s">
        <v>20422</v>
      </c>
      <c r="Q2430" t="s">
        <v>20572</v>
      </c>
      <c r="R2430" t="s">
        <v>412</v>
      </c>
      <c r="S2430">
        <v>1481</v>
      </c>
    </row>
    <row r="2431" spans="1:19">
      <c r="A2431" t="s">
        <v>22</v>
      </c>
      <c r="B2431" t="s">
        <v>148</v>
      </c>
      <c r="C2431" t="s">
        <v>154</v>
      </c>
      <c r="D2431" t="s">
        <v>283</v>
      </c>
      <c r="E2431" t="s">
        <v>412</v>
      </c>
      <c r="F2431">
        <f>HYPERLINK("https://www.wikidata.org/wiki/Q16683492", "Q16683492")</f>
        <v>0</v>
      </c>
      <c r="G2431" t="s">
        <v>1645</v>
      </c>
      <c r="H2431" t="s">
        <v>6329</v>
      </c>
      <c r="I2431" t="s">
        <v>6860</v>
      </c>
      <c r="J2431" t="s">
        <v>12352</v>
      </c>
      <c r="K2431" t="s">
        <v>16759</v>
      </c>
      <c r="L2431">
        <f>HYPERLINK("https://www2.assemblee-nationale.fr/sycomore/fiche/(num_dept)/7356", "7356")</f>
        <v>0</v>
      </c>
      <c r="N2431">
        <f>HYPERLINK("https://www.wikidata.org/wiki/Q3387230", "Q3387230")</f>
        <v>0</v>
      </c>
      <c r="O2431" t="s">
        <v>19996</v>
      </c>
      <c r="P2431" t="s">
        <v>20423</v>
      </c>
      <c r="Q2431" t="s">
        <v>20572</v>
      </c>
      <c r="R2431" t="s">
        <v>412</v>
      </c>
      <c r="S2431">
        <v>1481</v>
      </c>
    </row>
    <row r="2432" spans="1:19">
      <c r="A2432" t="s">
        <v>22</v>
      </c>
      <c r="B2432" t="s">
        <v>148</v>
      </c>
      <c r="C2432" t="s">
        <v>154</v>
      </c>
      <c r="D2432" t="s">
        <v>283</v>
      </c>
      <c r="E2432" t="s">
        <v>412</v>
      </c>
      <c r="F2432">
        <f>HYPERLINK("https://www.wikidata.org/wiki/Q16683492", "Q16683492")</f>
        <v>0</v>
      </c>
      <c r="G2432" t="s">
        <v>1911</v>
      </c>
      <c r="H2432" t="s">
        <v>6559</v>
      </c>
      <c r="I2432" t="s">
        <v>7790</v>
      </c>
      <c r="J2432" t="s">
        <v>12597</v>
      </c>
      <c r="K2432" t="s">
        <v>17009</v>
      </c>
      <c r="L2432">
        <f>HYPERLINK("https://www2.assemblee-nationale.fr/sycomore/fiche/(num_dept)/7357", "7357")</f>
        <v>0</v>
      </c>
      <c r="N2432">
        <f>HYPERLINK("https://www.wikidata.org/wiki/Q2861993", "Q2861993")</f>
        <v>0</v>
      </c>
      <c r="O2432" t="s">
        <v>19964</v>
      </c>
      <c r="P2432" t="s">
        <v>20417</v>
      </c>
      <c r="Q2432" t="s">
        <v>20572</v>
      </c>
      <c r="R2432" t="s">
        <v>412</v>
      </c>
      <c r="S2432">
        <v>1481</v>
      </c>
    </row>
    <row r="2433" spans="1:19">
      <c r="A2433" t="s">
        <v>22</v>
      </c>
      <c r="B2433" t="s">
        <v>148</v>
      </c>
      <c r="C2433" t="s">
        <v>154</v>
      </c>
      <c r="D2433" t="s">
        <v>283</v>
      </c>
      <c r="E2433" t="s">
        <v>412</v>
      </c>
      <c r="F2433">
        <f>HYPERLINK("https://www.wikidata.org/wiki/Q16683492", "Q16683492")</f>
        <v>0</v>
      </c>
      <c r="G2433" t="s">
        <v>825</v>
      </c>
      <c r="H2433" t="s">
        <v>5582</v>
      </c>
      <c r="I2433" t="s">
        <v>6200</v>
      </c>
      <c r="J2433" t="s">
        <v>11572</v>
      </c>
      <c r="K2433" t="s">
        <v>15974</v>
      </c>
      <c r="L2433">
        <f>HYPERLINK("https://www2.assemblee-nationale.fr/sycomore/fiche/(num_dept)/7358", "7358")</f>
        <v>0</v>
      </c>
      <c r="M2433">
        <f>HYPERLINK("https://www.senat.fr/senateur-3eme-republique/villault_duchesnois_jean1032r3.html", "villault_duchesnois_jean1032r3")</f>
        <v>0</v>
      </c>
      <c r="N2433">
        <f>HYPERLINK("https://www.wikidata.org/wiki/Q3175043", "Q3175043")</f>
        <v>0</v>
      </c>
      <c r="O2433" t="s">
        <v>19985</v>
      </c>
      <c r="P2433" t="s">
        <v>20412</v>
      </c>
      <c r="Q2433" t="s">
        <v>20572</v>
      </c>
      <c r="R2433" t="s">
        <v>21281</v>
      </c>
      <c r="S2433">
        <v>1113</v>
      </c>
    </row>
    <row r="2434" spans="1:19">
      <c r="A2434" t="s">
        <v>22</v>
      </c>
      <c r="B2434" t="s">
        <v>148</v>
      </c>
      <c r="C2434" t="s">
        <v>154</v>
      </c>
      <c r="D2434" t="s">
        <v>283</v>
      </c>
      <c r="E2434" t="s">
        <v>412</v>
      </c>
      <c r="F2434">
        <f>HYPERLINK("https://www.wikidata.org/wiki/Q16683492", "Q16683492")</f>
        <v>0</v>
      </c>
      <c r="G2434" t="s">
        <v>1912</v>
      </c>
      <c r="H2434" t="s">
        <v>6560</v>
      </c>
      <c r="I2434" t="s">
        <v>9446</v>
      </c>
      <c r="J2434" t="s">
        <v>12598</v>
      </c>
      <c r="K2434" t="s">
        <v>17010</v>
      </c>
      <c r="L2434">
        <f>HYPERLINK("https://www2.assemblee-nationale.fr/sycomore/fiche/(num_dept)/7359", "7359")</f>
        <v>0</v>
      </c>
      <c r="N2434">
        <f>HYPERLINK("https://www.wikidata.org/wiki/Q3069370", "Q3069370")</f>
        <v>0</v>
      </c>
      <c r="O2434" t="s">
        <v>19961</v>
      </c>
      <c r="P2434" t="s">
        <v>20422</v>
      </c>
      <c r="Q2434" t="s">
        <v>20572</v>
      </c>
      <c r="R2434" t="s">
        <v>412</v>
      </c>
      <c r="S2434">
        <v>1481</v>
      </c>
    </row>
    <row r="2435" spans="1:19">
      <c r="A2435" t="s">
        <v>22</v>
      </c>
      <c r="B2435" t="s">
        <v>148</v>
      </c>
      <c r="C2435" t="s">
        <v>154</v>
      </c>
      <c r="D2435" t="s">
        <v>283</v>
      </c>
      <c r="E2435" t="s">
        <v>412</v>
      </c>
      <c r="F2435">
        <f>HYPERLINK("https://www.wikidata.org/wiki/Q16683492", "Q16683492")</f>
        <v>0</v>
      </c>
      <c r="G2435" t="s">
        <v>1646</v>
      </c>
      <c r="H2435" t="s">
        <v>5937</v>
      </c>
      <c r="I2435" t="s">
        <v>6713</v>
      </c>
      <c r="J2435" t="s">
        <v>12353</v>
      </c>
      <c r="K2435" t="s">
        <v>16760</v>
      </c>
      <c r="L2435">
        <f>HYPERLINK("https://www2.assemblee-nationale.fr/sycomore/fiche/(num_dept)/7360", "7360")</f>
        <v>0</v>
      </c>
      <c r="M2435">
        <f>HYPERLINK("https://www.senat.fr/senateur-3eme-republique/de_wendel_guy0706r3.html", "de_wendel_guy0706r3")</f>
        <v>0</v>
      </c>
      <c r="N2435">
        <f>HYPERLINK("https://www.wikidata.org/wiki/Q3122301", "Q3122301")</f>
        <v>0</v>
      </c>
      <c r="O2435" t="s">
        <v>20050</v>
      </c>
      <c r="P2435" t="s">
        <v>20422</v>
      </c>
      <c r="Q2435" t="s">
        <v>20572</v>
      </c>
      <c r="R2435" t="s">
        <v>21404</v>
      </c>
      <c r="S2435">
        <v>989</v>
      </c>
    </row>
    <row r="2436" spans="1:19">
      <c r="A2436" t="s">
        <v>22</v>
      </c>
      <c r="B2436" t="s">
        <v>148</v>
      </c>
      <c r="C2436" t="s">
        <v>154</v>
      </c>
      <c r="D2436" t="s">
        <v>283</v>
      </c>
      <c r="E2436" t="s">
        <v>412</v>
      </c>
      <c r="F2436">
        <f>HYPERLINK("https://www.wikidata.org/wiki/Q16683492", "Q16683492")</f>
        <v>0</v>
      </c>
      <c r="G2436" t="s">
        <v>1067</v>
      </c>
      <c r="H2436" t="s">
        <v>5812</v>
      </c>
      <c r="I2436" t="s">
        <v>9488</v>
      </c>
      <c r="J2436" t="s">
        <v>11804</v>
      </c>
      <c r="K2436" t="s">
        <v>16204</v>
      </c>
      <c r="L2436">
        <f>HYPERLINK("https://www2.assemblee-nationale.fr/sycomore/fiche/(num_dept)/7361", "7361")</f>
        <v>0</v>
      </c>
      <c r="M2436">
        <f>HYPERLINK("https://www.senat.fr/senateur-3eme-republique/daniel_vincent_charles1382r3.html", "daniel_vincent_charles1382r3")</f>
        <v>0</v>
      </c>
      <c r="N2436">
        <f>HYPERLINK("https://www.wikidata.org/wiki/Q3014792", "Q3014792")</f>
        <v>0</v>
      </c>
      <c r="O2436" t="s">
        <v>20013</v>
      </c>
      <c r="P2436" t="s">
        <v>20401</v>
      </c>
      <c r="Q2436" t="s">
        <v>20572</v>
      </c>
      <c r="R2436" t="s">
        <v>21281</v>
      </c>
      <c r="S2436">
        <v>1113</v>
      </c>
    </row>
    <row r="2437" spans="1:19">
      <c r="A2437" t="s">
        <v>22</v>
      </c>
      <c r="B2437" t="s">
        <v>148</v>
      </c>
      <c r="C2437" t="s">
        <v>154</v>
      </c>
      <c r="D2437" t="s">
        <v>283</v>
      </c>
      <c r="E2437" t="s">
        <v>412</v>
      </c>
      <c r="F2437">
        <f>HYPERLINK("https://www.wikidata.org/wiki/Q16683492", "Q16683492")</f>
        <v>0</v>
      </c>
      <c r="G2437" t="s">
        <v>1913</v>
      </c>
      <c r="H2437" t="s">
        <v>6561</v>
      </c>
      <c r="I2437" t="s">
        <v>9996</v>
      </c>
      <c r="J2437" t="s">
        <v>12599</v>
      </c>
      <c r="K2437" t="s">
        <v>17011</v>
      </c>
      <c r="L2437">
        <f>HYPERLINK("https://www2.assemblee-nationale.fr/sycomore/fiche/(num_dept)/7362", "7362")</f>
        <v>0</v>
      </c>
      <c r="M2437">
        <f>HYPERLINK("https://www.senat.fr/senateur-3eme-republique/vasseux_paul0892r3.html", "vasseux_paul0892r3")</f>
        <v>0</v>
      </c>
      <c r="N2437">
        <f>HYPERLINK("https://www.wikidata.org/wiki/Q3370379", "Q3370379")</f>
        <v>0</v>
      </c>
      <c r="O2437" t="s">
        <v>19989</v>
      </c>
      <c r="P2437" t="s">
        <v>20401</v>
      </c>
      <c r="Q2437" t="s">
        <v>20572</v>
      </c>
      <c r="R2437" t="s">
        <v>412</v>
      </c>
      <c r="S2437">
        <v>1481</v>
      </c>
    </row>
    <row r="2438" spans="1:19">
      <c r="A2438" t="s">
        <v>22</v>
      </c>
      <c r="B2438" t="s">
        <v>148</v>
      </c>
      <c r="C2438" t="s">
        <v>154</v>
      </c>
      <c r="D2438" t="s">
        <v>283</v>
      </c>
      <c r="E2438" t="s">
        <v>412</v>
      </c>
      <c r="F2438">
        <f>HYPERLINK("https://www.wikidata.org/wiki/Q16683492", "Q16683492")</f>
        <v>0</v>
      </c>
      <c r="G2438" t="s">
        <v>1914</v>
      </c>
      <c r="H2438" t="s">
        <v>6562</v>
      </c>
      <c r="I2438" t="s">
        <v>6166</v>
      </c>
      <c r="J2438" t="s">
        <v>12035</v>
      </c>
      <c r="K2438" t="s">
        <v>17012</v>
      </c>
      <c r="L2438">
        <f>HYPERLINK("https://www2.assemblee-nationale.fr/sycomore/fiche/(num_dept)/7363", "7363")</f>
        <v>0</v>
      </c>
      <c r="N2438">
        <f>HYPERLINK("https://www.wikidata.org/wiki/Q16026588", "Q16026588")</f>
        <v>0</v>
      </c>
      <c r="O2438" t="s">
        <v>19965</v>
      </c>
      <c r="P2438" t="s">
        <v>20423</v>
      </c>
      <c r="Q2438" t="s">
        <v>20572</v>
      </c>
      <c r="R2438" t="s">
        <v>412</v>
      </c>
      <c r="S2438">
        <v>1481</v>
      </c>
    </row>
    <row r="2439" spans="1:19">
      <c r="A2439" t="s">
        <v>22</v>
      </c>
      <c r="B2439" t="s">
        <v>148</v>
      </c>
      <c r="C2439" t="s">
        <v>154</v>
      </c>
      <c r="D2439" t="s">
        <v>283</v>
      </c>
      <c r="E2439" t="s">
        <v>412</v>
      </c>
      <c r="F2439">
        <f>HYPERLINK("https://www.wikidata.org/wiki/Q16683492", "Q16683492")</f>
        <v>0</v>
      </c>
      <c r="G2439" t="s">
        <v>826</v>
      </c>
      <c r="H2439" t="s">
        <v>5583</v>
      </c>
      <c r="I2439" t="s">
        <v>9455</v>
      </c>
      <c r="J2439" t="s">
        <v>11573</v>
      </c>
      <c r="K2439" t="s">
        <v>15975</v>
      </c>
      <c r="L2439">
        <f>HYPERLINK("https://www2.assemblee-nationale.fr/sycomore/fiche/(num_dept)/7364", "7364")</f>
        <v>0</v>
      </c>
      <c r="M2439">
        <f>HYPERLINK("https://www.senat.fr/senateur-3eme-republique/voilin_lucien1366r3.html", "voilin_lucien1366r3")</f>
        <v>0</v>
      </c>
      <c r="N2439">
        <f>HYPERLINK("https://www.wikidata.org/wiki/Q3265740", "Q3265740")</f>
        <v>0</v>
      </c>
      <c r="O2439" t="s">
        <v>19969</v>
      </c>
      <c r="P2439" t="s">
        <v>20404</v>
      </c>
      <c r="Q2439" t="s">
        <v>20572</v>
      </c>
      <c r="R2439" t="s">
        <v>18384</v>
      </c>
      <c r="S2439">
        <v>996</v>
      </c>
    </row>
    <row r="2440" spans="1:19">
      <c r="A2440" t="s">
        <v>22</v>
      </c>
      <c r="B2440" t="s">
        <v>148</v>
      </c>
      <c r="C2440" t="s">
        <v>154</v>
      </c>
      <c r="D2440" t="s">
        <v>283</v>
      </c>
      <c r="E2440" t="s">
        <v>412</v>
      </c>
      <c r="F2440">
        <f>HYPERLINK("https://www.wikidata.org/wiki/Q16683492", "Q16683492")</f>
        <v>0</v>
      </c>
      <c r="G2440" t="s">
        <v>1915</v>
      </c>
      <c r="H2440" t="s">
        <v>6563</v>
      </c>
      <c r="I2440" t="s">
        <v>9465</v>
      </c>
      <c r="J2440" t="s">
        <v>12600</v>
      </c>
      <c r="K2440" t="s">
        <v>17013</v>
      </c>
      <c r="L2440">
        <f>HYPERLINK("https://www2.assemblee-nationale.fr/sycomore/fiche/(num_dept)/7517", "7517")</f>
        <v>0</v>
      </c>
      <c r="N2440">
        <f>HYPERLINK("https://www.wikidata.org/wiki/Q3059966", "Q3059966")</f>
        <v>0</v>
      </c>
      <c r="O2440" t="s">
        <v>20029</v>
      </c>
      <c r="P2440" t="s">
        <v>20423</v>
      </c>
      <c r="Q2440" t="s">
        <v>20572</v>
      </c>
      <c r="R2440" t="s">
        <v>412</v>
      </c>
      <c r="S2440">
        <v>1481</v>
      </c>
    </row>
    <row r="2441" spans="1:19">
      <c r="A2441" t="s">
        <v>22</v>
      </c>
      <c r="B2441" t="s">
        <v>148</v>
      </c>
      <c r="C2441" t="s">
        <v>154</v>
      </c>
      <c r="D2441" t="s">
        <v>283</v>
      </c>
      <c r="E2441" t="s">
        <v>412</v>
      </c>
      <c r="F2441">
        <f>HYPERLINK("https://www.wikidata.org/wiki/Q16683492", "Q16683492")</f>
        <v>0</v>
      </c>
      <c r="G2441" t="s">
        <v>1323</v>
      </c>
      <c r="H2441" t="s">
        <v>6042</v>
      </c>
      <c r="I2441" t="s">
        <v>6860</v>
      </c>
      <c r="J2441" t="s">
        <v>12052</v>
      </c>
      <c r="K2441" t="s">
        <v>16453</v>
      </c>
      <c r="L2441">
        <f>HYPERLINK("https://www2.assemblee-nationale.fr/sycomore/fiche/(num_dept)/7519", "7519")</f>
        <v>0</v>
      </c>
      <c r="M2441">
        <f>HYPERLINK("https://www.senat.fr/senateur-3eme-republique/laval_pierre1565r3.html", "laval_pierre1565r3")</f>
        <v>0</v>
      </c>
      <c r="N2441">
        <f>HYPERLINK("https://www.wikidata.org/wiki/Q151983", "Q151983")</f>
        <v>0</v>
      </c>
      <c r="O2441" t="s">
        <v>19969</v>
      </c>
      <c r="P2441" t="s">
        <v>20409</v>
      </c>
      <c r="Q2441" t="s">
        <v>20572</v>
      </c>
      <c r="R2441" t="s">
        <v>21415</v>
      </c>
      <c r="S2441">
        <v>1012</v>
      </c>
    </row>
    <row r="2442" spans="1:19">
      <c r="A2442" t="s">
        <v>22</v>
      </c>
      <c r="B2442" t="s">
        <v>148</v>
      </c>
      <c r="C2442" t="s">
        <v>154</v>
      </c>
      <c r="D2442" t="s">
        <v>283</v>
      </c>
      <c r="E2442" t="s">
        <v>412</v>
      </c>
      <c r="F2442">
        <f>HYPERLINK("https://www.wikidata.org/wiki/Q16683492", "Q16683492")</f>
        <v>0</v>
      </c>
      <c r="G2442" t="s">
        <v>837</v>
      </c>
      <c r="H2442" t="s">
        <v>5594</v>
      </c>
      <c r="I2442" t="s">
        <v>9545</v>
      </c>
      <c r="J2442" t="s">
        <v>11584</v>
      </c>
      <c r="K2442" t="s">
        <v>15986</v>
      </c>
      <c r="L2442">
        <f>HYPERLINK("https://www2.assemblee-nationale.fr/sycomore/fiche/(num_dept)/7540", "7540")</f>
        <v>0</v>
      </c>
      <c r="M2442">
        <f>HYPERLINK("https://www.senat.fr/senateur-3eme-republique/le_bail_georges0793r3.html", "le_bail_georges0793r3")</f>
        <v>0</v>
      </c>
      <c r="N2442">
        <f>HYPERLINK("https://www.wikidata.org/wiki/Q2381659", "Q2381659")</f>
        <v>0</v>
      </c>
      <c r="O2442" t="s">
        <v>20011</v>
      </c>
      <c r="P2442" t="s">
        <v>20423</v>
      </c>
      <c r="Q2442" t="s">
        <v>20572</v>
      </c>
      <c r="R2442" t="s">
        <v>412</v>
      </c>
      <c r="S2442">
        <v>1481</v>
      </c>
    </row>
    <row r="2443" spans="1:19">
      <c r="A2443" t="s">
        <v>22</v>
      </c>
      <c r="B2443" t="s">
        <v>148</v>
      </c>
      <c r="C2443" t="s">
        <v>154</v>
      </c>
      <c r="D2443" t="s">
        <v>283</v>
      </c>
      <c r="E2443" t="s">
        <v>412</v>
      </c>
      <c r="F2443">
        <f>HYPERLINK("https://www.wikidata.org/wiki/Q16683492", "Q16683492")</f>
        <v>0</v>
      </c>
      <c r="G2443" t="s">
        <v>838</v>
      </c>
      <c r="H2443" t="s">
        <v>5595</v>
      </c>
      <c r="I2443" t="s">
        <v>9546</v>
      </c>
      <c r="J2443" t="s">
        <v>11585</v>
      </c>
      <c r="K2443" t="s">
        <v>15987</v>
      </c>
      <c r="L2443">
        <f>HYPERLINK("https://www2.assemblee-nationale.fr/sycomore/fiche/(num_dept)/7547", "7547")</f>
        <v>0</v>
      </c>
      <c r="N2443">
        <f>HYPERLINK("https://www.wikidata.org/wiki/Q2959588", "Q2959588")</f>
        <v>0</v>
      </c>
      <c r="O2443" t="s">
        <v>19969</v>
      </c>
      <c r="P2443" t="s">
        <v>20412</v>
      </c>
      <c r="Q2443" t="s">
        <v>20572</v>
      </c>
      <c r="R2443" t="s">
        <v>412</v>
      </c>
      <c r="S2443">
        <v>1481</v>
      </c>
    </row>
    <row r="2444" spans="1:19">
      <c r="A2444" t="s">
        <v>22</v>
      </c>
      <c r="B2444" t="s">
        <v>148</v>
      </c>
      <c r="C2444" t="s">
        <v>154</v>
      </c>
      <c r="D2444" t="s">
        <v>283</v>
      </c>
      <c r="E2444" t="s">
        <v>412</v>
      </c>
      <c r="F2444">
        <f>HYPERLINK("https://www.wikidata.org/wiki/Q16683492", "Q16683492")</f>
        <v>0</v>
      </c>
      <c r="G2444" t="s">
        <v>1682</v>
      </c>
      <c r="H2444" t="s">
        <v>6361</v>
      </c>
      <c r="I2444" t="s">
        <v>9883</v>
      </c>
      <c r="J2444" t="s">
        <v>12386</v>
      </c>
      <c r="K2444" t="s">
        <v>16796</v>
      </c>
      <c r="L2444">
        <f>HYPERLINK("https://www2.assemblee-nationale.fr/sycomore/fiche/(num_dept)/7559", "7559")</f>
        <v>0</v>
      </c>
      <c r="N2444">
        <f>HYPERLINK("https://www.wikidata.org/wiki/Q13080919", "Q13080919")</f>
        <v>0</v>
      </c>
      <c r="O2444" t="s">
        <v>19969</v>
      </c>
      <c r="P2444" t="s">
        <v>20422</v>
      </c>
      <c r="Q2444" t="s">
        <v>20572</v>
      </c>
      <c r="R2444" t="s">
        <v>412</v>
      </c>
      <c r="S2444">
        <v>1481</v>
      </c>
    </row>
    <row r="2445" spans="1:19">
      <c r="A2445" t="s">
        <v>22</v>
      </c>
      <c r="B2445" t="s">
        <v>148</v>
      </c>
      <c r="C2445" t="s">
        <v>154</v>
      </c>
      <c r="D2445" t="s">
        <v>283</v>
      </c>
      <c r="E2445" t="s">
        <v>412</v>
      </c>
      <c r="F2445">
        <f>HYPERLINK("https://www.wikidata.org/wiki/Q16683492", "Q16683492")</f>
        <v>0</v>
      </c>
      <c r="G2445" t="s">
        <v>1654</v>
      </c>
      <c r="H2445" t="s">
        <v>6337</v>
      </c>
      <c r="I2445" t="s">
        <v>6200</v>
      </c>
      <c r="J2445" t="s">
        <v>12361</v>
      </c>
      <c r="K2445" t="s">
        <v>16768</v>
      </c>
      <c r="L2445">
        <f>HYPERLINK("https://www2.assemblee-nationale.fr/sycomore/fiche/(num_dept)/7563", "7563")</f>
        <v>0</v>
      </c>
      <c r="N2445">
        <f>HYPERLINK("https://www.wikidata.org/wiki/Q3173069", "Q3173069")</f>
        <v>0</v>
      </c>
      <c r="O2445" t="s">
        <v>20023</v>
      </c>
      <c r="P2445" t="s">
        <v>20409</v>
      </c>
      <c r="Q2445" t="s">
        <v>20572</v>
      </c>
      <c r="R2445" t="s">
        <v>412</v>
      </c>
      <c r="S2445">
        <v>1481</v>
      </c>
    </row>
    <row r="2446" spans="1:19">
      <c r="A2446" t="s">
        <v>22</v>
      </c>
      <c r="B2446" t="s">
        <v>148</v>
      </c>
      <c r="C2446" t="s">
        <v>154</v>
      </c>
      <c r="D2446" t="s">
        <v>283</v>
      </c>
      <c r="E2446" t="s">
        <v>412</v>
      </c>
      <c r="F2446">
        <f>HYPERLINK("https://www.wikidata.org/wiki/Q16683492", "Q16683492")</f>
        <v>0</v>
      </c>
      <c r="G2446" t="s">
        <v>1916</v>
      </c>
      <c r="H2446" t="s">
        <v>6564</v>
      </c>
      <c r="I2446" t="s">
        <v>9997</v>
      </c>
      <c r="J2446" t="s">
        <v>12601</v>
      </c>
      <c r="K2446" t="s">
        <v>17014</v>
      </c>
      <c r="L2446">
        <f>HYPERLINK("https://www2.assemblee-nationale.fr/sycomore/fiche/(num_dept)/7567", "7567")</f>
        <v>0</v>
      </c>
      <c r="N2446">
        <f>HYPERLINK("https://www.wikidata.org/wiki/Q8335882", "Q8335882")</f>
        <v>0</v>
      </c>
      <c r="O2446" t="s">
        <v>19998</v>
      </c>
      <c r="P2446" t="s">
        <v>20426</v>
      </c>
      <c r="Q2446" t="s">
        <v>20572</v>
      </c>
      <c r="R2446" t="s">
        <v>412</v>
      </c>
      <c r="S2446">
        <v>1481</v>
      </c>
    </row>
    <row r="2447" spans="1:19">
      <c r="A2447" t="s">
        <v>22</v>
      </c>
      <c r="B2447" t="s">
        <v>148</v>
      </c>
      <c r="C2447" t="s">
        <v>154</v>
      </c>
      <c r="D2447" t="s">
        <v>283</v>
      </c>
      <c r="E2447" t="s">
        <v>412</v>
      </c>
      <c r="F2447">
        <f>HYPERLINK("https://www.wikidata.org/wiki/Q16683492", "Q16683492")</f>
        <v>0</v>
      </c>
      <c r="G2447" t="s">
        <v>1917</v>
      </c>
      <c r="H2447" t="s">
        <v>6565</v>
      </c>
      <c r="I2447" t="s">
        <v>9998</v>
      </c>
      <c r="J2447" t="s">
        <v>12602</v>
      </c>
      <c r="K2447" t="s">
        <v>17015</v>
      </c>
      <c r="L2447">
        <f>HYPERLINK("https://www2.assemblee-nationale.fr/sycomore/fiche/(num_dept)/7577", "7577")</f>
        <v>0</v>
      </c>
      <c r="N2447">
        <f>HYPERLINK("https://www.wikidata.org/wiki/Q3085113", "Q3085113")</f>
        <v>0</v>
      </c>
      <c r="O2447" t="s">
        <v>19964</v>
      </c>
      <c r="P2447" t="s">
        <v>20417</v>
      </c>
      <c r="Q2447" t="s">
        <v>20572</v>
      </c>
      <c r="R2447" t="s">
        <v>412</v>
      </c>
      <c r="S2447">
        <v>1481</v>
      </c>
    </row>
    <row r="2448" spans="1:19">
      <c r="A2448" t="s">
        <v>22</v>
      </c>
      <c r="B2448" t="s">
        <v>148</v>
      </c>
      <c r="C2448" t="s">
        <v>154</v>
      </c>
      <c r="D2448" t="s">
        <v>283</v>
      </c>
      <c r="E2448" t="s">
        <v>412</v>
      </c>
      <c r="F2448">
        <f>HYPERLINK("https://www.wikidata.org/wiki/Q16683492", "Q16683492")</f>
        <v>0</v>
      </c>
      <c r="G2448" t="s">
        <v>1688</v>
      </c>
      <c r="H2448" t="s">
        <v>6366</v>
      </c>
      <c r="I2448" t="s">
        <v>9888</v>
      </c>
      <c r="J2448" t="s">
        <v>12392</v>
      </c>
      <c r="K2448" t="s">
        <v>16801</v>
      </c>
      <c r="L2448">
        <f>HYPERLINK("https://www2.assemblee-nationale.fr/sycomore/fiche/(num_dept)/7590", "7590")</f>
        <v>0</v>
      </c>
      <c r="N2448">
        <f>HYPERLINK("https://www.wikidata.org/wiki/Q3557410", "Q3557410")</f>
        <v>0</v>
      </c>
      <c r="O2448" t="s">
        <v>19964</v>
      </c>
      <c r="P2448" t="s">
        <v>20422</v>
      </c>
      <c r="Q2448" t="s">
        <v>20572</v>
      </c>
      <c r="R2448" t="s">
        <v>412</v>
      </c>
      <c r="S2448">
        <v>1481</v>
      </c>
    </row>
    <row r="2449" spans="1:19">
      <c r="A2449" t="s">
        <v>22</v>
      </c>
      <c r="B2449" t="s">
        <v>148</v>
      </c>
      <c r="C2449" t="s">
        <v>154</v>
      </c>
      <c r="D2449" t="s">
        <v>283</v>
      </c>
      <c r="E2449" t="s">
        <v>412</v>
      </c>
      <c r="F2449">
        <f>HYPERLINK("https://www.wikidata.org/wiki/Q16683492", "Q16683492")</f>
        <v>0</v>
      </c>
      <c r="G2449" t="s">
        <v>1656</v>
      </c>
      <c r="H2449" t="s">
        <v>6339</v>
      </c>
      <c r="I2449" t="s">
        <v>9874</v>
      </c>
      <c r="J2449" t="s">
        <v>12363</v>
      </c>
      <c r="K2449" t="s">
        <v>16770</v>
      </c>
      <c r="L2449">
        <f>HYPERLINK("https://www2.assemblee-nationale.fr/sycomore/fiche/(num_dept)/7600", "7600")</f>
        <v>0</v>
      </c>
      <c r="N2449">
        <f>HYPERLINK("https://www.wikidata.org/wiki/Q3132907", "Q3132907")</f>
        <v>0</v>
      </c>
      <c r="O2449" t="s">
        <v>19992</v>
      </c>
      <c r="P2449" t="s">
        <v>20422</v>
      </c>
      <c r="Q2449" t="s">
        <v>20572</v>
      </c>
      <c r="R2449" t="s">
        <v>412</v>
      </c>
      <c r="S2449">
        <v>1481</v>
      </c>
    </row>
    <row r="2450" spans="1:19">
      <c r="A2450" t="s">
        <v>22</v>
      </c>
      <c r="B2450" t="s">
        <v>148</v>
      </c>
      <c r="C2450" t="s">
        <v>154</v>
      </c>
      <c r="D2450" t="s">
        <v>283</v>
      </c>
      <c r="E2450" t="s">
        <v>412</v>
      </c>
      <c r="F2450">
        <f>HYPERLINK("https://www.wikidata.org/wiki/Q16683492", "Q16683492")</f>
        <v>0</v>
      </c>
      <c r="G2450" t="s">
        <v>1657</v>
      </c>
      <c r="H2450" t="s">
        <v>6340</v>
      </c>
      <c r="I2450" t="s">
        <v>9875</v>
      </c>
      <c r="J2450" t="s">
        <v>12364</v>
      </c>
      <c r="K2450" t="s">
        <v>16771</v>
      </c>
      <c r="L2450">
        <f>HYPERLINK("https://www2.assemblee-nationale.fr/sycomore/fiche/(num_dept)/7602", "7602")</f>
        <v>0</v>
      </c>
      <c r="N2450">
        <f>HYPERLINK("https://www.wikidata.org/wiki/Q2831324", "Q2831324")</f>
        <v>0</v>
      </c>
      <c r="O2450" t="s">
        <v>19985</v>
      </c>
      <c r="P2450" t="s">
        <v>20412</v>
      </c>
      <c r="Q2450" t="s">
        <v>20572</v>
      </c>
      <c r="R2450" t="s">
        <v>412</v>
      </c>
      <c r="S2450">
        <v>1481</v>
      </c>
    </row>
    <row r="2451" spans="1:19">
      <c r="A2451" t="s">
        <v>22</v>
      </c>
      <c r="B2451" t="s">
        <v>148</v>
      </c>
      <c r="C2451" t="s">
        <v>154</v>
      </c>
      <c r="D2451" t="s">
        <v>283</v>
      </c>
      <c r="E2451" t="s">
        <v>412</v>
      </c>
      <c r="F2451">
        <f>HYPERLINK("https://www.wikidata.org/wiki/Q16683492", "Q16683492")</f>
        <v>0</v>
      </c>
      <c r="G2451" t="s">
        <v>1918</v>
      </c>
      <c r="H2451" t="s">
        <v>6566</v>
      </c>
      <c r="I2451" t="s">
        <v>9999</v>
      </c>
      <c r="J2451" t="s">
        <v>12603</v>
      </c>
      <c r="K2451" t="s">
        <v>16392</v>
      </c>
      <c r="L2451">
        <f>HYPERLINK("https://www2.assemblee-nationale.fr/sycomore/fiche/(num_dept)/7604", "7604")</f>
        <v>0</v>
      </c>
      <c r="N2451">
        <f>HYPERLINK("https://www.wikidata.org/wiki/Q17350218", "Q17350218")</f>
        <v>0</v>
      </c>
      <c r="O2451" t="s">
        <v>19961</v>
      </c>
      <c r="P2451" t="s">
        <v>20422</v>
      </c>
      <c r="Q2451" t="s">
        <v>20572</v>
      </c>
      <c r="R2451" t="s">
        <v>412</v>
      </c>
      <c r="S2451">
        <v>1481</v>
      </c>
    </row>
    <row r="2452" spans="1:19">
      <c r="A2452" t="s">
        <v>22</v>
      </c>
      <c r="B2452" t="s">
        <v>148</v>
      </c>
      <c r="C2452" t="s">
        <v>154</v>
      </c>
      <c r="D2452" t="s">
        <v>283</v>
      </c>
      <c r="E2452" t="s">
        <v>412</v>
      </c>
      <c r="F2452">
        <f>HYPERLINK("https://www.wikidata.org/wiki/Q16683492", "Q16683492")</f>
        <v>0</v>
      </c>
      <c r="G2452" t="s">
        <v>1659</v>
      </c>
      <c r="H2452" t="s">
        <v>6342</v>
      </c>
      <c r="I2452" t="s">
        <v>9843</v>
      </c>
      <c r="J2452" t="s">
        <v>12366</v>
      </c>
      <c r="K2452" t="s">
        <v>16773</v>
      </c>
      <c r="L2452">
        <f>HYPERLINK("https://www2.assemblee-nationale.fr/sycomore/fiche/(num_dept)/7630", "7630")</f>
        <v>0</v>
      </c>
      <c r="M2452">
        <f>HYPERLINK("https://www.senat.fr/senateur-3eme-republique/le_trocquer_yves0588r3.html", "le_trocquer_yves0588r3")</f>
        <v>0</v>
      </c>
      <c r="N2452">
        <f>HYPERLINK("https://www.wikidata.org/wiki/Q3573784", "Q3573784")</f>
        <v>0</v>
      </c>
      <c r="O2452" t="s">
        <v>19964</v>
      </c>
      <c r="P2452" t="s">
        <v>20417</v>
      </c>
      <c r="Q2452" t="s">
        <v>20572</v>
      </c>
      <c r="R2452" t="s">
        <v>412</v>
      </c>
      <c r="S2452">
        <v>1481</v>
      </c>
    </row>
    <row r="2453" spans="1:19">
      <c r="A2453" t="s">
        <v>22</v>
      </c>
      <c r="B2453" t="s">
        <v>148</v>
      </c>
      <c r="C2453" t="s">
        <v>154</v>
      </c>
      <c r="D2453" t="s">
        <v>283</v>
      </c>
      <c r="E2453" t="s">
        <v>412</v>
      </c>
      <c r="F2453">
        <f>HYPERLINK("https://www.wikidata.org/wiki/Q16683492", "Q16683492")</f>
        <v>0</v>
      </c>
      <c r="G2453" t="s">
        <v>1660</v>
      </c>
      <c r="H2453" t="s">
        <v>6343</v>
      </c>
      <c r="I2453" t="s">
        <v>9474</v>
      </c>
      <c r="J2453" t="s">
        <v>12367</v>
      </c>
      <c r="K2453" t="s">
        <v>16774</v>
      </c>
      <c r="L2453">
        <f>HYPERLINK("https://www2.assemblee-nationale.fr/sycomore/fiche/(num_dept)/7636", "7636")</f>
        <v>0</v>
      </c>
      <c r="N2453">
        <f>HYPERLINK("https://www.wikidata.org/wiki/Q830456", "Q830456")</f>
        <v>0</v>
      </c>
      <c r="O2453" t="s">
        <v>20013</v>
      </c>
      <c r="P2453" t="s">
        <v>20404</v>
      </c>
      <c r="Q2453" t="s">
        <v>20572</v>
      </c>
      <c r="R2453" t="s">
        <v>412</v>
      </c>
      <c r="S2453">
        <v>1481</v>
      </c>
    </row>
    <row r="2454" spans="1:19">
      <c r="A2454" t="s">
        <v>22</v>
      </c>
      <c r="B2454" t="s">
        <v>148</v>
      </c>
      <c r="C2454" t="s">
        <v>154</v>
      </c>
      <c r="D2454" t="s">
        <v>283</v>
      </c>
      <c r="E2454" t="s">
        <v>412</v>
      </c>
      <c r="F2454">
        <f>HYPERLINK("https://www.wikidata.org/wiki/Q16683492", "Q16683492")</f>
        <v>0</v>
      </c>
      <c r="G2454" t="s">
        <v>847</v>
      </c>
      <c r="H2454" t="s">
        <v>5604</v>
      </c>
      <c r="I2454" t="s">
        <v>9455</v>
      </c>
      <c r="J2454" t="s">
        <v>11576</v>
      </c>
      <c r="K2454" t="s">
        <v>15995</v>
      </c>
      <c r="L2454">
        <f>HYPERLINK("https://www2.assemblee-nationale.fr/sycomore/fiche/(num_dept)/7664", "7664")</f>
        <v>0</v>
      </c>
      <c r="N2454">
        <f>HYPERLINK("https://www.wikidata.org/wiki/Q3265604", "Q3265604")</f>
        <v>0</v>
      </c>
      <c r="O2454" t="s">
        <v>20012</v>
      </c>
      <c r="P2454" t="s">
        <v>20425</v>
      </c>
      <c r="Q2454" t="s">
        <v>20572</v>
      </c>
      <c r="R2454" t="s">
        <v>412</v>
      </c>
      <c r="S2454">
        <v>1481</v>
      </c>
    </row>
    <row r="2455" spans="1:19">
      <c r="A2455" t="s">
        <v>22</v>
      </c>
      <c r="B2455" t="s">
        <v>148</v>
      </c>
      <c r="C2455" t="s">
        <v>154</v>
      </c>
      <c r="D2455" t="s">
        <v>283</v>
      </c>
      <c r="E2455" t="s">
        <v>412</v>
      </c>
      <c r="F2455">
        <f>HYPERLINK("https://www.wikidata.org/wiki/Q16683492", "Q16683492")</f>
        <v>0</v>
      </c>
      <c r="G2455" t="s">
        <v>848</v>
      </c>
      <c r="H2455" t="s">
        <v>5605</v>
      </c>
      <c r="I2455" t="s">
        <v>9553</v>
      </c>
      <c r="J2455" t="s">
        <v>11594</v>
      </c>
      <c r="K2455" t="s">
        <v>15996</v>
      </c>
      <c r="L2455">
        <f>HYPERLINK("https://www2.assemblee-nationale.fr/sycomore/fiche/(num_dept)/7683", "7683")</f>
        <v>0</v>
      </c>
      <c r="M2455">
        <f>HYPERLINK("https://www.senat.fr/senateur-3eme-republique/lefas_alexandre0535r3.html", "lefas_alexandre0535r3")</f>
        <v>0</v>
      </c>
      <c r="N2455">
        <f>HYPERLINK("https://www.wikidata.org/wiki/Q2833822", "Q2833822")</f>
        <v>0</v>
      </c>
      <c r="O2455" t="s">
        <v>19998</v>
      </c>
      <c r="P2455" t="s">
        <v>20422</v>
      </c>
      <c r="Q2455" t="s">
        <v>20572</v>
      </c>
      <c r="R2455" t="s">
        <v>412</v>
      </c>
      <c r="S2455">
        <v>1481</v>
      </c>
    </row>
    <row r="2456" spans="1:19">
      <c r="A2456" t="s">
        <v>22</v>
      </c>
      <c r="B2456" t="s">
        <v>148</v>
      </c>
      <c r="C2456" t="s">
        <v>154</v>
      </c>
      <c r="D2456" t="s">
        <v>283</v>
      </c>
      <c r="E2456" t="s">
        <v>412</v>
      </c>
      <c r="F2456">
        <f>HYPERLINK("https://www.wikidata.org/wiki/Q16683492", "Q16683492")</f>
        <v>0</v>
      </c>
      <c r="G2456" t="s">
        <v>1211</v>
      </c>
      <c r="H2456" t="s">
        <v>5939</v>
      </c>
      <c r="I2456" t="s">
        <v>6166</v>
      </c>
      <c r="J2456" t="s">
        <v>11943</v>
      </c>
      <c r="K2456" t="s">
        <v>16345</v>
      </c>
      <c r="L2456">
        <f>HYPERLINK("https://www2.assemblee-nationale.fr/sycomore/fiche/(num_dept)/7688", "7688")</f>
        <v>0</v>
      </c>
      <c r="N2456">
        <f>HYPERLINK("https://www.wikidata.org/wiki/Q16025975", "Q16025975")</f>
        <v>0</v>
      </c>
      <c r="O2456" t="s">
        <v>20013</v>
      </c>
      <c r="P2456" t="s">
        <v>20404</v>
      </c>
      <c r="Q2456" t="s">
        <v>20572</v>
      </c>
      <c r="R2456" t="s">
        <v>412</v>
      </c>
      <c r="S2456">
        <v>1481</v>
      </c>
    </row>
    <row r="2457" spans="1:19">
      <c r="A2457" t="s">
        <v>22</v>
      </c>
      <c r="B2457" t="s">
        <v>148</v>
      </c>
      <c r="C2457" t="s">
        <v>154</v>
      </c>
      <c r="D2457" t="s">
        <v>283</v>
      </c>
      <c r="E2457" t="s">
        <v>412</v>
      </c>
      <c r="F2457">
        <f>HYPERLINK("https://www.wikidata.org/wiki/Q16683492", "Q16683492")</f>
        <v>0</v>
      </c>
      <c r="G2457" t="s">
        <v>1076</v>
      </c>
      <c r="H2457" t="s">
        <v>5820</v>
      </c>
      <c r="I2457" t="s">
        <v>9602</v>
      </c>
      <c r="J2457" t="s">
        <v>11812</v>
      </c>
      <c r="K2457" t="s">
        <v>16213</v>
      </c>
      <c r="L2457">
        <f>HYPERLINK("https://www2.assemblee-nationale.fr/sycomore/fiche/(num_dept)/7691", "7691")</f>
        <v>0</v>
      </c>
      <c r="M2457">
        <f>HYPERLINK("https://www.senat.fr/senateur-3eme-republique/lefebvre_du_prey_edmond0976r3.html", "lefebvre_du_prey_edmond0976r3")</f>
        <v>0</v>
      </c>
      <c r="N2457">
        <f>HYPERLINK("https://www.wikidata.org/wiki/Q1285694", "Q1285694")</f>
        <v>0</v>
      </c>
      <c r="O2457" t="s">
        <v>19968</v>
      </c>
      <c r="P2457" t="s">
        <v>20422</v>
      </c>
      <c r="Q2457" t="s">
        <v>20572</v>
      </c>
      <c r="R2457" t="s">
        <v>21286</v>
      </c>
      <c r="S2457">
        <v>1316</v>
      </c>
    </row>
    <row r="2458" spans="1:19">
      <c r="A2458" t="s">
        <v>22</v>
      </c>
      <c r="B2458" t="s">
        <v>148</v>
      </c>
      <c r="C2458" t="s">
        <v>154</v>
      </c>
      <c r="D2458" t="s">
        <v>283</v>
      </c>
      <c r="E2458" t="s">
        <v>412</v>
      </c>
      <c r="F2458">
        <f>HYPERLINK("https://www.wikidata.org/wiki/Q16683492", "Q16683492")</f>
        <v>0</v>
      </c>
      <c r="G2458" t="s">
        <v>1078</v>
      </c>
      <c r="H2458" t="s">
        <v>5822</v>
      </c>
      <c r="I2458" t="s">
        <v>9449</v>
      </c>
      <c r="J2458" t="s">
        <v>11814</v>
      </c>
      <c r="K2458" t="s">
        <v>16215</v>
      </c>
      <c r="L2458">
        <f>HYPERLINK("https://www2.assemblee-nationale.fr/sycomore/fiche/(num_dept)/7752", "7752")</f>
        <v>0</v>
      </c>
      <c r="N2458">
        <f>HYPERLINK("https://www.wikidata.org/wiki/Q3085048", "Q3085048")</f>
        <v>0</v>
      </c>
      <c r="O2458" t="s">
        <v>20013</v>
      </c>
      <c r="P2458" t="s">
        <v>20401</v>
      </c>
      <c r="Q2458" t="s">
        <v>20572</v>
      </c>
      <c r="R2458" t="s">
        <v>16215</v>
      </c>
      <c r="S2458">
        <v>1396</v>
      </c>
    </row>
    <row r="2459" spans="1:19">
      <c r="A2459" t="s">
        <v>22</v>
      </c>
      <c r="B2459" t="s">
        <v>148</v>
      </c>
      <c r="C2459" t="s">
        <v>154</v>
      </c>
      <c r="D2459" t="s">
        <v>283</v>
      </c>
      <c r="E2459" t="s">
        <v>412</v>
      </c>
      <c r="F2459">
        <f>HYPERLINK("https://www.wikidata.org/wiki/Q16683492", "Q16683492")</f>
        <v>0</v>
      </c>
      <c r="G2459" t="s">
        <v>1079</v>
      </c>
      <c r="H2459" t="s">
        <v>5823</v>
      </c>
      <c r="I2459" t="s">
        <v>9506</v>
      </c>
      <c r="J2459" t="s">
        <v>11815</v>
      </c>
      <c r="K2459" t="s">
        <v>16216</v>
      </c>
      <c r="L2459">
        <f>HYPERLINK("https://www2.assemblee-nationale.fr/sycomore/fiche/(num_dept)/7762", "7762")</f>
        <v>0</v>
      </c>
      <c r="N2459">
        <f>HYPERLINK("https://www.wikidata.org/wiki/Q2934989", "Q2934989")</f>
        <v>0</v>
      </c>
      <c r="O2459" t="s">
        <v>20025</v>
      </c>
      <c r="P2459" t="s">
        <v>20425</v>
      </c>
      <c r="Q2459" t="s">
        <v>20572</v>
      </c>
      <c r="R2459" t="s">
        <v>412</v>
      </c>
      <c r="S2459">
        <v>1481</v>
      </c>
    </row>
    <row r="2460" spans="1:19">
      <c r="A2460" t="s">
        <v>22</v>
      </c>
      <c r="B2460" t="s">
        <v>148</v>
      </c>
      <c r="C2460" t="s">
        <v>154</v>
      </c>
      <c r="D2460" t="s">
        <v>283</v>
      </c>
      <c r="E2460" t="s">
        <v>412</v>
      </c>
      <c r="F2460">
        <f>HYPERLINK("https://www.wikidata.org/wiki/Q16683492", "Q16683492")</f>
        <v>0</v>
      </c>
      <c r="G2460" t="s">
        <v>1328</v>
      </c>
      <c r="H2460" t="s">
        <v>6047</v>
      </c>
      <c r="I2460" t="s">
        <v>6175</v>
      </c>
      <c r="J2460" t="s">
        <v>12056</v>
      </c>
      <c r="K2460" t="s">
        <v>16457</v>
      </c>
      <c r="L2460">
        <f>HYPERLINK("https://www2.assemblee-nationale.fr/sycomore/fiche/(num_dept)/7789", "7789")</f>
        <v>0</v>
      </c>
      <c r="M2460">
        <f>HYPERLINK("https://www.senat.fr/senateur-3eme-republique/leredu_georges1647r3.html", "leredu_georges1647r3")</f>
        <v>0</v>
      </c>
      <c r="N2460">
        <f>HYPERLINK("https://www.wikidata.org/wiki/Q3103090", "Q3103090")</f>
        <v>0</v>
      </c>
      <c r="O2460" t="s">
        <v>19976</v>
      </c>
      <c r="P2460" t="s">
        <v>20417</v>
      </c>
      <c r="Q2460" t="s">
        <v>20572</v>
      </c>
      <c r="R2460" t="s">
        <v>21404</v>
      </c>
      <c r="S2460">
        <v>989</v>
      </c>
    </row>
    <row r="2461" spans="1:19">
      <c r="A2461" t="s">
        <v>22</v>
      </c>
      <c r="B2461" t="s">
        <v>148</v>
      </c>
      <c r="C2461" t="s">
        <v>154</v>
      </c>
      <c r="D2461" t="s">
        <v>283</v>
      </c>
      <c r="E2461" t="s">
        <v>412</v>
      </c>
      <c r="F2461">
        <f>HYPERLINK("https://www.wikidata.org/wiki/Q16683492", "Q16683492")</f>
        <v>0</v>
      </c>
      <c r="G2461" t="s">
        <v>1666</v>
      </c>
      <c r="H2461" t="s">
        <v>6346</v>
      </c>
      <c r="I2461" t="s">
        <v>9483</v>
      </c>
      <c r="J2461" t="s">
        <v>12372</v>
      </c>
      <c r="K2461" t="s">
        <v>16780</v>
      </c>
      <c r="L2461">
        <f>HYPERLINK("https://www2.assemblee-nationale.fr/sycomore/fiche/(num_dept)/7806", "7806")</f>
        <v>0</v>
      </c>
      <c r="M2461">
        <f>HYPERLINK("https://www.senat.fr/senateur-3eme-republique/lesache_victor0233r3.html", "lesache_victor0233r3")</f>
        <v>0</v>
      </c>
      <c r="N2461">
        <f>HYPERLINK("https://www.wikidata.org/wiki/Q3557416", "Q3557416")</f>
        <v>0</v>
      </c>
      <c r="O2461" t="s">
        <v>8449</v>
      </c>
      <c r="P2461" t="s">
        <v>20417</v>
      </c>
      <c r="Q2461" t="s">
        <v>20572</v>
      </c>
      <c r="R2461" t="s">
        <v>412</v>
      </c>
      <c r="S2461">
        <v>1481</v>
      </c>
    </row>
    <row r="2462" spans="1:19">
      <c r="A2462" t="s">
        <v>22</v>
      </c>
      <c r="B2462" t="s">
        <v>148</v>
      </c>
      <c r="C2462" t="s">
        <v>154</v>
      </c>
      <c r="D2462" t="s">
        <v>283</v>
      </c>
      <c r="E2462" t="s">
        <v>412</v>
      </c>
      <c r="F2462">
        <f>HYPERLINK("https://www.wikidata.org/wiki/Q16683492", "Q16683492")</f>
        <v>0</v>
      </c>
      <c r="G2462" t="s">
        <v>1329</v>
      </c>
      <c r="H2462" t="s">
        <v>6048</v>
      </c>
      <c r="I2462" t="s">
        <v>9453</v>
      </c>
      <c r="J2462" t="s">
        <v>12057</v>
      </c>
      <c r="K2462" t="s">
        <v>16458</v>
      </c>
      <c r="L2462">
        <f>HYPERLINK("https://www2.assemblee-nationale.fr/sycomore/fiche/(num_dept)/7824", "7824")</f>
        <v>0</v>
      </c>
      <c r="N2462">
        <f>HYPERLINK("https://www.wikidata.org/wiki/Q2865199", "Q2865199")</f>
        <v>0</v>
      </c>
      <c r="O2462" t="s">
        <v>19969</v>
      </c>
      <c r="P2462" t="s">
        <v>20425</v>
      </c>
      <c r="Q2462" t="s">
        <v>20572</v>
      </c>
      <c r="R2462" t="s">
        <v>412</v>
      </c>
      <c r="S2462">
        <v>1481</v>
      </c>
    </row>
    <row r="2463" spans="1:19">
      <c r="A2463" t="s">
        <v>22</v>
      </c>
      <c r="B2463" t="s">
        <v>148</v>
      </c>
      <c r="C2463" t="s">
        <v>154</v>
      </c>
      <c r="D2463" t="s">
        <v>283</v>
      </c>
      <c r="E2463" t="s">
        <v>412</v>
      </c>
      <c r="F2463">
        <f>HYPERLINK("https://www.wikidata.org/wiki/Q16683492", "Q16683492")</f>
        <v>0</v>
      </c>
      <c r="G2463" t="s">
        <v>1919</v>
      </c>
      <c r="H2463" t="s">
        <v>6567</v>
      </c>
      <c r="I2463" t="s">
        <v>6175</v>
      </c>
      <c r="J2463" t="s">
        <v>12604</v>
      </c>
      <c r="K2463" t="s">
        <v>17016</v>
      </c>
      <c r="L2463">
        <f>HYPERLINK("https://www2.assemblee-nationale.fr/sycomore/fiche/(num_dept)/7838", "7838")</f>
        <v>0</v>
      </c>
      <c r="N2463">
        <f>HYPERLINK("https://www.wikidata.org/wiki/Q3103129", "Q3103129")</f>
        <v>0</v>
      </c>
      <c r="O2463" t="s">
        <v>20022</v>
      </c>
      <c r="P2463" t="s">
        <v>20423</v>
      </c>
      <c r="Q2463" t="s">
        <v>20572</v>
      </c>
      <c r="R2463" t="s">
        <v>412</v>
      </c>
      <c r="S2463">
        <v>1481</v>
      </c>
    </row>
    <row r="2464" spans="1:19">
      <c r="A2464" t="s">
        <v>22</v>
      </c>
      <c r="B2464" t="s">
        <v>148</v>
      </c>
      <c r="C2464" t="s">
        <v>154</v>
      </c>
      <c r="D2464" t="s">
        <v>283</v>
      </c>
      <c r="E2464" t="s">
        <v>412</v>
      </c>
      <c r="F2464">
        <f>HYPERLINK("https://www.wikidata.org/wiki/Q16683492", "Q16683492")</f>
        <v>0</v>
      </c>
      <c r="G2464" t="s">
        <v>857</v>
      </c>
      <c r="H2464" t="s">
        <v>5613</v>
      </c>
      <c r="I2464" t="s">
        <v>6175</v>
      </c>
      <c r="J2464" t="s">
        <v>11603</v>
      </c>
      <c r="K2464" t="s">
        <v>16005</v>
      </c>
      <c r="L2464">
        <f>HYPERLINK("https://www2.assemblee-nationale.fr/sycomore/fiche/(num_dept)/7840", "7840")</f>
        <v>0</v>
      </c>
      <c r="N2464">
        <f>HYPERLINK("https://www.wikidata.org/wiki/Q728806", "Q728806")</f>
        <v>0</v>
      </c>
      <c r="O2464" t="s">
        <v>20043</v>
      </c>
      <c r="P2464" t="s">
        <v>20412</v>
      </c>
      <c r="Q2464" t="s">
        <v>20572</v>
      </c>
      <c r="R2464" t="s">
        <v>412</v>
      </c>
      <c r="S2464">
        <v>1481</v>
      </c>
    </row>
    <row r="2465" spans="1:19">
      <c r="A2465" t="s">
        <v>22</v>
      </c>
      <c r="B2465" t="s">
        <v>148</v>
      </c>
      <c r="C2465" t="s">
        <v>154</v>
      </c>
      <c r="D2465" t="s">
        <v>283</v>
      </c>
      <c r="E2465" t="s">
        <v>412</v>
      </c>
      <c r="F2465">
        <f>HYPERLINK("https://www.wikidata.org/wiki/Q16683492", "Q16683492")</f>
        <v>0</v>
      </c>
      <c r="G2465" t="s">
        <v>1670</v>
      </c>
      <c r="H2465" t="s">
        <v>6350</v>
      </c>
      <c r="I2465" t="s">
        <v>9449</v>
      </c>
      <c r="J2465" t="s">
        <v>12376</v>
      </c>
      <c r="K2465" t="s">
        <v>16784</v>
      </c>
      <c r="L2465">
        <f>HYPERLINK("https://www2.assemblee-nationale.fr/sycomore/fiche/(num_dept)/7874", "7874")</f>
        <v>0</v>
      </c>
      <c r="N2465">
        <f>HYPERLINK("https://www.wikidata.org/wiki/Q3188740", "Q3188740")</f>
        <v>0</v>
      </c>
      <c r="O2465" t="s">
        <v>20025</v>
      </c>
      <c r="P2465" t="s">
        <v>20404</v>
      </c>
      <c r="Q2465" t="s">
        <v>20572</v>
      </c>
      <c r="R2465" t="s">
        <v>16784</v>
      </c>
      <c r="S2465">
        <v>349</v>
      </c>
    </row>
    <row r="2466" spans="1:19">
      <c r="A2466" t="s">
        <v>22</v>
      </c>
      <c r="B2466" t="s">
        <v>148</v>
      </c>
      <c r="C2466" t="s">
        <v>154</v>
      </c>
      <c r="D2466" t="s">
        <v>283</v>
      </c>
      <c r="E2466" t="s">
        <v>412</v>
      </c>
      <c r="F2466">
        <f>HYPERLINK("https://www.wikidata.org/wiki/Q16683492", "Q16683492")</f>
        <v>0</v>
      </c>
      <c r="G2466" t="s">
        <v>1331</v>
      </c>
      <c r="H2466" t="s">
        <v>6050</v>
      </c>
      <c r="I2466" t="s">
        <v>6200</v>
      </c>
      <c r="J2466" t="s">
        <v>12058</v>
      </c>
      <c r="K2466" t="s">
        <v>16460</v>
      </c>
      <c r="L2466">
        <f>HYPERLINK("https://www2.assemblee-nationale.fr/sycomore/fiche/(num_dept)/7876", "7876")</f>
        <v>0</v>
      </c>
      <c r="N2466">
        <f>HYPERLINK("https://www.wikidata.org/wiki/Q8318774", "Q8318774")</f>
        <v>0</v>
      </c>
      <c r="O2466" t="s">
        <v>20032</v>
      </c>
      <c r="P2466" t="s">
        <v>20404</v>
      </c>
      <c r="Q2466" t="s">
        <v>20572</v>
      </c>
      <c r="R2466" t="s">
        <v>412</v>
      </c>
      <c r="S2466">
        <v>1481</v>
      </c>
    </row>
    <row r="2467" spans="1:19">
      <c r="A2467" t="s">
        <v>22</v>
      </c>
      <c r="B2467" t="s">
        <v>148</v>
      </c>
      <c r="C2467" t="s">
        <v>154</v>
      </c>
      <c r="D2467" t="s">
        <v>283</v>
      </c>
      <c r="E2467" t="s">
        <v>412</v>
      </c>
      <c r="F2467">
        <f>HYPERLINK("https://www.wikidata.org/wiki/Q16683492", "Q16683492")</f>
        <v>0</v>
      </c>
      <c r="G2467" t="s">
        <v>1920</v>
      </c>
      <c r="H2467" t="s">
        <v>6051</v>
      </c>
      <c r="I2467" t="s">
        <v>10000</v>
      </c>
      <c r="J2467" t="s">
        <v>12605</v>
      </c>
      <c r="K2467" t="s">
        <v>17017</v>
      </c>
      <c r="L2467">
        <f>HYPERLINK("https://www2.assemblee-nationale.fr/sycomore/fiche/(num_dept)/7889", "7889")</f>
        <v>0</v>
      </c>
      <c r="N2467">
        <f>HYPERLINK("https://www.wikidata.org/wiki/Q3526668", "Q3526668")</f>
        <v>0</v>
      </c>
      <c r="O2467" t="s">
        <v>20037</v>
      </c>
      <c r="P2467" t="s">
        <v>20423</v>
      </c>
      <c r="Q2467" t="s">
        <v>20572</v>
      </c>
      <c r="R2467" t="s">
        <v>412</v>
      </c>
      <c r="S2467">
        <v>1481</v>
      </c>
    </row>
    <row r="2468" spans="1:19">
      <c r="A2468" t="s">
        <v>22</v>
      </c>
      <c r="B2468" t="s">
        <v>148</v>
      </c>
      <c r="C2468" t="s">
        <v>154</v>
      </c>
      <c r="D2468" t="s">
        <v>283</v>
      </c>
      <c r="E2468" t="s">
        <v>412</v>
      </c>
      <c r="F2468">
        <f>HYPERLINK("https://www.wikidata.org/wiki/Q16683492", "Q16683492")</f>
        <v>0</v>
      </c>
      <c r="G2468" t="s">
        <v>1333</v>
      </c>
      <c r="H2468" t="s">
        <v>5402</v>
      </c>
      <c r="I2468" t="s">
        <v>9754</v>
      </c>
      <c r="J2468" t="s">
        <v>12060</v>
      </c>
      <c r="K2468" t="s">
        <v>16462</v>
      </c>
      <c r="L2468">
        <f>HYPERLINK("https://www2.assemblee-nationale.fr/sycomore/fiche/(num_dept)/10839", "10839")</f>
        <v>0</v>
      </c>
      <c r="N2468">
        <f>HYPERLINK("https://www.wikidata.org/wiki/Q471296", "Q471296")</f>
        <v>0</v>
      </c>
      <c r="O2468" t="s">
        <v>20034</v>
      </c>
      <c r="P2468" t="s">
        <v>20417</v>
      </c>
      <c r="Q2468" t="s">
        <v>20572</v>
      </c>
      <c r="R2468" t="s">
        <v>412</v>
      </c>
      <c r="S2468">
        <v>1481</v>
      </c>
    </row>
    <row r="2469" spans="1:19">
      <c r="A2469" t="s">
        <v>22</v>
      </c>
      <c r="B2469" t="s">
        <v>148</v>
      </c>
      <c r="C2469" t="s">
        <v>154</v>
      </c>
      <c r="D2469" t="s">
        <v>283</v>
      </c>
      <c r="E2469" t="s">
        <v>412</v>
      </c>
      <c r="F2469">
        <f>HYPERLINK("https://www.wikidata.org/wiki/Q16683492", "Q16683492")</f>
        <v>0</v>
      </c>
      <c r="G2469" t="s">
        <v>1671</v>
      </c>
      <c r="H2469" t="s">
        <v>6351</v>
      </c>
      <c r="I2469" t="s">
        <v>9457</v>
      </c>
      <c r="J2469" t="s">
        <v>12377</v>
      </c>
      <c r="K2469" t="s">
        <v>16785</v>
      </c>
      <c r="L2469">
        <f>HYPERLINK("https://www2.assemblee-nationale.fr/sycomore/fiche/(num_dept)/3012", "3012")</f>
        <v>0</v>
      </c>
      <c r="N2469">
        <f>HYPERLINK("https://www.wikidata.org/wiki/Q3131081", "Q3131081")</f>
        <v>0</v>
      </c>
      <c r="O2469" t="s">
        <v>20000</v>
      </c>
      <c r="P2469" t="s">
        <v>20425</v>
      </c>
      <c r="Q2469" t="s">
        <v>20573</v>
      </c>
      <c r="R2469" t="s">
        <v>412</v>
      </c>
      <c r="S2469">
        <v>1467</v>
      </c>
    </row>
    <row r="2470" spans="1:19">
      <c r="A2470" t="s">
        <v>22</v>
      </c>
      <c r="B2470" t="s">
        <v>148</v>
      </c>
      <c r="C2470" t="s">
        <v>154</v>
      </c>
      <c r="D2470" t="s">
        <v>283</v>
      </c>
      <c r="E2470" t="s">
        <v>412</v>
      </c>
      <c r="F2470">
        <f>HYPERLINK("https://www.wikidata.org/wiki/Q16683492", "Q16683492")</f>
        <v>0</v>
      </c>
      <c r="G2470" t="s">
        <v>1921</v>
      </c>
      <c r="H2470" t="s">
        <v>6568</v>
      </c>
      <c r="I2470" t="s">
        <v>6585</v>
      </c>
      <c r="J2470" t="s">
        <v>12606</v>
      </c>
      <c r="K2470" t="s">
        <v>17018</v>
      </c>
      <c r="L2470">
        <f>HYPERLINK("https://www2.assemblee-nationale.fr/sycomore/fiche/(num_dept)/4931", "4931")</f>
        <v>0</v>
      </c>
      <c r="M2470">
        <f>HYPERLINK("https://www.senat.fr/senateur-3eme-republique/mallarme_andre0841r3.html", "mallarme_andre0841r3")</f>
        <v>0</v>
      </c>
      <c r="N2470">
        <f>HYPERLINK("https://www.wikidata.org/wiki/Q2511312", "Q2511312")</f>
        <v>0</v>
      </c>
      <c r="O2470" t="s">
        <v>20000</v>
      </c>
      <c r="P2470" t="s">
        <v>20425</v>
      </c>
      <c r="Q2470" t="s">
        <v>20573</v>
      </c>
      <c r="R2470" t="s">
        <v>412</v>
      </c>
      <c r="S2470">
        <v>1467</v>
      </c>
    </row>
    <row r="2471" spans="1:19">
      <c r="A2471" t="s">
        <v>22</v>
      </c>
      <c r="B2471" t="s">
        <v>148</v>
      </c>
      <c r="C2471" t="s">
        <v>154</v>
      </c>
      <c r="D2471" t="s">
        <v>283</v>
      </c>
      <c r="E2471" t="s">
        <v>412</v>
      </c>
      <c r="F2471">
        <f>HYPERLINK("https://www.wikidata.org/wiki/Q16683492", "Q16683492")</f>
        <v>0</v>
      </c>
      <c r="G2471" t="s">
        <v>1673</v>
      </c>
      <c r="H2471" t="s">
        <v>6353</v>
      </c>
      <c r="I2471" t="s">
        <v>9602</v>
      </c>
      <c r="J2471" t="s">
        <v>12379</v>
      </c>
      <c r="K2471" t="s">
        <v>16787</v>
      </c>
      <c r="L2471">
        <f>HYPERLINK("https://www2.assemblee-nationale.fr/sycomore/fiche/(num_dept)/5271", "5271")</f>
        <v>0</v>
      </c>
      <c r="N2471">
        <f>HYPERLINK("https://www.wikidata.org/wiki/Q3047928", "Q3047928")</f>
        <v>0</v>
      </c>
      <c r="O2471" t="s">
        <v>20040</v>
      </c>
      <c r="P2471" t="s">
        <v>20423</v>
      </c>
      <c r="Q2471" t="s">
        <v>20573</v>
      </c>
      <c r="R2471" t="s">
        <v>412</v>
      </c>
      <c r="S2471">
        <v>1467</v>
      </c>
    </row>
    <row r="2472" spans="1:19">
      <c r="A2472" t="s">
        <v>22</v>
      </c>
      <c r="B2472" t="s">
        <v>148</v>
      </c>
      <c r="C2472" t="s">
        <v>154</v>
      </c>
      <c r="D2472" t="s">
        <v>283</v>
      </c>
      <c r="E2472" t="s">
        <v>412</v>
      </c>
      <c r="F2472">
        <f>HYPERLINK("https://www.wikidata.org/wiki/Q16683492", "Q16683492")</f>
        <v>0</v>
      </c>
      <c r="G2472" t="s">
        <v>1675</v>
      </c>
      <c r="H2472" t="s">
        <v>6355</v>
      </c>
      <c r="I2472" t="s">
        <v>9474</v>
      </c>
      <c r="J2472" t="s">
        <v>12381</v>
      </c>
      <c r="K2472" t="s">
        <v>16789</v>
      </c>
      <c r="L2472">
        <f>HYPERLINK("https://www2.assemblee-nationale.fr/sycomore/fiche/(num_dept)/6204", "6204")</f>
        <v>0</v>
      </c>
      <c r="N2472">
        <f>HYPERLINK("https://www.wikidata.org/wiki/Q16026464", "Q16026464")</f>
        <v>0</v>
      </c>
      <c r="O2472" t="s">
        <v>20040</v>
      </c>
      <c r="P2472" t="s">
        <v>20423</v>
      </c>
      <c r="Q2472" t="s">
        <v>20573</v>
      </c>
      <c r="R2472" t="s">
        <v>16789</v>
      </c>
      <c r="S2472">
        <v>559</v>
      </c>
    </row>
    <row r="2473" spans="1:19">
      <c r="A2473" t="s">
        <v>22</v>
      </c>
      <c r="B2473" t="s">
        <v>148</v>
      </c>
      <c r="C2473" t="s">
        <v>154</v>
      </c>
      <c r="D2473" t="s">
        <v>283</v>
      </c>
      <c r="E2473" t="s">
        <v>412</v>
      </c>
      <c r="F2473">
        <f>HYPERLINK("https://www.wikidata.org/wiki/Q16683492", "Q16683492")</f>
        <v>0</v>
      </c>
      <c r="G2473" t="s">
        <v>1584</v>
      </c>
      <c r="H2473" t="s">
        <v>6274</v>
      </c>
      <c r="I2473" t="s">
        <v>7642</v>
      </c>
      <c r="J2473" t="s">
        <v>12295</v>
      </c>
      <c r="K2473" t="s">
        <v>16703</v>
      </c>
      <c r="L2473">
        <f>HYPERLINK("https://www2.assemblee-nationale.fr/sycomore/fiche/(num_dept)/6102", "6102")</f>
        <v>0</v>
      </c>
      <c r="M2473">
        <f>HYPERLINK("https://www.senat.fr/senateur-3eme-republique/de_rothschild_maurice0087r3.html", "de_rothschild_maurice0087r3")</f>
        <v>0</v>
      </c>
      <c r="N2473">
        <f>HYPERLINK("https://www.wikidata.org/wiki/Q3301570", "Q3301570")</f>
        <v>0</v>
      </c>
      <c r="O2473" t="s">
        <v>19981</v>
      </c>
      <c r="P2473" t="s">
        <v>20409</v>
      </c>
      <c r="Q2473" t="s">
        <v>20574</v>
      </c>
      <c r="R2473" t="s">
        <v>412</v>
      </c>
      <c r="S2473">
        <v>1390</v>
      </c>
    </row>
    <row r="2474" spans="1:19">
      <c r="A2474" t="s">
        <v>22</v>
      </c>
      <c r="B2474" t="s">
        <v>148</v>
      </c>
      <c r="C2474" t="s">
        <v>154</v>
      </c>
      <c r="D2474" t="s">
        <v>283</v>
      </c>
      <c r="E2474" t="s">
        <v>412</v>
      </c>
      <c r="F2474">
        <f>HYPERLINK("https://www.wikidata.org/wiki/Q16683492", "Q16683492")</f>
        <v>0</v>
      </c>
      <c r="G2474" t="s">
        <v>1922</v>
      </c>
      <c r="H2474" t="s">
        <v>6569</v>
      </c>
      <c r="I2474" t="s">
        <v>6495</v>
      </c>
      <c r="J2474" t="s">
        <v>12607</v>
      </c>
      <c r="K2474" t="s">
        <v>16162</v>
      </c>
      <c r="L2474">
        <f>HYPERLINK("https://www2.assemblee-nationale.fr/sycomore/fiche/(num_dept)/3255", "3255")</f>
        <v>0</v>
      </c>
      <c r="N2474">
        <f>HYPERLINK("https://www.wikidata.org/wiki/Q3262002", "Q3262002")</f>
        <v>0</v>
      </c>
      <c r="O2474" t="s">
        <v>20033</v>
      </c>
      <c r="P2474" t="s">
        <v>20404</v>
      </c>
      <c r="Q2474" t="s">
        <v>20575</v>
      </c>
      <c r="R2474" t="s">
        <v>412</v>
      </c>
      <c r="S2474">
        <v>1383</v>
      </c>
    </row>
    <row r="2475" spans="1:19">
      <c r="A2475" t="s">
        <v>22</v>
      </c>
      <c r="B2475" t="s">
        <v>148</v>
      </c>
      <c r="C2475" t="s">
        <v>154</v>
      </c>
      <c r="D2475" t="s">
        <v>283</v>
      </c>
      <c r="E2475" t="s">
        <v>412</v>
      </c>
      <c r="F2475">
        <f>HYPERLINK("https://www.wikidata.org/wiki/Q16683492", "Q16683492")</f>
        <v>0</v>
      </c>
      <c r="G2475" t="s">
        <v>1327</v>
      </c>
      <c r="H2475" t="s">
        <v>6046</v>
      </c>
      <c r="I2475" t="s">
        <v>9753</v>
      </c>
      <c r="J2475" t="s">
        <v>12055</v>
      </c>
      <c r="K2475" t="s">
        <v>16456</v>
      </c>
      <c r="L2475">
        <f>HYPERLINK("https://www2.assemblee-nationale.fr/sycomore/fiche/(num_dept)/7730", "7730")</f>
        <v>0</v>
      </c>
      <c r="N2475">
        <f>HYPERLINK("https://www.wikidata.org/wiki/Q1508764", "Q1508764")</f>
        <v>0</v>
      </c>
      <c r="O2475" t="s">
        <v>20039</v>
      </c>
      <c r="P2475" t="s">
        <v>20417</v>
      </c>
      <c r="Q2475" t="s">
        <v>20576</v>
      </c>
      <c r="R2475" t="s">
        <v>412</v>
      </c>
      <c r="S2475">
        <v>1229</v>
      </c>
    </row>
    <row r="2476" spans="1:19">
      <c r="A2476" t="s">
        <v>22</v>
      </c>
      <c r="B2476" t="s">
        <v>148</v>
      </c>
      <c r="C2476" t="s">
        <v>154</v>
      </c>
      <c r="D2476" t="s">
        <v>283</v>
      </c>
      <c r="E2476" t="s">
        <v>412</v>
      </c>
      <c r="F2476">
        <f>HYPERLINK("https://www.wikidata.org/wiki/Q16683492", "Q16683492")</f>
        <v>0</v>
      </c>
      <c r="G2476" t="s">
        <v>1923</v>
      </c>
      <c r="H2476" t="s">
        <v>6570</v>
      </c>
      <c r="I2476" t="s">
        <v>7642</v>
      </c>
      <c r="J2476" t="s">
        <v>12608</v>
      </c>
      <c r="K2476" t="s">
        <v>17019</v>
      </c>
      <c r="L2476">
        <f>HYPERLINK("https://www2.assemblee-nationale.fr/sycomore/fiche/(num_dept)/5854", "5854")</f>
        <v>0</v>
      </c>
      <c r="N2476">
        <f>HYPERLINK("https://www.wikidata.org/wiki/Q3301257", "Q3301257")</f>
        <v>0</v>
      </c>
      <c r="O2476" t="s">
        <v>19981</v>
      </c>
      <c r="P2476" t="s">
        <v>11123</v>
      </c>
      <c r="Q2476" t="s">
        <v>20577</v>
      </c>
      <c r="R2476" t="s">
        <v>412</v>
      </c>
      <c r="S2476">
        <v>1082</v>
      </c>
    </row>
    <row r="2477" spans="1:19">
      <c r="A2477" t="s">
        <v>22</v>
      </c>
      <c r="B2477" t="s">
        <v>148</v>
      </c>
      <c r="C2477" t="s">
        <v>154</v>
      </c>
      <c r="D2477" t="s">
        <v>283</v>
      </c>
      <c r="E2477" t="s">
        <v>412</v>
      </c>
      <c r="F2477">
        <f>HYPERLINK("https://www.wikidata.org/wiki/Q16683492", "Q16683492")</f>
        <v>0</v>
      </c>
      <c r="G2477" t="s">
        <v>1383</v>
      </c>
      <c r="H2477" t="s">
        <v>6094</v>
      </c>
      <c r="I2477" t="s">
        <v>9783</v>
      </c>
      <c r="J2477" t="s">
        <v>12109</v>
      </c>
      <c r="K2477" t="s">
        <v>16510</v>
      </c>
      <c r="L2477">
        <f>HYPERLINK("https://www2.assemblee-nationale.fr/sycomore/fiche/(num_dept)/1026", "1026")</f>
        <v>0</v>
      </c>
      <c r="N2477">
        <f>HYPERLINK("https://www.wikidata.org/wiki/Q15973812", "Q15973812")</f>
        <v>0</v>
      </c>
      <c r="O2477" t="s">
        <v>20027</v>
      </c>
      <c r="Q2477" t="s">
        <v>20578</v>
      </c>
      <c r="R2477" t="s">
        <v>412</v>
      </c>
      <c r="S2477">
        <v>970</v>
      </c>
    </row>
    <row r="2478" spans="1:19">
      <c r="A2478" t="s">
        <v>22</v>
      </c>
      <c r="B2478" t="s">
        <v>148</v>
      </c>
      <c r="C2478" t="s">
        <v>154</v>
      </c>
      <c r="D2478" t="s">
        <v>283</v>
      </c>
      <c r="E2478" t="s">
        <v>412</v>
      </c>
      <c r="F2478">
        <f>HYPERLINK("https://www.wikidata.org/wiki/Q16683492", "Q16683492")</f>
        <v>0</v>
      </c>
      <c r="G2478" t="s">
        <v>1206</v>
      </c>
      <c r="H2478" t="s">
        <v>5934</v>
      </c>
      <c r="I2478" t="s">
        <v>6585</v>
      </c>
      <c r="J2478" t="s">
        <v>11939</v>
      </c>
      <c r="K2478" t="s">
        <v>16340</v>
      </c>
      <c r="L2478">
        <f>HYPERLINK("https://www2.assemblee-nationale.fr/sycomore/fiche/(num_dept)/6953", "6953")</f>
        <v>0</v>
      </c>
      <c r="N2478">
        <f>HYPERLINK("https://www.wikidata.org/wiki/Q346648", "Q346648")</f>
        <v>0</v>
      </c>
      <c r="O2478" t="s">
        <v>20040</v>
      </c>
      <c r="Q2478" t="s">
        <v>20579</v>
      </c>
      <c r="R2478" t="s">
        <v>412</v>
      </c>
      <c r="S2478">
        <v>837</v>
      </c>
    </row>
    <row r="2479" spans="1:19">
      <c r="A2479" t="s">
        <v>22</v>
      </c>
      <c r="B2479" t="s">
        <v>148</v>
      </c>
      <c r="C2479" t="s">
        <v>154</v>
      </c>
      <c r="D2479" t="s">
        <v>283</v>
      </c>
      <c r="E2479" t="s">
        <v>412</v>
      </c>
      <c r="F2479">
        <f>HYPERLINK("https://www.wikidata.org/wiki/Q16683492", "Q16683492")</f>
        <v>0</v>
      </c>
      <c r="G2479" t="s">
        <v>1924</v>
      </c>
      <c r="H2479" t="s">
        <v>6571</v>
      </c>
      <c r="I2479" t="s">
        <v>9523</v>
      </c>
      <c r="J2479" t="s">
        <v>12609</v>
      </c>
      <c r="K2479" t="s">
        <v>17020</v>
      </c>
      <c r="L2479">
        <f>HYPERLINK("https://www2.assemblee-nationale.fr/sycomore/fiche/(num_dept)/2184", "2184")</f>
        <v>0</v>
      </c>
      <c r="N2479">
        <f>HYPERLINK("https://www.wikidata.org/wiki/Q686084", "Q686084")</f>
        <v>0</v>
      </c>
      <c r="O2479" t="s">
        <v>20025</v>
      </c>
      <c r="P2479" t="s">
        <v>20404</v>
      </c>
      <c r="Q2479" t="s">
        <v>20580</v>
      </c>
      <c r="R2479" t="s">
        <v>412</v>
      </c>
      <c r="S2479">
        <v>825</v>
      </c>
    </row>
    <row r="2480" spans="1:19">
      <c r="A2480" t="s">
        <v>22</v>
      </c>
      <c r="B2480" t="s">
        <v>148</v>
      </c>
      <c r="C2480" t="s">
        <v>154</v>
      </c>
      <c r="D2480" t="s">
        <v>283</v>
      </c>
      <c r="E2480" t="s">
        <v>412</v>
      </c>
      <c r="F2480">
        <f>HYPERLINK("https://www.wikidata.org/wiki/Q16683492", "Q16683492")</f>
        <v>0</v>
      </c>
      <c r="G2480" t="s">
        <v>1925</v>
      </c>
      <c r="H2480" t="s">
        <v>6572</v>
      </c>
      <c r="I2480" t="s">
        <v>9388</v>
      </c>
      <c r="J2480" t="s">
        <v>12610</v>
      </c>
      <c r="K2480" t="s">
        <v>17021</v>
      </c>
      <c r="L2480">
        <f>HYPERLINK("https://www2.assemblee-nationale.fr/sycomore/fiche/(num_dept)/4976", "4976")</f>
        <v>0</v>
      </c>
      <c r="N2480">
        <f>HYPERLINK("https://www.wikidata.org/wiki/Q3371769", "Q3371769")</f>
        <v>0</v>
      </c>
      <c r="O2480" t="s">
        <v>20025</v>
      </c>
      <c r="P2480" t="s">
        <v>20423</v>
      </c>
      <c r="Q2480" t="s">
        <v>20581</v>
      </c>
      <c r="R2480" t="s">
        <v>412</v>
      </c>
      <c r="S2480">
        <v>823</v>
      </c>
    </row>
    <row r="2481" spans="1:19">
      <c r="A2481" t="s">
        <v>22</v>
      </c>
      <c r="B2481" t="s">
        <v>148</v>
      </c>
      <c r="C2481" t="s">
        <v>154</v>
      </c>
      <c r="D2481" t="s">
        <v>283</v>
      </c>
      <c r="E2481" t="s">
        <v>412</v>
      </c>
      <c r="F2481">
        <f>HYPERLINK("https://www.wikidata.org/wiki/Q16683492", "Q16683492")</f>
        <v>0</v>
      </c>
      <c r="G2481" t="s">
        <v>1926</v>
      </c>
      <c r="H2481" t="s">
        <v>6573</v>
      </c>
      <c r="I2481" t="s">
        <v>7419</v>
      </c>
      <c r="J2481" t="s">
        <v>12611</v>
      </c>
      <c r="K2481" t="s">
        <v>17022</v>
      </c>
      <c r="L2481">
        <f>HYPERLINK("https://www2.assemblee-nationale.fr/sycomore/fiche/(num_dept)/2652", "2652")</f>
        <v>0</v>
      </c>
      <c r="N2481">
        <f>HYPERLINK("https://www.wikidata.org/wiki/Q377790", "Q377790")</f>
        <v>0</v>
      </c>
      <c r="O2481" t="s">
        <v>19969</v>
      </c>
      <c r="P2481" t="s">
        <v>20424</v>
      </c>
      <c r="Q2481" t="s">
        <v>20582</v>
      </c>
      <c r="R2481" t="s">
        <v>412</v>
      </c>
      <c r="S2481">
        <v>795</v>
      </c>
    </row>
    <row r="2482" spans="1:19">
      <c r="A2482" t="s">
        <v>22</v>
      </c>
      <c r="B2482" t="s">
        <v>148</v>
      </c>
      <c r="C2482" t="s">
        <v>154</v>
      </c>
      <c r="D2482" t="s">
        <v>283</v>
      </c>
      <c r="E2482" t="s">
        <v>412</v>
      </c>
      <c r="F2482">
        <f>HYPERLINK("https://www.wikidata.org/wiki/Q16683492", "Q16683492")</f>
        <v>0</v>
      </c>
      <c r="G2482" t="s">
        <v>1927</v>
      </c>
      <c r="H2482" t="s">
        <v>5709</v>
      </c>
      <c r="I2482" t="s">
        <v>6584</v>
      </c>
      <c r="J2482" t="s">
        <v>12612</v>
      </c>
      <c r="K2482" t="s">
        <v>17023</v>
      </c>
      <c r="L2482">
        <f>HYPERLINK("https://www2.assemblee-nationale.fr/sycomore/fiche/(num_dept)/3096", "3096")</f>
        <v>0</v>
      </c>
      <c r="N2482">
        <f>HYPERLINK("https://www.wikidata.org/wiki/Q2831185", "Q2831185")</f>
        <v>0</v>
      </c>
      <c r="O2482" t="s">
        <v>19969</v>
      </c>
      <c r="P2482" t="s">
        <v>20424</v>
      </c>
      <c r="Q2482" t="s">
        <v>20582</v>
      </c>
      <c r="R2482" t="s">
        <v>412</v>
      </c>
      <c r="S2482">
        <v>795</v>
      </c>
    </row>
    <row r="2483" spans="1:19">
      <c r="A2483" t="s">
        <v>22</v>
      </c>
      <c r="B2483" t="s">
        <v>148</v>
      </c>
      <c r="C2483" t="s">
        <v>154</v>
      </c>
      <c r="D2483" t="s">
        <v>283</v>
      </c>
      <c r="E2483" t="s">
        <v>412</v>
      </c>
      <c r="F2483">
        <f>HYPERLINK("https://www.wikidata.org/wiki/Q16683492", "Q16683492")</f>
        <v>0</v>
      </c>
      <c r="G2483" t="s">
        <v>1928</v>
      </c>
      <c r="H2483" t="s">
        <v>6574</v>
      </c>
      <c r="I2483" t="s">
        <v>10001</v>
      </c>
      <c r="J2483" t="s">
        <v>12613</v>
      </c>
      <c r="K2483" t="s">
        <v>17024</v>
      </c>
      <c r="L2483">
        <f>HYPERLINK("https://www2.assemblee-nationale.fr/sycomore/fiche/(num_dept)/203", "203")</f>
        <v>0</v>
      </c>
      <c r="N2483">
        <f>HYPERLINK("https://www.wikidata.org/wiki/Q3288621", "Q3288621")</f>
        <v>0</v>
      </c>
      <c r="O2483" t="s">
        <v>20017</v>
      </c>
      <c r="P2483" t="s">
        <v>20409</v>
      </c>
      <c r="Q2483" t="s">
        <v>20583</v>
      </c>
      <c r="R2483" t="s">
        <v>412</v>
      </c>
      <c r="S2483">
        <v>550</v>
      </c>
    </row>
    <row r="2484" spans="1:19">
      <c r="A2484" t="s">
        <v>22</v>
      </c>
      <c r="B2484" t="s">
        <v>148</v>
      </c>
      <c r="C2484" t="s">
        <v>154</v>
      </c>
      <c r="D2484" t="s">
        <v>283</v>
      </c>
      <c r="E2484" t="s">
        <v>412</v>
      </c>
      <c r="F2484">
        <f>HYPERLINK("https://www.wikidata.org/wiki/Q16683492", "Q16683492")</f>
        <v>0</v>
      </c>
      <c r="G2484" t="s">
        <v>1929</v>
      </c>
      <c r="H2484" t="s">
        <v>6575</v>
      </c>
      <c r="I2484" t="s">
        <v>10002</v>
      </c>
      <c r="J2484" t="s">
        <v>12614</v>
      </c>
      <c r="K2484" t="s">
        <v>17025</v>
      </c>
      <c r="L2484">
        <f>HYPERLINK("https://www2.assemblee-nationale.fr/sycomore/fiche/(num_dept)/388", "388")</f>
        <v>0</v>
      </c>
      <c r="M2484">
        <f>HYPERLINK("https://www.senat.fr/senateur-3eme-republique/barbier_andre1813r3.html", "barbier_andre1813r3")</f>
        <v>0</v>
      </c>
      <c r="N2484">
        <f>HYPERLINK("https://www.wikidata.org/wiki/Q2847198", "Q2847198")</f>
        <v>0</v>
      </c>
      <c r="O2484" t="s">
        <v>20017</v>
      </c>
      <c r="Q2484" t="s">
        <v>20583</v>
      </c>
      <c r="R2484" t="s">
        <v>412</v>
      </c>
      <c r="S2484">
        <v>550</v>
      </c>
    </row>
    <row r="2485" spans="1:19">
      <c r="A2485" t="s">
        <v>22</v>
      </c>
      <c r="B2485" t="s">
        <v>148</v>
      </c>
      <c r="C2485" t="s">
        <v>154</v>
      </c>
      <c r="D2485" t="s">
        <v>283</v>
      </c>
      <c r="E2485" t="s">
        <v>412</v>
      </c>
      <c r="F2485">
        <f>HYPERLINK("https://www.wikidata.org/wiki/Q16683492", "Q16683492")</f>
        <v>0</v>
      </c>
      <c r="G2485" t="s">
        <v>1930</v>
      </c>
      <c r="H2485" t="s">
        <v>6576</v>
      </c>
      <c r="I2485" t="s">
        <v>10003</v>
      </c>
      <c r="J2485" t="s">
        <v>12615</v>
      </c>
      <c r="K2485" t="s">
        <v>17026</v>
      </c>
      <c r="L2485">
        <f>HYPERLINK("https://www2.assemblee-nationale.fr/sycomore/fiche/(num_dept)/1445", "1445")</f>
        <v>0</v>
      </c>
      <c r="N2485">
        <f>HYPERLINK("https://www.wikidata.org/wiki/Q3188469", "Q3188469")</f>
        <v>0</v>
      </c>
      <c r="O2485" t="s">
        <v>20013</v>
      </c>
      <c r="P2485" t="s">
        <v>20401</v>
      </c>
      <c r="Q2485" t="s">
        <v>20584</v>
      </c>
      <c r="R2485" t="s">
        <v>412</v>
      </c>
      <c r="S2485">
        <v>536</v>
      </c>
    </row>
    <row r="2486" spans="1:19">
      <c r="A2486" t="s">
        <v>22</v>
      </c>
      <c r="B2486" t="s">
        <v>148</v>
      </c>
      <c r="C2486" t="s">
        <v>154</v>
      </c>
      <c r="D2486" t="s">
        <v>283</v>
      </c>
      <c r="E2486" t="s">
        <v>412</v>
      </c>
      <c r="F2486">
        <f>HYPERLINK("https://www.wikidata.org/wiki/Q16683492", "Q16683492")</f>
        <v>0</v>
      </c>
      <c r="G2486" t="s">
        <v>1931</v>
      </c>
      <c r="H2486" t="s">
        <v>6577</v>
      </c>
      <c r="I2486" t="s">
        <v>6158</v>
      </c>
      <c r="J2486" t="s">
        <v>12616</v>
      </c>
      <c r="K2486" t="s">
        <v>17027</v>
      </c>
      <c r="L2486">
        <f>HYPERLINK("https://www2.assemblee-nationale.fr/sycomore/fiche/(num_dept)/1955", "1955")</f>
        <v>0</v>
      </c>
      <c r="N2486">
        <f>HYPERLINK("https://www.wikidata.org/wiki/Q3092409", "Q3092409")</f>
        <v>0</v>
      </c>
      <c r="O2486" t="s">
        <v>20013</v>
      </c>
      <c r="P2486" t="s">
        <v>20422</v>
      </c>
      <c r="Q2486" t="s">
        <v>20584</v>
      </c>
      <c r="R2486" t="s">
        <v>412</v>
      </c>
      <c r="S2486">
        <v>536</v>
      </c>
    </row>
    <row r="2487" spans="1:19">
      <c r="A2487" t="s">
        <v>22</v>
      </c>
      <c r="B2487" t="s">
        <v>148</v>
      </c>
      <c r="C2487" t="s">
        <v>154</v>
      </c>
      <c r="D2487" t="s">
        <v>283</v>
      </c>
      <c r="E2487" t="s">
        <v>412</v>
      </c>
      <c r="F2487">
        <f>HYPERLINK("https://www.wikidata.org/wiki/Q16683492", "Q16683492")</f>
        <v>0</v>
      </c>
      <c r="G2487" t="s">
        <v>1932</v>
      </c>
      <c r="H2487" t="s">
        <v>6578</v>
      </c>
      <c r="I2487" t="s">
        <v>9958</v>
      </c>
      <c r="J2487" t="s">
        <v>12617</v>
      </c>
      <c r="K2487" t="s">
        <v>17028</v>
      </c>
      <c r="L2487">
        <f>HYPERLINK("https://www2.assemblee-nationale.fr/sycomore/fiche/(num_dept)/2050", "2050")</f>
        <v>0</v>
      </c>
      <c r="N2487">
        <f>HYPERLINK("https://www.wikidata.org/wiki/Q16011109", "Q16011109")</f>
        <v>0</v>
      </c>
      <c r="O2487" t="s">
        <v>20013</v>
      </c>
      <c r="P2487" t="s">
        <v>20422</v>
      </c>
      <c r="Q2487" t="s">
        <v>20584</v>
      </c>
      <c r="R2487" t="s">
        <v>412</v>
      </c>
      <c r="S2487">
        <v>536</v>
      </c>
    </row>
    <row r="2488" spans="1:19">
      <c r="A2488" t="s">
        <v>22</v>
      </c>
      <c r="B2488" t="s">
        <v>148</v>
      </c>
      <c r="C2488" t="s">
        <v>154</v>
      </c>
      <c r="D2488" t="s">
        <v>283</v>
      </c>
      <c r="E2488" t="s">
        <v>412</v>
      </c>
      <c r="F2488">
        <f>HYPERLINK("https://www.wikidata.org/wiki/Q16683492", "Q16683492")</f>
        <v>0</v>
      </c>
      <c r="G2488" t="s">
        <v>1933</v>
      </c>
      <c r="H2488" t="s">
        <v>6579</v>
      </c>
      <c r="I2488" t="s">
        <v>9455</v>
      </c>
      <c r="J2488" t="s">
        <v>12618</v>
      </c>
      <c r="K2488" t="s">
        <v>17029</v>
      </c>
      <c r="L2488">
        <f>HYPERLINK("https://www2.assemblee-nationale.fr/sycomore/fiche/(num_dept)/2009", "2009")</f>
        <v>0</v>
      </c>
      <c r="N2488">
        <f>HYPERLINK("https://www.wikidata.org/wiki/Q16025491", "Q16025491")</f>
        <v>0</v>
      </c>
      <c r="O2488" t="s">
        <v>19962</v>
      </c>
      <c r="P2488" t="s">
        <v>20423</v>
      </c>
      <c r="Q2488" t="s">
        <v>20585</v>
      </c>
      <c r="R2488" t="s">
        <v>412</v>
      </c>
      <c r="S2488">
        <v>464</v>
      </c>
    </row>
    <row r="2489" spans="1:19">
      <c r="A2489" t="s">
        <v>22</v>
      </c>
      <c r="B2489" t="s">
        <v>148</v>
      </c>
      <c r="C2489" t="s">
        <v>154</v>
      </c>
      <c r="D2489" t="s">
        <v>283</v>
      </c>
      <c r="E2489" t="s">
        <v>412</v>
      </c>
      <c r="F2489">
        <f>HYPERLINK("https://www.wikidata.org/wiki/Q16683492", "Q16683492")</f>
        <v>0</v>
      </c>
      <c r="G2489" t="s">
        <v>1934</v>
      </c>
      <c r="H2489" t="s">
        <v>6580</v>
      </c>
      <c r="I2489" t="s">
        <v>10004</v>
      </c>
      <c r="J2489" t="s">
        <v>12110</v>
      </c>
      <c r="K2489" t="s">
        <v>17030</v>
      </c>
      <c r="L2489">
        <f>HYPERLINK("https://www2.assemblee-nationale.fr/sycomore/fiche/(num_dept)/5448", "5448")</f>
        <v>0</v>
      </c>
      <c r="N2489">
        <f>HYPERLINK("https://www.wikidata.org/wiki/Q8314140", "Q8314140")</f>
        <v>0</v>
      </c>
      <c r="O2489" t="s">
        <v>19956</v>
      </c>
      <c r="P2489" t="s">
        <v>20401</v>
      </c>
      <c r="Q2489" t="s">
        <v>20586</v>
      </c>
      <c r="R2489" t="s">
        <v>412</v>
      </c>
      <c r="S2489">
        <v>459</v>
      </c>
    </row>
    <row r="2490" spans="1:19">
      <c r="A2490" t="s">
        <v>22</v>
      </c>
      <c r="B2490" t="s">
        <v>148</v>
      </c>
      <c r="C2490" t="s">
        <v>154</v>
      </c>
      <c r="D2490" t="s">
        <v>283</v>
      </c>
      <c r="E2490" t="s">
        <v>412</v>
      </c>
      <c r="F2490">
        <f>HYPERLINK("https://www.wikidata.org/wiki/Q16683492", "Q16683492")</f>
        <v>0</v>
      </c>
      <c r="G2490" t="s">
        <v>1935</v>
      </c>
      <c r="H2490" t="s">
        <v>6581</v>
      </c>
      <c r="I2490" t="s">
        <v>6166</v>
      </c>
      <c r="J2490" t="s">
        <v>12619</v>
      </c>
      <c r="K2490" t="s">
        <v>17031</v>
      </c>
      <c r="L2490">
        <f>HYPERLINK("https://www2.assemblee-nationale.fr/sycomore/fiche/(num_dept)/6301", "6301")</f>
        <v>0</v>
      </c>
      <c r="N2490">
        <f>HYPERLINK("https://www.wikidata.org/wiki/Q3085796", "Q3085796")</f>
        <v>0</v>
      </c>
      <c r="O2490" t="s">
        <v>19956</v>
      </c>
      <c r="Q2490" t="s">
        <v>20586</v>
      </c>
      <c r="R2490" t="s">
        <v>412</v>
      </c>
      <c r="S2490">
        <v>459</v>
      </c>
    </row>
    <row r="2491" spans="1:19">
      <c r="A2491" t="s">
        <v>22</v>
      </c>
      <c r="B2491" t="s">
        <v>148</v>
      </c>
      <c r="C2491" t="s">
        <v>154</v>
      </c>
      <c r="D2491" t="s">
        <v>283</v>
      </c>
      <c r="E2491" t="s">
        <v>412</v>
      </c>
      <c r="F2491">
        <f>HYPERLINK("https://www.wikidata.org/wiki/Q16683492", "Q16683492")</f>
        <v>0</v>
      </c>
      <c r="G2491" t="s">
        <v>1936</v>
      </c>
      <c r="H2491" t="s">
        <v>6582</v>
      </c>
      <c r="I2491" t="s">
        <v>6495</v>
      </c>
      <c r="J2491" t="s">
        <v>12620</v>
      </c>
      <c r="K2491" t="s">
        <v>17032</v>
      </c>
      <c r="L2491">
        <f>HYPERLINK("https://www2.assemblee-nationale.fr/sycomore/fiche/(num_dept)/7733", "7733")</f>
        <v>0</v>
      </c>
      <c r="N2491">
        <f>HYPERLINK("https://www.wikidata.org/wiki/Q16025980", "Q16025980")</f>
        <v>0</v>
      </c>
      <c r="O2491" t="s">
        <v>19956</v>
      </c>
      <c r="Q2491" t="s">
        <v>20586</v>
      </c>
      <c r="R2491" t="s">
        <v>412</v>
      </c>
      <c r="S2491">
        <v>459</v>
      </c>
    </row>
    <row r="2492" spans="1:19">
      <c r="A2492" t="s">
        <v>22</v>
      </c>
      <c r="B2492" t="s">
        <v>148</v>
      </c>
      <c r="C2492" t="s">
        <v>154</v>
      </c>
      <c r="D2492" t="s">
        <v>283</v>
      </c>
      <c r="E2492" t="s">
        <v>412</v>
      </c>
      <c r="F2492">
        <f>HYPERLINK("https://www.wikidata.org/wiki/Q16683492", "Q16683492")</f>
        <v>0</v>
      </c>
      <c r="G2492" t="s">
        <v>1937</v>
      </c>
      <c r="H2492" t="s">
        <v>6583</v>
      </c>
      <c r="I2492" t="s">
        <v>10005</v>
      </c>
      <c r="J2492" t="s">
        <v>12621</v>
      </c>
      <c r="K2492" t="s">
        <v>17033</v>
      </c>
      <c r="L2492">
        <f>HYPERLINK("https://www2.assemblee-nationale.fr/sycomore/fiche/(num_dept)/1036", "1036")</f>
        <v>0</v>
      </c>
      <c r="N2492">
        <f>HYPERLINK("https://www.wikidata.org/wiki/Q15973867", "Q15973867")</f>
        <v>0</v>
      </c>
      <c r="O2492" t="s">
        <v>8449</v>
      </c>
      <c r="P2492" t="s">
        <v>20412</v>
      </c>
      <c r="Q2492" t="s">
        <v>15859</v>
      </c>
      <c r="R2492" t="s">
        <v>412</v>
      </c>
      <c r="S2492">
        <v>354</v>
      </c>
    </row>
    <row r="2493" spans="1:19">
      <c r="A2493" t="s">
        <v>23</v>
      </c>
      <c r="B2493" t="s">
        <v>148</v>
      </c>
      <c r="C2493" t="s">
        <v>155</v>
      </c>
      <c r="D2493" t="s">
        <v>284</v>
      </c>
      <c r="E2493" t="s">
        <v>413</v>
      </c>
      <c r="F2493">
        <f>HYPERLINK("https://www.wikidata.org/wiki/Q33728280", "Q33728280")</f>
        <v>0</v>
      </c>
      <c r="G2493" t="s">
        <v>1338</v>
      </c>
      <c r="H2493" t="s">
        <v>6056</v>
      </c>
      <c r="I2493" t="s">
        <v>9757</v>
      </c>
      <c r="J2493" t="s">
        <v>12065</v>
      </c>
      <c r="K2493" t="s">
        <v>16467</v>
      </c>
      <c r="L2493">
        <f>HYPERLINK("https://www2.assemblee-nationale.fr/sycomore/fiche/(num_dept)/21", "21")</f>
        <v>0</v>
      </c>
      <c r="N2493">
        <f>HYPERLINK("https://www.wikidata.org/wiki/Q3098893", "Q3098893")</f>
        <v>0</v>
      </c>
      <c r="O2493" t="s">
        <v>20036</v>
      </c>
      <c r="P2493" t="s">
        <v>20422</v>
      </c>
      <c r="Q2493" t="s">
        <v>20587</v>
      </c>
      <c r="R2493" t="s">
        <v>413</v>
      </c>
      <c r="S2493">
        <v>1500</v>
      </c>
    </row>
    <row r="2494" spans="1:19">
      <c r="A2494" t="s">
        <v>23</v>
      </c>
      <c r="B2494" t="s">
        <v>148</v>
      </c>
      <c r="C2494" t="s">
        <v>155</v>
      </c>
      <c r="D2494" t="s">
        <v>284</v>
      </c>
      <c r="E2494" t="s">
        <v>413</v>
      </c>
      <c r="F2494">
        <f>HYPERLINK("https://www.wikidata.org/wiki/Q33728280", "Q33728280")</f>
        <v>0</v>
      </c>
      <c r="G2494" t="s">
        <v>1938</v>
      </c>
      <c r="H2494" t="s">
        <v>6371</v>
      </c>
      <c r="I2494" t="s">
        <v>10006</v>
      </c>
      <c r="J2494" t="s">
        <v>12622</v>
      </c>
      <c r="K2494" t="s">
        <v>17034</v>
      </c>
      <c r="L2494">
        <f>HYPERLINK("https://www2.assemblee-nationale.fr/sycomore/fiche/(num_dept)/34", "34")</f>
        <v>0</v>
      </c>
      <c r="N2494">
        <f>HYPERLINK("https://www.wikidata.org/wiki/Q3170281", "Q3170281")</f>
        <v>0</v>
      </c>
      <c r="O2494" t="s">
        <v>19976</v>
      </c>
      <c r="P2494" t="s">
        <v>20422</v>
      </c>
      <c r="Q2494" t="s">
        <v>20587</v>
      </c>
      <c r="R2494" t="s">
        <v>413</v>
      </c>
      <c r="S2494">
        <v>1500</v>
      </c>
    </row>
    <row r="2495" spans="1:19">
      <c r="A2495" t="s">
        <v>23</v>
      </c>
      <c r="B2495" t="s">
        <v>148</v>
      </c>
      <c r="C2495" t="s">
        <v>155</v>
      </c>
      <c r="D2495" t="s">
        <v>284</v>
      </c>
      <c r="E2495" t="s">
        <v>413</v>
      </c>
      <c r="F2495">
        <f>HYPERLINK("https://www.wikidata.org/wiki/Q33728280", "Q33728280")</f>
        <v>0</v>
      </c>
      <c r="G2495" t="s">
        <v>1939</v>
      </c>
      <c r="H2495" t="s">
        <v>6584</v>
      </c>
      <c r="I2495" t="s">
        <v>6166</v>
      </c>
      <c r="J2495" t="s">
        <v>12623</v>
      </c>
      <c r="K2495" t="s">
        <v>485</v>
      </c>
      <c r="L2495">
        <f>HYPERLINK("https://www2.assemblee-nationale.fr/sycomore/fiche/(num_dept)/69", "69")</f>
        <v>0</v>
      </c>
      <c r="M2495">
        <f>HYPERLINK("https://www.senat.fr/senateur-3eme-republique/albert_francois1773r3.html", "albert_francois1773r3")</f>
        <v>0</v>
      </c>
      <c r="N2495">
        <f>HYPERLINK("https://www.wikidata.org/wiki/Q3083780", "Q3083780")</f>
        <v>0</v>
      </c>
      <c r="O2495" t="s">
        <v>20021</v>
      </c>
      <c r="P2495" t="s">
        <v>20428</v>
      </c>
      <c r="Q2495" t="s">
        <v>20587</v>
      </c>
      <c r="R2495" t="s">
        <v>413</v>
      </c>
      <c r="S2495">
        <v>1500</v>
      </c>
    </row>
    <row r="2496" spans="1:19">
      <c r="A2496" t="s">
        <v>23</v>
      </c>
      <c r="B2496" t="s">
        <v>148</v>
      </c>
      <c r="C2496" t="s">
        <v>155</v>
      </c>
      <c r="D2496" t="s">
        <v>284</v>
      </c>
      <c r="E2496" t="s">
        <v>413</v>
      </c>
      <c r="F2496">
        <f>HYPERLINK("https://www.wikidata.org/wiki/Q33728280", "Q33728280")</f>
        <v>0</v>
      </c>
      <c r="G2496" t="s">
        <v>1698</v>
      </c>
      <c r="H2496" t="s">
        <v>6375</v>
      </c>
      <c r="I2496" t="s">
        <v>9506</v>
      </c>
      <c r="J2496" t="s">
        <v>12401</v>
      </c>
      <c r="K2496" t="s">
        <v>16809</v>
      </c>
      <c r="L2496">
        <f>HYPERLINK("https://www2.assemblee-nationale.fr/sycomore/fiche/(num_dept)/111", "111")</f>
        <v>0</v>
      </c>
      <c r="N2496">
        <f>HYPERLINK("https://www.wikidata.org/wiki/Q2934841", "Q2934841")</f>
        <v>0</v>
      </c>
      <c r="O2496" t="s">
        <v>20017</v>
      </c>
      <c r="P2496" t="s">
        <v>20412</v>
      </c>
      <c r="Q2496" t="s">
        <v>20587</v>
      </c>
      <c r="R2496" t="s">
        <v>413</v>
      </c>
      <c r="S2496">
        <v>1500</v>
      </c>
    </row>
    <row r="2497" spans="1:19">
      <c r="A2497" t="s">
        <v>23</v>
      </c>
      <c r="B2497" t="s">
        <v>148</v>
      </c>
      <c r="C2497" t="s">
        <v>155</v>
      </c>
      <c r="D2497" t="s">
        <v>284</v>
      </c>
      <c r="E2497" t="s">
        <v>413</v>
      </c>
      <c r="F2497">
        <f>HYPERLINK("https://www.wikidata.org/wiki/Q33728280", "Q33728280")</f>
        <v>0</v>
      </c>
      <c r="G2497" t="s">
        <v>1699</v>
      </c>
      <c r="H2497" t="s">
        <v>6376</v>
      </c>
      <c r="I2497" t="s">
        <v>9894</v>
      </c>
      <c r="J2497" t="s">
        <v>12402</v>
      </c>
      <c r="K2497" t="s">
        <v>16810</v>
      </c>
      <c r="L2497">
        <f>HYPERLINK("https://www2.assemblee-nationale.fr/sycomore/fiche/(num_dept)/126", "126")</f>
        <v>0</v>
      </c>
      <c r="N2497">
        <f>HYPERLINK("https://www.wikidata.org/wiki/Q3101158", "Q3101158")</f>
        <v>0</v>
      </c>
      <c r="O2497" t="s">
        <v>19980</v>
      </c>
      <c r="P2497" t="s">
        <v>20407</v>
      </c>
      <c r="Q2497" t="s">
        <v>20587</v>
      </c>
      <c r="R2497" t="s">
        <v>16810</v>
      </c>
      <c r="S2497">
        <v>1418</v>
      </c>
    </row>
    <row r="2498" spans="1:19">
      <c r="A2498" t="s">
        <v>23</v>
      </c>
      <c r="B2498" t="s">
        <v>148</v>
      </c>
      <c r="C2498" t="s">
        <v>155</v>
      </c>
      <c r="D2498" t="s">
        <v>284</v>
      </c>
      <c r="E2498" t="s">
        <v>413</v>
      </c>
      <c r="F2498">
        <f>HYPERLINK("https://www.wikidata.org/wiki/Q33728280", "Q33728280")</f>
        <v>0</v>
      </c>
      <c r="G2498" t="s">
        <v>1940</v>
      </c>
      <c r="H2498" t="s">
        <v>6585</v>
      </c>
      <c r="I2498" t="s">
        <v>10007</v>
      </c>
      <c r="J2498" t="s">
        <v>12624</v>
      </c>
      <c r="K2498" t="s">
        <v>17035</v>
      </c>
      <c r="L2498">
        <f>HYPERLINK("https://www2.assemblee-nationale.fr/sycomore/fiche/(num_dept)/128", "128")</f>
        <v>0</v>
      </c>
      <c r="M2498">
        <f>HYPERLINK("https://www.senat.fr/senateur-3eme-republique/andre_adrien1762r3.html", "andre_adrien1762r3")</f>
        <v>0</v>
      </c>
      <c r="N2498">
        <f>HYPERLINK("https://www.wikidata.org/wiki/Q2825114", "Q2825114")</f>
        <v>0</v>
      </c>
      <c r="O2498" t="s">
        <v>19982</v>
      </c>
      <c r="P2498" t="s">
        <v>20401</v>
      </c>
      <c r="Q2498" t="s">
        <v>20587</v>
      </c>
      <c r="R2498" t="s">
        <v>413</v>
      </c>
      <c r="S2498">
        <v>1500</v>
      </c>
    </row>
    <row r="2499" spans="1:19">
      <c r="A2499" t="s">
        <v>23</v>
      </c>
      <c r="B2499" t="s">
        <v>148</v>
      </c>
      <c r="C2499" t="s">
        <v>155</v>
      </c>
      <c r="D2499" t="s">
        <v>284</v>
      </c>
      <c r="E2499" t="s">
        <v>413</v>
      </c>
      <c r="F2499">
        <f>HYPERLINK("https://www.wikidata.org/wiki/Q33728280", "Q33728280")</f>
        <v>0</v>
      </c>
      <c r="G2499" t="s">
        <v>1348</v>
      </c>
      <c r="H2499" t="s">
        <v>6066</v>
      </c>
      <c r="I2499" t="s">
        <v>9763</v>
      </c>
      <c r="J2499" t="s">
        <v>11375</v>
      </c>
      <c r="K2499" t="s">
        <v>16477</v>
      </c>
      <c r="L2499">
        <f>HYPERLINK("https://www2.assemblee-nationale.fr/sycomore/fiche/(num_dept)/253", "253")</f>
        <v>0</v>
      </c>
      <c r="N2499">
        <f>HYPERLINK("https://www.wikidata.org/wiki/Q3592397", "Q3592397")</f>
        <v>0</v>
      </c>
      <c r="O2499" t="s">
        <v>19957</v>
      </c>
      <c r="P2499" t="s">
        <v>20422</v>
      </c>
      <c r="Q2499" t="s">
        <v>20587</v>
      </c>
      <c r="R2499" t="s">
        <v>413</v>
      </c>
      <c r="S2499">
        <v>1500</v>
      </c>
    </row>
    <row r="2500" spans="1:19">
      <c r="A2500" t="s">
        <v>23</v>
      </c>
      <c r="B2500" t="s">
        <v>148</v>
      </c>
      <c r="C2500" t="s">
        <v>155</v>
      </c>
      <c r="D2500" t="s">
        <v>284</v>
      </c>
      <c r="E2500" t="s">
        <v>413</v>
      </c>
      <c r="F2500">
        <f>HYPERLINK("https://www.wikidata.org/wiki/Q33728280", "Q33728280")</f>
        <v>0</v>
      </c>
      <c r="G2500" t="s">
        <v>866</v>
      </c>
      <c r="H2500" t="s">
        <v>5622</v>
      </c>
      <c r="I2500" t="s">
        <v>9564</v>
      </c>
      <c r="J2500" t="s">
        <v>11612</v>
      </c>
      <c r="K2500" t="s">
        <v>16014</v>
      </c>
      <c r="L2500">
        <f>HYPERLINK("https://www2.assemblee-nationale.fr/sycomore/fiche/(num_dept)/284", "284")</f>
        <v>0</v>
      </c>
      <c r="N2500">
        <f>HYPERLINK("https://www.wikidata.org/wiki/Q3130593", "Q3130593")</f>
        <v>0</v>
      </c>
      <c r="O2500" t="s">
        <v>20016</v>
      </c>
      <c r="P2500" t="s">
        <v>20422</v>
      </c>
      <c r="Q2500" t="s">
        <v>20587</v>
      </c>
      <c r="R2500" t="s">
        <v>413</v>
      </c>
      <c r="S2500">
        <v>1500</v>
      </c>
    </row>
    <row r="2501" spans="1:19">
      <c r="A2501" t="s">
        <v>23</v>
      </c>
      <c r="B2501" t="s">
        <v>148</v>
      </c>
      <c r="C2501" t="s">
        <v>155</v>
      </c>
      <c r="D2501" t="s">
        <v>284</v>
      </c>
      <c r="E2501" t="s">
        <v>413</v>
      </c>
      <c r="F2501">
        <f>HYPERLINK("https://www.wikidata.org/wiki/Q33728280", "Q33728280")</f>
        <v>0</v>
      </c>
      <c r="G2501" t="s">
        <v>1217</v>
      </c>
      <c r="H2501" t="s">
        <v>5622</v>
      </c>
      <c r="I2501" t="s">
        <v>5812</v>
      </c>
      <c r="J2501" t="s">
        <v>11949</v>
      </c>
      <c r="K2501" t="s">
        <v>16351</v>
      </c>
      <c r="L2501">
        <f>HYPERLINK("https://www2.assemblee-nationale.fr/sycomore/fiche/(num_dept)/285", "285")</f>
        <v>0</v>
      </c>
      <c r="N2501">
        <f>HYPERLINK("https://www.wikidata.org/wiki/Q158772", "Q158772")</f>
        <v>0</v>
      </c>
      <c r="O2501" t="s">
        <v>20016</v>
      </c>
      <c r="P2501" t="s">
        <v>20404</v>
      </c>
      <c r="Q2501" t="s">
        <v>20587</v>
      </c>
      <c r="R2501" t="s">
        <v>413</v>
      </c>
      <c r="S2501">
        <v>1500</v>
      </c>
    </row>
    <row r="2502" spans="1:19">
      <c r="A2502" t="s">
        <v>23</v>
      </c>
      <c r="B2502" t="s">
        <v>148</v>
      </c>
      <c r="C2502" t="s">
        <v>155</v>
      </c>
      <c r="D2502" t="s">
        <v>284</v>
      </c>
      <c r="E2502" t="s">
        <v>413</v>
      </c>
      <c r="F2502">
        <f>HYPERLINK("https://www.wikidata.org/wiki/Q33728280", "Q33728280")</f>
        <v>0</v>
      </c>
      <c r="G2502" t="s">
        <v>1355</v>
      </c>
      <c r="H2502" t="s">
        <v>6073</v>
      </c>
      <c r="I2502" t="s">
        <v>5528</v>
      </c>
      <c r="J2502" t="s">
        <v>12081</v>
      </c>
      <c r="K2502" t="s">
        <v>16484</v>
      </c>
      <c r="L2502">
        <f>HYPERLINK("https://www2.assemblee-nationale.fr/sycomore/fiche/(num_dept)/409", "409")</f>
        <v>0</v>
      </c>
      <c r="N2502">
        <f>HYPERLINK("https://www.wikidata.org/wiki/Q3270710", "Q3270710")</f>
        <v>0</v>
      </c>
      <c r="O2502" t="s">
        <v>20024</v>
      </c>
      <c r="P2502" t="s">
        <v>20412</v>
      </c>
      <c r="Q2502" t="s">
        <v>20587</v>
      </c>
      <c r="R2502" t="s">
        <v>413</v>
      </c>
      <c r="S2502">
        <v>1500</v>
      </c>
    </row>
    <row r="2503" spans="1:19">
      <c r="A2503" t="s">
        <v>23</v>
      </c>
      <c r="B2503" t="s">
        <v>148</v>
      </c>
      <c r="C2503" t="s">
        <v>155</v>
      </c>
      <c r="D2503" t="s">
        <v>284</v>
      </c>
      <c r="E2503" t="s">
        <v>413</v>
      </c>
      <c r="F2503">
        <f>HYPERLINK("https://www.wikidata.org/wiki/Q33728280", "Q33728280")</f>
        <v>0</v>
      </c>
      <c r="G2503" t="s">
        <v>511</v>
      </c>
      <c r="H2503" t="s">
        <v>5276</v>
      </c>
      <c r="I2503" t="s">
        <v>9375</v>
      </c>
      <c r="J2503" t="s">
        <v>11263</v>
      </c>
      <c r="K2503" t="s">
        <v>15663</v>
      </c>
      <c r="L2503">
        <f>HYPERLINK("https://www2.assemblee-nationale.fr/sycomore/fiche/(num_dept)/442", "442")</f>
        <v>0</v>
      </c>
      <c r="N2503">
        <f>HYPERLINK("https://www.wikidata.org/wiki/Q3579735", "Q3579735")</f>
        <v>0</v>
      </c>
      <c r="O2503" t="s">
        <v>7411</v>
      </c>
      <c r="P2503" t="s">
        <v>20404</v>
      </c>
      <c r="Q2503" t="s">
        <v>20587</v>
      </c>
      <c r="R2503" t="s">
        <v>413</v>
      </c>
      <c r="S2503">
        <v>1500</v>
      </c>
    </row>
    <row r="2504" spans="1:19">
      <c r="A2504" t="s">
        <v>23</v>
      </c>
      <c r="B2504" t="s">
        <v>148</v>
      </c>
      <c r="C2504" t="s">
        <v>155</v>
      </c>
      <c r="D2504" t="s">
        <v>284</v>
      </c>
      <c r="E2504" t="s">
        <v>413</v>
      </c>
      <c r="F2504">
        <f>HYPERLINK("https://www.wikidata.org/wiki/Q33728280", "Q33728280")</f>
        <v>0</v>
      </c>
      <c r="G2504" t="s">
        <v>1941</v>
      </c>
      <c r="H2504" t="s">
        <v>6586</v>
      </c>
      <c r="I2504" t="s">
        <v>10008</v>
      </c>
      <c r="J2504" t="s">
        <v>12625</v>
      </c>
      <c r="K2504" t="s">
        <v>17036</v>
      </c>
      <c r="L2504">
        <f>HYPERLINK("https://www2.assemblee-nationale.fr/sycomore/fiche/(num_dept)/497", "497")</f>
        <v>0</v>
      </c>
      <c r="N2504">
        <f>HYPERLINK("https://www.wikidata.org/wiki/Q3383900", "Q3383900")</f>
        <v>0</v>
      </c>
      <c r="O2504" t="s">
        <v>19973</v>
      </c>
      <c r="P2504" t="s">
        <v>20429</v>
      </c>
      <c r="Q2504" t="s">
        <v>20587</v>
      </c>
      <c r="R2504" t="s">
        <v>413</v>
      </c>
      <c r="S2504">
        <v>1500</v>
      </c>
    </row>
    <row r="2505" spans="1:19">
      <c r="A2505" t="s">
        <v>23</v>
      </c>
      <c r="B2505" t="s">
        <v>148</v>
      </c>
      <c r="C2505" t="s">
        <v>155</v>
      </c>
      <c r="D2505" t="s">
        <v>284</v>
      </c>
      <c r="E2505" t="s">
        <v>413</v>
      </c>
      <c r="F2505">
        <f>HYPERLINK("https://www.wikidata.org/wiki/Q33728280", "Q33728280")</f>
        <v>0</v>
      </c>
      <c r="G2505" t="s">
        <v>1716</v>
      </c>
      <c r="H2505" t="s">
        <v>6391</v>
      </c>
      <c r="I2505" t="s">
        <v>9906</v>
      </c>
      <c r="J2505" t="s">
        <v>12418</v>
      </c>
      <c r="K2505" t="s">
        <v>16826</v>
      </c>
      <c r="L2505">
        <f>HYPERLINK("https://www2.assemblee-nationale.fr/sycomore/fiche/(num_dept)/673", "673")</f>
        <v>0</v>
      </c>
      <c r="N2505">
        <f>HYPERLINK("https://www.wikidata.org/wiki/Q15973659", "Q15973659")</f>
        <v>0</v>
      </c>
      <c r="O2505" t="s">
        <v>19987</v>
      </c>
      <c r="P2505" t="s">
        <v>20407</v>
      </c>
      <c r="Q2505" t="s">
        <v>20587</v>
      </c>
      <c r="R2505" t="s">
        <v>413</v>
      </c>
      <c r="S2505">
        <v>1500</v>
      </c>
    </row>
    <row r="2506" spans="1:19">
      <c r="A2506" t="s">
        <v>23</v>
      </c>
      <c r="B2506" t="s">
        <v>148</v>
      </c>
      <c r="C2506" t="s">
        <v>155</v>
      </c>
      <c r="D2506" t="s">
        <v>284</v>
      </c>
      <c r="E2506" t="s">
        <v>413</v>
      </c>
      <c r="F2506">
        <f>HYPERLINK("https://www.wikidata.org/wiki/Q33728280", "Q33728280")</f>
        <v>0</v>
      </c>
      <c r="G2506" t="s">
        <v>1377</v>
      </c>
      <c r="H2506" t="s">
        <v>6089</v>
      </c>
      <c r="I2506" t="s">
        <v>9506</v>
      </c>
      <c r="J2506" t="s">
        <v>12103</v>
      </c>
      <c r="K2506" t="s">
        <v>16505</v>
      </c>
      <c r="L2506">
        <f>HYPERLINK("https://www2.assemblee-nationale.fr/sycomore/fiche/(num_dept)/802", "802")</f>
        <v>0</v>
      </c>
      <c r="N2506">
        <f>HYPERLINK("https://www.wikidata.org/wiki/Q2934858", "Q2934858")</f>
        <v>0</v>
      </c>
      <c r="O2506" t="s">
        <v>20049</v>
      </c>
      <c r="P2506" t="s">
        <v>20430</v>
      </c>
      <c r="Q2506" t="s">
        <v>20587</v>
      </c>
      <c r="R2506" t="s">
        <v>413</v>
      </c>
      <c r="S2506">
        <v>1500</v>
      </c>
    </row>
    <row r="2507" spans="1:19">
      <c r="A2507" t="s">
        <v>23</v>
      </c>
      <c r="B2507" t="s">
        <v>148</v>
      </c>
      <c r="C2507" t="s">
        <v>155</v>
      </c>
      <c r="D2507" t="s">
        <v>284</v>
      </c>
      <c r="E2507" t="s">
        <v>413</v>
      </c>
      <c r="F2507">
        <f>HYPERLINK("https://www.wikidata.org/wiki/Q33728280", "Q33728280")</f>
        <v>0</v>
      </c>
      <c r="G2507" t="s">
        <v>1225</v>
      </c>
      <c r="H2507" t="s">
        <v>5950</v>
      </c>
      <c r="I2507" t="s">
        <v>9506</v>
      </c>
      <c r="J2507" t="s">
        <v>11957</v>
      </c>
      <c r="K2507" t="s">
        <v>16359</v>
      </c>
      <c r="L2507">
        <f>HYPERLINK("https://www2.assemblee-nationale.fr/sycomore/fiche/(num_dept)/842", "842")</f>
        <v>0</v>
      </c>
      <c r="N2507">
        <f>HYPERLINK("https://www.wikidata.org/wiki/Q2934871", "Q2934871")</f>
        <v>0</v>
      </c>
      <c r="O2507" t="s">
        <v>20009</v>
      </c>
      <c r="P2507" t="s">
        <v>20422</v>
      </c>
      <c r="Q2507" t="s">
        <v>20587</v>
      </c>
      <c r="R2507" t="s">
        <v>413</v>
      </c>
      <c r="S2507">
        <v>1500</v>
      </c>
    </row>
    <row r="2508" spans="1:19">
      <c r="A2508" t="s">
        <v>23</v>
      </c>
      <c r="B2508" t="s">
        <v>148</v>
      </c>
      <c r="C2508" t="s">
        <v>155</v>
      </c>
      <c r="D2508" t="s">
        <v>284</v>
      </c>
      <c r="E2508" t="s">
        <v>413</v>
      </c>
      <c r="F2508">
        <f>HYPERLINK("https://www.wikidata.org/wiki/Q33728280", "Q33728280")</f>
        <v>0</v>
      </c>
      <c r="G2508" t="s">
        <v>1942</v>
      </c>
      <c r="H2508" t="s">
        <v>6587</v>
      </c>
      <c r="I2508" t="s">
        <v>10009</v>
      </c>
      <c r="J2508" t="s">
        <v>12626</v>
      </c>
      <c r="K2508" t="s">
        <v>17037</v>
      </c>
      <c r="L2508">
        <f>HYPERLINK("https://www2.assemblee-nationale.fr/sycomore/fiche/(num_dept)/879", "879")</f>
        <v>0</v>
      </c>
      <c r="N2508">
        <f>HYPERLINK("https://www.wikidata.org/wiki/Q3047752", "Q3047752")</f>
        <v>0</v>
      </c>
      <c r="O2508" t="s">
        <v>19969</v>
      </c>
      <c r="P2508" t="s">
        <v>20422</v>
      </c>
      <c r="Q2508" t="s">
        <v>20587</v>
      </c>
      <c r="R2508" t="s">
        <v>413</v>
      </c>
      <c r="S2508">
        <v>1500</v>
      </c>
    </row>
    <row r="2509" spans="1:19">
      <c r="A2509" t="s">
        <v>23</v>
      </c>
      <c r="B2509" t="s">
        <v>148</v>
      </c>
      <c r="C2509" t="s">
        <v>155</v>
      </c>
      <c r="D2509" t="s">
        <v>284</v>
      </c>
      <c r="E2509" t="s">
        <v>413</v>
      </c>
      <c r="F2509">
        <f>HYPERLINK("https://www.wikidata.org/wiki/Q33728280", "Q33728280")</f>
        <v>0</v>
      </c>
      <c r="G2509" t="s">
        <v>536</v>
      </c>
      <c r="H2509" t="s">
        <v>5300</v>
      </c>
      <c r="I2509" t="s">
        <v>9389</v>
      </c>
      <c r="J2509" t="s">
        <v>11288</v>
      </c>
      <c r="K2509" t="s">
        <v>15688</v>
      </c>
      <c r="L2509">
        <f>HYPERLINK("https://www2.assemblee-nationale.fr/sycomore/fiche/(num_dept)/909", "909")</f>
        <v>0</v>
      </c>
      <c r="N2509">
        <f>HYPERLINK("https://www.wikidata.org/wiki/Q3588362", "Q3588362")</f>
        <v>0</v>
      </c>
      <c r="O2509" t="s">
        <v>19985</v>
      </c>
      <c r="P2509" t="s">
        <v>20412</v>
      </c>
      <c r="Q2509" t="s">
        <v>20587</v>
      </c>
      <c r="R2509" t="s">
        <v>413</v>
      </c>
      <c r="S2509">
        <v>1500</v>
      </c>
    </row>
    <row r="2510" spans="1:19">
      <c r="A2510" t="s">
        <v>23</v>
      </c>
      <c r="B2510" t="s">
        <v>148</v>
      </c>
      <c r="C2510" t="s">
        <v>155</v>
      </c>
      <c r="D2510" t="s">
        <v>284</v>
      </c>
      <c r="E2510" t="s">
        <v>413</v>
      </c>
      <c r="F2510">
        <f>HYPERLINK("https://www.wikidata.org/wiki/Q33728280", "Q33728280")</f>
        <v>0</v>
      </c>
      <c r="G2510" t="s">
        <v>1227</v>
      </c>
      <c r="H2510" t="s">
        <v>5952</v>
      </c>
      <c r="I2510" t="s">
        <v>7642</v>
      </c>
      <c r="J2510" t="s">
        <v>11959</v>
      </c>
      <c r="K2510" t="s">
        <v>16361</v>
      </c>
      <c r="L2510">
        <f>HYPERLINK("https://www2.assemblee-nationale.fr/sycomore/fiche/(num_dept)/916", "916")</f>
        <v>0</v>
      </c>
      <c r="N2510">
        <f>HYPERLINK("https://www.wikidata.org/wiki/Q3300454", "Q3300454")</f>
        <v>0</v>
      </c>
      <c r="O2510" t="s">
        <v>19969</v>
      </c>
      <c r="Q2510" t="s">
        <v>20587</v>
      </c>
      <c r="R2510" t="s">
        <v>16361</v>
      </c>
      <c r="S2510">
        <v>133</v>
      </c>
    </row>
    <row r="2511" spans="1:19">
      <c r="A2511" t="s">
        <v>23</v>
      </c>
      <c r="B2511" t="s">
        <v>148</v>
      </c>
      <c r="C2511" t="s">
        <v>155</v>
      </c>
      <c r="D2511" t="s">
        <v>284</v>
      </c>
      <c r="E2511" t="s">
        <v>413</v>
      </c>
      <c r="F2511">
        <f>HYPERLINK("https://www.wikidata.org/wiki/Q33728280", "Q33728280")</f>
        <v>0</v>
      </c>
      <c r="G2511" t="s">
        <v>876</v>
      </c>
      <c r="H2511" t="s">
        <v>5632</v>
      </c>
      <c r="I2511" t="s">
        <v>6175</v>
      </c>
      <c r="J2511" t="s">
        <v>11622</v>
      </c>
      <c r="K2511" t="s">
        <v>16024</v>
      </c>
      <c r="L2511">
        <f>HYPERLINK("https://www2.assemblee-nationale.fr/sycomore/fiche/(num_dept)/938", "938")</f>
        <v>0</v>
      </c>
      <c r="N2511">
        <f>HYPERLINK("https://www.wikidata.org/wiki/Q3102326", "Q3102326")</f>
        <v>0</v>
      </c>
      <c r="O2511" t="s">
        <v>19976</v>
      </c>
      <c r="P2511" t="s">
        <v>20422</v>
      </c>
      <c r="Q2511" t="s">
        <v>20587</v>
      </c>
      <c r="R2511" t="s">
        <v>413</v>
      </c>
      <c r="S2511">
        <v>1500</v>
      </c>
    </row>
    <row r="2512" spans="1:19">
      <c r="A2512" t="s">
        <v>23</v>
      </c>
      <c r="B2512" t="s">
        <v>148</v>
      </c>
      <c r="C2512" t="s">
        <v>155</v>
      </c>
      <c r="D2512" t="s">
        <v>284</v>
      </c>
      <c r="E2512" t="s">
        <v>413</v>
      </c>
      <c r="F2512">
        <f>HYPERLINK("https://www.wikidata.org/wiki/Q33728280", "Q33728280")</f>
        <v>0</v>
      </c>
      <c r="G2512" t="s">
        <v>1943</v>
      </c>
      <c r="H2512" t="s">
        <v>5632</v>
      </c>
      <c r="I2512" t="s">
        <v>10010</v>
      </c>
      <c r="J2512" t="s">
        <v>12627</v>
      </c>
      <c r="K2512" t="s">
        <v>17038</v>
      </c>
      <c r="L2512">
        <f>HYPERLINK("https://www2.assemblee-nationale.fr/sycomore/fiche/(num_dept)/939", "939")</f>
        <v>0</v>
      </c>
      <c r="N2512">
        <f>HYPERLINK("https://www.wikidata.org/wiki/Q3261304", "Q3261304")</f>
        <v>0</v>
      </c>
      <c r="O2512" t="s">
        <v>19967</v>
      </c>
      <c r="P2512" t="s">
        <v>20422</v>
      </c>
      <c r="Q2512" t="s">
        <v>20587</v>
      </c>
      <c r="R2512" t="s">
        <v>413</v>
      </c>
      <c r="S2512">
        <v>1500</v>
      </c>
    </row>
    <row r="2513" spans="1:19">
      <c r="A2513" t="s">
        <v>23</v>
      </c>
      <c r="B2513" t="s">
        <v>148</v>
      </c>
      <c r="C2513" t="s">
        <v>155</v>
      </c>
      <c r="D2513" t="s">
        <v>284</v>
      </c>
      <c r="E2513" t="s">
        <v>413</v>
      </c>
      <c r="F2513">
        <f>HYPERLINK("https://www.wikidata.org/wiki/Q33728280", "Q33728280")</f>
        <v>0</v>
      </c>
      <c r="G2513" t="s">
        <v>538</v>
      </c>
      <c r="H2513" t="s">
        <v>5302</v>
      </c>
      <c r="I2513" t="s">
        <v>5592</v>
      </c>
      <c r="J2513" t="s">
        <v>11290</v>
      </c>
      <c r="K2513" t="s">
        <v>15690</v>
      </c>
      <c r="L2513">
        <f>HYPERLINK("https://www2.assemblee-nationale.fr/sycomore/fiche/(num_dept)/955", "955")</f>
        <v>0</v>
      </c>
      <c r="M2513">
        <f>HYPERLINK("https://www.senat.fr/senateur-3eme-republique/bonnevay_laurent1123r3.html", "bonnevay_laurent1123r3")</f>
        <v>0</v>
      </c>
      <c r="N2513">
        <f>HYPERLINK("https://www.wikidata.org/wiki/Q3219051", "Q3219051")</f>
        <v>0</v>
      </c>
      <c r="O2513" t="s">
        <v>19965</v>
      </c>
      <c r="P2513" t="s">
        <v>20412</v>
      </c>
      <c r="Q2513" t="s">
        <v>20587</v>
      </c>
      <c r="R2513" t="s">
        <v>413</v>
      </c>
      <c r="S2513">
        <v>1500</v>
      </c>
    </row>
    <row r="2514" spans="1:19">
      <c r="A2514" t="s">
        <v>23</v>
      </c>
      <c r="B2514" t="s">
        <v>148</v>
      </c>
      <c r="C2514" t="s">
        <v>155</v>
      </c>
      <c r="D2514" t="s">
        <v>284</v>
      </c>
      <c r="E2514" t="s">
        <v>413</v>
      </c>
      <c r="F2514">
        <f>HYPERLINK("https://www.wikidata.org/wiki/Q33728280", "Q33728280")</f>
        <v>0</v>
      </c>
      <c r="G2514" t="s">
        <v>541</v>
      </c>
      <c r="H2514" t="s">
        <v>5305</v>
      </c>
      <c r="I2514" t="s">
        <v>9402</v>
      </c>
      <c r="J2514" t="s">
        <v>11293</v>
      </c>
      <c r="K2514" t="s">
        <v>15693</v>
      </c>
      <c r="L2514">
        <f>HYPERLINK("https://www2.assemblee-nationale.fr/sycomore/fiche/(num_dept)/1016", "1016")</f>
        <v>0</v>
      </c>
      <c r="M2514">
        <f>HYPERLINK("https://www.senat.fr/senateur-3eme-republique/bouctot_georges1611r3.html", "bouctot_georges1611r3")</f>
        <v>0</v>
      </c>
      <c r="N2514">
        <f>HYPERLINK("https://www.wikidata.org/wiki/Q3102338", "Q3102338")</f>
        <v>0</v>
      </c>
      <c r="O2514" t="s">
        <v>19978</v>
      </c>
      <c r="P2514" t="s">
        <v>20412</v>
      </c>
      <c r="Q2514" t="s">
        <v>20587</v>
      </c>
      <c r="R2514" t="s">
        <v>15693</v>
      </c>
      <c r="S2514">
        <v>311</v>
      </c>
    </row>
    <row r="2515" spans="1:19">
      <c r="A2515" t="s">
        <v>23</v>
      </c>
      <c r="B2515" t="s">
        <v>148</v>
      </c>
      <c r="C2515" t="s">
        <v>155</v>
      </c>
      <c r="D2515" t="s">
        <v>284</v>
      </c>
      <c r="E2515" t="s">
        <v>413</v>
      </c>
      <c r="F2515">
        <f>HYPERLINK("https://www.wikidata.org/wiki/Q33728280", "Q33728280")</f>
        <v>0</v>
      </c>
      <c r="G2515" t="s">
        <v>884</v>
      </c>
      <c r="H2515" t="s">
        <v>5640</v>
      </c>
      <c r="I2515" t="s">
        <v>9446</v>
      </c>
      <c r="J2515" t="s">
        <v>11630</v>
      </c>
      <c r="K2515" t="s">
        <v>16030</v>
      </c>
      <c r="L2515">
        <f>HYPERLINK("https://www2.assemblee-nationale.fr/sycomore/fiche/(num_dept)/1043", "1043")</f>
        <v>0</v>
      </c>
      <c r="N2515">
        <f>HYPERLINK("https://www.wikidata.org/wiki/Q459510", "Q459510")</f>
        <v>0</v>
      </c>
      <c r="O2515" t="s">
        <v>19990</v>
      </c>
      <c r="P2515" t="s">
        <v>20404</v>
      </c>
      <c r="Q2515" t="s">
        <v>20587</v>
      </c>
      <c r="R2515" t="s">
        <v>413</v>
      </c>
      <c r="S2515">
        <v>1500</v>
      </c>
    </row>
    <row r="2516" spans="1:19">
      <c r="A2516" t="s">
        <v>23</v>
      </c>
      <c r="B2516" t="s">
        <v>148</v>
      </c>
      <c r="C2516" t="s">
        <v>155</v>
      </c>
      <c r="D2516" t="s">
        <v>284</v>
      </c>
      <c r="E2516" t="s">
        <v>413</v>
      </c>
      <c r="F2516">
        <f>HYPERLINK("https://www.wikidata.org/wiki/Q33728280", "Q33728280")</f>
        <v>0</v>
      </c>
      <c r="G2516" t="s">
        <v>1944</v>
      </c>
      <c r="H2516" t="s">
        <v>6588</v>
      </c>
      <c r="I2516" t="s">
        <v>10011</v>
      </c>
      <c r="J2516" t="s">
        <v>12628</v>
      </c>
      <c r="K2516" t="s">
        <v>16567</v>
      </c>
      <c r="L2516">
        <f>HYPERLINK("https://www2.assemblee-nationale.fr/sycomore/fiche/(num_dept)/1044", "1044")</f>
        <v>0</v>
      </c>
      <c r="N2516">
        <f>HYPERLINK("https://www.wikidata.org/wiki/Q2958594", "Q2958594")</f>
        <v>0</v>
      </c>
      <c r="O2516" t="s">
        <v>19994</v>
      </c>
      <c r="P2516" t="s">
        <v>20412</v>
      </c>
      <c r="Q2516" t="s">
        <v>20587</v>
      </c>
      <c r="R2516" t="s">
        <v>413</v>
      </c>
      <c r="S2516">
        <v>1500</v>
      </c>
    </row>
    <row r="2517" spans="1:19">
      <c r="A2517" t="s">
        <v>23</v>
      </c>
      <c r="B2517" t="s">
        <v>148</v>
      </c>
      <c r="C2517" t="s">
        <v>155</v>
      </c>
      <c r="D2517" t="s">
        <v>284</v>
      </c>
      <c r="E2517" t="s">
        <v>413</v>
      </c>
      <c r="F2517">
        <f>HYPERLINK("https://www.wikidata.org/wiki/Q33728280", "Q33728280")</f>
        <v>0</v>
      </c>
      <c r="G2517" t="s">
        <v>1230</v>
      </c>
      <c r="H2517" t="s">
        <v>5955</v>
      </c>
      <c r="I2517" t="s">
        <v>9715</v>
      </c>
      <c r="J2517" t="s">
        <v>11962</v>
      </c>
      <c r="K2517" t="s">
        <v>16364</v>
      </c>
      <c r="L2517">
        <f>HYPERLINK("https://www2.assemblee-nationale.fr/sycomore/fiche/(num_dept)/1048", "1048")</f>
        <v>0</v>
      </c>
      <c r="N2517">
        <f>HYPERLINK("https://www.wikidata.org/wiki/Q15973886", "Q15973886")</f>
        <v>0</v>
      </c>
      <c r="O2517" t="s">
        <v>19968</v>
      </c>
      <c r="P2517" t="s">
        <v>20412</v>
      </c>
      <c r="Q2517" t="s">
        <v>20587</v>
      </c>
      <c r="R2517" t="s">
        <v>413</v>
      </c>
      <c r="S2517">
        <v>1500</v>
      </c>
    </row>
    <row r="2518" spans="1:19">
      <c r="A2518" t="s">
        <v>23</v>
      </c>
      <c r="B2518" t="s">
        <v>148</v>
      </c>
      <c r="C2518" t="s">
        <v>155</v>
      </c>
      <c r="D2518" t="s">
        <v>284</v>
      </c>
      <c r="E2518" t="s">
        <v>413</v>
      </c>
      <c r="F2518">
        <f>HYPERLINK("https://www.wikidata.org/wiki/Q33728280", "Q33728280")</f>
        <v>0</v>
      </c>
      <c r="G2518" t="s">
        <v>550</v>
      </c>
      <c r="H2518" t="s">
        <v>5313</v>
      </c>
      <c r="I2518" t="s">
        <v>9408</v>
      </c>
      <c r="J2518" t="s">
        <v>11302</v>
      </c>
      <c r="K2518" t="s">
        <v>15702</v>
      </c>
      <c r="L2518">
        <f>HYPERLINK("https://www2.assemblee-nationale.fr/sycomore/fiche/(num_dept)/1147", "1147")</f>
        <v>0</v>
      </c>
      <c r="N2518">
        <f>HYPERLINK("https://www.wikidata.org/wiki/Q3270443", "Q3270443")</f>
        <v>0</v>
      </c>
      <c r="O2518" t="s">
        <v>19995</v>
      </c>
      <c r="P2518" t="s">
        <v>20428</v>
      </c>
      <c r="Q2518" t="s">
        <v>20587</v>
      </c>
      <c r="R2518" t="s">
        <v>413</v>
      </c>
      <c r="S2518">
        <v>1500</v>
      </c>
    </row>
    <row r="2519" spans="1:19">
      <c r="A2519" t="s">
        <v>23</v>
      </c>
      <c r="B2519" t="s">
        <v>148</v>
      </c>
      <c r="C2519" t="s">
        <v>155</v>
      </c>
      <c r="D2519" t="s">
        <v>284</v>
      </c>
      <c r="E2519" t="s">
        <v>413</v>
      </c>
      <c r="F2519">
        <f>HYPERLINK("https://www.wikidata.org/wiki/Q33728280", "Q33728280")</f>
        <v>0</v>
      </c>
      <c r="G2519" t="s">
        <v>1734</v>
      </c>
      <c r="H2519" t="s">
        <v>6407</v>
      </c>
      <c r="I2519" t="s">
        <v>9916</v>
      </c>
      <c r="J2519" t="s">
        <v>12435</v>
      </c>
      <c r="K2519" t="s">
        <v>16843</v>
      </c>
      <c r="L2519">
        <f>HYPERLINK("https://www2.assemblee-nationale.fr/sycomore/fiche/(num_dept)/1195", "1195")</f>
        <v>0</v>
      </c>
      <c r="N2519">
        <f>HYPERLINK("https://www.wikidata.org/wiki/Q3102377", "Q3102377")</f>
        <v>0</v>
      </c>
      <c r="O2519" t="s">
        <v>19998</v>
      </c>
      <c r="P2519" t="s">
        <v>20422</v>
      </c>
      <c r="Q2519" t="s">
        <v>20587</v>
      </c>
      <c r="R2519" t="s">
        <v>413</v>
      </c>
      <c r="S2519">
        <v>1500</v>
      </c>
    </row>
    <row r="2520" spans="1:19">
      <c r="A2520" t="s">
        <v>23</v>
      </c>
      <c r="B2520" t="s">
        <v>148</v>
      </c>
      <c r="C2520" t="s">
        <v>155</v>
      </c>
      <c r="D2520" t="s">
        <v>284</v>
      </c>
      <c r="E2520" t="s">
        <v>413</v>
      </c>
      <c r="F2520">
        <f>HYPERLINK("https://www.wikidata.org/wiki/Q33728280", "Q33728280")</f>
        <v>0</v>
      </c>
      <c r="G2520" t="s">
        <v>553</v>
      </c>
      <c r="H2520" t="s">
        <v>5316</v>
      </c>
      <c r="I2520" t="s">
        <v>9411</v>
      </c>
      <c r="J2520" t="s">
        <v>11304</v>
      </c>
      <c r="K2520" t="s">
        <v>15705</v>
      </c>
      <c r="L2520">
        <f>HYPERLINK("https://www2.assemblee-nationale.fr/sycomore/fiche/(num_dept)/1211", "1211")</f>
        <v>0</v>
      </c>
      <c r="N2520">
        <f>HYPERLINK("https://www.wikidata.org/wiki/Q179888", "Q179888")</f>
        <v>0</v>
      </c>
      <c r="O2520" t="s">
        <v>20023</v>
      </c>
      <c r="P2520" t="s">
        <v>20406</v>
      </c>
      <c r="Q2520" t="s">
        <v>20587</v>
      </c>
      <c r="R2520" t="s">
        <v>15705</v>
      </c>
      <c r="S2520">
        <v>1415</v>
      </c>
    </row>
    <row r="2521" spans="1:19">
      <c r="A2521" t="s">
        <v>23</v>
      </c>
      <c r="B2521" t="s">
        <v>148</v>
      </c>
      <c r="C2521" t="s">
        <v>155</v>
      </c>
      <c r="D2521" t="s">
        <v>284</v>
      </c>
      <c r="E2521" t="s">
        <v>413</v>
      </c>
      <c r="F2521">
        <f>HYPERLINK("https://www.wikidata.org/wiki/Q33728280", "Q33728280")</f>
        <v>0</v>
      </c>
      <c r="G2521" t="s">
        <v>1390</v>
      </c>
      <c r="H2521" t="s">
        <v>6101</v>
      </c>
      <c r="I2521" t="s">
        <v>6495</v>
      </c>
      <c r="J2521" t="s">
        <v>12116</v>
      </c>
      <c r="K2521" t="s">
        <v>16517</v>
      </c>
      <c r="L2521">
        <f>HYPERLINK("https://www2.assemblee-nationale.fr/sycomore/fiche/(num_dept)/1235", "1235")</f>
        <v>0</v>
      </c>
      <c r="M2521">
        <f>HYPERLINK("https://www.senat.fr/senateur-3eme-republique/bringer_louis0862r3.html", "bringer_louis0862r3")</f>
        <v>0</v>
      </c>
      <c r="N2521">
        <f>HYPERLINK("https://www.wikidata.org/wiki/Q3261361", "Q3261361")</f>
        <v>0</v>
      </c>
      <c r="O2521" t="s">
        <v>20004</v>
      </c>
      <c r="P2521" t="s">
        <v>20407</v>
      </c>
      <c r="Q2521" t="s">
        <v>20587</v>
      </c>
      <c r="R2521" t="s">
        <v>21416</v>
      </c>
      <c r="S2521">
        <v>1382</v>
      </c>
    </row>
    <row r="2522" spans="1:19">
      <c r="A2522" t="s">
        <v>23</v>
      </c>
      <c r="B2522" t="s">
        <v>148</v>
      </c>
      <c r="C2522" t="s">
        <v>155</v>
      </c>
      <c r="D2522" t="s">
        <v>284</v>
      </c>
      <c r="E2522" t="s">
        <v>413</v>
      </c>
      <c r="F2522">
        <f>HYPERLINK("https://www.wikidata.org/wiki/Q33728280", "Q33728280")</f>
        <v>0</v>
      </c>
      <c r="G2522" t="s">
        <v>1740</v>
      </c>
      <c r="H2522" t="s">
        <v>6412</v>
      </c>
      <c r="I2522" t="s">
        <v>9407</v>
      </c>
      <c r="J2522" t="s">
        <v>12441</v>
      </c>
      <c r="K2522" t="s">
        <v>16848</v>
      </c>
      <c r="L2522">
        <f>HYPERLINK("https://www2.assemblee-nationale.fr/sycomore/fiche/(num_dept)/1254", "1254")</f>
        <v>0</v>
      </c>
      <c r="M2522">
        <f>HYPERLINK("https://www.senat.fr/senateur-3eme-republique/brom_joseph1111r3.html", "brom_joseph1111r3")</f>
        <v>0</v>
      </c>
      <c r="N2522">
        <f>HYPERLINK("https://www.wikidata.org/wiki/Q104941", "Q104941")</f>
        <v>0</v>
      </c>
      <c r="O2522" t="s">
        <v>20049</v>
      </c>
      <c r="P2522" t="s">
        <v>20430</v>
      </c>
      <c r="Q2522" t="s">
        <v>20587</v>
      </c>
      <c r="R2522" t="s">
        <v>413</v>
      </c>
      <c r="S2522">
        <v>1500</v>
      </c>
    </row>
    <row r="2523" spans="1:19">
      <c r="A2523" t="s">
        <v>23</v>
      </c>
      <c r="B2523" t="s">
        <v>148</v>
      </c>
      <c r="C2523" t="s">
        <v>155</v>
      </c>
      <c r="D2523" t="s">
        <v>284</v>
      </c>
      <c r="E2523" t="s">
        <v>413</v>
      </c>
      <c r="F2523">
        <f>HYPERLINK("https://www.wikidata.org/wiki/Q33728280", "Q33728280")</f>
        <v>0</v>
      </c>
      <c r="G2523" t="s">
        <v>1741</v>
      </c>
      <c r="H2523" t="s">
        <v>5650</v>
      </c>
      <c r="I2523" t="s">
        <v>9921</v>
      </c>
      <c r="J2523" t="s">
        <v>12442</v>
      </c>
      <c r="K2523" t="s">
        <v>16849</v>
      </c>
      <c r="L2523">
        <f>HYPERLINK("https://www2.assemblee-nationale.fr/sycomore/fiche/(num_dept)/1283", "1283")</f>
        <v>0</v>
      </c>
      <c r="N2523">
        <f>HYPERLINK("https://www.wikidata.org/wiki/Q2871093", "Q2871093")</f>
        <v>0</v>
      </c>
      <c r="O2523" t="s">
        <v>19963</v>
      </c>
      <c r="P2523" t="s">
        <v>20431</v>
      </c>
      <c r="Q2523" t="s">
        <v>20587</v>
      </c>
      <c r="R2523" t="s">
        <v>413</v>
      </c>
      <c r="S2523">
        <v>1500</v>
      </c>
    </row>
    <row r="2524" spans="1:19">
      <c r="A2524" t="s">
        <v>23</v>
      </c>
      <c r="B2524" t="s">
        <v>148</v>
      </c>
      <c r="C2524" t="s">
        <v>155</v>
      </c>
      <c r="D2524" t="s">
        <v>284</v>
      </c>
      <c r="E2524" t="s">
        <v>413</v>
      </c>
      <c r="F2524">
        <f>HYPERLINK("https://www.wikidata.org/wiki/Q33728280", "Q33728280")</f>
        <v>0</v>
      </c>
      <c r="G2524" t="s">
        <v>896</v>
      </c>
      <c r="H2524" t="s">
        <v>5652</v>
      </c>
      <c r="I2524" t="s">
        <v>6175</v>
      </c>
      <c r="J2524" t="s">
        <v>11642</v>
      </c>
      <c r="K2524" t="s">
        <v>16041</v>
      </c>
      <c r="L2524">
        <f>HYPERLINK("https://www2.assemblee-nationale.fr/sycomore/fiche/(num_dept)/1313", "1313")</f>
        <v>0</v>
      </c>
      <c r="N2524">
        <f>HYPERLINK("https://www.wikidata.org/wiki/Q3102398", "Q3102398")</f>
        <v>0</v>
      </c>
      <c r="O2524" t="s">
        <v>19978</v>
      </c>
      <c r="P2524" t="s">
        <v>20412</v>
      </c>
      <c r="Q2524" t="s">
        <v>20587</v>
      </c>
      <c r="R2524" t="s">
        <v>413</v>
      </c>
      <c r="S2524">
        <v>1500</v>
      </c>
    </row>
    <row r="2525" spans="1:19">
      <c r="A2525" t="s">
        <v>23</v>
      </c>
      <c r="B2525" t="s">
        <v>148</v>
      </c>
      <c r="C2525" t="s">
        <v>155</v>
      </c>
      <c r="D2525" t="s">
        <v>284</v>
      </c>
      <c r="E2525" t="s">
        <v>413</v>
      </c>
      <c r="F2525">
        <f>HYPERLINK("https://www.wikidata.org/wiki/Q33728280", "Q33728280")</f>
        <v>0</v>
      </c>
      <c r="G2525" t="s">
        <v>559</v>
      </c>
      <c r="H2525" t="s">
        <v>5322</v>
      </c>
      <c r="I2525" t="s">
        <v>5948</v>
      </c>
      <c r="J2525" t="s">
        <v>11310</v>
      </c>
      <c r="K2525" t="s">
        <v>15711</v>
      </c>
      <c r="L2525">
        <f>HYPERLINK("https://www2.assemblee-nationale.fr/sycomore/fiche/(num_dept)/1347", "1347")</f>
        <v>0</v>
      </c>
      <c r="N2525">
        <f>HYPERLINK("https://www.wikidata.org/wiki/Q822341", "Q822341")</f>
        <v>0</v>
      </c>
      <c r="O2525" t="s">
        <v>19990</v>
      </c>
      <c r="P2525" t="s">
        <v>20404</v>
      </c>
      <c r="Q2525" t="s">
        <v>20587</v>
      </c>
      <c r="R2525" t="s">
        <v>15711</v>
      </c>
      <c r="S2525">
        <v>831</v>
      </c>
    </row>
    <row r="2526" spans="1:19">
      <c r="A2526" t="s">
        <v>23</v>
      </c>
      <c r="B2526" t="s">
        <v>148</v>
      </c>
      <c r="C2526" t="s">
        <v>155</v>
      </c>
      <c r="D2526" t="s">
        <v>284</v>
      </c>
      <c r="E2526" t="s">
        <v>413</v>
      </c>
      <c r="F2526">
        <f>HYPERLINK("https://www.wikidata.org/wiki/Q33728280", "Q33728280")</f>
        <v>0</v>
      </c>
      <c r="G2526" t="s">
        <v>1156</v>
      </c>
      <c r="H2526" t="s">
        <v>5890</v>
      </c>
      <c r="I2526" t="s">
        <v>9684</v>
      </c>
      <c r="J2526" t="s">
        <v>11890</v>
      </c>
      <c r="K2526" t="s">
        <v>16291</v>
      </c>
      <c r="L2526">
        <f>HYPERLINK("https://www2.assemblee-nationale.fr/sycomore/fiche/(num_dept)/1353", "1353")</f>
        <v>0</v>
      </c>
      <c r="M2526">
        <f>HYPERLINK("https://www.senat.fr/senateur-3eme-republique/cadot_henri0980r3.html", "cadot_henri0980r3")</f>
        <v>0</v>
      </c>
      <c r="N2526">
        <f>HYPERLINK("https://www.wikidata.org/wiki/Q3130771", "Q3130771")</f>
        <v>0</v>
      </c>
      <c r="O2526" t="s">
        <v>19968</v>
      </c>
      <c r="P2526" t="s">
        <v>20404</v>
      </c>
      <c r="Q2526" t="s">
        <v>20587</v>
      </c>
      <c r="R2526" t="s">
        <v>21417</v>
      </c>
      <c r="S2526">
        <v>1021</v>
      </c>
    </row>
    <row r="2527" spans="1:19">
      <c r="A2527" t="s">
        <v>23</v>
      </c>
      <c r="B2527" t="s">
        <v>148</v>
      </c>
      <c r="C2527" t="s">
        <v>155</v>
      </c>
      <c r="D2527" t="s">
        <v>284</v>
      </c>
      <c r="E2527" t="s">
        <v>413</v>
      </c>
      <c r="F2527">
        <f>HYPERLINK("https://www.wikidata.org/wiki/Q33728280", "Q33728280")</f>
        <v>0</v>
      </c>
      <c r="G2527" t="s">
        <v>561</v>
      </c>
      <c r="H2527" t="s">
        <v>5324</v>
      </c>
      <c r="I2527" t="s">
        <v>9416</v>
      </c>
      <c r="J2527" t="s">
        <v>11312</v>
      </c>
      <c r="K2527" t="s">
        <v>15713</v>
      </c>
      <c r="L2527">
        <f>HYPERLINK("https://www2.assemblee-nationale.fr/sycomore/fiche/(num_dept)/1408", "1408")</f>
        <v>0</v>
      </c>
      <c r="N2527">
        <f>HYPERLINK("https://www.wikidata.org/wiki/Q15974169", "Q15974169")</f>
        <v>0</v>
      </c>
      <c r="O2527" t="s">
        <v>20002</v>
      </c>
      <c r="P2527" t="s">
        <v>20428</v>
      </c>
      <c r="Q2527" t="s">
        <v>20587</v>
      </c>
      <c r="R2527" t="s">
        <v>413</v>
      </c>
      <c r="S2527">
        <v>1500</v>
      </c>
    </row>
    <row r="2528" spans="1:19">
      <c r="A2528" t="s">
        <v>23</v>
      </c>
      <c r="B2528" t="s">
        <v>148</v>
      </c>
      <c r="C2528" t="s">
        <v>155</v>
      </c>
      <c r="D2528" t="s">
        <v>284</v>
      </c>
      <c r="E2528" t="s">
        <v>413</v>
      </c>
      <c r="F2528">
        <f>HYPERLINK("https://www.wikidata.org/wiki/Q33728280", "Q33728280")</f>
        <v>0</v>
      </c>
      <c r="G2528" t="s">
        <v>1749</v>
      </c>
      <c r="H2528" t="s">
        <v>6419</v>
      </c>
      <c r="I2528" t="s">
        <v>9928</v>
      </c>
      <c r="J2528" t="s">
        <v>11879</v>
      </c>
      <c r="K2528" t="s">
        <v>16857</v>
      </c>
      <c r="L2528">
        <f>HYPERLINK("https://www2.assemblee-nationale.fr/sycomore/fiche/(num_dept)/1470", "1470")</f>
        <v>0</v>
      </c>
      <c r="N2528">
        <f>HYPERLINK("https://www.wikidata.org/wiki/Q3143572", "Q3143572")</f>
        <v>0</v>
      </c>
      <c r="O2528" t="s">
        <v>19988</v>
      </c>
      <c r="P2528" t="s">
        <v>20428</v>
      </c>
      <c r="Q2528" t="s">
        <v>20587</v>
      </c>
      <c r="R2528" t="s">
        <v>413</v>
      </c>
      <c r="S2528">
        <v>1500</v>
      </c>
    </row>
    <row r="2529" spans="1:19">
      <c r="A2529" t="s">
        <v>23</v>
      </c>
      <c r="B2529" t="s">
        <v>148</v>
      </c>
      <c r="C2529" t="s">
        <v>155</v>
      </c>
      <c r="D2529" t="s">
        <v>284</v>
      </c>
      <c r="E2529" t="s">
        <v>413</v>
      </c>
      <c r="F2529">
        <f>HYPERLINK("https://www.wikidata.org/wiki/Q33728280", "Q33728280")</f>
        <v>0</v>
      </c>
      <c r="G2529" t="s">
        <v>1401</v>
      </c>
      <c r="H2529" t="s">
        <v>6112</v>
      </c>
      <c r="I2529" t="s">
        <v>5528</v>
      </c>
      <c r="J2529" t="s">
        <v>11473</v>
      </c>
      <c r="K2529" t="s">
        <v>16528</v>
      </c>
      <c r="L2529">
        <f>HYPERLINK("https://www2.assemblee-nationale.fr/sycomore/fiche/(num_dept)/1500", "1500")</f>
        <v>0</v>
      </c>
      <c r="N2529">
        <f>HYPERLINK("https://www.wikidata.org/wiki/Q3270798", "Q3270798")</f>
        <v>0</v>
      </c>
      <c r="O2529" t="s">
        <v>19960</v>
      </c>
      <c r="P2529" t="s">
        <v>20428</v>
      </c>
      <c r="Q2529" t="s">
        <v>20587</v>
      </c>
      <c r="R2529" t="s">
        <v>413</v>
      </c>
      <c r="S2529">
        <v>1500</v>
      </c>
    </row>
    <row r="2530" spans="1:19">
      <c r="A2530" t="s">
        <v>23</v>
      </c>
      <c r="B2530" t="s">
        <v>148</v>
      </c>
      <c r="C2530" t="s">
        <v>155</v>
      </c>
      <c r="D2530" t="s">
        <v>284</v>
      </c>
      <c r="E2530" t="s">
        <v>413</v>
      </c>
      <c r="F2530">
        <f>HYPERLINK("https://www.wikidata.org/wiki/Q33728280", "Q33728280")</f>
        <v>0</v>
      </c>
      <c r="G2530" t="s">
        <v>1405</v>
      </c>
      <c r="H2530" t="s">
        <v>6115</v>
      </c>
      <c r="I2530" t="s">
        <v>9506</v>
      </c>
      <c r="J2530" t="s">
        <v>12130</v>
      </c>
      <c r="K2530" t="s">
        <v>16532</v>
      </c>
      <c r="L2530">
        <f>HYPERLINK("https://www2.assemblee-nationale.fr/sycomore/fiche/(num_dept)/1536", "1536")</f>
        <v>0</v>
      </c>
      <c r="M2530">
        <f>HYPERLINK("https://www.senat.fr/senateur-3eme-republique/cautru_camille0339r3.html", "cautru_camille0339r3")</f>
        <v>0</v>
      </c>
      <c r="N2530">
        <f>HYPERLINK("https://www.wikidata.org/wiki/Q2934880", "Q2934880")</f>
        <v>0</v>
      </c>
      <c r="O2530" t="s">
        <v>20009</v>
      </c>
      <c r="P2530" t="s">
        <v>20422</v>
      </c>
      <c r="Q2530" t="s">
        <v>20587</v>
      </c>
      <c r="R2530" t="s">
        <v>413</v>
      </c>
      <c r="S2530">
        <v>1500</v>
      </c>
    </row>
    <row r="2531" spans="1:19">
      <c r="A2531" t="s">
        <v>23</v>
      </c>
      <c r="B2531" t="s">
        <v>148</v>
      </c>
      <c r="C2531" t="s">
        <v>155</v>
      </c>
      <c r="D2531" t="s">
        <v>284</v>
      </c>
      <c r="E2531" t="s">
        <v>413</v>
      </c>
      <c r="F2531">
        <f>HYPERLINK("https://www.wikidata.org/wiki/Q33728280", "Q33728280")</f>
        <v>0</v>
      </c>
      <c r="G2531" t="s">
        <v>565</v>
      </c>
      <c r="H2531" t="s">
        <v>5328</v>
      </c>
      <c r="I2531" t="s">
        <v>6860</v>
      </c>
      <c r="J2531" t="s">
        <v>11316</v>
      </c>
      <c r="K2531" t="s">
        <v>15717</v>
      </c>
      <c r="L2531">
        <f>HYPERLINK("https://www2.assemblee-nationale.fr/sycomore/fiche/(num_dept)/1623", "1623")</f>
        <v>0</v>
      </c>
      <c r="M2531">
        <f>HYPERLINK("https://www.senat.fr/senateur-3eme-republique/de_chambrun_pierre0856r3.html", "de_chambrun_pierre0856r3")</f>
        <v>0</v>
      </c>
      <c r="N2531">
        <f>HYPERLINK("https://www.wikidata.org/wiki/Q3042196", "Q3042196")</f>
        <v>0</v>
      </c>
      <c r="O2531" t="s">
        <v>20004</v>
      </c>
      <c r="P2531" t="s">
        <v>20407</v>
      </c>
      <c r="Q2531" t="s">
        <v>20587</v>
      </c>
      <c r="R2531" t="s">
        <v>413</v>
      </c>
      <c r="S2531">
        <v>1500</v>
      </c>
    </row>
    <row r="2532" spans="1:19">
      <c r="A2532" t="s">
        <v>23</v>
      </c>
      <c r="B2532" t="s">
        <v>148</v>
      </c>
      <c r="C2532" t="s">
        <v>155</v>
      </c>
      <c r="D2532" t="s">
        <v>284</v>
      </c>
      <c r="E2532" t="s">
        <v>413</v>
      </c>
      <c r="F2532">
        <f>HYPERLINK("https://www.wikidata.org/wiki/Q33728280", "Q33728280")</f>
        <v>0</v>
      </c>
      <c r="G2532" t="s">
        <v>1754</v>
      </c>
      <c r="H2532" t="s">
        <v>6424</v>
      </c>
      <c r="I2532" t="s">
        <v>9552</v>
      </c>
      <c r="J2532" t="s">
        <v>12454</v>
      </c>
      <c r="K2532" t="s">
        <v>16860</v>
      </c>
      <c r="L2532">
        <f>HYPERLINK("https://www2.assemblee-nationale.fr/sycomore/fiche/(num_dept)/1631", "1631")</f>
        <v>0</v>
      </c>
      <c r="M2532">
        <f>HYPERLINK("https://www.senat.fr/senateur-3eme-republique/champetier_de_ribes_auguste0517r4.html", "champetier_de_ribes_auguste0517r4")</f>
        <v>0</v>
      </c>
      <c r="N2532">
        <f>HYPERLINK("https://www.wikidata.org/wiki/Q478746", "Q478746")</f>
        <v>0</v>
      </c>
      <c r="O2532" t="s">
        <v>19970</v>
      </c>
      <c r="P2532" t="s">
        <v>20430</v>
      </c>
      <c r="Q2532" t="s">
        <v>20587</v>
      </c>
      <c r="R2532" t="s">
        <v>413</v>
      </c>
      <c r="S2532">
        <v>1500</v>
      </c>
    </row>
    <row r="2533" spans="1:19">
      <c r="A2533" t="s">
        <v>23</v>
      </c>
      <c r="B2533" t="s">
        <v>148</v>
      </c>
      <c r="C2533" t="s">
        <v>155</v>
      </c>
      <c r="D2533" t="s">
        <v>284</v>
      </c>
      <c r="E2533" t="s">
        <v>413</v>
      </c>
      <c r="F2533">
        <f>HYPERLINK("https://www.wikidata.org/wiki/Q33728280", "Q33728280")</f>
        <v>0</v>
      </c>
      <c r="G2533" t="s">
        <v>906</v>
      </c>
      <c r="H2533" t="s">
        <v>5662</v>
      </c>
      <c r="I2533" t="s">
        <v>6495</v>
      </c>
      <c r="J2533" t="s">
        <v>11377</v>
      </c>
      <c r="K2533" t="s">
        <v>16050</v>
      </c>
      <c r="L2533">
        <f>HYPERLINK("https://www2.assemblee-nationale.fr/sycomore/fiche/(num_dept)/1648", "1648")</f>
        <v>0</v>
      </c>
      <c r="N2533">
        <f>HYPERLINK("https://www.wikidata.org/wiki/Q3263418", "Q3263418")</f>
        <v>0</v>
      </c>
      <c r="O2533" t="s">
        <v>19964</v>
      </c>
      <c r="P2533" t="s">
        <v>20401</v>
      </c>
      <c r="Q2533" t="s">
        <v>20587</v>
      </c>
      <c r="R2533" t="s">
        <v>413</v>
      </c>
      <c r="S2533">
        <v>1500</v>
      </c>
    </row>
    <row r="2534" spans="1:19">
      <c r="A2534" t="s">
        <v>23</v>
      </c>
      <c r="B2534" t="s">
        <v>148</v>
      </c>
      <c r="C2534" t="s">
        <v>155</v>
      </c>
      <c r="D2534" t="s">
        <v>284</v>
      </c>
      <c r="E2534" t="s">
        <v>413</v>
      </c>
      <c r="F2534">
        <f>HYPERLINK("https://www.wikidata.org/wiki/Q33728280", "Q33728280")</f>
        <v>0</v>
      </c>
      <c r="G2534" t="s">
        <v>1407</v>
      </c>
      <c r="H2534" t="s">
        <v>6117</v>
      </c>
      <c r="I2534" t="s">
        <v>9798</v>
      </c>
      <c r="J2534" t="s">
        <v>12132</v>
      </c>
      <c r="K2534" t="s">
        <v>16534</v>
      </c>
      <c r="L2534">
        <f>HYPERLINK("https://www2.assemblee-nationale.fr/sycomore/fiche/(num_dept)/1692", "1692")</f>
        <v>0</v>
      </c>
      <c r="N2534">
        <f>HYPERLINK("https://www.wikidata.org/wiki/Q3370851", "Q3370851")</f>
        <v>0</v>
      </c>
      <c r="O2534" t="s">
        <v>19969</v>
      </c>
      <c r="P2534" t="s">
        <v>20422</v>
      </c>
      <c r="Q2534" t="s">
        <v>20587</v>
      </c>
      <c r="R2534" t="s">
        <v>413</v>
      </c>
      <c r="S2534">
        <v>1500</v>
      </c>
    </row>
    <row r="2535" spans="1:19">
      <c r="A2535" t="s">
        <v>23</v>
      </c>
      <c r="B2535" t="s">
        <v>148</v>
      </c>
      <c r="C2535" t="s">
        <v>155</v>
      </c>
      <c r="D2535" t="s">
        <v>284</v>
      </c>
      <c r="E2535" t="s">
        <v>413</v>
      </c>
      <c r="F2535">
        <f>HYPERLINK("https://www.wikidata.org/wiki/Q33728280", "Q33728280")</f>
        <v>0</v>
      </c>
      <c r="G2535" t="s">
        <v>1756</v>
      </c>
      <c r="H2535" t="s">
        <v>6426</v>
      </c>
      <c r="I2535" t="s">
        <v>9933</v>
      </c>
      <c r="J2535" t="s">
        <v>12456</v>
      </c>
      <c r="K2535" t="s">
        <v>16862</v>
      </c>
      <c r="L2535">
        <f>HYPERLINK("https://www2.assemblee-nationale.fr/sycomore/fiche/(num_dept)/1698", "1698")</f>
        <v>0</v>
      </c>
      <c r="N2535">
        <f>HYPERLINK("https://www.wikidata.org/wiki/Q3166703", "Q3166703")</f>
        <v>0</v>
      </c>
      <c r="O2535" t="s">
        <v>20006</v>
      </c>
      <c r="P2535" t="s">
        <v>20404</v>
      </c>
      <c r="Q2535" t="s">
        <v>20587</v>
      </c>
      <c r="R2535" t="s">
        <v>413</v>
      </c>
      <c r="S2535">
        <v>1500</v>
      </c>
    </row>
    <row r="2536" spans="1:19">
      <c r="A2536" t="s">
        <v>23</v>
      </c>
      <c r="B2536" t="s">
        <v>148</v>
      </c>
      <c r="C2536" t="s">
        <v>155</v>
      </c>
      <c r="D2536" t="s">
        <v>284</v>
      </c>
      <c r="E2536" t="s">
        <v>413</v>
      </c>
      <c r="F2536">
        <f>HYPERLINK("https://www.wikidata.org/wiki/Q33728280", "Q33728280")</f>
        <v>0</v>
      </c>
      <c r="G2536" t="s">
        <v>572</v>
      </c>
      <c r="H2536" t="s">
        <v>5335</v>
      </c>
      <c r="I2536" t="s">
        <v>9425</v>
      </c>
      <c r="J2536" t="s">
        <v>11323</v>
      </c>
      <c r="K2536" t="s">
        <v>15724</v>
      </c>
      <c r="L2536">
        <f>HYPERLINK("https://www2.assemblee-nationale.fr/sycomore/fiche/(num_dept)/1713", "1713")</f>
        <v>0</v>
      </c>
      <c r="N2536">
        <f>HYPERLINK("https://www.wikidata.org/wiki/Q3171275", "Q3171275")</f>
        <v>0</v>
      </c>
      <c r="O2536" t="s">
        <v>19984</v>
      </c>
      <c r="P2536" t="s">
        <v>20401</v>
      </c>
      <c r="Q2536" t="s">
        <v>20587</v>
      </c>
      <c r="R2536" t="s">
        <v>413</v>
      </c>
      <c r="S2536">
        <v>1500</v>
      </c>
    </row>
    <row r="2537" spans="1:19">
      <c r="A2537" t="s">
        <v>23</v>
      </c>
      <c r="B2537" t="s">
        <v>148</v>
      </c>
      <c r="C2537" t="s">
        <v>155</v>
      </c>
      <c r="D2537" t="s">
        <v>284</v>
      </c>
      <c r="E2537" t="s">
        <v>413</v>
      </c>
      <c r="F2537">
        <f>HYPERLINK("https://www.wikidata.org/wiki/Q33728280", "Q33728280")</f>
        <v>0</v>
      </c>
      <c r="G2537" t="s">
        <v>1130</v>
      </c>
      <c r="H2537" t="s">
        <v>5867</v>
      </c>
      <c r="I2537" t="s">
        <v>9445</v>
      </c>
      <c r="J2537" t="s">
        <v>11864</v>
      </c>
      <c r="K2537" t="s">
        <v>16266</v>
      </c>
      <c r="L2537">
        <f>HYPERLINK("https://www2.assemblee-nationale.fr/sycomore/fiche/(num_dept)/1941", "1941")</f>
        <v>0</v>
      </c>
      <c r="N2537">
        <f>HYPERLINK("https://www.wikidata.org/wiki/Q16025480", "Q16025480")</f>
        <v>0</v>
      </c>
      <c r="O2537" t="s">
        <v>20045</v>
      </c>
      <c r="P2537" t="s">
        <v>20422</v>
      </c>
      <c r="Q2537" t="s">
        <v>20587</v>
      </c>
      <c r="R2537" t="s">
        <v>16266</v>
      </c>
      <c r="S2537">
        <v>1390</v>
      </c>
    </row>
    <row r="2538" spans="1:19">
      <c r="A2538" t="s">
        <v>23</v>
      </c>
      <c r="B2538" t="s">
        <v>148</v>
      </c>
      <c r="C2538" t="s">
        <v>155</v>
      </c>
      <c r="D2538" t="s">
        <v>284</v>
      </c>
      <c r="E2538" t="s">
        <v>413</v>
      </c>
      <c r="F2538">
        <f>HYPERLINK("https://www.wikidata.org/wiki/Q33728280", "Q33728280")</f>
        <v>0</v>
      </c>
      <c r="G2538" t="s">
        <v>1945</v>
      </c>
      <c r="H2538" t="s">
        <v>6589</v>
      </c>
      <c r="I2538" t="s">
        <v>10012</v>
      </c>
      <c r="J2538" t="s">
        <v>12629</v>
      </c>
      <c r="K2538" t="s">
        <v>17039</v>
      </c>
      <c r="L2538">
        <f>HYPERLINK("https://www2.assemblee-nationale.fr/sycomore/fiche/(num_dept)/1952", "1952")</f>
        <v>0</v>
      </c>
      <c r="N2538">
        <f>HYPERLINK("https://www.wikidata.org/wiki/Q61695362", "Q61695362")</f>
        <v>0</v>
      </c>
      <c r="O2538" t="s">
        <v>19983</v>
      </c>
      <c r="P2538" t="s">
        <v>20428</v>
      </c>
      <c r="Q2538" t="s">
        <v>20587</v>
      </c>
      <c r="R2538" t="s">
        <v>413</v>
      </c>
      <c r="S2538">
        <v>1500</v>
      </c>
    </row>
    <row r="2539" spans="1:19">
      <c r="A2539" t="s">
        <v>23</v>
      </c>
      <c r="B2539" t="s">
        <v>148</v>
      </c>
      <c r="C2539" t="s">
        <v>155</v>
      </c>
      <c r="D2539" t="s">
        <v>284</v>
      </c>
      <c r="E2539" t="s">
        <v>413</v>
      </c>
      <c r="F2539">
        <f>HYPERLINK("https://www.wikidata.org/wiki/Q33728280", "Q33728280")</f>
        <v>0</v>
      </c>
      <c r="G2539" t="s">
        <v>1946</v>
      </c>
      <c r="H2539" t="s">
        <v>6590</v>
      </c>
      <c r="I2539" t="s">
        <v>6860</v>
      </c>
      <c r="J2539" t="s">
        <v>12630</v>
      </c>
      <c r="K2539" t="s">
        <v>17040</v>
      </c>
      <c r="L2539">
        <f>HYPERLINK("https://www2.assemblee-nationale.fr/sycomore/fiche/(num_dept)/1997", "1997")</f>
        <v>0</v>
      </c>
      <c r="N2539">
        <f>HYPERLINK("https://www.wikidata.org/wiki/Q2274693", "Q2274693")</f>
        <v>0</v>
      </c>
      <c r="O2539" t="s">
        <v>19988</v>
      </c>
      <c r="P2539" t="s">
        <v>20428</v>
      </c>
      <c r="Q2539" t="s">
        <v>20587</v>
      </c>
      <c r="R2539" t="s">
        <v>413</v>
      </c>
      <c r="S2539">
        <v>1500</v>
      </c>
    </row>
    <row r="2540" spans="1:19">
      <c r="A2540" t="s">
        <v>23</v>
      </c>
      <c r="B2540" t="s">
        <v>148</v>
      </c>
      <c r="C2540" t="s">
        <v>155</v>
      </c>
      <c r="D2540" t="s">
        <v>284</v>
      </c>
      <c r="E2540" t="s">
        <v>413</v>
      </c>
      <c r="F2540">
        <f>HYPERLINK("https://www.wikidata.org/wiki/Q33728280", "Q33728280")</f>
        <v>0</v>
      </c>
      <c r="G2540" t="s">
        <v>1692</v>
      </c>
      <c r="H2540" t="s">
        <v>6370</v>
      </c>
      <c r="I2540" t="s">
        <v>9476</v>
      </c>
      <c r="J2540" t="s">
        <v>12396</v>
      </c>
      <c r="K2540" t="s">
        <v>16804</v>
      </c>
      <c r="L2540">
        <f>HYPERLINK("https://www2.assemblee-nationale.fr/sycomore/fiche/(num_dept)/2000", "2000")</f>
        <v>0</v>
      </c>
      <c r="M2540">
        <f>HYPERLINK("https://www.senat.fr/senateur-3eme-republique/coty_rene0134r4.html", "coty_rene0134r4")</f>
        <v>0</v>
      </c>
      <c r="N2540">
        <f>HYPERLINK("https://www.wikidata.org/wiki/Q158768", "Q158768")</f>
        <v>0</v>
      </c>
      <c r="O2540" t="s">
        <v>19978</v>
      </c>
      <c r="P2540" t="s">
        <v>20412</v>
      </c>
      <c r="Q2540" t="s">
        <v>20587</v>
      </c>
      <c r="R2540" t="s">
        <v>413</v>
      </c>
      <c r="S2540">
        <v>1500</v>
      </c>
    </row>
    <row r="2541" spans="1:19">
      <c r="A2541" t="s">
        <v>23</v>
      </c>
      <c r="B2541" t="s">
        <v>148</v>
      </c>
      <c r="C2541" t="s">
        <v>155</v>
      </c>
      <c r="D2541" t="s">
        <v>284</v>
      </c>
      <c r="E2541" t="s">
        <v>413</v>
      </c>
      <c r="F2541">
        <f>HYPERLINK("https://www.wikidata.org/wiki/Q33728280", "Q33728280")</f>
        <v>0</v>
      </c>
      <c r="G2541" t="s">
        <v>1947</v>
      </c>
      <c r="H2541" t="s">
        <v>5357</v>
      </c>
      <c r="I2541" t="s">
        <v>10013</v>
      </c>
      <c r="J2541" t="s">
        <v>12631</v>
      </c>
      <c r="K2541" t="s">
        <v>16882</v>
      </c>
      <c r="L2541">
        <f>HYPERLINK("https://www2.assemblee-nationale.fr/sycomore/fiche/(num_dept)/2090", "2090")</f>
        <v>0</v>
      </c>
      <c r="N2541">
        <f>HYPERLINK("https://www.wikidata.org/wiki/Q3188508", "Q3188508")</f>
        <v>0</v>
      </c>
      <c r="O2541" t="s">
        <v>20000</v>
      </c>
      <c r="P2541" t="s">
        <v>20428</v>
      </c>
      <c r="Q2541" t="s">
        <v>20587</v>
      </c>
      <c r="R2541" t="s">
        <v>413</v>
      </c>
      <c r="S2541">
        <v>1500</v>
      </c>
    </row>
    <row r="2542" spans="1:19">
      <c r="A2542" t="s">
        <v>23</v>
      </c>
      <c r="B2542" t="s">
        <v>148</v>
      </c>
      <c r="C2542" t="s">
        <v>155</v>
      </c>
      <c r="D2542" t="s">
        <v>284</v>
      </c>
      <c r="E2542" t="s">
        <v>413</v>
      </c>
      <c r="F2542">
        <f>HYPERLINK("https://www.wikidata.org/wiki/Q33728280", "Q33728280")</f>
        <v>0</v>
      </c>
      <c r="G2542" t="s">
        <v>599</v>
      </c>
      <c r="H2542" t="s">
        <v>5360</v>
      </c>
      <c r="I2542" t="s">
        <v>9445</v>
      </c>
      <c r="J2542" t="s">
        <v>11350</v>
      </c>
      <c r="K2542" t="s">
        <v>15751</v>
      </c>
      <c r="L2542">
        <f>HYPERLINK("https://www2.assemblee-nationale.fr/sycomore/fiche/(num_dept)/2132", "2132")</f>
        <v>0</v>
      </c>
      <c r="N2542">
        <f>HYPERLINK("https://www.wikidata.org/wiki/Q2825149", "Q2825149")</f>
        <v>0</v>
      </c>
      <c r="O2542" t="s">
        <v>19957</v>
      </c>
      <c r="P2542" t="s">
        <v>20401</v>
      </c>
      <c r="Q2542" t="s">
        <v>20587</v>
      </c>
      <c r="R2542" t="s">
        <v>413</v>
      </c>
      <c r="S2542">
        <v>1500</v>
      </c>
    </row>
    <row r="2543" spans="1:19">
      <c r="A2543" t="s">
        <v>23</v>
      </c>
      <c r="B2543" t="s">
        <v>148</v>
      </c>
      <c r="C2543" t="s">
        <v>155</v>
      </c>
      <c r="D2543" t="s">
        <v>284</v>
      </c>
      <c r="E2543" t="s">
        <v>413</v>
      </c>
      <c r="F2543">
        <f>HYPERLINK("https://www.wikidata.org/wiki/Q33728280", "Q33728280")</f>
        <v>0</v>
      </c>
      <c r="G2543" t="s">
        <v>1778</v>
      </c>
      <c r="H2543" t="s">
        <v>6446</v>
      </c>
      <c r="I2543" t="s">
        <v>9946</v>
      </c>
      <c r="J2543" t="s">
        <v>12475</v>
      </c>
      <c r="K2543" t="s">
        <v>16884</v>
      </c>
      <c r="L2543">
        <f>HYPERLINK("https://www2.assemblee-nationale.fr/sycomore/fiche/(num_dept)/2282", "2282")</f>
        <v>0</v>
      </c>
      <c r="N2543">
        <f>HYPERLINK("https://www.wikidata.org/wiki/Q362673", "Q362673")</f>
        <v>0</v>
      </c>
      <c r="O2543" t="s">
        <v>20010</v>
      </c>
      <c r="P2543" t="s">
        <v>20428</v>
      </c>
      <c r="Q2543" t="s">
        <v>20587</v>
      </c>
      <c r="R2543" t="s">
        <v>413</v>
      </c>
      <c r="S2543">
        <v>1500</v>
      </c>
    </row>
    <row r="2544" spans="1:19">
      <c r="A2544" t="s">
        <v>23</v>
      </c>
      <c r="B2544" t="s">
        <v>148</v>
      </c>
      <c r="C2544" t="s">
        <v>155</v>
      </c>
      <c r="D2544" t="s">
        <v>284</v>
      </c>
      <c r="E2544" t="s">
        <v>413</v>
      </c>
      <c r="F2544">
        <f>HYPERLINK("https://www.wikidata.org/wiki/Q33728280", "Q33728280")</f>
        <v>0</v>
      </c>
      <c r="G2544" t="s">
        <v>1780</v>
      </c>
      <c r="H2544" t="s">
        <v>6448</v>
      </c>
      <c r="I2544" t="s">
        <v>9947</v>
      </c>
      <c r="J2544" t="s">
        <v>12119</v>
      </c>
      <c r="K2544" t="s">
        <v>16886</v>
      </c>
      <c r="L2544">
        <f>HYPERLINK("https://www2.assemblee-nationale.fr/sycomore/fiche/(num_dept)/2318", "2318")</f>
        <v>0</v>
      </c>
      <c r="N2544">
        <f>HYPERLINK("https://www.wikidata.org/wiki/Q2832159", "Q2832159")</f>
        <v>0</v>
      </c>
      <c r="O2544" t="s">
        <v>20035</v>
      </c>
      <c r="P2544" t="s">
        <v>20431</v>
      </c>
      <c r="Q2544" t="s">
        <v>20587</v>
      </c>
      <c r="R2544" t="s">
        <v>413</v>
      </c>
      <c r="S2544">
        <v>1500</v>
      </c>
    </row>
    <row r="2545" spans="1:19">
      <c r="A2545" t="s">
        <v>23</v>
      </c>
      <c r="B2545" t="s">
        <v>148</v>
      </c>
      <c r="C2545" t="s">
        <v>155</v>
      </c>
      <c r="D2545" t="s">
        <v>284</v>
      </c>
      <c r="E2545" t="s">
        <v>413</v>
      </c>
      <c r="F2545">
        <f>HYPERLINK("https://www.wikidata.org/wiki/Q33728280", "Q33728280")</f>
        <v>0</v>
      </c>
      <c r="G2545" t="s">
        <v>1098</v>
      </c>
      <c r="H2545" t="s">
        <v>5839</v>
      </c>
      <c r="I2545" t="s">
        <v>9659</v>
      </c>
      <c r="J2545" t="s">
        <v>11834</v>
      </c>
      <c r="K2545" t="s">
        <v>16234</v>
      </c>
      <c r="L2545">
        <f>HYPERLINK("https://www2.assemblee-nationale.fr/sycomore/fiche/(num_dept)/2366", "2366")</f>
        <v>0</v>
      </c>
      <c r="N2545">
        <f>HYPERLINK("https://www.wikidata.org/wiki/Q3184835", "Q3184835")</f>
        <v>0</v>
      </c>
      <c r="O2545" t="s">
        <v>19969</v>
      </c>
      <c r="P2545" t="s">
        <v>20422</v>
      </c>
      <c r="Q2545" t="s">
        <v>20587</v>
      </c>
      <c r="R2545" t="s">
        <v>413</v>
      </c>
      <c r="S2545">
        <v>1500</v>
      </c>
    </row>
    <row r="2546" spans="1:19">
      <c r="A2546" t="s">
        <v>23</v>
      </c>
      <c r="B2546" t="s">
        <v>148</v>
      </c>
      <c r="C2546" t="s">
        <v>155</v>
      </c>
      <c r="D2546" t="s">
        <v>284</v>
      </c>
      <c r="E2546" t="s">
        <v>413</v>
      </c>
      <c r="F2546">
        <f>HYPERLINK("https://www.wikidata.org/wiki/Q33728280", "Q33728280")</f>
        <v>0</v>
      </c>
      <c r="G2546" t="s">
        <v>1948</v>
      </c>
      <c r="H2546" t="s">
        <v>6591</v>
      </c>
      <c r="I2546" t="s">
        <v>10014</v>
      </c>
      <c r="J2546" t="s">
        <v>12632</v>
      </c>
      <c r="K2546" t="s">
        <v>17041</v>
      </c>
      <c r="L2546">
        <f>HYPERLINK("https://www2.assemblee-nationale.fr/sycomore/fiche/(num_dept)/2415", "2415")</f>
        <v>0</v>
      </c>
      <c r="N2546">
        <f>HYPERLINK("https://www.wikidata.org/wiki/Q3171692", "Q3171692")</f>
        <v>0</v>
      </c>
      <c r="O2546" t="s">
        <v>20027</v>
      </c>
      <c r="P2546" t="s">
        <v>20407</v>
      </c>
      <c r="Q2546" t="s">
        <v>20587</v>
      </c>
      <c r="R2546" t="s">
        <v>413</v>
      </c>
      <c r="S2546">
        <v>1500</v>
      </c>
    </row>
    <row r="2547" spans="1:19">
      <c r="A2547" t="s">
        <v>23</v>
      </c>
      <c r="B2547" t="s">
        <v>148</v>
      </c>
      <c r="C2547" t="s">
        <v>155</v>
      </c>
      <c r="D2547" t="s">
        <v>284</v>
      </c>
      <c r="E2547" t="s">
        <v>413</v>
      </c>
      <c r="F2547">
        <f>HYPERLINK("https://www.wikidata.org/wiki/Q33728280", "Q33728280")</f>
        <v>0</v>
      </c>
      <c r="G2547" t="s">
        <v>1949</v>
      </c>
      <c r="H2547" t="s">
        <v>6592</v>
      </c>
      <c r="I2547" t="s">
        <v>9606</v>
      </c>
      <c r="J2547" t="s">
        <v>12633</v>
      </c>
      <c r="K2547" t="s">
        <v>17042</v>
      </c>
      <c r="L2547">
        <f>HYPERLINK("https://www2.assemblee-nationale.fr/sycomore/fiche/(num_dept)/2434", "2434")</f>
        <v>0</v>
      </c>
      <c r="N2547">
        <f>HYPERLINK("https://www.wikidata.org/wiki/Q3167637", "Q3167637")</f>
        <v>0</v>
      </c>
      <c r="O2547" t="s">
        <v>19961</v>
      </c>
      <c r="P2547" t="s">
        <v>20407</v>
      </c>
      <c r="Q2547" t="s">
        <v>20587</v>
      </c>
      <c r="R2547" t="s">
        <v>413</v>
      </c>
      <c r="S2547">
        <v>1500</v>
      </c>
    </row>
    <row r="2548" spans="1:19">
      <c r="A2548" t="s">
        <v>23</v>
      </c>
      <c r="B2548" t="s">
        <v>148</v>
      </c>
      <c r="C2548" t="s">
        <v>155</v>
      </c>
      <c r="D2548" t="s">
        <v>284</v>
      </c>
      <c r="E2548" t="s">
        <v>413</v>
      </c>
      <c r="F2548">
        <f>HYPERLINK("https://www.wikidata.org/wiki/Q33728280", "Q33728280")</f>
        <v>0</v>
      </c>
      <c r="G2548" t="s">
        <v>1437</v>
      </c>
      <c r="H2548" t="s">
        <v>6139</v>
      </c>
      <c r="I2548" t="s">
        <v>6860</v>
      </c>
      <c r="J2548" t="s">
        <v>12158</v>
      </c>
      <c r="K2548" t="s">
        <v>16563</v>
      </c>
      <c r="L2548">
        <f>HYPERLINK("https://www2.assemblee-nationale.fr/sycomore/fiche/(num_dept)/2490", "2490")</f>
        <v>0</v>
      </c>
      <c r="N2548">
        <f>HYPERLINK("https://www.wikidata.org/wiki/Q3384896", "Q3384896")</f>
        <v>0</v>
      </c>
      <c r="O2548" t="s">
        <v>19958</v>
      </c>
      <c r="P2548" t="s">
        <v>20428</v>
      </c>
      <c r="Q2548" t="s">
        <v>20587</v>
      </c>
      <c r="R2548" t="s">
        <v>413</v>
      </c>
      <c r="S2548">
        <v>1500</v>
      </c>
    </row>
    <row r="2549" spans="1:19">
      <c r="A2549" t="s">
        <v>23</v>
      </c>
      <c r="B2549" t="s">
        <v>148</v>
      </c>
      <c r="C2549" t="s">
        <v>155</v>
      </c>
      <c r="D2549" t="s">
        <v>284</v>
      </c>
      <c r="E2549" t="s">
        <v>413</v>
      </c>
      <c r="F2549">
        <f>HYPERLINK("https://www.wikidata.org/wiki/Q33728280", "Q33728280")</f>
        <v>0</v>
      </c>
      <c r="G2549" t="s">
        <v>1251</v>
      </c>
      <c r="H2549" t="s">
        <v>5975</v>
      </c>
      <c r="I2549" t="s">
        <v>9727</v>
      </c>
      <c r="J2549" t="s">
        <v>11981</v>
      </c>
      <c r="K2549" t="s">
        <v>16384</v>
      </c>
      <c r="L2549">
        <f>HYPERLINK("https://www2.assemblee-nationale.fr/sycomore/fiche/(num_dept)/2496", "2496")</f>
        <v>0</v>
      </c>
      <c r="N2549">
        <f>HYPERLINK("https://www.wikidata.org/wiki/Q725749", "Q725749")</f>
        <v>0</v>
      </c>
      <c r="O2549" t="s">
        <v>20046</v>
      </c>
      <c r="P2549" t="s">
        <v>20406</v>
      </c>
      <c r="Q2549" t="s">
        <v>20587</v>
      </c>
      <c r="R2549" t="s">
        <v>413</v>
      </c>
      <c r="S2549">
        <v>1500</v>
      </c>
    </row>
    <row r="2550" spans="1:19">
      <c r="A2550" t="s">
        <v>23</v>
      </c>
      <c r="B2550" t="s">
        <v>148</v>
      </c>
      <c r="C2550" t="s">
        <v>155</v>
      </c>
      <c r="D2550" t="s">
        <v>284</v>
      </c>
      <c r="E2550" t="s">
        <v>413</v>
      </c>
      <c r="F2550">
        <f>HYPERLINK("https://www.wikidata.org/wiki/Q33728280", "Q33728280")</f>
        <v>0</v>
      </c>
      <c r="G2550" t="s">
        <v>1784</v>
      </c>
      <c r="H2550" t="s">
        <v>6452</v>
      </c>
      <c r="I2550" t="s">
        <v>9458</v>
      </c>
      <c r="J2550" t="s">
        <v>12480</v>
      </c>
      <c r="K2550" t="s">
        <v>16364</v>
      </c>
      <c r="L2550">
        <f>HYPERLINK("https://www2.assemblee-nationale.fr/sycomore/fiche/(num_dept)/2505", "2505")</f>
        <v>0</v>
      </c>
      <c r="N2550">
        <f>HYPERLINK("https://www.wikidata.org/wiki/Q2835070", "Q2835070")</f>
        <v>0</v>
      </c>
      <c r="O2550" t="s">
        <v>20030</v>
      </c>
      <c r="P2550" t="s">
        <v>20429</v>
      </c>
      <c r="Q2550" t="s">
        <v>20587</v>
      </c>
      <c r="R2550" t="s">
        <v>413</v>
      </c>
      <c r="S2550">
        <v>1500</v>
      </c>
    </row>
    <row r="2551" spans="1:19">
      <c r="A2551" t="s">
        <v>23</v>
      </c>
      <c r="B2551" t="s">
        <v>148</v>
      </c>
      <c r="C2551" t="s">
        <v>155</v>
      </c>
      <c r="D2551" t="s">
        <v>284</v>
      </c>
      <c r="E2551" t="s">
        <v>413</v>
      </c>
      <c r="F2551">
        <f>HYPERLINK("https://www.wikidata.org/wiki/Q33728280", "Q33728280")</f>
        <v>0</v>
      </c>
      <c r="G2551" t="s">
        <v>1438</v>
      </c>
      <c r="H2551" t="s">
        <v>6140</v>
      </c>
      <c r="I2551" t="s">
        <v>6860</v>
      </c>
      <c r="J2551" t="s">
        <v>12159</v>
      </c>
      <c r="K2551" t="s">
        <v>16564</v>
      </c>
      <c r="L2551">
        <f>HYPERLINK("https://www2.assemblee-nationale.fr/sycomore/fiche/(num_dept)/2514", "2514")</f>
        <v>0</v>
      </c>
      <c r="N2551">
        <f>HYPERLINK("https://www.wikidata.org/wiki/Q3384763", "Q3384763")</f>
        <v>0</v>
      </c>
      <c r="O2551" t="s">
        <v>19987</v>
      </c>
      <c r="P2551" t="s">
        <v>20412</v>
      </c>
      <c r="Q2551" t="s">
        <v>20587</v>
      </c>
      <c r="R2551" t="s">
        <v>413</v>
      </c>
      <c r="S2551">
        <v>1500</v>
      </c>
    </row>
    <row r="2552" spans="1:19">
      <c r="A2552" t="s">
        <v>23</v>
      </c>
      <c r="B2552" t="s">
        <v>148</v>
      </c>
      <c r="C2552" t="s">
        <v>155</v>
      </c>
      <c r="D2552" t="s">
        <v>284</v>
      </c>
      <c r="E2552" t="s">
        <v>413</v>
      </c>
      <c r="F2552">
        <f>HYPERLINK("https://www.wikidata.org/wiki/Q33728280", "Q33728280")</f>
        <v>0</v>
      </c>
      <c r="G2552" t="s">
        <v>617</v>
      </c>
      <c r="H2552" t="s">
        <v>5377</v>
      </c>
      <c r="I2552" t="s">
        <v>9455</v>
      </c>
      <c r="J2552" t="s">
        <v>11367</v>
      </c>
      <c r="K2552" t="s">
        <v>15769</v>
      </c>
      <c r="L2552">
        <f>HYPERLINK("https://www2.assemblee-nationale.fr/sycomore/fiche/(num_dept)/2522", "2522")</f>
        <v>0</v>
      </c>
      <c r="N2552">
        <f>HYPERLINK("https://www.wikidata.org/wiki/Q3265475", "Q3265475")</f>
        <v>0</v>
      </c>
      <c r="O2552" t="s">
        <v>19985</v>
      </c>
      <c r="P2552" t="s">
        <v>20429</v>
      </c>
      <c r="Q2552" t="s">
        <v>20587</v>
      </c>
      <c r="R2552" t="s">
        <v>413</v>
      </c>
      <c r="S2552">
        <v>1500</v>
      </c>
    </row>
    <row r="2553" spans="1:19">
      <c r="A2553" t="s">
        <v>23</v>
      </c>
      <c r="B2553" t="s">
        <v>148</v>
      </c>
      <c r="C2553" t="s">
        <v>155</v>
      </c>
      <c r="D2553" t="s">
        <v>284</v>
      </c>
      <c r="E2553" t="s">
        <v>413</v>
      </c>
      <c r="F2553">
        <f>HYPERLINK("https://www.wikidata.org/wiki/Q33728280", "Q33728280")</f>
        <v>0</v>
      </c>
      <c r="G2553" t="s">
        <v>1785</v>
      </c>
      <c r="H2553" t="s">
        <v>6453</v>
      </c>
      <c r="I2553" t="s">
        <v>7419</v>
      </c>
      <c r="J2553" t="s">
        <v>12481</v>
      </c>
      <c r="K2553" t="s">
        <v>16890</v>
      </c>
      <c r="L2553">
        <f>HYPERLINK("https://www2.assemblee-nationale.fr/sycomore/fiche/(num_dept)/2556", "2556")</f>
        <v>0</v>
      </c>
      <c r="N2553">
        <f>HYPERLINK("https://www.wikidata.org/wiki/Q724729", "Q724729")</f>
        <v>0</v>
      </c>
      <c r="O2553" t="s">
        <v>19969</v>
      </c>
      <c r="P2553" t="s">
        <v>20424</v>
      </c>
      <c r="Q2553" t="s">
        <v>20587</v>
      </c>
      <c r="R2553" t="s">
        <v>413</v>
      </c>
      <c r="S2553">
        <v>1500</v>
      </c>
    </row>
    <row r="2554" spans="1:19">
      <c r="A2554" t="s">
        <v>23</v>
      </c>
      <c r="B2554" t="s">
        <v>148</v>
      </c>
      <c r="C2554" t="s">
        <v>155</v>
      </c>
      <c r="D2554" t="s">
        <v>284</v>
      </c>
      <c r="E2554" t="s">
        <v>413</v>
      </c>
      <c r="F2554">
        <f>HYPERLINK("https://www.wikidata.org/wiki/Q33728280", "Q33728280")</f>
        <v>0</v>
      </c>
      <c r="G2554" t="s">
        <v>1166</v>
      </c>
      <c r="H2554" t="s">
        <v>5898</v>
      </c>
      <c r="I2554" t="s">
        <v>9690</v>
      </c>
      <c r="J2554" t="s">
        <v>11899</v>
      </c>
      <c r="K2554" t="s">
        <v>16301</v>
      </c>
      <c r="L2554">
        <f>HYPERLINK("https://www2.assemblee-nationale.fr/sycomore/fiche/(num_dept)/2634", "2634")</f>
        <v>0</v>
      </c>
      <c r="N2554">
        <f>HYPERLINK("https://www.wikidata.org/wiki/Q3158781", "Q3158781")</f>
        <v>0</v>
      </c>
      <c r="O2554" t="s">
        <v>19984</v>
      </c>
      <c r="P2554" t="s">
        <v>20422</v>
      </c>
      <c r="Q2554" t="s">
        <v>20587</v>
      </c>
      <c r="R2554" t="s">
        <v>413</v>
      </c>
      <c r="S2554">
        <v>1500</v>
      </c>
    </row>
    <row r="2555" spans="1:19">
      <c r="A2555" t="s">
        <v>23</v>
      </c>
      <c r="B2555" t="s">
        <v>148</v>
      </c>
      <c r="C2555" t="s">
        <v>155</v>
      </c>
      <c r="D2555" t="s">
        <v>284</v>
      </c>
      <c r="E2555" t="s">
        <v>413</v>
      </c>
      <c r="F2555">
        <f>HYPERLINK("https://www.wikidata.org/wiki/Q33728280", "Q33728280")</f>
        <v>0</v>
      </c>
      <c r="G2555" t="s">
        <v>942</v>
      </c>
      <c r="H2555" t="s">
        <v>5698</v>
      </c>
      <c r="I2555" t="s">
        <v>9449</v>
      </c>
      <c r="J2555" t="s">
        <v>11683</v>
      </c>
      <c r="K2555" t="s">
        <v>16084</v>
      </c>
      <c r="L2555">
        <f>HYPERLINK("https://www2.assemblee-nationale.fr/sycomore/fiche/(num_dept)/2651", "2651")</f>
        <v>0</v>
      </c>
      <c r="M2555">
        <f>HYPERLINK("https://www.senat.fr/senateur-3eme-republique/duclaux_monteil_jules0135r3.html", "duclaux_monteil_jules0135r3")</f>
        <v>0</v>
      </c>
      <c r="N2555">
        <f>HYPERLINK("https://www.wikidata.org/wiki/Q3188550", "Q3188550")</f>
        <v>0</v>
      </c>
      <c r="O2555" t="s">
        <v>19991</v>
      </c>
      <c r="P2555" t="s">
        <v>20422</v>
      </c>
      <c r="Q2555" t="s">
        <v>20587</v>
      </c>
      <c r="R2555" t="s">
        <v>21418</v>
      </c>
      <c r="S2555">
        <v>659</v>
      </c>
    </row>
    <row r="2556" spans="1:19">
      <c r="A2556" t="s">
        <v>23</v>
      </c>
      <c r="B2556" t="s">
        <v>148</v>
      </c>
      <c r="C2556" t="s">
        <v>155</v>
      </c>
      <c r="D2556" t="s">
        <v>284</v>
      </c>
      <c r="E2556" t="s">
        <v>413</v>
      </c>
      <c r="F2556">
        <f>HYPERLINK("https://www.wikidata.org/wiki/Q33728280", "Q33728280")</f>
        <v>0</v>
      </c>
      <c r="G2556" t="s">
        <v>1446</v>
      </c>
      <c r="H2556" t="s">
        <v>6147</v>
      </c>
      <c r="I2556" t="s">
        <v>9812</v>
      </c>
      <c r="J2556" t="s">
        <v>12167</v>
      </c>
      <c r="K2556" t="s">
        <v>16139</v>
      </c>
      <c r="L2556">
        <f>HYPERLINK("https://www2.assemblee-nationale.fr/sycomore/fiche/(num_dept)/2714", "2714")</f>
        <v>0</v>
      </c>
      <c r="N2556">
        <f>HYPERLINK("https://www.wikidata.org/wiki/Q16025645", "Q16025645")</f>
        <v>0</v>
      </c>
      <c r="O2556" t="s">
        <v>19997</v>
      </c>
      <c r="P2556" t="s">
        <v>20422</v>
      </c>
      <c r="Q2556" t="s">
        <v>20587</v>
      </c>
      <c r="R2556" t="s">
        <v>413</v>
      </c>
      <c r="S2556">
        <v>1500</v>
      </c>
    </row>
    <row r="2557" spans="1:19">
      <c r="A2557" t="s">
        <v>23</v>
      </c>
      <c r="B2557" t="s">
        <v>148</v>
      </c>
      <c r="C2557" t="s">
        <v>155</v>
      </c>
      <c r="D2557" t="s">
        <v>284</v>
      </c>
      <c r="E2557" t="s">
        <v>413</v>
      </c>
      <c r="F2557">
        <f>HYPERLINK("https://www.wikidata.org/wiki/Q33728280", "Q33728280")</f>
        <v>0</v>
      </c>
      <c r="G2557" t="s">
        <v>1448</v>
      </c>
      <c r="H2557" t="s">
        <v>6149</v>
      </c>
      <c r="I2557" t="s">
        <v>9814</v>
      </c>
      <c r="J2557" t="s">
        <v>12169</v>
      </c>
      <c r="K2557" t="s">
        <v>16573</v>
      </c>
      <c r="L2557">
        <f>HYPERLINK("https://www2.assemblee-nationale.fr/sycomore/fiche/(num_dept)/2798", "2798")</f>
        <v>0</v>
      </c>
      <c r="N2557">
        <f>HYPERLINK("https://www.wikidata.org/wiki/Q2833647", "Q2833647")</f>
        <v>0</v>
      </c>
      <c r="O2557" t="s">
        <v>19992</v>
      </c>
      <c r="P2557" t="s">
        <v>20422</v>
      </c>
      <c r="Q2557" t="s">
        <v>20587</v>
      </c>
      <c r="R2557" t="s">
        <v>413</v>
      </c>
      <c r="S2557">
        <v>1500</v>
      </c>
    </row>
    <row r="2558" spans="1:19">
      <c r="A2558" t="s">
        <v>23</v>
      </c>
      <c r="B2558" t="s">
        <v>148</v>
      </c>
      <c r="C2558" t="s">
        <v>155</v>
      </c>
      <c r="D2558" t="s">
        <v>284</v>
      </c>
      <c r="E2558" t="s">
        <v>413</v>
      </c>
      <c r="F2558">
        <f>HYPERLINK("https://www.wikidata.org/wiki/Q33728280", "Q33728280")</f>
        <v>0</v>
      </c>
      <c r="G2558" t="s">
        <v>1449</v>
      </c>
      <c r="H2558" t="s">
        <v>6150</v>
      </c>
      <c r="I2558" t="s">
        <v>9815</v>
      </c>
      <c r="J2558" t="s">
        <v>11723</v>
      </c>
      <c r="K2558" t="s">
        <v>16574</v>
      </c>
      <c r="L2558">
        <f>HYPERLINK("https://www2.assemblee-nationale.fr/sycomore/fiche/(num_dept)/2801", "2801")</f>
        <v>0</v>
      </c>
      <c r="N2558">
        <f>HYPERLINK("https://www.wikidata.org/wiki/Q3261828", "Q3261828")</f>
        <v>0</v>
      </c>
      <c r="O2558" t="s">
        <v>19969</v>
      </c>
      <c r="P2558" t="s">
        <v>20422</v>
      </c>
      <c r="Q2558" t="s">
        <v>20587</v>
      </c>
      <c r="R2558" t="s">
        <v>413</v>
      </c>
      <c r="S2558">
        <v>1500</v>
      </c>
    </row>
    <row r="2559" spans="1:19">
      <c r="A2559" t="s">
        <v>23</v>
      </c>
      <c r="B2559" t="s">
        <v>148</v>
      </c>
      <c r="C2559" t="s">
        <v>155</v>
      </c>
      <c r="D2559" t="s">
        <v>284</v>
      </c>
      <c r="E2559" t="s">
        <v>413</v>
      </c>
      <c r="F2559">
        <f>HYPERLINK("https://www.wikidata.org/wiki/Q33728280", "Q33728280")</f>
        <v>0</v>
      </c>
      <c r="G2559" t="s">
        <v>633</v>
      </c>
      <c r="H2559" t="s">
        <v>5392</v>
      </c>
      <c r="I2559" t="s">
        <v>9446</v>
      </c>
      <c r="J2559" t="s">
        <v>11383</v>
      </c>
      <c r="K2559" t="s">
        <v>15785</v>
      </c>
      <c r="L2559">
        <f>HYPERLINK("https://www2.assemblee-nationale.fr/sycomore/fiche/(num_dept)/2829", "2829")</f>
        <v>0</v>
      </c>
      <c r="N2559">
        <f>HYPERLINK("https://www.wikidata.org/wiki/Q3069139", "Q3069139")</f>
        <v>0</v>
      </c>
      <c r="O2559" t="s">
        <v>20009</v>
      </c>
      <c r="P2559" t="s">
        <v>20422</v>
      </c>
      <c r="Q2559" t="s">
        <v>20587</v>
      </c>
      <c r="R2559" t="s">
        <v>413</v>
      </c>
      <c r="S2559">
        <v>1500</v>
      </c>
    </row>
    <row r="2560" spans="1:19">
      <c r="A2560" t="s">
        <v>23</v>
      </c>
      <c r="B2560" t="s">
        <v>148</v>
      </c>
      <c r="C2560" t="s">
        <v>155</v>
      </c>
      <c r="D2560" t="s">
        <v>284</v>
      </c>
      <c r="E2560" t="s">
        <v>413</v>
      </c>
      <c r="F2560">
        <f>HYPERLINK("https://www.wikidata.org/wiki/Q33728280", "Q33728280")</f>
        <v>0</v>
      </c>
      <c r="G2560" t="s">
        <v>634</v>
      </c>
      <c r="H2560" t="s">
        <v>5393</v>
      </c>
      <c r="I2560" t="s">
        <v>9388</v>
      </c>
      <c r="J2560" t="s">
        <v>11384</v>
      </c>
      <c r="K2560" t="s">
        <v>15786</v>
      </c>
      <c r="L2560">
        <f>HYPERLINK("https://www2.assemblee-nationale.fr/sycomore/fiche/(num_dept)/2844", "2844")</f>
        <v>0</v>
      </c>
      <c r="N2560">
        <f>HYPERLINK("https://www.wikidata.org/wiki/Q13089371", "Q13089371")</f>
        <v>0</v>
      </c>
      <c r="O2560" t="s">
        <v>19969</v>
      </c>
      <c r="P2560" t="s">
        <v>20422</v>
      </c>
      <c r="Q2560" t="s">
        <v>20587</v>
      </c>
      <c r="R2560" t="s">
        <v>15786</v>
      </c>
      <c r="S2560">
        <v>1282</v>
      </c>
    </row>
    <row r="2561" spans="1:19">
      <c r="A2561" t="s">
        <v>23</v>
      </c>
      <c r="B2561" t="s">
        <v>148</v>
      </c>
      <c r="C2561" t="s">
        <v>155</v>
      </c>
      <c r="D2561" t="s">
        <v>284</v>
      </c>
      <c r="E2561" t="s">
        <v>413</v>
      </c>
      <c r="F2561">
        <f>HYPERLINK("https://www.wikidata.org/wiki/Q33728280", "Q33728280")</f>
        <v>0</v>
      </c>
      <c r="G2561" t="s">
        <v>1454</v>
      </c>
      <c r="H2561" t="s">
        <v>6154</v>
      </c>
      <c r="I2561" t="s">
        <v>9500</v>
      </c>
      <c r="J2561" t="s">
        <v>12173</v>
      </c>
      <c r="K2561" t="s">
        <v>16579</v>
      </c>
      <c r="L2561">
        <f>HYPERLINK("https://www2.assemblee-nationale.fr/sycomore/fiche/(num_dept)/2870", "2870")</f>
        <v>0</v>
      </c>
      <c r="N2561">
        <f>HYPERLINK("https://www.wikidata.org/wiki/Q16025678", "Q16025678")</f>
        <v>0</v>
      </c>
      <c r="O2561" t="s">
        <v>19968</v>
      </c>
      <c r="P2561" t="s">
        <v>20404</v>
      </c>
      <c r="Q2561" t="s">
        <v>20587</v>
      </c>
      <c r="R2561" t="s">
        <v>413</v>
      </c>
      <c r="S2561">
        <v>1500</v>
      </c>
    </row>
    <row r="2562" spans="1:19">
      <c r="A2562" t="s">
        <v>23</v>
      </c>
      <c r="B2562" t="s">
        <v>148</v>
      </c>
      <c r="C2562" t="s">
        <v>155</v>
      </c>
      <c r="D2562" t="s">
        <v>284</v>
      </c>
      <c r="E2562" t="s">
        <v>413</v>
      </c>
      <c r="F2562">
        <f>HYPERLINK("https://www.wikidata.org/wiki/Q33728280", "Q33728280")</f>
        <v>0</v>
      </c>
      <c r="G2562" t="s">
        <v>1170</v>
      </c>
      <c r="H2562" t="s">
        <v>5901</v>
      </c>
      <c r="I2562" t="s">
        <v>5592</v>
      </c>
      <c r="J2562" t="s">
        <v>11903</v>
      </c>
      <c r="K2562" t="s">
        <v>16305</v>
      </c>
      <c r="L2562">
        <f>HYPERLINK("https://www2.assemblee-nationale.fr/sycomore/fiche/(num_dept)/2874", "2874")</f>
        <v>0</v>
      </c>
      <c r="M2562">
        <f>HYPERLINK("https://www.senat.fr/senateur-3eme-republique/eynac_laurent0520r3.html", "eynac_laurent0520r3")</f>
        <v>0</v>
      </c>
      <c r="N2562">
        <f>HYPERLINK("https://www.wikidata.org/wiki/Q3219208", "Q3219208")</f>
        <v>0</v>
      </c>
      <c r="O2562" t="s">
        <v>19993</v>
      </c>
      <c r="P2562" t="s">
        <v>20401</v>
      </c>
      <c r="Q2562" t="s">
        <v>20587</v>
      </c>
      <c r="R2562" t="s">
        <v>413</v>
      </c>
      <c r="S2562">
        <v>1500</v>
      </c>
    </row>
    <row r="2563" spans="1:19">
      <c r="A2563" t="s">
        <v>23</v>
      </c>
      <c r="B2563" t="s">
        <v>148</v>
      </c>
      <c r="C2563" t="s">
        <v>155</v>
      </c>
      <c r="D2563" t="s">
        <v>284</v>
      </c>
      <c r="E2563" t="s">
        <v>413</v>
      </c>
      <c r="F2563">
        <f>HYPERLINK("https://www.wikidata.org/wiki/Q33728280", "Q33728280")</f>
        <v>0</v>
      </c>
      <c r="G2563" t="s">
        <v>1455</v>
      </c>
      <c r="H2563" t="s">
        <v>6155</v>
      </c>
      <c r="I2563" t="s">
        <v>6200</v>
      </c>
      <c r="J2563" t="s">
        <v>12174</v>
      </c>
      <c r="K2563" t="s">
        <v>16580</v>
      </c>
      <c r="L2563">
        <f>HYPERLINK("https://www2.assemblee-nationale.fr/sycomore/fiche/(num_dept)/2884", "2884")</f>
        <v>0</v>
      </c>
      <c r="M2563">
        <f>HYPERLINK("https://www.senat.fr/senateur-3eme-republique/fabry_jean0685r3.html", "fabry_jean0685r3")</f>
        <v>0</v>
      </c>
      <c r="N2563">
        <f>HYPERLINK("https://www.wikidata.org/wiki/Q3171965", "Q3171965")</f>
        <v>0</v>
      </c>
      <c r="O2563" t="s">
        <v>19969</v>
      </c>
      <c r="P2563" t="s">
        <v>20429</v>
      </c>
      <c r="Q2563" t="s">
        <v>20587</v>
      </c>
      <c r="R2563" t="s">
        <v>413</v>
      </c>
      <c r="S2563">
        <v>1500</v>
      </c>
    </row>
    <row r="2564" spans="1:19">
      <c r="A2564" t="s">
        <v>23</v>
      </c>
      <c r="B2564" t="s">
        <v>148</v>
      </c>
      <c r="C2564" t="s">
        <v>155</v>
      </c>
      <c r="D2564" t="s">
        <v>284</v>
      </c>
      <c r="E2564" t="s">
        <v>413</v>
      </c>
      <c r="F2564">
        <f>HYPERLINK("https://www.wikidata.org/wiki/Q33728280", "Q33728280")</f>
        <v>0</v>
      </c>
      <c r="G2564" t="s">
        <v>1950</v>
      </c>
      <c r="H2564" t="s">
        <v>6593</v>
      </c>
      <c r="I2564" t="s">
        <v>6495</v>
      </c>
      <c r="J2564" t="s">
        <v>12634</v>
      </c>
      <c r="K2564" t="s">
        <v>17043</v>
      </c>
      <c r="L2564">
        <f>HYPERLINK("https://www2.assemblee-nationale.fr/sycomore/fiche/(num_dept)/2944", "2944")</f>
        <v>0</v>
      </c>
      <c r="N2564">
        <f>HYPERLINK("https://www.wikidata.org/wiki/Q16025686", "Q16025686")</f>
        <v>0</v>
      </c>
      <c r="O2564" t="s">
        <v>20031</v>
      </c>
      <c r="P2564" t="s">
        <v>20428</v>
      </c>
      <c r="Q2564" t="s">
        <v>20587</v>
      </c>
      <c r="R2564" t="s">
        <v>413</v>
      </c>
      <c r="S2564">
        <v>1500</v>
      </c>
    </row>
    <row r="2565" spans="1:19">
      <c r="A2565" t="s">
        <v>23</v>
      </c>
      <c r="B2565" t="s">
        <v>148</v>
      </c>
      <c r="C2565" t="s">
        <v>155</v>
      </c>
      <c r="D2565" t="s">
        <v>284</v>
      </c>
      <c r="E2565" t="s">
        <v>413</v>
      </c>
      <c r="F2565">
        <f>HYPERLINK("https://www.wikidata.org/wiki/Q33728280", "Q33728280")</f>
        <v>0</v>
      </c>
      <c r="G2565" t="s">
        <v>1951</v>
      </c>
      <c r="H2565" t="s">
        <v>6594</v>
      </c>
      <c r="I2565" t="s">
        <v>9692</v>
      </c>
      <c r="J2565" t="s">
        <v>12635</v>
      </c>
      <c r="K2565" t="s">
        <v>17044</v>
      </c>
      <c r="L2565">
        <f>HYPERLINK("https://www2.assemblee-nationale.fr/sycomore/fiche/(num_dept)/2960", "2960")</f>
        <v>0</v>
      </c>
      <c r="N2565">
        <f>HYPERLINK("https://www.wikidata.org/wiki/Q3420866", "Q3420866")</f>
        <v>0</v>
      </c>
      <c r="O2565" t="s">
        <v>20025</v>
      </c>
      <c r="P2565" t="s">
        <v>20428</v>
      </c>
      <c r="Q2565" t="s">
        <v>20587</v>
      </c>
      <c r="R2565" t="s">
        <v>413</v>
      </c>
      <c r="S2565">
        <v>1500</v>
      </c>
    </row>
    <row r="2566" spans="1:19">
      <c r="A2566" t="s">
        <v>23</v>
      </c>
      <c r="B2566" t="s">
        <v>148</v>
      </c>
      <c r="C2566" t="s">
        <v>155</v>
      </c>
      <c r="D2566" t="s">
        <v>284</v>
      </c>
      <c r="E2566" t="s">
        <v>413</v>
      </c>
      <c r="F2566">
        <f>HYPERLINK("https://www.wikidata.org/wiki/Q33728280", "Q33728280")</f>
        <v>0</v>
      </c>
      <c r="G2566" t="s">
        <v>1462</v>
      </c>
      <c r="H2566" t="s">
        <v>5400</v>
      </c>
      <c r="I2566" t="s">
        <v>9818</v>
      </c>
      <c r="J2566" t="s">
        <v>12181</v>
      </c>
      <c r="K2566" t="s">
        <v>16587</v>
      </c>
      <c r="L2566">
        <f>HYPERLINK("https://www2.assemblee-nationale.fr/sycomore/fiche/(num_dept)/2987", "2987")</f>
        <v>0</v>
      </c>
      <c r="N2566">
        <f>HYPERLINK("https://www.wikidata.org/wiki/Q3045174", "Q3045174")</f>
        <v>0</v>
      </c>
      <c r="O2566" t="s">
        <v>20007</v>
      </c>
      <c r="P2566" t="s">
        <v>20422</v>
      </c>
      <c r="Q2566" t="s">
        <v>20587</v>
      </c>
      <c r="R2566" t="s">
        <v>413</v>
      </c>
      <c r="S2566">
        <v>1500</v>
      </c>
    </row>
    <row r="2567" spans="1:19">
      <c r="A2567" t="s">
        <v>23</v>
      </c>
      <c r="B2567" t="s">
        <v>148</v>
      </c>
      <c r="C2567" t="s">
        <v>155</v>
      </c>
      <c r="D2567" t="s">
        <v>284</v>
      </c>
      <c r="E2567" t="s">
        <v>413</v>
      </c>
      <c r="F2567">
        <f>HYPERLINK("https://www.wikidata.org/wiki/Q33728280", "Q33728280")</f>
        <v>0</v>
      </c>
      <c r="G2567" t="s">
        <v>1952</v>
      </c>
      <c r="H2567" t="s">
        <v>6595</v>
      </c>
      <c r="I2567" t="s">
        <v>9465</v>
      </c>
      <c r="J2567" t="s">
        <v>11916</v>
      </c>
      <c r="K2567" t="s">
        <v>17045</v>
      </c>
      <c r="L2567">
        <f>HYPERLINK("https://www2.assemblee-nationale.fr/sycomore/fiche/(num_dept)/2996", "2996")</f>
        <v>0</v>
      </c>
      <c r="M2567">
        <f>HYPERLINK("https://www.senat.fr/senateur-3eme-republique/fiancette_eugene1556r3.html", "fiancette_eugene1556r3")</f>
        <v>0</v>
      </c>
      <c r="N2567">
        <f>HYPERLINK("https://www.wikidata.org/wiki/Q3059859", "Q3059859")</f>
        <v>0</v>
      </c>
      <c r="O2567" t="s">
        <v>19969</v>
      </c>
      <c r="P2567" t="s">
        <v>20404</v>
      </c>
      <c r="Q2567" t="s">
        <v>20587</v>
      </c>
      <c r="R2567" t="s">
        <v>413</v>
      </c>
      <c r="S2567">
        <v>1500</v>
      </c>
    </row>
    <row r="2568" spans="1:19">
      <c r="A2568" t="s">
        <v>23</v>
      </c>
      <c r="B2568" t="s">
        <v>148</v>
      </c>
      <c r="C2568" t="s">
        <v>155</v>
      </c>
      <c r="D2568" t="s">
        <v>284</v>
      </c>
      <c r="E2568" t="s">
        <v>413</v>
      </c>
      <c r="F2568">
        <f>HYPERLINK("https://www.wikidata.org/wiki/Q33728280", "Q33728280")</f>
        <v>0</v>
      </c>
      <c r="G2568" t="s">
        <v>1953</v>
      </c>
      <c r="H2568" t="s">
        <v>6596</v>
      </c>
      <c r="I2568" t="s">
        <v>10015</v>
      </c>
      <c r="J2568" t="s">
        <v>12636</v>
      </c>
      <c r="K2568" t="s">
        <v>17046</v>
      </c>
      <c r="L2568">
        <f>HYPERLINK("https://www2.assemblee-nationale.fr/sycomore/fiche/(num_dept)/3005", "3005")</f>
        <v>0</v>
      </c>
      <c r="N2568">
        <f>HYPERLINK("https://www.wikidata.org/wiki/Q16025700", "Q16025700")</f>
        <v>0</v>
      </c>
      <c r="O2568" t="s">
        <v>20010</v>
      </c>
      <c r="P2568" t="s">
        <v>20412</v>
      </c>
      <c r="Q2568" t="s">
        <v>20587</v>
      </c>
      <c r="R2568" t="s">
        <v>413</v>
      </c>
      <c r="S2568">
        <v>1500</v>
      </c>
    </row>
    <row r="2569" spans="1:19">
      <c r="A2569" t="s">
        <v>23</v>
      </c>
      <c r="B2569" t="s">
        <v>148</v>
      </c>
      <c r="C2569" t="s">
        <v>155</v>
      </c>
      <c r="D2569" t="s">
        <v>284</v>
      </c>
      <c r="E2569" t="s">
        <v>413</v>
      </c>
      <c r="F2569">
        <f>HYPERLINK("https://www.wikidata.org/wiki/Q33728280", "Q33728280")</f>
        <v>0</v>
      </c>
      <c r="G2569" t="s">
        <v>643</v>
      </c>
      <c r="H2569" t="s">
        <v>5402</v>
      </c>
      <c r="I2569" t="s">
        <v>9442</v>
      </c>
      <c r="J2569" t="s">
        <v>11393</v>
      </c>
      <c r="K2569" t="s">
        <v>15795</v>
      </c>
      <c r="L2569">
        <f>HYPERLINK("https://www2.assemblee-nationale.fr/sycomore/fiche/(num_dept)/3021", "3021")</f>
        <v>0</v>
      </c>
      <c r="N2569">
        <f>HYPERLINK("https://www.wikidata.org/wiki/Q3056952", "Q3056952")</f>
        <v>0</v>
      </c>
      <c r="O2569" t="s">
        <v>20009</v>
      </c>
      <c r="P2569" t="s">
        <v>20422</v>
      </c>
      <c r="Q2569" t="s">
        <v>20587</v>
      </c>
      <c r="R2569" t="s">
        <v>413</v>
      </c>
      <c r="S2569">
        <v>1500</v>
      </c>
    </row>
    <row r="2570" spans="1:19">
      <c r="A2570" t="s">
        <v>23</v>
      </c>
      <c r="B2570" t="s">
        <v>148</v>
      </c>
      <c r="C2570" t="s">
        <v>155</v>
      </c>
      <c r="D2570" t="s">
        <v>284</v>
      </c>
      <c r="E2570" t="s">
        <v>413</v>
      </c>
      <c r="F2570">
        <f>HYPERLINK("https://www.wikidata.org/wiki/Q33728280", "Q33728280")</f>
        <v>0</v>
      </c>
      <c r="G2570" t="s">
        <v>1954</v>
      </c>
      <c r="H2570" t="s">
        <v>5408</v>
      </c>
      <c r="I2570" t="s">
        <v>9516</v>
      </c>
      <c r="J2570" t="s">
        <v>12637</v>
      </c>
      <c r="K2570" t="s">
        <v>17047</v>
      </c>
      <c r="L2570">
        <f>HYPERLINK("https://www2.assemblee-nationale.fr/sycomore/fiche/(num_dept)/3077", "3077")</f>
        <v>0</v>
      </c>
      <c r="N2570">
        <f>HYPERLINK("https://www.wikidata.org/wiki/Q16025719", "Q16025719")</f>
        <v>0</v>
      </c>
      <c r="O2570" t="s">
        <v>19997</v>
      </c>
      <c r="P2570" t="s">
        <v>20412</v>
      </c>
      <c r="Q2570" t="s">
        <v>20587</v>
      </c>
      <c r="R2570" t="s">
        <v>413</v>
      </c>
      <c r="S2570">
        <v>1500</v>
      </c>
    </row>
    <row r="2571" spans="1:19">
      <c r="A2571" t="s">
        <v>23</v>
      </c>
      <c r="B2571" t="s">
        <v>148</v>
      </c>
      <c r="C2571" t="s">
        <v>155</v>
      </c>
      <c r="D2571" t="s">
        <v>284</v>
      </c>
      <c r="E2571" t="s">
        <v>413</v>
      </c>
      <c r="F2571">
        <f>HYPERLINK("https://www.wikidata.org/wiki/Q33728280", "Q33728280")</f>
        <v>0</v>
      </c>
      <c r="G2571" t="s">
        <v>1466</v>
      </c>
      <c r="H2571" t="s">
        <v>6165</v>
      </c>
      <c r="I2571" t="s">
        <v>9820</v>
      </c>
      <c r="J2571" t="s">
        <v>12185</v>
      </c>
      <c r="K2571" t="s">
        <v>16591</v>
      </c>
      <c r="L2571">
        <f>HYPERLINK("https://www2.assemblee-nationale.fr/sycomore/fiche/(num_dept)/3080", "3080")</f>
        <v>0</v>
      </c>
      <c r="N2571">
        <f>HYPERLINK("https://www.wikidata.org/wiki/Q2861749", "Q2861749")</f>
        <v>0</v>
      </c>
      <c r="O2571" t="s">
        <v>20027</v>
      </c>
      <c r="P2571" t="s">
        <v>20422</v>
      </c>
      <c r="Q2571" t="s">
        <v>20587</v>
      </c>
      <c r="R2571" t="s">
        <v>413</v>
      </c>
      <c r="S2571">
        <v>1500</v>
      </c>
    </row>
    <row r="2572" spans="1:19">
      <c r="A2572" t="s">
        <v>23</v>
      </c>
      <c r="B2572" t="s">
        <v>148</v>
      </c>
      <c r="C2572" t="s">
        <v>155</v>
      </c>
      <c r="D2572" t="s">
        <v>284</v>
      </c>
      <c r="E2572" t="s">
        <v>413</v>
      </c>
      <c r="F2572">
        <f>HYPERLINK("https://www.wikidata.org/wiki/Q33728280", "Q33728280")</f>
        <v>0</v>
      </c>
      <c r="G2572" t="s">
        <v>1801</v>
      </c>
      <c r="H2572" t="s">
        <v>6466</v>
      </c>
      <c r="I2572" t="s">
        <v>6585</v>
      </c>
      <c r="J2572" t="s">
        <v>12496</v>
      </c>
      <c r="K2572" t="s">
        <v>16906</v>
      </c>
      <c r="L2572">
        <f>HYPERLINK("https://www2.assemblee-nationale.fr/sycomore/fiche/(num_dept)/3130", "3130")</f>
        <v>0</v>
      </c>
      <c r="N2572">
        <f>HYPERLINK("https://www.wikidata.org/wiki/Q518576", "Q518576")</f>
        <v>0</v>
      </c>
      <c r="O2572" t="s">
        <v>19969</v>
      </c>
      <c r="P2572" t="s">
        <v>20429</v>
      </c>
      <c r="Q2572" t="s">
        <v>20587</v>
      </c>
      <c r="R2572" t="s">
        <v>16820</v>
      </c>
      <c r="S2572">
        <v>1411</v>
      </c>
    </row>
    <row r="2573" spans="1:19">
      <c r="A2573" t="s">
        <v>23</v>
      </c>
      <c r="B2573" t="s">
        <v>148</v>
      </c>
      <c r="C2573" t="s">
        <v>155</v>
      </c>
      <c r="D2573" t="s">
        <v>284</v>
      </c>
      <c r="E2573" t="s">
        <v>413</v>
      </c>
      <c r="F2573">
        <f>HYPERLINK("https://www.wikidata.org/wiki/Q33728280", "Q33728280")</f>
        <v>0</v>
      </c>
      <c r="G2573" t="s">
        <v>1255</v>
      </c>
      <c r="H2573" t="s">
        <v>5979</v>
      </c>
      <c r="I2573" t="s">
        <v>9385</v>
      </c>
      <c r="J2573" t="s">
        <v>11985</v>
      </c>
      <c r="K2573" t="s">
        <v>16388</v>
      </c>
      <c r="L2573">
        <f>HYPERLINK("https://www2.assemblee-nationale.fr/sycomore/fiche/(num_dept)/3156", "3156")</f>
        <v>0</v>
      </c>
      <c r="N2573">
        <f>HYPERLINK("https://www.wikidata.org/wiki/Q16025733", "Q16025733")</f>
        <v>0</v>
      </c>
      <c r="O2573" t="s">
        <v>20007</v>
      </c>
      <c r="P2573" t="s">
        <v>20401</v>
      </c>
      <c r="Q2573" t="s">
        <v>20587</v>
      </c>
      <c r="R2573" t="s">
        <v>413</v>
      </c>
      <c r="S2573">
        <v>1500</v>
      </c>
    </row>
    <row r="2574" spans="1:19">
      <c r="A2574" t="s">
        <v>23</v>
      </c>
      <c r="B2574" t="s">
        <v>148</v>
      </c>
      <c r="C2574" t="s">
        <v>155</v>
      </c>
      <c r="D2574" t="s">
        <v>284</v>
      </c>
      <c r="E2574" t="s">
        <v>413</v>
      </c>
      <c r="F2574">
        <f>HYPERLINK("https://www.wikidata.org/wiki/Q33728280", "Q33728280")</f>
        <v>0</v>
      </c>
      <c r="G2574" t="s">
        <v>1955</v>
      </c>
      <c r="H2574" t="s">
        <v>6597</v>
      </c>
      <c r="I2574" t="s">
        <v>10016</v>
      </c>
      <c r="J2574" t="s">
        <v>12638</v>
      </c>
      <c r="K2574" t="s">
        <v>17048</v>
      </c>
      <c r="L2574">
        <f>HYPERLINK("https://www2.assemblee-nationale.fr/sycomore/fiche/(num_dept)/3166", "3166")</f>
        <v>0</v>
      </c>
      <c r="N2574">
        <f>HYPERLINK("https://www.wikidata.org/wiki/Q1109027", "Q1109027")</f>
        <v>0</v>
      </c>
      <c r="O2574" t="s">
        <v>20035</v>
      </c>
      <c r="P2574" t="s">
        <v>20404</v>
      </c>
      <c r="Q2574" t="s">
        <v>20587</v>
      </c>
      <c r="R2574" t="s">
        <v>413</v>
      </c>
      <c r="S2574">
        <v>1500</v>
      </c>
    </row>
    <row r="2575" spans="1:19">
      <c r="A2575" t="s">
        <v>23</v>
      </c>
      <c r="B2575" t="s">
        <v>148</v>
      </c>
      <c r="C2575" t="s">
        <v>155</v>
      </c>
      <c r="D2575" t="s">
        <v>284</v>
      </c>
      <c r="E2575" t="s">
        <v>413</v>
      </c>
      <c r="F2575">
        <f>HYPERLINK("https://www.wikidata.org/wiki/Q33728280", "Q33728280")</f>
        <v>0</v>
      </c>
      <c r="G2575" t="s">
        <v>1802</v>
      </c>
      <c r="H2575" t="s">
        <v>6467</v>
      </c>
      <c r="I2575" t="s">
        <v>9465</v>
      </c>
      <c r="J2575" t="s">
        <v>12497</v>
      </c>
      <c r="K2575" t="s">
        <v>16907</v>
      </c>
      <c r="L2575">
        <f>HYPERLINK("https://www2.assemblee-nationale.fr/sycomore/fiche/(num_dept)/3167", "3167")</f>
        <v>0</v>
      </c>
      <c r="N2575">
        <f>HYPERLINK("https://www.wikidata.org/wiki/Q3059882", "Q3059882")</f>
        <v>0</v>
      </c>
      <c r="O2575" t="s">
        <v>19958</v>
      </c>
      <c r="P2575" t="s">
        <v>20404</v>
      </c>
      <c r="Q2575" t="s">
        <v>20587</v>
      </c>
      <c r="R2575" t="s">
        <v>413</v>
      </c>
      <c r="S2575">
        <v>1500</v>
      </c>
    </row>
    <row r="2576" spans="1:19">
      <c r="A2576" t="s">
        <v>23</v>
      </c>
      <c r="B2576" t="s">
        <v>148</v>
      </c>
      <c r="C2576" t="s">
        <v>155</v>
      </c>
      <c r="D2576" t="s">
        <v>284</v>
      </c>
      <c r="E2576" t="s">
        <v>413</v>
      </c>
      <c r="F2576">
        <f>HYPERLINK("https://www.wikidata.org/wiki/Q33728280", "Q33728280")</f>
        <v>0</v>
      </c>
      <c r="G2576" t="s">
        <v>1922</v>
      </c>
      <c r="H2576" t="s">
        <v>6569</v>
      </c>
      <c r="I2576" t="s">
        <v>6495</v>
      </c>
      <c r="J2576" t="s">
        <v>12607</v>
      </c>
      <c r="K2576" t="s">
        <v>16162</v>
      </c>
      <c r="L2576">
        <f>HYPERLINK("https://www2.assemblee-nationale.fr/sycomore/fiche/(num_dept)/3255", "3255")</f>
        <v>0</v>
      </c>
      <c r="N2576">
        <f>HYPERLINK("https://www.wikidata.org/wiki/Q3262002", "Q3262002")</f>
        <v>0</v>
      </c>
      <c r="O2576" t="s">
        <v>20033</v>
      </c>
      <c r="P2576" t="s">
        <v>20404</v>
      </c>
      <c r="Q2576" t="s">
        <v>20587</v>
      </c>
      <c r="R2576" t="s">
        <v>413</v>
      </c>
      <c r="S2576">
        <v>1500</v>
      </c>
    </row>
    <row r="2577" spans="1:19">
      <c r="A2577" t="s">
        <v>23</v>
      </c>
      <c r="B2577" t="s">
        <v>148</v>
      </c>
      <c r="C2577" t="s">
        <v>155</v>
      </c>
      <c r="D2577" t="s">
        <v>284</v>
      </c>
      <c r="E2577" t="s">
        <v>413</v>
      </c>
      <c r="F2577">
        <f>HYPERLINK("https://www.wikidata.org/wiki/Q33728280", "Q33728280")</f>
        <v>0</v>
      </c>
      <c r="G2577" t="s">
        <v>656</v>
      </c>
      <c r="H2577" t="s">
        <v>5415</v>
      </c>
      <c r="I2577" t="s">
        <v>9471</v>
      </c>
      <c r="J2577" t="s">
        <v>11406</v>
      </c>
      <c r="K2577" t="s">
        <v>15808</v>
      </c>
      <c r="L2577">
        <f>HYPERLINK("https://www2.assemblee-nationale.fr/sycomore/fiche/(num_dept)/3276", "3276")</f>
        <v>0</v>
      </c>
      <c r="N2577">
        <f>HYPERLINK("https://www.wikidata.org/wiki/Q3265516", "Q3265516")</f>
        <v>0</v>
      </c>
      <c r="O2577" t="s">
        <v>19963</v>
      </c>
      <c r="P2577" t="s">
        <v>20431</v>
      </c>
      <c r="Q2577" t="s">
        <v>20587</v>
      </c>
      <c r="R2577" t="s">
        <v>413</v>
      </c>
      <c r="S2577">
        <v>1500</v>
      </c>
    </row>
    <row r="2578" spans="1:19">
      <c r="A2578" t="s">
        <v>23</v>
      </c>
      <c r="B2578" t="s">
        <v>148</v>
      </c>
      <c r="C2578" t="s">
        <v>155</v>
      </c>
      <c r="D2578" t="s">
        <v>284</v>
      </c>
      <c r="E2578" t="s">
        <v>413</v>
      </c>
      <c r="F2578">
        <f>HYPERLINK("https://www.wikidata.org/wiki/Q33728280", "Q33728280")</f>
        <v>0</v>
      </c>
      <c r="G2578" t="s">
        <v>1956</v>
      </c>
      <c r="H2578" t="s">
        <v>6598</v>
      </c>
      <c r="I2578" t="s">
        <v>9389</v>
      </c>
      <c r="J2578" t="s">
        <v>12639</v>
      </c>
      <c r="K2578" t="s">
        <v>17049</v>
      </c>
      <c r="L2578">
        <f>HYPERLINK("https://www2.assemblee-nationale.fr/sycomore/fiche/(num_dept)/3332", "3332")</f>
        <v>0</v>
      </c>
      <c r="N2578">
        <f>HYPERLINK("https://www.wikidata.org/wiki/Q3588531", "Q3588531")</f>
        <v>0</v>
      </c>
      <c r="O2578" t="s">
        <v>19987</v>
      </c>
      <c r="P2578" t="s">
        <v>20412</v>
      </c>
      <c r="Q2578" t="s">
        <v>20587</v>
      </c>
      <c r="R2578" t="s">
        <v>413</v>
      </c>
      <c r="S2578">
        <v>1500</v>
      </c>
    </row>
    <row r="2579" spans="1:19">
      <c r="A2579" t="s">
        <v>23</v>
      </c>
      <c r="B2579" t="s">
        <v>148</v>
      </c>
      <c r="C2579" t="s">
        <v>155</v>
      </c>
      <c r="D2579" t="s">
        <v>284</v>
      </c>
      <c r="E2579" t="s">
        <v>413</v>
      </c>
      <c r="F2579">
        <f>HYPERLINK("https://www.wikidata.org/wiki/Q33728280", "Q33728280")</f>
        <v>0</v>
      </c>
      <c r="G2579" t="s">
        <v>1477</v>
      </c>
      <c r="H2579" t="s">
        <v>5417</v>
      </c>
      <c r="I2579" t="s">
        <v>6166</v>
      </c>
      <c r="J2579" t="s">
        <v>12196</v>
      </c>
      <c r="K2579" t="s">
        <v>16602</v>
      </c>
      <c r="L2579">
        <f>HYPERLINK("https://www2.assemblee-nationale.fr/sycomore/fiche/(num_dept)/3359", "3359")</f>
        <v>0</v>
      </c>
      <c r="N2579">
        <f>HYPERLINK("https://www.wikidata.org/wiki/Q3084814", "Q3084814")</f>
        <v>0</v>
      </c>
      <c r="O2579" t="s">
        <v>20009</v>
      </c>
      <c r="P2579" t="s">
        <v>20407</v>
      </c>
      <c r="Q2579" t="s">
        <v>20587</v>
      </c>
      <c r="R2579" t="s">
        <v>16602</v>
      </c>
      <c r="S2579">
        <v>304</v>
      </c>
    </row>
    <row r="2580" spans="1:19">
      <c r="A2580" t="s">
        <v>23</v>
      </c>
      <c r="B2580" t="s">
        <v>148</v>
      </c>
      <c r="C2580" t="s">
        <v>155</v>
      </c>
      <c r="D2580" t="s">
        <v>284</v>
      </c>
      <c r="E2580" t="s">
        <v>413</v>
      </c>
      <c r="F2580">
        <f>HYPERLINK("https://www.wikidata.org/wiki/Q33728280", "Q33728280")</f>
        <v>0</v>
      </c>
      <c r="G2580" t="s">
        <v>1957</v>
      </c>
      <c r="H2580" t="s">
        <v>5417</v>
      </c>
      <c r="I2580" t="s">
        <v>9470</v>
      </c>
      <c r="J2580" t="s">
        <v>12640</v>
      </c>
      <c r="K2580" t="s">
        <v>17050</v>
      </c>
      <c r="L2580">
        <f>HYPERLINK("https://www2.assemblee-nationale.fr/sycomore/fiche/(num_dept)/3360", "3360")</f>
        <v>0</v>
      </c>
      <c r="N2580">
        <f>HYPERLINK("https://www.wikidata.org/wiki/Q3099030", "Q3099030")</f>
        <v>0</v>
      </c>
      <c r="O2580" t="s">
        <v>20002</v>
      </c>
      <c r="P2580" t="s">
        <v>20401</v>
      </c>
      <c r="Q2580" t="s">
        <v>20587</v>
      </c>
      <c r="R2580" t="s">
        <v>413</v>
      </c>
      <c r="S2580">
        <v>1500</v>
      </c>
    </row>
    <row r="2581" spans="1:19">
      <c r="A2581" t="s">
        <v>23</v>
      </c>
      <c r="B2581" t="s">
        <v>148</v>
      </c>
      <c r="C2581" t="s">
        <v>155</v>
      </c>
      <c r="D2581" t="s">
        <v>284</v>
      </c>
      <c r="E2581" t="s">
        <v>413</v>
      </c>
      <c r="F2581">
        <f>HYPERLINK("https://www.wikidata.org/wiki/Q33728280", "Q33728280")</f>
        <v>0</v>
      </c>
      <c r="G2581" t="s">
        <v>1958</v>
      </c>
      <c r="H2581" t="s">
        <v>6599</v>
      </c>
      <c r="I2581" t="s">
        <v>10017</v>
      </c>
      <c r="J2581" t="s">
        <v>12641</v>
      </c>
      <c r="K2581" t="s">
        <v>17051</v>
      </c>
      <c r="L2581">
        <f>HYPERLINK("https://www2.assemblee-nationale.fr/sycomore/fiche/(num_dept)/3401", "3401")</f>
        <v>0</v>
      </c>
      <c r="M2581">
        <f>HYPERLINK("https://www.senat.fr/senateur-3eme-republique/gianotti_antonin0126r3.html", "gianotti_antonin0126r3")</f>
        <v>0</v>
      </c>
      <c r="N2581">
        <f>HYPERLINK("https://www.wikidata.org/wiki/Q2857116", "Q2857116")</f>
        <v>0</v>
      </c>
      <c r="O2581" t="s">
        <v>20024</v>
      </c>
      <c r="P2581" t="s">
        <v>20412</v>
      </c>
      <c r="Q2581" t="s">
        <v>20587</v>
      </c>
      <c r="R2581" t="s">
        <v>413</v>
      </c>
      <c r="S2581">
        <v>1500</v>
      </c>
    </row>
    <row r="2582" spans="1:19">
      <c r="A2582" t="s">
        <v>23</v>
      </c>
      <c r="B2582" t="s">
        <v>148</v>
      </c>
      <c r="C2582" t="s">
        <v>155</v>
      </c>
      <c r="D2582" t="s">
        <v>284</v>
      </c>
      <c r="E2582" t="s">
        <v>413</v>
      </c>
      <c r="F2582">
        <f>HYPERLINK("https://www.wikidata.org/wiki/Q33728280", "Q33728280")</f>
        <v>0</v>
      </c>
      <c r="G2582" t="s">
        <v>1480</v>
      </c>
      <c r="H2582" t="s">
        <v>6178</v>
      </c>
      <c r="I2582" t="s">
        <v>9822</v>
      </c>
      <c r="J2582" t="s">
        <v>12199</v>
      </c>
      <c r="K2582" t="s">
        <v>16604</v>
      </c>
      <c r="L2582">
        <f>HYPERLINK("https://www2.assemblee-nationale.fr/sycomore/fiche/(num_dept)/3479", "3479")</f>
        <v>0</v>
      </c>
      <c r="N2582">
        <f>HYPERLINK("https://www.wikidata.org/wiki/Q16025796", "Q16025796")</f>
        <v>0</v>
      </c>
      <c r="O2582" t="s">
        <v>20012</v>
      </c>
      <c r="P2582" t="s">
        <v>20401</v>
      </c>
      <c r="Q2582" t="s">
        <v>20587</v>
      </c>
      <c r="R2582" t="s">
        <v>413</v>
      </c>
      <c r="S2582">
        <v>1500</v>
      </c>
    </row>
    <row r="2583" spans="1:19">
      <c r="A2583" t="s">
        <v>23</v>
      </c>
      <c r="B2583" t="s">
        <v>148</v>
      </c>
      <c r="C2583" t="s">
        <v>155</v>
      </c>
      <c r="D2583" t="s">
        <v>284</v>
      </c>
      <c r="E2583" t="s">
        <v>413</v>
      </c>
      <c r="F2583">
        <f>HYPERLINK("https://www.wikidata.org/wiki/Q33728280", "Q33728280")</f>
        <v>0</v>
      </c>
      <c r="G2583" t="s">
        <v>1959</v>
      </c>
      <c r="H2583" t="s">
        <v>6600</v>
      </c>
      <c r="I2583" t="s">
        <v>9465</v>
      </c>
      <c r="J2583" t="s">
        <v>12642</v>
      </c>
      <c r="K2583" t="s">
        <v>17052</v>
      </c>
      <c r="L2583">
        <f>HYPERLINK("https://www2.assemblee-nationale.fr/sycomore/fiche/(num_dept)/3536", "3536")</f>
        <v>0</v>
      </c>
      <c r="N2583">
        <f>HYPERLINK("https://www.wikidata.org/wiki/Q15971701", "Q15971701")</f>
        <v>0</v>
      </c>
      <c r="O2583" t="s">
        <v>20028</v>
      </c>
      <c r="P2583" t="s">
        <v>20428</v>
      </c>
      <c r="Q2583" t="s">
        <v>20587</v>
      </c>
      <c r="R2583" t="s">
        <v>413</v>
      </c>
      <c r="S2583">
        <v>1500</v>
      </c>
    </row>
    <row r="2584" spans="1:19">
      <c r="A2584" t="s">
        <v>23</v>
      </c>
      <c r="B2584" t="s">
        <v>148</v>
      </c>
      <c r="C2584" t="s">
        <v>155</v>
      </c>
      <c r="D2584" t="s">
        <v>284</v>
      </c>
      <c r="E2584" t="s">
        <v>413</v>
      </c>
      <c r="F2584">
        <f>HYPERLINK("https://www.wikidata.org/wiki/Q33728280", "Q33728280")</f>
        <v>0</v>
      </c>
      <c r="G2584" t="s">
        <v>668</v>
      </c>
      <c r="H2584" t="s">
        <v>5427</v>
      </c>
      <c r="I2584" t="s">
        <v>6175</v>
      </c>
      <c r="J2584" t="s">
        <v>11418</v>
      </c>
      <c r="K2584" t="s">
        <v>15820</v>
      </c>
      <c r="L2584">
        <f>HYPERLINK("https://www2.assemblee-nationale.fr/sycomore/fiche/(num_dept)/3542", "3542")</f>
        <v>0</v>
      </c>
      <c r="M2584">
        <f>HYPERLINK("https://www.senat.fr/senateur-3eme-republique/de_grandmaison_georges1070r3.html", "de_grandmaison_georges1070r3")</f>
        <v>0</v>
      </c>
      <c r="N2584">
        <f>HYPERLINK("https://www.wikidata.org/wiki/Q3103201", "Q3103201")</f>
        <v>0</v>
      </c>
      <c r="O2584" t="s">
        <v>19980</v>
      </c>
      <c r="P2584" t="s">
        <v>20422</v>
      </c>
      <c r="Q2584" t="s">
        <v>20587</v>
      </c>
      <c r="R2584" t="s">
        <v>413</v>
      </c>
      <c r="S2584">
        <v>1500</v>
      </c>
    </row>
    <row r="2585" spans="1:19">
      <c r="A2585" t="s">
        <v>23</v>
      </c>
      <c r="B2585" t="s">
        <v>148</v>
      </c>
      <c r="C2585" t="s">
        <v>155</v>
      </c>
      <c r="D2585" t="s">
        <v>284</v>
      </c>
      <c r="E2585" t="s">
        <v>413</v>
      </c>
      <c r="F2585">
        <f>HYPERLINK("https://www.wikidata.org/wiki/Q33728280", "Q33728280")</f>
        <v>0</v>
      </c>
      <c r="G2585" t="s">
        <v>1483</v>
      </c>
      <c r="H2585" t="s">
        <v>6181</v>
      </c>
      <c r="I2585" t="s">
        <v>9728</v>
      </c>
      <c r="J2585" t="s">
        <v>12202</v>
      </c>
      <c r="K2585" t="s">
        <v>16607</v>
      </c>
      <c r="L2585">
        <f>HYPERLINK("https://www2.assemblee-nationale.fr/sycomore/fiche/(num_dept)/3589", "3589")</f>
        <v>0</v>
      </c>
      <c r="N2585">
        <f>HYPERLINK("https://www.wikidata.org/wiki/Q3579872", "Q3579872")</f>
        <v>0</v>
      </c>
      <c r="O2585" t="s">
        <v>20024</v>
      </c>
      <c r="P2585" t="s">
        <v>20412</v>
      </c>
      <c r="Q2585" t="s">
        <v>20587</v>
      </c>
      <c r="R2585" t="s">
        <v>413</v>
      </c>
      <c r="S2585">
        <v>1500</v>
      </c>
    </row>
    <row r="2586" spans="1:19">
      <c r="A2586" t="s">
        <v>23</v>
      </c>
      <c r="B2586" t="s">
        <v>148</v>
      </c>
      <c r="C2586" t="s">
        <v>155</v>
      </c>
      <c r="D2586" t="s">
        <v>284</v>
      </c>
      <c r="E2586" t="s">
        <v>413</v>
      </c>
      <c r="F2586">
        <f>HYPERLINK("https://www.wikidata.org/wiki/Q33728280", "Q33728280")</f>
        <v>0</v>
      </c>
      <c r="G2586" t="s">
        <v>1485</v>
      </c>
      <c r="H2586" t="s">
        <v>6183</v>
      </c>
      <c r="I2586" t="s">
        <v>9421</v>
      </c>
      <c r="J2586" t="s">
        <v>12204</v>
      </c>
      <c r="K2586" t="s">
        <v>16609</v>
      </c>
      <c r="L2586">
        <f>HYPERLINK("https://www2.assemblee-nationale.fr/sycomore/fiche/(num_dept)/3627", "3627")</f>
        <v>0</v>
      </c>
      <c r="M2586">
        <f>HYPERLINK("https://www.senat.fr/senateur-3eme-republique/guerin_gustave1038r3.html", "guerin_gustave1038r3")</f>
        <v>0</v>
      </c>
      <c r="N2586">
        <f>HYPERLINK("https://www.wikidata.org/wiki/Q3121205", "Q3121205")</f>
        <v>0</v>
      </c>
      <c r="O2586" t="s">
        <v>19985</v>
      </c>
      <c r="P2586" t="s">
        <v>20422</v>
      </c>
      <c r="Q2586" t="s">
        <v>20587</v>
      </c>
      <c r="R2586" t="s">
        <v>413</v>
      </c>
      <c r="S2586">
        <v>1500</v>
      </c>
    </row>
    <row r="2587" spans="1:19">
      <c r="A2587" t="s">
        <v>23</v>
      </c>
      <c r="B2587" t="s">
        <v>148</v>
      </c>
      <c r="C2587" t="s">
        <v>155</v>
      </c>
      <c r="D2587" t="s">
        <v>284</v>
      </c>
      <c r="E2587" t="s">
        <v>413</v>
      </c>
      <c r="F2587">
        <f>HYPERLINK("https://www.wikidata.org/wiki/Q33728280", "Q33728280")</f>
        <v>0</v>
      </c>
      <c r="G2587" t="s">
        <v>682</v>
      </c>
      <c r="H2587" t="s">
        <v>5440</v>
      </c>
      <c r="I2587" t="s">
        <v>6200</v>
      </c>
      <c r="J2587" t="s">
        <v>11432</v>
      </c>
      <c r="K2587" t="s">
        <v>15833</v>
      </c>
      <c r="L2587">
        <f>HYPERLINK("https://www2.assemblee-nationale.fr/sycomore/fiche/(num_dept)/3795", "3795")</f>
        <v>0</v>
      </c>
      <c r="N2587">
        <f>HYPERLINK("https://www.wikidata.org/wiki/Q554679", "Q554679")</f>
        <v>0</v>
      </c>
      <c r="O2587" t="s">
        <v>20031</v>
      </c>
      <c r="P2587" t="s">
        <v>20406</v>
      </c>
      <c r="Q2587" t="s">
        <v>20587</v>
      </c>
      <c r="R2587" t="s">
        <v>413</v>
      </c>
      <c r="S2587">
        <v>1500</v>
      </c>
    </row>
    <row r="2588" spans="1:19">
      <c r="A2588" t="s">
        <v>23</v>
      </c>
      <c r="B2588" t="s">
        <v>148</v>
      </c>
      <c r="C2588" t="s">
        <v>155</v>
      </c>
      <c r="D2588" t="s">
        <v>284</v>
      </c>
      <c r="E2588" t="s">
        <v>413</v>
      </c>
      <c r="F2588">
        <f>HYPERLINK("https://www.wikidata.org/wiki/Q33728280", "Q33728280")</f>
        <v>0</v>
      </c>
      <c r="G2588" t="s">
        <v>1814</v>
      </c>
      <c r="H2588" t="s">
        <v>6479</v>
      </c>
      <c r="I2588" t="s">
        <v>9523</v>
      </c>
      <c r="J2588" t="s">
        <v>12508</v>
      </c>
      <c r="K2588" t="s">
        <v>16919</v>
      </c>
      <c r="L2588">
        <f>HYPERLINK("https://www2.assemblee-nationale.fr/sycomore/fiche/(num_dept)/3804", "3804")</f>
        <v>0</v>
      </c>
      <c r="N2588">
        <f>HYPERLINK("https://www.wikidata.org/wiki/Q339436", "Q339436")</f>
        <v>0</v>
      </c>
      <c r="O2588" t="s">
        <v>19969</v>
      </c>
      <c r="P2588" t="s">
        <v>20412</v>
      </c>
      <c r="Q2588" t="s">
        <v>20587</v>
      </c>
      <c r="R2588" t="s">
        <v>413</v>
      </c>
      <c r="S2588">
        <v>1500</v>
      </c>
    </row>
    <row r="2589" spans="1:19">
      <c r="A2589" t="s">
        <v>23</v>
      </c>
      <c r="B2589" t="s">
        <v>148</v>
      </c>
      <c r="C2589" t="s">
        <v>155</v>
      </c>
      <c r="D2589" t="s">
        <v>284</v>
      </c>
      <c r="E2589" t="s">
        <v>413</v>
      </c>
      <c r="F2589">
        <f>HYPERLINK("https://www.wikidata.org/wiki/Q33728280", "Q33728280")</f>
        <v>0</v>
      </c>
      <c r="G2589" t="s">
        <v>1492</v>
      </c>
      <c r="H2589" t="s">
        <v>6190</v>
      </c>
      <c r="I2589" t="s">
        <v>9728</v>
      </c>
      <c r="J2589" t="s">
        <v>12210</v>
      </c>
      <c r="K2589" t="s">
        <v>16616</v>
      </c>
      <c r="L2589">
        <f>HYPERLINK("https://www2.assemblee-nationale.fr/sycomore/fiche/(num_dept)/3819", "3819")</f>
        <v>0</v>
      </c>
      <c r="M2589">
        <f>HYPERLINK("https://www.senat.fr/senateur-3eme-republique/herriot_edouard1121r3.html", "herriot_edouard1121r3")</f>
        <v>0</v>
      </c>
      <c r="N2589">
        <f>HYPERLINK("https://www.wikidata.org/wiki/Q274344", "Q274344")</f>
        <v>0</v>
      </c>
      <c r="O2589" t="s">
        <v>19965</v>
      </c>
      <c r="P2589" t="s">
        <v>20428</v>
      </c>
      <c r="Q2589" t="s">
        <v>20587</v>
      </c>
      <c r="R2589" t="s">
        <v>413</v>
      </c>
      <c r="S2589">
        <v>1500</v>
      </c>
    </row>
    <row r="2590" spans="1:19">
      <c r="A2590" t="s">
        <v>23</v>
      </c>
      <c r="B2590" t="s">
        <v>148</v>
      </c>
      <c r="C2590" t="s">
        <v>155</v>
      </c>
      <c r="D2590" t="s">
        <v>284</v>
      </c>
      <c r="E2590" t="s">
        <v>413</v>
      </c>
      <c r="F2590">
        <f>HYPERLINK("https://www.wikidata.org/wiki/Q33728280", "Q33728280")</f>
        <v>0</v>
      </c>
      <c r="G2590" t="s">
        <v>1496</v>
      </c>
      <c r="H2590" t="s">
        <v>6194</v>
      </c>
      <c r="I2590" t="s">
        <v>5812</v>
      </c>
      <c r="J2590" t="s">
        <v>12214</v>
      </c>
      <c r="K2590" t="s">
        <v>16221</v>
      </c>
      <c r="L2590">
        <f>HYPERLINK("https://www2.assemblee-nationale.fr/sycomore/fiche/(num_dept)/3933", "3933")</f>
        <v>0</v>
      </c>
      <c r="N2590">
        <f>HYPERLINK("https://www.wikidata.org/wiki/Q3559675", "Q3559675")</f>
        <v>0</v>
      </c>
      <c r="O2590" t="s">
        <v>20011</v>
      </c>
      <c r="P2590" t="s">
        <v>20422</v>
      </c>
      <c r="Q2590" t="s">
        <v>20587</v>
      </c>
      <c r="R2590" t="s">
        <v>413</v>
      </c>
      <c r="S2590">
        <v>1500</v>
      </c>
    </row>
    <row r="2591" spans="1:19">
      <c r="A2591" t="s">
        <v>23</v>
      </c>
      <c r="B2591" t="s">
        <v>148</v>
      </c>
      <c r="C2591" t="s">
        <v>155</v>
      </c>
      <c r="D2591" t="s">
        <v>284</v>
      </c>
      <c r="E2591" t="s">
        <v>413</v>
      </c>
      <c r="F2591">
        <f>HYPERLINK("https://www.wikidata.org/wiki/Q33728280", "Q33728280")</f>
        <v>0</v>
      </c>
      <c r="G2591" t="s">
        <v>1505</v>
      </c>
      <c r="H2591" t="s">
        <v>6202</v>
      </c>
      <c r="I2591" t="s">
        <v>6585</v>
      </c>
      <c r="J2591" t="s">
        <v>12223</v>
      </c>
      <c r="K2591" t="s">
        <v>16628</v>
      </c>
      <c r="L2591">
        <f>HYPERLINK("https://www2.assemblee-nationale.fr/sycomore/fiche/(num_dept)/4038", "4038")</f>
        <v>0</v>
      </c>
      <c r="M2591">
        <f>HYPERLINK("https://www.senat.fr/senateur-3eme-republique/join_lambert_andre0759r3.html", "join_lambert_andre0759r3")</f>
        <v>0</v>
      </c>
      <c r="N2591">
        <f>HYPERLINK("https://www.wikidata.org/wiki/Q2847994", "Q2847994")</f>
        <v>0</v>
      </c>
      <c r="O2591" t="s">
        <v>19992</v>
      </c>
      <c r="P2591" t="s">
        <v>20422</v>
      </c>
      <c r="Q2591" t="s">
        <v>20587</v>
      </c>
      <c r="R2591" t="s">
        <v>413</v>
      </c>
      <c r="S2591">
        <v>1500</v>
      </c>
    </row>
    <row r="2592" spans="1:19">
      <c r="A2592" t="s">
        <v>23</v>
      </c>
      <c r="B2592" t="s">
        <v>148</v>
      </c>
      <c r="C2592" t="s">
        <v>155</v>
      </c>
      <c r="D2592" t="s">
        <v>284</v>
      </c>
      <c r="E2592" t="s">
        <v>413</v>
      </c>
      <c r="F2592">
        <f>HYPERLINK("https://www.wikidata.org/wiki/Q33728280", "Q33728280")</f>
        <v>0</v>
      </c>
      <c r="G2592" t="s">
        <v>1084</v>
      </c>
      <c r="H2592" t="s">
        <v>5827</v>
      </c>
      <c r="I2592" t="s">
        <v>7419</v>
      </c>
      <c r="J2592" t="s">
        <v>11820</v>
      </c>
      <c r="K2592" t="s">
        <v>16221</v>
      </c>
      <c r="L2592">
        <f>HYPERLINK("https://www2.assemblee-nationale.fr/sycomore/fiche/(num_dept)/4090", "4090")</f>
        <v>0</v>
      </c>
      <c r="M2592">
        <f>HYPERLINK("https://www.senat.fr/senateur-3eme-republique/de_juigne_jacques1286r3.html", "de_juigne_jacques1286r3")</f>
        <v>0</v>
      </c>
      <c r="N2592">
        <f>HYPERLINK("https://www.wikidata.org/wiki/Q3158160", "Q3158160")</f>
        <v>0</v>
      </c>
      <c r="O2592" t="s">
        <v>20023</v>
      </c>
      <c r="P2592" t="s">
        <v>20407</v>
      </c>
      <c r="Q2592" t="s">
        <v>20587</v>
      </c>
      <c r="R2592" t="s">
        <v>413</v>
      </c>
      <c r="S2592">
        <v>1500</v>
      </c>
    </row>
    <row r="2593" spans="1:19">
      <c r="A2593" t="s">
        <v>23</v>
      </c>
      <c r="B2593" t="s">
        <v>148</v>
      </c>
      <c r="C2593" t="s">
        <v>155</v>
      </c>
      <c r="D2593" t="s">
        <v>284</v>
      </c>
      <c r="E2593" t="s">
        <v>413</v>
      </c>
      <c r="F2593">
        <f>HYPERLINK("https://www.wikidata.org/wiki/Q33728280", "Q33728280")</f>
        <v>0</v>
      </c>
      <c r="G2593" t="s">
        <v>1960</v>
      </c>
      <c r="H2593" t="s">
        <v>6601</v>
      </c>
      <c r="I2593" t="s">
        <v>6713</v>
      </c>
      <c r="J2593" t="s">
        <v>12643</v>
      </c>
      <c r="K2593" t="s">
        <v>17053</v>
      </c>
      <c r="L2593">
        <f>HYPERLINK("https://www2.assemblee-nationale.fr/sycomore/fiche/(num_dept)/4175", "4175")</f>
        <v>0</v>
      </c>
      <c r="N2593">
        <f>HYPERLINK("https://www.wikidata.org/wiki/Q3121895", "Q3121895")</f>
        <v>0</v>
      </c>
      <c r="O2593" t="s">
        <v>19998</v>
      </c>
      <c r="P2593" t="s">
        <v>20431</v>
      </c>
      <c r="Q2593" t="s">
        <v>20587</v>
      </c>
      <c r="R2593" t="s">
        <v>413</v>
      </c>
      <c r="S2593">
        <v>1500</v>
      </c>
    </row>
    <row r="2594" spans="1:19">
      <c r="A2594" t="s">
        <v>23</v>
      </c>
      <c r="B2594" t="s">
        <v>148</v>
      </c>
      <c r="C2594" t="s">
        <v>155</v>
      </c>
      <c r="D2594" t="s">
        <v>284</v>
      </c>
      <c r="E2594" t="s">
        <v>413</v>
      </c>
      <c r="F2594">
        <f>HYPERLINK("https://www.wikidata.org/wiki/Q33728280", "Q33728280")</f>
        <v>0</v>
      </c>
      <c r="G2594" t="s">
        <v>700</v>
      </c>
      <c r="H2594" t="s">
        <v>5458</v>
      </c>
      <c r="I2594" t="s">
        <v>9486</v>
      </c>
      <c r="J2594" t="s">
        <v>11450</v>
      </c>
      <c r="K2594" t="s">
        <v>15851</v>
      </c>
      <c r="L2594">
        <f>HYPERLINK("https://www2.assemblee-nationale.fr/sycomore/fiche/(num_dept)/4177", "4177")</f>
        <v>0</v>
      </c>
      <c r="N2594">
        <f>HYPERLINK("https://www.wikidata.org/wiki/Q3132286", "Q3132286")</f>
        <v>0</v>
      </c>
      <c r="O2594" t="s">
        <v>20023</v>
      </c>
      <c r="P2594" t="s">
        <v>20407</v>
      </c>
      <c r="Q2594" t="s">
        <v>20587</v>
      </c>
      <c r="R2594" t="s">
        <v>413</v>
      </c>
      <c r="S2594">
        <v>1500</v>
      </c>
    </row>
    <row r="2595" spans="1:19">
      <c r="A2595" t="s">
        <v>23</v>
      </c>
      <c r="B2595" t="s">
        <v>148</v>
      </c>
      <c r="C2595" t="s">
        <v>155</v>
      </c>
      <c r="D2595" t="s">
        <v>284</v>
      </c>
      <c r="E2595" t="s">
        <v>413</v>
      </c>
      <c r="F2595">
        <f>HYPERLINK("https://www.wikidata.org/wiki/Q33728280", "Q33728280")</f>
        <v>0</v>
      </c>
      <c r="G2595" t="s">
        <v>983</v>
      </c>
      <c r="H2595" t="s">
        <v>5735</v>
      </c>
      <c r="I2595" t="s">
        <v>9534</v>
      </c>
      <c r="J2595" t="s">
        <v>11721</v>
      </c>
      <c r="K2595" t="s">
        <v>16125</v>
      </c>
      <c r="L2595">
        <f>HYPERLINK("https://www2.assemblee-nationale.fr/sycomore/fiche/(num_dept)/4326", "4326")</f>
        <v>0</v>
      </c>
      <c r="M2595">
        <f>HYPERLINK("https://www.senat.fr/senateur-3eme-republique/landry_adolphe0199r4.html", "landry_adolphe0199r4")</f>
        <v>0</v>
      </c>
      <c r="N2595">
        <f>HYPERLINK("https://www.wikidata.org/wiki/Q2824853", "Q2824853")</f>
        <v>0</v>
      </c>
      <c r="O2595" t="s">
        <v>19955</v>
      </c>
      <c r="P2595" t="s">
        <v>20401</v>
      </c>
      <c r="Q2595" t="s">
        <v>20587</v>
      </c>
      <c r="R2595" t="s">
        <v>413</v>
      </c>
      <c r="S2595">
        <v>1500</v>
      </c>
    </row>
    <row r="2596" spans="1:19">
      <c r="A2596" t="s">
        <v>23</v>
      </c>
      <c r="B2596" t="s">
        <v>148</v>
      </c>
      <c r="C2596" t="s">
        <v>155</v>
      </c>
      <c r="D2596" t="s">
        <v>284</v>
      </c>
      <c r="E2596" t="s">
        <v>413</v>
      </c>
      <c r="F2596">
        <f>HYPERLINK("https://www.wikidata.org/wiki/Q33728280", "Q33728280")</f>
        <v>0</v>
      </c>
      <c r="G2596" t="s">
        <v>709</v>
      </c>
      <c r="H2596" t="s">
        <v>5467</v>
      </c>
      <c r="I2596" t="s">
        <v>9457</v>
      </c>
      <c r="J2596" t="s">
        <v>11267</v>
      </c>
      <c r="K2596" t="s">
        <v>15860</v>
      </c>
      <c r="L2596">
        <f>HYPERLINK("https://www2.assemblee-nationale.fr/sycomore/fiche/(num_dept)/4337", "4337")</f>
        <v>0</v>
      </c>
      <c r="N2596">
        <f>HYPERLINK("https://www.wikidata.org/wiki/Q3131419", "Q3131419")</f>
        <v>0</v>
      </c>
      <c r="O2596" t="s">
        <v>20009</v>
      </c>
      <c r="P2596" t="s">
        <v>20407</v>
      </c>
      <c r="Q2596" t="s">
        <v>20587</v>
      </c>
      <c r="R2596" t="s">
        <v>413</v>
      </c>
      <c r="S2596">
        <v>1500</v>
      </c>
    </row>
    <row r="2597" spans="1:19">
      <c r="A2597" t="s">
        <v>23</v>
      </c>
      <c r="B2597" t="s">
        <v>148</v>
      </c>
      <c r="C2597" t="s">
        <v>155</v>
      </c>
      <c r="D2597" t="s">
        <v>284</v>
      </c>
      <c r="E2597" t="s">
        <v>413</v>
      </c>
      <c r="F2597">
        <f>HYPERLINK("https://www.wikidata.org/wiki/Q33728280", "Q33728280")</f>
        <v>0</v>
      </c>
      <c r="G2597" t="s">
        <v>1832</v>
      </c>
      <c r="H2597" t="s">
        <v>6494</v>
      </c>
      <c r="I2597" t="s">
        <v>6759</v>
      </c>
      <c r="J2597" t="s">
        <v>12526</v>
      </c>
      <c r="K2597" t="s">
        <v>16936</v>
      </c>
      <c r="L2597">
        <f>HYPERLINK("https://www2.assemblee-nationale.fr/sycomore/fiche/(num_dept)/4380", "4380")</f>
        <v>0</v>
      </c>
      <c r="N2597">
        <f>HYPERLINK("https://www.wikidata.org/wiki/Q3435667", "Q3435667")</f>
        <v>0</v>
      </c>
      <c r="O2597" t="s">
        <v>19995</v>
      </c>
      <c r="P2597" t="s">
        <v>20428</v>
      </c>
      <c r="Q2597" t="s">
        <v>20587</v>
      </c>
      <c r="R2597" t="s">
        <v>413</v>
      </c>
      <c r="S2597">
        <v>1500</v>
      </c>
    </row>
    <row r="2598" spans="1:19">
      <c r="A2598" t="s">
        <v>23</v>
      </c>
      <c r="B2598" t="s">
        <v>148</v>
      </c>
      <c r="C2598" t="s">
        <v>155</v>
      </c>
      <c r="D2598" t="s">
        <v>284</v>
      </c>
      <c r="E2598" t="s">
        <v>413</v>
      </c>
      <c r="F2598">
        <f>HYPERLINK("https://www.wikidata.org/wiki/Q33728280", "Q33728280")</f>
        <v>0</v>
      </c>
      <c r="G2598" t="s">
        <v>1272</v>
      </c>
      <c r="H2598" t="s">
        <v>5996</v>
      </c>
      <c r="I2598" t="s">
        <v>9476</v>
      </c>
      <c r="J2598" t="s">
        <v>12002</v>
      </c>
      <c r="K2598" t="s">
        <v>16405</v>
      </c>
      <c r="L2598">
        <f>HYPERLINK("https://www2.assemblee-nationale.fr/sycomore/fiche/(num_dept)/4849", "4849")</f>
        <v>0</v>
      </c>
      <c r="M2598">
        <f>HYPERLINK("https://www.senat.fr/senateur-3eme-republique/de_ludre_frolois_rene0897r3.html", "de_ludre_frolois_rene0897r3")</f>
        <v>0</v>
      </c>
      <c r="N2598">
        <f>HYPERLINK("https://www.wikidata.org/wiki/Q3427060", "Q3427060")</f>
        <v>0</v>
      </c>
      <c r="O2598" t="s">
        <v>19957</v>
      </c>
      <c r="P2598" t="s">
        <v>20422</v>
      </c>
      <c r="Q2598" t="s">
        <v>20587</v>
      </c>
      <c r="R2598" t="s">
        <v>21419</v>
      </c>
      <c r="S2598">
        <v>1318</v>
      </c>
    </row>
    <row r="2599" spans="1:19">
      <c r="A2599" t="s">
        <v>23</v>
      </c>
      <c r="B2599" t="s">
        <v>148</v>
      </c>
      <c r="C2599" t="s">
        <v>155</v>
      </c>
      <c r="D2599" t="s">
        <v>284</v>
      </c>
      <c r="E2599" t="s">
        <v>413</v>
      </c>
      <c r="F2599">
        <f>HYPERLINK("https://www.wikidata.org/wiki/Q33728280", "Q33728280")</f>
        <v>0</v>
      </c>
      <c r="G2599" t="s">
        <v>1961</v>
      </c>
      <c r="H2599" t="s">
        <v>6602</v>
      </c>
      <c r="I2599" t="s">
        <v>10018</v>
      </c>
      <c r="J2599" t="s">
        <v>12644</v>
      </c>
      <c r="K2599" t="s">
        <v>17054</v>
      </c>
      <c r="L2599">
        <f>HYPERLINK("https://www2.assemblee-nationale.fr/sycomore/fiche/(num_dept)/4869", "4869")</f>
        <v>0</v>
      </c>
      <c r="N2599">
        <f>HYPERLINK("https://www.wikidata.org/wiki/Q2979749", "Q2979749")</f>
        <v>0</v>
      </c>
      <c r="O2599" t="s">
        <v>20021</v>
      </c>
      <c r="P2599" t="s">
        <v>20422</v>
      </c>
      <c r="Q2599" t="s">
        <v>20587</v>
      </c>
      <c r="R2599" t="s">
        <v>413</v>
      </c>
      <c r="S2599">
        <v>1500</v>
      </c>
    </row>
    <row r="2600" spans="1:19">
      <c r="A2600" t="s">
        <v>23</v>
      </c>
      <c r="B2600" t="s">
        <v>148</v>
      </c>
      <c r="C2600" t="s">
        <v>155</v>
      </c>
      <c r="D2600" t="s">
        <v>284</v>
      </c>
      <c r="E2600" t="s">
        <v>413</v>
      </c>
      <c r="F2600">
        <f>HYPERLINK("https://www.wikidata.org/wiki/Q33728280", "Q33728280")</f>
        <v>0</v>
      </c>
      <c r="G2600" t="s">
        <v>1519</v>
      </c>
      <c r="H2600" t="s">
        <v>6215</v>
      </c>
      <c r="I2600" t="s">
        <v>9827</v>
      </c>
      <c r="J2600" t="s">
        <v>12236</v>
      </c>
      <c r="K2600" t="s">
        <v>16642</v>
      </c>
      <c r="L2600">
        <f>HYPERLINK("https://www2.assemblee-nationale.fr/sycomore/fiche/(num_dept)/4877", "4877")</f>
        <v>0</v>
      </c>
      <c r="N2600">
        <f>HYPERLINK("https://www.wikidata.org/wiki/Q2835322", "Q2835322")</f>
        <v>0</v>
      </c>
      <c r="O2600" t="s">
        <v>19968</v>
      </c>
      <c r="P2600" t="s">
        <v>20404</v>
      </c>
      <c r="Q2600" t="s">
        <v>20587</v>
      </c>
      <c r="R2600" t="s">
        <v>413</v>
      </c>
      <c r="S2600">
        <v>1500</v>
      </c>
    </row>
    <row r="2601" spans="1:19">
      <c r="A2601" t="s">
        <v>23</v>
      </c>
      <c r="B2601" t="s">
        <v>148</v>
      </c>
      <c r="C2601" t="s">
        <v>155</v>
      </c>
      <c r="D2601" t="s">
        <v>284</v>
      </c>
      <c r="E2601" t="s">
        <v>413</v>
      </c>
      <c r="F2601">
        <f>HYPERLINK("https://www.wikidata.org/wiki/Q33728280", "Q33728280")</f>
        <v>0</v>
      </c>
      <c r="G2601" t="s">
        <v>717</v>
      </c>
      <c r="H2601" t="s">
        <v>5475</v>
      </c>
      <c r="I2601" t="s">
        <v>6585</v>
      </c>
      <c r="J2601" t="s">
        <v>11466</v>
      </c>
      <c r="K2601" t="s">
        <v>15868</v>
      </c>
      <c r="L2601">
        <f>HYPERLINK("https://www2.assemblee-nationale.fr/sycomore/fiche/(num_dept)/4882", "4882")</f>
        <v>0</v>
      </c>
      <c r="N2601">
        <f>HYPERLINK("https://www.wikidata.org/wiki/Q318617", "Q318617")</f>
        <v>0</v>
      </c>
      <c r="O2601" t="s">
        <v>20030</v>
      </c>
      <c r="P2601" t="s">
        <v>20429</v>
      </c>
      <c r="Q2601" t="s">
        <v>20587</v>
      </c>
      <c r="R2601" t="s">
        <v>21420</v>
      </c>
      <c r="S2601">
        <v>1354</v>
      </c>
    </row>
    <row r="2602" spans="1:19">
      <c r="A2602" t="s">
        <v>23</v>
      </c>
      <c r="B2602" t="s">
        <v>148</v>
      </c>
      <c r="C2602" t="s">
        <v>155</v>
      </c>
      <c r="D2602" t="s">
        <v>284</v>
      </c>
      <c r="E2602" t="s">
        <v>413</v>
      </c>
      <c r="F2602">
        <f>HYPERLINK("https://www.wikidata.org/wiki/Q33728280", "Q33728280")</f>
        <v>0</v>
      </c>
      <c r="G2602" t="s">
        <v>721</v>
      </c>
      <c r="H2602" t="s">
        <v>5479</v>
      </c>
      <c r="I2602" t="s">
        <v>6495</v>
      </c>
      <c r="J2602" t="s">
        <v>11470</v>
      </c>
      <c r="K2602" t="s">
        <v>15872</v>
      </c>
      <c r="L2602">
        <f>HYPERLINK("https://www2.assemblee-nationale.fr/sycomore/fiche/(num_dept)/4940", "4940")</f>
        <v>0</v>
      </c>
      <c r="N2602">
        <f>HYPERLINK("https://www.wikidata.org/wiki/Q3262600", "Q3262600")</f>
        <v>0</v>
      </c>
      <c r="O2602" t="s">
        <v>19974</v>
      </c>
      <c r="P2602" t="s">
        <v>20428</v>
      </c>
      <c r="Q2602" t="s">
        <v>20587</v>
      </c>
      <c r="R2602" t="s">
        <v>413</v>
      </c>
      <c r="S2602">
        <v>1500</v>
      </c>
    </row>
    <row r="2603" spans="1:19">
      <c r="A2603" t="s">
        <v>23</v>
      </c>
      <c r="B2603" t="s">
        <v>148</v>
      </c>
      <c r="C2603" t="s">
        <v>155</v>
      </c>
      <c r="D2603" t="s">
        <v>284</v>
      </c>
      <c r="E2603" t="s">
        <v>413</v>
      </c>
      <c r="F2603">
        <f>HYPERLINK("https://www.wikidata.org/wiki/Q33728280", "Q33728280")</f>
        <v>0</v>
      </c>
      <c r="G2603" t="s">
        <v>1925</v>
      </c>
      <c r="H2603" t="s">
        <v>6572</v>
      </c>
      <c r="I2603" t="s">
        <v>9388</v>
      </c>
      <c r="J2603" t="s">
        <v>12610</v>
      </c>
      <c r="K2603" t="s">
        <v>17021</v>
      </c>
      <c r="L2603">
        <f>HYPERLINK("https://www2.assemblee-nationale.fr/sycomore/fiche/(num_dept)/4976", "4976")</f>
        <v>0</v>
      </c>
      <c r="N2603">
        <f>HYPERLINK("https://www.wikidata.org/wiki/Q3371769", "Q3371769")</f>
        <v>0</v>
      </c>
      <c r="O2603" t="s">
        <v>20025</v>
      </c>
      <c r="P2603" t="s">
        <v>20428</v>
      </c>
      <c r="Q2603" t="s">
        <v>20587</v>
      </c>
      <c r="R2603" t="s">
        <v>413</v>
      </c>
      <c r="S2603">
        <v>1500</v>
      </c>
    </row>
    <row r="2604" spans="1:19">
      <c r="A2604" t="s">
        <v>23</v>
      </c>
      <c r="B2604" t="s">
        <v>148</v>
      </c>
      <c r="C2604" t="s">
        <v>155</v>
      </c>
      <c r="D2604" t="s">
        <v>284</v>
      </c>
      <c r="E2604" t="s">
        <v>413</v>
      </c>
      <c r="F2604">
        <f>HYPERLINK("https://www.wikidata.org/wiki/Q33728280", "Q33728280")</f>
        <v>0</v>
      </c>
      <c r="G2604" t="s">
        <v>724</v>
      </c>
      <c r="H2604" t="s">
        <v>5482</v>
      </c>
      <c r="I2604" t="s">
        <v>6495</v>
      </c>
      <c r="J2604" t="s">
        <v>11473</v>
      </c>
      <c r="K2604" t="s">
        <v>15875</v>
      </c>
      <c r="L2604">
        <f>HYPERLINK("https://www2.assemblee-nationale.fr/sycomore/fiche/(num_dept)/5001", "5001")</f>
        <v>0</v>
      </c>
      <c r="N2604">
        <f>HYPERLINK("https://www.wikidata.org/wiki/Q1229977", "Q1229977")</f>
        <v>0</v>
      </c>
      <c r="O2604" t="s">
        <v>20007</v>
      </c>
      <c r="P2604" t="s">
        <v>20422</v>
      </c>
      <c r="Q2604" t="s">
        <v>20587</v>
      </c>
      <c r="R2604" t="s">
        <v>413</v>
      </c>
      <c r="S2604">
        <v>1500</v>
      </c>
    </row>
    <row r="2605" spans="1:19">
      <c r="A2605" t="s">
        <v>23</v>
      </c>
      <c r="B2605" t="s">
        <v>148</v>
      </c>
      <c r="C2605" t="s">
        <v>155</v>
      </c>
      <c r="D2605" t="s">
        <v>284</v>
      </c>
      <c r="E2605" t="s">
        <v>413</v>
      </c>
      <c r="F2605">
        <f>HYPERLINK("https://www.wikidata.org/wiki/Q33728280", "Q33728280")</f>
        <v>0</v>
      </c>
      <c r="G2605" t="s">
        <v>1962</v>
      </c>
      <c r="H2605" t="s">
        <v>6603</v>
      </c>
      <c r="I2605" t="s">
        <v>6175</v>
      </c>
      <c r="J2605" t="s">
        <v>11971</v>
      </c>
      <c r="K2605" t="s">
        <v>17055</v>
      </c>
      <c r="L2605">
        <f>HYPERLINK("https://www2.assemblee-nationale.fr/sycomore/fiche/(num_dept)/5180", "5180")</f>
        <v>0</v>
      </c>
      <c r="N2605">
        <f>HYPERLINK("https://www.wikidata.org/wiki/Q3103250", "Q3103250")</f>
        <v>0</v>
      </c>
      <c r="O2605" t="s">
        <v>20031</v>
      </c>
      <c r="P2605" t="s">
        <v>20428</v>
      </c>
      <c r="Q2605" t="s">
        <v>20587</v>
      </c>
      <c r="R2605" t="s">
        <v>413</v>
      </c>
      <c r="S2605">
        <v>1500</v>
      </c>
    </row>
    <row r="2606" spans="1:19">
      <c r="A2606" t="s">
        <v>23</v>
      </c>
      <c r="B2606" t="s">
        <v>148</v>
      </c>
      <c r="C2606" t="s">
        <v>155</v>
      </c>
      <c r="D2606" t="s">
        <v>284</v>
      </c>
      <c r="E2606" t="s">
        <v>413</v>
      </c>
      <c r="F2606">
        <f>HYPERLINK("https://www.wikidata.org/wiki/Q33728280", "Q33728280")</f>
        <v>0</v>
      </c>
      <c r="G2606" t="s">
        <v>1846</v>
      </c>
      <c r="H2606" t="s">
        <v>6505</v>
      </c>
      <c r="I2606" t="s">
        <v>9601</v>
      </c>
      <c r="J2606" t="s">
        <v>12537</v>
      </c>
      <c r="K2606" t="s">
        <v>16949</v>
      </c>
      <c r="L2606">
        <f>HYPERLINK("https://www2.assemblee-nationale.fr/sycomore/fiche/(num_dept)/5202", "5202")</f>
        <v>0</v>
      </c>
      <c r="N2606">
        <f>HYPERLINK("https://www.wikidata.org/wiki/Q3081593", "Q3081593")</f>
        <v>0</v>
      </c>
      <c r="O2606" t="s">
        <v>20023</v>
      </c>
      <c r="P2606" t="s">
        <v>20422</v>
      </c>
      <c r="Q2606" t="s">
        <v>20587</v>
      </c>
      <c r="R2606" t="s">
        <v>413</v>
      </c>
      <c r="S2606">
        <v>1500</v>
      </c>
    </row>
    <row r="2607" spans="1:19">
      <c r="A2607" t="s">
        <v>23</v>
      </c>
      <c r="B2607" t="s">
        <v>148</v>
      </c>
      <c r="C2607" t="s">
        <v>155</v>
      </c>
      <c r="D2607" t="s">
        <v>284</v>
      </c>
      <c r="E2607" t="s">
        <v>413</v>
      </c>
      <c r="F2607">
        <f>HYPERLINK("https://www.wikidata.org/wiki/Q33728280", "Q33728280")</f>
        <v>0</v>
      </c>
      <c r="G2607" t="s">
        <v>1545</v>
      </c>
      <c r="H2607" t="s">
        <v>5489</v>
      </c>
      <c r="I2607" t="s">
        <v>9837</v>
      </c>
      <c r="J2607" t="s">
        <v>12260</v>
      </c>
      <c r="K2607" t="s">
        <v>16667</v>
      </c>
      <c r="L2607">
        <f>HYPERLINK("https://www2.assemblee-nationale.fr/sycomore/fiche/(num_dept)/5232", "5232")</f>
        <v>0</v>
      </c>
      <c r="M2607">
        <f>HYPERLINK("https://www.senat.fr/senateur-3eme-republique/meunier_albert0164r3.html", "meunier_albert0164r3")</f>
        <v>0</v>
      </c>
      <c r="N2607">
        <f>HYPERLINK("https://www.wikidata.org/wiki/Q16026095", "Q16026095")</f>
        <v>0</v>
      </c>
      <c r="O2607" t="s">
        <v>19959</v>
      </c>
      <c r="P2607" t="s">
        <v>20432</v>
      </c>
      <c r="Q2607" t="s">
        <v>20587</v>
      </c>
      <c r="R2607" t="s">
        <v>21421</v>
      </c>
      <c r="S2607">
        <v>635</v>
      </c>
    </row>
    <row r="2608" spans="1:19">
      <c r="A2608" t="s">
        <v>23</v>
      </c>
      <c r="B2608" t="s">
        <v>148</v>
      </c>
      <c r="C2608" t="s">
        <v>155</v>
      </c>
      <c r="D2608" t="s">
        <v>284</v>
      </c>
      <c r="E2608" t="s">
        <v>413</v>
      </c>
      <c r="F2608">
        <f>HYPERLINK("https://www.wikidata.org/wiki/Q33728280", "Q33728280")</f>
        <v>0</v>
      </c>
      <c r="G2608" t="s">
        <v>1963</v>
      </c>
      <c r="H2608" t="s">
        <v>6604</v>
      </c>
      <c r="I2608" t="s">
        <v>10019</v>
      </c>
      <c r="J2608" t="s">
        <v>12645</v>
      </c>
      <c r="K2608" t="s">
        <v>17056</v>
      </c>
      <c r="L2608">
        <f>HYPERLINK("https://www2.assemblee-nationale.fr/sycomore/fiche/(num_dept)/5296", "5296")</f>
        <v>0</v>
      </c>
      <c r="N2608">
        <f>HYPERLINK("https://www.wikidata.org/wiki/Q16026111", "Q16026111")</f>
        <v>0</v>
      </c>
      <c r="O2608" t="s">
        <v>19970</v>
      </c>
      <c r="P2608" t="s">
        <v>20412</v>
      </c>
      <c r="Q2608" t="s">
        <v>20587</v>
      </c>
      <c r="R2608" t="s">
        <v>413</v>
      </c>
      <c r="S2608">
        <v>1500</v>
      </c>
    </row>
    <row r="2609" spans="1:19">
      <c r="A2609" t="s">
        <v>23</v>
      </c>
      <c r="B2609" t="s">
        <v>148</v>
      </c>
      <c r="C2609" t="s">
        <v>155</v>
      </c>
      <c r="D2609" t="s">
        <v>284</v>
      </c>
      <c r="E2609" t="s">
        <v>413</v>
      </c>
      <c r="F2609">
        <f>HYPERLINK("https://www.wikidata.org/wiki/Q33728280", "Q33728280")</f>
        <v>0</v>
      </c>
      <c r="G2609" t="s">
        <v>1006</v>
      </c>
      <c r="H2609" t="s">
        <v>5757</v>
      </c>
      <c r="I2609" t="s">
        <v>9388</v>
      </c>
      <c r="J2609" t="s">
        <v>11743</v>
      </c>
      <c r="K2609" t="s">
        <v>16147</v>
      </c>
      <c r="L2609">
        <f>HYPERLINK("https://www2.assemblee-nationale.fr/sycomore/fiche/(num_dept)/5311", "5311")</f>
        <v>0</v>
      </c>
      <c r="N2609">
        <f>HYPERLINK("https://www.wikidata.org/wiki/Q3371849", "Q3371849")</f>
        <v>0</v>
      </c>
      <c r="O2609" t="s">
        <v>20006</v>
      </c>
      <c r="P2609" t="s">
        <v>20404</v>
      </c>
      <c r="Q2609" t="s">
        <v>20587</v>
      </c>
      <c r="R2609" t="s">
        <v>413</v>
      </c>
      <c r="S2609">
        <v>1500</v>
      </c>
    </row>
    <row r="2610" spans="1:19">
      <c r="A2610" t="s">
        <v>23</v>
      </c>
      <c r="B2610" t="s">
        <v>148</v>
      </c>
      <c r="C2610" t="s">
        <v>155</v>
      </c>
      <c r="D2610" t="s">
        <v>284</v>
      </c>
      <c r="E2610" t="s">
        <v>413</v>
      </c>
      <c r="F2610">
        <f>HYPERLINK("https://www.wikidata.org/wiki/Q33728280", "Q33728280")</f>
        <v>0</v>
      </c>
      <c r="G2610" t="s">
        <v>1549</v>
      </c>
      <c r="H2610" t="s">
        <v>6241</v>
      </c>
      <c r="I2610" t="s">
        <v>6200</v>
      </c>
      <c r="J2610" t="s">
        <v>12264</v>
      </c>
      <c r="K2610" t="s">
        <v>16671</v>
      </c>
      <c r="L2610">
        <f>HYPERLINK("https://www2.assemblee-nationale.fr/sycomore/fiche/(num_dept)/5329", "5329")</f>
        <v>0</v>
      </c>
      <c r="N2610">
        <f>HYPERLINK("https://www.wikidata.org/wiki/Q3173564", "Q3173564")</f>
        <v>0</v>
      </c>
      <c r="O2610" t="s">
        <v>19967</v>
      </c>
      <c r="P2610" t="s">
        <v>20407</v>
      </c>
      <c r="Q2610" t="s">
        <v>20587</v>
      </c>
      <c r="R2610" t="s">
        <v>413</v>
      </c>
      <c r="S2610">
        <v>1500</v>
      </c>
    </row>
    <row r="2611" spans="1:19">
      <c r="A2611" t="s">
        <v>23</v>
      </c>
      <c r="B2611" t="s">
        <v>148</v>
      </c>
      <c r="C2611" t="s">
        <v>155</v>
      </c>
      <c r="D2611" t="s">
        <v>284</v>
      </c>
      <c r="E2611" t="s">
        <v>413</v>
      </c>
      <c r="F2611">
        <f>HYPERLINK("https://www.wikidata.org/wiki/Q33728280", "Q33728280")</f>
        <v>0</v>
      </c>
      <c r="G2611" t="s">
        <v>1964</v>
      </c>
      <c r="H2611" t="s">
        <v>5758</v>
      </c>
      <c r="I2611" t="s">
        <v>9449</v>
      </c>
      <c r="J2611" t="s">
        <v>12646</v>
      </c>
      <c r="K2611" t="s">
        <v>15695</v>
      </c>
      <c r="L2611">
        <f>HYPERLINK("https://www2.assemblee-nationale.fr/sycomore/fiche/(num_dept)/5332", "5332")</f>
        <v>0</v>
      </c>
      <c r="N2611">
        <f>HYPERLINK("https://www.wikidata.org/wiki/Q3188796", "Q3188796")</f>
        <v>0</v>
      </c>
      <c r="O2611" t="s">
        <v>20000</v>
      </c>
      <c r="P2611" t="s">
        <v>20429</v>
      </c>
      <c r="Q2611" t="s">
        <v>20587</v>
      </c>
      <c r="R2611" t="s">
        <v>15695</v>
      </c>
      <c r="S2611">
        <v>991</v>
      </c>
    </row>
    <row r="2612" spans="1:19">
      <c r="A2612" t="s">
        <v>23</v>
      </c>
      <c r="B2612" t="s">
        <v>148</v>
      </c>
      <c r="C2612" t="s">
        <v>155</v>
      </c>
      <c r="D2612" t="s">
        <v>284</v>
      </c>
      <c r="E2612" t="s">
        <v>413</v>
      </c>
      <c r="F2612">
        <f>HYPERLINK("https://www.wikidata.org/wiki/Q33728280", "Q33728280")</f>
        <v>0</v>
      </c>
      <c r="G2612" t="s">
        <v>736</v>
      </c>
      <c r="H2612" t="s">
        <v>5494</v>
      </c>
      <c r="I2612" t="s">
        <v>9501</v>
      </c>
      <c r="J2612" t="s">
        <v>11485</v>
      </c>
      <c r="K2612" t="s">
        <v>15887</v>
      </c>
      <c r="L2612">
        <f>HYPERLINK("https://www2.assemblee-nationale.fr/sycomore/fiche/(num_dept)/5363", "5363")</f>
        <v>0</v>
      </c>
      <c r="N2612">
        <f>HYPERLINK("https://www.wikidata.org/wiki/Q3142134", "Q3142134")</f>
        <v>0</v>
      </c>
      <c r="O2612" t="s">
        <v>20023</v>
      </c>
      <c r="P2612" t="s">
        <v>20422</v>
      </c>
      <c r="Q2612" t="s">
        <v>20587</v>
      </c>
      <c r="R2612" t="s">
        <v>413</v>
      </c>
      <c r="S2612">
        <v>1500</v>
      </c>
    </row>
    <row r="2613" spans="1:19">
      <c r="A2613" t="s">
        <v>23</v>
      </c>
      <c r="B2613" t="s">
        <v>148</v>
      </c>
      <c r="C2613" t="s">
        <v>155</v>
      </c>
      <c r="D2613" t="s">
        <v>284</v>
      </c>
      <c r="E2613" t="s">
        <v>413</v>
      </c>
      <c r="F2613">
        <f>HYPERLINK("https://www.wikidata.org/wiki/Q33728280", "Q33728280")</f>
        <v>0</v>
      </c>
      <c r="G2613" t="s">
        <v>737</v>
      </c>
      <c r="H2613" t="s">
        <v>5495</v>
      </c>
      <c r="I2613" t="s">
        <v>9502</v>
      </c>
      <c r="J2613" t="s">
        <v>11486</v>
      </c>
      <c r="K2613" t="s">
        <v>15888</v>
      </c>
      <c r="L2613">
        <f>HYPERLINK("https://www2.assemblee-nationale.fr/sycomore/fiche/(num_dept)/5390", "5390")</f>
        <v>0</v>
      </c>
      <c r="N2613">
        <f>HYPERLINK("https://www.wikidata.org/wiki/Q3580083", "Q3580083")</f>
        <v>0</v>
      </c>
      <c r="O2613" t="s">
        <v>19982</v>
      </c>
      <c r="P2613" t="s">
        <v>20412</v>
      </c>
      <c r="Q2613" t="s">
        <v>20587</v>
      </c>
      <c r="R2613" t="s">
        <v>413</v>
      </c>
      <c r="S2613">
        <v>1500</v>
      </c>
    </row>
    <row r="2614" spans="1:19">
      <c r="A2614" t="s">
        <v>23</v>
      </c>
      <c r="B2614" t="s">
        <v>148</v>
      </c>
      <c r="C2614" t="s">
        <v>155</v>
      </c>
      <c r="D2614" t="s">
        <v>284</v>
      </c>
      <c r="E2614" t="s">
        <v>413</v>
      </c>
      <c r="F2614">
        <f>HYPERLINK("https://www.wikidata.org/wiki/Q33728280", "Q33728280")</f>
        <v>0</v>
      </c>
      <c r="G2614" t="s">
        <v>1553</v>
      </c>
      <c r="H2614" t="s">
        <v>6244</v>
      </c>
      <c r="I2614" t="s">
        <v>9437</v>
      </c>
      <c r="J2614" t="s">
        <v>12267</v>
      </c>
      <c r="K2614" t="s">
        <v>16675</v>
      </c>
      <c r="L2614">
        <f>HYPERLINK("https://www2.assemblee-nationale.fr/sycomore/fiche/(num_dept)/5425", "5425")</f>
        <v>0</v>
      </c>
      <c r="N2614">
        <f>HYPERLINK("https://www.wikidata.org/wiki/Q3588669", "Q3588669")</f>
        <v>0</v>
      </c>
      <c r="O2614" t="s">
        <v>20000</v>
      </c>
      <c r="P2614" t="s">
        <v>20432</v>
      </c>
      <c r="Q2614" t="s">
        <v>20587</v>
      </c>
      <c r="R2614" t="s">
        <v>413</v>
      </c>
      <c r="S2614">
        <v>1500</v>
      </c>
    </row>
    <row r="2615" spans="1:19">
      <c r="A2615" t="s">
        <v>23</v>
      </c>
      <c r="B2615" t="s">
        <v>148</v>
      </c>
      <c r="C2615" t="s">
        <v>155</v>
      </c>
      <c r="D2615" t="s">
        <v>284</v>
      </c>
      <c r="E2615" t="s">
        <v>413</v>
      </c>
      <c r="F2615">
        <f>HYPERLINK("https://www.wikidata.org/wiki/Q33728280", "Q33728280")</f>
        <v>0</v>
      </c>
      <c r="G2615" t="s">
        <v>1965</v>
      </c>
      <c r="H2615" t="s">
        <v>6605</v>
      </c>
      <c r="I2615" t="s">
        <v>10020</v>
      </c>
      <c r="J2615" t="s">
        <v>12647</v>
      </c>
      <c r="K2615" t="s">
        <v>17046</v>
      </c>
      <c r="L2615">
        <f>HYPERLINK("https://www2.assemblee-nationale.fr/sycomore/fiche/(num_dept)/5462", "5462")</f>
        <v>0</v>
      </c>
      <c r="N2615">
        <f>HYPERLINK("https://www.wikidata.org/wiki/Q3271673", "Q3271673")</f>
        <v>0</v>
      </c>
      <c r="O2615" t="s">
        <v>19973</v>
      </c>
      <c r="P2615" t="s">
        <v>20422</v>
      </c>
      <c r="Q2615" t="s">
        <v>20587</v>
      </c>
      <c r="R2615" t="s">
        <v>413</v>
      </c>
      <c r="S2615">
        <v>1500</v>
      </c>
    </row>
    <row r="2616" spans="1:19">
      <c r="A2616" t="s">
        <v>23</v>
      </c>
      <c r="B2616" t="s">
        <v>148</v>
      </c>
      <c r="C2616" t="s">
        <v>155</v>
      </c>
      <c r="D2616" t="s">
        <v>284</v>
      </c>
      <c r="E2616" t="s">
        <v>413</v>
      </c>
      <c r="F2616">
        <f>HYPERLINK("https://www.wikidata.org/wiki/Q33728280", "Q33728280")</f>
        <v>0</v>
      </c>
      <c r="G2616" t="s">
        <v>1562</v>
      </c>
      <c r="H2616" t="s">
        <v>6253</v>
      </c>
      <c r="I2616" t="s">
        <v>9458</v>
      </c>
      <c r="J2616" t="s">
        <v>12275</v>
      </c>
      <c r="K2616" t="s">
        <v>16683</v>
      </c>
      <c r="L2616">
        <f>HYPERLINK("https://www2.assemblee-nationale.fr/sycomore/fiche/(num_dept)/5590", "5590")</f>
        <v>0</v>
      </c>
      <c r="N2616">
        <f>HYPERLINK("https://www.wikidata.org/wiki/Q2835374", "Q2835374")</f>
        <v>0</v>
      </c>
      <c r="O2616" t="s">
        <v>20048</v>
      </c>
      <c r="P2616" t="s">
        <v>20422</v>
      </c>
      <c r="Q2616" t="s">
        <v>20587</v>
      </c>
      <c r="R2616" t="s">
        <v>413</v>
      </c>
      <c r="S2616">
        <v>1500</v>
      </c>
    </row>
    <row r="2617" spans="1:19">
      <c r="A2617" t="s">
        <v>23</v>
      </c>
      <c r="B2617" t="s">
        <v>148</v>
      </c>
      <c r="C2617" t="s">
        <v>155</v>
      </c>
      <c r="D2617" t="s">
        <v>284</v>
      </c>
      <c r="E2617" t="s">
        <v>413</v>
      </c>
      <c r="F2617">
        <f>HYPERLINK("https://www.wikidata.org/wiki/Q33728280", "Q33728280")</f>
        <v>0</v>
      </c>
      <c r="G2617" t="s">
        <v>1286</v>
      </c>
      <c r="H2617" t="s">
        <v>6008</v>
      </c>
      <c r="I2617" t="s">
        <v>6200</v>
      </c>
      <c r="J2617" t="s">
        <v>12016</v>
      </c>
      <c r="K2617" t="s">
        <v>16419</v>
      </c>
      <c r="L2617">
        <f>HYPERLINK("https://www2.assemblee-nationale.fr/sycomore/fiche/(num_dept)/5624", "5624")</f>
        <v>0</v>
      </c>
      <c r="N2617">
        <f>HYPERLINK("https://www.wikidata.org/wiki/Q3173799", "Q3173799")</f>
        <v>0</v>
      </c>
      <c r="O2617" t="s">
        <v>20024</v>
      </c>
      <c r="P2617" t="s">
        <v>20428</v>
      </c>
      <c r="Q2617" t="s">
        <v>20587</v>
      </c>
      <c r="R2617" t="s">
        <v>16419</v>
      </c>
      <c r="S2617">
        <v>1469</v>
      </c>
    </row>
    <row r="2618" spans="1:19">
      <c r="A2618" t="s">
        <v>23</v>
      </c>
      <c r="B2618" t="s">
        <v>148</v>
      </c>
      <c r="C2618" t="s">
        <v>155</v>
      </c>
      <c r="D2618" t="s">
        <v>284</v>
      </c>
      <c r="E2618" t="s">
        <v>413</v>
      </c>
      <c r="F2618">
        <f>HYPERLINK("https://www.wikidata.org/wiki/Q33728280", "Q33728280")</f>
        <v>0</v>
      </c>
      <c r="G2618" t="s">
        <v>1189</v>
      </c>
      <c r="H2618" t="s">
        <v>5919</v>
      </c>
      <c r="I2618" t="s">
        <v>9500</v>
      </c>
      <c r="J2618" t="s">
        <v>11922</v>
      </c>
      <c r="K2618" t="s">
        <v>16323</v>
      </c>
      <c r="L2618">
        <f>HYPERLINK("https://www2.assemblee-nationale.fr/sycomore/fiche/(num_dept)/5642", "5642")</f>
        <v>0</v>
      </c>
      <c r="N2618">
        <f>HYPERLINK("https://www.wikidata.org/wiki/Q16026241", "Q16026241")</f>
        <v>0</v>
      </c>
      <c r="O2618" t="s">
        <v>19972</v>
      </c>
      <c r="P2618" t="s">
        <v>20401</v>
      </c>
      <c r="Q2618" t="s">
        <v>20587</v>
      </c>
      <c r="R2618" t="s">
        <v>16323</v>
      </c>
      <c r="S2618">
        <v>1438</v>
      </c>
    </row>
    <row r="2619" spans="1:19">
      <c r="A2619" t="s">
        <v>23</v>
      </c>
      <c r="B2619" t="s">
        <v>148</v>
      </c>
      <c r="C2619" t="s">
        <v>155</v>
      </c>
      <c r="D2619" t="s">
        <v>284</v>
      </c>
      <c r="E2619" t="s">
        <v>413</v>
      </c>
      <c r="F2619">
        <f>HYPERLINK("https://www.wikidata.org/wiki/Q33728280", "Q33728280")</f>
        <v>0</v>
      </c>
      <c r="G2619" t="s">
        <v>1860</v>
      </c>
      <c r="H2619" t="s">
        <v>6516</v>
      </c>
      <c r="I2619" t="s">
        <v>9407</v>
      </c>
      <c r="J2619" t="s">
        <v>12550</v>
      </c>
      <c r="K2619" t="s">
        <v>16961</v>
      </c>
      <c r="L2619">
        <f>HYPERLINK("https://www2.assemblee-nationale.fr/sycomore/fiche/(num_dept)/5646", "5646")</f>
        <v>0</v>
      </c>
      <c r="M2619">
        <f>HYPERLINK("https://www.senat.fr/senateur-3eme-republique/paganon_joseph1203r3.html", "paganon_joseph1203r3")</f>
        <v>0</v>
      </c>
      <c r="N2619">
        <f>HYPERLINK("https://www.wikidata.org/wiki/Q3185441", "Q3185441")</f>
        <v>0</v>
      </c>
      <c r="O2619" t="s">
        <v>20006</v>
      </c>
      <c r="P2619" t="s">
        <v>20428</v>
      </c>
      <c r="Q2619" t="s">
        <v>20587</v>
      </c>
      <c r="R2619" t="s">
        <v>413</v>
      </c>
      <c r="S2619">
        <v>1500</v>
      </c>
    </row>
    <row r="2620" spans="1:19">
      <c r="A2620" t="s">
        <v>23</v>
      </c>
      <c r="B2620" t="s">
        <v>148</v>
      </c>
      <c r="C2620" t="s">
        <v>155</v>
      </c>
      <c r="D2620" t="s">
        <v>284</v>
      </c>
      <c r="E2620" t="s">
        <v>413</v>
      </c>
      <c r="F2620">
        <f>HYPERLINK("https://www.wikidata.org/wiki/Q33728280", "Q33728280")</f>
        <v>0</v>
      </c>
      <c r="G2620" t="s">
        <v>1966</v>
      </c>
      <c r="H2620" t="s">
        <v>6606</v>
      </c>
      <c r="I2620" t="s">
        <v>10021</v>
      </c>
      <c r="J2620" t="s">
        <v>12648</v>
      </c>
      <c r="K2620" t="s">
        <v>17057</v>
      </c>
      <c r="L2620">
        <f>HYPERLINK("https://www2.assemblee-nationale.fr/sycomore/fiche/(num_dept)/5697", "5697")</f>
        <v>0</v>
      </c>
      <c r="N2620">
        <f>HYPERLINK("https://www.wikidata.org/wiki/Q3579986", "Q3579986")</f>
        <v>0</v>
      </c>
      <c r="O2620" t="s">
        <v>20031</v>
      </c>
      <c r="P2620" t="s">
        <v>20428</v>
      </c>
      <c r="Q2620" t="s">
        <v>20587</v>
      </c>
      <c r="R2620" t="s">
        <v>413</v>
      </c>
      <c r="S2620">
        <v>1500</v>
      </c>
    </row>
    <row r="2621" spans="1:19">
      <c r="A2621" t="s">
        <v>23</v>
      </c>
      <c r="B2621" t="s">
        <v>148</v>
      </c>
      <c r="C2621" t="s">
        <v>155</v>
      </c>
      <c r="D2621" t="s">
        <v>284</v>
      </c>
      <c r="E2621" t="s">
        <v>413</v>
      </c>
      <c r="F2621">
        <f>HYPERLINK("https://www.wikidata.org/wiki/Q33728280", "Q33728280")</f>
        <v>0</v>
      </c>
      <c r="G2621" t="s">
        <v>1019</v>
      </c>
      <c r="H2621" t="s">
        <v>5769</v>
      </c>
      <c r="I2621" t="s">
        <v>6478</v>
      </c>
      <c r="J2621" t="s">
        <v>11756</v>
      </c>
      <c r="K2621" t="s">
        <v>16158</v>
      </c>
      <c r="L2621">
        <f>HYPERLINK("https://www2.assemblee-nationale.fr/sycomore/fiche/(num_dept)/5706", "5706")</f>
        <v>0</v>
      </c>
      <c r="N2621">
        <f>HYPERLINK("https://www.wikidata.org/wiki/Q3132997", "Q3132997")</f>
        <v>0</v>
      </c>
      <c r="O2621" t="s">
        <v>19969</v>
      </c>
      <c r="P2621" t="s">
        <v>20431</v>
      </c>
      <c r="Q2621" t="s">
        <v>20587</v>
      </c>
      <c r="R2621" t="s">
        <v>413</v>
      </c>
      <c r="S2621">
        <v>1500</v>
      </c>
    </row>
    <row r="2622" spans="1:19">
      <c r="A2622" t="s">
        <v>23</v>
      </c>
      <c r="B2622" t="s">
        <v>148</v>
      </c>
      <c r="C2622" t="s">
        <v>155</v>
      </c>
      <c r="D2622" t="s">
        <v>284</v>
      </c>
      <c r="E2622" t="s">
        <v>413</v>
      </c>
      <c r="F2622">
        <f>HYPERLINK("https://www.wikidata.org/wiki/Q33728280", "Q33728280")</f>
        <v>0</v>
      </c>
      <c r="G2622" t="s">
        <v>1967</v>
      </c>
      <c r="H2622" t="s">
        <v>6607</v>
      </c>
      <c r="I2622" t="s">
        <v>9692</v>
      </c>
      <c r="J2622" t="s">
        <v>12649</v>
      </c>
      <c r="K2622" t="s">
        <v>17058</v>
      </c>
      <c r="L2622">
        <f>HYPERLINK("https://www2.assemblee-nationale.fr/sycomore/fiche/(num_dept)/5707", "5707")</f>
        <v>0</v>
      </c>
      <c r="N2622">
        <f>HYPERLINK("https://www.wikidata.org/wiki/Q2569191", "Q2569191")</f>
        <v>0</v>
      </c>
      <c r="O2622" t="s">
        <v>19976</v>
      </c>
      <c r="P2622" t="s">
        <v>20431</v>
      </c>
      <c r="Q2622" t="s">
        <v>20587</v>
      </c>
      <c r="R2622" t="s">
        <v>413</v>
      </c>
      <c r="S2622">
        <v>1500</v>
      </c>
    </row>
    <row r="2623" spans="1:19">
      <c r="A2623" t="s">
        <v>23</v>
      </c>
      <c r="B2623" t="s">
        <v>148</v>
      </c>
      <c r="C2623" t="s">
        <v>155</v>
      </c>
      <c r="D2623" t="s">
        <v>284</v>
      </c>
      <c r="E2623" t="s">
        <v>413</v>
      </c>
      <c r="F2623">
        <f>HYPERLINK("https://www.wikidata.org/wiki/Q33728280", "Q33728280")</f>
        <v>0</v>
      </c>
      <c r="G2623" t="s">
        <v>752</v>
      </c>
      <c r="H2623" t="s">
        <v>5510</v>
      </c>
      <c r="I2623" t="s">
        <v>9407</v>
      </c>
      <c r="J2623" t="s">
        <v>11500</v>
      </c>
      <c r="K2623" t="s">
        <v>15903</v>
      </c>
      <c r="L2623">
        <f>HYPERLINK("https://www2.assemblee-nationale.fr/sycomore/fiche/(num_dept)/5724", "5724")</f>
        <v>0</v>
      </c>
      <c r="M2623">
        <f>HYPERLINK("https://www.senat.fr/senateur-3eme-republique/paul_boncour_joseph0550r4.html", "paul_boncour_joseph0550r4")</f>
        <v>0</v>
      </c>
      <c r="N2623">
        <f>HYPERLINK("https://www.wikidata.org/wiki/Q285865", "Q285865")</f>
        <v>0</v>
      </c>
      <c r="O2623" t="s">
        <v>19962</v>
      </c>
      <c r="P2623" t="s">
        <v>20404</v>
      </c>
      <c r="Q2623" t="s">
        <v>20587</v>
      </c>
      <c r="R2623" t="s">
        <v>21422</v>
      </c>
      <c r="S2623">
        <v>1331</v>
      </c>
    </row>
    <row r="2624" spans="1:19">
      <c r="A2624" t="s">
        <v>23</v>
      </c>
      <c r="B2624" t="s">
        <v>148</v>
      </c>
      <c r="C2624" t="s">
        <v>155</v>
      </c>
      <c r="D2624" t="s">
        <v>284</v>
      </c>
      <c r="E2624" t="s">
        <v>413</v>
      </c>
      <c r="F2624">
        <f>HYPERLINK("https://www.wikidata.org/wiki/Q33728280", "Q33728280")</f>
        <v>0</v>
      </c>
      <c r="G2624" t="s">
        <v>1968</v>
      </c>
      <c r="H2624" t="s">
        <v>6608</v>
      </c>
      <c r="I2624" t="s">
        <v>6166</v>
      </c>
      <c r="J2624" t="s">
        <v>12650</v>
      </c>
      <c r="K2624" t="s">
        <v>17059</v>
      </c>
      <c r="L2624">
        <f>HYPERLINK("https://www2.assemblee-nationale.fr/sycomore/fiche/(num_dept)/5753", "5753")</f>
        <v>0</v>
      </c>
      <c r="N2624">
        <f>HYPERLINK("https://www.wikidata.org/wiki/Q3085524", "Q3085524")</f>
        <v>0</v>
      </c>
      <c r="O2624" t="s">
        <v>19965</v>
      </c>
      <c r="P2624" t="s">
        <v>20422</v>
      </c>
      <c r="Q2624" t="s">
        <v>20587</v>
      </c>
      <c r="R2624" t="s">
        <v>413</v>
      </c>
      <c r="S2624">
        <v>1500</v>
      </c>
    </row>
    <row r="2625" spans="1:19">
      <c r="A2625" t="s">
        <v>23</v>
      </c>
      <c r="B2625" t="s">
        <v>148</v>
      </c>
      <c r="C2625" t="s">
        <v>155</v>
      </c>
      <c r="D2625" t="s">
        <v>284</v>
      </c>
      <c r="E2625" t="s">
        <v>413</v>
      </c>
      <c r="F2625">
        <f>HYPERLINK("https://www.wikidata.org/wiki/Q33728280", "Q33728280")</f>
        <v>0</v>
      </c>
      <c r="G2625" t="s">
        <v>1869</v>
      </c>
      <c r="H2625" t="s">
        <v>6525</v>
      </c>
      <c r="I2625" t="s">
        <v>6175</v>
      </c>
      <c r="J2625" t="s">
        <v>12557</v>
      </c>
      <c r="K2625" t="s">
        <v>16970</v>
      </c>
      <c r="L2625">
        <f>HYPERLINK("https://www2.assemblee-nationale.fr/sycomore/fiche/(num_dept)/5799", "5799")</f>
        <v>0</v>
      </c>
      <c r="M2625">
        <f>HYPERLINK("https://www.senat.fr/senateur-3eme-republique/pernot_georges0335r4.html", "pernot_georges0335r4")</f>
        <v>0</v>
      </c>
      <c r="N2625">
        <f>HYPERLINK("https://www.wikidata.org/wiki/Q2670356", "Q2670356")</f>
        <v>0</v>
      </c>
      <c r="O2625" t="s">
        <v>19973</v>
      </c>
      <c r="P2625" t="s">
        <v>20422</v>
      </c>
      <c r="Q2625" t="s">
        <v>20587</v>
      </c>
      <c r="R2625" t="s">
        <v>413</v>
      </c>
      <c r="S2625">
        <v>1500</v>
      </c>
    </row>
    <row r="2626" spans="1:19">
      <c r="A2626" t="s">
        <v>23</v>
      </c>
      <c r="B2626" t="s">
        <v>148</v>
      </c>
      <c r="C2626" t="s">
        <v>155</v>
      </c>
      <c r="D2626" t="s">
        <v>284</v>
      </c>
      <c r="E2626" t="s">
        <v>413</v>
      </c>
      <c r="F2626">
        <f>HYPERLINK("https://www.wikidata.org/wiki/Q33728280", "Q33728280")</f>
        <v>0</v>
      </c>
      <c r="G2626" t="s">
        <v>1116</v>
      </c>
      <c r="H2626" t="s">
        <v>5775</v>
      </c>
      <c r="I2626" t="s">
        <v>6860</v>
      </c>
      <c r="J2626" t="s">
        <v>11850</v>
      </c>
      <c r="K2626" t="s">
        <v>16252</v>
      </c>
      <c r="L2626">
        <f>HYPERLINK("https://www2.assemblee-nationale.fr/sycomore/fiche/(num_dept)/5808", "5808")</f>
        <v>0</v>
      </c>
      <c r="N2626">
        <f>HYPERLINK("https://www.wikidata.org/wiki/Q3386559", "Q3386559")</f>
        <v>0</v>
      </c>
      <c r="O2626" t="s">
        <v>20034</v>
      </c>
      <c r="P2626" t="s">
        <v>20412</v>
      </c>
      <c r="Q2626" t="s">
        <v>20587</v>
      </c>
      <c r="R2626" t="s">
        <v>413</v>
      </c>
      <c r="S2626">
        <v>1500</v>
      </c>
    </row>
    <row r="2627" spans="1:19">
      <c r="A2627" t="s">
        <v>23</v>
      </c>
      <c r="B2627" t="s">
        <v>148</v>
      </c>
      <c r="C2627" t="s">
        <v>155</v>
      </c>
      <c r="D2627" t="s">
        <v>284</v>
      </c>
      <c r="E2627" t="s">
        <v>413</v>
      </c>
      <c r="F2627">
        <f>HYPERLINK("https://www.wikidata.org/wiki/Q33728280", "Q33728280")</f>
        <v>0</v>
      </c>
      <c r="G2627" t="s">
        <v>1923</v>
      </c>
      <c r="H2627" t="s">
        <v>6570</v>
      </c>
      <c r="I2627" t="s">
        <v>7642</v>
      </c>
      <c r="J2627" t="s">
        <v>12608</v>
      </c>
      <c r="K2627" t="s">
        <v>17019</v>
      </c>
      <c r="L2627">
        <f>HYPERLINK("https://www2.assemblee-nationale.fr/sycomore/fiche/(num_dept)/5854", "5854")</f>
        <v>0</v>
      </c>
      <c r="N2627">
        <f>HYPERLINK("https://www.wikidata.org/wiki/Q3301257", "Q3301257")</f>
        <v>0</v>
      </c>
      <c r="O2627" t="s">
        <v>19981</v>
      </c>
      <c r="P2627" t="s">
        <v>20412</v>
      </c>
      <c r="Q2627" t="s">
        <v>20587</v>
      </c>
      <c r="R2627" t="s">
        <v>413</v>
      </c>
      <c r="S2627">
        <v>1500</v>
      </c>
    </row>
    <row r="2628" spans="1:19">
      <c r="A2628" t="s">
        <v>23</v>
      </c>
      <c r="B2628" t="s">
        <v>148</v>
      </c>
      <c r="C2628" t="s">
        <v>155</v>
      </c>
      <c r="D2628" t="s">
        <v>284</v>
      </c>
      <c r="E2628" t="s">
        <v>413</v>
      </c>
      <c r="F2628">
        <f>HYPERLINK("https://www.wikidata.org/wiki/Q33728280", "Q33728280")</f>
        <v>0</v>
      </c>
      <c r="G2628" t="s">
        <v>1571</v>
      </c>
      <c r="H2628" t="s">
        <v>6261</v>
      </c>
      <c r="I2628" t="s">
        <v>9407</v>
      </c>
      <c r="J2628" t="s">
        <v>12284</v>
      </c>
      <c r="K2628" t="s">
        <v>16691</v>
      </c>
      <c r="L2628">
        <f>HYPERLINK("https://www2.assemblee-nationale.fr/sycomore/fiche/(num_dept)/5880", "5880")</f>
        <v>0</v>
      </c>
      <c r="M2628">
        <f>HYPERLINK("https://www.senat.fr/senateur-3eme-republique/pfleger_joseph0282r4.html", "pfleger_joseph0282r4")</f>
        <v>0</v>
      </c>
      <c r="N2628">
        <f>HYPERLINK("https://www.wikidata.org/wiki/Q1707820", "Q1707820")</f>
        <v>0</v>
      </c>
      <c r="O2628" t="s">
        <v>20049</v>
      </c>
      <c r="P2628" t="s">
        <v>20422</v>
      </c>
      <c r="Q2628" t="s">
        <v>20587</v>
      </c>
      <c r="R2628" t="s">
        <v>21423</v>
      </c>
      <c r="S2628">
        <v>589</v>
      </c>
    </row>
    <row r="2629" spans="1:19">
      <c r="A2629" t="s">
        <v>23</v>
      </c>
      <c r="B2629" t="s">
        <v>148</v>
      </c>
      <c r="C2629" t="s">
        <v>155</v>
      </c>
      <c r="D2629" t="s">
        <v>284</v>
      </c>
      <c r="E2629" t="s">
        <v>413</v>
      </c>
      <c r="F2629">
        <f>HYPERLINK("https://www.wikidata.org/wiki/Q33728280", "Q33728280")</f>
        <v>0</v>
      </c>
      <c r="G2629" t="s">
        <v>760</v>
      </c>
      <c r="H2629" t="s">
        <v>5518</v>
      </c>
      <c r="I2629" t="s">
        <v>9457</v>
      </c>
      <c r="J2629" t="s">
        <v>11508</v>
      </c>
      <c r="K2629" t="s">
        <v>15911</v>
      </c>
      <c r="L2629">
        <f>HYPERLINK("https://www2.assemblee-nationale.fr/sycomore/fiche/(num_dept)/5913", "5913")</f>
        <v>0</v>
      </c>
      <c r="N2629">
        <f>HYPERLINK("https://www.wikidata.org/wiki/Q16026342", "Q16026342")</f>
        <v>0</v>
      </c>
      <c r="O2629" t="s">
        <v>19955</v>
      </c>
      <c r="P2629" t="s">
        <v>20401</v>
      </c>
      <c r="Q2629" t="s">
        <v>20587</v>
      </c>
      <c r="R2629" t="s">
        <v>413</v>
      </c>
      <c r="S2629">
        <v>1500</v>
      </c>
    </row>
    <row r="2630" spans="1:19">
      <c r="A2630" t="s">
        <v>23</v>
      </c>
      <c r="B2630" t="s">
        <v>148</v>
      </c>
      <c r="C2630" t="s">
        <v>155</v>
      </c>
      <c r="D2630" t="s">
        <v>284</v>
      </c>
      <c r="E2630" t="s">
        <v>413</v>
      </c>
      <c r="F2630">
        <f>HYPERLINK("https://www.wikidata.org/wiki/Q33728280", "Q33728280")</f>
        <v>0</v>
      </c>
      <c r="G2630" t="s">
        <v>1873</v>
      </c>
      <c r="H2630" t="s">
        <v>6528</v>
      </c>
      <c r="I2630" t="s">
        <v>6166</v>
      </c>
      <c r="J2630" t="s">
        <v>12561</v>
      </c>
      <c r="K2630" t="s">
        <v>16973</v>
      </c>
      <c r="L2630">
        <f>HYPERLINK("https://www2.assemblee-nationale.fr/sycomore/fiche/(num_dept)/5924", "5924")</f>
        <v>0</v>
      </c>
      <c r="N2630">
        <f>HYPERLINK("https://www.wikidata.org/wiki/Q3085590", "Q3085590")</f>
        <v>0</v>
      </c>
      <c r="O2630" t="s">
        <v>19955</v>
      </c>
      <c r="P2630" t="s">
        <v>20412</v>
      </c>
      <c r="Q2630" t="s">
        <v>20587</v>
      </c>
      <c r="R2630" t="s">
        <v>413</v>
      </c>
      <c r="S2630">
        <v>1500</v>
      </c>
    </row>
    <row r="2631" spans="1:19">
      <c r="A2631" t="s">
        <v>23</v>
      </c>
      <c r="B2631" t="s">
        <v>148</v>
      </c>
      <c r="C2631" t="s">
        <v>155</v>
      </c>
      <c r="D2631" t="s">
        <v>284</v>
      </c>
      <c r="E2631" t="s">
        <v>413</v>
      </c>
      <c r="F2631">
        <f>HYPERLINK("https://www.wikidata.org/wiki/Q33728280", "Q33728280")</f>
        <v>0</v>
      </c>
      <c r="G2631" t="s">
        <v>762</v>
      </c>
      <c r="H2631" t="s">
        <v>5520</v>
      </c>
      <c r="I2631" t="s">
        <v>9514</v>
      </c>
      <c r="J2631" t="s">
        <v>11507</v>
      </c>
      <c r="K2631" t="s">
        <v>15913</v>
      </c>
      <c r="L2631">
        <f>HYPERLINK("https://www2.assemblee-nationale.fr/sycomore/fiche/(num_dept)/5981", "5981")</f>
        <v>0</v>
      </c>
      <c r="M2631">
        <f>HYPERLINK("https://www.senat.fr/senateur-3eme-republique/plichon_jean1422r3.html", "plichon_jean1422r3")</f>
        <v>0</v>
      </c>
      <c r="N2631">
        <f>HYPERLINK("https://www.wikidata.org/wiki/Q3174051", "Q3174051")</f>
        <v>0</v>
      </c>
      <c r="O2631" t="s">
        <v>20013</v>
      </c>
      <c r="P2631" t="s">
        <v>20422</v>
      </c>
      <c r="Q2631" t="s">
        <v>20587</v>
      </c>
      <c r="R2631" t="s">
        <v>413</v>
      </c>
      <c r="S2631">
        <v>1500</v>
      </c>
    </row>
    <row r="2632" spans="1:19">
      <c r="A2632" t="s">
        <v>23</v>
      </c>
      <c r="B2632" t="s">
        <v>148</v>
      </c>
      <c r="C2632" t="s">
        <v>155</v>
      </c>
      <c r="D2632" t="s">
        <v>284</v>
      </c>
      <c r="E2632" t="s">
        <v>413</v>
      </c>
      <c r="F2632">
        <f>HYPERLINK("https://www.wikidata.org/wiki/Q33728280", "Q33728280")</f>
        <v>0</v>
      </c>
      <c r="G2632" t="s">
        <v>1969</v>
      </c>
      <c r="H2632" t="s">
        <v>6609</v>
      </c>
      <c r="I2632" t="s">
        <v>10022</v>
      </c>
      <c r="J2632" t="s">
        <v>12651</v>
      </c>
      <c r="K2632" t="s">
        <v>17060</v>
      </c>
      <c r="L2632">
        <f>HYPERLINK("https://www2.assemblee-nationale.fr/sycomore/fiche/(num_dept)/6025", "6025")</f>
        <v>0</v>
      </c>
      <c r="N2632">
        <f>HYPERLINK("https://www.wikidata.org/wiki/Q2935114", "Q2935114")</f>
        <v>0</v>
      </c>
      <c r="O2632" t="s">
        <v>19955</v>
      </c>
      <c r="P2632" t="s">
        <v>20412</v>
      </c>
      <c r="Q2632" t="s">
        <v>20587</v>
      </c>
      <c r="R2632" t="s">
        <v>413</v>
      </c>
      <c r="S2632">
        <v>1500</v>
      </c>
    </row>
    <row r="2633" spans="1:19">
      <c r="A2633" t="s">
        <v>23</v>
      </c>
      <c r="B2633" t="s">
        <v>148</v>
      </c>
      <c r="C2633" t="s">
        <v>155</v>
      </c>
      <c r="D2633" t="s">
        <v>284</v>
      </c>
      <c r="E2633" t="s">
        <v>413</v>
      </c>
      <c r="F2633">
        <f>HYPERLINK("https://www.wikidata.org/wiki/Q33728280", "Q33728280")</f>
        <v>0</v>
      </c>
      <c r="G2633" t="s">
        <v>1194</v>
      </c>
      <c r="H2633" t="s">
        <v>5924</v>
      </c>
      <c r="I2633" t="s">
        <v>9483</v>
      </c>
      <c r="J2633" t="s">
        <v>11927</v>
      </c>
      <c r="K2633" t="s">
        <v>16328</v>
      </c>
      <c r="L2633">
        <f>HYPERLINK("https://www2.assemblee-nationale.fr/sycomore/fiche/(num_dept)/6039", "6039")</f>
        <v>0</v>
      </c>
      <c r="N2633">
        <f>HYPERLINK("https://www.wikidata.org/wiki/Q3557551", "Q3557551")</f>
        <v>0</v>
      </c>
      <c r="O2633" t="s">
        <v>19972</v>
      </c>
      <c r="P2633" t="s">
        <v>20407</v>
      </c>
      <c r="Q2633" t="s">
        <v>20587</v>
      </c>
      <c r="R2633" t="s">
        <v>413</v>
      </c>
      <c r="S2633">
        <v>1500</v>
      </c>
    </row>
    <row r="2634" spans="1:19">
      <c r="A2634" t="s">
        <v>23</v>
      </c>
      <c r="B2634" t="s">
        <v>148</v>
      </c>
      <c r="C2634" t="s">
        <v>155</v>
      </c>
      <c r="D2634" t="s">
        <v>284</v>
      </c>
      <c r="E2634" t="s">
        <v>413</v>
      </c>
      <c r="F2634">
        <f>HYPERLINK("https://www.wikidata.org/wiki/Q33728280", "Q33728280")</f>
        <v>0</v>
      </c>
      <c r="G2634" t="s">
        <v>1970</v>
      </c>
      <c r="H2634" t="s">
        <v>6610</v>
      </c>
      <c r="I2634" t="s">
        <v>6495</v>
      </c>
      <c r="J2634" t="s">
        <v>12652</v>
      </c>
      <c r="K2634" t="s">
        <v>17061</v>
      </c>
      <c r="L2634">
        <f>HYPERLINK("https://www2.assemblee-nationale.fr/sycomore/fiche/(num_dept)/6065", "6065")</f>
        <v>0</v>
      </c>
      <c r="N2634">
        <f>HYPERLINK("https://www.wikidata.org/wiki/Q18535214", "Q18535214")</f>
        <v>0</v>
      </c>
      <c r="O2634" t="s">
        <v>19980</v>
      </c>
      <c r="P2634" t="s">
        <v>20407</v>
      </c>
      <c r="Q2634" t="s">
        <v>20587</v>
      </c>
      <c r="R2634" t="s">
        <v>413</v>
      </c>
      <c r="S2634">
        <v>1500</v>
      </c>
    </row>
    <row r="2635" spans="1:19">
      <c r="A2635" t="s">
        <v>23</v>
      </c>
      <c r="B2635" t="s">
        <v>148</v>
      </c>
      <c r="C2635" t="s">
        <v>155</v>
      </c>
      <c r="D2635" t="s">
        <v>284</v>
      </c>
      <c r="E2635" t="s">
        <v>413</v>
      </c>
      <c r="F2635">
        <f>HYPERLINK("https://www.wikidata.org/wiki/Q33728280", "Q33728280")</f>
        <v>0</v>
      </c>
      <c r="G2635" t="s">
        <v>1583</v>
      </c>
      <c r="H2635" t="s">
        <v>6273</v>
      </c>
      <c r="I2635" t="s">
        <v>9847</v>
      </c>
      <c r="J2635" t="s">
        <v>12294</v>
      </c>
      <c r="K2635" t="s">
        <v>16702</v>
      </c>
      <c r="L2635">
        <f>HYPERLINK("https://www2.assemblee-nationale.fr/sycomore/fiche/(num_dept)/6085", "6085")</f>
        <v>0</v>
      </c>
      <c r="N2635">
        <f>HYPERLINK("https://www.wikidata.org/wiki/Q3131944", "Q3131944")</f>
        <v>0</v>
      </c>
      <c r="O2635" t="s">
        <v>19967</v>
      </c>
      <c r="P2635" t="s">
        <v>20422</v>
      </c>
      <c r="Q2635" t="s">
        <v>20587</v>
      </c>
      <c r="R2635" t="s">
        <v>16702</v>
      </c>
      <c r="S2635">
        <v>725</v>
      </c>
    </row>
    <row r="2636" spans="1:19">
      <c r="A2636" t="s">
        <v>23</v>
      </c>
      <c r="B2636" t="s">
        <v>148</v>
      </c>
      <c r="C2636" t="s">
        <v>155</v>
      </c>
      <c r="D2636" t="s">
        <v>284</v>
      </c>
      <c r="E2636" t="s">
        <v>413</v>
      </c>
      <c r="F2636">
        <f>HYPERLINK("https://www.wikidata.org/wiki/Q33728280", "Q33728280")</f>
        <v>0</v>
      </c>
      <c r="G2636" t="s">
        <v>1584</v>
      </c>
      <c r="H2636" t="s">
        <v>6274</v>
      </c>
      <c r="I2636" t="s">
        <v>7642</v>
      </c>
      <c r="J2636" t="s">
        <v>12295</v>
      </c>
      <c r="K2636" t="s">
        <v>16703</v>
      </c>
      <c r="L2636">
        <f>HYPERLINK("https://www2.assemblee-nationale.fr/sycomore/fiche/(num_dept)/6102", "6102")</f>
        <v>0</v>
      </c>
      <c r="M2636">
        <f>HYPERLINK("https://www.senat.fr/senateur-3eme-republique/de_rothschild_maurice0087r3.html", "de_rothschild_maurice0087r3")</f>
        <v>0</v>
      </c>
      <c r="N2636">
        <f>HYPERLINK("https://www.wikidata.org/wiki/Q3301570", "Q3301570")</f>
        <v>0</v>
      </c>
      <c r="O2636" t="s">
        <v>19981</v>
      </c>
      <c r="P2636" t="s">
        <v>20407</v>
      </c>
      <c r="Q2636" t="s">
        <v>20587</v>
      </c>
      <c r="R2636" t="s">
        <v>21424</v>
      </c>
      <c r="S2636">
        <v>489</v>
      </c>
    </row>
    <row r="2637" spans="1:19">
      <c r="A2637" t="s">
        <v>23</v>
      </c>
      <c r="B2637" t="s">
        <v>148</v>
      </c>
      <c r="C2637" t="s">
        <v>155</v>
      </c>
      <c r="D2637" t="s">
        <v>284</v>
      </c>
      <c r="E2637" t="s">
        <v>413</v>
      </c>
      <c r="F2637">
        <f>HYPERLINK("https://www.wikidata.org/wiki/Q33728280", "Q33728280")</f>
        <v>0</v>
      </c>
      <c r="G2637" t="s">
        <v>774</v>
      </c>
      <c r="H2637" t="s">
        <v>5532</v>
      </c>
      <c r="I2637" t="s">
        <v>9520</v>
      </c>
      <c r="J2637" t="s">
        <v>11521</v>
      </c>
      <c r="K2637" t="s">
        <v>15925</v>
      </c>
      <c r="L2637">
        <f>HYPERLINK("https://www2.assemblee-nationale.fr/sycomore/fiche/(num_dept)/6124", "6124")</f>
        <v>0</v>
      </c>
      <c r="N2637">
        <f>HYPERLINK("https://www.wikidata.org/wiki/Q8329099", "Q8329099")</f>
        <v>0</v>
      </c>
      <c r="O2637" t="s">
        <v>19957</v>
      </c>
      <c r="P2637" t="s">
        <v>20422</v>
      </c>
      <c r="Q2637" t="s">
        <v>20587</v>
      </c>
      <c r="R2637" t="s">
        <v>21425</v>
      </c>
      <c r="S2637">
        <v>660</v>
      </c>
    </row>
    <row r="2638" spans="1:19">
      <c r="A2638" t="s">
        <v>23</v>
      </c>
      <c r="B2638" t="s">
        <v>148</v>
      </c>
      <c r="C2638" t="s">
        <v>155</v>
      </c>
      <c r="D2638" t="s">
        <v>284</v>
      </c>
      <c r="E2638" t="s">
        <v>413</v>
      </c>
      <c r="F2638">
        <f>HYPERLINK("https://www.wikidata.org/wiki/Q33728280", "Q33728280")</f>
        <v>0</v>
      </c>
      <c r="G2638" t="s">
        <v>1674</v>
      </c>
      <c r="H2638" t="s">
        <v>6354</v>
      </c>
      <c r="I2638" t="s">
        <v>9878</v>
      </c>
      <c r="J2638" t="s">
        <v>12380</v>
      </c>
      <c r="K2638" t="s">
        <v>16788</v>
      </c>
      <c r="L2638">
        <f>HYPERLINK("https://www2.assemblee-nationale.fr/sycomore/fiche/(num_dept)/6166", "6166")</f>
        <v>0</v>
      </c>
      <c r="M2638">
        <f>HYPERLINK("https://www.senat.fr/senateur-3eme-republique/roux_freissineng_pierre1827r3.html", "roux_freissineng_pierre1827r3")</f>
        <v>0</v>
      </c>
      <c r="N2638">
        <f>HYPERLINK("https://www.wikidata.org/wiki/Q3386881", "Q3386881")</f>
        <v>0</v>
      </c>
      <c r="O2638" t="s">
        <v>20000</v>
      </c>
      <c r="P2638" t="s">
        <v>20401</v>
      </c>
      <c r="Q2638" t="s">
        <v>20587</v>
      </c>
      <c r="R2638" t="s">
        <v>413</v>
      </c>
      <c r="S2638">
        <v>1500</v>
      </c>
    </row>
    <row r="2639" spans="1:19">
      <c r="A2639" t="s">
        <v>23</v>
      </c>
      <c r="B2639" t="s">
        <v>148</v>
      </c>
      <c r="C2639" t="s">
        <v>155</v>
      </c>
      <c r="D2639" t="s">
        <v>284</v>
      </c>
      <c r="E2639" t="s">
        <v>413</v>
      </c>
      <c r="F2639">
        <f>HYPERLINK("https://www.wikidata.org/wiki/Q33728280", "Q33728280")</f>
        <v>0</v>
      </c>
      <c r="G2639" t="s">
        <v>1880</v>
      </c>
      <c r="H2639" t="s">
        <v>6533</v>
      </c>
      <c r="I2639" t="s">
        <v>9980</v>
      </c>
      <c r="J2639" t="s">
        <v>12567</v>
      </c>
      <c r="K2639" t="s">
        <v>16980</v>
      </c>
      <c r="L2639">
        <f>HYPERLINK("https://www2.assemblee-nationale.fr/sycomore/fiche/(num_dept)/6217", "6217")</f>
        <v>0</v>
      </c>
      <c r="N2639">
        <f>HYPERLINK("https://www.wikidata.org/wiki/Q3557652", "Q3557652")</f>
        <v>0</v>
      </c>
      <c r="O2639" t="s">
        <v>19968</v>
      </c>
      <c r="P2639" t="s">
        <v>20422</v>
      </c>
      <c r="Q2639" t="s">
        <v>20587</v>
      </c>
      <c r="R2639" t="s">
        <v>413</v>
      </c>
      <c r="S2639">
        <v>1500</v>
      </c>
    </row>
    <row r="2640" spans="1:19">
      <c r="A2640" t="s">
        <v>23</v>
      </c>
      <c r="B2640" t="s">
        <v>148</v>
      </c>
      <c r="C2640" t="s">
        <v>155</v>
      </c>
      <c r="D2640" t="s">
        <v>284</v>
      </c>
      <c r="E2640" t="s">
        <v>413</v>
      </c>
      <c r="F2640">
        <f>HYPERLINK("https://www.wikidata.org/wiki/Q33728280", "Q33728280")</f>
        <v>0</v>
      </c>
      <c r="G2640" t="s">
        <v>1882</v>
      </c>
      <c r="H2640" t="s">
        <v>6535</v>
      </c>
      <c r="I2640" t="s">
        <v>9483</v>
      </c>
      <c r="J2640" t="s">
        <v>12569</v>
      </c>
      <c r="K2640" t="s">
        <v>15891</v>
      </c>
      <c r="L2640">
        <f>HYPERLINK("https://www2.assemblee-nationale.fr/sycomore/fiche/(num_dept)/6339", "6339")</f>
        <v>0</v>
      </c>
      <c r="N2640">
        <f>HYPERLINK("https://www.wikidata.org/wiki/Q16026490", "Q16026490")</f>
        <v>0</v>
      </c>
      <c r="O2640" t="s">
        <v>20030</v>
      </c>
      <c r="P2640" t="s">
        <v>20422</v>
      </c>
      <c r="Q2640" t="s">
        <v>20587</v>
      </c>
      <c r="R2640" t="s">
        <v>413</v>
      </c>
      <c r="S2640">
        <v>1500</v>
      </c>
    </row>
    <row r="2641" spans="1:19">
      <c r="A2641" t="s">
        <v>23</v>
      </c>
      <c r="B2641" t="s">
        <v>148</v>
      </c>
      <c r="C2641" t="s">
        <v>155</v>
      </c>
      <c r="D2641" t="s">
        <v>284</v>
      </c>
      <c r="E2641" t="s">
        <v>413</v>
      </c>
      <c r="F2641">
        <f>HYPERLINK("https://www.wikidata.org/wiki/Q33728280", "Q33728280")</f>
        <v>0</v>
      </c>
      <c r="G2641" t="s">
        <v>1883</v>
      </c>
      <c r="H2641" t="s">
        <v>6536</v>
      </c>
      <c r="I2641" t="s">
        <v>9981</v>
      </c>
      <c r="J2641" t="s">
        <v>12570</v>
      </c>
      <c r="K2641" t="s">
        <v>16982</v>
      </c>
      <c r="L2641">
        <f>HYPERLINK("https://www2.assemblee-nationale.fr/sycomore/fiche/(num_dept)/6364", "6364")</f>
        <v>0</v>
      </c>
      <c r="M2641">
        <f>HYPERLINK("https://www.senat.fr/senateur-3eme-republique/sclafer_james0169r4.html", "sclafer_james0169r4")</f>
        <v>0</v>
      </c>
      <c r="N2641">
        <f>HYPERLINK("https://www.wikidata.org/wiki/Q3161394", "Q3161394")</f>
        <v>0</v>
      </c>
      <c r="O2641" t="s">
        <v>20037</v>
      </c>
      <c r="P2641" t="s">
        <v>20428</v>
      </c>
      <c r="Q2641" t="s">
        <v>20587</v>
      </c>
      <c r="R2641" t="s">
        <v>413</v>
      </c>
      <c r="S2641">
        <v>1500</v>
      </c>
    </row>
    <row r="2642" spans="1:19">
      <c r="A2642" t="s">
        <v>23</v>
      </c>
      <c r="B2642" t="s">
        <v>148</v>
      </c>
      <c r="C2642" t="s">
        <v>155</v>
      </c>
      <c r="D2642" t="s">
        <v>284</v>
      </c>
      <c r="E2642" t="s">
        <v>413</v>
      </c>
      <c r="F2642">
        <f>HYPERLINK("https://www.wikidata.org/wiki/Q33728280", "Q33728280")</f>
        <v>0</v>
      </c>
      <c r="G2642" t="s">
        <v>1595</v>
      </c>
      <c r="H2642" t="s">
        <v>6285</v>
      </c>
      <c r="I2642" t="s">
        <v>6367</v>
      </c>
      <c r="J2642" t="s">
        <v>12303</v>
      </c>
      <c r="K2642" t="s">
        <v>16713</v>
      </c>
      <c r="L2642">
        <f>HYPERLINK("https://www2.assemblee-nationale.fr/sycomore/fiche/(num_dept)/6378", "6378")</f>
        <v>0</v>
      </c>
      <c r="N2642">
        <f>HYPERLINK("https://www.wikidata.org/wiki/Q3525560", "Q3525560")</f>
        <v>0</v>
      </c>
      <c r="O2642" t="s">
        <v>20048</v>
      </c>
      <c r="P2642" t="s">
        <v>20430</v>
      </c>
      <c r="Q2642" t="s">
        <v>20587</v>
      </c>
      <c r="R2642" t="s">
        <v>413</v>
      </c>
      <c r="S2642">
        <v>1500</v>
      </c>
    </row>
    <row r="2643" spans="1:19">
      <c r="A2643" t="s">
        <v>23</v>
      </c>
      <c r="B2643" t="s">
        <v>148</v>
      </c>
      <c r="C2643" t="s">
        <v>155</v>
      </c>
      <c r="D2643" t="s">
        <v>284</v>
      </c>
      <c r="E2643" t="s">
        <v>413</v>
      </c>
      <c r="F2643">
        <f>HYPERLINK("https://www.wikidata.org/wiki/Q33728280", "Q33728280")</f>
        <v>0</v>
      </c>
      <c r="G2643" t="s">
        <v>1598</v>
      </c>
      <c r="H2643" t="s">
        <v>6288</v>
      </c>
      <c r="I2643" t="s">
        <v>6759</v>
      </c>
      <c r="J2643" t="s">
        <v>12306</v>
      </c>
      <c r="K2643" t="s">
        <v>16716</v>
      </c>
      <c r="L2643">
        <f>HYPERLINK("https://www2.assemblee-nationale.fr/sycomore/fiche/(num_dept)/6396", "6396")</f>
        <v>0</v>
      </c>
      <c r="N2643">
        <f>HYPERLINK("https://www.wikidata.org/wiki/Q3436380", "Q3436380")</f>
        <v>0</v>
      </c>
      <c r="O2643" t="s">
        <v>20050</v>
      </c>
      <c r="P2643" t="s">
        <v>20422</v>
      </c>
      <c r="Q2643" t="s">
        <v>20587</v>
      </c>
      <c r="R2643" t="s">
        <v>413</v>
      </c>
      <c r="S2643">
        <v>1500</v>
      </c>
    </row>
    <row r="2644" spans="1:19">
      <c r="A2644" t="s">
        <v>23</v>
      </c>
      <c r="B2644" t="s">
        <v>148</v>
      </c>
      <c r="C2644" t="s">
        <v>155</v>
      </c>
      <c r="D2644" t="s">
        <v>284</v>
      </c>
      <c r="E2644" t="s">
        <v>413</v>
      </c>
      <c r="F2644">
        <f>HYPERLINK("https://www.wikidata.org/wiki/Q33728280", "Q33728280")</f>
        <v>0</v>
      </c>
      <c r="G2644" t="s">
        <v>1971</v>
      </c>
      <c r="H2644" t="s">
        <v>6611</v>
      </c>
      <c r="I2644" t="s">
        <v>9856</v>
      </c>
      <c r="J2644" t="s">
        <v>12334</v>
      </c>
      <c r="K2644" t="s">
        <v>17062</v>
      </c>
      <c r="L2644">
        <f>HYPERLINK("https://www2.assemblee-nationale.fr/sycomore/fiche/(num_dept)/6404", "6404")</f>
        <v>0</v>
      </c>
      <c r="N2644">
        <f>HYPERLINK("https://www.wikidata.org/wiki/Q3086294", "Q3086294")</f>
        <v>0</v>
      </c>
      <c r="O2644" t="s">
        <v>19980</v>
      </c>
      <c r="P2644" t="s">
        <v>20422</v>
      </c>
      <c r="Q2644" t="s">
        <v>20587</v>
      </c>
      <c r="R2644" t="s">
        <v>413</v>
      </c>
      <c r="S2644">
        <v>1500</v>
      </c>
    </row>
    <row r="2645" spans="1:19">
      <c r="A2645" t="s">
        <v>23</v>
      </c>
      <c r="B2645" t="s">
        <v>148</v>
      </c>
      <c r="C2645" t="s">
        <v>155</v>
      </c>
      <c r="D2645" t="s">
        <v>284</v>
      </c>
      <c r="E2645" t="s">
        <v>413</v>
      </c>
      <c r="F2645">
        <f>HYPERLINK("https://www.wikidata.org/wiki/Q33728280", "Q33728280")</f>
        <v>0</v>
      </c>
      <c r="G2645" t="s">
        <v>1972</v>
      </c>
      <c r="H2645" t="s">
        <v>6612</v>
      </c>
      <c r="I2645" t="s">
        <v>10023</v>
      </c>
      <c r="J2645" t="s">
        <v>12653</v>
      </c>
      <c r="K2645" t="s">
        <v>17063</v>
      </c>
      <c r="L2645">
        <f>HYPERLINK("https://www2.assemblee-nationale.fr/sycomore/fiche/(num_dept)/6542", "6542")</f>
        <v>0</v>
      </c>
      <c r="N2645">
        <f>HYPERLINK("https://www.wikidata.org/wiki/Q16026271", "Q16026271")</f>
        <v>0</v>
      </c>
      <c r="O2645" t="s">
        <v>19977</v>
      </c>
      <c r="P2645" t="s">
        <v>20432</v>
      </c>
      <c r="Q2645" t="s">
        <v>20587</v>
      </c>
      <c r="R2645" t="s">
        <v>17063</v>
      </c>
      <c r="S2645">
        <v>248</v>
      </c>
    </row>
    <row r="2646" spans="1:19">
      <c r="A2646" t="s">
        <v>23</v>
      </c>
      <c r="B2646" t="s">
        <v>148</v>
      </c>
      <c r="C2646" t="s">
        <v>155</v>
      </c>
      <c r="D2646" t="s">
        <v>284</v>
      </c>
      <c r="E2646" t="s">
        <v>413</v>
      </c>
      <c r="F2646">
        <f>HYPERLINK("https://www.wikidata.org/wiki/Q33728280", "Q33728280")</f>
        <v>0</v>
      </c>
      <c r="G2646" t="s">
        <v>794</v>
      </c>
      <c r="H2646" t="s">
        <v>5551</v>
      </c>
      <c r="I2646" t="s">
        <v>6495</v>
      </c>
      <c r="J2646" t="s">
        <v>11541</v>
      </c>
      <c r="K2646" t="s">
        <v>15945</v>
      </c>
      <c r="L2646">
        <f>HYPERLINK("https://www2.assemblee-nationale.fr/sycomore/fiche/(num_dept)/6551", "6551")</f>
        <v>0</v>
      </c>
      <c r="M2646">
        <f>HYPERLINK("https://www.senat.fr/senateur-3eme-republique/quesnel_louis1575r3.html", "quesnel_louis1575r3")</f>
        <v>0</v>
      </c>
      <c r="N2646">
        <f>HYPERLINK("https://www.wikidata.org/wiki/Q3262977", "Q3262977")</f>
        <v>0</v>
      </c>
      <c r="O2646" t="s">
        <v>19978</v>
      </c>
      <c r="P2646" t="s">
        <v>20412</v>
      </c>
      <c r="Q2646" t="s">
        <v>20587</v>
      </c>
      <c r="R2646" t="s">
        <v>413</v>
      </c>
      <c r="S2646">
        <v>1500</v>
      </c>
    </row>
    <row r="2647" spans="1:19">
      <c r="A2647" t="s">
        <v>23</v>
      </c>
      <c r="B2647" t="s">
        <v>148</v>
      </c>
      <c r="C2647" t="s">
        <v>155</v>
      </c>
      <c r="D2647" t="s">
        <v>284</v>
      </c>
      <c r="E2647" t="s">
        <v>413</v>
      </c>
      <c r="F2647">
        <f>HYPERLINK("https://www.wikidata.org/wiki/Q33728280", "Q33728280")</f>
        <v>0</v>
      </c>
      <c r="G2647" t="s">
        <v>1613</v>
      </c>
      <c r="H2647" t="s">
        <v>5559</v>
      </c>
      <c r="I2647" t="s">
        <v>6166</v>
      </c>
      <c r="J2647" t="s">
        <v>12320</v>
      </c>
      <c r="K2647" t="s">
        <v>16730</v>
      </c>
      <c r="L2647">
        <f>HYPERLINK("https://www2.assemblee-nationale.fr/sycomore/fiche/(num_dept)/6659", "6659")</f>
        <v>0</v>
      </c>
      <c r="N2647">
        <f>HYPERLINK("https://www.wikidata.org/wiki/Q3085660", "Q3085660")</f>
        <v>0</v>
      </c>
      <c r="O2647" t="s">
        <v>19962</v>
      </c>
      <c r="P2647" t="s">
        <v>20430</v>
      </c>
      <c r="Q2647" t="s">
        <v>20587</v>
      </c>
      <c r="R2647" t="s">
        <v>413</v>
      </c>
      <c r="S2647">
        <v>1500</v>
      </c>
    </row>
    <row r="2648" spans="1:19">
      <c r="A2648" t="s">
        <v>23</v>
      </c>
      <c r="B2648" t="s">
        <v>148</v>
      </c>
      <c r="C2648" t="s">
        <v>155</v>
      </c>
      <c r="D2648" t="s">
        <v>284</v>
      </c>
      <c r="E2648" t="s">
        <v>413</v>
      </c>
      <c r="F2648">
        <f>HYPERLINK("https://www.wikidata.org/wiki/Q33728280", "Q33728280")</f>
        <v>0</v>
      </c>
      <c r="G2648" t="s">
        <v>1619</v>
      </c>
      <c r="H2648" t="s">
        <v>6304</v>
      </c>
      <c r="I2648" t="s">
        <v>7575</v>
      </c>
      <c r="J2648" t="s">
        <v>12326</v>
      </c>
      <c r="K2648" t="s">
        <v>16736</v>
      </c>
      <c r="L2648">
        <f>HYPERLINK("https://www2.assemblee-nationale.fr/sycomore/fiche/(num_dept)/6752", "6752")</f>
        <v>0</v>
      </c>
      <c r="N2648">
        <f>HYPERLINK("https://www.wikidata.org/wiki/Q3143189", "Q3143189")</f>
        <v>0</v>
      </c>
      <c r="O2648" t="s">
        <v>20024</v>
      </c>
      <c r="P2648" t="s">
        <v>20412</v>
      </c>
      <c r="Q2648" t="s">
        <v>20587</v>
      </c>
      <c r="R2648" t="s">
        <v>413</v>
      </c>
      <c r="S2648">
        <v>1500</v>
      </c>
    </row>
    <row r="2649" spans="1:19">
      <c r="A2649" t="s">
        <v>23</v>
      </c>
      <c r="B2649" t="s">
        <v>148</v>
      </c>
      <c r="C2649" t="s">
        <v>155</v>
      </c>
      <c r="D2649" t="s">
        <v>284</v>
      </c>
      <c r="E2649" t="s">
        <v>413</v>
      </c>
      <c r="F2649">
        <f>HYPERLINK("https://www.wikidata.org/wiki/Q33728280", "Q33728280")</f>
        <v>0</v>
      </c>
      <c r="G2649" t="s">
        <v>1620</v>
      </c>
      <c r="H2649" t="s">
        <v>6305</v>
      </c>
      <c r="I2649" t="s">
        <v>9862</v>
      </c>
      <c r="J2649" t="s">
        <v>12327</v>
      </c>
      <c r="K2649" t="s">
        <v>16737</v>
      </c>
      <c r="L2649">
        <f>HYPERLINK("https://www2.assemblee-nationale.fr/sycomore/fiche/(num_dept)/6770", "6770")</f>
        <v>0</v>
      </c>
      <c r="M2649">
        <f>HYPERLINK("https://www.senat.fr/senateur-3eme-republique/rillard_de_verneuil_henri0040r3.html", "rillard_de_verneuil_henri0040r3")</f>
        <v>0</v>
      </c>
      <c r="N2649">
        <f>HYPERLINK("https://www.wikidata.org/wiki/Q3131913", "Q3131913")</f>
        <v>0</v>
      </c>
      <c r="O2649" t="s">
        <v>20015</v>
      </c>
      <c r="P2649" t="s">
        <v>20422</v>
      </c>
      <c r="Q2649" t="s">
        <v>20587</v>
      </c>
      <c r="R2649" t="s">
        <v>413</v>
      </c>
      <c r="S2649">
        <v>1500</v>
      </c>
    </row>
    <row r="2650" spans="1:19">
      <c r="A2650" t="s">
        <v>23</v>
      </c>
      <c r="B2650" t="s">
        <v>148</v>
      </c>
      <c r="C2650" t="s">
        <v>155</v>
      </c>
      <c r="D2650" t="s">
        <v>284</v>
      </c>
      <c r="E2650" t="s">
        <v>413</v>
      </c>
      <c r="F2650">
        <f>HYPERLINK("https://www.wikidata.org/wiki/Q33728280", "Q33728280")</f>
        <v>0</v>
      </c>
      <c r="G2650" t="s">
        <v>809</v>
      </c>
      <c r="H2650" t="s">
        <v>5566</v>
      </c>
      <c r="I2650" t="s">
        <v>7642</v>
      </c>
      <c r="J2650" t="s">
        <v>11556</v>
      </c>
      <c r="K2650" t="s">
        <v>15960</v>
      </c>
      <c r="L2650">
        <f>HYPERLINK("https://www2.assemblee-nationale.fr/sycomore/fiche/(num_dept)/6821", "6821")</f>
        <v>0</v>
      </c>
      <c r="N2650">
        <f>HYPERLINK("https://www.wikidata.org/wiki/Q3301402", "Q3301402")</f>
        <v>0</v>
      </c>
      <c r="O2650" t="s">
        <v>20023</v>
      </c>
      <c r="P2650" t="s">
        <v>20412</v>
      </c>
      <c r="Q2650" t="s">
        <v>20587</v>
      </c>
      <c r="R2650" t="s">
        <v>413</v>
      </c>
      <c r="S2650">
        <v>1500</v>
      </c>
    </row>
    <row r="2651" spans="1:19">
      <c r="A2651" t="s">
        <v>23</v>
      </c>
      <c r="B2651" t="s">
        <v>148</v>
      </c>
      <c r="C2651" t="s">
        <v>155</v>
      </c>
      <c r="D2651" t="s">
        <v>284</v>
      </c>
      <c r="E2651" t="s">
        <v>413</v>
      </c>
      <c r="F2651">
        <f>HYPERLINK("https://www.wikidata.org/wiki/Q33728280", "Q33728280")</f>
        <v>0</v>
      </c>
      <c r="G2651" t="s">
        <v>1132</v>
      </c>
      <c r="H2651" t="s">
        <v>5800</v>
      </c>
      <c r="I2651" t="s">
        <v>9388</v>
      </c>
      <c r="J2651" t="s">
        <v>11866</v>
      </c>
      <c r="K2651" t="s">
        <v>16268</v>
      </c>
      <c r="L2651">
        <f>HYPERLINK("https://www2.assemblee-nationale.fr/sycomore/fiche/(num_dept)/6845", "6845")</f>
        <v>0</v>
      </c>
      <c r="N2651">
        <f>HYPERLINK("https://www.wikidata.org/wiki/Q3372205", "Q3372205")</f>
        <v>0</v>
      </c>
      <c r="O2651" t="s">
        <v>20011</v>
      </c>
      <c r="P2651" t="s">
        <v>20430</v>
      </c>
      <c r="Q2651" t="s">
        <v>20587</v>
      </c>
      <c r="R2651" t="s">
        <v>413</v>
      </c>
      <c r="S2651">
        <v>1500</v>
      </c>
    </row>
    <row r="2652" spans="1:19">
      <c r="A2652" t="s">
        <v>23</v>
      </c>
      <c r="B2652" t="s">
        <v>148</v>
      </c>
      <c r="C2652" t="s">
        <v>155</v>
      </c>
      <c r="D2652" t="s">
        <v>284</v>
      </c>
      <c r="E2652" t="s">
        <v>413</v>
      </c>
      <c r="F2652">
        <f>HYPERLINK("https://www.wikidata.org/wiki/Q33728280", "Q33728280")</f>
        <v>0</v>
      </c>
      <c r="G2652" t="s">
        <v>1312</v>
      </c>
      <c r="H2652" t="s">
        <v>6033</v>
      </c>
      <c r="I2652" t="s">
        <v>7419</v>
      </c>
      <c r="J2652" t="s">
        <v>12042</v>
      </c>
      <c r="K2652" t="s">
        <v>16443</v>
      </c>
      <c r="L2652">
        <f>HYPERLINK("https://www2.assemblee-nationale.fr/sycomore/fiche/(num_dept)/6907", "6907")</f>
        <v>0</v>
      </c>
      <c r="N2652">
        <f>HYPERLINK("https://www.wikidata.org/wiki/Q1243761", "Q1243761")</f>
        <v>0</v>
      </c>
      <c r="O2652" t="s">
        <v>20033</v>
      </c>
      <c r="P2652" t="s">
        <v>20412</v>
      </c>
      <c r="Q2652" t="s">
        <v>20587</v>
      </c>
      <c r="R2652" t="s">
        <v>413</v>
      </c>
      <c r="S2652">
        <v>1500</v>
      </c>
    </row>
    <row r="2653" spans="1:19">
      <c r="A2653" t="s">
        <v>23</v>
      </c>
      <c r="B2653" t="s">
        <v>148</v>
      </c>
      <c r="C2653" t="s">
        <v>155</v>
      </c>
      <c r="D2653" t="s">
        <v>284</v>
      </c>
      <c r="E2653" t="s">
        <v>413</v>
      </c>
      <c r="F2653">
        <f>HYPERLINK("https://www.wikidata.org/wiki/Q33728280", "Q33728280")</f>
        <v>0</v>
      </c>
      <c r="G2653" t="s">
        <v>1973</v>
      </c>
      <c r="H2653" t="s">
        <v>6034</v>
      </c>
      <c r="I2653" t="s">
        <v>7642</v>
      </c>
      <c r="J2653" t="s">
        <v>12654</v>
      </c>
      <c r="K2653" t="s">
        <v>17064</v>
      </c>
      <c r="L2653">
        <f>HYPERLINK("https://www2.assemblee-nationale.fr/sycomore/fiche/(num_dept)/6938", "6938")</f>
        <v>0</v>
      </c>
      <c r="N2653">
        <f>HYPERLINK("https://www.wikidata.org/wiki/Q16026529", "Q16026529")</f>
        <v>0</v>
      </c>
      <c r="O2653" t="s">
        <v>19968</v>
      </c>
      <c r="P2653" t="s">
        <v>20422</v>
      </c>
      <c r="Q2653" t="s">
        <v>20587</v>
      </c>
      <c r="R2653" t="s">
        <v>413</v>
      </c>
      <c r="S2653">
        <v>1500</v>
      </c>
    </row>
    <row r="2654" spans="1:19">
      <c r="A2654" t="s">
        <v>23</v>
      </c>
      <c r="B2654" t="s">
        <v>148</v>
      </c>
      <c r="C2654" t="s">
        <v>155</v>
      </c>
      <c r="D2654" t="s">
        <v>284</v>
      </c>
      <c r="E2654" t="s">
        <v>413</v>
      </c>
      <c r="F2654">
        <f>HYPERLINK("https://www.wikidata.org/wiki/Q33728280", "Q33728280")</f>
        <v>0</v>
      </c>
      <c r="G2654" t="s">
        <v>1627</v>
      </c>
      <c r="H2654" t="s">
        <v>6312</v>
      </c>
      <c r="I2654" t="s">
        <v>6860</v>
      </c>
      <c r="J2654" t="s">
        <v>12334</v>
      </c>
      <c r="K2654" t="s">
        <v>16743</v>
      </c>
      <c r="L2654">
        <f>HYPERLINK("https://www2.assemblee-nationale.fr/sycomore/fiche/(num_dept)/6941", "6941")</f>
        <v>0</v>
      </c>
      <c r="N2654">
        <f>HYPERLINK("https://www.wikidata.org/wiki/Q3387066", "Q3387066")</f>
        <v>0</v>
      </c>
      <c r="O2654" t="s">
        <v>19969</v>
      </c>
      <c r="P2654" t="s">
        <v>20422</v>
      </c>
      <c r="Q2654" t="s">
        <v>20587</v>
      </c>
      <c r="R2654" t="s">
        <v>413</v>
      </c>
      <c r="S2654">
        <v>1500</v>
      </c>
    </row>
    <row r="2655" spans="1:19">
      <c r="A2655" t="s">
        <v>23</v>
      </c>
      <c r="B2655" t="s">
        <v>148</v>
      </c>
      <c r="C2655" t="s">
        <v>155</v>
      </c>
      <c r="D2655" t="s">
        <v>284</v>
      </c>
      <c r="E2655" t="s">
        <v>413</v>
      </c>
      <c r="F2655">
        <f>HYPERLINK("https://www.wikidata.org/wiki/Q33728280", "Q33728280")</f>
        <v>0</v>
      </c>
      <c r="G2655" t="s">
        <v>1206</v>
      </c>
      <c r="H2655" t="s">
        <v>5934</v>
      </c>
      <c r="I2655" t="s">
        <v>6585</v>
      </c>
      <c r="J2655" t="s">
        <v>11939</v>
      </c>
      <c r="K2655" t="s">
        <v>16340</v>
      </c>
      <c r="L2655">
        <f>HYPERLINK("https://www2.assemblee-nationale.fr/sycomore/fiche/(num_dept)/6953", "6953")</f>
        <v>0</v>
      </c>
      <c r="N2655">
        <f>HYPERLINK("https://www.wikidata.org/wiki/Q346648", "Q346648")</f>
        <v>0</v>
      </c>
      <c r="O2655" t="s">
        <v>20040</v>
      </c>
      <c r="P2655" t="s">
        <v>20412</v>
      </c>
      <c r="Q2655" t="s">
        <v>20587</v>
      </c>
      <c r="R2655" t="s">
        <v>413</v>
      </c>
      <c r="S2655">
        <v>1500</v>
      </c>
    </row>
    <row r="2656" spans="1:19">
      <c r="A2656" t="s">
        <v>23</v>
      </c>
      <c r="B2656" t="s">
        <v>148</v>
      </c>
      <c r="C2656" t="s">
        <v>155</v>
      </c>
      <c r="D2656" t="s">
        <v>284</v>
      </c>
      <c r="E2656" t="s">
        <v>413</v>
      </c>
      <c r="F2656">
        <f>HYPERLINK("https://www.wikidata.org/wiki/Q33728280", "Q33728280")</f>
        <v>0</v>
      </c>
      <c r="G2656" t="s">
        <v>1898</v>
      </c>
      <c r="H2656" t="s">
        <v>6548</v>
      </c>
      <c r="I2656" t="s">
        <v>9457</v>
      </c>
      <c r="J2656" t="s">
        <v>12585</v>
      </c>
      <c r="K2656" t="s">
        <v>16997</v>
      </c>
      <c r="L2656">
        <f>HYPERLINK("https://www2.assemblee-nationale.fr/sycomore/fiche/(num_dept)/6960", "6960")</f>
        <v>0</v>
      </c>
      <c r="M2656">
        <f>HYPERLINK("https://www.senat.fr/senateur-3eme-republique/tasso_henri0331r3.html", "tasso_henri0331r3")</f>
        <v>0</v>
      </c>
      <c r="N2656">
        <f>HYPERLINK("https://www.wikidata.org/wiki/Q3132056", "Q3132056")</f>
        <v>0</v>
      </c>
      <c r="O2656" t="s">
        <v>19990</v>
      </c>
      <c r="P2656" t="s">
        <v>20404</v>
      </c>
      <c r="Q2656" t="s">
        <v>20587</v>
      </c>
      <c r="R2656" t="s">
        <v>413</v>
      </c>
      <c r="S2656">
        <v>1500</v>
      </c>
    </row>
    <row r="2657" spans="1:19">
      <c r="A2657" t="s">
        <v>23</v>
      </c>
      <c r="B2657" t="s">
        <v>148</v>
      </c>
      <c r="C2657" t="s">
        <v>155</v>
      </c>
      <c r="D2657" t="s">
        <v>284</v>
      </c>
      <c r="E2657" t="s">
        <v>413</v>
      </c>
      <c r="F2657">
        <f>HYPERLINK("https://www.wikidata.org/wiki/Q33728280", "Q33728280")</f>
        <v>0</v>
      </c>
      <c r="G2657" t="s">
        <v>1899</v>
      </c>
      <c r="H2657" t="s">
        <v>6549</v>
      </c>
      <c r="I2657" t="s">
        <v>9989</v>
      </c>
      <c r="J2657" t="s">
        <v>12586</v>
      </c>
      <c r="K2657" t="s">
        <v>16998</v>
      </c>
      <c r="L2657">
        <f>HYPERLINK("https://www2.assemblee-nationale.fr/sycomore/fiche/(num_dept)/6963", "6963")</f>
        <v>0</v>
      </c>
      <c r="N2657">
        <f>HYPERLINK("https://www.wikidata.org/wiki/Q3260934", "Q3260934")</f>
        <v>0</v>
      </c>
      <c r="O2657" t="s">
        <v>20030</v>
      </c>
      <c r="P2657" t="s">
        <v>20412</v>
      </c>
      <c r="Q2657" t="s">
        <v>20587</v>
      </c>
      <c r="R2657" t="s">
        <v>413</v>
      </c>
      <c r="S2657">
        <v>1500</v>
      </c>
    </row>
    <row r="2658" spans="1:19">
      <c r="A2658" t="s">
        <v>23</v>
      </c>
      <c r="B2658" t="s">
        <v>148</v>
      </c>
      <c r="C2658" t="s">
        <v>155</v>
      </c>
      <c r="D2658" t="s">
        <v>284</v>
      </c>
      <c r="E2658" t="s">
        <v>413</v>
      </c>
      <c r="F2658">
        <f>HYPERLINK("https://www.wikidata.org/wiki/Q33728280", "Q33728280")</f>
        <v>0</v>
      </c>
      <c r="G2658" t="s">
        <v>1974</v>
      </c>
      <c r="H2658" t="s">
        <v>5870</v>
      </c>
      <c r="I2658" t="s">
        <v>10024</v>
      </c>
      <c r="J2658" t="s">
        <v>12655</v>
      </c>
      <c r="K2658" t="s">
        <v>17065</v>
      </c>
      <c r="L2658">
        <f>HYPERLINK("https://www2.assemblee-nationale.fr/sycomore/fiche/(num_dept)/6965", "6965")</f>
        <v>0</v>
      </c>
      <c r="N2658">
        <f>HYPERLINK("https://www.wikidata.org/wiki/Q3588766", "Q3588766")</f>
        <v>0</v>
      </c>
      <c r="O2658" t="s">
        <v>20021</v>
      </c>
      <c r="P2658" t="s">
        <v>20407</v>
      </c>
      <c r="Q2658" t="s">
        <v>20587</v>
      </c>
      <c r="R2658" t="s">
        <v>413</v>
      </c>
      <c r="S2658">
        <v>1500</v>
      </c>
    </row>
    <row r="2659" spans="1:19">
      <c r="A2659" t="s">
        <v>23</v>
      </c>
      <c r="B2659" t="s">
        <v>148</v>
      </c>
      <c r="C2659" t="s">
        <v>155</v>
      </c>
      <c r="D2659" t="s">
        <v>284</v>
      </c>
      <c r="E2659" t="s">
        <v>413</v>
      </c>
      <c r="F2659">
        <f>HYPERLINK("https://www.wikidata.org/wiki/Q33728280", "Q33728280")</f>
        <v>0</v>
      </c>
      <c r="G2659" t="s">
        <v>818</v>
      </c>
      <c r="H2659" t="s">
        <v>5575</v>
      </c>
      <c r="I2659" t="s">
        <v>9470</v>
      </c>
      <c r="J2659" t="s">
        <v>11565</v>
      </c>
      <c r="K2659" t="s">
        <v>15969</v>
      </c>
      <c r="L2659">
        <f>HYPERLINK("https://www2.assemblee-nationale.fr/sycomore/fiche/(num_dept)/7055", "7055")</f>
        <v>0</v>
      </c>
      <c r="N2659">
        <f>HYPERLINK("https://www.wikidata.org/wiki/Q2246519", "Q2246519")</f>
        <v>0</v>
      </c>
      <c r="O2659" t="s">
        <v>20000</v>
      </c>
      <c r="P2659" t="s">
        <v>20401</v>
      </c>
      <c r="Q2659" t="s">
        <v>20587</v>
      </c>
      <c r="R2659" t="s">
        <v>15969</v>
      </c>
      <c r="S2659">
        <v>1483</v>
      </c>
    </row>
    <row r="2660" spans="1:19">
      <c r="A2660" t="s">
        <v>23</v>
      </c>
      <c r="B2660" t="s">
        <v>148</v>
      </c>
      <c r="C2660" t="s">
        <v>155</v>
      </c>
      <c r="D2660" t="s">
        <v>284</v>
      </c>
      <c r="E2660" t="s">
        <v>413</v>
      </c>
      <c r="F2660">
        <f>HYPERLINK("https://www.wikidata.org/wiki/Q33728280", "Q33728280")</f>
        <v>0</v>
      </c>
      <c r="G2660" t="s">
        <v>1632</v>
      </c>
      <c r="H2660" t="s">
        <v>6317</v>
      </c>
      <c r="I2660" t="s">
        <v>6759</v>
      </c>
      <c r="J2660" t="s">
        <v>12339</v>
      </c>
      <c r="K2660" t="s">
        <v>16748</v>
      </c>
      <c r="L2660">
        <f>HYPERLINK("https://www2.assemblee-nationale.fr/sycomore/fiche/(num_dept)/7066", "7066")</f>
        <v>0</v>
      </c>
      <c r="M2660">
        <f>HYPERLINK("https://www.senat.fr/senateur-3eme-republique/thoumyre_robert1579r3.html", "thoumyre_robert1579r3")</f>
        <v>0</v>
      </c>
      <c r="N2660">
        <f>HYPERLINK("https://www.wikidata.org/wiki/Q3436407", "Q3436407")</f>
        <v>0</v>
      </c>
      <c r="O2660" t="s">
        <v>19978</v>
      </c>
      <c r="P2660" t="s">
        <v>20412</v>
      </c>
      <c r="Q2660" t="s">
        <v>20587</v>
      </c>
      <c r="R2660" t="s">
        <v>413</v>
      </c>
      <c r="S2660">
        <v>1500</v>
      </c>
    </row>
    <row r="2661" spans="1:19">
      <c r="A2661" t="s">
        <v>23</v>
      </c>
      <c r="B2661" t="s">
        <v>148</v>
      </c>
      <c r="C2661" t="s">
        <v>155</v>
      </c>
      <c r="D2661" t="s">
        <v>284</v>
      </c>
      <c r="E2661" t="s">
        <v>413</v>
      </c>
      <c r="F2661">
        <f>HYPERLINK("https://www.wikidata.org/wiki/Q33728280", "Q33728280")</f>
        <v>0</v>
      </c>
      <c r="G2661" t="s">
        <v>1634</v>
      </c>
      <c r="H2661" t="s">
        <v>6319</v>
      </c>
      <c r="I2661" t="s">
        <v>9865</v>
      </c>
      <c r="J2661" t="s">
        <v>12341</v>
      </c>
      <c r="K2661" t="s">
        <v>16724</v>
      </c>
      <c r="L2661">
        <f>HYPERLINK("https://www2.assemblee-nationale.fr/sycomore/fiche/(num_dept)/7080", "7080")</f>
        <v>0</v>
      </c>
      <c r="N2661">
        <f>HYPERLINK("https://www.wikidata.org/wiki/Q3175732", "Q3175732")</f>
        <v>0</v>
      </c>
      <c r="O2661" t="s">
        <v>19972</v>
      </c>
      <c r="P2661" t="s">
        <v>20422</v>
      </c>
      <c r="Q2661" t="s">
        <v>20587</v>
      </c>
      <c r="R2661" t="s">
        <v>413</v>
      </c>
      <c r="S2661">
        <v>1500</v>
      </c>
    </row>
    <row r="2662" spans="1:19">
      <c r="A2662" t="s">
        <v>23</v>
      </c>
      <c r="B2662" t="s">
        <v>148</v>
      </c>
      <c r="C2662" t="s">
        <v>155</v>
      </c>
      <c r="D2662" t="s">
        <v>284</v>
      </c>
      <c r="E2662" t="s">
        <v>413</v>
      </c>
      <c r="F2662">
        <f>HYPERLINK("https://www.wikidata.org/wiki/Q33728280", "Q33728280")</f>
        <v>0</v>
      </c>
      <c r="G2662" t="s">
        <v>1905</v>
      </c>
      <c r="H2662" t="s">
        <v>6554</v>
      </c>
      <c r="I2662" t="s">
        <v>9994</v>
      </c>
      <c r="J2662" t="s">
        <v>12592</v>
      </c>
      <c r="K2662" t="s">
        <v>17003</v>
      </c>
      <c r="L2662">
        <f>HYPERLINK("https://www2.assemblee-nationale.fr/sycomore/fiche/(num_dept)/7144", "7144")</f>
        <v>0</v>
      </c>
      <c r="N2662">
        <f>HYPERLINK("https://www.wikidata.org/wiki/Q3387181", "Q3387181")</f>
        <v>0</v>
      </c>
      <c r="O2662" t="s">
        <v>20011</v>
      </c>
      <c r="P2662" t="s">
        <v>20430</v>
      </c>
      <c r="Q2662" t="s">
        <v>20587</v>
      </c>
      <c r="R2662" t="s">
        <v>413</v>
      </c>
      <c r="S2662">
        <v>1500</v>
      </c>
    </row>
    <row r="2663" spans="1:19">
      <c r="A2663" t="s">
        <v>23</v>
      </c>
      <c r="B2663" t="s">
        <v>148</v>
      </c>
      <c r="C2663" t="s">
        <v>155</v>
      </c>
      <c r="D2663" t="s">
        <v>284</v>
      </c>
      <c r="E2663" t="s">
        <v>413</v>
      </c>
      <c r="F2663">
        <f>HYPERLINK("https://www.wikidata.org/wiki/Q33728280", "Q33728280")</f>
        <v>0</v>
      </c>
      <c r="G2663" t="s">
        <v>1316</v>
      </c>
      <c r="H2663" t="s">
        <v>6036</v>
      </c>
      <c r="I2663" t="s">
        <v>9746</v>
      </c>
      <c r="J2663" t="s">
        <v>12046</v>
      </c>
      <c r="K2663" t="s">
        <v>16446</v>
      </c>
      <c r="L2663">
        <f>HYPERLINK("https://www2.assemblee-nationale.fr/sycomore/fiche/(num_dept)/7210", "7210")</f>
        <v>0</v>
      </c>
      <c r="N2663">
        <f>HYPERLINK("https://www.wikidata.org/wiki/Q1247638", "Q1247638")</f>
        <v>0</v>
      </c>
      <c r="O2663" t="s">
        <v>20005</v>
      </c>
      <c r="P2663" t="s">
        <v>20431</v>
      </c>
      <c r="Q2663" t="s">
        <v>20587</v>
      </c>
      <c r="R2663" t="s">
        <v>413</v>
      </c>
      <c r="S2663">
        <v>1500</v>
      </c>
    </row>
    <row r="2664" spans="1:19">
      <c r="A2664" t="s">
        <v>23</v>
      </c>
      <c r="B2664" t="s">
        <v>148</v>
      </c>
      <c r="C2664" t="s">
        <v>155</v>
      </c>
      <c r="D2664" t="s">
        <v>284</v>
      </c>
      <c r="E2664" t="s">
        <v>413</v>
      </c>
      <c r="F2664">
        <f>HYPERLINK("https://www.wikidata.org/wiki/Q33728280", "Q33728280")</f>
        <v>0</v>
      </c>
      <c r="G2664" t="s">
        <v>1640</v>
      </c>
      <c r="H2664" t="s">
        <v>6325</v>
      </c>
      <c r="I2664" t="s">
        <v>6860</v>
      </c>
      <c r="J2664" t="s">
        <v>12347</v>
      </c>
      <c r="K2664" t="s">
        <v>16754</v>
      </c>
      <c r="L2664">
        <f>HYPERLINK("https://www2.assemblee-nationale.fr/sycomore/fiche/(num_dept)/7282", "7282")</f>
        <v>0</v>
      </c>
      <c r="N2664">
        <f>HYPERLINK("https://www.wikidata.org/wiki/Q3387228", "Q3387228")</f>
        <v>0</v>
      </c>
      <c r="O2664" t="s">
        <v>19991</v>
      </c>
      <c r="P2664" t="s">
        <v>20422</v>
      </c>
      <c r="Q2664" t="s">
        <v>20587</v>
      </c>
      <c r="R2664" t="s">
        <v>413</v>
      </c>
      <c r="S2664">
        <v>1500</v>
      </c>
    </row>
    <row r="2665" spans="1:19">
      <c r="A2665" t="s">
        <v>23</v>
      </c>
      <c r="B2665" t="s">
        <v>148</v>
      </c>
      <c r="C2665" t="s">
        <v>155</v>
      </c>
      <c r="D2665" t="s">
        <v>284</v>
      </c>
      <c r="E2665" t="s">
        <v>413</v>
      </c>
      <c r="F2665">
        <f>HYPERLINK("https://www.wikidata.org/wiki/Q33728280", "Q33728280")</f>
        <v>0</v>
      </c>
      <c r="G2665" t="s">
        <v>1641</v>
      </c>
      <c r="H2665" t="s">
        <v>6326</v>
      </c>
      <c r="I2665" t="s">
        <v>9868</v>
      </c>
      <c r="J2665" t="s">
        <v>12348</v>
      </c>
      <c r="K2665" t="s">
        <v>16755</v>
      </c>
      <c r="L2665">
        <f>HYPERLINK("https://www2.assemblee-nationale.fr/sycomore/fiche/(num_dept)/7283", "7283")</f>
        <v>0</v>
      </c>
      <c r="N2665">
        <f>HYPERLINK("https://www.wikidata.org/wiki/Q2291608", "Q2291608")</f>
        <v>0</v>
      </c>
      <c r="O2665" t="s">
        <v>19991</v>
      </c>
      <c r="P2665" t="s">
        <v>20407</v>
      </c>
      <c r="Q2665" t="s">
        <v>20587</v>
      </c>
      <c r="R2665" t="s">
        <v>413</v>
      </c>
      <c r="S2665">
        <v>1500</v>
      </c>
    </row>
    <row r="2666" spans="1:19">
      <c r="A2666" t="s">
        <v>23</v>
      </c>
      <c r="B2666" t="s">
        <v>148</v>
      </c>
      <c r="C2666" t="s">
        <v>155</v>
      </c>
      <c r="D2666" t="s">
        <v>284</v>
      </c>
      <c r="E2666" t="s">
        <v>413</v>
      </c>
      <c r="F2666">
        <f>HYPERLINK("https://www.wikidata.org/wiki/Q33728280", "Q33728280")</f>
        <v>0</v>
      </c>
      <c r="G2666" t="s">
        <v>1208</v>
      </c>
      <c r="H2666" t="s">
        <v>5936</v>
      </c>
      <c r="I2666" t="s">
        <v>6200</v>
      </c>
      <c r="J2666" t="s">
        <v>11940</v>
      </c>
      <c r="K2666" t="s">
        <v>16342</v>
      </c>
      <c r="L2666">
        <f>HYPERLINK("https://www2.assemblee-nationale.fr/sycomore/fiche/(num_dept)/7299", "7299")</f>
        <v>0</v>
      </c>
      <c r="N2666">
        <f>HYPERLINK("https://www.wikidata.org/wiki/Q2624477", "Q2624477")</f>
        <v>0</v>
      </c>
      <c r="O2666" t="s">
        <v>19970</v>
      </c>
      <c r="P2666" t="s">
        <v>20422</v>
      </c>
      <c r="Q2666" t="s">
        <v>20587</v>
      </c>
      <c r="R2666" t="s">
        <v>413</v>
      </c>
      <c r="S2666">
        <v>1500</v>
      </c>
    </row>
    <row r="2667" spans="1:19">
      <c r="A2667" t="s">
        <v>23</v>
      </c>
      <c r="B2667" t="s">
        <v>148</v>
      </c>
      <c r="C2667" t="s">
        <v>155</v>
      </c>
      <c r="D2667" t="s">
        <v>284</v>
      </c>
      <c r="E2667" t="s">
        <v>413</v>
      </c>
      <c r="F2667">
        <f>HYPERLINK("https://www.wikidata.org/wiki/Q33728280", "Q33728280")</f>
        <v>0</v>
      </c>
      <c r="G2667" t="s">
        <v>1908</v>
      </c>
      <c r="H2667" t="s">
        <v>6330</v>
      </c>
      <c r="I2667" t="s">
        <v>9407</v>
      </c>
      <c r="J2667" t="s">
        <v>12594</v>
      </c>
      <c r="K2667" t="s">
        <v>17006</v>
      </c>
      <c r="L2667">
        <f>HYPERLINK("https://www2.assemblee-nationale.fr/sycomore/fiche/(num_dept)/7332", "7332")</f>
        <v>0</v>
      </c>
      <c r="N2667">
        <f>HYPERLINK("https://www.wikidata.org/wiki/Q1708140", "Q1708140")</f>
        <v>0</v>
      </c>
      <c r="O2667" t="s">
        <v>19990</v>
      </c>
      <c r="P2667" t="s">
        <v>20429</v>
      </c>
      <c r="Q2667" t="s">
        <v>20587</v>
      </c>
      <c r="R2667" t="s">
        <v>413</v>
      </c>
      <c r="S2667">
        <v>1500</v>
      </c>
    </row>
    <row r="2668" spans="1:19">
      <c r="A2668" t="s">
        <v>23</v>
      </c>
      <c r="B2668" t="s">
        <v>148</v>
      </c>
      <c r="C2668" t="s">
        <v>155</v>
      </c>
      <c r="D2668" t="s">
        <v>284</v>
      </c>
      <c r="E2668" t="s">
        <v>413</v>
      </c>
      <c r="F2668">
        <f>HYPERLINK("https://www.wikidata.org/wiki/Q33728280", "Q33728280")</f>
        <v>0</v>
      </c>
      <c r="G2668" t="s">
        <v>1066</v>
      </c>
      <c r="H2668" t="s">
        <v>5812</v>
      </c>
      <c r="I2668" t="s">
        <v>9652</v>
      </c>
      <c r="J2668" t="s">
        <v>11803</v>
      </c>
      <c r="K2668" t="s">
        <v>16203</v>
      </c>
      <c r="L2668">
        <f>HYPERLINK("https://www2.assemblee-nationale.fr/sycomore/fiche/(num_dept)/7333", "7333")</f>
        <v>0</v>
      </c>
      <c r="M2668">
        <f>HYPERLINK("https://www.senat.fr/senateur-3eme-republique/vincent_emile0534r3.html", "vincent_emile0534r3")</f>
        <v>0</v>
      </c>
      <c r="N2668">
        <f>HYPERLINK("https://www.wikidata.org/wiki/Q3588785", "Q3588785")</f>
        <v>0</v>
      </c>
      <c r="O2668" t="s">
        <v>20002</v>
      </c>
      <c r="P2668" t="s">
        <v>20407</v>
      </c>
      <c r="Q2668" t="s">
        <v>20587</v>
      </c>
      <c r="R2668" t="s">
        <v>413</v>
      </c>
      <c r="S2668">
        <v>1500</v>
      </c>
    </row>
    <row r="2669" spans="1:19">
      <c r="A2669" t="s">
        <v>23</v>
      </c>
      <c r="B2669" t="s">
        <v>148</v>
      </c>
      <c r="C2669" t="s">
        <v>155</v>
      </c>
      <c r="D2669" t="s">
        <v>284</v>
      </c>
      <c r="E2669" t="s">
        <v>413</v>
      </c>
      <c r="F2669">
        <f>HYPERLINK("https://www.wikidata.org/wiki/Q33728280", "Q33728280")</f>
        <v>0</v>
      </c>
      <c r="G2669" t="s">
        <v>1209</v>
      </c>
      <c r="H2669" t="s">
        <v>5937</v>
      </c>
      <c r="I2669" t="s">
        <v>6166</v>
      </c>
      <c r="J2669" t="s">
        <v>11941</v>
      </c>
      <c r="K2669" t="s">
        <v>16343</v>
      </c>
      <c r="L2669">
        <f>HYPERLINK("https://www2.assemblee-nationale.fr/sycomore/fiche/(num_dept)/7335", "7335")</f>
        <v>0</v>
      </c>
      <c r="M2669">
        <f>HYPERLINK("https://www.senat.fr/senateur-3eme-republique/de_wendel_francois0946r3.html", "de_wendel_francois0946r3")</f>
        <v>0</v>
      </c>
      <c r="N2669">
        <f>HYPERLINK("https://www.wikidata.org/wiki/Q3086338", "Q3086338")</f>
        <v>0</v>
      </c>
      <c r="O2669" t="s">
        <v>20007</v>
      </c>
      <c r="P2669" t="s">
        <v>20422</v>
      </c>
      <c r="Q2669" t="s">
        <v>20587</v>
      </c>
      <c r="R2669" t="s">
        <v>413</v>
      </c>
      <c r="S2669">
        <v>1500</v>
      </c>
    </row>
    <row r="2670" spans="1:19">
      <c r="A2670" t="s">
        <v>23</v>
      </c>
      <c r="B2670" t="s">
        <v>148</v>
      </c>
      <c r="C2670" t="s">
        <v>155</v>
      </c>
      <c r="D2670" t="s">
        <v>284</v>
      </c>
      <c r="E2670" t="s">
        <v>413</v>
      </c>
      <c r="F2670">
        <f>HYPERLINK("https://www.wikidata.org/wiki/Q33728280", "Q33728280")</f>
        <v>0</v>
      </c>
      <c r="G2670" t="s">
        <v>1975</v>
      </c>
      <c r="H2670" t="s">
        <v>6613</v>
      </c>
      <c r="I2670" t="s">
        <v>9449</v>
      </c>
      <c r="J2670" t="s">
        <v>12656</v>
      </c>
      <c r="K2670" t="s">
        <v>17066</v>
      </c>
      <c r="L2670">
        <f>HYPERLINK("https://www2.assemblee-nationale.fr/sycomore/fiche/(num_dept)/7336", "7336")</f>
        <v>0</v>
      </c>
      <c r="M2670">
        <f>HYPERLINK("https://www.senat.fr/senateur-3eme-republique/wolff_jules0712r3.html", "wolff_jules0712r3")</f>
        <v>0</v>
      </c>
      <c r="N2670">
        <f>HYPERLINK("https://www.wikidata.org/wiki/Q3188969", "Q3188969")</f>
        <v>0</v>
      </c>
      <c r="O2670" t="s">
        <v>20050</v>
      </c>
      <c r="P2670" t="s">
        <v>20422</v>
      </c>
      <c r="Q2670" t="s">
        <v>20587</v>
      </c>
      <c r="R2670" t="s">
        <v>413</v>
      </c>
      <c r="S2670">
        <v>1500</v>
      </c>
    </row>
    <row r="2671" spans="1:19">
      <c r="A2671" t="s">
        <v>23</v>
      </c>
      <c r="B2671" t="s">
        <v>148</v>
      </c>
      <c r="C2671" t="s">
        <v>155</v>
      </c>
      <c r="D2671" t="s">
        <v>284</v>
      </c>
      <c r="E2671" t="s">
        <v>413</v>
      </c>
      <c r="F2671">
        <f>HYPERLINK("https://www.wikidata.org/wiki/Q33728280", "Q33728280")</f>
        <v>0</v>
      </c>
      <c r="G2671" t="s">
        <v>824</v>
      </c>
      <c r="H2671" t="s">
        <v>5581</v>
      </c>
      <c r="I2671" t="s">
        <v>5349</v>
      </c>
      <c r="J2671" t="s">
        <v>11571</v>
      </c>
      <c r="K2671" t="s">
        <v>15947</v>
      </c>
      <c r="L2671">
        <f>HYPERLINK("https://www2.assemblee-nationale.fr/sycomore/fiche/(num_dept)/7341", "7341")</f>
        <v>0</v>
      </c>
      <c r="N2671">
        <f>HYPERLINK("https://www.wikidata.org/wiki/Q2994900", "Q2994900")</f>
        <v>0</v>
      </c>
      <c r="O2671" t="s">
        <v>20017</v>
      </c>
      <c r="P2671" t="s">
        <v>20432</v>
      </c>
      <c r="Q2671" t="s">
        <v>20587</v>
      </c>
      <c r="R2671" t="s">
        <v>413</v>
      </c>
      <c r="S2671">
        <v>1500</v>
      </c>
    </row>
    <row r="2672" spans="1:19">
      <c r="A2672" t="s">
        <v>23</v>
      </c>
      <c r="B2672" t="s">
        <v>148</v>
      </c>
      <c r="C2672" t="s">
        <v>155</v>
      </c>
      <c r="D2672" t="s">
        <v>284</v>
      </c>
      <c r="E2672" t="s">
        <v>413</v>
      </c>
      <c r="F2672">
        <f>HYPERLINK("https://www.wikidata.org/wiki/Q33728280", "Q33728280")</f>
        <v>0</v>
      </c>
      <c r="G2672" t="s">
        <v>1644</v>
      </c>
      <c r="H2672" t="s">
        <v>6328</v>
      </c>
      <c r="I2672" t="s">
        <v>9870</v>
      </c>
      <c r="J2672" t="s">
        <v>12351</v>
      </c>
      <c r="K2672" t="s">
        <v>16758</v>
      </c>
      <c r="L2672">
        <f>HYPERLINK("https://www2.assemblee-nationale.fr/sycomore/fiche/(num_dept)/7342", "7342")</f>
        <v>0</v>
      </c>
      <c r="N2672">
        <f>HYPERLINK("https://www.wikidata.org/wiki/Q3580086", "Q3580086")</f>
        <v>0</v>
      </c>
      <c r="O2672" t="s">
        <v>20007</v>
      </c>
      <c r="P2672" t="s">
        <v>20422</v>
      </c>
      <c r="Q2672" t="s">
        <v>20587</v>
      </c>
      <c r="R2672" t="s">
        <v>413</v>
      </c>
      <c r="S2672">
        <v>1500</v>
      </c>
    </row>
    <row r="2673" spans="1:19">
      <c r="A2673" t="s">
        <v>23</v>
      </c>
      <c r="B2673" t="s">
        <v>148</v>
      </c>
      <c r="C2673" t="s">
        <v>155</v>
      </c>
      <c r="D2673" t="s">
        <v>284</v>
      </c>
      <c r="E2673" t="s">
        <v>413</v>
      </c>
      <c r="F2673">
        <f>HYPERLINK("https://www.wikidata.org/wiki/Q33728280", "Q33728280")</f>
        <v>0</v>
      </c>
      <c r="G2673" t="s">
        <v>1915</v>
      </c>
      <c r="H2673" t="s">
        <v>6563</v>
      </c>
      <c r="I2673" t="s">
        <v>9465</v>
      </c>
      <c r="J2673" t="s">
        <v>12600</v>
      </c>
      <c r="K2673" t="s">
        <v>17013</v>
      </c>
      <c r="L2673">
        <f>HYPERLINK("https://www2.assemblee-nationale.fr/sycomore/fiche/(num_dept)/7517", "7517")</f>
        <v>0</v>
      </c>
      <c r="N2673">
        <f>HYPERLINK("https://www.wikidata.org/wiki/Q3059966", "Q3059966")</f>
        <v>0</v>
      </c>
      <c r="O2673" t="s">
        <v>20029</v>
      </c>
      <c r="P2673" t="s">
        <v>20428</v>
      </c>
      <c r="Q2673" t="s">
        <v>20587</v>
      </c>
      <c r="R2673" t="s">
        <v>413</v>
      </c>
      <c r="S2673">
        <v>1500</v>
      </c>
    </row>
    <row r="2674" spans="1:19">
      <c r="A2674" t="s">
        <v>23</v>
      </c>
      <c r="B2674" t="s">
        <v>148</v>
      </c>
      <c r="C2674" t="s">
        <v>155</v>
      </c>
      <c r="D2674" t="s">
        <v>284</v>
      </c>
      <c r="E2674" t="s">
        <v>413</v>
      </c>
      <c r="F2674">
        <f>HYPERLINK("https://www.wikidata.org/wiki/Q33728280", "Q33728280")</f>
        <v>0</v>
      </c>
      <c r="G2674" t="s">
        <v>1654</v>
      </c>
      <c r="H2674" t="s">
        <v>6337</v>
      </c>
      <c r="I2674" t="s">
        <v>6200</v>
      </c>
      <c r="J2674" t="s">
        <v>12361</v>
      </c>
      <c r="K2674" t="s">
        <v>16768</v>
      </c>
      <c r="L2674">
        <f>HYPERLINK("https://www2.assemblee-nationale.fr/sycomore/fiche/(num_dept)/7563", "7563")</f>
        <v>0</v>
      </c>
      <c r="N2674">
        <f>HYPERLINK("https://www.wikidata.org/wiki/Q3173069", "Q3173069")</f>
        <v>0</v>
      </c>
      <c r="O2674" t="s">
        <v>20023</v>
      </c>
      <c r="P2674" t="s">
        <v>20407</v>
      </c>
      <c r="Q2674" t="s">
        <v>20587</v>
      </c>
      <c r="R2674" t="s">
        <v>413</v>
      </c>
      <c r="S2674">
        <v>1500</v>
      </c>
    </row>
    <row r="2675" spans="1:19">
      <c r="A2675" t="s">
        <v>23</v>
      </c>
      <c r="B2675" t="s">
        <v>148</v>
      </c>
      <c r="C2675" t="s">
        <v>155</v>
      </c>
      <c r="D2675" t="s">
        <v>284</v>
      </c>
      <c r="E2675" t="s">
        <v>413</v>
      </c>
      <c r="F2675">
        <f>HYPERLINK("https://www.wikidata.org/wiki/Q33728280", "Q33728280")</f>
        <v>0</v>
      </c>
      <c r="G2675" t="s">
        <v>842</v>
      </c>
      <c r="H2675" t="s">
        <v>5599</v>
      </c>
      <c r="I2675" t="s">
        <v>9549</v>
      </c>
      <c r="J2675" t="s">
        <v>11589</v>
      </c>
      <c r="K2675" t="s">
        <v>15991</v>
      </c>
      <c r="L2675">
        <f>HYPERLINK("https://www2.assemblee-nationale.fr/sycomore/fiche/(num_dept)/7595", "7595")</f>
        <v>0</v>
      </c>
      <c r="M2675">
        <f>HYPERLINK("https://www.senat.fr/senateur-3eme-republique/le_louedec_jules0811r3.html", "le_louedec_jules0811r3")</f>
        <v>0</v>
      </c>
      <c r="N2675">
        <f>HYPERLINK("https://www.wikidata.org/wiki/Q3188719", "Q3188719")</f>
        <v>0</v>
      </c>
      <c r="O2675" t="s">
        <v>20011</v>
      </c>
      <c r="P2675" t="s">
        <v>20428</v>
      </c>
      <c r="Q2675" t="s">
        <v>20587</v>
      </c>
      <c r="R2675" t="s">
        <v>21426</v>
      </c>
      <c r="S2675">
        <v>642</v>
      </c>
    </row>
    <row r="2676" spans="1:19">
      <c r="A2676" t="s">
        <v>23</v>
      </c>
      <c r="B2676" t="s">
        <v>148</v>
      </c>
      <c r="C2676" t="s">
        <v>155</v>
      </c>
      <c r="D2676" t="s">
        <v>284</v>
      </c>
      <c r="E2676" t="s">
        <v>413</v>
      </c>
      <c r="F2676">
        <f>HYPERLINK("https://www.wikidata.org/wiki/Q33728280", "Q33728280")</f>
        <v>0</v>
      </c>
      <c r="G2676" t="s">
        <v>1656</v>
      </c>
      <c r="H2676" t="s">
        <v>6339</v>
      </c>
      <c r="I2676" t="s">
        <v>9874</v>
      </c>
      <c r="J2676" t="s">
        <v>12363</v>
      </c>
      <c r="K2676" t="s">
        <v>16770</v>
      </c>
      <c r="L2676">
        <f>HYPERLINK("https://www2.assemblee-nationale.fr/sycomore/fiche/(num_dept)/7600", "7600")</f>
        <v>0</v>
      </c>
      <c r="N2676">
        <f>HYPERLINK("https://www.wikidata.org/wiki/Q3132907", "Q3132907")</f>
        <v>0</v>
      </c>
      <c r="O2676" t="s">
        <v>19992</v>
      </c>
      <c r="P2676" t="s">
        <v>20422</v>
      </c>
      <c r="Q2676" t="s">
        <v>20587</v>
      </c>
      <c r="R2676" t="s">
        <v>413</v>
      </c>
      <c r="S2676">
        <v>1500</v>
      </c>
    </row>
    <row r="2677" spans="1:19">
      <c r="A2677" t="s">
        <v>23</v>
      </c>
      <c r="B2677" t="s">
        <v>148</v>
      </c>
      <c r="C2677" t="s">
        <v>155</v>
      </c>
      <c r="D2677" t="s">
        <v>284</v>
      </c>
      <c r="E2677" t="s">
        <v>413</v>
      </c>
      <c r="F2677">
        <f>HYPERLINK("https://www.wikidata.org/wiki/Q33728280", "Q33728280")</f>
        <v>0</v>
      </c>
      <c r="G2677" t="s">
        <v>1659</v>
      </c>
      <c r="H2677" t="s">
        <v>6342</v>
      </c>
      <c r="I2677" t="s">
        <v>9843</v>
      </c>
      <c r="J2677" t="s">
        <v>12366</v>
      </c>
      <c r="K2677" t="s">
        <v>16773</v>
      </c>
      <c r="L2677">
        <f>HYPERLINK("https://www2.assemblee-nationale.fr/sycomore/fiche/(num_dept)/7630", "7630")</f>
        <v>0</v>
      </c>
      <c r="M2677">
        <f>HYPERLINK("https://www.senat.fr/senateur-3eme-republique/le_trocquer_yves0588r3.html", "le_trocquer_yves0588r3")</f>
        <v>0</v>
      </c>
      <c r="N2677">
        <f>HYPERLINK("https://www.wikidata.org/wiki/Q3573784", "Q3573784")</f>
        <v>0</v>
      </c>
      <c r="O2677" t="s">
        <v>19964</v>
      </c>
      <c r="P2677" t="s">
        <v>20401</v>
      </c>
      <c r="Q2677" t="s">
        <v>20587</v>
      </c>
      <c r="R2677" t="s">
        <v>21427</v>
      </c>
      <c r="S2677">
        <v>648</v>
      </c>
    </row>
    <row r="2678" spans="1:19">
      <c r="A2678" t="s">
        <v>23</v>
      </c>
      <c r="B2678" t="s">
        <v>148</v>
      </c>
      <c r="C2678" t="s">
        <v>155</v>
      </c>
      <c r="D2678" t="s">
        <v>284</v>
      </c>
      <c r="E2678" t="s">
        <v>413</v>
      </c>
      <c r="F2678">
        <f>HYPERLINK("https://www.wikidata.org/wiki/Q33728280", "Q33728280")</f>
        <v>0</v>
      </c>
      <c r="G2678" t="s">
        <v>1976</v>
      </c>
      <c r="H2678" t="s">
        <v>6614</v>
      </c>
      <c r="I2678" t="s">
        <v>10025</v>
      </c>
      <c r="J2678" t="s">
        <v>12657</v>
      </c>
      <c r="K2678" t="s">
        <v>17067</v>
      </c>
      <c r="L2678">
        <f>HYPERLINK("https://www2.assemblee-nationale.fr/sycomore/fiche/(num_dept)/7633", "7633")</f>
        <v>0</v>
      </c>
      <c r="N2678">
        <f>HYPERLINK("https://www.wikidata.org/wiki/Q3131451", "Q3131451")</f>
        <v>0</v>
      </c>
      <c r="O2678" t="s">
        <v>19964</v>
      </c>
      <c r="P2678" t="s">
        <v>20401</v>
      </c>
      <c r="Q2678" t="s">
        <v>20587</v>
      </c>
      <c r="R2678" t="s">
        <v>413</v>
      </c>
      <c r="S2678">
        <v>1500</v>
      </c>
    </row>
    <row r="2679" spans="1:19">
      <c r="A2679" t="s">
        <v>23</v>
      </c>
      <c r="B2679" t="s">
        <v>148</v>
      </c>
      <c r="C2679" t="s">
        <v>155</v>
      </c>
      <c r="D2679" t="s">
        <v>284</v>
      </c>
      <c r="E2679" t="s">
        <v>413</v>
      </c>
      <c r="F2679">
        <f>HYPERLINK("https://www.wikidata.org/wiki/Q33728280", "Q33728280")</f>
        <v>0</v>
      </c>
      <c r="G2679" t="s">
        <v>1977</v>
      </c>
      <c r="H2679" t="s">
        <v>6615</v>
      </c>
      <c r="I2679" t="s">
        <v>9407</v>
      </c>
      <c r="J2679" t="s">
        <v>12658</v>
      </c>
      <c r="K2679" t="s">
        <v>17068</v>
      </c>
      <c r="L2679">
        <f>HYPERLINK("https://www2.assemblee-nationale.fr/sycomore/fiche/(num_dept)/7654", "7654")</f>
        <v>0</v>
      </c>
      <c r="N2679">
        <f>HYPERLINK("https://www.wikidata.org/wiki/Q611770", "Q611770")</f>
        <v>0</v>
      </c>
      <c r="O2679" t="s">
        <v>19985</v>
      </c>
      <c r="P2679" t="s">
        <v>20429</v>
      </c>
      <c r="Q2679" t="s">
        <v>20587</v>
      </c>
      <c r="R2679" t="s">
        <v>413</v>
      </c>
      <c r="S2679">
        <v>1500</v>
      </c>
    </row>
    <row r="2680" spans="1:19">
      <c r="A2680" t="s">
        <v>23</v>
      </c>
      <c r="B2680" t="s">
        <v>148</v>
      </c>
      <c r="C2680" t="s">
        <v>155</v>
      </c>
      <c r="D2680" t="s">
        <v>284</v>
      </c>
      <c r="E2680" t="s">
        <v>413</v>
      </c>
      <c r="F2680">
        <f>HYPERLINK("https://www.wikidata.org/wiki/Q33728280", "Q33728280")</f>
        <v>0</v>
      </c>
      <c r="G2680" t="s">
        <v>848</v>
      </c>
      <c r="H2680" t="s">
        <v>5605</v>
      </c>
      <c r="I2680" t="s">
        <v>9553</v>
      </c>
      <c r="J2680" t="s">
        <v>11594</v>
      </c>
      <c r="K2680" t="s">
        <v>15996</v>
      </c>
      <c r="L2680">
        <f>HYPERLINK("https://www2.assemblee-nationale.fr/sycomore/fiche/(num_dept)/7683", "7683")</f>
        <v>0</v>
      </c>
      <c r="M2680">
        <f>HYPERLINK("https://www.senat.fr/senateur-3eme-republique/lefas_alexandre0535r3.html", "lefas_alexandre0535r3")</f>
        <v>0</v>
      </c>
      <c r="N2680">
        <f>HYPERLINK("https://www.wikidata.org/wiki/Q2833822", "Q2833822")</f>
        <v>0</v>
      </c>
      <c r="O2680" t="s">
        <v>19998</v>
      </c>
      <c r="P2680" t="s">
        <v>20422</v>
      </c>
      <c r="Q2680" t="s">
        <v>20587</v>
      </c>
      <c r="R2680" t="s">
        <v>413</v>
      </c>
      <c r="S2680">
        <v>1500</v>
      </c>
    </row>
    <row r="2681" spans="1:19">
      <c r="A2681" t="s">
        <v>23</v>
      </c>
      <c r="B2681" t="s">
        <v>148</v>
      </c>
      <c r="C2681" t="s">
        <v>155</v>
      </c>
      <c r="D2681" t="s">
        <v>284</v>
      </c>
      <c r="E2681" t="s">
        <v>413</v>
      </c>
      <c r="F2681">
        <f>HYPERLINK("https://www.wikidata.org/wiki/Q33728280", "Q33728280")</f>
        <v>0</v>
      </c>
      <c r="G2681" t="s">
        <v>857</v>
      </c>
      <c r="H2681" t="s">
        <v>5613</v>
      </c>
      <c r="I2681" t="s">
        <v>6175</v>
      </c>
      <c r="J2681" t="s">
        <v>11603</v>
      </c>
      <c r="K2681" t="s">
        <v>16005</v>
      </c>
      <c r="L2681">
        <f>HYPERLINK("https://www2.assemblee-nationale.fr/sycomore/fiche/(num_dept)/7840", "7840")</f>
        <v>0</v>
      </c>
      <c r="N2681">
        <f>HYPERLINK("https://www.wikidata.org/wiki/Q728806", "Q728806")</f>
        <v>0</v>
      </c>
      <c r="O2681" t="s">
        <v>20043</v>
      </c>
      <c r="P2681" t="s">
        <v>20412</v>
      </c>
      <c r="Q2681" t="s">
        <v>20587</v>
      </c>
      <c r="R2681" t="s">
        <v>413</v>
      </c>
      <c r="S2681">
        <v>1500</v>
      </c>
    </row>
    <row r="2682" spans="1:19">
      <c r="A2682" t="s">
        <v>23</v>
      </c>
      <c r="B2682" t="s">
        <v>148</v>
      </c>
      <c r="C2682" t="s">
        <v>155</v>
      </c>
      <c r="D2682" t="s">
        <v>284</v>
      </c>
      <c r="E2682" t="s">
        <v>413</v>
      </c>
      <c r="F2682">
        <f>HYPERLINK("https://www.wikidata.org/wiki/Q33728280", "Q33728280")</f>
        <v>0</v>
      </c>
      <c r="G2682" t="s">
        <v>1978</v>
      </c>
      <c r="H2682" t="s">
        <v>6616</v>
      </c>
      <c r="I2682" t="s">
        <v>6200</v>
      </c>
      <c r="J2682" t="s">
        <v>12659</v>
      </c>
      <c r="K2682" t="s">
        <v>17069</v>
      </c>
      <c r="L2682">
        <f>HYPERLINK("https://www2.assemblee-nationale.fr/sycomore/fiche/(num_dept)/7868", "7868")</f>
        <v>0</v>
      </c>
      <c r="M2682">
        <f>HYPERLINK("https://www.senat.fr/senateur-3eme-republique/lissar_jean1061r3.html", "lissar_jean1061r3")</f>
        <v>0</v>
      </c>
      <c r="N2682">
        <f>HYPERLINK("https://www.wikidata.org/wiki/Q3173228", "Q3173228")</f>
        <v>0</v>
      </c>
      <c r="O2682" t="s">
        <v>19970</v>
      </c>
      <c r="P2682" t="s">
        <v>20422</v>
      </c>
      <c r="Q2682" t="s">
        <v>20587</v>
      </c>
      <c r="R2682" t="s">
        <v>413</v>
      </c>
      <c r="S2682">
        <v>1500</v>
      </c>
    </row>
    <row r="2683" spans="1:19">
      <c r="A2683" t="s">
        <v>23</v>
      </c>
      <c r="B2683" t="s">
        <v>148</v>
      </c>
      <c r="C2683" t="s">
        <v>155</v>
      </c>
      <c r="D2683" t="s">
        <v>284</v>
      </c>
      <c r="E2683" t="s">
        <v>413</v>
      </c>
      <c r="F2683">
        <f>HYPERLINK("https://www.wikidata.org/wiki/Q33728280", "Q33728280")</f>
        <v>0</v>
      </c>
      <c r="G2683" t="s">
        <v>1333</v>
      </c>
      <c r="H2683" t="s">
        <v>5402</v>
      </c>
      <c r="I2683" t="s">
        <v>9754</v>
      </c>
      <c r="J2683" t="s">
        <v>12060</v>
      </c>
      <c r="K2683" t="s">
        <v>16462</v>
      </c>
      <c r="L2683">
        <f>HYPERLINK("https://www2.assemblee-nationale.fr/sycomore/fiche/(num_dept)/10839", "10839")</f>
        <v>0</v>
      </c>
      <c r="N2683">
        <f>HYPERLINK("https://www.wikidata.org/wiki/Q471296", "Q471296")</f>
        <v>0</v>
      </c>
      <c r="O2683" t="s">
        <v>20034</v>
      </c>
      <c r="P2683" t="s">
        <v>20412</v>
      </c>
      <c r="Q2683" t="s">
        <v>20587</v>
      </c>
      <c r="R2683" t="s">
        <v>413</v>
      </c>
      <c r="S2683">
        <v>1500</v>
      </c>
    </row>
    <row r="2684" spans="1:19">
      <c r="A2684" t="s">
        <v>23</v>
      </c>
      <c r="B2684" t="s">
        <v>148</v>
      </c>
      <c r="C2684" t="s">
        <v>155</v>
      </c>
      <c r="D2684" t="s">
        <v>284</v>
      </c>
      <c r="E2684" t="s">
        <v>413</v>
      </c>
      <c r="F2684">
        <f>HYPERLINK("https://www.wikidata.org/wiki/Q33728280", "Q33728280")</f>
        <v>0</v>
      </c>
      <c r="G2684" t="s">
        <v>1214</v>
      </c>
      <c r="H2684" t="s">
        <v>5942</v>
      </c>
      <c r="I2684" t="s">
        <v>9707</v>
      </c>
      <c r="J2684" t="s">
        <v>11946</v>
      </c>
      <c r="K2684" t="s">
        <v>16348</v>
      </c>
      <c r="L2684">
        <f>HYPERLINK("https://www2.assemblee-nationale.fr/sycomore/fiche/(num_dept)/27", "27")</f>
        <v>0</v>
      </c>
      <c r="N2684">
        <f>HYPERLINK("https://www.wikidata.org/wiki/Q3270670", "Q3270670")</f>
        <v>0</v>
      </c>
      <c r="O2684" t="s">
        <v>20015</v>
      </c>
      <c r="P2684" t="s">
        <v>20428</v>
      </c>
      <c r="Q2684" t="s">
        <v>20588</v>
      </c>
      <c r="R2684" t="s">
        <v>413</v>
      </c>
      <c r="S2684">
        <v>1493</v>
      </c>
    </row>
    <row r="2685" spans="1:19">
      <c r="A2685" t="s">
        <v>23</v>
      </c>
      <c r="B2685" t="s">
        <v>148</v>
      </c>
      <c r="C2685" t="s">
        <v>155</v>
      </c>
      <c r="D2685" t="s">
        <v>284</v>
      </c>
      <c r="E2685" t="s">
        <v>413</v>
      </c>
      <c r="F2685">
        <f>HYPERLINK("https://www.wikidata.org/wiki/Q33728280", "Q33728280")</f>
        <v>0</v>
      </c>
      <c r="G2685" t="s">
        <v>1979</v>
      </c>
      <c r="H2685" t="s">
        <v>6617</v>
      </c>
      <c r="I2685" t="s">
        <v>10026</v>
      </c>
      <c r="J2685" t="s">
        <v>12660</v>
      </c>
      <c r="K2685" t="s">
        <v>17070</v>
      </c>
      <c r="L2685">
        <f>HYPERLINK("https://www2.assemblee-nationale.fr/sycomore/fiche/(num_dept)/74", "74")</f>
        <v>0</v>
      </c>
      <c r="N2685">
        <f>HYPERLINK("https://www.wikidata.org/wiki/Q3063540", "Q3063540")</f>
        <v>0</v>
      </c>
      <c r="O2685" t="s">
        <v>19990</v>
      </c>
      <c r="P2685" t="s">
        <v>20404</v>
      </c>
      <c r="Q2685" t="s">
        <v>20588</v>
      </c>
      <c r="R2685" t="s">
        <v>413</v>
      </c>
      <c r="S2685">
        <v>1493</v>
      </c>
    </row>
    <row r="2686" spans="1:19">
      <c r="A2686" t="s">
        <v>23</v>
      </c>
      <c r="B2686" t="s">
        <v>148</v>
      </c>
      <c r="C2686" t="s">
        <v>155</v>
      </c>
      <c r="D2686" t="s">
        <v>284</v>
      </c>
      <c r="E2686" t="s">
        <v>413</v>
      </c>
      <c r="F2686">
        <f>HYPERLINK("https://www.wikidata.org/wiki/Q33728280", "Q33728280")</f>
        <v>0</v>
      </c>
      <c r="G2686" t="s">
        <v>1980</v>
      </c>
      <c r="H2686" t="s">
        <v>6618</v>
      </c>
      <c r="I2686" t="s">
        <v>10027</v>
      </c>
      <c r="J2686" t="s">
        <v>12343</v>
      </c>
      <c r="K2686" t="s">
        <v>17071</v>
      </c>
      <c r="L2686">
        <f>HYPERLINK("https://www2.assemblee-nationale.fr/sycomore/fiche/(num_dept)/81", "81")</f>
        <v>0</v>
      </c>
      <c r="N2686">
        <f>HYPERLINK("https://www.wikidata.org/wiki/Q3170348", "Q3170348")</f>
        <v>0</v>
      </c>
      <c r="O2686" t="s">
        <v>7411</v>
      </c>
      <c r="P2686" t="s">
        <v>20428</v>
      </c>
      <c r="Q2686" t="s">
        <v>20588</v>
      </c>
      <c r="R2686" t="s">
        <v>413</v>
      </c>
      <c r="S2686">
        <v>1493</v>
      </c>
    </row>
    <row r="2687" spans="1:19">
      <c r="A2687" t="s">
        <v>23</v>
      </c>
      <c r="B2687" t="s">
        <v>148</v>
      </c>
      <c r="C2687" t="s">
        <v>155</v>
      </c>
      <c r="D2687" t="s">
        <v>284</v>
      </c>
      <c r="E2687" t="s">
        <v>413</v>
      </c>
      <c r="F2687">
        <f>HYPERLINK("https://www.wikidata.org/wiki/Q33728280", "Q33728280")</f>
        <v>0</v>
      </c>
      <c r="G2687" t="s">
        <v>1981</v>
      </c>
      <c r="H2687" t="s">
        <v>6619</v>
      </c>
      <c r="I2687" t="s">
        <v>9474</v>
      </c>
      <c r="J2687" t="s">
        <v>12661</v>
      </c>
      <c r="K2687" t="s">
        <v>17072</v>
      </c>
      <c r="L2687">
        <f>HYPERLINK("https://www2.assemblee-nationale.fr/sycomore/fiche/(num_dept)/107", "107")</f>
        <v>0</v>
      </c>
      <c r="M2687">
        <f>HYPERLINK("https://www.senat.fr/senateur-3eme-republique/amat_jean0098r3.html", "amat_jean0098r3")</f>
        <v>0</v>
      </c>
      <c r="N2687">
        <f>HYPERLINK("https://www.wikidata.org/wiki/Q3163825", "Q3163825")</f>
        <v>0</v>
      </c>
      <c r="O2687" t="s">
        <v>20016</v>
      </c>
      <c r="P2687" t="s">
        <v>20428</v>
      </c>
      <c r="Q2687" t="s">
        <v>20588</v>
      </c>
      <c r="R2687" t="s">
        <v>413</v>
      </c>
      <c r="S2687">
        <v>1493</v>
      </c>
    </row>
    <row r="2688" spans="1:19">
      <c r="A2688" t="s">
        <v>23</v>
      </c>
      <c r="B2688" t="s">
        <v>148</v>
      </c>
      <c r="C2688" t="s">
        <v>155</v>
      </c>
      <c r="D2688" t="s">
        <v>284</v>
      </c>
      <c r="E2688" t="s">
        <v>413</v>
      </c>
      <c r="F2688">
        <f>HYPERLINK("https://www.wikidata.org/wiki/Q33728280", "Q33728280")</f>
        <v>0</v>
      </c>
      <c r="G2688" t="s">
        <v>1982</v>
      </c>
      <c r="H2688" t="s">
        <v>6620</v>
      </c>
      <c r="I2688" t="s">
        <v>10028</v>
      </c>
      <c r="J2688" t="s">
        <v>12662</v>
      </c>
      <c r="K2688" t="s">
        <v>17073</v>
      </c>
      <c r="L2688">
        <f>HYPERLINK("https://www2.assemblee-nationale.fr/sycomore/fiche/(num_dept)/113", "113")</f>
        <v>0</v>
      </c>
      <c r="N2688">
        <f>HYPERLINK("https://www.wikidata.org/wiki/Q3383696", "Q3383696")</f>
        <v>0</v>
      </c>
      <c r="O2688" t="s">
        <v>20007</v>
      </c>
      <c r="P2688" t="s">
        <v>20422</v>
      </c>
      <c r="Q2688" t="s">
        <v>20588</v>
      </c>
      <c r="R2688" t="s">
        <v>413</v>
      </c>
      <c r="S2688">
        <v>1493</v>
      </c>
    </row>
    <row r="2689" spans="1:19">
      <c r="A2689" t="s">
        <v>23</v>
      </c>
      <c r="B2689" t="s">
        <v>148</v>
      </c>
      <c r="C2689" t="s">
        <v>155</v>
      </c>
      <c r="D2689" t="s">
        <v>284</v>
      </c>
      <c r="E2689" t="s">
        <v>413</v>
      </c>
      <c r="F2689">
        <f>HYPERLINK("https://www.wikidata.org/wiki/Q33728280", "Q33728280")</f>
        <v>0</v>
      </c>
      <c r="G2689" t="s">
        <v>1983</v>
      </c>
      <c r="H2689" t="s">
        <v>6621</v>
      </c>
      <c r="I2689" t="s">
        <v>10029</v>
      </c>
      <c r="J2689" t="s">
        <v>12663</v>
      </c>
      <c r="K2689" t="s">
        <v>17074</v>
      </c>
      <c r="L2689">
        <f>HYPERLINK("https://www2.assemblee-nationale.fr/sycomore/fiche/(num_dept)/114", "114")</f>
        <v>0</v>
      </c>
      <c r="N2689">
        <f>HYPERLINK("https://www.wikidata.org/wiki/Q3130547", "Q3130547")</f>
        <v>0</v>
      </c>
      <c r="O2689" t="s">
        <v>20039</v>
      </c>
      <c r="P2689" t="s">
        <v>20428</v>
      </c>
      <c r="Q2689" t="s">
        <v>20588</v>
      </c>
      <c r="R2689" t="s">
        <v>17074</v>
      </c>
      <c r="S2689">
        <v>404</v>
      </c>
    </row>
    <row r="2690" spans="1:19">
      <c r="A2690" t="s">
        <v>23</v>
      </c>
      <c r="B2690" t="s">
        <v>148</v>
      </c>
      <c r="C2690" t="s">
        <v>155</v>
      </c>
      <c r="D2690" t="s">
        <v>284</v>
      </c>
      <c r="E2690" t="s">
        <v>413</v>
      </c>
      <c r="F2690">
        <f>HYPERLINK("https://www.wikidata.org/wiki/Q33728280", "Q33728280")</f>
        <v>0</v>
      </c>
      <c r="G2690" t="s">
        <v>1984</v>
      </c>
      <c r="H2690" t="s">
        <v>6622</v>
      </c>
      <c r="I2690" t="s">
        <v>6478</v>
      </c>
      <c r="J2690" t="s">
        <v>12664</v>
      </c>
      <c r="K2690" t="s">
        <v>17075</v>
      </c>
      <c r="L2690">
        <f>HYPERLINK("https://www2.assemblee-nationale.fr/sycomore/fiche/(num_dept)/127", "127")</f>
        <v>0</v>
      </c>
      <c r="N2690">
        <f>HYPERLINK("https://www.wikidata.org/wiki/Q3132579", "Q3132579")</f>
        <v>0</v>
      </c>
      <c r="O2690" t="s">
        <v>20005</v>
      </c>
      <c r="P2690" t="s">
        <v>20404</v>
      </c>
      <c r="Q2690" t="s">
        <v>20588</v>
      </c>
      <c r="R2690" t="s">
        <v>413</v>
      </c>
      <c r="S2690">
        <v>1493</v>
      </c>
    </row>
    <row r="2691" spans="1:19">
      <c r="A2691" t="s">
        <v>23</v>
      </c>
      <c r="B2691" t="s">
        <v>148</v>
      </c>
      <c r="C2691" t="s">
        <v>155</v>
      </c>
      <c r="D2691" t="s">
        <v>284</v>
      </c>
      <c r="E2691" t="s">
        <v>413</v>
      </c>
      <c r="F2691">
        <f>HYPERLINK("https://www.wikidata.org/wiki/Q33728280", "Q33728280")</f>
        <v>0</v>
      </c>
      <c r="G2691" t="s">
        <v>860</v>
      </c>
      <c r="H2691" t="s">
        <v>5616</v>
      </c>
      <c r="I2691" t="s">
        <v>6585</v>
      </c>
      <c r="J2691" t="s">
        <v>11606</v>
      </c>
      <c r="K2691" t="s">
        <v>16008</v>
      </c>
      <c r="L2691">
        <f>HYPERLINK("https://www2.assemblee-nationale.fr/sycomore/fiche/(num_dept)/136", "136")</f>
        <v>0</v>
      </c>
      <c r="N2691">
        <f>HYPERLINK("https://www.wikidata.org/wiki/Q2847958", "Q2847958")</f>
        <v>0</v>
      </c>
      <c r="O2691" t="s">
        <v>20037</v>
      </c>
      <c r="P2691" t="s">
        <v>20428</v>
      </c>
      <c r="Q2691" t="s">
        <v>20588</v>
      </c>
      <c r="R2691" t="s">
        <v>413</v>
      </c>
      <c r="S2691">
        <v>1493</v>
      </c>
    </row>
    <row r="2692" spans="1:19">
      <c r="A2692" t="s">
        <v>23</v>
      </c>
      <c r="B2692" t="s">
        <v>148</v>
      </c>
      <c r="C2692" t="s">
        <v>155</v>
      </c>
      <c r="D2692" t="s">
        <v>284</v>
      </c>
      <c r="E2692" t="s">
        <v>413</v>
      </c>
      <c r="F2692">
        <f>HYPERLINK("https://www.wikidata.org/wiki/Q33728280", "Q33728280")</f>
        <v>0</v>
      </c>
      <c r="G2692" t="s">
        <v>1343</v>
      </c>
      <c r="H2692" t="s">
        <v>6061</v>
      </c>
      <c r="I2692" t="s">
        <v>9761</v>
      </c>
      <c r="J2692" t="s">
        <v>12070</v>
      </c>
      <c r="K2692" t="s">
        <v>16472</v>
      </c>
      <c r="L2692">
        <f>HYPERLINK("https://www2.assemblee-nationale.fr/sycomore/fiche/(num_dept)/152", "152")</f>
        <v>0</v>
      </c>
      <c r="N2692">
        <f>HYPERLINK("https://www.wikidata.org/wiki/Q15973281", "Q15973281")</f>
        <v>0</v>
      </c>
      <c r="O2692" t="s">
        <v>19978</v>
      </c>
      <c r="P2692" t="s">
        <v>20422</v>
      </c>
      <c r="Q2692" t="s">
        <v>20588</v>
      </c>
      <c r="R2692" t="s">
        <v>413</v>
      </c>
      <c r="S2692">
        <v>1493</v>
      </c>
    </row>
    <row r="2693" spans="1:19">
      <c r="A2693" t="s">
        <v>23</v>
      </c>
      <c r="B2693" t="s">
        <v>148</v>
      </c>
      <c r="C2693" t="s">
        <v>155</v>
      </c>
      <c r="D2693" t="s">
        <v>284</v>
      </c>
      <c r="E2693" t="s">
        <v>413</v>
      </c>
      <c r="F2693">
        <f>HYPERLINK("https://www.wikidata.org/wiki/Q33728280", "Q33728280")</f>
        <v>0</v>
      </c>
      <c r="G2693" t="s">
        <v>1344</v>
      </c>
      <c r="H2693" t="s">
        <v>6062</v>
      </c>
      <c r="I2693" t="s">
        <v>6495</v>
      </c>
      <c r="J2693" t="s">
        <v>12071</v>
      </c>
      <c r="K2693" t="s">
        <v>16473</v>
      </c>
      <c r="L2693">
        <f>HYPERLINK("https://www2.assemblee-nationale.fr/sycomore/fiche/(num_dept)/157", "157")</f>
        <v>0</v>
      </c>
      <c r="N2693">
        <f>HYPERLINK("https://www.wikidata.org/wiki/Q3261084", "Q3261084")</f>
        <v>0</v>
      </c>
      <c r="O2693" t="s">
        <v>19991</v>
      </c>
      <c r="P2693" t="s">
        <v>20406</v>
      </c>
      <c r="Q2693" t="s">
        <v>20588</v>
      </c>
      <c r="R2693" t="s">
        <v>16473</v>
      </c>
      <c r="S2693">
        <v>1040</v>
      </c>
    </row>
    <row r="2694" spans="1:19">
      <c r="A2694" t="s">
        <v>23</v>
      </c>
      <c r="B2694" t="s">
        <v>148</v>
      </c>
      <c r="C2694" t="s">
        <v>155</v>
      </c>
      <c r="D2694" t="s">
        <v>284</v>
      </c>
      <c r="E2694" t="s">
        <v>413</v>
      </c>
      <c r="F2694">
        <f>HYPERLINK("https://www.wikidata.org/wiki/Q33728280", "Q33728280")</f>
        <v>0</v>
      </c>
      <c r="G2694" t="s">
        <v>1701</v>
      </c>
      <c r="H2694" t="s">
        <v>6378</v>
      </c>
      <c r="I2694" t="s">
        <v>9896</v>
      </c>
      <c r="J2694" t="s">
        <v>12404</v>
      </c>
      <c r="K2694" t="s">
        <v>16812</v>
      </c>
      <c r="L2694">
        <f>HYPERLINK("https://www2.assemblee-nationale.fr/sycomore/fiche/(num_dept)/163", "163")</f>
        <v>0</v>
      </c>
      <c r="N2694">
        <f>HYPERLINK("https://www.wikidata.org/wiki/Q3592042", "Q3592042")</f>
        <v>0</v>
      </c>
      <c r="O2694" t="s">
        <v>20018</v>
      </c>
      <c r="P2694" t="s">
        <v>20404</v>
      </c>
      <c r="Q2694" t="s">
        <v>20588</v>
      </c>
      <c r="R2694" t="s">
        <v>413</v>
      </c>
      <c r="S2694">
        <v>1493</v>
      </c>
    </row>
    <row r="2695" spans="1:19">
      <c r="A2695" t="s">
        <v>23</v>
      </c>
      <c r="B2695" t="s">
        <v>148</v>
      </c>
      <c r="C2695" t="s">
        <v>155</v>
      </c>
      <c r="D2695" t="s">
        <v>284</v>
      </c>
      <c r="E2695" t="s">
        <v>413</v>
      </c>
      <c r="F2695">
        <f>HYPERLINK("https://www.wikidata.org/wiki/Q33728280", "Q33728280")</f>
        <v>0</v>
      </c>
      <c r="G2695" t="s">
        <v>1085</v>
      </c>
      <c r="H2695" t="s">
        <v>5828</v>
      </c>
      <c r="I2695" t="s">
        <v>9656</v>
      </c>
      <c r="J2695" t="s">
        <v>11821</v>
      </c>
      <c r="K2695" t="s">
        <v>16222</v>
      </c>
      <c r="L2695">
        <f>HYPERLINK("https://www2.assemblee-nationale.fr/sycomore/fiche/(num_dept)/172", "172")</f>
        <v>0</v>
      </c>
      <c r="N2695">
        <f>HYPERLINK("https://www.wikidata.org/wiki/Q2899755", "Q2899755")</f>
        <v>0</v>
      </c>
      <c r="O2695" t="s">
        <v>19969</v>
      </c>
      <c r="P2695" t="s">
        <v>20422</v>
      </c>
      <c r="Q2695" t="s">
        <v>20588</v>
      </c>
      <c r="R2695" t="s">
        <v>413</v>
      </c>
      <c r="S2695">
        <v>1493</v>
      </c>
    </row>
    <row r="2696" spans="1:19">
      <c r="A2696" t="s">
        <v>23</v>
      </c>
      <c r="B2696" t="s">
        <v>148</v>
      </c>
      <c r="C2696" t="s">
        <v>155</v>
      </c>
      <c r="D2696" t="s">
        <v>284</v>
      </c>
      <c r="E2696" t="s">
        <v>413</v>
      </c>
      <c r="F2696">
        <f>HYPERLINK("https://www.wikidata.org/wiki/Q33728280", "Q33728280")</f>
        <v>0</v>
      </c>
      <c r="G2696" t="s">
        <v>1345</v>
      </c>
      <c r="H2696" t="s">
        <v>6063</v>
      </c>
      <c r="I2696" t="s">
        <v>5528</v>
      </c>
      <c r="J2696" t="s">
        <v>12072</v>
      </c>
      <c r="K2696" t="s">
        <v>16474</v>
      </c>
      <c r="L2696">
        <f>HYPERLINK("https://www2.assemblee-nationale.fr/sycomore/fiche/(num_dept)/185", "185")</f>
        <v>0</v>
      </c>
      <c r="N2696">
        <f>HYPERLINK("https://www.wikidata.org/wiki/Q3270682", "Q3270682")</f>
        <v>0</v>
      </c>
      <c r="O2696" t="s">
        <v>20044</v>
      </c>
      <c r="P2696" t="s">
        <v>20428</v>
      </c>
      <c r="Q2696" t="s">
        <v>20588</v>
      </c>
      <c r="R2696" t="s">
        <v>413</v>
      </c>
      <c r="S2696">
        <v>1493</v>
      </c>
    </row>
    <row r="2697" spans="1:19">
      <c r="A2697" t="s">
        <v>23</v>
      </c>
      <c r="B2697" t="s">
        <v>148</v>
      </c>
      <c r="C2697" t="s">
        <v>155</v>
      </c>
      <c r="D2697" t="s">
        <v>284</v>
      </c>
      <c r="E2697" t="s">
        <v>413</v>
      </c>
      <c r="F2697">
        <f>HYPERLINK("https://www.wikidata.org/wiki/Q33728280", "Q33728280")</f>
        <v>0</v>
      </c>
      <c r="G2697" t="s">
        <v>1985</v>
      </c>
      <c r="H2697" t="s">
        <v>6623</v>
      </c>
      <c r="I2697" t="s">
        <v>9500</v>
      </c>
      <c r="J2697" t="s">
        <v>12520</v>
      </c>
      <c r="K2697" t="s">
        <v>17076</v>
      </c>
      <c r="L2697">
        <f>HYPERLINK("https://www2.assemblee-nationale.fr/sycomore/fiche/(num_dept)/228", "228")</f>
        <v>0</v>
      </c>
      <c r="N2697">
        <f>HYPERLINK("https://www.wikidata.org/wiki/Q3419119", "Q3419119")</f>
        <v>0</v>
      </c>
      <c r="O2697" t="s">
        <v>19989</v>
      </c>
      <c r="P2697" t="s">
        <v>20428</v>
      </c>
      <c r="Q2697" t="s">
        <v>20588</v>
      </c>
      <c r="R2697" t="s">
        <v>413</v>
      </c>
      <c r="S2697">
        <v>1493</v>
      </c>
    </row>
    <row r="2698" spans="1:19">
      <c r="A2698" t="s">
        <v>23</v>
      </c>
      <c r="B2698" t="s">
        <v>148</v>
      </c>
      <c r="C2698" t="s">
        <v>155</v>
      </c>
      <c r="D2698" t="s">
        <v>284</v>
      </c>
      <c r="E2698" t="s">
        <v>413</v>
      </c>
      <c r="F2698">
        <f>HYPERLINK("https://www.wikidata.org/wiki/Q33728280", "Q33728280")</f>
        <v>0</v>
      </c>
      <c r="G2698" t="s">
        <v>504</v>
      </c>
      <c r="H2698" t="s">
        <v>5269</v>
      </c>
      <c r="I2698" t="s">
        <v>9374</v>
      </c>
      <c r="J2698" t="s">
        <v>11256</v>
      </c>
      <c r="K2698" t="s">
        <v>15656</v>
      </c>
      <c r="L2698">
        <f>HYPERLINK("https://www2.assemblee-nationale.fr/sycomore/fiche/(num_dept)/261", "261")</f>
        <v>0</v>
      </c>
      <c r="N2698">
        <f>HYPERLINK("https://www.wikidata.org/wiki/Q653621", "Q653621")</f>
        <v>0</v>
      </c>
      <c r="O2698" t="s">
        <v>19965</v>
      </c>
      <c r="P2698" t="s">
        <v>20432</v>
      </c>
      <c r="Q2698" t="s">
        <v>20588</v>
      </c>
      <c r="R2698" t="s">
        <v>15656</v>
      </c>
      <c r="S2698">
        <v>1089</v>
      </c>
    </row>
    <row r="2699" spans="1:19">
      <c r="A2699" t="s">
        <v>23</v>
      </c>
      <c r="B2699" t="s">
        <v>148</v>
      </c>
      <c r="C2699" t="s">
        <v>155</v>
      </c>
      <c r="D2699" t="s">
        <v>284</v>
      </c>
      <c r="E2699" t="s">
        <v>413</v>
      </c>
      <c r="F2699">
        <f>HYPERLINK("https://www.wikidata.org/wiki/Q33728280", "Q33728280")</f>
        <v>0</v>
      </c>
      <c r="G2699" t="s">
        <v>1704</v>
      </c>
      <c r="H2699" t="s">
        <v>5844</v>
      </c>
      <c r="I2699" t="s">
        <v>9899</v>
      </c>
      <c r="J2699" t="s">
        <v>12407</v>
      </c>
      <c r="K2699" t="s">
        <v>16815</v>
      </c>
      <c r="L2699">
        <f>HYPERLINK("https://www2.assemblee-nationale.fr/sycomore/fiche/(num_dept)/265", "265")</f>
        <v>0</v>
      </c>
      <c r="N2699">
        <f>HYPERLINK("https://www.wikidata.org/wiki/Q15973393", "Q15973393")</f>
        <v>0</v>
      </c>
      <c r="O2699" t="s">
        <v>20026</v>
      </c>
      <c r="P2699" t="s">
        <v>20428</v>
      </c>
      <c r="Q2699" t="s">
        <v>20588</v>
      </c>
      <c r="R2699" t="s">
        <v>413</v>
      </c>
      <c r="S2699">
        <v>1493</v>
      </c>
    </row>
    <row r="2700" spans="1:19">
      <c r="A2700" t="s">
        <v>23</v>
      </c>
      <c r="B2700" t="s">
        <v>148</v>
      </c>
      <c r="C2700" t="s">
        <v>155</v>
      </c>
      <c r="D2700" t="s">
        <v>284</v>
      </c>
      <c r="E2700" t="s">
        <v>413</v>
      </c>
      <c r="F2700">
        <f>HYPERLINK("https://www.wikidata.org/wiki/Q33728280", "Q33728280")</f>
        <v>0</v>
      </c>
      <c r="G2700" t="s">
        <v>1986</v>
      </c>
      <c r="H2700" t="s">
        <v>6624</v>
      </c>
      <c r="I2700" t="s">
        <v>10030</v>
      </c>
      <c r="J2700" t="s">
        <v>12665</v>
      </c>
      <c r="K2700" t="s">
        <v>17077</v>
      </c>
      <c r="L2700">
        <f>HYPERLINK("https://www2.assemblee-nationale.fr/sycomore/fiche/(num_dept)/283", "283")</f>
        <v>0</v>
      </c>
      <c r="N2700">
        <f>HYPERLINK("https://www.wikidata.org/wiki/Q15973407", "Q15973407")</f>
        <v>0</v>
      </c>
      <c r="O2700" t="s">
        <v>19975</v>
      </c>
      <c r="P2700" t="s">
        <v>20424</v>
      </c>
      <c r="Q2700" t="s">
        <v>20588</v>
      </c>
      <c r="R2700" t="s">
        <v>16432</v>
      </c>
      <c r="S2700">
        <v>68</v>
      </c>
    </row>
    <row r="2701" spans="1:19">
      <c r="A2701" t="s">
        <v>23</v>
      </c>
      <c r="B2701" t="s">
        <v>148</v>
      </c>
      <c r="C2701" t="s">
        <v>155</v>
      </c>
      <c r="D2701" t="s">
        <v>284</v>
      </c>
      <c r="E2701" t="s">
        <v>413</v>
      </c>
      <c r="F2701">
        <f>HYPERLINK("https://www.wikidata.org/wiki/Q33728280", "Q33728280")</f>
        <v>0</v>
      </c>
      <c r="G2701" t="s">
        <v>1987</v>
      </c>
      <c r="H2701" t="s">
        <v>6625</v>
      </c>
      <c r="I2701" t="s">
        <v>10031</v>
      </c>
      <c r="J2701" t="s">
        <v>12666</v>
      </c>
      <c r="K2701" t="s">
        <v>17078</v>
      </c>
      <c r="L2701">
        <f>HYPERLINK("https://www2.assemblee-nationale.fr/sycomore/fiche/(num_dept)/292", "292")</f>
        <v>0</v>
      </c>
      <c r="N2701">
        <f>HYPERLINK("https://www.wikidata.org/wiki/Q3170465", "Q3170465")</f>
        <v>0</v>
      </c>
      <c r="O2701" t="s">
        <v>19996</v>
      </c>
      <c r="P2701" t="s">
        <v>20429</v>
      </c>
      <c r="Q2701" t="s">
        <v>20588</v>
      </c>
      <c r="R2701" t="s">
        <v>413</v>
      </c>
      <c r="S2701">
        <v>1493</v>
      </c>
    </row>
    <row r="2702" spans="1:19">
      <c r="A2702" t="s">
        <v>23</v>
      </c>
      <c r="B2702" t="s">
        <v>148</v>
      </c>
      <c r="C2702" t="s">
        <v>155</v>
      </c>
      <c r="D2702" t="s">
        <v>284</v>
      </c>
      <c r="E2702" t="s">
        <v>413</v>
      </c>
      <c r="F2702">
        <f>HYPERLINK("https://www.wikidata.org/wiki/Q33728280", "Q33728280")</f>
        <v>0</v>
      </c>
      <c r="G2702" t="s">
        <v>1988</v>
      </c>
      <c r="H2702" t="s">
        <v>6626</v>
      </c>
      <c r="I2702" t="s">
        <v>10032</v>
      </c>
      <c r="J2702" t="s">
        <v>12667</v>
      </c>
      <c r="K2702" t="s">
        <v>17079</v>
      </c>
      <c r="L2702">
        <f>HYPERLINK("https://www2.assemblee-nationale.fr/sycomore/fiche/(num_dept)/335", "335")</f>
        <v>0</v>
      </c>
      <c r="N2702">
        <f>HYPERLINK("https://www.wikidata.org/wiki/Q2847188", "Q2847188")</f>
        <v>0</v>
      </c>
      <c r="O2702" t="s">
        <v>19961</v>
      </c>
      <c r="P2702" t="s">
        <v>20430</v>
      </c>
      <c r="Q2702" t="s">
        <v>20588</v>
      </c>
      <c r="R2702" t="s">
        <v>413</v>
      </c>
      <c r="S2702">
        <v>1493</v>
      </c>
    </row>
    <row r="2703" spans="1:19">
      <c r="A2703" t="s">
        <v>23</v>
      </c>
      <c r="B2703" t="s">
        <v>148</v>
      </c>
      <c r="C2703" t="s">
        <v>155</v>
      </c>
      <c r="D2703" t="s">
        <v>284</v>
      </c>
      <c r="E2703" t="s">
        <v>413</v>
      </c>
      <c r="F2703">
        <f>HYPERLINK("https://www.wikidata.org/wiki/Q33728280", "Q33728280")</f>
        <v>0</v>
      </c>
      <c r="G2703" t="s">
        <v>1989</v>
      </c>
      <c r="H2703" t="s">
        <v>6627</v>
      </c>
      <c r="I2703" t="s">
        <v>10033</v>
      </c>
      <c r="J2703" t="s">
        <v>12668</v>
      </c>
      <c r="K2703" t="s">
        <v>17080</v>
      </c>
      <c r="L2703">
        <f>HYPERLINK("https://www2.assemblee-nationale.fr/sycomore/fiche/(num_dept)/354", "354")</f>
        <v>0</v>
      </c>
      <c r="N2703">
        <f>HYPERLINK("https://www.wikidata.org/wiki/Q3119652", "Q3119652")</f>
        <v>0</v>
      </c>
      <c r="O2703" t="s">
        <v>19976</v>
      </c>
      <c r="P2703" t="s">
        <v>20429</v>
      </c>
      <c r="Q2703" t="s">
        <v>20588</v>
      </c>
      <c r="R2703" t="s">
        <v>413</v>
      </c>
      <c r="S2703">
        <v>1493</v>
      </c>
    </row>
    <row r="2704" spans="1:19">
      <c r="A2704" t="s">
        <v>23</v>
      </c>
      <c r="B2704" t="s">
        <v>148</v>
      </c>
      <c r="C2704" t="s">
        <v>155</v>
      </c>
      <c r="D2704" t="s">
        <v>284</v>
      </c>
      <c r="E2704" t="s">
        <v>413</v>
      </c>
      <c r="F2704">
        <f>HYPERLINK("https://www.wikidata.org/wiki/Q33728280", "Q33728280")</f>
        <v>0</v>
      </c>
      <c r="G2704" t="s">
        <v>1929</v>
      </c>
      <c r="H2704" t="s">
        <v>6575</v>
      </c>
      <c r="I2704" t="s">
        <v>10002</v>
      </c>
      <c r="J2704" t="s">
        <v>12614</v>
      </c>
      <c r="K2704" t="s">
        <v>17025</v>
      </c>
      <c r="L2704">
        <f>HYPERLINK("https://www2.assemblee-nationale.fr/sycomore/fiche/(num_dept)/388", "388")</f>
        <v>0</v>
      </c>
      <c r="M2704">
        <f>HYPERLINK("https://www.senat.fr/senateur-3eme-republique/barbier_andre1813r3.html", "barbier_andre1813r3")</f>
        <v>0</v>
      </c>
      <c r="N2704">
        <f>HYPERLINK("https://www.wikidata.org/wiki/Q2847198", "Q2847198")</f>
        <v>0</v>
      </c>
      <c r="O2704" t="s">
        <v>20017</v>
      </c>
      <c r="P2704" t="s">
        <v>20429</v>
      </c>
      <c r="Q2704" t="s">
        <v>20588</v>
      </c>
      <c r="R2704" t="s">
        <v>413</v>
      </c>
      <c r="S2704">
        <v>1493</v>
      </c>
    </row>
    <row r="2705" spans="1:19">
      <c r="A2705" t="s">
        <v>23</v>
      </c>
      <c r="B2705" t="s">
        <v>148</v>
      </c>
      <c r="C2705" t="s">
        <v>155</v>
      </c>
      <c r="D2705" t="s">
        <v>284</v>
      </c>
      <c r="E2705" t="s">
        <v>413</v>
      </c>
      <c r="F2705">
        <f>HYPERLINK("https://www.wikidata.org/wiki/Q33728280", "Q33728280")</f>
        <v>0</v>
      </c>
      <c r="G2705" t="s">
        <v>1990</v>
      </c>
      <c r="H2705" t="s">
        <v>6628</v>
      </c>
      <c r="I2705" t="s">
        <v>9426</v>
      </c>
      <c r="J2705" t="s">
        <v>12669</v>
      </c>
      <c r="K2705" t="s">
        <v>17081</v>
      </c>
      <c r="L2705">
        <f>HYPERLINK("https://www2.assemblee-nationale.fr/sycomore/fiche/(num_dept)/392", "392")</f>
        <v>0</v>
      </c>
      <c r="N2705">
        <f>HYPERLINK("https://www.wikidata.org/wiki/Q15973463", "Q15973463")</f>
        <v>0</v>
      </c>
      <c r="O2705" t="s">
        <v>19998</v>
      </c>
      <c r="P2705" t="s">
        <v>20407</v>
      </c>
      <c r="Q2705" t="s">
        <v>20588</v>
      </c>
      <c r="R2705" t="s">
        <v>413</v>
      </c>
      <c r="S2705">
        <v>1493</v>
      </c>
    </row>
    <row r="2706" spans="1:19">
      <c r="A2706" t="s">
        <v>23</v>
      </c>
      <c r="B2706" t="s">
        <v>148</v>
      </c>
      <c r="C2706" t="s">
        <v>155</v>
      </c>
      <c r="D2706" t="s">
        <v>284</v>
      </c>
      <c r="E2706" t="s">
        <v>413</v>
      </c>
      <c r="F2706">
        <f>HYPERLINK("https://www.wikidata.org/wiki/Q33728280", "Q33728280")</f>
        <v>0</v>
      </c>
      <c r="G2706" t="s">
        <v>1991</v>
      </c>
      <c r="H2706" t="s">
        <v>6074</v>
      </c>
      <c r="I2706" t="s">
        <v>10034</v>
      </c>
      <c r="J2706" t="s">
        <v>12670</v>
      </c>
      <c r="K2706" t="s">
        <v>17082</v>
      </c>
      <c r="L2706">
        <f>HYPERLINK("https://www2.assemblee-nationale.fr/sycomore/fiche/(num_dept)/413", "413")</f>
        <v>0</v>
      </c>
      <c r="N2706">
        <f>HYPERLINK("https://www.wikidata.org/wiki/Q15973475", "Q15973475")</f>
        <v>0</v>
      </c>
      <c r="O2706" t="s">
        <v>19969</v>
      </c>
      <c r="P2706" t="s">
        <v>20401</v>
      </c>
      <c r="Q2706" t="s">
        <v>20588</v>
      </c>
      <c r="R2706" t="s">
        <v>413</v>
      </c>
      <c r="S2706">
        <v>1493</v>
      </c>
    </row>
    <row r="2707" spans="1:19">
      <c r="A2707" t="s">
        <v>23</v>
      </c>
      <c r="B2707" t="s">
        <v>148</v>
      </c>
      <c r="C2707" t="s">
        <v>155</v>
      </c>
      <c r="D2707" t="s">
        <v>284</v>
      </c>
      <c r="E2707" t="s">
        <v>413</v>
      </c>
      <c r="F2707">
        <f>HYPERLINK("https://www.wikidata.org/wiki/Q33728280", "Q33728280")</f>
        <v>0</v>
      </c>
      <c r="G2707" t="s">
        <v>1357</v>
      </c>
      <c r="H2707" t="s">
        <v>6075</v>
      </c>
      <c r="I2707" t="s">
        <v>9768</v>
      </c>
      <c r="J2707" t="s">
        <v>12083</v>
      </c>
      <c r="K2707" t="s">
        <v>16486</v>
      </c>
      <c r="L2707">
        <f>HYPERLINK("https://www2.assemblee-nationale.fr/sycomore/fiche/(num_dept)/422", "422")</f>
        <v>0</v>
      </c>
      <c r="N2707">
        <f>HYPERLINK("https://www.wikidata.org/wiki/Q2958475", "Q2958475")</f>
        <v>0</v>
      </c>
      <c r="O2707" t="s">
        <v>20033</v>
      </c>
      <c r="P2707" t="s">
        <v>20404</v>
      </c>
      <c r="Q2707" t="s">
        <v>20588</v>
      </c>
      <c r="R2707" t="s">
        <v>413</v>
      </c>
      <c r="S2707">
        <v>1493</v>
      </c>
    </row>
    <row r="2708" spans="1:19">
      <c r="A2708" t="s">
        <v>23</v>
      </c>
      <c r="B2708" t="s">
        <v>148</v>
      </c>
      <c r="C2708" t="s">
        <v>155</v>
      </c>
      <c r="D2708" t="s">
        <v>284</v>
      </c>
      <c r="E2708" t="s">
        <v>413</v>
      </c>
      <c r="F2708">
        <f>HYPERLINK("https://www.wikidata.org/wiki/Q33728280", "Q33728280")</f>
        <v>0</v>
      </c>
      <c r="G2708" t="s">
        <v>1992</v>
      </c>
      <c r="H2708" t="s">
        <v>6075</v>
      </c>
      <c r="I2708" t="s">
        <v>10035</v>
      </c>
      <c r="J2708" t="s">
        <v>12671</v>
      </c>
      <c r="K2708" t="s">
        <v>17083</v>
      </c>
      <c r="L2708">
        <f>HYPERLINK("https://www2.assemblee-nationale.fr/sycomore/fiche/(num_dept)/423", "423")</f>
        <v>0</v>
      </c>
      <c r="N2708">
        <f>HYPERLINK("https://www.wikidata.org/wiki/Q3592055", "Q3592055")</f>
        <v>0</v>
      </c>
      <c r="O2708" t="s">
        <v>20045</v>
      </c>
      <c r="P2708" t="s">
        <v>20428</v>
      </c>
      <c r="Q2708" t="s">
        <v>20588</v>
      </c>
      <c r="R2708" t="s">
        <v>413</v>
      </c>
      <c r="S2708">
        <v>1493</v>
      </c>
    </row>
    <row r="2709" spans="1:19">
      <c r="A2709" t="s">
        <v>23</v>
      </c>
      <c r="B2709" t="s">
        <v>148</v>
      </c>
      <c r="C2709" t="s">
        <v>155</v>
      </c>
      <c r="D2709" t="s">
        <v>284</v>
      </c>
      <c r="E2709" t="s">
        <v>413</v>
      </c>
      <c r="F2709">
        <f>HYPERLINK("https://www.wikidata.org/wiki/Q33728280", "Q33728280")</f>
        <v>0</v>
      </c>
      <c r="G2709" t="s">
        <v>1993</v>
      </c>
      <c r="H2709" t="s">
        <v>6629</v>
      </c>
      <c r="I2709" t="s">
        <v>10036</v>
      </c>
      <c r="J2709" t="s">
        <v>12672</v>
      </c>
      <c r="K2709" t="s">
        <v>17084</v>
      </c>
      <c r="L2709">
        <f>HYPERLINK("https://www2.assemblee-nationale.fr/sycomore/fiche/(num_dept)/461", "461")</f>
        <v>0</v>
      </c>
      <c r="N2709">
        <f>HYPERLINK("https://www.wikidata.org/wiki/Q15973541", "Q15973541")</f>
        <v>0</v>
      </c>
      <c r="O2709" t="s">
        <v>20003</v>
      </c>
      <c r="P2709" t="s">
        <v>20401</v>
      </c>
      <c r="Q2709" t="s">
        <v>20588</v>
      </c>
      <c r="R2709" t="s">
        <v>413</v>
      </c>
      <c r="S2709">
        <v>1493</v>
      </c>
    </row>
    <row r="2710" spans="1:19">
      <c r="A2710" t="s">
        <v>23</v>
      </c>
      <c r="B2710" t="s">
        <v>148</v>
      </c>
      <c r="C2710" t="s">
        <v>155</v>
      </c>
      <c r="D2710" t="s">
        <v>284</v>
      </c>
      <c r="E2710" t="s">
        <v>413</v>
      </c>
      <c r="F2710">
        <f>HYPERLINK("https://www.wikidata.org/wiki/Q33728280", "Q33728280")</f>
        <v>0</v>
      </c>
      <c r="G2710" t="s">
        <v>1994</v>
      </c>
      <c r="H2710" t="s">
        <v>6630</v>
      </c>
      <c r="I2710" t="s">
        <v>9407</v>
      </c>
      <c r="J2710" t="s">
        <v>12673</v>
      </c>
      <c r="K2710" t="s">
        <v>17085</v>
      </c>
      <c r="L2710">
        <f>HYPERLINK("https://www2.assemblee-nationale.fr/sycomore/fiche/(num_dept)/464", "464")</f>
        <v>0</v>
      </c>
      <c r="N2710">
        <f>HYPERLINK("https://www.wikidata.org/wiki/Q3184568", "Q3184568")</f>
        <v>0</v>
      </c>
      <c r="O2710" t="s">
        <v>19977</v>
      </c>
      <c r="P2710" t="s">
        <v>20406</v>
      </c>
      <c r="Q2710" t="s">
        <v>20588</v>
      </c>
      <c r="R2710" t="s">
        <v>413</v>
      </c>
      <c r="S2710">
        <v>1493</v>
      </c>
    </row>
    <row r="2711" spans="1:19">
      <c r="A2711" t="s">
        <v>23</v>
      </c>
      <c r="B2711" t="s">
        <v>148</v>
      </c>
      <c r="C2711" t="s">
        <v>155</v>
      </c>
      <c r="D2711" t="s">
        <v>284</v>
      </c>
      <c r="E2711" t="s">
        <v>413</v>
      </c>
      <c r="F2711">
        <f>HYPERLINK("https://www.wikidata.org/wiki/Q33728280", "Q33728280")</f>
        <v>0</v>
      </c>
      <c r="G2711" t="s">
        <v>1711</v>
      </c>
      <c r="H2711" t="s">
        <v>6386</v>
      </c>
      <c r="I2711" t="s">
        <v>9388</v>
      </c>
      <c r="J2711" t="s">
        <v>12414</v>
      </c>
      <c r="K2711" t="s">
        <v>16821</v>
      </c>
      <c r="L2711">
        <f>HYPERLINK("https://www2.assemblee-nationale.fr/sycomore/fiche/(num_dept)/471", "471")</f>
        <v>0</v>
      </c>
      <c r="N2711">
        <f>HYPERLINK("https://www.wikidata.org/wiki/Q2058829", "Q2058829")</f>
        <v>0</v>
      </c>
      <c r="O2711" t="s">
        <v>19966</v>
      </c>
      <c r="P2711" t="s">
        <v>20428</v>
      </c>
      <c r="Q2711" t="s">
        <v>20588</v>
      </c>
      <c r="R2711" t="s">
        <v>413</v>
      </c>
      <c r="S2711">
        <v>1493</v>
      </c>
    </row>
    <row r="2712" spans="1:19">
      <c r="A2712" t="s">
        <v>23</v>
      </c>
      <c r="B2712" t="s">
        <v>148</v>
      </c>
      <c r="C2712" t="s">
        <v>155</v>
      </c>
      <c r="D2712" t="s">
        <v>284</v>
      </c>
      <c r="E2712" t="s">
        <v>413</v>
      </c>
      <c r="F2712">
        <f>HYPERLINK("https://www.wikidata.org/wiki/Q33728280", "Q33728280")</f>
        <v>0</v>
      </c>
      <c r="G2712" t="s">
        <v>1712</v>
      </c>
      <c r="H2712" t="s">
        <v>6387</v>
      </c>
      <c r="I2712" t="s">
        <v>9470</v>
      </c>
      <c r="J2712" t="s">
        <v>12339</v>
      </c>
      <c r="K2712" t="s">
        <v>16822</v>
      </c>
      <c r="L2712">
        <f>HYPERLINK("https://www2.assemblee-nationale.fr/sycomore/fiche/(num_dept)/520", "520")</f>
        <v>0</v>
      </c>
      <c r="M2712">
        <f>HYPERLINK("https://www.senat.fr/senateur-3eme-republique/bazile_gaston0835r3.html", "bazile_gaston0835r3")</f>
        <v>0</v>
      </c>
      <c r="N2712">
        <f>HYPERLINK("https://www.wikidata.org/wiki/Q1495550", "Q1495550")</f>
        <v>0</v>
      </c>
      <c r="O2712" t="s">
        <v>20014</v>
      </c>
      <c r="P2712" t="s">
        <v>20428</v>
      </c>
      <c r="Q2712" t="s">
        <v>20588</v>
      </c>
      <c r="R2712" t="s">
        <v>465</v>
      </c>
      <c r="S2712">
        <v>1353</v>
      </c>
    </row>
    <row r="2713" spans="1:19">
      <c r="A2713" t="s">
        <v>23</v>
      </c>
      <c r="B2713" t="s">
        <v>148</v>
      </c>
      <c r="C2713" t="s">
        <v>155</v>
      </c>
      <c r="D2713" t="s">
        <v>284</v>
      </c>
      <c r="E2713" t="s">
        <v>413</v>
      </c>
      <c r="F2713">
        <f>HYPERLINK("https://www.wikidata.org/wiki/Q33728280", "Q33728280")</f>
        <v>0</v>
      </c>
      <c r="G2713" t="s">
        <v>1995</v>
      </c>
      <c r="H2713" t="s">
        <v>6631</v>
      </c>
      <c r="I2713" t="s">
        <v>6175</v>
      </c>
      <c r="J2713" t="s">
        <v>12674</v>
      </c>
      <c r="K2713" t="s">
        <v>17086</v>
      </c>
      <c r="L2713">
        <f>HYPERLINK("https://www2.assemblee-nationale.fr/sycomore/fiche/(num_dept)/530", "530")</f>
        <v>0</v>
      </c>
      <c r="N2713">
        <f>HYPERLINK("https://www.wikidata.org/wiki/Q3102255", "Q3102255")</f>
        <v>0</v>
      </c>
      <c r="O2713" t="s">
        <v>19969</v>
      </c>
      <c r="P2713" t="s">
        <v>20424</v>
      </c>
      <c r="Q2713" t="s">
        <v>20588</v>
      </c>
      <c r="R2713" t="s">
        <v>413</v>
      </c>
      <c r="S2713">
        <v>1493</v>
      </c>
    </row>
    <row r="2714" spans="1:19">
      <c r="A2714" t="s">
        <v>23</v>
      </c>
      <c r="B2714" t="s">
        <v>148</v>
      </c>
      <c r="C2714" t="s">
        <v>155</v>
      </c>
      <c r="D2714" t="s">
        <v>284</v>
      </c>
      <c r="E2714" t="s">
        <v>413</v>
      </c>
      <c r="F2714">
        <f>HYPERLINK("https://www.wikidata.org/wiki/Q33728280", "Q33728280")</f>
        <v>0</v>
      </c>
      <c r="G2714" t="s">
        <v>871</v>
      </c>
      <c r="H2714" t="s">
        <v>5627</v>
      </c>
      <c r="I2714" t="s">
        <v>6584</v>
      </c>
      <c r="J2714" t="s">
        <v>11617</v>
      </c>
      <c r="K2714" t="s">
        <v>16019</v>
      </c>
      <c r="L2714">
        <f>HYPERLINK("https://www2.assemblee-nationale.fr/sycomore/fiche/(num_dept)/564", "564")</f>
        <v>0</v>
      </c>
      <c r="N2714">
        <f>HYPERLINK("https://www.wikidata.org/wiki/Q2830945", "Q2830945")</f>
        <v>0</v>
      </c>
      <c r="O2714" t="s">
        <v>20016</v>
      </c>
      <c r="P2714" t="s">
        <v>20404</v>
      </c>
      <c r="Q2714" t="s">
        <v>20588</v>
      </c>
      <c r="R2714" t="s">
        <v>413</v>
      </c>
      <c r="S2714">
        <v>1493</v>
      </c>
    </row>
    <row r="2715" spans="1:19">
      <c r="A2715" t="s">
        <v>23</v>
      </c>
      <c r="B2715" t="s">
        <v>148</v>
      </c>
      <c r="C2715" t="s">
        <v>155</v>
      </c>
      <c r="D2715" t="s">
        <v>284</v>
      </c>
      <c r="E2715" t="s">
        <v>413</v>
      </c>
      <c r="F2715">
        <f>HYPERLINK("https://www.wikidata.org/wiki/Q33728280", "Q33728280")</f>
        <v>0</v>
      </c>
      <c r="G2715" t="s">
        <v>1996</v>
      </c>
      <c r="H2715" t="s">
        <v>6632</v>
      </c>
      <c r="I2715" t="s">
        <v>6759</v>
      </c>
      <c r="J2715" t="s">
        <v>12675</v>
      </c>
      <c r="K2715" t="s">
        <v>17087</v>
      </c>
      <c r="L2715">
        <f>HYPERLINK("https://www2.assemblee-nationale.fr/sycomore/fiche/(num_dept)/586", "586")</f>
        <v>0</v>
      </c>
      <c r="M2715">
        <f>HYPERLINK("https://www.senat.fr/senateur-3eme-republique/bellanger_robert0561r3.html", "bellanger_robert0561r3")</f>
        <v>0</v>
      </c>
      <c r="N2715">
        <f>HYPERLINK("https://www.wikidata.org/wiki/Q3434547", "Q3434547")</f>
        <v>0</v>
      </c>
      <c r="O2715" t="s">
        <v>19998</v>
      </c>
      <c r="P2715" t="s">
        <v>20407</v>
      </c>
      <c r="Q2715" t="s">
        <v>20588</v>
      </c>
      <c r="R2715" t="s">
        <v>413</v>
      </c>
      <c r="S2715">
        <v>1493</v>
      </c>
    </row>
    <row r="2716" spans="1:19">
      <c r="A2716" t="s">
        <v>23</v>
      </c>
      <c r="B2716" t="s">
        <v>148</v>
      </c>
      <c r="C2716" t="s">
        <v>155</v>
      </c>
      <c r="D2716" t="s">
        <v>284</v>
      </c>
      <c r="E2716" t="s">
        <v>413</v>
      </c>
      <c r="F2716">
        <f>HYPERLINK("https://www.wikidata.org/wiki/Q33728280", "Q33728280")</f>
        <v>0</v>
      </c>
      <c r="G2716" t="s">
        <v>1997</v>
      </c>
      <c r="H2716" t="s">
        <v>6633</v>
      </c>
      <c r="I2716" t="s">
        <v>10037</v>
      </c>
      <c r="J2716" t="s">
        <v>12676</v>
      </c>
      <c r="K2716" t="s">
        <v>17088</v>
      </c>
      <c r="L2716">
        <f>HYPERLINK("https://www2.assemblee-nationale.fr/sycomore/fiche/(num_dept)/593", "593")</f>
        <v>0</v>
      </c>
      <c r="N2716">
        <f>HYPERLINK("https://www.wikidata.org/wiki/Q15973626", "Q15973626")</f>
        <v>0</v>
      </c>
      <c r="O2716" t="s">
        <v>20032</v>
      </c>
      <c r="P2716" t="s">
        <v>20428</v>
      </c>
      <c r="Q2716" t="s">
        <v>20588</v>
      </c>
      <c r="R2716" t="s">
        <v>413</v>
      </c>
      <c r="S2716">
        <v>1493</v>
      </c>
    </row>
    <row r="2717" spans="1:19">
      <c r="A2717" t="s">
        <v>23</v>
      </c>
      <c r="B2717" t="s">
        <v>148</v>
      </c>
      <c r="C2717" t="s">
        <v>155</v>
      </c>
      <c r="D2717" t="s">
        <v>284</v>
      </c>
      <c r="E2717" t="s">
        <v>413</v>
      </c>
      <c r="F2717">
        <f>HYPERLINK("https://www.wikidata.org/wiki/Q33728280", "Q33728280")</f>
        <v>0</v>
      </c>
      <c r="G2717" t="s">
        <v>1998</v>
      </c>
      <c r="H2717" t="s">
        <v>6634</v>
      </c>
      <c r="I2717" t="s">
        <v>9442</v>
      </c>
      <c r="J2717" t="s">
        <v>12677</v>
      </c>
      <c r="K2717" t="s">
        <v>16551</v>
      </c>
      <c r="L2717">
        <f>HYPERLINK("https://www2.assemblee-nationale.fr/sycomore/fiche/(num_dept)/598", "598")</f>
        <v>0</v>
      </c>
      <c r="M2717">
        <f>HYPERLINK("https://www.senat.fr/senateur-3eme-republique/beluel_ernest0112r3.html", "beluel_ernest0112r3")</f>
        <v>0</v>
      </c>
      <c r="N2717">
        <f>HYPERLINK("https://www.wikidata.org/wiki/Q3056836", "Q3056836")</f>
        <v>0</v>
      </c>
      <c r="O2717" t="s">
        <v>20016</v>
      </c>
      <c r="P2717" t="s">
        <v>20428</v>
      </c>
      <c r="Q2717" t="s">
        <v>20588</v>
      </c>
      <c r="R2717" t="s">
        <v>413</v>
      </c>
      <c r="S2717">
        <v>1493</v>
      </c>
    </row>
    <row r="2718" spans="1:19">
      <c r="A2718" t="s">
        <v>23</v>
      </c>
      <c r="B2718" t="s">
        <v>148</v>
      </c>
      <c r="C2718" t="s">
        <v>155</v>
      </c>
      <c r="D2718" t="s">
        <v>284</v>
      </c>
      <c r="E2718" t="s">
        <v>413</v>
      </c>
      <c r="F2718">
        <f>HYPERLINK("https://www.wikidata.org/wiki/Q33728280", "Q33728280")</f>
        <v>0</v>
      </c>
      <c r="G2718" t="s">
        <v>520</v>
      </c>
      <c r="H2718" t="s">
        <v>5284</v>
      </c>
      <c r="I2718" t="s">
        <v>9388</v>
      </c>
      <c r="J2718" t="s">
        <v>11272</v>
      </c>
      <c r="K2718" t="s">
        <v>15672</v>
      </c>
      <c r="L2718">
        <f>HYPERLINK("https://www2.assemblee-nationale.fr/sycomore/fiche/(num_dept)/608", "608")</f>
        <v>0</v>
      </c>
      <c r="M2718">
        <f>HYPERLINK("https://www.senat.fr/senateur-3eme-republique/benazet_paul_louis0281r3.html", "benazet_paul_louis0281r3")</f>
        <v>0</v>
      </c>
      <c r="N2718">
        <f>HYPERLINK("https://www.wikidata.org/wiki/Q3370779", "Q3370779")</f>
        <v>0</v>
      </c>
      <c r="O2718" t="s">
        <v>19975</v>
      </c>
      <c r="P2718" t="s">
        <v>20406</v>
      </c>
      <c r="Q2718" t="s">
        <v>20588</v>
      </c>
      <c r="R2718" t="s">
        <v>413</v>
      </c>
      <c r="S2718">
        <v>1493</v>
      </c>
    </row>
    <row r="2719" spans="1:19">
      <c r="A2719" t="s">
        <v>23</v>
      </c>
      <c r="B2719" t="s">
        <v>148</v>
      </c>
      <c r="C2719" t="s">
        <v>155</v>
      </c>
      <c r="D2719" t="s">
        <v>284</v>
      </c>
      <c r="E2719" t="s">
        <v>413</v>
      </c>
      <c r="F2719">
        <f>HYPERLINK("https://www.wikidata.org/wiki/Q33728280", "Q33728280")</f>
        <v>0</v>
      </c>
      <c r="G2719" t="s">
        <v>1999</v>
      </c>
      <c r="H2719" t="s">
        <v>5946</v>
      </c>
      <c r="I2719" t="s">
        <v>9380</v>
      </c>
      <c r="J2719" t="s">
        <v>12678</v>
      </c>
      <c r="K2719" t="s">
        <v>16124</v>
      </c>
      <c r="L2719">
        <f>HYPERLINK("https://www2.assemblee-nationale.fr/sycomore/fiche/(num_dept)/667", "667")</f>
        <v>0</v>
      </c>
      <c r="N2719">
        <f>HYPERLINK("https://www.wikidata.org/wiki/Q3300391", "Q3300391")</f>
        <v>0</v>
      </c>
      <c r="O2719" t="s">
        <v>19958</v>
      </c>
      <c r="P2719" t="s">
        <v>20430</v>
      </c>
      <c r="Q2719" t="s">
        <v>20588</v>
      </c>
      <c r="R2719" t="s">
        <v>413</v>
      </c>
      <c r="S2719">
        <v>1493</v>
      </c>
    </row>
    <row r="2720" spans="1:19">
      <c r="A2720" t="s">
        <v>23</v>
      </c>
      <c r="B2720" t="s">
        <v>148</v>
      </c>
      <c r="C2720" t="s">
        <v>155</v>
      </c>
      <c r="D2720" t="s">
        <v>284</v>
      </c>
      <c r="E2720" t="s">
        <v>413</v>
      </c>
      <c r="F2720">
        <f>HYPERLINK("https://www.wikidata.org/wiki/Q33728280", "Q33728280")</f>
        <v>0</v>
      </c>
      <c r="G2720" t="s">
        <v>2000</v>
      </c>
      <c r="H2720" t="s">
        <v>6635</v>
      </c>
      <c r="I2720" t="s">
        <v>10038</v>
      </c>
      <c r="J2720" t="s">
        <v>12679</v>
      </c>
      <c r="K2720" t="s">
        <v>17089</v>
      </c>
      <c r="L2720">
        <f>HYPERLINK("https://www2.assemblee-nationale.fr/sycomore/fiche/(num_dept)/671", "671")</f>
        <v>0</v>
      </c>
      <c r="N2720">
        <f>HYPERLINK("https://www.wikidata.org/wiki/Q15973654", "Q15973654")</f>
        <v>0</v>
      </c>
      <c r="O2720" t="s">
        <v>20013</v>
      </c>
      <c r="P2720" t="s">
        <v>20422</v>
      </c>
      <c r="Q2720" t="s">
        <v>20588</v>
      </c>
      <c r="R2720" t="s">
        <v>413</v>
      </c>
      <c r="S2720">
        <v>1493</v>
      </c>
    </row>
    <row r="2721" spans="1:19">
      <c r="A2721" t="s">
        <v>23</v>
      </c>
      <c r="B2721" t="s">
        <v>148</v>
      </c>
      <c r="C2721" t="s">
        <v>155</v>
      </c>
      <c r="D2721" t="s">
        <v>284</v>
      </c>
      <c r="E2721" t="s">
        <v>413</v>
      </c>
      <c r="F2721">
        <f>HYPERLINK("https://www.wikidata.org/wiki/Q33728280", "Q33728280")</f>
        <v>0</v>
      </c>
      <c r="G2721" t="s">
        <v>2001</v>
      </c>
      <c r="H2721" t="s">
        <v>6636</v>
      </c>
      <c r="I2721" t="s">
        <v>9470</v>
      </c>
      <c r="J2721" t="s">
        <v>12680</v>
      </c>
      <c r="K2721" t="s">
        <v>17090</v>
      </c>
      <c r="L2721">
        <f>HYPERLINK("https://www2.assemblee-nationale.fr/sycomore/fiche/(num_dept)/672", "672")</f>
        <v>0</v>
      </c>
      <c r="N2721">
        <f>HYPERLINK("https://www.wikidata.org/wiki/Q3098916", "Q3098916")</f>
        <v>0</v>
      </c>
      <c r="O2721" t="s">
        <v>19976</v>
      </c>
      <c r="P2721" t="s">
        <v>20428</v>
      </c>
      <c r="Q2721" t="s">
        <v>20588</v>
      </c>
      <c r="R2721" t="s">
        <v>413</v>
      </c>
      <c r="S2721">
        <v>1493</v>
      </c>
    </row>
    <row r="2722" spans="1:19">
      <c r="A2722" t="s">
        <v>23</v>
      </c>
      <c r="B2722" t="s">
        <v>148</v>
      </c>
      <c r="C2722" t="s">
        <v>155</v>
      </c>
      <c r="D2722" t="s">
        <v>284</v>
      </c>
      <c r="E2722" t="s">
        <v>413</v>
      </c>
      <c r="F2722">
        <f>HYPERLINK("https://www.wikidata.org/wiki/Q33728280", "Q33728280")</f>
        <v>0</v>
      </c>
      <c r="G2722" t="s">
        <v>1370</v>
      </c>
      <c r="H2722" t="s">
        <v>6085</v>
      </c>
      <c r="I2722" t="s">
        <v>9776</v>
      </c>
      <c r="J2722" t="s">
        <v>12096</v>
      </c>
      <c r="K2722" t="s">
        <v>16499</v>
      </c>
      <c r="L2722">
        <f>HYPERLINK("https://www2.assemblee-nationale.fr/sycomore/fiche/(num_dept)/707", "707")</f>
        <v>0</v>
      </c>
      <c r="N2722">
        <f>HYPERLINK("https://www.wikidata.org/wiki/Q3370622", "Q3370622")</f>
        <v>0</v>
      </c>
      <c r="O2722" t="s">
        <v>20008</v>
      </c>
      <c r="P2722" t="s">
        <v>20428</v>
      </c>
      <c r="Q2722" t="s">
        <v>20588</v>
      </c>
      <c r="R2722" t="s">
        <v>413</v>
      </c>
      <c r="S2722">
        <v>1493</v>
      </c>
    </row>
    <row r="2723" spans="1:19">
      <c r="A2723" t="s">
        <v>23</v>
      </c>
      <c r="B2723" t="s">
        <v>148</v>
      </c>
      <c r="C2723" t="s">
        <v>155</v>
      </c>
      <c r="D2723" t="s">
        <v>284</v>
      </c>
      <c r="E2723" t="s">
        <v>413</v>
      </c>
      <c r="F2723">
        <f>HYPERLINK("https://www.wikidata.org/wiki/Q33728280", "Q33728280")</f>
        <v>0</v>
      </c>
      <c r="G2723" t="s">
        <v>2002</v>
      </c>
      <c r="H2723" t="s">
        <v>6637</v>
      </c>
      <c r="I2723" t="s">
        <v>9389</v>
      </c>
      <c r="J2723" t="s">
        <v>12681</v>
      </c>
      <c r="K2723" t="s">
        <v>17091</v>
      </c>
      <c r="L2723">
        <f>HYPERLINK("https://www2.assemblee-nationale.fr/sycomore/fiche/(num_dept)/711", "711")</f>
        <v>0</v>
      </c>
      <c r="N2723">
        <f>HYPERLINK("https://www.wikidata.org/wiki/Q3588388", "Q3588388")</f>
        <v>0</v>
      </c>
      <c r="O2723" t="s">
        <v>20050</v>
      </c>
      <c r="P2723" t="s">
        <v>20424</v>
      </c>
      <c r="Q2723" t="s">
        <v>20588</v>
      </c>
      <c r="R2723" t="s">
        <v>413</v>
      </c>
      <c r="S2723">
        <v>1493</v>
      </c>
    </row>
    <row r="2724" spans="1:19">
      <c r="A2724" t="s">
        <v>23</v>
      </c>
      <c r="B2724" t="s">
        <v>148</v>
      </c>
      <c r="C2724" t="s">
        <v>155</v>
      </c>
      <c r="D2724" t="s">
        <v>284</v>
      </c>
      <c r="E2724" t="s">
        <v>413</v>
      </c>
      <c r="F2724">
        <f>HYPERLINK("https://www.wikidata.org/wiki/Q33728280", "Q33728280")</f>
        <v>0</v>
      </c>
      <c r="G2724" t="s">
        <v>2003</v>
      </c>
      <c r="H2724" t="s">
        <v>6638</v>
      </c>
      <c r="I2724" t="s">
        <v>9385</v>
      </c>
      <c r="J2724" t="s">
        <v>12682</v>
      </c>
      <c r="K2724" t="s">
        <v>17092</v>
      </c>
      <c r="L2724">
        <f>HYPERLINK("https://www2.assemblee-nationale.fr/sycomore/fiche/(num_dept)/727", "727")</f>
        <v>0</v>
      </c>
      <c r="N2724">
        <f>HYPERLINK("https://www.wikidata.org/wiki/Q43364", "Q43364")</f>
        <v>0</v>
      </c>
      <c r="O2724" t="s">
        <v>20014</v>
      </c>
      <c r="P2724" t="s">
        <v>20406</v>
      </c>
      <c r="Q2724" t="s">
        <v>20588</v>
      </c>
      <c r="R2724" t="s">
        <v>413</v>
      </c>
      <c r="S2724">
        <v>1493</v>
      </c>
    </row>
    <row r="2725" spans="1:19">
      <c r="A2725" t="s">
        <v>23</v>
      </c>
      <c r="B2725" t="s">
        <v>148</v>
      </c>
      <c r="C2725" t="s">
        <v>155</v>
      </c>
      <c r="D2725" t="s">
        <v>284</v>
      </c>
      <c r="E2725" t="s">
        <v>413</v>
      </c>
      <c r="F2725">
        <f>HYPERLINK("https://www.wikidata.org/wiki/Q33728280", "Q33728280")</f>
        <v>0</v>
      </c>
      <c r="G2725" t="s">
        <v>1091</v>
      </c>
      <c r="H2725" t="s">
        <v>5833</v>
      </c>
      <c r="I2725" t="s">
        <v>9445</v>
      </c>
      <c r="J2725" t="s">
        <v>11827</v>
      </c>
      <c r="K2725" t="s">
        <v>16227</v>
      </c>
      <c r="L2725">
        <f>HYPERLINK("https://www2.assemblee-nationale.fr/sycomore/fiche/(num_dept)/729", "729")</f>
        <v>0</v>
      </c>
      <c r="M2725">
        <f>HYPERLINK("https://www.senat.fr/senateur-3eme-republique/berthod_aime0449r3.html", "berthod_aime0449r3")</f>
        <v>0</v>
      </c>
      <c r="N2725">
        <f>HYPERLINK("https://www.wikidata.org/wiki/Q2825126", "Q2825126")</f>
        <v>0</v>
      </c>
      <c r="O2725" t="s">
        <v>20041</v>
      </c>
      <c r="P2725" t="s">
        <v>20428</v>
      </c>
      <c r="Q2725" t="s">
        <v>20588</v>
      </c>
      <c r="R2725" t="s">
        <v>413</v>
      </c>
      <c r="S2725">
        <v>1493</v>
      </c>
    </row>
    <row r="2726" spans="1:19">
      <c r="A2726" t="s">
        <v>23</v>
      </c>
      <c r="B2726" t="s">
        <v>148</v>
      </c>
      <c r="C2726" t="s">
        <v>155</v>
      </c>
      <c r="D2726" t="s">
        <v>284</v>
      </c>
      <c r="E2726" t="s">
        <v>413</v>
      </c>
      <c r="F2726">
        <f>HYPERLINK("https://www.wikidata.org/wiki/Q33728280", "Q33728280")</f>
        <v>0</v>
      </c>
      <c r="G2726" t="s">
        <v>1373</v>
      </c>
      <c r="H2726" t="s">
        <v>5949</v>
      </c>
      <c r="I2726" t="s">
        <v>9779</v>
      </c>
      <c r="J2726" t="s">
        <v>12099</v>
      </c>
      <c r="K2726" t="s">
        <v>16502</v>
      </c>
      <c r="L2726">
        <f>HYPERLINK("https://www2.assemblee-nationale.fr/sycomore/fiche/(num_dept)/735", "735")</f>
        <v>0</v>
      </c>
      <c r="N2726">
        <f>HYPERLINK("https://www.wikidata.org/wiki/Q13080806", "Q13080806")</f>
        <v>0</v>
      </c>
      <c r="O2726" t="s">
        <v>19969</v>
      </c>
      <c r="P2726" t="s">
        <v>20424</v>
      </c>
      <c r="Q2726" t="s">
        <v>20588</v>
      </c>
      <c r="R2726" t="s">
        <v>413</v>
      </c>
      <c r="S2726">
        <v>1493</v>
      </c>
    </row>
    <row r="2727" spans="1:19">
      <c r="A2727" t="s">
        <v>23</v>
      </c>
      <c r="B2727" t="s">
        <v>148</v>
      </c>
      <c r="C2727" t="s">
        <v>155</v>
      </c>
      <c r="D2727" t="s">
        <v>284</v>
      </c>
      <c r="E2727" t="s">
        <v>413</v>
      </c>
      <c r="F2727">
        <f>HYPERLINK("https://www.wikidata.org/wiki/Q33728280", "Q33728280")</f>
        <v>0</v>
      </c>
      <c r="G2727" t="s">
        <v>1224</v>
      </c>
      <c r="H2727" t="s">
        <v>5630</v>
      </c>
      <c r="I2727" t="s">
        <v>9712</v>
      </c>
      <c r="J2727" t="s">
        <v>11956</v>
      </c>
      <c r="K2727" t="s">
        <v>16358</v>
      </c>
      <c r="L2727">
        <f>HYPERLINK("https://www2.assemblee-nationale.fr/sycomore/fiche/(num_dept)/748", "748")</f>
        <v>0</v>
      </c>
      <c r="M2727">
        <f>HYPERLINK("https://www.senat.fr/senateur-3eme-republique/bertrand_williams0414r3.html", "bertrand_williams0414r3")</f>
        <v>0</v>
      </c>
      <c r="N2727">
        <f>HYPERLINK("https://www.wikidata.org/wiki/Q3568432", "Q3568432")</f>
        <v>0</v>
      </c>
      <c r="O2727" t="s">
        <v>20037</v>
      </c>
      <c r="P2727" t="s">
        <v>20428</v>
      </c>
      <c r="Q2727" t="s">
        <v>20588</v>
      </c>
      <c r="R2727" t="s">
        <v>413</v>
      </c>
      <c r="S2727">
        <v>1493</v>
      </c>
    </row>
    <row r="2728" spans="1:19">
      <c r="A2728" t="s">
        <v>23</v>
      </c>
      <c r="B2728" t="s">
        <v>148</v>
      </c>
      <c r="C2728" t="s">
        <v>155</v>
      </c>
      <c r="D2728" t="s">
        <v>284</v>
      </c>
      <c r="E2728" t="s">
        <v>413</v>
      </c>
      <c r="F2728">
        <f>HYPERLINK("https://www.wikidata.org/wiki/Q33728280", "Q33728280")</f>
        <v>0</v>
      </c>
      <c r="G2728" t="s">
        <v>2004</v>
      </c>
      <c r="H2728" t="s">
        <v>6639</v>
      </c>
      <c r="I2728" t="s">
        <v>10039</v>
      </c>
      <c r="J2728" t="s">
        <v>12683</v>
      </c>
      <c r="K2728" t="s">
        <v>17093</v>
      </c>
      <c r="L2728">
        <f>HYPERLINK("https://www2.assemblee-nationale.fr/sycomore/fiche/(num_dept)/751", "751")</f>
        <v>0</v>
      </c>
      <c r="N2728">
        <f>HYPERLINK("https://www.wikidata.org/wiki/Q15973705", "Q15973705")</f>
        <v>0</v>
      </c>
      <c r="O2728" t="s">
        <v>20039</v>
      </c>
      <c r="P2728" t="s">
        <v>20404</v>
      </c>
      <c r="Q2728" t="s">
        <v>20588</v>
      </c>
      <c r="R2728" t="s">
        <v>413</v>
      </c>
      <c r="S2728">
        <v>1493</v>
      </c>
    </row>
    <row r="2729" spans="1:19">
      <c r="A2729" t="s">
        <v>23</v>
      </c>
      <c r="B2729" t="s">
        <v>148</v>
      </c>
      <c r="C2729" t="s">
        <v>155</v>
      </c>
      <c r="D2729" t="s">
        <v>284</v>
      </c>
      <c r="E2729" t="s">
        <v>413</v>
      </c>
      <c r="F2729">
        <f>HYPERLINK("https://www.wikidata.org/wiki/Q33728280", "Q33728280")</f>
        <v>0</v>
      </c>
      <c r="G2729" t="s">
        <v>2005</v>
      </c>
      <c r="H2729" t="s">
        <v>6640</v>
      </c>
      <c r="I2729" t="s">
        <v>9455</v>
      </c>
      <c r="J2729" t="s">
        <v>12684</v>
      </c>
      <c r="K2729" t="s">
        <v>17094</v>
      </c>
      <c r="L2729">
        <f>HYPERLINK("https://www2.assemblee-nationale.fr/sycomore/fiche/(num_dept)/755", "755")</f>
        <v>0</v>
      </c>
      <c r="N2729">
        <f>HYPERLINK("https://www.wikidata.org/wiki/Q3265377", "Q3265377")</f>
        <v>0</v>
      </c>
      <c r="O2729" t="s">
        <v>19969</v>
      </c>
      <c r="P2729" t="s">
        <v>20431</v>
      </c>
      <c r="Q2729" t="s">
        <v>20588</v>
      </c>
      <c r="R2729" t="s">
        <v>413</v>
      </c>
      <c r="S2729">
        <v>1493</v>
      </c>
    </row>
    <row r="2730" spans="1:19">
      <c r="A2730" t="s">
        <v>23</v>
      </c>
      <c r="B2730" t="s">
        <v>148</v>
      </c>
      <c r="C2730" t="s">
        <v>155</v>
      </c>
      <c r="D2730" t="s">
        <v>284</v>
      </c>
      <c r="E2730" t="s">
        <v>413</v>
      </c>
      <c r="F2730">
        <f>HYPERLINK("https://www.wikidata.org/wiki/Q33728280", "Q33728280")</f>
        <v>0</v>
      </c>
      <c r="G2730" t="s">
        <v>1718</v>
      </c>
      <c r="H2730" t="s">
        <v>6393</v>
      </c>
      <c r="I2730" t="s">
        <v>9908</v>
      </c>
      <c r="J2730" t="s">
        <v>12419</v>
      </c>
      <c r="K2730" t="s">
        <v>16827</v>
      </c>
      <c r="L2730">
        <f>HYPERLINK("https://www2.assemblee-nationale.fr/sycomore/fiche/(num_dept)/782", "782")</f>
        <v>0</v>
      </c>
      <c r="N2730">
        <f>HYPERLINK("https://www.wikidata.org/wiki/Q3302423", "Q3302423")</f>
        <v>0</v>
      </c>
      <c r="O2730" t="s">
        <v>20010</v>
      </c>
      <c r="P2730" t="s">
        <v>20433</v>
      </c>
      <c r="Q2730" t="s">
        <v>20588</v>
      </c>
      <c r="R2730" t="s">
        <v>413</v>
      </c>
      <c r="S2730">
        <v>1493</v>
      </c>
    </row>
    <row r="2731" spans="1:19">
      <c r="A2731" t="s">
        <v>23</v>
      </c>
      <c r="B2731" t="s">
        <v>148</v>
      </c>
      <c r="C2731" t="s">
        <v>155</v>
      </c>
      <c r="D2731" t="s">
        <v>284</v>
      </c>
      <c r="E2731" t="s">
        <v>413</v>
      </c>
      <c r="F2731">
        <f>HYPERLINK("https://www.wikidata.org/wiki/Q33728280", "Q33728280")</f>
        <v>0</v>
      </c>
      <c r="G2731" t="s">
        <v>2006</v>
      </c>
      <c r="H2731" t="s">
        <v>5296</v>
      </c>
      <c r="I2731" t="s">
        <v>9507</v>
      </c>
      <c r="J2731" t="s">
        <v>12685</v>
      </c>
      <c r="K2731" t="s">
        <v>16911</v>
      </c>
      <c r="L2731">
        <f>HYPERLINK("https://www2.assemblee-nationale.fr/sycomore/fiche/(num_dept)/852", "852")</f>
        <v>0</v>
      </c>
      <c r="N2731">
        <f>HYPERLINK("https://www.wikidata.org/wiki/Q3407763", "Q3407763")</f>
        <v>0</v>
      </c>
      <c r="O2731" t="s">
        <v>19986</v>
      </c>
      <c r="P2731" t="s">
        <v>20401</v>
      </c>
      <c r="Q2731" t="s">
        <v>20588</v>
      </c>
      <c r="R2731" t="s">
        <v>413</v>
      </c>
      <c r="S2731">
        <v>1493</v>
      </c>
    </row>
    <row r="2732" spans="1:19">
      <c r="A2732" t="s">
        <v>23</v>
      </c>
      <c r="B2732" t="s">
        <v>148</v>
      </c>
      <c r="C2732" t="s">
        <v>155</v>
      </c>
      <c r="D2732" t="s">
        <v>284</v>
      </c>
      <c r="E2732" t="s">
        <v>413</v>
      </c>
      <c r="F2732">
        <f>HYPERLINK("https://www.wikidata.org/wiki/Q33728280", "Q33728280")</f>
        <v>0</v>
      </c>
      <c r="G2732" t="s">
        <v>2007</v>
      </c>
      <c r="H2732" t="s">
        <v>6641</v>
      </c>
      <c r="I2732" t="s">
        <v>6166</v>
      </c>
      <c r="J2732" t="s">
        <v>12686</v>
      </c>
      <c r="K2732" t="s">
        <v>17095</v>
      </c>
      <c r="L2732">
        <f>HYPERLINK("https://www2.assemblee-nationale.fr/sycomore/fiche/(num_dept)/857", "857")</f>
        <v>0</v>
      </c>
      <c r="N2732">
        <f>HYPERLINK("https://www.wikidata.org/wiki/Q3083995", "Q3083995")</f>
        <v>0</v>
      </c>
      <c r="O2732" t="s">
        <v>20023</v>
      </c>
      <c r="P2732" t="s">
        <v>20404</v>
      </c>
      <c r="Q2732" t="s">
        <v>20588</v>
      </c>
      <c r="R2732" t="s">
        <v>413</v>
      </c>
      <c r="S2732">
        <v>1493</v>
      </c>
    </row>
    <row r="2733" spans="1:19">
      <c r="A2733" t="s">
        <v>23</v>
      </c>
      <c r="B2733" t="s">
        <v>148</v>
      </c>
      <c r="C2733" t="s">
        <v>155</v>
      </c>
      <c r="D2733" t="s">
        <v>284</v>
      </c>
      <c r="E2733" t="s">
        <v>413</v>
      </c>
      <c r="F2733">
        <f>HYPERLINK("https://www.wikidata.org/wiki/Q33728280", "Q33728280")</f>
        <v>0</v>
      </c>
      <c r="G2733" t="s">
        <v>2008</v>
      </c>
      <c r="H2733" t="s">
        <v>6642</v>
      </c>
      <c r="I2733" t="s">
        <v>10040</v>
      </c>
      <c r="J2733" t="s">
        <v>12687</v>
      </c>
      <c r="K2733" t="s">
        <v>17096</v>
      </c>
      <c r="L2733">
        <f>HYPERLINK("https://www2.assemblee-nationale.fr/sycomore/fiche/(num_dept)/877", "877")</f>
        <v>0</v>
      </c>
      <c r="N2733">
        <f>HYPERLINK("https://www.wikidata.org/wiki/Q15973735", "Q15973735")</f>
        <v>0</v>
      </c>
      <c r="O2733" t="s">
        <v>19978</v>
      </c>
      <c r="P2733" t="s">
        <v>20429</v>
      </c>
      <c r="Q2733" t="s">
        <v>20588</v>
      </c>
      <c r="R2733" t="s">
        <v>413</v>
      </c>
      <c r="S2733">
        <v>1493</v>
      </c>
    </row>
    <row r="2734" spans="1:19">
      <c r="A2734" t="s">
        <v>23</v>
      </c>
      <c r="B2734" t="s">
        <v>148</v>
      </c>
      <c r="C2734" t="s">
        <v>155</v>
      </c>
      <c r="D2734" t="s">
        <v>284</v>
      </c>
      <c r="E2734" t="s">
        <v>413</v>
      </c>
      <c r="F2734">
        <f>HYPERLINK("https://www.wikidata.org/wiki/Q33728280", "Q33728280")</f>
        <v>0</v>
      </c>
      <c r="G2734" t="s">
        <v>2009</v>
      </c>
      <c r="H2734" t="s">
        <v>6643</v>
      </c>
      <c r="I2734" t="s">
        <v>10041</v>
      </c>
      <c r="J2734" t="s">
        <v>11949</v>
      </c>
      <c r="K2734" t="s">
        <v>17097</v>
      </c>
      <c r="L2734">
        <f>HYPERLINK("https://www2.assemblee-nationale.fr/sycomore/fiche/(num_dept)/905", "905")</f>
        <v>0</v>
      </c>
      <c r="N2734">
        <f>HYPERLINK("https://www.wikidata.org/wiki/Q15973796", "Q15973796")</f>
        <v>0</v>
      </c>
      <c r="O2734" t="s">
        <v>8449</v>
      </c>
      <c r="P2734" t="s">
        <v>20412</v>
      </c>
      <c r="Q2734" t="s">
        <v>20588</v>
      </c>
      <c r="R2734" t="s">
        <v>413</v>
      </c>
      <c r="S2734">
        <v>1493</v>
      </c>
    </row>
    <row r="2735" spans="1:19">
      <c r="A2735" t="s">
        <v>23</v>
      </c>
      <c r="B2735" t="s">
        <v>148</v>
      </c>
      <c r="C2735" t="s">
        <v>155</v>
      </c>
      <c r="D2735" t="s">
        <v>284</v>
      </c>
      <c r="E2735" t="s">
        <v>413</v>
      </c>
      <c r="F2735">
        <f>HYPERLINK("https://www.wikidata.org/wiki/Q33728280", "Q33728280")</f>
        <v>0</v>
      </c>
      <c r="G2735" t="s">
        <v>1725</v>
      </c>
      <c r="H2735" t="s">
        <v>6399</v>
      </c>
      <c r="I2735" t="s">
        <v>9437</v>
      </c>
      <c r="J2735" t="s">
        <v>12426</v>
      </c>
      <c r="K2735" t="s">
        <v>16834</v>
      </c>
      <c r="L2735">
        <f>HYPERLINK("https://www2.assemblee-nationale.fr/sycomore/fiche/(num_dept)/975", "975")</f>
        <v>0</v>
      </c>
      <c r="N2735">
        <f>HYPERLINK("https://www.wikidata.org/wiki/Q154356", "Q154356")</f>
        <v>0</v>
      </c>
      <c r="O2735" t="s">
        <v>19967</v>
      </c>
      <c r="P2735" t="s">
        <v>20431</v>
      </c>
      <c r="Q2735" t="s">
        <v>20588</v>
      </c>
      <c r="R2735" t="s">
        <v>413</v>
      </c>
      <c r="S2735">
        <v>1493</v>
      </c>
    </row>
    <row r="2736" spans="1:19">
      <c r="A2736" t="s">
        <v>23</v>
      </c>
      <c r="B2736" t="s">
        <v>148</v>
      </c>
      <c r="C2736" t="s">
        <v>155</v>
      </c>
      <c r="D2736" t="s">
        <v>284</v>
      </c>
      <c r="E2736" t="s">
        <v>413</v>
      </c>
      <c r="F2736">
        <f>HYPERLINK("https://www.wikidata.org/wiki/Q33728280", "Q33728280")</f>
        <v>0</v>
      </c>
      <c r="G2736" t="s">
        <v>540</v>
      </c>
      <c r="H2736" t="s">
        <v>5304</v>
      </c>
      <c r="I2736" t="s">
        <v>9401</v>
      </c>
      <c r="J2736" t="s">
        <v>11292</v>
      </c>
      <c r="K2736" t="s">
        <v>15692</v>
      </c>
      <c r="L2736">
        <f>HYPERLINK("https://www2.assemblee-nationale.fr/sycomore/fiche/(num_dept)/985", "985")</f>
        <v>0</v>
      </c>
      <c r="M2736">
        <f>HYPERLINK("https://www.senat.fr/senateur-3eme-republique/borrel_antoine1303r3.html", "borrel_antoine1303r3")</f>
        <v>0</v>
      </c>
      <c r="N2736">
        <f>HYPERLINK("https://www.wikidata.org/wiki/Q2853712", "Q2853712")</f>
        <v>0</v>
      </c>
      <c r="O2736" t="s">
        <v>19988</v>
      </c>
      <c r="P2736" t="s">
        <v>20428</v>
      </c>
      <c r="Q2736" t="s">
        <v>20588</v>
      </c>
      <c r="R2736" t="s">
        <v>21428</v>
      </c>
      <c r="S2736">
        <v>1320</v>
      </c>
    </row>
    <row r="2737" spans="1:19">
      <c r="A2737" t="s">
        <v>23</v>
      </c>
      <c r="B2737" t="s">
        <v>148</v>
      </c>
      <c r="C2737" t="s">
        <v>155</v>
      </c>
      <c r="D2737" t="s">
        <v>284</v>
      </c>
      <c r="E2737" t="s">
        <v>413</v>
      </c>
      <c r="F2737">
        <f>HYPERLINK("https://www.wikidata.org/wiki/Q33728280", "Q33728280")</f>
        <v>0</v>
      </c>
      <c r="G2737" t="s">
        <v>1727</v>
      </c>
      <c r="H2737" t="s">
        <v>6401</v>
      </c>
      <c r="I2737" t="s">
        <v>7790</v>
      </c>
      <c r="J2737" t="s">
        <v>12428</v>
      </c>
      <c r="K2737" t="s">
        <v>16836</v>
      </c>
      <c r="L2737">
        <f>HYPERLINK("https://www2.assemblee-nationale.fr/sycomore/fiche/(num_dept)/1003", "1003")</f>
        <v>0</v>
      </c>
      <c r="N2737">
        <f>HYPERLINK("https://www.wikidata.org/wiki/Q4792643", "Q4792643")</f>
        <v>0</v>
      </c>
      <c r="O2737" t="s">
        <v>19974</v>
      </c>
      <c r="P2737" t="s">
        <v>20428</v>
      </c>
      <c r="Q2737" t="s">
        <v>20588</v>
      </c>
      <c r="R2737" t="s">
        <v>16836</v>
      </c>
      <c r="S2737">
        <v>469</v>
      </c>
    </row>
    <row r="2738" spans="1:19">
      <c r="A2738" t="s">
        <v>23</v>
      </c>
      <c r="B2738" t="s">
        <v>148</v>
      </c>
      <c r="C2738" t="s">
        <v>155</v>
      </c>
      <c r="D2738" t="s">
        <v>284</v>
      </c>
      <c r="E2738" t="s">
        <v>413</v>
      </c>
      <c r="F2738">
        <f>HYPERLINK("https://www.wikidata.org/wiki/Q33728280", "Q33728280")</f>
        <v>0</v>
      </c>
      <c r="G2738" t="s">
        <v>2010</v>
      </c>
      <c r="H2738" t="s">
        <v>6644</v>
      </c>
      <c r="I2738" t="s">
        <v>10042</v>
      </c>
      <c r="J2738" t="s">
        <v>12688</v>
      </c>
      <c r="K2738" t="s">
        <v>17098</v>
      </c>
      <c r="L2738">
        <f>HYPERLINK("https://www2.assemblee-nationale.fr/sycomore/fiche/(num_dept)/1011", "1011")</f>
        <v>0</v>
      </c>
      <c r="N2738">
        <f>HYPERLINK("https://www.wikidata.org/wiki/Q3102335", "Q3102335")</f>
        <v>0</v>
      </c>
      <c r="O2738" t="s">
        <v>19969</v>
      </c>
      <c r="P2738" t="s">
        <v>20432</v>
      </c>
      <c r="Q2738" t="s">
        <v>20588</v>
      </c>
      <c r="R2738" t="s">
        <v>413</v>
      </c>
      <c r="S2738">
        <v>1493</v>
      </c>
    </row>
    <row r="2739" spans="1:19">
      <c r="A2739" t="s">
        <v>23</v>
      </c>
      <c r="B2739" t="s">
        <v>148</v>
      </c>
      <c r="C2739" t="s">
        <v>155</v>
      </c>
      <c r="D2739" t="s">
        <v>284</v>
      </c>
      <c r="E2739" t="s">
        <v>413</v>
      </c>
      <c r="F2739">
        <f>HYPERLINK("https://www.wikidata.org/wiki/Q33728280", "Q33728280")</f>
        <v>0</v>
      </c>
      <c r="G2739" t="s">
        <v>1728</v>
      </c>
      <c r="H2739" t="s">
        <v>6402</v>
      </c>
      <c r="I2739" t="s">
        <v>9476</v>
      </c>
      <c r="J2739" t="s">
        <v>12429</v>
      </c>
      <c r="K2739" t="s">
        <v>16837</v>
      </c>
      <c r="L2739">
        <f>HYPERLINK("https://www2.assemblee-nationale.fr/sycomore/fiche/(num_dept)/1019", "1019")</f>
        <v>0</v>
      </c>
      <c r="N2739">
        <f>HYPERLINK("https://www.wikidata.org/wiki/Q3425895", "Q3425895")</f>
        <v>0</v>
      </c>
      <c r="O2739" t="s">
        <v>19999</v>
      </c>
      <c r="P2739" t="s">
        <v>20404</v>
      </c>
      <c r="Q2739" t="s">
        <v>20588</v>
      </c>
      <c r="R2739" t="s">
        <v>413</v>
      </c>
      <c r="S2739">
        <v>1493</v>
      </c>
    </row>
    <row r="2740" spans="1:19">
      <c r="A2740" t="s">
        <v>23</v>
      </c>
      <c r="B2740" t="s">
        <v>148</v>
      </c>
      <c r="C2740" t="s">
        <v>155</v>
      </c>
      <c r="D2740" t="s">
        <v>284</v>
      </c>
      <c r="E2740" t="s">
        <v>413</v>
      </c>
      <c r="F2740">
        <f>HYPERLINK("https://www.wikidata.org/wiki/Q33728280", "Q33728280")</f>
        <v>0</v>
      </c>
      <c r="G2740" t="s">
        <v>2011</v>
      </c>
      <c r="H2740" t="s">
        <v>6645</v>
      </c>
      <c r="I2740" t="s">
        <v>10043</v>
      </c>
      <c r="J2740" t="s">
        <v>12689</v>
      </c>
      <c r="K2740" t="s">
        <v>17099</v>
      </c>
      <c r="L2740">
        <f>HYPERLINK("https://www2.assemblee-nationale.fr/sycomore/fiche/(num_dept)/1027", "1027")</f>
        <v>0</v>
      </c>
      <c r="N2740">
        <f>HYPERLINK("https://www.wikidata.org/wiki/Q3184657", "Q3184657")</f>
        <v>0</v>
      </c>
      <c r="O2740" t="s">
        <v>19984</v>
      </c>
      <c r="P2740" t="s">
        <v>20433</v>
      </c>
      <c r="Q2740" t="s">
        <v>20588</v>
      </c>
      <c r="R2740" t="s">
        <v>413</v>
      </c>
      <c r="S2740">
        <v>1493</v>
      </c>
    </row>
    <row r="2741" spans="1:19">
      <c r="A2741" t="s">
        <v>23</v>
      </c>
      <c r="B2741" t="s">
        <v>148</v>
      </c>
      <c r="C2741" t="s">
        <v>155</v>
      </c>
      <c r="D2741" t="s">
        <v>284</v>
      </c>
      <c r="E2741" t="s">
        <v>413</v>
      </c>
      <c r="F2741">
        <f>HYPERLINK("https://www.wikidata.org/wiki/Q33728280", "Q33728280")</f>
        <v>0</v>
      </c>
      <c r="G2741" t="s">
        <v>544</v>
      </c>
      <c r="H2741" t="s">
        <v>5308</v>
      </c>
      <c r="I2741" t="s">
        <v>9376</v>
      </c>
      <c r="J2741" t="s">
        <v>11296</v>
      </c>
      <c r="K2741" t="s">
        <v>15696</v>
      </c>
      <c r="L2741">
        <f>HYPERLINK("https://www2.assemblee-nationale.fr/sycomore/fiche/(num_dept)/1030", "1030")</f>
        <v>0</v>
      </c>
      <c r="M2741">
        <f>HYPERLINK("https://www.senat.fr/senateur-3eme-republique/bougere_ferdinand1163r3.html", "bougere_ferdinand1163r3")</f>
        <v>0</v>
      </c>
      <c r="N2741">
        <f>HYPERLINK("https://www.wikidata.org/wiki/Q8299130", "Q8299130")</f>
        <v>0</v>
      </c>
      <c r="O2741" t="s">
        <v>19980</v>
      </c>
      <c r="P2741" t="s">
        <v>20407</v>
      </c>
      <c r="Q2741" t="s">
        <v>20588</v>
      </c>
      <c r="R2741" t="s">
        <v>413</v>
      </c>
      <c r="S2741">
        <v>1493</v>
      </c>
    </row>
    <row r="2742" spans="1:19">
      <c r="A2742" t="s">
        <v>23</v>
      </c>
      <c r="B2742" t="s">
        <v>148</v>
      </c>
      <c r="C2742" t="s">
        <v>155</v>
      </c>
      <c r="D2742" t="s">
        <v>284</v>
      </c>
      <c r="E2742" t="s">
        <v>413</v>
      </c>
      <c r="F2742">
        <f>HYPERLINK("https://www.wikidata.org/wiki/Q33728280", "Q33728280")</f>
        <v>0</v>
      </c>
      <c r="G2742" t="s">
        <v>1937</v>
      </c>
      <c r="H2742" t="s">
        <v>6583</v>
      </c>
      <c r="I2742" t="s">
        <v>10005</v>
      </c>
      <c r="J2742" t="s">
        <v>12621</v>
      </c>
      <c r="K2742" t="s">
        <v>17033</v>
      </c>
      <c r="L2742">
        <f>HYPERLINK("https://www2.assemblee-nationale.fr/sycomore/fiche/(num_dept)/1036", "1036")</f>
        <v>0</v>
      </c>
      <c r="N2742">
        <f>HYPERLINK("https://www.wikidata.org/wiki/Q15973867", "Q15973867")</f>
        <v>0</v>
      </c>
      <c r="O2742" t="s">
        <v>8449</v>
      </c>
      <c r="P2742" t="s">
        <v>20412</v>
      </c>
      <c r="Q2742" t="s">
        <v>20588</v>
      </c>
      <c r="R2742" t="s">
        <v>413</v>
      </c>
      <c r="S2742">
        <v>1493</v>
      </c>
    </row>
    <row r="2743" spans="1:19">
      <c r="A2743" t="s">
        <v>23</v>
      </c>
      <c r="B2743" t="s">
        <v>148</v>
      </c>
      <c r="C2743" t="s">
        <v>155</v>
      </c>
      <c r="D2743" t="s">
        <v>284</v>
      </c>
      <c r="E2743" t="s">
        <v>413</v>
      </c>
      <c r="F2743">
        <f>HYPERLINK("https://www.wikidata.org/wiki/Q33728280", "Q33728280")</f>
        <v>0</v>
      </c>
      <c r="G2743" t="s">
        <v>1229</v>
      </c>
      <c r="H2743" t="s">
        <v>5954</v>
      </c>
      <c r="I2743" t="s">
        <v>7642</v>
      </c>
      <c r="J2743" t="s">
        <v>11961</v>
      </c>
      <c r="K2743" t="s">
        <v>16363</v>
      </c>
      <c r="L2743">
        <f>HYPERLINK("https://www2.assemblee-nationale.fr/sycomore/fiche/(num_dept)/1041", "1041")</f>
        <v>0</v>
      </c>
      <c r="N2743">
        <f>HYPERLINK("https://www.wikidata.org/wiki/Q3300465", "Q3300465")</f>
        <v>0</v>
      </c>
      <c r="O2743" t="s">
        <v>20011</v>
      </c>
      <c r="P2743" t="s">
        <v>20401</v>
      </c>
      <c r="Q2743" t="s">
        <v>20588</v>
      </c>
      <c r="R2743" t="s">
        <v>413</v>
      </c>
      <c r="S2743">
        <v>1493</v>
      </c>
    </row>
    <row r="2744" spans="1:19">
      <c r="A2744" t="s">
        <v>23</v>
      </c>
      <c r="B2744" t="s">
        <v>148</v>
      </c>
      <c r="C2744" t="s">
        <v>155</v>
      </c>
      <c r="D2744" t="s">
        <v>284</v>
      </c>
      <c r="E2744" t="s">
        <v>413</v>
      </c>
      <c r="F2744">
        <f>HYPERLINK("https://www.wikidata.org/wiki/Q33728280", "Q33728280")</f>
        <v>0</v>
      </c>
      <c r="G2744" t="s">
        <v>1384</v>
      </c>
      <c r="H2744" t="s">
        <v>6095</v>
      </c>
      <c r="I2744" t="s">
        <v>9784</v>
      </c>
      <c r="J2744" t="s">
        <v>12110</v>
      </c>
      <c r="K2744" t="s">
        <v>16511</v>
      </c>
      <c r="L2744">
        <f>HYPERLINK("https://www2.assemblee-nationale.fr/sycomore/fiche/(num_dept)/1057", "1057")</f>
        <v>0</v>
      </c>
      <c r="N2744">
        <f>HYPERLINK("https://www.wikidata.org/wiki/Q3383019", "Q3383019")</f>
        <v>0</v>
      </c>
      <c r="O2744" t="s">
        <v>19961</v>
      </c>
      <c r="P2744" t="s">
        <v>20428</v>
      </c>
      <c r="Q2744" t="s">
        <v>20588</v>
      </c>
      <c r="R2744" t="s">
        <v>16511</v>
      </c>
      <c r="S2744">
        <v>670</v>
      </c>
    </row>
    <row r="2745" spans="1:19">
      <c r="A2745" t="s">
        <v>23</v>
      </c>
      <c r="B2745" t="s">
        <v>148</v>
      </c>
      <c r="C2745" t="s">
        <v>155</v>
      </c>
      <c r="D2745" t="s">
        <v>284</v>
      </c>
      <c r="E2745" t="s">
        <v>413</v>
      </c>
      <c r="F2745">
        <f>HYPERLINK("https://www.wikidata.org/wiki/Q33728280", "Q33728280")</f>
        <v>0</v>
      </c>
      <c r="G2745" t="s">
        <v>2012</v>
      </c>
      <c r="H2745" t="s">
        <v>6646</v>
      </c>
      <c r="I2745" t="s">
        <v>10044</v>
      </c>
      <c r="J2745" t="s">
        <v>12690</v>
      </c>
      <c r="K2745" t="s">
        <v>17100</v>
      </c>
      <c r="L2745">
        <f>HYPERLINK("https://www2.assemblee-nationale.fr/sycomore/fiche/(num_dept)/1094", "1094")</f>
        <v>0</v>
      </c>
      <c r="N2745">
        <f>HYPERLINK("https://www.wikidata.org/wiki/Q2394749", "Q2394749")</f>
        <v>0</v>
      </c>
      <c r="O2745" t="s">
        <v>20011</v>
      </c>
      <c r="P2745" t="s">
        <v>20406</v>
      </c>
      <c r="Q2745" t="s">
        <v>20588</v>
      </c>
      <c r="R2745" t="s">
        <v>413</v>
      </c>
      <c r="S2745">
        <v>1493</v>
      </c>
    </row>
    <row r="2746" spans="1:19">
      <c r="A2746" t="s">
        <v>23</v>
      </c>
      <c r="B2746" t="s">
        <v>148</v>
      </c>
      <c r="C2746" t="s">
        <v>155</v>
      </c>
      <c r="D2746" t="s">
        <v>284</v>
      </c>
      <c r="E2746" t="s">
        <v>413</v>
      </c>
      <c r="F2746">
        <f>HYPERLINK("https://www.wikidata.org/wiki/Q33728280", "Q33728280")</f>
        <v>0</v>
      </c>
      <c r="G2746" t="s">
        <v>1386</v>
      </c>
      <c r="H2746" t="s">
        <v>6097</v>
      </c>
      <c r="I2746" t="s">
        <v>9785</v>
      </c>
      <c r="J2746" t="s">
        <v>12112</v>
      </c>
      <c r="K2746" t="s">
        <v>16513</v>
      </c>
      <c r="L2746">
        <f>HYPERLINK("https://www2.assemblee-nationale.fr/sycomore/fiche/(num_dept)/1128", "1128")</f>
        <v>0</v>
      </c>
      <c r="N2746">
        <f>HYPERLINK("https://www.wikidata.org/wiki/Q3045156", "Q3045156")</f>
        <v>0</v>
      </c>
      <c r="O2746" t="s">
        <v>19989</v>
      </c>
      <c r="P2746" t="s">
        <v>20422</v>
      </c>
      <c r="Q2746" t="s">
        <v>20588</v>
      </c>
      <c r="R2746" t="s">
        <v>413</v>
      </c>
      <c r="S2746">
        <v>1493</v>
      </c>
    </row>
    <row r="2747" spans="1:19">
      <c r="A2747" t="s">
        <v>23</v>
      </c>
      <c r="B2747" t="s">
        <v>148</v>
      </c>
      <c r="C2747" t="s">
        <v>155</v>
      </c>
      <c r="D2747" t="s">
        <v>284</v>
      </c>
      <c r="E2747" t="s">
        <v>413</v>
      </c>
      <c r="F2747">
        <f>HYPERLINK("https://www.wikidata.org/wiki/Q33728280", "Q33728280")</f>
        <v>0</v>
      </c>
      <c r="G2747" t="s">
        <v>2013</v>
      </c>
      <c r="H2747" t="s">
        <v>6647</v>
      </c>
      <c r="I2747" t="s">
        <v>10045</v>
      </c>
      <c r="J2747" t="s">
        <v>12691</v>
      </c>
      <c r="K2747" t="s">
        <v>17101</v>
      </c>
      <c r="L2747">
        <f>HYPERLINK("https://www2.assemblee-nationale.fr/sycomore/fiche/(num_dept)/1129", "1129")</f>
        <v>0</v>
      </c>
      <c r="N2747">
        <f>HYPERLINK("https://www.wikidata.org/wiki/Q15971895", "Q15971895")</f>
        <v>0</v>
      </c>
      <c r="O2747" t="s">
        <v>19959</v>
      </c>
      <c r="P2747" t="s">
        <v>20404</v>
      </c>
      <c r="Q2747" t="s">
        <v>20588</v>
      </c>
      <c r="R2747" t="s">
        <v>413</v>
      </c>
      <c r="S2747">
        <v>1493</v>
      </c>
    </row>
    <row r="2748" spans="1:19">
      <c r="A2748" t="s">
        <v>23</v>
      </c>
      <c r="B2748" t="s">
        <v>148</v>
      </c>
      <c r="C2748" t="s">
        <v>155</v>
      </c>
      <c r="D2748" t="s">
        <v>284</v>
      </c>
      <c r="E2748" t="s">
        <v>413</v>
      </c>
      <c r="F2748">
        <f>HYPERLINK("https://www.wikidata.org/wiki/Q33728280", "Q33728280")</f>
        <v>0</v>
      </c>
      <c r="G2748" t="s">
        <v>1731</v>
      </c>
      <c r="H2748" t="s">
        <v>6405</v>
      </c>
      <c r="I2748" t="s">
        <v>9913</v>
      </c>
      <c r="J2748" t="s">
        <v>12432</v>
      </c>
      <c r="K2748" t="s">
        <v>16840</v>
      </c>
      <c r="L2748">
        <f>HYPERLINK("https://www2.assemblee-nationale.fr/sycomore/fiche/(num_dept)/1151", "1151")</f>
        <v>0</v>
      </c>
      <c r="N2748">
        <f>HYPERLINK("https://www.wikidata.org/wiki/Q15973908", "Q15973908")</f>
        <v>0</v>
      </c>
      <c r="O2748" t="s">
        <v>19980</v>
      </c>
      <c r="P2748" t="s">
        <v>20432</v>
      </c>
      <c r="Q2748" t="s">
        <v>20588</v>
      </c>
      <c r="R2748" t="s">
        <v>413</v>
      </c>
      <c r="S2748">
        <v>1493</v>
      </c>
    </row>
    <row r="2749" spans="1:19">
      <c r="A2749" t="s">
        <v>23</v>
      </c>
      <c r="B2749" t="s">
        <v>148</v>
      </c>
      <c r="C2749" t="s">
        <v>155</v>
      </c>
      <c r="D2749" t="s">
        <v>284</v>
      </c>
      <c r="E2749" t="s">
        <v>413</v>
      </c>
      <c r="F2749">
        <f>HYPERLINK("https://www.wikidata.org/wiki/Q33728280", "Q33728280")</f>
        <v>0</v>
      </c>
      <c r="G2749" t="s">
        <v>1732</v>
      </c>
      <c r="H2749" t="s">
        <v>6405</v>
      </c>
      <c r="I2749" t="s">
        <v>9914</v>
      </c>
      <c r="J2749" t="s">
        <v>12433</v>
      </c>
      <c r="K2749" t="s">
        <v>16841</v>
      </c>
      <c r="L2749">
        <f>HYPERLINK("https://www2.assemblee-nationale.fr/sycomore/fiche/(num_dept)/1154", "1154")</f>
        <v>0</v>
      </c>
      <c r="N2749">
        <f>HYPERLINK("https://www.wikidata.org/wiki/Q15973936", "Q15973936")</f>
        <v>0</v>
      </c>
      <c r="O2749" t="s">
        <v>19993</v>
      </c>
      <c r="P2749" t="s">
        <v>20401</v>
      </c>
      <c r="Q2749" t="s">
        <v>20588</v>
      </c>
      <c r="R2749" t="s">
        <v>413</v>
      </c>
      <c r="S2749">
        <v>1493</v>
      </c>
    </row>
    <row r="2750" spans="1:19">
      <c r="A2750" t="s">
        <v>23</v>
      </c>
      <c r="B2750" t="s">
        <v>148</v>
      </c>
      <c r="C2750" t="s">
        <v>155</v>
      </c>
      <c r="D2750" t="s">
        <v>284</v>
      </c>
      <c r="E2750" t="s">
        <v>413</v>
      </c>
      <c r="F2750">
        <f>HYPERLINK("https://www.wikidata.org/wiki/Q33728280", "Q33728280")</f>
        <v>0</v>
      </c>
      <c r="G2750" t="s">
        <v>1119</v>
      </c>
      <c r="H2750" t="s">
        <v>5859</v>
      </c>
      <c r="I2750" t="s">
        <v>9669</v>
      </c>
      <c r="J2750" t="s">
        <v>11853</v>
      </c>
      <c r="K2750" t="s">
        <v>16255</v>
      </c>
      <c r="L2750">
        <f>HYPERLINK("https://www2.assemblee-nationale.fr/sycomore/fiche/(num_dept)/1167", "1167")</f>
        <v>0</v>
      </c>
      <c r="N2750">
        <f>HYPERLINK("https://www.wikidata.org/wiki/Q2833856", "Q2833856")</f>
        <v>0</v>
      </c>
      <c r="O2750" t="s">
        <v>20013</v>
      </c>
      <c r="P2750" t="s">
        <v>20404</v>
      </c>
      <c r="Q2750" t="s">
        <v>20588</v>
      </c>
      <c r="R2750" t="s">
        <v>413</v>
      </c>
      <c r="S2750">
        <v>1493</v>
      </c>
    </row>
    <row r="2751" spans="1:19">
      <c r="A2751" t="s">
        <v>23</v>
      </c>
      <c r="B2751" t="s">
        <v>148</v>
      </c>
      <c r="C2751" t="s">
        <v>155</v>
      </c>
      <c r="D2751" t="s">
        <v>284</v>
      </c>
      <c r="E2751" t="s">
        <v>413</v>
      </c>
      <c r="F2751">
        <f>HYPERLINK("https://www.wikidata.org/wiki/Q33728280", "Q33728280")</f>
        <v>0</v>
      </c>
      <c r="G2751" t="s">
        <v>2014</v>
      </c>
      <c r="H2751" t="s">
        <v>6648</v>
      </c>
      <c r="I2751" t="s">
        <v>6158</v>
      </c>
      <c r="J2751" t="s">
        <v>12692</v>
      </c>
      <c r="K2751" t="s">
        <v>17102</v>
      </c>
      <c r="L2751">
        <f>HYPERLINK("https://www2.assemblee-nationale.fr/sycomore/fiche/(num_dept)/1171", "1171")</f>
        <v>0</v>
      </c>
      <c r="M2751">
        <f>HYPERLINK("https://www.senat.fr/senateur-3eme-republique/braise_felix1323r3.html", "braise_felix1323r3")</f>
        <v>0</v>
      </c>
      <c r="N2751">
        <f>HYPERLINK("https://www.wikidata.org/wiki/Q3092389", "Q3092389")</f>
        <v>0</v>
      </c>
      <c r="O2751" t="s">
        <v>20018</v>
      </c>
      <c r="P2751" t="s">
        <v>20422</v>
      </c>
      <c r="Q2751" t="s">
        <v>20588</v>
      </c>
      <c r="R2751" t="s">
        <v>413</v>
      </c>
      <c r="S2751">
        <v>1493</v>
      </c>
    </row>
    <row r="2752" spans="1:19">
      <c r="A2752" t="s">
        <v>23</v>
      </c>
      <c r="B2752" t="s">
        <v>148</v>
      </c>
      <c r="C2752" t="s">
        <v>155</v>
      </c>
      <c r="D2752" t="s">
        <v>284</v>
      </c>
      <c r="E2752" t="s">
        <v>413</v>
      </c>
      <c r="F2752">
        <f>HYPERLINK("https://www.wikidata.org/wiki/Q33728280", "Q33728280")</f>
        <v>0</v>
      </c>
      <c r="G2752" t="s">
        <v>2015</v>
      </c>
      <c r="H2752" t="s">
        <v>6649</v>
      </c>
      <c r="I2752" t="s">
        <v>10046</v>
      </c>
      <c r="J2752" t="s">
        <v>12693</v>
      </c>
      <c r="K2752" t="s">
        <v>17103</v>
      </c>
      <c r="L2752">
        <f>HYPERLINK("https://www2.assemblee-nationale.fr/sycomore/fiche/(num_dept)/1176", "1176")</f>
        <v>0</v>
      </c>
      <c r="N2752">
        <f>HYPERLINK("https://www.wikidata.org/wiki/Q3419133", "Q3419133")</f>
        <v>0</v>
      </c>
      <c r="O2752" t="s">
        <v>19969</v>
      </c>
      <c r="P2752" t="s">
        <v>20406</v>
      </c>
      <c r="Q2752" t="s">
        <v>20588</v>
      </c>
      <c r="R2752" t="s">
        <v>413</v>
      </c>
      <c r="S2752">
        <v>1493</v>
      </c>
    </row>
    <row r="2753" spans="1:19">
      <c r="A2753" t="s">
        <v>23</v>
      </c>
      <c r="B2753" t="s">
        <v>148</v>
      </c>
      <c r="C2753" t="s">
        <v>155</v>
      </c>
      <c r="D2753" t="s">
        <v>284</v>
      </c>
      <c r="E2753" t="s">
        <v>413</v>
      </c>
      <c r="F2753">
        <f>HYPERLINK("https://www.wikidata.org/wiki/Q33728280", "Q33728280")</f>
        <v>0</v>
      </c>
      <c r="G2753" t="s">
        <v>2016</v>
      </c>
      <c r="H2753" t="s">
        <v>6650</v>
      </c>
      <c r="I2753" t="s">
        <v>10047</v>
      </c>
      <c r="J2753" t="s">
        <v>12694</v>
      </c>
      <c r="K2753" t="s">
        <v>17104</v>
      </c>
      <c r="L2753">
        <f>HYPERLINK("https://www2.assemblee-nationale.fr/sycomore/fiche/(num_dept)/1186", "1186")</f>
        <v>0</v>
      </c>
      <c r="N2753">
        <f>HYPERLINK("https://www.wikidata.org/wiki/Q3588375", "Q3588375")</f>
        <v>0</v>
      </c>
      <c r="O2753" t="s">
        <v>19986</v>
      </c>
      <c r="P2753" t="s">
        <v>20406</v>
      </c>
      <c r="Q2753" t="s">
        <v>20588</v>
      </c>
      <c r="R2753" t="s">
        <v>413</v>
      </c>
      <c r="S2753">
        <v>1493</v>
      </c>
    </row>
    <row r="2754" spans="1:19">
      <c r="A2754" t="s">
        <v>23</v>
      </c>
      <c r="B2754" t="s">
        <v>148</v>
      </c>
      <c r="C2754" t="s">
        <v>155</v>
      </c>
      <c r="D2754" t="s">
        <v>284</v>
      </c>
      <c r="E2754" t="s">
        <v>413</v>
      </c>
      <c r="F2754">
        <f>HYPERLINK("https://www.wikidata.org/wiki/Q33728280", "Q33728280")</f>
        <v>0</v>
      </c>
      <c r="G2754" t="s">
        <v>2017</v>
      </c>
      <c r="H2754" t="s">
        <v>6651</v>
      </c>
      <c r="I2754" t="s">
        <v>9442</v>
      </c>
      <c r="J2754" t="s">
        <v>12688</v>
      </c>
      <c r="K2754" t="s">
        <v>17030</v>
      </c>
      <c r="L2754">
        <f>HYPERLINK("https://www2.assemblee-nationale.fr/sycomore/fiche/(num_dept)/1187", "1187")</f>
        <v>0</v>
      </c>
      <c r="N2754">
        <f>HYPERLINK("https://www.wikidata.org/wiki/Q3056865", "Q3056865")</f>
        <v>0</v>
      </c>
      <c r="O2754" t="s">
        <v>20023</v>
      </c>
      <c r="P2754" t="s">
        <v>20412</v>
      </c>
      <c r="Q2754" t="s">
        <v>20588</v>
      </c>
      <c r="R2754" t="s">
        <v>413</v>
      </c>
      <c r="S2754">
        <v>1493</v>
      </c>
    </row>
    <row r="2755" spans="1:19">
      <c r="A2755" t="s">
        <v>23</v>
      </c>
      <c r="B2755" t="s">
        <v>148</v>
      </c>
      <c r="C2755" t="s">
        <v>155</v>
      </c>
      <c r="D2755" t="s">
        <v>284</v>
      </c>
      <c r="E2755" t="s">
        <v>413</v>
      </c>
      <c r="F2755">
        <f>HYPERLINK("https://www.wikidata.org/wiki/Q33728280", "Q33728280")</f>
        <v>0</v>
      </c>
      <c r="G2755" t="s">
        <v>2018</v>
      </c>
      <c r="H2755" t="s">
        <v>6652</v>
      </c>
      <c r="I2755" t="s">
        <v>10048</v>
      </c>
      <c r="J2755" t="s">
        <v>12695</v>
      </c>
      <c r="K2755" t="s">
        <v>17105</v>
      </c>
      <c r="L2755">
        <f>HYPERLINK("https://www2.assemblee-nationale.fr/sycomore/fiche/(num_dept)/1200", "1200")</f>
        <v>0</v>
      </c>
      <c r="M2755">
        <f>HYPERLINK("https://www.senat.fr/senateur-3eme-republique/breton_andre0447r3.html", "breton_andre0447r3")</f>
        <v>0</v>
      </c>
      <c r="N2755">
        <f>HYPERLINK("https://www.wikidata.org/wiki/Q2847379", "Q2847379")</f>
        <v>0</v>
      </c>
      <c r="O2755" t="s">
        <v>19996</v>
      </c>
      <c r="P2755" t="s">
        <v>20433</v>
      </c>
      <c r="Q2755" t="s">
        <v>20588</v>
      </c>
      <c r="R2755" t="s">
        <v>413</v>
      </c>
      <c r="S2755">
        <v>1493</v>
      </c>
    </row>
    <row r="2756" spans="1:19">
      <c r="A2756" t="s">
        <v>23</v>
      </c>
      <c r="B2756" t="s">
        <v>148</v>
      </c>
      <c r="C2756" t="s">
        <v>155</v>
      </c>
      <c r="D2756" t="s">
        <v>284</v>
      </c>
      <c r="E2756" t="s">
        <v>413</v>
      </c>
      <c r="F2756">
        <f>HYPERLINK("https://www.wikidata.org/wiki/Q33728280", "Q33728280")</f>
        <v>0</v>
      </c>
      <c r="G2756" t="s">
        <v>2019</v>
      </c>
      <c r="H2756" t="s">
        <v>6653</v>
      </c>
      <c r="I2756" t="s">
        <v>10049</v>
      </c>
      <c r="J2756" t="s">
        <v>12696</v>
      </c>
      <c r="K2756" t="s">
        <v>17106</v>
      </c>
      <c r="L2756">
        <f>HYPERLINK("https://www2.assemblee-nationale.fr/sycomore/fiche/(num_dept)/1225", "1225")</f>
        <v>0</v>
      </c>
      <c r="N2756">
        <f>HYPERLINK("https://www.wikidata.org/wiki/Q15998936", "Q15998936")</f>
        <v>0</v>
      </c>
      <c r="O2756" t="s">
        <v>20000</v>
      </c>
      <c r="P2756" t="s">
        <v>20429</v>
      </c>
      <c r="Q2756" t="s">
        <v>20588</v>
      </c>
      <c r="R2756" t="s">
        <v>413</v>
      </c>
      <c r="S2756">
        <v>1493</v>
      </c>
    </row>
    <row r="2757" spans="1:19">
      <c r="A2757" t="s">
        <v>23</v>
      </c>
      <c r="B2757" t="s">
        <v>148</v>
      </c>
      <c r="C2757" t="s">
        <v>155</v>
      </c>
      <c r="D2757" t="s">
        <v>284</v>
      </c>
      <c r="E2757" t="s">
        <v>413</v>
      </c>
      <c r="F2757">
        <f>HYPERLINK("https://www.wikidata.org/wiki/Q33728280", "Q33728280")</f>
        <v>0</v>
      </c>
      <c r="G2757" t="s">
        <v>2020</v>
      </c>
      <c r="H2757" t="s">
        <v>5647</v>
      </c>
      <c r="I2757" t="s">
        <v>10050</v>
      </c>
      <c r="J2757" t="s">
        <v>12676</v>
      </c>
      <c r="K2757" t="s">
        <v>17107</v>
      </c>
      <c r="L2757">
        <f>HYPERLINK("https://www2.assemblee-nationale.fr/sycomore/fiche/(num_dept)/1238", "1238")</f>
        <v>0</v>
      </c>
      <c r="N2757">
        <f>HYPERLINK("https://www.wikidata.org/wiki/Q2398766", "Q2398766")</f>
        <v>0</v>
      </c>
      <c r="O2757" t="s">
        <v>19992</v>
      </c>
      <c r="P2757" t="s">
        <v>20428</v>
      </c>
      <c r="Q2757" t="s">
        <v>20588</v>
      </c>
      <c r="R2757" t="s">
        <v>413</v>
      </c>
      <c r="S2757">
        <v>1493</v>
      </c>
    </row>
    <row r="2758" spans="1:19">
      <c r="A2758" t="s">
        <v>23</v>
      </c>
      <c r="B2758" t="s">
        <v>148</v>
      </c>
      <c r="C2758" t="s">
        <v>155</v>
      </c>
      <c r="D2758" t="s">
        <v>284</v>
      </c>
      <c r="E2758" t="s">
        <v>413</v>
      </c>
      <c r="F2758">
        <f>HYPERLINK("https://www.wikidata.org/wiki/Q33728280", "Q33728280")</f>
        <v>0</v>
      </c>
      <c r="G2758" t="s">
        <v>1739</v>
      </c>
      <c r="H2758" t="s">
        <v>6411</v>
      </c>
      <c r="I2758" t="s">
        <v>9920</v>
      </c>
      <c r="J2758" t="s">
        <v>12440</v>
      </c>
      <c r="K2758" t="s">
        <v>16710</v>
      </c>
      <c r="L2758">
        <f>HYPERLINK("https://www2.assemblee-nationale.fr/sycomore/fiche/(num_dept)/1243", "1243")</f>
        <v>0</v>
      </c>
      <c r="N2758">
        <f>HYPERLINK("https://www.wikidata.org/wiki/Q2857109", "Q2857109")</f>
        <v>0</v>
      </c>
      <c r="O2758" t="s">
        <v>19969</v>
      </c>
      <c r="P2758" t="s">
        <v>20407</v>
      </c>
      <c r="Q2758" t="s">
        <v>20588</v>
      </c>
      <c r="R2758" t="s">
        <v>413</v>
      </c>
      <c r="S2758">
        <v>1493</v>
      </c>
    </row>
    <row r="2759" spans="1:19">
      <c r="A2759" t="s">
        <v>23</v>
      </c>
      <c r="B2759" t="s">
        <v>148</v>
      </c>
      <c r="C2759" t="s">
        <v>155</v>
      </c>
      <c r="D2759" t="s">
        <v>284</v>
      </c>
      <c r="E2759" t="s">
        <v>413</v>
      </c>
      <c r="F2759">
        <f>HYPERLINK("https://www.wikidata.org/wiki/Q33728280", "Q33728280")</f>
        <v>0</v>
      </c>
      <c r="G2759" t="s">
        <v>1391</v>
      </c>
      <c r="H2759" t="s">
        <v>6102</v>
      </c>
      <c r="I2759" t="s">
        <v>9787</v>
      </c>
      <c r="J2759" t="s">
        <v>12117</v>
      </c>
      <c r="K2759" t="s">
        <v>16518</v>
      </c>
      <c r="L2759">
        <f>HYPERLINK("https://www2.assemblee-nationale.fr/sycomore/fiche/(num_dept)/1252", "1252")</f>
        <v>0</v>
      </c>
      <c r="M2759">
        <f>HYPERLINK("https://www.senat.fr/senateur-3eme-republique/brogly_medard1116r3.html", "brogly_medard1116r3")</f>
        <v>0</v>
      </c>
      <c r="N2759">
        <f>HYPERLINK("https://www.wikidata.org/wiki/Q118855", "Q118855")</f>
        <v>0</v>
      </c>
      <c r="O2759" t="s">
        <v>20049</v>
      </c>
      <c r="P2759" t="s">
        <v>20407</v>
      </c>
      <c r="Q2759" t="s">
        <v>20588</v>
      </c>
      <c r="R2759" t="s">
        <v>413</v>
      </c>
      <c r="S2759">
        <v>1493</v>
      </c>
    </row>
    <row r="2760" spans="1:19">
      <c r="A2760" t="s">
        <v>23</v>
      </c>
      <c r="B2760" t="s">
        <v>148</v>
      </c>
      <c r="C2760" t="s">
        <v>155</v>
      </c>
      <c r="D2760" t="s">
        <v>284</v>
      </c>
      <c r="E2760" t="s">
        <v>413</v>
      </c>
      <c r="F2760">
        <f>HYPERLINK("https://www.wikidata.org/wiki/Q33728280", "Q33728280")</f>
        <v>0</v>
      </c>
      <c r="G2760" t="s">
        <v>893</v>
      </c>
      <c r="H2760" t="s">
        <v>5649</v>
      </c>
      <c r="I2760" t="s">
        <v>9578</v>
      </c>
      <c r="J2760" t="s">
        <v>11639</v>
      </c>
      <c r="K2760" t="s">
        <v>15822</v>
      </c>
      <c r="L2760">
        <f>HYPERLINK("https://www2.assemblee-nationale.fr/sycomore/fiche/(num_dept)/1275", "1275")</f>
        <v>0</v>
      </c>
      <c r="N2760">
        <f>HYPERLINK("https://www.wikidata.org/wiki/Q15973958", "Q15973958")</f>
        <v>0</v>
      </c>
      <c r="O2760" t="s">
        <v>19966</v>
      </c>
      <c r="P2760" t="s">
        <v>20432</v>
      </c>
      <c r="Q2760" t="s">
        <v>20588</v>
      </c>
      <c r="R2760" t="s">
        <v>413</v>
      </c>
      <c r="S2760">
        <v>1493</v>
      </c>
    </row>
    <row r="2761" spans="1:19">
      <c r="A2761" t="s">
        <v>23</v>
      </c>
      <c r="B2761" t="s">
        <v>148</v>
      </c>
      <c r="C2761" t="s">
        <v>155</v>
      </c>
      <c r="D2761" t="s">
        <v>284</v>
      </c>
      <c r="E2761" t="s">
        <v>413</v>
      </c>
      <c r="F2761">
        <f>HYPERLINK("https://www.wikidata.org/wiki/Q33728280", "Q33728280")</f>
        <v>0</v>
      </c>
      <c r="G2761" t="s">
        <v>1155</v>
      </c>
      <c r="H2761" t="s">
        <v>5650</v>
      </c>
      <c r="I2761" t="s">
        <v>9683</v>
      </c>
      <c r="J2761" t="s">
        <v>11889</v>
      </c>
      <c r="K2761" t="s">
        <v>16290</v>
      </c>
      <c r="L2761">
        <f>HYPERLINK("https://www2.assemblee-nationale.fr/sycomore/fiche/(num_dept)/1284", "1284")</f>
        <v>0</v>
      </c>
      <c r="N2761">
        <f>HYPERLINK("https://www.wikidata.org/wiki/Q2853742", "Q2853742")</f>
        <v>0</v>
      </c>
      <c r="O2761" t="s">
        <v>19969</v>
      </c>
      <c r="P2761" t="s">
        <v>20433</v>
      </c>
      <c r="Q2761" t="s">
        <v>20588</v>
      </c>
      <c r="R2761" t="s">
        <v>16290</v>
      </c>
      <c r="S2761">
        <v>1455</v>
      </c>
    </row>
    <row r="2762" spans="1:19">
      <c r="A2762" t="s">
        <v>23</v>
      </c>
      <c r="B2762" t="s">
        <v>148</v>
      </c>
      <c r="C2762" t="s">
        <v>155</v>
      </c>
      <c r="D2762" t="s">
        <v>284</v>
      </c>
      <c r="E2762" t="s">
        <v>413</v>
      </c>
      <c r="F2762">
        <f>HYPERLINK("https://www.wikidata.org/wiki/Q33728280", "Q33728280")</f>
        <v>0</v>
      </c>
      <c r="G2762" t="s">
        <v>2021</v>
      </c>
      <c r="H2762" t="s">
        <v>5650</v>
      </c>
      <c r="I2762" t="s">
        <v>9476</v>
      </c>
      <c r="J2762" t="s">
        <v>12697</v>
      </c>
      <c r="K2762" t="s">
        <v>17108</v>
      </c>
      <c r="L2762">
        <f>HYPERLINK("https://www2.assemblee-nationale.fr/sycomore/fiche/(num_dept)/1290", "1290")</f>
        <v>0</v>
      </c>
      <c r="N2762">
        <f>HYPERLINK("https://www.wikidata.org/wiki/Q3425935", "Q3425935")</f>
        <v>0</v>
      </c>
      <c r="O2762" t="s">
        <v>20044</v>
      </c>
      <c r="P2762" t="s">
        <v>20404</v>
      </c>
      <c r="Q2762" t="s">
        <v>20588</v>
      </c>
      <c r="R2762" t="s">
        <v>413</v>
      </c>
      <c r="S2762">
        <v>1493</v>
      </c>
    </row>
    <row r="2763" spans="1:19">
      <c r="A2763" t="s">
        <v>23</v>
      </c>
      <c r="B2763" t="s">
        <v>148</v>
      </c>
      <c r="C2763" t="s">
        <v>155</v>
      </c>
      <c r="D2763" t="s">
        <v>284</v>
      </c>
      <c r="E2763" t="s">
        <v>413</v>
      </c>
      <c r="F2763">
        <f>HYPERLINK("https://www.wikidata.org/wiki/Q33728280", "Q33728280")</f>
        <v>0</v>
      </c>
      <c r="G2763" t="s">
        <v>2022</v>
      </c>
      <c r="H2763" t="s">
        <v>6654</v>
      </c>
      <c r="I2763" t="s">
        <v>10051</v>
      </c>
      <c r="J2763" t="s">
        <v>12684</v>
      </c>
      <c r="K2763" t="s">
        <v>17109</v>
      </c>
      <c r="L2763">
        <f>HYPERLINK("https://www2.assemblee-nationale.fr/sycomore/fiche/(num_dept)/1295", "1295")</f>
        <v>0</v>
      </c>
      <c r="N2763">
        <f>HYPERLINK("https://www.wikidata.org/wiki/Q15974045", "Q15974045")</f>
        <v>0</v>
      </c>
      <c r="O2763" t="s">
        <v>19965</v>
      </c>
      <c r="P2763" t="s">
        <v>20428</v>
      </c>
      <c r="Q2763" t="s">
        <v>20588</v>
      </c>
      <c r="R2763" t="s">
        <v>413</v>
      </c>
      <c r="S2763">
        <v>1493</v>
      </c>
    </row>
    <row r="2764" spans="1:19">
      <c r="A2764" t="s">
        <v>23</v>
      </c>
      <c r="B2764" t="s">
        <v>148</v>
      </c>
      <c r="C2764" t="s">
        <v>155</v>
      </c>
      <c r="D2764" t="s">
        <v>284</v>
      </c>
      <c r="E2764" t="s">
        <v>413</v>
      </c>
      <c r="F2764">
        <f>HYPERLINK("https://www.wikidata.org/wiki/Q33728280", "Q33728280")</f>
        <v>0</v>
      </c>
      <c r="G2764" t="s">
        <v>1232</v>
      </c>
      <c r="H2764" t="s">
        <v>5957</v>
      </c>
      <c r="I2764" t="s">
        <v>9717</v>
      </c>
      <c r="J2764" t="s">
        <v>11964</v>
      </c>
      <c r="K2764" t="s">
        <v>16366</v>
      </c>
      <c r="L2764">
        <f>HYPERLINK("https://www2.assemblee-nationale.fr/sycomore/fiche/(num_dept)/1304", "1304")</f>
        <v>0</v>
      </c>
      <c r="N2764">
        <f>HYPERLINK("https://www.wikidata.org/wiki/Q3511108", "Q3511108")</f>
        <v>0</v>
      </c>
      <c r="O2764" t="s">
        <v>20006</v>
      </c>
      <c r="P2764" t="s">
        <v>20404</v>
      </c>
      <c r="Q2764" t="s">
        <v>20588</v>
      </c>
      <c r="R2764" t="s">
        <v>413</v>
      </c>
      <c r="S2764">
        <v>1493</v>
      </c>
    </row>
    <row r="2765" spans="1:19">
      <c r="A2765" t="s">
        <v>23</v>
      </c>
      <c r="B2765" t="s">
        <v>148</v>
      </c>
      <c r="C2765" t="s">
        <v>155</v>
      </c>
      <c r="D2765" t="s">
        <v>284</v>
      </c>
      <c r="E2765" t="s">
        <v>413</v>
      </c>
      <c r="F2765">
        <f>HYPERLINK("https://www.wikidata.org/wiki/Q33728280", "Q33728280")</f>
        <v>0</v>
      </c>
      <c r="G2765" t="s">
        <v>2023</v>
      </c>
      <c r="H2765" t="s">
        <v>6655</v>
      </c>
      <c r="I2765" t="s">
        <v>10052</v>
      </c>
      <c r="J2765" t="s">
        <v>12698</v>
      </c>
      <c r="K2765" t="s">
        <v>17110</v>
      </c>
      <c r="L2765">
        <f>HYPERLINK("https://www2.assemblee-nationale.fr/sycomore/fiche/(num_dept)/1323", "1323")</f>
        <v>0</v>
      </c>
      <c r="N2765">
        <f>HYPERLINK("https://www.wikidata.org/wiki/Q3425940", "Q3425940")</f>
        <v>0</v>
      </c>
      <c r="O2765" t="s">
        <v>19994</v>
      </c>
      <c r="P2765" t="s">
        <v>20404</v>
      </c>
      <c r="Q2765" t="s">
        <v>20588</v>
      </c>
      <c r="R2765" t="s">
        <v>413</v>
      </c>
      <c r="S2765">
        <v>1493</v>
      </c>
    </row>
    <row r="2766" spans="1:19">
      <c r="A2766" t="s">
        <v>23</v>
      </c>
      <c r="B2766" t="s">
        <v>148</v>
      </c>
      <c r="C2766" t="s">
        <v>155</v>
      </c>
      <c r="D2766" t="s">
        <v>284</v>
      </c>
      <c r="E2766" t="s">
        <v>413</v>
      </c>
      <c r="F2766">
        <f>HYPERLINK("https://www.wikidata.org/wiki/Q33728280", "Q33728280")</f>
        <v>0</v>
      </c>
      <c r="G2766" t="s">
        <v>558</v>
      </c>
      <c r="H2766" t="s">
        <v>5321</v>
      </c>
      <c r="I2766" t="s">
        <v>9415</v>
      </c>
      <c r="J2766" t="s">
        <v>11309</v>
      </c>
      <c r="K2766" t="s">
        <v>15710</v>
      </c>
      <c r="L2766">
        <f>HYPERLINK("https://www2.assemblee-nationale.fr/sycomore/fiche/(num_dept)/1325", "1325")</f>
        <v>0</v>
      </c>
      <c r="N2766">
        <f>HYPERLINK("https://www.wikidata.org/wiki/Q15974084", "Q15974084")</f>
        <v>0</v>
      </c>
      <c r="O2766" t="s">
        <v>19969</v>
      </c>
      <c r="P2766" t="s">
        <v>20429</v>
      </c>
      <c r="Q2766" t="s">
        <v>20588</v>
      </c>
      <c r="R2766" t="s">
        <v>413</v>
      </c>
      <c r="S2766">
        <v>1493</v>
      </c>
    </row>
    <row r="2767" spans="1:19">
      <c r="A2767" t="s">
        <v>23</v>
      </c>
      <c r="B2767" t="s">
        <v>148</v>
      </c>
      <c r="C2767" t="s">
        <v>155</v>
      </c>
      <c r="D2767" t="s">
        <v>284</v>
      </c>
      <c r="E2767" t="s">
        <v>413</v>
      </c>
      <c r="F2767">
        <f>HYPERLINK("https://www.wikidata.org/wiki/Q33728280", "Q33728280")</f>
        <v>0</v>
      </c>
      <c r="G2767" t="s">
        <v>2024</v>
      </c>
      <c r="H2767" t="s">
        <v>6656</v>
      </c>
      <c r="I2767" t="s">
        <v>10053</v>
      </c>
      <c r="J2767" t="s">
        <v>12699</v>
      </c>
      <c r="K2767" t="s">
        <v>17111</v>
      </c>
      <c r="L2767">
        <f>HYPERLINK("https://www2.assemblee-nationale.fr/sycomore/fiche/(num_dept)/1333", "1333")</f>
        <v>0</v>
      </c>
      <c r="N2767">
        <f>HYPERLINK("https://www.wikidata.org/wiki/Q3261382", "Q3261382")</f>
        <v>0</v>
      </c>
      <c r="O2767" t="s">
        <v>20006</v>
      </c>
      <c r="P2767" t="s">
        <v>20432</v>
      </c>
      <c r="Q2767" t="s">
        <v>20588</v>
      </c>
      <c r="R2767" t="s">
        <v>413</v>
      </c>
      <c r="S2767">
        <v>1493</v>
      </c>
    </row>
    <row r="2768" spans="1:19">
      <c r="A2768" t="s">
        <v>23</v>
      </c>
      <c r="B2768" t="s">
        <v>148</v>
      </c>
      <c r="C2768" t="s">
        <v>155</v>
      </c>
      <c r="D2768" t="s">
        <v>284</v>
      </c>
      <c r="E2768" t="s">
        <v>413</v>
      </c>
      <c r="F2768">
        <f>HYPERLINK("https://www.wikidata.org/wiki/Q33728280", "Q33728280")</f>
        <v>0</v>
      </c>
      <c r="G2768" t="s">
        <v>1234</v>
      </c>
      <c r="H2768" t="s">
        <v>5959</v>
      </c>
      <c r="I2768" t="s">
        <v>9719</v>
      </c>
      <c r="J2768" t="s">
        <v>11489</v>
      </c>
      <c r="K2768" t="s">
        <v>16368</v>
      </c>
      <c r="L2768">
        <f>HYPERLINK("https://www2.assemblee-nationale.fr/sycomore/fiche/(num_dept)/1346", "1346")</f>
        <v>0</v>
      </c>
      <c r="M2768">
        <f>HYPERLINK("https://www.senat.fr/senateur-3eme-republique/cachin_marcel1405r3.html", "cachin_marcel1405r3")</f>
        <v>0</v>
      </c>
      <c r="N2768">
        <f>HYPERLINK("https://www.wikidata.org/wiki/Q658479", "Q658479")</f>
        <v>0</v>
      </c>
      <c r="O2768" t="s">
        <v>19969</v>
      </c>
      <c r="P2768" t="s">
        <v>20424</v>
      </c>
      <c r="Q2768" t="s">
        <v>20588</v>
      </c>
      <c r="R2768" t="s">
        <v>413</v>
      </c>
      <c r="S2768">
        <v>1493</v>
      </c>
    </row>
    <row r="2769" spans="1:19">
      <c r="A2769" t="s">
        <v>23</v>
      </c>
      <c r="B2769" t="s">
        <v>148</v>
      </c>
      <c r="C2769" t="s">
        <v>155</v>
      </c>
      <c r="D2769" t="s">
        <v>284</v>
      </c>
      <c r="E2769" t="s">
        <v>413</v>
      </c>
      <c r="F2769">
        <f>HYPERLINK("https://www.wikidata.org/wiki/Q33728280", "Q33728280")</f>
        <v>0</v>
      </c>
      <c r="G2769" t="s">
        <v>1743</v>
      </c>
      <c r="H2769" t="s">
        <v>6414</v>
      </c>
      <c r="I2769" t="s">
        <v>9923</v>
      </c>
      <c r="J2769" t="s">
        <v>12444</v>
      </c>
      <c r="K2769" t="s">
        <v>16851</v>
      </c>
      <c r="L2769">
        <f>HYPERLINK("https://www2.assemblee-nationale.fr/sycomore/fiche/(num_dept)/1350", "1350")</f>
        <v>0</v>
      </c>
      <c r="N2769">
        <f>HYPERLINK("https://www.wikidata.org/wiki/Q3184693", "Q3184693")</f>
        <v>0</v>
      </c>
      <c r="O2769" t="s">
        <v>19961</v>
      </c>
      <c r="P2769" t="s">
        <v>20422</v>
      </c>
      <c r="Q2769" t="s">
        <v>20588</v>
      </c>
      <c r="R2769" t="s">
        <v>413</v>
      </c>
      <c r="S2769">
        <v>1493</v>
      </c>
    </row>
    <row r="2770" spans="1:19">
      <c r="A2770" t="s">
        <v>23</v>
      </c>
      <c r="B2770" t="s">
        <v>148</v>
      </c>
      <c r="C2770" t="s">
        <v>155</v>
      </c>
      <c r="D2770" t="s">
        <v>284</v>
      </c>
      <c r="E2770" t="s">
        <v>413</v>
      </c>
      <c r="F2770">
        <f>HYPERLINK("https://www.wikidata.org/wiki/Q33728280", "Q33728280")</f>
        <v>0</v>
      </c>
      <c r="G2770" t="s">
        <v>1157</v>
      </c>
      <c r="H2770" t="s">
        <v>5891</v>
      </c>
      <c r="I2770" t="s">
        <v>9685</v>
      </c>
      <c r="J2770" t="s">
        <v>11891</v>
      </c>
      <c r="K2770" t="s">
        <v>16292</v>
      </c>
      <c r="L2770">
        <f>HYPERLINK("https://www2.assemblee-nationale.fr/sycomore/fiche/(num_dept)/1356", "1356")</f>
        <v>0</v>
      </c>
      <c r="N2770">
        <f>HYPERLINK("https://www.wikidata.org/wiki/Q2959687", "Q2959687")</f>
        <v>0</v>
      </c>
      <c r="O2770" t="s">
        <v>7411</v>
      </c>
      <c r="P2770" t="s">
        <v>20428</v>
      </c>
      <c r="Q2770" t="s">
        <v>20588</v>
      </c>
      <c r="R2770" t="s">
        <v>413</v>
      </c>
      <c r="S2770">
        <v>1493</v>
      </c>
    </row>
    <row r="2771" spans="1:19">
      <c r="A2771" t="s">
        <v>23</v>
      </c>
      <c r="B2771" t="s">
        <v>148</v>
      </c>
      <c r="C2771" t="s">
        <v>155</v>
      </c>
      <c r="D2771" t="s">
        <v>284</v>
      </c>
      <c r="E2771" t="s">
        <v>413</v>
      </c>
      <c r="F2771">
        <f>HYPERLINK("https://www.wikidata.org/wiki/Q33728280", "Q33728280")</f>
        <v>0</v>
      </c>
      <c r="G2771" t="s">
        <v>2025</v>
      </c>
      <c r="H2771" t="s">
        <v>6657</v>
      </c>
      <c r="I2771" t="s">
        <v>10054</v>
      </c>
      <c r="J2771" t="s">
        <v>12700</v>
      </c>
      <c r="K2771" t="s">
        <v>17112</v>
      </c>
      <c r="L2771">
        <f>HYPERLINK("https://www2.assemblee-nationale.fr/sycomore/fiche/(num_dept)/1379", "1379")</f>
        <v>0</v>
      </c>
      <c r="N2771">
        <f>HYPERLINK("https://www.wikidata.org/wiki/Q2834469", "Q2834469")</f>
        <v>0</v>
      </c>
      <c r="O2771" t="s">
        <v>20018</v>
      </c>
      <c r="P2771" t="s">
        <v>20422</v>
      </c>
      <c r="Q2771" t="s">
        <v>20588</v>
      </c>
      <c r="R2771" t="s">
        <v>413</v>
      </c>
      <c r="S2771">
        <v>1493</v>
      </c>
    </row>
    <row r="2772" spans="1:19">
      <c r="A2772" t="s">
        <v>23</v>
      </c>
      <c r="B2772" t="s">
        <v>148</v>
      </c>
      <c r="C2772" t="s">
        <v>155</v>
      </c>
      <c r="D2772" t="s">
        <v>284</v>
      </c>
      <c r="E2772" t="s">
        <v>413</v>
      </c>
      <c r="F2772">
        <f>HYPERLINK("https://www.wikidata.org/wiki/Q33728280", "Q33728280")</f>
        <v>0</v>
      </c>
      <c r="G2772" t="s">
        <v>2026</v>
      </c>
      <c r="H2772" t="s">
        <v>6658</v>
      </c>
      <c r="I2772" t="s">
        <v>6200</v>
      </c>
      <c r="J2772" t="s">
        <v>12701</v>
      </c>
      <c r="K2772" t="s">
        <v>17113</v>
      </c>
      <c r="L2772">
        <f>HYPERLINK("https://www2.assemblee-nationale.fr/sycomore/fiche/(num_dept)/1391", "1391")</f>
        <v>0</v>
      </c>
      <c r="N2772">
        <f>HYPERLINK("https://www.wikidata.org/wiki/Q15974111", "Q15974111")</f>
        <v>0</v>
      </c>
      <c r="O2772" t="s">
        <v>19962</v>
      </c>
      <c r="P2772" t="s">
        <v>20404</v>
      </c>
      <c r="Q2772" t="s">
        <v>20588</v>
      </c>
      <c r="R2772" t="s">
        <v>413</v>
      </c>
      <c r="S2772">
        <v>1493</v>
      </c>
    </row>
    <row r="2773" spans="1:19">
      <c r="A2773" t="s">
        <v>23</v>
      </c>
      <c r="B2773" t="s">
        <v>148</v>
      </c>
      <c r="C2773" t="s">
        <v>155</v>
      </c>
      <c r="D2773" t="s">
        <v>284</v>
      </c>
      <c r="E2773" t="s">
        <v>413</v>
      </c>
      <c r="F2773">
        <f>HYPERLINK("https://www.wikidata.org/wiki/Q33728280", "Q33728280")</f>
        <v>0</v>
      </c>
      <c r="G2773" t="s">
        <v>2027</v>
      </c>
      <c r="H2773" t="s">
        <v>6659</v>
      </c>
      <c r="I2773" t="s">
        <v>5592</v>
      </c>
      <c r="J2773" t="s">
        <v>12702</v>
      </c>
      <c r="K2773" t="s">
        <v>16953</v>
      </c>
      <c r="L2773">
        <f>HYPERLINK("https://www2.assemblee-nationale.fr/sycomore/fiche/(num_dept)/1399", "1399")</f>
        <v>0</v>
      </c>
      <c r="M2773">
        <f>HYPERLINK("https://www.senat.fr/senateur-3eme-republique/camboulives_laurent1689r3.html", "camboulives_laurent1689r3")</f>
        <v>0</v>
      </c>
      <c r="N2773">
        <f>HYPERLINK("https://www.wikidata.org/wiki/Q3219095", "Q3219095")</f>
        <v>0</v>
      </c>
      <c r="O2773" t="s">
        <v>19962</v>
      </c>
      <c r="P2773" t="s">
        <v>20404</v>
      </c>
      <c r="Q2773" t="s">
        <v>20588</v>
      </c>
      <c r="R2773" t="s">
        <v>413</v>
      </c>
      <c r="S2773">
        <v>1493</v>
      </c>
    </row>
    <row r="2774" spans="1:19">
      <c r="A2774" t="s">
        <v>23</v>
      </c>
      <c r="B2774" t="s">
        <v>148</v>
      </c>
      <c r="C2774" t="s">
        <v>155</v>
      </c>
      <c r="D2774" t="s">
        <v>284</v>
      </c>
      <c r="E2774" t="s">
        <v>413</v>
      </c>
      <c r="F2774">
        <f>HYPERLINK("https://www.wikidata.org/wiki/Q33728280", "Q33728280")</f>
        <v>0</v>
      </c>
      <c r="G2774" t="s">
        <v>1100</v>
      </c>
      <c r="H2774" t="s">
        <v>5841</v>
      </c>
      <c r="I2774" t="s">
        <v>6707</v>
      </c>
      <c r="J2774" t="s">
        <v>11836</v>
      </c>
      <c r="K2774" t="s">
        <v>16236</v>
      </c>
      <c r="L2774">
        <f>HYPERLINK("https://www2.assemblee-nationale.fr/sycomore/fiche/(num_dept)/1415", "1415")</f>
        <v>0</v>
      </c>
      <c r="N2774">
        <f>HYPERLINK("https://www.wikidata.org/wiki/Q3115697", "Q3115697")</f>
        <v>0</v>
      </c>
      <c r="O2774" t="s">
        <v>20028</v>
      </c>
      <c r="P2774" t="s">
        <v>20401</v>
      </c>
      <c r="Q2774" t="s">
        <v>20588</v>
      </c>
      <c r="R2774" t="s">
        <v>413</v>
      </c>
      <c r="S2774">
        <v>1493</v>
      </c>
    </row>
    <row r="2775" spans="1:19">
      <c r="A2775" t="s">
        <v>23</v>
      </c>
      <c r="B2775" t="s">
        <v>148</v>
      </c>
      <c r="C2775" t="s">
        <v>155</v>
      </c>
      <c r="D2775" t="s">
        <v>284</v>
      </c>
      <c r="E2775" t="s">
        <v>413</v>
      </c>
      <c r="F2775">
        <f>HYPERLINK("https://www.wikidata.org/wiki/Q33728280", "Q33728280")</f>
        <v>0</v>
      </c>
      <c r="G2775" t="s">
        <v>2028</v>
      </c>
      <c r="H2775" t="s">
        <v>6660</v>
      </c>
      <c r="I2775" t="s">
        <v>10055</v>
      </c>
      <c r="J2775" t="s">
        <v>12703</v>
      </c>
      <c r="K2775" t="s">
        <v>17114</v>
      </c>
      <c r="L2775">
        <f>HYPERLINK("https://www2.assemblee-nationale.fr/sycomore/fiche/(num_dept)/1419", "1419")</f>
        <v>0</v>
      </c>
      <c r="N2775">
        <f>HYPERLINK("https://www.wikidata.org/wiki/Q15974141", "Q15974141")</f>
        <v>0</v>
      </c>
      <c r="O2775" t="s">
        <v>19968</v>
      </c>
      <c r="P2775" t="s">
        <v>20433</v>
      </c>
      <c r="Q2775" t="s">
        <v>20588</v>
      </c>
      <c r="R2775" t="s">
        <v>413</v>
      </c>
      <c r="S2775">
        <v>1493</v>
      </c>
    </row>
    <row r="2776" spans="1:19">
      <c r="A2776" t="s">
        <v>23</v>
      </c>
      <c r="B2776" t="s">
        <v>148</v>
      </c>
      <c r="C2776" t="s">
        <v>155</v>
      </c>
      <c r="D2776" t="s">
        <v>284</v>
      </c>
      <c r="E2776" t="s">
        <v>413</v>
      </c>
      <c r="F2776">
        <f>HYPERLINK("https://www.wikidata.org/wiki/Q33728280", "Q33728280")</f>
        <v>0</v>
      </c>
      <c r="G2776" t="s">
        <v>1746</v>
      </c>
      <c r="H2776" t="s">
        <v>6417</v>
      </c>
      <c r="I2776" t="s">
        <v>9401</v>
      </c>
      <c r="J2776" t="s">
        <v>12447</v>
      </c>
      <c r="K2776" t="s">
        <v>16854</v>
      </c>
      <c r="L2776">
        <f>HYPERLINK("https://www2.assemblee-nationale.fr/sycomore/fiche/(num_dept)/1425", "1425")</f>
        <v>0</v>
      </c>
      <c r="N2776">
        <f>HYPERLINK("https://www.wikidata.org/wiki/Q15974133", "Q15974133")</f>
        <v>0</v>
      </c>
      <c r="O2776" t="s">
        <v>20045</v>
      </c>
      <c r="P2776" t="s">
        <v>20404</v>
      </c>
      <c r="Q2776" t="s">
        <v>20588</v>
      </c>
      <c r="R2776" t="s">
        <v>413</v>
      </c>
      <c r="S2776">
        <v>1493</v>
      </c>
    </row>
    <row r="2777" spans="1:19">
      <c r="A2777" t="s">
        <v>23</v>
      </c>
      <c r="B2777" t="s">
        <v>148</v>
      </c>
      <c r="C2777" t="s">
        <v>155</v>
      </c>
      <c r="D2777" t="s">
        <v>284</v>
      </c>
      <c r="E2777" t="s">
        <v>413</v>
      </c>
      <c r="F2777">
        <f>HYPERLINK("https://www.wikidata.org/wiki/Q33728280", "Q33728280")</f>
        <v>0</v>
      </c>
      <c r="G2777" t="s">
        <v>2029</v>
      </c>
      <c r="H2777" t="s">
        <v>6661</v>
      </c>
      <c r="I2777" t="s">
        <v>6585</v>
      </c>
      <c r="J2777" t="s">
        <v>11365</v>
      </c>
      <c r="K2777" t="s">
        <v>17115</v>
      </c>
      <c r="L2777">
        <f>HYPERLINK("https://www2.assemblee-nationale.fr/sycomore/fiche/(num_dept)/1427", "1427")</f>
        <v>0</v>
      </c>
      <c r="N2777">
        <f>HYPERLINK("https://www.wikidata.org/wiki/Q2847437", "Q2847437")</f>
        <v>0</v>
      </c>
      <c r="O2777" t="s">
        <v>20024</v>
      </c>
      <c r="P2777" t="s">
        <v>20422</v>
      </c>
      <c r="Q2777" t="s">
        <v>20588</v>
      </c>
      <c r="R2777" t="s">
        <v>17115</v>
      </c>
      <c r="S2777">
        <v>902</v>
      </c>
    </row>
    <row r="2778" spans="1:19">
      <c r="A2778" t="s">
        <v>23</v>
      </c>
      <c r="B2778" t="s">
        <v>148</v>
      </c>
      <c r="C2778" t="s">
        <v>155</v>
      </c>
      <c r="D2778" t="s">
        <v>284</v>
      </c>
      <c r="E2778" t="s">
        <v>413</v>
      </c>
      <c r="F2778">
        <f>HYPERLINK("https://www.wikidata.org/wiki/Q33728280", "Q33728280")</f>
        <v>0</v>
      </c>
      <c r="G2778" t="s">
        <v>1930</v>
      </c>
      <c r="H2778" t="s">
        <v>6576</v>
      </c>
      <c r="I2778" t="s">
        <v>10003</v>
      </c>
      <c r="J2778" t="s">
        <v>12615</v>
      </c>
      <c r="K2778" t="s">
        <v>17026</v>
      </c>
      <c r="L2778">
        <f>HYPERLINK("https://www2.assemblee-nationale.fr/sycomore/fiche/(num_dept)/1445", "1445")</f>
        <v>0</v>
      </c>
      <c r="N2778">
        <f>HYPERLINK("https://www.wikidata.org/wiki/Q3188469", "Q3188469")</f>
        <v>0</v>
      </c>
      <c r="O2778" t="s">
        <v>20013</v>
      </c>
      <c r="P2778" t="s">
        <v>20401</v>
      </c>
      <c r="Q2778" t="s">
        <v>20588</v>
      </c>
      <c r="R2778" t="s">
        <v>413</v>
      </c>
      <c r="S2778">
        <v>1493</v>
      </c>
    </row>
    <row r="2779" spans="1:19">
      <c r="A2779" t="s">
        <v>23</v>
      </c>
      <c r="B2779" t="s">
        <v>148</v>
      </c>
      <c r="C2779" t="s">
        <v>155</v>
      </c>
      <c r="D2779" t="s">
        <v>284</v>
      </c>
      <c r="E2779" t="s">
        <v>413</v>
      </c>
      <c r="F2779">
        <f>HYPERLINK("https://www.wikidata.org/wiki/Q33728280", "Q33728280")</f>
        <v>0</v>
      </c>
      <c r="G2779" t="s">
        <v>1747</v>
      </c>
      <c r="H2779" t="s">
        <v>6418</v>
      </c>
      <c r="I2779" t="s">
        <v>9926</v>
      </c>
      <c r="J2779" t="s">
        <v>12448</v>
      </c>
      <c r="K2779" t="s">
        <v>16855</v>
      </c>
      <c r="L2779">
        <f>HYPERLINK("https://www2.assemblee-nationale.fr/sycomore/fiche/(num_dept)/1447", "1447")</f>
        <v>0</v>
      </c>
      <c r="N2779">
        <f>HYPERLINK("https://www.wikidata.org/wiki/Q15974149", "Q15974149")</f>
        <v>0</v>
      </c>
      <c r="O2779" t="s">
        <v>20042</v>
      </c>
      <c r="P2779" t="s">
        <v>20404</v>
      </c>
      <c r="Q2779" t="s">
        <v>20588</v>
      </c>
      <c r="R2779" t="s">
        <v>413</v>
      </c>
      <c r="S2779">
        <v>1493</v>
      </c>
    </row>
    <row r="2780" spans="1:19">
      <c r="A2780" t="s">
        <v>23</v>
      </c>
      <c r="B2780" t="s">
        <v>148</v>
      </c>
      <c r="C2780" t="s">
        <v>155</v>
      </c>
      <c r="D2780" t="s">
        <v>284</v>
      </c>
      <c r="E2780" t="s">
        <v>413</v>
      </c>
      <c r="F2780">
        <f>HYPERLINK("https://www.wikidata.org/wiki/Q33728280", "Q33728280")</f>
        <v>0</v>
      </c>
      <c r="G2780" t="s">
        <v>2030</v>
      </c>
      <c r="H2780" t="s">
        <v>6662</v>
      </c>
      <c r="I2780" t="s">
        <v>10056</v>
      </c>
      <c r="J2780" t="s">
        <v>12704</v>
      </c>
      <c r="K2780" t="s">
        <v>17116</v>
      </c>
      <c r="L2780">
        <f>HYPERLINK("https://www2.assemblee-nationale.fr/sycomore/fiche/(num_dept)/1499", "1499")</f>
        <v>0</v>
      </c>
      <c r="N2780">
        <f>HYPERLINK("https://www.wikidata.org/wiki/Q3270797", "Q3270797")</f>
        <v>0</v>
      </c>
      <c r="O2780" t="s">
        <v>20014</v>
      </c>
      <c r="P2780" t="s">
        <v>20404</v>
      </c>
      <c r="Q2780" t="s">
        <v>20588</v>
      </c>
      <c r="R2780" t="s">
        <v>413</v>
      </c>
      <c r="S2780">
        <v>1493</v>
      </c>
    </row>
    <row r="2781" spans="1:19">
      <c r="A2781" t="s">
        <v>23</v>
      </c>
      <c r="B2781" t="s">
        <v>148</v>
      </c>
      <c r="C2781" t="s">
        <v>155</v>
      </c>
      <c r="D2781" t="s">
        <v>284</v>
      </c>
      <c r="E2781" t="s">
        <v>413</v>
      </c>
      <c r="F2781">
        <f>HYPERLINK("https://www.wikidata.org/wiki/Q33728280", "Q33728280")</f>
        <v>0</v>
      </c>
      <c r="G2781" t="s">
        <v>1402</v>
      </c>
      <c r="H2781" t="s">
        <v>6113</v>
      </c>
      <c r="I2781" t="s">
        <v>9795</v>
      </c>
      <c r="J2781" t="s">
        <v>12127</v>
      </c>
      <c r="K2781" t="s">
        <v>16529</v>
      </c>
      <c r="L2781">
        <f>HYPERLINK("https://www2.assemblee-nationale.fr/sycomore/fiche/(num_dept)/1505", "1505")</f>
        <v>0</v>
      </c>
      <c r="M2781">
        <f>HYPERLINK("https://www.senat.fr/senateur-3eme-republique/de_castellane_stanislas0375r3.html", "de_castellane_stanislas0375r3")</f>
        <v>0</v>
      </c>
      <c r="N2781">
        <f>HYPERLINK("https://www.wikidata.org/wiki/Q3496715", "Q3496715")</f>
        <v>0</v>
      </c>
      <c r="O2781" t="s">
        <v>19966</v>
      </c>
      <c r="P2781" t="s">
        <v>20412</v>
      </c>
      <c r="Q2781" t="s">
        <v>20588</v>
      </c>
      <c r="R2781" t="s">
        <v>413</v>
      </c>
      <c r="S2781">
        <v>1493</v>
      </c>
    </row>
    <row r="2782" spans="1:19">
      <c r="A2782" t="s">
        <v>23</v>
      </c>
      <c r="B2782" t="s">
        <v>148</v>
      </c>
      <c r="C2782" t="s">
        <v>155</v>
      </c>
      <c r="D2782" t="s">
        <v>284</v>
      </c>
      <c r="E2782" t="s">
        <v>413</v>
      </c>
      <c r="F2782">
        <f>HYPERLINK("https://www.wikidata.org/wiki/Q33728280", "Q33728280")</f>
        <v>0</v>
      </c>
      <c r="G2782" t="s">
        <v>2031</v>
      </c>
      <c r="H2782" t="s">
        <v>6663</v>
      </c>
      <c r="I2782" t="s">
        <v>10057</v>
      </c>
      <c r="J2782" t="s">
        <v>12705</v>
      </c>
      <c r="K2782" t="s">
        <v>17117</v>
      </c>
      <c r="L2782">
        <f>HYPERLINK("https://www2.assemblee-nationale.fr/sycomore/fiche/(num_dept)/1515", "1515")</f>
        <v>0</v>
      </c>
      <c r="N2782">
        <f>HYPERLINK("https://www.wikidata.org/wiki/Q2934881", "Q2934881")</f>
        <v>0</v>
      </c>
      <c r="O2782" t="s">
        <v>20003</v>
      </c>
      <c r="P2782" t="s">
        <v>20428</v>
      </c>
      <c r="Q2782" t="s">
        <v>20588</v>
      </c>
      <c r="R2782" t="s">
        <v>413</v>
      </c>
      <c r="S2782">
        <v>1493</v>
      </c>
    </row>
    <row r="2783" spans="1:19">
      <c r="A2783" t="s">
        <v>23</v>
      </c>
      <c r="B2783" t="s">
        <v>148</v>
      </c>
      <c r="C2783" t="s">
        <v>155</v>
      </c>
      <c r="D2783" t="s">
        <v>284</v>
      </c>
      <c r="E2783" t="s">
        <v>413</v>
      </c>
      <c r="F2783">
        <f>HYPERLINK("https://www.wikidata.org/wiki/Q33728280", "Q33728280")</f>
        <v>0</v>
      </c>
      <c r="G2783" t="s">
        <v>2032</v>
      </c>
      <c r="H2783" t="s">
        <v>6664</v>
      </c>
      <c r="I2783" t="s">
        <v>6860</v>
      </c>
      <c r="J2783" t="s">
        <v>12706</v>
      </c>
      <c r="K2783" t="s">
        <v>17118</v>
      </c>
      <c r="L2783">
        <f>HYPERLINK("https://www2.assemblee-nationale.fr/sycomore/fiche/(num_dept)/1521", "1521")</f>
        <v>0</v>
      </c>
      <c r="N2783">
        <f>HYPERLINK("https://www.wikidata.org/wiki/Q1921652", "Q1921652")</f>
        <v>0</v>
      </c>
      <c r="O2783" t="s">
        <v>19976</v>
      </c>
      <c r="P2783" t="s">
        <v>20432</v>
      </c>
      <c r="Q2783" t="s">
        <v>20588</v>
      </c>
      <c r="R2783" t="s">
        <v>413</v>
      </c>
      <c r="S2783">
        <v>1493</v>
      </c>
    </row>
    <row r="2784" spans="1:19">
      <c r="A2784" t="s">
        <v>23</v>
      </c>
      <c r="B2784" t="s">
        <v>148</v>
      </c>
      <c r="C2784" t="s">
        <v>155</v>
      </c>
      <c r="D2784" t="s">
        <v>284</v>
      </c>
      <c r="E2784" t="s">
        <v>413</v>
      </c>
      <c r="F2784">
        <f>HYPERLINK("https://www.wikidata.org/wiki/Q33728280", "Q33728280")</f>
        <v>0</v>
      </c>
      <c r="G2784" t="s">
        <v>2033</v>
      </c>
      <c r="H2784" t="s">
        <v>6665</v>
      </c>
      <c r="I2784" t="s">
        <v>10058</v>
      </c>
      <c r="J2784" t="s">
        <v>12707</v>
      </c>
      <c r="K2784" t="s">
        <v>17119</v>
      </c>
      <c r="L2784">
        <f>HYPERLINK("https://www2.assemblee-nationale.fr/sycomore/fiche/(num_dept)/1531", "1531")</f>
        <v>0</v>
      </c>
      <c r="N2784">
        <f>HYPERLINK("https://www.wikidata.org/wiki/Q15974215", "Q15974215")</f>
        <v>0</v>
      </c>
      <c r="O2784" t="s">
        <v>19969</v>
      </c>
      <c r="P2784" t="s">
        <v>20412</v>
      </c>
      <c r="Q2784" t="s">
        <v>20588</v>
      </c>
      <c r="R2784" t="s">
        <v>413</v>
      </c>
      <c r="S2784">
        <v>1493</v>
      </c>
    </row>
    <row r="2785" spans="1:19">
      <c r="A2785" t="s">
        <v>23</v>
      </c>
      <c r="B2785" t="s">
        <v>148</v>
      </c>
      <c r="C2785" t="s">
        <v>155</v>
      </c>
      <c r="D2785" t="s">
        <v>284</v>
      </c>
      <c r="E2785" t="s">
        <v>413</v>
      </c>
      <c r="F2785">
        <f>HYPERLINK("https://www.wikidata.org/wiki/Q33728280", "Q33728280")</f>
        <v>0</v>
      </c>
      <c r="G2785" t="s">
        <v>1406</v>
      </c>
      <c r="H2785" t="s">
        <v>6116</v>
      </c>
      <c r="I2785" t="s">
        <v>9797</v>
      </c>
      <c r="J2785" t="s">
        <v>12131</v>
      </c>
      <c r="K2785" t="s">
        <v>16533</v>
      </c>
      <c r="L2785">
        <f>HYPERLINK("https://www2.assemblee-nationale.fr/sycomore/fiche/(num_dept)/1551", "1551")</f>
        <v>0</v>
      </c>
      <c r="N2785">
        <f>HYPERLINK("https://www.wikidata.org/wiki/Q14613510", "Q14613510")</f>
        <v>0</v>
      </c>
      <c r="O2785" t="s">
        <v>20019</v>
      </c>
      <c r="P2785" t="s">
        <v>20428</v>
      </c>
      <c r="Q2785" t="s">
        <v>20588</v>
      </c>
      <c r="R2785" t="s">
        <v>413</v>
      </c>
      <c r="S2785">
        <v>1493</v>
      </c>
    </row>
    <row r="2786" spans="1:19">
      <c r="A2786" t="s">
        <v>23</v>
      </c>
      <c r="B2786" t="s">
        <v>148</v>
      </c>
      <c r="C2786" t="s">
        <v>155</v>
      </c>
      <c r="D2786" t="s">
        <v>284</v>
      </c>
      <c r="E2786" t="s">
        <v>413</v>
      </c>
      <c r="F2786">
        <f>HYPERLINK("https://www.wikidata.org/wiki/Q33728280", "Q33728280")</f>
        <v>0</v>
      </c>
      <c r="G2786" t="s">
        <v>2034</v>
      </c>
      <c r="H2786" t="s">
        <v>6666</v>
      </c>
      <c r="I2786" t="s">
        <v>8319</v>
      </c>
      <c r="J2786" t="s">
        <v>12708</v>
      </c>
      <c r="K2786" t="s">
        <v>17043</v>
      </c>
      <c r="L2786">
        <f>HYPERLINK("https://www2.assemblee-nationale.fr/sycomore/fiche/(num_dept)/1553", "1553")</f>
        <v>0</v>
      </c>
      <c r="N2786">
        <f>HYPERLINK("https://www.wikidata.org/wiki/Q2980581", "Q2980581")</f>
        <v>0</v>
      </c>
      <c r="O2786" t="s">
        <v>20010</v>
      </c>
      <c r="P2786" t="s">
        <v>20432</v>
      </c>
      <c r="Q2786" t="s">
        <v>20588</v>
      </c>
      <c r="R2786" t="s">
        <v>413</v>
      </c>
      <c r="S2786">
        <v>1493</v>
      </c>
    </row>
    <row r="2787" spans="1:19">
      <c r="A2787" t="s">
        <v>23</v>
      </c>
      <c r="B2787" t="s">
        <v>148</v>
      </c>
      <c r="C2787" t="s">
        <v>155</v>
      </c>
      <c r="D2787" t="s">
        <v>284</v>
      </c>
      <c r="E2787" t="s">
        <v>413</v>
      </c>
      <c r="F2787">
        <f>HYPERLINK("https://www.wikidata.org/wiki/Q33728280", "Q33728280")</f>
        <v>0</v>
      </c>
      <c r="G2787" t="s">
        <v>903</v>
      </c>
      <c r="H2787" t="s">
        <v>5659</v>
      </c>
      <c r="I2787" t="s">
        <v>6200</v>
      </c>
      <c r="J2787" t="s">
        <v>11648</v>
      </c>
      <c r="K2787" t="s">
        <v>16047</v>
      </c>
      <c r="L2787">
        <f>HYPERLINK("https://www2.assemblee-nationale.fr/sycomore/fiche/(num_dept)/1572", "1572")</f>
        <v>0</v>
      </c>
      <c r="N2787">
        <f>HYPERLINK("https://www.wikidata.org/wiki/Q3171180", "Q3171180")</f>
        <v>0</v>
      </c>
      <c r="O2787" t="s">
        <v>20043</v>
      </c>
      <c r="P2787" t="s">
        <v>20401</v>
      </c>
      <c r="Q2787" t="s">
        <v>20588</v>
      </c>
      <c r="R2787" t="s">
        <v>413</v>
      </c>
      <c r="S2787">
        <v>1493</v>
      </c>
    </row>
    <row r="2788" spans="1:19">
      <c r="A2788" t="s">
        <v>23</v>
      </c>
      <c r="B2788" t="s">
        <v>148</v>
      </c>
      <c r="C2788" t="s">
        <v>155</v>
      </c>
      <c r="D2788" t="s">
        <v>284</v>
      </c>
      <c r="E2788" t="s">
        <v>413</v>
      </c>
      <c r="F2788">
        <f>HYPERLINK("https://www.wikidata.org/wiki/Q33728280", "Q33728280")</f>
        <v>0</v>
      </c>
      <c r="G2788" t="s">
        <v>1753</v>
      </c>
      <c r="H2788" t="s">
        <v>6423</v>
      </c>
      <c r="I2788" t="s">
        <v>7419</v>
      </c>
      <c r="J2788" t="s">
        <v>12453</v>
      </c>
      <c r="K2788" t="s">
        <v>16859</v>
      </c>
      <c r="L2788">
        <f>HYPERLINK("https://www2.assemblee-nationale.fr/sycomore/fiche/(num_dept)/1626", "1626")</f>
        <v>0</v>
      </c>
      <c r="M2788">
        <f>HYPERLINK("https://www.senat.fr/senateur-3eme-republique/de_chammard_jacques0464r3.html", "de_chammard_jacques0464r3")</f>
        <v>0</v>
      </c>
      <c r="N2788">
        <f>HYPERLINK("https://www.wikidata.org/wiki/Q3160262", "Q3160262")</f>
        <v>0</v>
      </c>
      <c r="O2788" t="s">
        <v>20020</v>
      </c>
      <c r="P2788" t="s">
        <v>20428</v>
      </c>
      <c r="Q2788" t="s">
        <v>20588</v>
      </c>
      <c r="R2788" t="s">
        <v>413</v>
      </c>
      <c r="S2788">
        <v>1493</v>
      </c>
    </row>
    <row r="2789" spans="1:19">
      <c r="A2789" t="s">
        <v>23</v>
      </c>
      <c r="B2789" t="s">
        <v>148</v>
      </c>
      <c r="C2789" t="s">
        <v>155</v>
      </c>
      <c r="D2789" t="s">
        <v>284</v>
      </c>
      <c r="E2789" t="s">
        <v>413</v>
      </c>
      <c r="F2789">
        <f>HYPERLINK("https://www.wikidata.org/wiki/Q33728280", "Q33728280")</f>
        <v>0</v>
      </c>
      <c r="G2789" t="s">
        <v>569</v>
      </c>
      <c r="H2789" t="s">
        <v>5332</v>
      </c>
      <c r="I2789" t="s">
        <v>9422</v>
      </c>
      <c r="J2789" t="s">
        <v>11320</v>
      </c>
      <c r="K2789" t="s">
        <v>15721</v>
      </c>
      <c r="L2789">
        <f>HYPERLINK("https://www2.assemblee-nationale.fr/sycomore/fiche/(num_dept)/1693", "1693")</f>
        <v>0</v>
      </c>
      <c r="M2789">
        <f>HYPERLINK("https://www.senat.fr/senateur-3eme-republique/chassaing_eugene0995r3.html", "chassaing_eugene0995r3")</f>
        <v>0</v>
      </c>
      <c r="N2789">
        <f>HYPERLINK("https://www.wikidata.org/wiki/Q3059770", "Q3059770")</f>
        <v>0</v>
      </c>
      <c r="O2789" t="s">
        <v>20005</v>
      </c>
      <c r="P2789" t="s">
        <v>20428</v>
      </c>
      <c r="Q2789" t="s">
        <v>20588</v>
      </c>
      <c r="R2789" t="s">
        <v>21429</v>
      </c>
      <c r="S2789">
        <v>940</v>
      </c>
    </row>
    <row r="2790" spans="1:19">
      <c r="A2790" t="s">
        <v>23</v>
      </c>
      <c r="B2790" t="s">
        <v>148</v>
      </c>
      <c r="C2790" t="s">
        <v>155</v>
      </c>
      <c r="D2790" t="s">
        <v>284</v>
      </c>
      <c r="E2790" t="s">
        <v>413</v>
      </c>
      <c r="F2790">
        <f>HYPERLINK("https://www.wikidata.org/wiki/Q33728280", "Q33728280")</f>
        <v>0</v>
      </c>
      <c r="G2790" t="s">
        <v>1411</v>
      </c>
      <c r="H2790" t="s">
        <v>5338</v>
      </c>
      <c r="I2790" t="s">
        <v>9534</v>
      </c>
      <c r="J2790" t="s">
        <v>12136</v>
      </c>
      <c r="K2790" t="s">
        <v>16538</v>
      </c>
      <c r="L2790">
        <f>HYPERLINK("https://www2.assemblee-nationale.fr/sycomore/fiche/(num_dept)/1767", "1767")</f>
        <v>0</v>
      </c>
      <c r="N2790">
        <f>HYPERLINK("https://www.wikidata.org/wiki/Q2824794", "Q2824794")</f>
        <v>0</v>
      </c>
      <c r="O2790" t="s">
        <v>19969</v>
      </c>
      <c r="P2790" t="s">
        <v>20401</v>
      </c>
      <c r="Q2790" t="s">
        <v>20588</v>
      </c>
      <c r="R2790" t="s">
        <v>413</v>
      </c>
      <c r="S2790">
        <v>1493</v>
      </c>
    </row>
    <row r="2791" spans="1:19">
      <c r="A2791" t="s">
        <v>23</v>
      </c>
      <c r="B2791" t="s">
        <v>148</v>
      </c>
      <c r="C2791" t="s">
        <v>155</v>
      </c>
      <c r="D2791" t="s">
        <v>284</v>
      </c>
      <c r="E2791" t="s">
        <v>413</v>
      </c>
      <c r="F2791">
        <f>HYPERLINK("https://www.wikidata.org/wiki/Q33728280", "Q33728280")</f>
        <v>0</v>
      </c>
      <c r="G2791" t="s">
        <v>1763</v>
      </c>
      <c r="H2791" t="s">
        <v>6431</v>
      </c>
      <c r="I2791" t="s">
        <v>9709</v>
      </c>
      <c r="J2791" t="s">
        <v>12462</v>
      </c>
      <c r="K2791" t="s">
        <v>16869</v>
      </c>
      <c r="L2791">
        <f>HYPERLINK("https://www2.assemblee-nationale.fr/sycomore/fiche/(num_dept)/1789", "1789")</f>
        <v>0</v>
      </c>
      <c r="N2791">
        <f>HYPERLINK("https://www.wikidata.org/wiki/Q3130828", "Q3130828")</f>
        <v>0</v>
      </c>
      <c r="O2791" t="s">
        <v>19958</v>
      </c>
      <c r="P2791" t="s">
        <v>20428</v>
      </c>
      <c r="Q2791" t="s">
        <v>20588</v>
      </c>
      <c r="R2791" t="s">
        <v>413</v>
      </c>
      <c r="S2791">
        <v>1493</v>
      </c>
    </row>
    <row r="2792" spans="1:19">
      <c r="A2792" t="s">
        <v>23</v>
      </c>
      <c r="B2792" t="s">
        <v>148</v>
      </c>
      <c r="C2792" t="s">
        <v>155</v>
      </c>
      <c r="D2792" t="s">
        <v>284</v>
      </c>
      <c r="E2792" t="s">
        <v>413</v>
      </c>
      <c r="F2792">
        <f>HYPERLINK("https://www.wikidata.org/wiki/Q33728280", "Q33728280")</f>
        <v>0</v>
      </c>
      <c r="G2792" t="s">
        <v>2035</v>
      </c>
      <c r="H2792" t="s">
        <v>6667</v>
      </c>
      <c r="I2792" t="s">
        <v>10059</v>
      </c>
      <c r="J2792" t="s">
        <v>12709</v>
      </c>
      <c r="K2792" t="s">
        <v>17120</v>
      </c>
      <c r="L2792">
        <f>HYPERLINK("https://www2.assemblee-nationale.fr/sycomore/fiche/(num_dept)/1808", "1808")</f>
        <v>0</v>
      </c>
      <c r="N2792">
        <f>HYPERLINK("https://www.wikidata.org/wiki/Q16025448", "Q16025448")</f>
        <v>0</v>
      </c>
      <c r="O2792" t="s">
        <v>20042</v>
      </c>
      <c r="P2792" t="s">
        <v>20404</v>
      </c>
      <c r="Q2792" t="s">
        <v>20588</v>
      </c>
      <c r="R2792" t="s">
        <v>413</v>
      </c>
      <c r="S2792">
        <v>1493</v>
      </c>
    </row>
    <row r="2793" spans="1:19">
      <c r="A2793" t="s">
        <v>23</v>
      </c>
      <c r="B2793" t="s">
        <v>148</v>
      </c>
      <c r="C2793" t="s">
        <v>155</v>
      </c>
      <c r="D2793" t="s">
        <v>284</v>
      </c>
      <c r="E2793" t="s">
        <v>413</v>
      </c>
      <c r="F2793">
        <f>HYPERLINK("https://www.wikidata.org/wiki/Q33728280", "Q33728280")</f>
        <v>0</v>
      </c>
      <c r="G2793" t="s">
        <v>2036</v>
      </c>
      <c r="H2793" t="s">
        <v>6668</v>
      </c>
      <c r="I2793" t="s">
        <v>10060</v>
      </c>
      <c r="J2793" t="s">
        <v>12710</v>
      </c>
      <c r="K2793" t="s">
        <v>17121</v>
      </c>
      <c r="L2793">
        <f>HYPERLINK("https://www2.assemblee-nationale.fr/sycomore/fiche/(num_dept)/1816", "1816")</f>
        <v>0</v>
      </c>
      <c r="N2793">
        <f>HYPERLINK("https://www.wikidata.org/wiki/Q2861802", "Q2861802")</f>
        <v>0</v>
      </c>
      <c r="O2793" t="s">
        <v>19965</v>
      </c>
      <c r="P2793" t="s">
        <v>20404</v>
      </c>
      <c r="Q2793" t="s">
        <v>20588</v>
      </c>
      <c r="R2793" t="s">
        <v>413</v>
      </c>
      <c r="S2793">
        <v>1493</v>
      </c>
    </row>
    <row r="2794" spans="1:19">
      <c r="A2794" t="s">
        <v>23</v>
      </c>
      <c r="B2794" t="s">
        <v>148</v>
      </c>
      <c r="C2794" t="s">
        <v>155</v>
      </c>
      <c r="D2794" t="s">
        <v>284</v>
      </c>
      <c r="E2794" t="s">
        <v>413</v>
      </c>
      <c r="F2794">
        <f>HYPERLINK("https://www.wikidata.org/wiki/Q33728280", "Q33728280")</f>
        <v>0</v>
      </c>
      <c r="G2794" t="s">
        <v>2037</v>
      </c>
      <c r="H2794" t="s">
        <v>6669</v>
      </c>
      <c r="I2794" t="s">
        <v>10061</v>
      </c>
      <c r="J2794" t="s">
        <v>12711</v>
      </c>
      <c r="K2794" t="s">
        <v>17122</v>
      </c>
      <c r="L2794">
        <f>HYPERLINK("https://www2.assemblee-nationale.fr/sycomore/fiche/(num_dept)/1912", "1912")</f>
        <v>0</v>
      </c>
      <c r="N2794">
        <f>HYPERLINK("https://www.wikidata.org/wiki/Q3384483", "Q3384483")</f>
        <v>0</v>
      </c>
      <c r="O2794" t="s">
        <v>19982</v>
      </c>
      <c r="P2794" t="s">
        <v>20428</v>
      </c>
      <c r="Q2794" t="s">
        <v>20588</v>
      </c>
      <c r="R2794" t="s">
        <v>413</v>
      </c>
      <c r="S2794">
        <v>1493</v>
      </c>
    </row>
    <row r="2795" spans="1:19">
      <c r="A2795" t="s">
        <v>23</v>
      </c>
      <c r="B2795" t="s">
        <v>148</v>
      </c>
      <c r="C2795" t="s">
        <v>155</v>
      </c>
      <c r="D2795" t="s">
        <v>284</v>
      </c>
      <c r="E2795" t="s">
        <v>413</v>
      </c>
      <c r="F2795">
        <f>HYPERLINK("https://www.wikidata.org/wiki/Q33728280", "Q33728280")</f>
        <v>0</v>
      </c>
      <c r="G2795" t="s">
        <v>587</v>
      </c>
      <c r="H2795" t="s">
        <v>5348</v>
      </c>
      <c r="I2795" t="s">
        <v>9436</v>
      </c>
      <c r="J2795" t="s">
        <v>11338</v>
      </c>
      <c r="K2795" t="s">
        <v>15739</v>
      </c>
      <c r="L2795">
        <f>HYPERLINK("https://www2.assemblee-nationale.fr/sycomore/fiche/(num_dept)/1934", "1934")</f>
        <v>0</v>
      </c>
      <c r="N2795">
        <f>HYPERLINK("https://www.wikidata.org/wiki/Q2825487", "Q2825487")</f>
        <v>0</v>
      </c>
      <c r="O2795" t="s">
        <v>20014</v>
      </c>
      <c r="P2795" t="s">
        <v>20404</v>
      </c>
      <c r="Q2795" t="s">
        <v>20588</v>
      </c>
      <c r="R2795" t="s">
        <v>413</v>
      </c>
      <c r="S2795">
        <v>1493</v>
      </c>
    </row>
    <row r="2796" spans="1:19">
      <c r="A2796" t="s">
        <v>23</v>
      </c>
      <c r="B2796" t="s">
        <v>148</v>
      </c>
      <c r="C2796" t="s">
        <v>155</v>
      </c>
      <c r="D2796" t="s">
        <v>284</v>
      </c>
      <c r="E2796" t="s">
        <v>413</v>
      </c>
      <c r="F2796">
        <f>HYPERLINK("https://www.wikidata.org/wiki/Q33728280", "Q33728280")</f>
        <v>0</v>
      </c>
      <c r="G2796" t="s">
        <v>1240</v>
      </c>
      <c r="H2796" t="s">
        <v>5965</v>
      </c>
      <c r="I2796" t="s">
        <v>9457</v>
      </c>
      <c r="J2796" t="s">
        <v>11971</v>
      </c>
      <c r="K2796" t="s">
        <v>16374</v>
      </c>
      <c r="L2796">
        <f>HYPERLINK("https://www2.assemblee-nationale.fr/sycomore/fiche/(num_dept)/1939", "1939")</f>
        <v>0</v>
      </c>
      <c r="M2796">
        <f>HYPERLINK("https://www.senat.fr/senateur-3eme-republique/connevot_henri0649r3.html", "connevot_henri0649r3")</f>
        <v>0</v>
      </c>
      <c r="N2796">
        <f>HYPERLINK("https://www.wikidata.org/wiki/Q3130867", "Q3130867")</f>
        <v>0</v>
      </c>
      <c r="O2796" t="s">
        <v>19979</v>
      </c>
      <c r="P2796" t="s">
        <v>20428</v>
      </c>
      <c r="Q2796" t="s">
        <v>20588</v>
      </c>
      <c r="R2796" t="s">
        <v>16473</v>
      </c>
      <c r="S2796">
        <v>1040</v>
      </c>
    </row>
    <row r="2797" spans="1:19">
      <c r="A2797" t="s">
        <v>23</v>
      </c>
      <c r="B2797" t="s">
        <v>148</v>
      </c>
      <c r="C2797" t="s">
        <v>155</v>
      </c>
      <c r="D2797" t="s">
        <v>284</v>
      </c>
      <c r="E2797" t="s">
        <v>413</v>
      </c>
      <c r="F2797">
        <f>HYPERLINK("https://www.wikidata.org/wiki/Q33728280", "Q33728280")</f>
        <v>0</v>
      </c>
      <c r="G2797" t="s">
        <v>1161</v>
      </c>
      <c r="H2797" t="s">
        <v>5867</v>
      </c>
      <c r="I2797" t="s">
        <v>9689</v>
      </c>
      <c r="J2797" t="s">
        <v>11894</v>
      </c>
      <c r="K2797" t="s">
        <v>16296</v>
      </c>
      <c r="L2797">
        <f>HYPERLINK("https://www2.assemblee-nationale.fr/sycomore/fiche/(num_dept)/1944", "1944")</f>
        <v>0</v>
      </c>
      <c r="N2797">
        <f>HYPERLINK("https://www.wikidata.org/wiki/Q3370923", "Q3370923")</f>
        <v>0</v>
      </c>
      <c r="O2797" t="s">
        <v>19999</v>
      </c>
      <c r="P2797" t="s">
        <v>20404</v>
      </c>
      <c r="Q2797" t="s">
        <v>20588</v>
      </c>
      <c r="R2797" t="s">
        <v>16296</v>
      </c>
      <c r="S2797">
        <v>1314</v>
      </c>
    </row>
    <row r="2798" spans="1:19">
      <c r="A2798" t="s">
        <v>23</v>
      </c>
      <c r="B2798" t="s">
        <v>148</v>
      </c>
      <c r="C2798" t="s">
        <v>155</v>
      </c>
      <c r="D2798" t="s">
        <v>284</v>
      </c>
      <c r="E2798" t="s">
        <v>413</v>
      </c>
      <c r="F2798">
        <f>HYPERLINK("https://www.wikidata.org/wiki/Q33728280", "Q33728280")</f>
        <v>0</v>
      </c>
      <c r="G2798" t="s">
        <v>1931</v>
      </c>
      <c r="H2798" t="s">
        <v>6577</v>
      </c>
      <c r="I2798" t="s">
        <v>6158</v>
      </c>
      <c r="J2798" t="s">
        <v>12616</v>
      </c>
      <c r="K2798" t="s">
        <v>17027</v>
      </c>
      <c r="L2798">
        <f>HYPERLINK("https://www2.assemblee-nationale.fr/sycomore/fiche/(num_dept)/1955", "1955")</f>
        <v>0</v>
      </c>
      <c r="N2798">
        <f>HYPERLINK("https://www.wikidata.org/wiki/Q3092409", "Q3092409")</f>
        <v>0</v>
      </c>
      <c r="O2798" t="s">
        <v>20013</v>
      </c>
      <c r="P2798" t="s">
        <v>20422</v>
      </c>
      <c r="Q2798" t="s">
        <v>20588</v>
      </c>
      <c r="R2798" t="s">
        <v>17027</v>
      </c>
      <c r="S2798">
        <v>106</v>
      </c>
    </row>
    <row r="2799" spans="1:19">
      <c r="A2799" t="s">
        <v>23</v>
      </c>
      <c r="B2799" t="s">
        <v>148</v>
      </c>
      <c r="C2799" t="s">
        <v>155</v>
      </c>
      <c r="D2799" t="s">
        <v>284</v>
      </c>
      <c r="E2799" t="s">
        <v>413</v>
      </c>
      <c r="F2799">
        <f>HYPERLINK("https://www.wikidata.org/wiki/Q33728280", "Q33728280")</f>
        <v>0</v>
      </c>
      <c r="G2799" t="s">
        <v>2038</v>
      </c>
      <c r="H2799" t="s">
        <v>6670</v>
      </c>
      <c r="I2799" t="s">
        <v>9755</v>
      </c>
      <c r="J2799" t="s">
        <v>12712</v>
      </c>
      <c r="K2799" t="s">
        <v>17123</v>
      </c>
      <c r="L2799">
        <f>HYPERLINK("https://www2.assemblee-nationale.fr/sycomore/fiche/(num_dept)/1998", "1998")</f>
        <v>0</v>
      </c>
      <c r="N2799">
        <f>HYPERLINK("https://www.wikidata.org/wiki/Q16025489", "Q16025489")</f>
        <v>0</v>
      </c>
      <c r="O2799" t="s">
        <v>20036</v>
      </c>
      <c r="P2799" t="s">
        <v>20404</v>
      </c>
      <c r="Q2799" t="s">
        <v>20588</v>
      </c>
      <c r="R2799" t="s">
        <v>413</v>
      </c>
      <c r="S2799">
        <v>1493</v>
      </c>
    </row>
    <row r="2800" spans="1:19">
      <c r="A2800" t="s">
        <v>23</v>
      </c>
      <c r="B2800" t="s">
        <v>148</v>
      </c>
      <c r="C2800" t="s">
        <v>155</v>
      </c>
      <c r="D2800" t="s">
        <v>284</v>
      </c>
      <c r="E2800" t="s">
        <v>413</v>
      </c>
      <c r="F2800">
        <f>HYPERLINK("https://www.wikidata.org/wiki/Q33728280", "Q33728280")</f>
        <v>0</v>
      </c>
      <c r="G2800" t="s">
        <v>2039</v>
      </c>
      <c r="H2800" t="s">
        <v>6671</v>
      </c>
      <c r="I2800" t="s">
        <v>10062</v>
      </c>
      <c r="J2800" t="s">
        <v>12713</v>
      </c>
      <c r="K2800" t="s">
        <v>17124</v>
      </c>
      <c r="L2800">
        <f>HYPERLINK("https://www2.assemblee-nationale.fr/sycomore/fiche/(num_dept)/2028", "2028")</f>
        <v>0</v>
      </c>
      <c r="N2800">
        <f>HYPERLINK("https://www.wikidata.org/wiki/Q3370944", "Q3370944")</f>
        <v>0</v>
      </c>
      <c r="O2800" t="s">
        <v>20043</v>
      </c>
      <c r="P2800" t="s">
        <v>20428</v>
      </c>
      <c r="Q2800" t="s">
        <v>20588</v>
      </c>
      <c r="R2800" t="s">
        <v>413</v>
      </c>
      <c r="S2800">
        <v>1493</v>
      </c>
    </row>
    <row r="2801" spans="1:19">
      <c r="A2801" t="s">
        <v>23</v>
      </c>
      <c r="B2801" t="s">
        <v>148</v>
      </c>
      <c r="C2801" t="s">
        <v>155</v>
      </c>
      <c r="D2801" t="s">
        <v>284</v>
      </c>
      <c r="E2801" t="s">
        <v>413</v>
      </c>
      <c r="F2801">
        <f>HYPERLINK("https://www.wikidata.org/wiki/Q33728280", "Q33728280")</f>
        <v>0</v>
      </c>
      <c r="G2801" t="s">
        <v>1774</v>
      </c>
      <c r="H2801" t="s">
        <v>6442</v>
      </c>
      <c r="I2801" t="s">
        <v>9944</v>
      </c>
      <c r="J2801" t="s">
        <v>12472</v>
      </c>
      <c r="K2801" t="s">
        <v>16880</v>
      </c>
      <c r="L2801">
        <f>HYPERLINK("https://www2.assemblee-nationale.fr/sycomore/fiche/(num_dept)/2033", "2033")</f>
        <v>0</v>
      </c>
      <c r="N2801">
        <f>HYPERLINK("https://www.wikidata.org/wiki/Q3188501", "Q3188501")</f>
        <v>0</v>
      </c>
      <c r="O2801" t="s">
        <v>19959</v>
      </c>
      <c r="P2801" t="s">
        <v>20428</v>
      </c>
      <c r="Q2801" t="s">
        <v>20588</v>
      </c>
      <c r="R2801" t="s">
        <v>413</v>
      </c>
      <c r="S2801">
        <v>1493</v>
      </c>
    </row>
    <row r="2802" spans="1:19">
      <c r="A2802" t="s">
        <v>23</v>
      </c>
      <c r="B2802" t="s">
        <v>148</v>
      </c>
      <c r="C2802" t="s">
        <v>155</v>
      </c>
      <c r="D2802" t="s">
        <v>284</v>
      </c>
      <c r="E2802" t="s">
        <v>413</v>
      </c>
      <c r="F2802">
        <f>HYPERLINK("https://www.wikidata.org/wiki/Q33728280", "Q33728280")</f>
        <v>0</v>
      </c>
      <c r="G2802" t="s">
        <v>1932</v>
      </c>
      <c r="H2802" t="s">
        <v>6578</v>
      </c>
      <c r="I2802" t="s">
        <v>9958</v>
      </c>
      <c r="J2802" t="s">
        <v>12617</v>
      </c>
      <c r="K2802" t="s">
        <v>17028</v>
      </c>
      <c r="L2802">
        <f>HYPERLINK("https://www2.assemblee-nationale.fr/sycomore/fiche/(num_dept)/2050", "2050")</f>
        <v>0</v>
      </c>
      <c r="N2802">
        <f>HYPERLINK("https://www.wikidata.org/wiki/Q16011109", "Q16011109")</f>
        <v>0</v>
      </c>
      <c r="O2802" t="s">
        <v>20013</v>
      </c>
      <c r="P2802" t="s">
        <v>20422</v>
      </c>
      <c r="Q2802" t="s">
        <v>20588</v>
      </c>
      <c r="R2802" t="s">
        <v>413</v>
      </c>
      <c r="S2802">
        <v>1493</v>
      </c>
    </row>
    <row r="2803" spans="1:19">
      <c r="A2803" t="s">
        <v>23</v>
      </c>
      <c r="B2803" t="s">
        <v>148</v>
      </c>
      <c r="C2803" t="s">
        <v>155</v>
      </c>
      <c r="D2803" t="s">
        <v>284</v>
      </c>
      <c r="E2803" t="s">
        <v>413</v>
      </c>
      <c r="F2803">
        <f>HYPERLINK("https://www.wikidata.org/wiki/Q33728280", "Q33728280")</f>
        <v>0</v>
      </c>
      <c r="G2803" t="s">
        <v>2040</v>
      </c>
      <c r="H2803" t="s">
        <v>6672</v>
      </c>
      <c r="I2803" t="s">
        <v>10063</v>
      </c>
      <c r="J2803" t="s">
        <v>12714</v>
      </c>
      <c r="K2803" t="s">
        <v>16662</v>
      </c>
      <c r="L2803">
        <f>HYPERLINK("https://www2.assemblee-nationale.fr/sycomore/fiche/(num_dept)/2062", "2062")</f>
        <v>0</v>
      </c>
      <c r="N2803">
        <f>HYPERLINK("https://www.wikidata.org/wiki/Q16025502", "Q16025502")</f>
        <v>0</v>
      </c>
      <c r="O2803" t="s">
        <v>20026</v>
      </c>
      <c r="P2803" t="s">
        <v>20422</v>
      </c>
      <c r="Q2803" t="s">
        <v>20588</v>
      </c>
      <c r="R2803" t="s">
        <v>413</v>
      </c>
      <c r="S2803">
        <v>1493</v>
      </c>
    </row>
    <row r="2804" spans="1:19">
      <c r="A2804" t="s">
        <v>23</v>
      </c>
      <c r="B2804" t="s">
        <v>148</v>
      </c>
      <c r="C2804" t="s">
        <v>155</v>
      </c>
      <c r="D2804" t="s">
        <v>284</v>
      </c>
      <c r="E2804" t="s">
        <v>413</v>
      </c>
      <c r="F2804">
        <f>HYPERLINK("https://www.wikidata.org/wiki/Q33728280", "Q33728280")</f>
        <v>0</v>
      </c>
      <c r="G2804" t="s">
        <v>2041</v>
      </c>
      <c r="H2804" t="s">
        <v>6673</v>
      </c>
      <c r="I2804" t="s">
        <v>9506</v>
      </c>
      <c r="J2804" t="s">
        <v>11687</v>
      </c>
      <c r="K2804" t="s">
        <v>17125</v>
      </c>
      <c r="L2804">
        <f>HYPERLINK("https://www2.assemblee-nationale.fr/sycomore/fiche/(num_dept)/2102", "2102")</f>
        <v>0</v>
      </c>
      <c r="N2804">
        <f>HYPERLINK("https://www.wikidata.org/wiki/Q2934903", "Q2934903")</f>
        <v>0</v>
      </c>
      <c r="O2804" t="s">
        <v>20048</v>
      </c>
      <c r="P2804" t="s">
        <v>20431</v>
      </c>
      <c r="Q2804" t="s">
        <v>20588</v>
      </c>
      <c r="R2804" t="s">
        <v>413</v>
      </c>
      <c r="S2804">
        <v>1493</v>
      </c>
    </row>
    <row r="2805" spans="1:19">
      <c r="A2805" t="s">
        <v>23</v>
      </c>
      <c r="B2805" t="s">
        <v>148</v>
      </c>
      <c r="C2805" t="s">
        <v>155</v>
      </c>
      <c r="D2805" t="s">
        <v>284</v>
      </c>
      <c r="E2805" t="s">
        <v>413</v>
      </c>
      <c r="F2805">
        <f>HYPERLINK("https://www.wikidata.org/wiki/Q33728280", "Q33728280")</f>
        <v>0</v>
      </c>
      <c r="G2805" t="s">
        <v>1423</v>
      </c>
      <c r="H2805" t="s">
        <v>6128</v>
      </c>
      <c r="I2805" t="s">
        <v>9728</v>
      </c>
      <c r="J2805" t="s">
        <v>12147</v>
      </c>
      <c r="K2805" t="s">
        <v>16549</v>
      </c>
      <c r="L2805">
        <f>HYPERLINK("https://www2.assemblee-nationale.fr/sycomore/fiche/(num_dept)/2105", "2105")</f>
        <v>0</v>
      </c>
      <c r="N2805">
        <f>HYPERLINK("https://www.wikidata.org/wiki/Q213526", "Q213526")</f>
        <v>0</v>
      </c>
      <c r="O2805" t="s">
        <v>20047</v>
      </c>
      <c r="P2805" t="s">
        <v>20428</v>
      </c>
      <c r="Q2805" t="s">
        <v>20588</v>
      </c>
      <c r="R2805" t="s">
        <v>413</v>
      </c>
      <c r="S2805">
        <v>1493</v>
      </c>
    </row>
    <row r="2806" spans="1:19">
      <c r="A2806" t="s">
        <v>23</v>
      </c>
      <c r="B2806" t="s">
        <v>148</v>
      </c>
      <c r="C2806" t="s">
        <v>155</v>
      </c>
      <c r="D2806" t="s">
        <v>284</v>
      </c>
      <c r="E2806" t="s">
        <v>413</v>
      </c>
      <c r="F2806">
        <f>HYPERLINK("https://www.wikidata.org/wiki/Q33728280", "Q33728280")</f>
        <v>0</v>
      </c>
      <c r="G2806" t="s">
        <v>597</v>
      </c>
      <c r="H2806" t="s">
        <v>5358</v>
      </c>
      <c r="I2806" t="s">
        <v>6584</v>
      </c>
      <c r="J2806" t="s">
        <v>11348</v>
      </c>
      <c r="K2806" t="s">
        <v>15749</v>
      </c>
      <c r="L2806">
        <f>HYPERLINK("https://www2.assemblee-nationale.fr/sycomore/fiche/(num_dept)/2110", "2110")</f>
        <v>0</v>
      </c>
      <c r="N2806">
        <f>HYPERLINK("https://www.wikidata.org/wiki/Q2831073", "Q2831073")</f>
        <v>0</v>
      </c>
      <c r="O2806" t="s">
        <v>19976</v>
      </c>
      <c r="P2806" t="s">
        <v>20428</v>
      </c>
      <c r="Q2806" t="s">
        <v>20588</v>
      </c>
      <c r="R2806" t="s">
        <v>413</v>
      </c>
      <c r="S2806">
        <v>1493</v>
      </c>
    </row>
    <row r="2807" spans="1:19">
      <c r="A2807" t="s">
        <v>23</v>
      </c>
      <c r="B2807" t="s">
        <v>148</v>
      </c>
      <c r="C2807" t="s">
        <v>155</v>
      </c>
      <c r="D2807" t="s">
        <v>284</v>
      </c>
      <c r="E2807" t="s">
        <v>413</v>
      </c>
      <c r="F2807">
        <f>HYPERLINK("https://www.wikidata.org/wiki/Q33728280", "Q33728280")</f>
        <v>0</v>
      </c>
      <c r="G2807" t="s">
        <v>920</v>
      </c>
      <c r="H2807" t="s">
        <v>5676</v>
      </c>
      <c r="I2807" t="s">
        <v>9385</v>
      </c>
      <c r="J2807" t="s">
        <v>11662</v>
      </c>
      <c r="K2807" t="s">
        <v>16063</v>
      </c>
      <c r="L2807">
        <f>HYPERLINK("https://www2.assemblee-nationale.fr/sycomore/fiche/(num_dept)/2124", "2124")</f>
        <v>0</v>
      </c>
      <c r="N2807">
        <f>HYPERLINK("https://www.wikidata.org/wiki/Q2958846", "Q2958846")</f>
        <v>0</v>
      </c>
      <c r="O2807" t="s">
        <v>20011</v>
      </c>
      <c r="P2807" t="s">
        <v>20401</v>
      </c>
      <c r="Q2807" t="s">
        <v>20588</v>
      </c>
      <c r="R2807" t="s">
        <v>413</v>
      </c>
      <c r="S2807">
        <v>1493</v>
      </c>
    </row>
    <row r="2808" spans="1:19">
      <c r="A2808" t="s">
        <v>23</v>
      </c>
      <c r="B2808" t="s">
        <v>148</v>
      </c>
      <c r="C2808" t="s">
        <v>155</v>
      </c>
      <c r="D2808" t="s">
        <v>284</v>
      </c>
      <c r="E2808" t="s">
        <v>413</v>
      </c>
      <c r="F2808">
        <f>HYPERLINK("https://www.wikidata.org/wiki/Q33728280", "Q33728280")</f>
        <v>0</v>
      </c>
      <c r="G2808" t="s">
        <v>2042</v>
      </c>
      <c r="H2808" t="s">
        <v>6674</v>
      </c>
      <c r="I2808" t="s">
        <v>6200</v>
      </c>
      <c r="J2808" t="s">
        <v>12715</v>
      </c>
      <c r="K2808" t="s">
        <v>17126</v>
      </c>
      <c r="L2808">
        <f>HYPERLINK("https://www2.assemblee-nationale.fr/sycomore/fiche/(num_dept)/2187", "2187")</f>
        <v>0</v>
      </c>
      <c r="N2808">
        <f>HYPERLINK("https://www.wikidata.org/wiki/Q16025527", "Q16025527")</f>
        <v>0</v>
      </c>
      <c r="O2808" t="s">
        <v>20013</v>
      </c>
      <c r="P2808" t="s">
        <v>20401</v>
      </c>
      <c r="Q2808" t="s">
        <v>20588</v>
      </c>
      <c r="R2808" t="s">
        <v>413</v>
      </c>
      <c r="S2808">
        <v>1493</v>
      </c>
    </row>
    <row r="2809" spans="1:19">
      <c r="A2809" t="s">
        <v>23</v>
      </c>
      <c r="B2809" t="s">
        <v>148</v>
      </c>
      <c r="C2809" t="s">
        <v>155</v>
      </c>
      <c r="D2809" t="s">
        <v>284</v>
      </c>
      <c r="E2809" t="s">
        <v>413</v>
      </c>
      <c r="F2809">
        <f>HYPERLINK("https://www.wikidata.org/wiki/Q33728280", "Q33728280")</f>
        <v>0</v>
      </c>
      <c r="G2809" t="s">
        <v>2043</v>
      </c>
      <c r="H2809" t="s">
        <v>6675</v>
      </c>
      <c r="I2809" t="s">
        <v>7911</v>
      </c>
      <c r="J2809" t="s">
        <v>12716</v>
      </c>
      <c r="K2809" t="s">
        <v>17127</v>
      </c>
      <c r="L2809">
        <f>HYPERLINK("https://www2.assemblee-nationale.fr/sycomore/fiche/(num_dept)/2197", "2197")</f>
        <v>0</v>
      </c>
      <c r="N2809">
        <f>HYPERLINK("https://www.wikidata.org/wiki/Q2364557", "Q2364557")</f>
        <v>0</v>
      </c>
      <c r="O2809" t="s">
        <v>19977</v>
      </c>
      <c r="P2809" t="s">
        <v>20433</v>
      </c>
      <c r="Q2809" t="s">
        <v>20588</v>
      </c>
      <c r="R2809" t="s">
        <v>413</v>
      </c>
      <c r="S2809">
        <v>1493</v>
      </c>
    </row>
    <row r="2810" spans="1:19">
      <c r="A2810" t="s">
        <v>23</v>
      </c>
      <c r="B2810" t="s">
        <v>148</v>
      </c>
      <c r="C2810" t="s">
        <v>155</v>
      </c>
      <c r="D2810" t="s">
        <v>284</v>
      </c>
      <c r="E2810" t="s">
        <v>413</v>
      </c>
      <c r="F2810">
        <f>HYPERLINK("https://www.wikidata.org/wiki/Q33728280", "Q33728280")</f>
        <v>0</v>
      </c>
      <c r="G2810" t="s">
        <v>2044</v>
      </c>
      <c r="H2810" t="s">
        <v>5968</v>
      </c>
      <c r="I2810" t="s">
        <v>10064</v>
      </c>
      <c r="J2810" t="s">
        <v>12717</v>
      </c>
      <c r="K2810" t="s">
        <v>17128</v>
      </c>
      <c r="L2810">
        <f>HYPERLINK("https://www2.assemblee-nationale.fr/sycomore/fiche/(num_dept)/2230", "2230")</f>
        <v>0</v>
      </c>
      <c r="N2810">
        <f>HYPERLINK("https://www.wikidata.org/wiki/Q16025538", "Q16025538")</f>
        <v>0</v>
      </c>
      <c r="O2810" t="s">
        <v>20015</v>
      </c>
      <c r="P2810" t="s">
        <v>20404</v>
      </c>
      <c r="Q2810" t="s">
        <v>20588</v>
      </c>
      <c r="R2810" t="s">
        <v>413</v>
      </c>
      <c r="S2810">
        <v>1493</v>
      </c>
    </row>
    <row r="2811" spans="1:19">
      <c r="A2811" t="s">
        <v>23</v>
      </c>
      <c r="B2811" t="s">
        <v>148</v>
      </c>
      <c r="C2811" t="s">
        <v>155</v>
      </c>
      <c r="D2811" t="s">
        <v>284</v>
      </c>
      <c r="E2811" t="s">
        <v>413</v>
      </c>
      <c r="F2811">
        <f>HYPERLINK("https://www.wikidata.org/wiki/Q33728280", "Q33728280")</f>
        <v>0</v>
      </c>
      <c r="G2811" t="s">
        <v>2045</v>
      </c>
      <c r="H2811" t="s">
        <v>6676</v>
      </c>
      <c r="I2811" t="s">
        <v>7265</v>
      </c>
      <c r="J2811" t="s">
        <v>12718</v>
      </c>
      <c r="K2811" t="s">
        <v>17129</v>
      </c>
      <c r="L2811">
        <f>HYPERLINK("https://www2.assemblee-nationale.fr/sycomore/fiche/(num_dept)/2241", "2241")</f>
        <v>0</v>
      </c>
      <c r="N2811">
        <f>HYPERLINK("https://www.wikidata.org/wiki/Q16025540", "Q16025540")</f>
        <v>0</v>
      </c>
      <c r="O2811" t="s">
        <v>20026</v>
      </c>
      <c r="P2811" t="s">
        <v>20428</v>
      </c>
      <c r="Q2811" t="s">
        <v>20588</v>
      </c>
      <c r="R2811" t="s">
        <v>15942</v>
      </c>
      <c r="S2811">
        <v>1157</v>
      </c>
    </row>
    <row r="2812" spans="1:19">
      <c r="A2812" t="s">
        <v>23</v>
      </c>
      <c r="B2812" t="s">
        <v>148</v>
      </c>
      <c r="C2812" t="s">
        <v>155</v>
      </c>
      <c r="D2812" t="s">
        <v>284</v>
      </c>
      <c r="E2812" t="s">
        <v>413</v>
      </c>
      <c r="F2812">
        <f>HYPERLINK("https://www.wikidata.org/wiki/Q33728280", "Q33728280")</f>
        <v>0</v>
      </c>
      <c r="G2812" t="s">
        <v>2046</v>
      </c>
      <c r="H2812" t="s">
        <v>6677</v>
      </c>
      <c r="I2812" t="s">
        <v>6860</v>
      </c>
      <c r="J2812" t="s">
        <v>12719</v>
      </c>
      <c r="K2812" t="s">
        <v>17130</v>
      </c>
      <c r="L2812">
        <f>HYPERLINK("https://www2.assemblee-nationale.fr/sycomore/fiche/(num_dept)/2286", "2286")</f>
        <v>0</v>
      </c>
      <c r="N2812">
        <f>HYPERLINK("https://www.wikidata.org/wiki/Q3384681", "Q3384681")</f>
        <v>0</v>
      </c>
      <c r="O2812" t="s">
        <v>20013</v>
      </c>
      <c r="P2812" t="s">
        <v>20404</v>
      </c>
      <c r="Q2812" t="s">
        <v>20588</v>
      </c>
      <c r="R2812" t="s">
        <v>413</v>
      </c>
      <c r="S2812">
        <v>1493</v>
      </c>
    </row>
    <row r="2813" spans="1:19">
      <c r="A2813" t="s">
        <v>23</v>
      </c>
      <c r="B2813" t="s">
        <v>148</v>
      </c>
      <c r="C2813" t="s">
        <v>155</v>
      </c>
      <c r="D2813" t="s">
        <v>284</v>
      </c>
      <c r="E2813" t="s">
        <v>413</v>
      </c>
      <c r="F2813">
        <f>HYPERLINK("https://www.wikidata.org/wiki/Q33728280", "Q33728280")</f>
        <v>0</v>
      </c>
      <c r="G2813" t="s">
        <v>1430</v>
      </c>
      <c r="H2813" t="s">
        <v>6135</v>
      </c>
      <c r="I2813" t="s">
        <v>9385</v>
      </c>
      <c r="J2813" t="s">
        <v>12153</v>
      </c>
      <c r="K2813" t="s">
        <v>16556</v>
      </c>
      <c r="L2813">
        <f>HYPERLINK("https://www2.assemblee-nationale.fr/sycomore/fiche/(num_dept)/2295", "2295")</f>
        <v>0</v>
      </c>
      <c r="M2813">
        <f>HYPERLINK("https://www.senat.fr/senateur-3eme-republique/delesalle_charles0979r3.html", "delesalle_charles0979r3")</f>
        <v>0</v>
      </c>
      <c r="N2813">
        <f>HYPERLINK("https://www.wikidata.org/wiki/Q2958867", "Q2958867")</f>
        <v>0</v>
      </c>
      <c r="O2813" t="s">
        <v>19968</v>
      </c>
      <c r="P2813" t="s">
        <v>20432</v>
      </c>
      <c r="Q2813" t="s">
        <v>20588</v>
      </c>
      <c r="R2813" t="s">
        <v>413</v>
      </c>
      <c r="S2813">
        <v>1493</v>
      </c>
    </row>
    <row r="2814" spans="1:19">
      <c r="A2814" t="s">
        <v>23</v>
      </c>
      <c r="B2814" t="s">
        <v>148</v>
      </c>
      <c r="C2814" t="s">
        <v>155</v>
      </c>
      <c r="D2814" t="s">
        <v>284</v>
      </c>
      <c r="E2814" t="s">
        <v>413</v>
      </c>
      <c r="F2814">
        <f>HYPERLINK("https://www.wikidata.org/wiki/Q33728280", "Q33728280")</f>
        <v>0</v>
      </c>
      <c r="G2814" t="s">
        <v>2047</v>
      </c>
      <c r="H2814" t="s">
        <v>6678</v>
      </c>
      <c r="I2814" t="s">
        <v>7642</v>
      </c>
      <c r="J2814" t="s">
        <v>12720</v>
      </c>
      <c r="K2814" t="s">
        <v>17131</v>
      </c>
      <c r="L2814">
        <f>HYPERLINK("https://www2.assemblee-nationale.fr/sycomore/fiche/(num_dept)/2303", "2303")</f>
        <v>0</v>
      </c>
      <c r="N2814">
        <f>HYPERLINK("https://www.wikidata.org/wiki/Q3300659", "Q3300659")</f>
        <v>0</v>
      </c>
      <c r="O2814" t="s">
        <v>20013</v>
      </c>
      <c r="P2814" t="s">
        <v>20401</v>
      </c>
      <c r="Q2814" t="s">
        <v>20588</v>
      </c>
      <c r="R2814" t="s">
        <v>413</v>
      </c>
      <c r="S2814">
        <v>1493</v>
      </c>
    </row>
    <row r="2815" spans="1:19">
      <c r="A2815" t="s">
        <v>23</v>
      </c>
      <c r="B2815" t="s">
        <v>148</v>
      </c>
      <c r="C2815" t="s">
        <v>155</v>
      </c>
      <c r="D2815" t="s">
        <v>284</v>
      </c>
      <c r="E2815" t="s">
        <v>413</v>
      </c>
      <c r="F2815">
        <f>HYPERLINK("https://www.wikidata.org/wiki/Q33728280", "Q33728280")</f>
        <v>0</v>
      </c>
      <c r="G2815" t="s">
        <v>2048</v>
      </c>
      <c r="H2815" t="s">
        <v>6679</v>
      </c>
      <c r="I2815" t="s">
        <v>10065</v>
      </c>
      <c r="J2815" t="s">
        <v>12721</v>
      </c>
      <c r="K2815" t="s">
        <v>17073</v>
      </c>
      <c r="L2815">
        <f>HYPERLINK("https://www2.assemblee-nationale.fr/sycomore/fiche/(num_dept)/2319", "2319")</f>
        <v>0</v>
      </c>
      <c r="N2815">
        <f>HYPERLINK("https://www.wikidata.org/wiki/Q3093707", "Q3093707")</f>
        <v>0</v>
      </c>
      <c r="O2815" t="s">
        <v>20013</v>
      </c>
      <c r="P2815" t="s">
        <v>20401</v>
      </c>
      <c r="Q2815" t="s">
        <v>20588</v>
      </c>
      <c r="R2815" t="s">
        <v>413</v>
      </c>
      <c r="S2815">
        <v>1493</v>
      </c>
    </row>
    <row r="2816" spans="1:19">
      <c r="A2816" t="s">
        <v>23</v>
      </c>
      <c r="B2816" t="s">
        <v>148</v>
      </c>
      <c r="C2816" t="s">
        <v>155</v>
      </c>
      <c r="D2816" t="s">
        <v>284</v>
      </c>
      <c r="E2816" t="s">
        <v>413</v>
      </c>
      <c r="F2816">
        <f>HYPERLINK("https://www.wikidata.org/wiki/Q33728280", "Q33728280")</f>
        <v>0</v>
      </c>
      <c r="G2816" t="s">
        <v>2049</v>
      </c>
      <c r="H2816" t="s">
        <v>6680</v>
      </c>
      <c r="I2816" t="s">
        <v>9474</v>
      </c>
      <c r="J2816" t="s">
        <v>12722</v>
      </c>
      <c r="K2816" t="s">
        <v>15740</v>
      </c>
      <c r="L2816">
        <f>HYPERLINK("https://www2.assemblee-nationale.fr/sycomore/fiche/(num_dept)/2334", "2334")</f>
        <v>0</v>
      </c>
      <c r="N2816">
        <f>HYPERLINK("https://www.wikidata.org/wiki/Q16025558", "Q16025558")</f>
        <v>0</v>
      </c>
      <c r="O2816" t="s">
        <v>19965</v>
      </c>
      <c r="P2816" t="s">
        <v>20422</v>
      </c>
      <c r="Q2816" t="s">
        <v>20588</v>
      </c>
      <c r="R2816" t="s">
        <v>413</v>
      </c>
      <c r="S2816">
        <v>1493</v>
      </c>
    </row>
    <row r="2817" spans="1:19">
      <c r="A2817" t="s">
        <v>23</v>
      </c>
      <c r="B2817" t="s">
        <v>148</v>
      </c>
      <c r="C2817" t="s">
        <v>155</v>
      </c>
      <c r="D2817" t="s">
        <v>284</v>
      </c>
      <c r="E2817" t="s">
        <v>413</v>
      </c>
      <c r="F2817">
        <f>HYPERLINK("https://www.wikidata.org/wiki/Q33728280", "Q33728280")</f>
        <v>0</v>
      </c>
      <c r="G2817" t="s">
        <v>1432</v>
      </c>
      <c r="H2817" t="s">
        <v>6136</v>
      </c>
      <c r="I2817" t="s">
        <v>6495</v>
      </c>
      <c r="J2817" t="s">
        <v>12155</v>
      </c>
      <c r="K2817" t="s">
        <v>16558</v>
      </c>
      <c r="L2817">
        <f>HYPERLINK("https://www2.assemblee-nationale.fr/sycomore/fiche/(num_dept)/2344", "2344")</f>
        <v>0</v>
      </c>
      <c r="N2817">
        <f>HYPERLINK("https://www.wikidata.org/wiki/Q16025561", "Q16025561")</f>
        <v>0</v>
      </c>
      <c r="O2817" t="s">
        <v>19974</v>
      </c>
      <c r="P2817" t="s">
        <v>20422</v>
      </c>
      <c r="Q2817" t="s">
        <v>20588</v>
      </c>
      <c r="R2817" t="s">
        <v>413</v>
      </c>
      <c r="S2817">
        <v>1493</v>
      </c>
    </row>
    <row r="2818" spans="1:19">
      <c r="A2818" t="s">
        <v>23</v>
      </c>
      <c r="B2818" t="s">
        <v>148</v>
      </c>
      <c r="C2818" t="s">
        <v>155</v>
      </c>
      <c r="D2818" t="s">
        <v>284</v>
      </c>
      <c r="E2818" t="s">
        <v>413</v>
      </c>
      <c r="F2818">
        <f>HYPERLINK("https://www.wikidata.org/wiki/Q33728280", "Q33728280")</f>
        <v>0</v>
      </c>
      <c r="G2818" t="s">
        <v>2050</v>
      </c>
      <c r="H2818" t="s">
        <v>6681</v>
      </c>
      <c r="I2818" t="s">
        <v>10066</v>
      </c>
      <c r="J2818" t="s">
        <v>12723</v>
      </c>
      <c r="K2818" t="s">
        <v>17132</v>
      </c>
      <c r="L2818">
        <f>HYPERLINK("https://www2.assemblee-nationale.fr/sycomore/fiche/(num_dept)/2349", "2349")</f>
        <v>0</v>
      </c>
      <c r="N2818">
        <f>HYPERLINK("https://www.wikidata.org/wiki/Q13080930", "Q13080930")</f>
        <v>0</v>
      </c>
      <c r="O2818" t="s">
        <v>19969</v>
      </c>
      <c r="P2818" t="s">
        <v>20429</v>
      </c>
      <c r="Q2818" t="s">
        <v>20588</v>
      </c>
      <c r="R2818" t="s">
        <v>413</v>
      </c>
      <c r="S2818">
        <v>1493</v>
      </c>
    </row>
    <row r="2819" spans="1:19">
      <c r="A2819" t="s">
        <v>23</v>
      </c>
      <c r="B2819" t="s">
        <v>148</v>
      </c>
      <c r="C2819" t="s">
        <v>155</v>
      </c>
      <c r="D2819" t="s">
        <v>284</v>
      </c>
      <c r="E2819" t="s">
        <v>413</v>
      </c>
      <c r="F2819">
        <f>HYPERLINK("https://www.wikidata.org/wiki/Q33728280", "Q33728280")</f>
        <v>0</v>
      </c>
      <c r="G2819" t="s">
        <v>2051</v>
      </c>
      <c r="H2819" t="s">
        <v>6682</v>
      </c>
      <c r="I2819" t="s">
        <v>6495</v>
      </c>
      <c r="J2819" t="s">
        <v>12724</v>
      </c>
      <c r="K2819" t="s">
        <v>17133</v>
      </c>
      <c r="L2819">
        <f>HYPERLINK("https://www2.assemblee-nationale.fr/sycomore/fiche/(num_dept)/2429", "2429")</f>
        <v>0</v>
      </c>
      <c r="N2819">
        <f>HYPERLINK("https://www.wikidata.org/wiki/Q16025575", "Q16025575")</f>
        <v>0</v>
      </c>
      <c r="O2819" t="s">
        <v>19977</v>
      </c>
      <c r="P2819" t="s">
        <v>20406</v>
      </c>
      <c r="Q2819" t="s">
        <v>20588</v>
      </c>
      <c r="R2819" t="s">
        <v>413</v>
      </c>
      <c r="S2819">
        <v>1493</v>
      </c>
    </row>
    <row r="2820" spans="1:19">
      <c r="A2820" t="s">
        <v>23</v>
      </c>
      <c r="B2820" t="s">
        <v>148</v>
      </c>
      <c r="C2820" t="s">
        <v>155</v>
      </c>
      <c r="D2820" t="s">
        <v>284</v>
      </c>
      <c r="E2820" t="s">
        <v>413</v>
      </c>
      <c r="F2820">
        <f>HYPERLINK("https://www.wikidata.org/wiki/Q33728280", "Q33728280")</f>
        <v>0</v>
      </c>
      <c r="G2820" t="s">
        <v>1783</v>
      </c>
      <c r="H2820" t="s">
        <v>6451</v>
      </c>
      <c r="I2820" t="s">
        <v>9950</v>
      </c>
      <c r="J2820" t="s">
        <v>12479</v>
      </c>
      <c r="K2820" t="s">
        <v>16889</v>
      </c>
      <c r="L2820">
        <f>HYPERLINK("https://www2.assemblee-nationale.fr/sycomore/fiche/(num_dept)/2447", "2447")</f>
        <v>0</v>
      </c>
      <c r="N2820">
        <f>HYPERLINK("https://www.wikidata.org/wiki/Q16025581", "Q16025581")</f>
        <v>0</v>
      </c>
      <c r="O2820" t="s">
        <v>20013</v>
      </c>
      <c r="P2820" t="s">
        <v>20424</v>
      </c>
      <c r="Q2820" t="s">
        <v>20588</v>
      </c>
      <c r="R2820" t="s">
        <v>413</v>
      </c>
      <c r="S2820">
        <v>1493</v>
      </c>
    </row>
    <row r="2821" spans="1:19">
      <c r="A2821" t="s">
        <v>23</v>
      </c>
      <c r="B2821" t="s">
        <v>148</v>
      </c>
      <c r="C2821" t="s">
        <v>155</v>
      </c>
      <c r="D2821" t="s">
        <v>284</v>
      </c>
      <c r="E2821" t="s">
        <v>413</v>
      </c>
      <c r="F2821">
        <f>HYPERLINK("https://www.wikidata.org/wiki/Q33728280", "Q33728280")</f>
        <v>0</v>
      </c>
      <c r="G2821" t="s">
        <v>2052</v>
      </c>
      <c r="H2821" t="s">
        <v>6683</v>
      </c>
      <c r="I2821" t="s">
        <v>9442</v>
      </c>
      <c r="J2821" t="s">
        <v>12725</v>
      </c>
      <c r="K2821" t="s">
        <v>17134</v>
      </c>
      <c r="L2821">
        <f>HYPERLINK("https://www2.assemblee-nationale.fr/sycomore/fiche/(num_dept)/2453", "2453")</f>
        <v>0</v>
      </c>
      <c r="N2821">
        <f>HYPERLINK("https://www.wikidata.org/wiki/Q16025584", "Q16025584")</f>
        <v>0</v>
      </c>
      <c r="O2821" t="s">
        <v>20026</v>
      </c>
      <c r="P2821" t="s">
        <v>20422</v>
      </c>
      <c r="Q2821" t="s">
        <v>20588</v>
      </c>
      <c r="R2821" t="s">
        <v>413</v>
      </c>
      <c r="S2821">
        <v>1493</v>
      </c>
    </row>
    <row r="2822" spans="1:19">
      <c r="A2822" t="s">
        <v>23</v>
      </c>
      <c r="B2822" t="s">
        <v>148</v>
      </c>
      <c r="C2822" t="s">
        <v>155</v>
      </c>
      <c r="D2822" t="s">
        <v>284</v>
      </c>
      <c r="E2822" t="s">
        <v>413</v>
      </c>
      <c r="F2822">
        <f>HYPERLINK("https://www.wikidata.org/wiki/Q33728280", "Q33728280")</f>
        <v>0</v>
      </c>
      <c r="G2822" t="s">
        <v>2053</v>
      </c>
      <c r="H2822" t="s">
        <v>6684</v>
      </c>
      <c r="I2822" t="s">
        <v>9457</v>
      </c>
      <c r="J2822" t="s">
        <v>12726</v>
      </c>
      <c r="K2822" t="s">
        <v>17135</v>
      </c>
      <c r="L2822">
        <f>HYPERLINK("https://www2.assemblee-nationale.fr/sycomore/fiche/(num_dept)/2462", "2462")</f>
        <v>0</v>
      </c>
      <c r="N2822">
        <f>HYPERLINK("https://www.wikidata.org/wiki/Q16025588", "Q16025588")</f>
        <v>0</v>
      </c>
      <c r="O2822" t="s">
        <v>20013</v>
      </c>
      <c r="P2822" t="s">
        <v>20412</v>
      </c>
      <c r="Q2822" t="s">
        <v>20588</v>
      </c>
      <c r="R2822" t="s">
        <v>413</v>
      </c>
      <c r="S2822">
        <v>1493</v>
      </c>
    </row>
    <row r="2823" spans="1:19">
      <c r="A2823" t="s">
        <v>23</v>
      </c>
      <c r="B2823" t="s">
        <v>148</v>
      </c>
      <c r="C2823" t="s">
        <v>155</v>
      </c>
      <c r="D2823" t="s">
        <v>284</v>
      </c>
      <c r="E2823" t="s">
        <v>413</v>
      </c>
      <c r="F2823">
        <f>HYPERLINK("https://www.wikidata.org/wiki/Q33728280", "Q33728280")</f>
        <v>0</v>
      </c>
      <c r="G2823" t="s">
        <v>1250</v>
      </c>
      <c r="H2823" t="s">
        <v>5974</v>
      </c>
      <c r="I2823" t="s">
        <v>6860</v>
      </c>
      <c r="J2823" t="s">
        <v>11980</v>
      </c>
      <c r="K2823" t="s">
        <v>16383</v>
      </c>
      <c r="L2823">
        <f>HYPERLINK("https://www2.assemblee-nationale.fr/sycomore/fiche/(num_dept)/2488", "2488")</f>
        <v>0</v>
      </c>
      <c r="N2823">
        <f>HYPERLINK("https://www.wikidata.org/wiki/Q16025596", "Q16025596")</f>
        <v>0</v>
      </c>
      <c r="O2823" t="s">
        <v>19995</v>
      </c>
      <c r="P2823" t="s">
        <v>20428</v>
      </c>
      <c r="Q2823" t="s">
        <v>20588</v>
      </c>
      <c r="R2823" t="s">
        <v>413</v>
      </c>
      <c r="S2823">
        <v>1493</v>
      </c>
    </row>
    <row r="2824" spans="1:19">
      <c r="A2824" t="s">
        <v>23</v>
      </c>
      <c r="B2824" t="s">
        <v>148</v>
      </c>
      <c r="C2824" t="s">
        <v>155</v>
      </c>
      <c r="D2824" t="s">
        <v>284</v>
      </c>
      <c r="E2824" t="s">
        <v>413</v>
      </c>
      <c r="F2824">
        <f>HYPERLINK("https://www.wikidata.org/wiki/Q33728280", "Q33728280")</f>
        <v>0</v>
      </c>
      <c r="G2824" t="s">
        <v>2054</v>
      </c>
      <c r="H2824" t="s">
        <v>6685</v>
      </c>
      <c r="I2824" t="s">
        <v>6495</v>
      </c>
      <c r="J2824" t="s">
        <v>12387</v>
      </c>
      <c r="K2824" t="s">
        <v>17136</v>
      </c>
      <c r="L2824">
        <f>HYPERLINK("https://www2.assemblee-nationale.fr/sycomore/fiche/(num_dept)/2507", "2507")</f>
        <v>0</v>
      </c>
      <c r="N2824">
        <f>HYPERLINK("https://www.wikidata.org/wiki/Q3261730", "Q3261730")</f>
        <v>0</v>
      </c>
      <c r="O2824" t="s">
        <v>20008</v>
      </c>
      <c r="P2824" t="s">
        <v>20432</v>
      </c>
      <c r="Q2824" t="s">
        <v>20588</v>
      </c>
      <c r="R2824" t="s">
        <v>413</v>
      </c>
      <c r="S2824">
        <v>1493</v>
      </c>
    </row>
    <row r="2825" spans="1:19">
      <c r="A2825" t="s">
        <v>23</v>
      </c>
      <c r="B2825" t="s">
        <v>148</v>
      </c>
      <c r="C2825" t="s">
        <v>155</v>
      </c>
      <c r="D2825" t="s">
        <v>284</v>
      </c>
      <c r="E2825" t="s">
        <v>413</v>
      </c>
      <c r="F2825">
        <f>HYPERLINK("https://www.wikidata.org/wiki/Q33728280", "Q33728280")</f>
        <v>0</v>
      </c>
      <c r="G2825" t="s">
        <v>2055</v>
      </c>
      <c r="H2825" t="s">
        <v>6686</v>
      </c>
      <c r="I2825" t="s">
        <v>9483</v>
      </c>
      <c r="J2825" t="s">
        <v>12727</v>
      </c>
      <c r="K2825" t="s">
        <v>17137</v>
      </c>
      <c r="L2825">
        <f>HYPERLINK("https://www2.assemblee-nationale.fr/sycomore/fiche/(num_dept)/2529", "2529")</f>
        <v>0</v>
      </c>
      <c r="N2825">
        <f>HYPERLINK("https://www.wikidata.org/wiki/Q16025603", "Q16025603")</f>
        <v>0</v>
      </c>
      <c r="O2825" t="s">
        <v>20050</v>
      </c>
      <c r="P2825" t="s">
        <v>20424</v>
      </c>
      <c r="Q2825" t="s">
        <v>20588</v>
      </c>
      <c r="R2825" t="s">
        <v>413</v>
      </c>
      <c r="S2825">
        <v>1493</v>
      </c>
    </row>
    <row r="2826" spans="1:19">
      <c r="A2826" t="s">
        <v>23</v>
      </c>
      <c r="B2826" t="s">
        <v>148</v>
      </c>
      <c r="C2826" t="s">
        <v>155</v>
      </c>
      <c r="D2826" t="s">
        <v>284</v>
      </c>
      <c r="E2826" t="s">
        <v>413</v>
      </c>
      <c r="F2826">
        <f>HYPERLINK("https://www.wikidata.org/wiki/Q33728280", "Q33728280")</f>
        <v>0</v>
      </c>
      <c r="G2826" t="s">
        <v>2056</v>
      </c>
      <c r="H2826" t="s">
        <v>6687</v>
      </c>
      <c r="I2826" t="s">
        <v>7419</v>
      </c>
      <c r="J2826" t="s">
        <v>12728</v>
      </c>
      <c r="K2826" t="s">
        <v>17138</v>
      </c>
      <c r="L2826">
        <f>HYPERLINK("https://www2.assemblee-nationale.fr/sycomore/fiche/(num_dept)/2537", "2537")</f>
        <v>0</v>
      </c>
      <c r="N2826">
        <f>HYPERLINK("https://www.wikidata.org/wiki/Q8343163", "Q8343163")</f>
        <v>0</v>
      </c>
      <c r="O2826" t="s">
        <v>8449</v>
      </c>
      <c r="P2826" t="s">
        <v>20431</v>
      </c>
      <c r="Q2826" t="s">
        <v>20588</v>
      </c>
      <c r="R2826" t="s">
        <v>413</v>
      </c>
      <c r="S2826">
        <v>1493</v>
      </c>
    </row>
    <row r="2827" spans="1:19">
      <c r="A2827" t="s">
        <v>23</v>
      </c>
      <c r="B2827" t="s">
        <v>148</v>
      </c>
      <c r="C2827" t="s">
        <v>155</v>
      </c>
      <c r="D2827" t="s">
        <v>284</v>
      </c>
      <c r="E2827" t="s">
        <v>413</v>
      </c>
      <c r="F2827">
        <f>HYPERLINK("https://www.wikidata.org/wiki/Q33728280", "Q33728280")</f>
        <v>0</v>
      </c>
      <c r="G2827" t="s">
        <v>2057</v>
      </c>
      <c r="H2827" t="s">
        <v>6688</v>
      </c>
      <c r="I2827" t="s">
        <v>7642</v>
      </c>
      <c r="J2827" t="s">
        <v>12729</v>
      </c>
      <c r="K2827" t="s">
        <v>17139</v>
      </c>
      <c r="L2827">
        <f>HYPERLINK("https://www2.assemblee-nationale.fr/sycomore/fiche/(num_dept)/2558", "2558")</f>
        <v>0</v>
      </c>
      <c r="M2827">
        <f>HYPERLINK("https://www.senat.fr/senateur-3eme-republique/dormann_maurice1649r3.html", "dormann_maurice1649r3")</f>
        <v>0</v>
      </c>
      <c r="N2827">
        <f>HYPERLINK("https://www.wikidata.org/wiki/Q3300704", "Q3300704")</f>
        <v>0</v>
      </c>
      <c r="O2827" t="s">
        <v>19976</v>
      </c>
      <c r="P2827" t="s">
        <v>20401</v>
      </c>
      <c r="Q2827" t="s">
        <v>20588</v>
      </c>
      <c r="R2827" t="s">
        <v>413</v>
      </c>
      <c r="S2827">
        <v>1493</v>
      </c>
    </row>
    <row r="2828" spans="1:19">
      <c r="A2828" t="s">
        <v>23</v>
      </c>
      <c r="B2828" t="s">
        <v>148</v>
      </c>
      <c r="C2828" t="s">
        <v>155</v>
      </c>
      <c r="D2828" t="s">
        <v>284</v>
      </c>
      <c r="E2828" t="s">
        <v>413</v>
      </c>
      <c r="F2828">
        <f>HYPERLINK("https://www.wikidata.org/wiki/Q33728280", "Q33728280")</f>
        <v>0</v>
      </c>
      <c r="G2828" t="s">
        <v>2058</v>
      </c>
      <c r="H2828" t="s">
        <v>6689</v>
      </c>
      <c r="I2828" t="s">
        <v>9421</v>
      </c>
      <c r="J2828" t="s">
        <v>12730</v>
      </c>
      <c r="K2828" t="s">
        <v>17140</v>
      </c>
      <c r="L2828">
        <f>HYPERLINK("https://www2.assemblee-nationale.fr/sycomore/fiche/(num_dept)/2571", "2571")</f>
        <v>0</v>
      </c>
      <c r="N2828">
        <f>HYPERLINK("https://www.wikidata.org/wiki/Q3121168", "Q3121168")</f>
        <v>0</v>
      </c>
      <c r="O2828" t="s">
        <v>19969</v>
      </c>
      <c r="P2828" t="s">
        <v>20412</v>
      </c>
      <c r="Q2828" t="s">
        <v>20588</v>
      </c>
      <c r="R2828" t="s">
        <v>413</v>
      </c>
      <c r="S2828">
        <v>1493</v>
      </c>
    </row>
    <row r="2829" spans="1:19">
      <c r="A2829" t="s">
        <v>23</v>
      </c>
      <c r="B2829" t="s">
        <v>148</v>
      </c>
      <c r="C2829" t="s">
        <v>155</v>
      </c>
      <c r="D2829" t="s">
        <v>284</v>
      </c>
      <c r="E2829" t="s">
        <v>413</v>
      </c>
      <c r="F2829">
        <f>HYPERLINK("https://www.wikidata.org/wiki/Q33728280", "Q33728280")</f>
        <v>0</v>
      </c>
      <c r="G2829" t="s">
        <v>939</v>
      </c>
      <c r="H2829" t="s">
        <v>5695</v>
      </c>
      <c r="I2829" t="s">
        <v>9594</v>
      </c>
      <c r="J2829" t="s">
        <v>11680</v>
      </c>
      <c r="K2829" t="s">
        <v>16081</v>
      </c>
      <c r="L2829">
        <f>HYPERLINK("https://www2.assemblee-nationale.fr/sycomore/fiche/(num_dept)/2622", "2622")</f>
        <v>0</v>
      </c>
      <c r="N2829">
        <f>HYPERLINK("https://www.wikidata.org/wiki/Q3261768", "Q3261768")</f>
        <v>0</v>
      </c>
      <c r="O2829" t="s">
        <v>19969</v>
      </c>
      <c r="P2829" t="s">
        <v>20422</v>
      </c>
      <c r="Q2829" t="s">
        <v>20588</v>
      </c>
      <c r="R2829" t="s">
        <v>413</v>
      </c>
      <c r="S2829">
        <v>1493</v>
      </c>
    </row>
    <row r="2830" spans="1:19">
      <c r="A2830" t="s">
        <v>23</v>
      </c>
      <c r="B2830" t="s">
        <v>148</v>
      </c>
      <c r="C2830" t="s">
        <v>155</v>
      </c>
      <c r="D2830" t="s">
        <v>284</v>
      </c>
      <c r="E2830" t="s">
        <v>413</v>
      </c>
      <c r="F2830">
        <f>HYPERLINK("https://www.wikidata.org/wiki/Q33728280", "Q33728280")</f>
        <v>0</v>
      </c>
      <c r="G2830" t="s">
        <v>1926</v>
      </c>
      <c r="H2830" t="s">
        <v>6573</v>
      </c>
      <c r="I2830" t="s">
        <v>7419</v>
      </c>
      <c r="J2830" t="s">
        <v>12611</v>
      </c>
      <c r="K2830" t="s">
        <v>17022</v>
      </c>
      <c r="L2830">
        <f>HYPERLINK("https://www2.assemblee-nationale.fr/sycomore/fiche/(num_dept)/2652", "2652")</f>
        <v>0</v>
      </c>
      <c r="N2830">
        <f>HYPERLINK("https://www.wikidata.org/wiki/Q377790", "Q377790")</f>
        <v>0</v>
      </c>
      <c r="O2830" t="s">
        <v>19969</v>
      </c>
      <c r="P2830" t="s">
        <v>20424</v>
      </c>
      <c r="Q2830" t="s">
        <v>20588</v>
      </c>
      <c r="R2830" t="s">
        <v>413</v>
      </c>
      <c r="S2830">
        <v>1493</v>
      </c>
    </row>
    <row r="2831" spans="1:19">
      <c r="A2831" t="s">
        <v>23</v>
      </c>
      <c r="B2831" t="s">
        <v>148</v>
      </c>
      <c r="C2831" t="s">
        <v>155</v>
      </c>
      <c r="D2831" t="s">
        <v>284</v>
      </c>
      <c r="E2831" t="s">
        <v>413</v>
      </c>
      <c r="F2831">
        <f>HYPERLINK("https://www.wikidata.org/wiki/Q33728280", "Q33728280")</f>
        <v>0</v>
      </c>
      <c r="G2831" t="s">
        <v>1444</v>
      </c>
      <c r="H2831" t="s">
        <v>6145</v>
      </c>
      <c r="I2831" t="s">
        <v>9472</v>
      </c>
      <c r="J2831" t="s">
        <v>12165</v>
      </c>
      <c r="K2831" t="s">
        <v>16570</v>
      </c>
      <c r="L2831">
        <f>HYPERLINK("https://www2.assemblee-nationale.fr/sycomore/fiche/(num_dept)/2655", "2655")</f>
        <v>0</v>
      </c>
      <c r="N2831">
        <f>HYPERLINK("https://www.wikidata.org/wiki/Q3136053", "Q3136053")</f>
        <v>0</v>
      </c>
      <c r="O2831" t="s">
        <v>20016</v>
      </c>
      <c r="P2831" t="s">
        <v>20428</v>
      </c>
      <c r="Q2831" t="s">
        <v>20588</v>
      </c>
      <c r="R2831" t="s">
        <v>413</v>
      </c>
      <c r="S2831">
        <v>1493</v>
      </c>
    </row>
    <row r="2832" spans="1:19">
      <c r="A2832" t="s">
        <v>23</v>
      </c>
      <c r="B2832" t="s">
        <v>148</v>
      </c>
      <c r="C2832" t="s">
        <v>155</v>
      </c>
      <c r="D2832" t="s">
        <v>284</v>
      </c>
      <c r="E2832" t="s">
        <v>413</v>
      </c>
      <c r="F2832">
        <f>HYPERLINK("https://www.wikidata.org/wiki/Q33728280", "Q33728280")</f>
        <v>0</v>
      </c>
      <c r="G2832" t="s">
        <v>2059</v>
      </c>
      <c r="H2832" t="s">
        <v>6690</v>
      </c>
      <c r="I2832" t="s">
        <v>10067</v>
      </c>
      <c r="J2832" t="s">
        <v>12731</v>
      </c>
      <c r="K2832" t="s">
        <v>17141</v>
      </c>
      <c r="L2832">
        <f>HYPERLINK("https://www2.assemblee-nationale.fr/sycomore/fiche/(num_dept)/2687", "2687")</f>
        <v>0</v>
      </c>
      <c r="N2832">
        <f>HYPERLINK("https://www.wikidata.org/wiki/Q16025634", "Q16025634")</f>
        <v>0</v>
      </c>
      <c r="O2832" t="s">
        <v>20022</v>
      </c>
      <c r="P2832" t="s">
        <v>20422</v>
      </c>
      <c r="Q2832" t="s">
        <v>20588</v>
      </c>
      <c r="R2832" t="s">
        <v>413</v>
      </c>
      <c r="S2832">
        <v>1493</v>
      </c>
    </row>
    <row r="2833" spans="1:19">
      <c r="A2833" t="s">
        <v>23</v>
      </c>
      <c r="B2833" t="s">
        <v>148</v>
      </c>
      <c r="C2833" t="s">
        <v>155</v>
      </c>
      <c r="D2833" t="s">
        <v>284</v>
      </c>
      <c r="E2833" t="s">
        <v>413</v>
      </c>
      <c r="F2833">
        <f>HYPERLINK("https://www.wikidata.org/wiki/Q33728280", "Q33728280")</f>
        <v>0</v>
      </c>
      <c r="G2833" t="s">
        <v>2060</v>
      </c>
      <c r="H2833" t="s">
        <v>6691</v>
      </c>
      <c r="I2833" t="s">
        <v>10068</v>
      </c>
      <c r="J2833" t="s">
        <v>12732</v>
      </c>
      <c r="K2833" t="s">
        <v>17142</v>
      </c>
      <c r="L2833">
        <f>HYPERLINK("https://www2.assemblee-nationale.fr/sycomore/fiche/(num_dept)/2696", "2696")</f>
        <v>0</v>
      </c>
      <c r="N2833">
        <f>HYPERLINK("https://www.wikidata.org/wiki/Q16025638", "Q16025638")</f>
        <v>0</v>
      </c>
      <c r="O2833" t="s">
        <v>19969</v>
      </c>
      <c r="P2833" t="s">
        <v>20422</v>
      </c>
      <c r="Q2833" t="s">
        <v>20588</v>
      </c>
      <c r="R2833" t="s">
        <v>413</v>
      </c>
      <c r="S2833">
        <v>1493</v>
      </c>
    </row>
    <row r="2834" spans="1:19">
      <c r="A2834" t="s">
        <v>23</v>
      </c>
      <c r="B2834" t="s">
        <v>148</v>
      </c>
      <c r="C2834" t="s">
        <v>155</v>
      </c>
      <c r="D2834" t="s">
        <v>284</v>
      </c>
      <c r="E2834" t="s">
        <v>413</v>
      </c>
      <c r="F2834">
        <f>HYPERLINK("https://www.wikidata.org/wiki/Q33728280", "Q33728280")</f>
        <v>0</v>
      </c>
      <c r="G2834" t="s">
        <v>625</v>
      </c>
      <c r="H2834" t="s">
        <v>5385</v>
      </c>
      <c r="I2834" t="s">
        <v>9460</v>
      </c>
      <c r="J2834" t="s">
        <v>11375</v>
      </c>
      <c r="K2834" t="s">
        <v>15777</v>
      </c>
      <c r="L2834">
        <f>HYPERLINK("https://www2.assemblee-nationale.fr/sycomore/fiche/(num_dept)/2699", "2699")</f>
        <v>0</v>
      </c>
      <c r="M2834">
        <f>HYPERLINK("https://www.senat.fr/senateur-3eme-republique/dumesnil_jacques1613r3.html", "dumesnil_jacques1613r3")</f>
        <v>0</v>
      </c>
      <c r="N2834">
        <f>HYPERLINK("https://www.wikidata.org/wiki/Q3157989", "Q3157989")</f>
        <v>0</v>
      </c>
      <c r="O2834" t="s">
        <v>20026</v>
      </c>
      <c r="P2834" t="s">
        <v>20428</v>
      </c>
      <c r="Q2834" t="s">
        <v>20588</v>
      </c>
      <c r="R2834" t="s">
        <v>413</v>
      </c>
      <c r="S2834">
        <v>1493</v>
      </c>
    </row>
    <row r="2835" spans="1:19">
      <c r="A2835" t="s">
        <v>23</v>
      </c>
      <c r="B2835" t="s">
        <v>148</v>
      </c>
      <c r="C2835" t="s">
        <v>155</v>
      </c>
      <c r="D2835" t="s">
        <v>284</v>
      </c>
      <c r="E2835" t="s">
        <v>413</v>
      </c>
      <c r="F2835">
        <f>HYPERLINK("https://www.wikidata.org/wiki/Q33728280", "Q33728280")</f>
        <v>0</v>
      </c>
      <c r="G2835" t="s">
        <v>952</v>
      </c>
      <c r="H2835" t="s">
        <v>5704</v>
      </c>
      <c r="I2835" t="s">
        <v>9401</v>
      </c>
      <c r="J2835" t="s">
        <v>11693</v>
      </c>
      <c r="K2835" t="s">
        <v>16094</v>
      </c>
      <c r="L2835">
        <f>HYPERLINK("https://www2.assemblee-nationale.fr/sycomore/fiche/(num_dept)/2750", "2750")</f>
        <v>0</v>
      </c>
      <c r="N2835">
        <f>HYPERLINK("https://www.wikidata.org/wiki/Q2853905", "Q2853905")</f>
        <v>0</v>
      </c>
      <c r="O2835" t="s">
        <v>19997</v>
      </c>
      <c r="P2835" t="s">
        <v>20428</v>
      </c>
      <c r="Q2835" t="s">
        <v>20588</v>
      </c>
      <c r="R2835" t="s">
        <v>16094</v>
      </c>
      <c r="S2835">
        <v>1457</v>
      </c>
    </row>
    <row r="2836" spans="1:19">
      <c r="A2836" t="s">
        <v>23</v>
      </c>
      <c r="B2836" t="s">
        <v>148</v>
      </c>
      <c r="C2836" t="s">
        <v>155</v>
      </c>
      <c r="D2836" t="s">
        <v>284</v>
      </c>
      <c r="E2836" t="s">
        <v>413</v>
      </c>
      <c r="F2836">
        <f>HYPERLINK("https://www.wikidata.org/wiki/Q33728280", "Q33728280")</f>
        <v>0</v>
      </c>
      <c r="G2836" t="s">
        <v>2061</v>
      </c>
      <c r="H2836" t="s">
        <v>5388</v>
      </c>
      <c r="I2836" t="s">
        <v>10069</v>
      </c>
      <c r="J2836" t="s">
        <v>12733</v>
      </c>
      <c r="K2836" t="s">
        <v>17143</v>
      </c>
      <c r="L2836">
        <f>HYPERLINK("https://www2.assemblee-nationale.fr/sycomore/fiche/(num_dept)/2753", "2753")</f>
        <v>0</v>
      </c>
      <c r="N2836">
        <f>HYPERLINK("https://www.wikidata.org/wiki/Q16025654", "Q16025654")</f>
        <v>0</v>
      </c>
      <c r="O2836" t="s">
        <v>19972</v>
      </c>
      <c r="P2836" t="s">
        <v>20430</v>
      </c>
      <c r="Q2836" t="s">
        <v>20588</v>
      </c>
      <c r="R2836" t="s">
        <v>413</v>
      </c>
      <c r="S2836">
        <v>1493</v>
      </c>
    </row>
    <row r="2837" spans="1:19">
      <c r="A2837" t="s">
        <v>23</v>
      </c>
      <c r="B2837" t="s">
        <v>148</v>
      </c>
      <c r="C2837" t="s">
        <v>155</v>
      </c>
      <c r="D2837" t="s">
        <v>284</v>
      </c>
      <c r="E2837" t="s">
        <v>413</v>
      </c>
      <c r="F2837">
        <f>HYPERLINK("https://www.wikidata.org/wiki/Q33728280", "Q33728280")</f>
        <v>0</v>
      </c>
      <c r="G2837" t="s">
        <v>1788</v>
      </c>
      <c r="H2837" t="s">
        <v>5388</v>
      </c>
      <c r="I2837" t="s">
        <v>9535</v>
      </c>
      <c r="J2837" t="s">
        <v>12484</v>
      </c>
      <c r="K2837" t="s">
        <v>16893</v>
      </c>
      <c r="L2837">
        <f>HYPERLINK("https://www2.assemblee-nationale.fr/sycomore/fiche/(num_dept)/2759", "2759")</f>
        <v>0</v>
      </c>
      <c r="N2837">
        <f>HYPERLINK("https://www.wikidata.org/wiki/Q3189483", "Q3189483")</f>
        <v>0</v>
      </c>
      <c r="O2837" t="s">
        <v>19973</v>
      </c>
      <c r="P2837" t="s">
        <v>20428</v>
      </c>
      <c r="Q2837" t="s">
        <v>20588</v>
      </c>
      <c r="R2837" t="s">
        <v>413</v>
      </c>
      <c r="S2837">
        <v>1493</v>
      </c>
    </row>
    <row r="2838" spans="1:19">
      <c r="A2838" t="s">
        <v>23</v>
      </c>
      <c r="B2838" t="s">
        <v>148</v>
      </c>
      <c r="C2838" t="s">
        <v>155</v>
      </c>
      <c r="D2838" t="s">
        <v>284</v>
      </c>
      <c r="E2838" t="s">
        <v>413</v>
      </c>
      <c r="F2838">
        <f>HYPERLINK("https://www.wikidata.org/wiki/Q33728280", "Q33728280")</f>
        <v>0</v>
      </c>
      <c r="G2838" t="s">
        <v>2062</v>
      </c>
      <c r="H2838" t="s">
        <v>6692</v>
      </c>
      <c r="I2838" t="s">
        <v>9593</v>
      </c>
      <c r="J2838" t="s">
        <v>11455</v>
      </c>
      <c r="K2838" t="s">
        <v>17144</v>
      </c>
      <c r="L2838">
        <f>HYPERLINK("https://www2.assemblee-nationale.fr/sycomore/fiche/(num_dept)/2838", "2838")</f>
        <v>0</v>
      </c>
      <c r="N2838">
        <f>HYPERLINK("https://www.wikidata.org/wiki/Q3293800", "Q3293800")</f>
        <v>0</v>
      </c>
      <c r="O2838" t="s">
        <v>20042</v>
      </c>
      <c r="P2838" t="s">
        <v>20407</v>
      </c>
      <c r="Q2838" t="s">
        <v>20588</v>
      </c>
      <c r="R2838" t="s">
        <v>413</v>
      </c>
      <c r="S2838">
        <v>1493</v>
      </c>
    </row>
    <row r="2839" spans="1:19">
      <c r="A2839" t="s">
        <v>23</v>
      </c>
      <c r="B2839" t="s">
        <v>148</v>
      </c>
      <c r="C2839" t="s">
        <v>155</v>
      </c>
      <c r="D2839" t="s">
        <v>284</v>
      </c>
      <c r="E2839" t="s">
        <v>413</v>
      </c>
      <c r="F2839">
        <f>HYPERLINK("https://www.wikidata.org/wiki/Q33728280", "Q33728280")</f>
        <v>0</v>
      </c>
      <c r="G2839" t="s">
        <v>1453</v>
      </c>
      <c r="H2839" t="s">
        <v>6153</v>
      </c>
      <c r="I2839" t="s">
        <v>9414</v>
      </c>
      <c r="J2839" t="s">
        <v>11701</v>
      </c>
      <c r="K2839" t="s">
        <v>16578</v>
      </c>
      <c r="L2839">
        <f>HYPERLINK("https://www2.assemblee-nationale.fr/sycomore/fiche/(num_dept)/2865", "2865")</f>
        <v>0</v>
      </c>
      <c r="N2839">
        <f>HYPERLINK("https://www.wikidata.org/wiki/Q16025676", "Q16025676")</f>
        <v>0</v>
      </c>
      <c r="O2839" t="s">
        <v>19969</v>
      </c>
      <c r="P2839" t="s">
        <v>20422</v>
      </c>
      <c r="Q2839" t="s">
        <v>20588</v>
      </c>
      <c r="R2839" t="s">
        <v>413</v>
      </c>
      <c r="S2839">
        <v>1493</v>
      </c>
    </row>
    <row r="2840" spans="1:19">
      <c r="A2840" t="s">
        <v>23</v>
      </c>
      <c r="B2840" t="s">
        <v>148</v>
      </c>
      <c r="C2840" t="s">
        <v>155</v>
      </c>
      <c r="D2840" t="s">
        <v>284</v>
      </c>
      <c r="E2840" t="s">
        <v>413</v>
      </c>
      <c r="F2840">
        <f>HYPERLINK("https://www.wikidata.org/wiki/Q33728280", "Q33728280")</f>
        <v>0</v>
      </c>
      <c r="G2840" t="s">
        <v>953</v>
      </c>
      <c r="H2840" t="s">
        <v>5705</v>
      </c>
      <c r="I2840" t="s">
        <v>6860</v>
      </c>
      <c r="J2840" t="s">
        <v>11694</v>
      </c>
      <c r="K2840" t="s">
        <v>16095</v>
      </c>
      <c r="L2840">
        <f>HYPERLINK("https://www2.assemblee-nationale.fr/sycomore/fiche/(num_dept)/2866", "2866")</f>
        <v>0</v>
      </c>
      <c r="M2840">
        <f>HYPERLINK("https://www.senat.fr/senateur-3eme-republique/even_pierre0579r3.html", "even_pierre0579r3")</f>
        <v>0</v>
      </c>
      <c r="N2840">
        <f>HYPERLINK("https://www.wikidata.org/wiki/Q3384931", "Q3384931")</f>
        <v>0</v>
      </c>
      <c r="O2840" t="s">
        <v>19964</v>
      </c>
      <c r="P2840" t="s">
        <v>20428</v>
      </c>
      <c r="Q2840" t="s">
        <v>20588</v>
      </c>
      <c r="R2840" t="s">
        <v>17199</v>
      </c>
      <c r="S2840">
        <v>642</v>
      </c>
    </row>
    <row r="2841" spans="1:19">
      <c r="A2841" t="s">
        <v>23</v>
      </c>
      <c r="B2841" t="s">
        <v>148</v>
      </c>
      <c r="C2841" t="s">
        <v>155</v>
      </c>
      <c r="D2841" t="s">
        <v>284</v>
      </c>
      <c r="E2841" t="s">
        <v>413</v>
      </c>
      <c r="F2841">
        <f>HYPERLINK("https://www.wikidata.org/wiki/Q33728280", "Q33728280")</f>
        <v>0</v>
      </c>
      <c r="G2841" t="s">
        <v>1106</v>
      </c>
      <c r="H2841" t="s">
        <v>5847</v>
      </c>
      <c r="I2841" t="s">
        <v>9375</v>
      </c>
      <c r="J2841" t="s">
        <v>11258</v>
      </c>
      <c r="K2841" t="s">
        <v>16242</v>
      </c>
      <c r="L2841">
        <f>HYPERLINK("https://www2.assemblee-nationale.fr/sycomore/fiche/(num_dept)/2873", "2873")</f>
        <v>0</v>
      </c>
      <c r="N2841">
        <f>HYPERLINK("https://www.wikidata.org/wiki/Q16025679", "Q16025679")</f>
        <v>0</v>
      </c>
      <c r="O2841" t="s">
        <v>19987</v>
      </c>
      <c r="P2841" t="s">
        <v>20407</v>
      </c>
      <c r="Q2841" t="s">
        <v>20588</v>
      </c>
      <c r="R2841" t="s">
        <v>413</v>
      </c>
      <c r="S2841">
        <v>1493</v>
      </c>
    </row>
    <row r="2842" spans="1:19">
      <c r="A2842" t="s">
        <v>23</v>
      </c>
      <c r="B2842" t="s">
        <v>148</v>
      </c>
      <c r="C2842" t="s">
        <v>155</v>
      </c>
      <c r="D2842" t="s">
        <v>284</v>
      </c>
      <c r="E2842" t="s">
        <v>413</v>
      </c>
      <c r="F2842">
        <f>HYPERLINK("https://www.wikidata.org/wiki/Q33728280", "Q33728280")</f>
        <v>0</v>
      </c>
      <c r="G2842" t="s">
        <v>2063</v>
      </c>
      <c r="H2842" t="s">
        <v>6693</v>
      </c>
      <c r="I2842" t="s">
        <v>6495</v>
      </c>
      <c r="J2842" t="s">
        <v>12734</v>
      </c>
      <c r="K2842" t="s">
        <v>17145</v>
      </c>
      <c r="L2842">
        <f>HYPERLINK("https://www2.assemblee-nationale.fr/sycomore/fiche/(num_dept)/2887", "2887")</f>
        <v>0</v>
      </c>
      <c r="N2842">
        <f>HYPERLINK("https://www.wikidata.org/wiki/Q3261865", "Q3261865")</f>
        <v>0</v>
      </c>
      <c r="O2842" t="s">
        <v>19987</v>
      </c>
      <c r="P2842" t="s">
        <v>20429</v>
      </c>
      <c r="Q2842" t="s">
        <v>20588</v>
      </c>
      <c r="R2842" t="s">
        <v>17145</v>
      </c>
      <c r="S2842">
        <v>1224</v>
      </c>
    </row>
    <row r="2843" spans="1:19">
      <c r="A2843" t="s">
        <v>23</v>
      </c>
      <c r="B2843" t="s">
        <v>148</v>
      </c>
      <c r="C2843" t="s">
        <v>155</v>
      </c>
      <c r="D2843" t="s">
        <v>284</v>
      </c>
      <c r="E2843" t="s">
        <v>413</v>
      </c>
      <c r="F2843">
        <f>HYPERLINK("https://www.wikidata.org/wiki/Q33728280", "Q33728280")</f>
        <v>0</v>
      </c>
      <c r="G2843" t="s">
        <v>1792</v>
      </c>
      <c r="H2843" t="s">
        <v>6459</v>
      </c>
      <c r="I2843" t="s">
        <v>9457</v>
      </c>
      <c r="J2843" t="s">
        <v>11694</v>
      </c>
      <c r="K2843" t="s">
        <v>16897</v>
      </c>
      <c r="L2843">
        <f>HYPERLINK("https://www2.assemblee-nationale.fr/sycomore/fiche/(num_dept)/2899", "2899")</f>
        <v>0</v>
      </c>
      <c r="N2843">
        <f>HYPERLINK("https://www.wikidata.org/wiki/Q3131064", "Q3131064")</f>
        <v>0</v>
      </c>
      <c r="O2843" t="s">
        <v>19988</v>
      </c>
      <c r="P2843" t="s">
        <v>20428</v>
      </c>
      <c r="Q2843" t="s">
        <v>20588</v>
      </c>
      <c r="R2843" t="s">
        <v>413</v>
      </c>
      <c r="S2843">
        <v>1493</v>
      </c>
    </row>
    <row r="2844" spans="1:19">
      <c r="A2844" t="s">
        <v>23</v>
      </c>
      <c r="B2844" t="s">
        <v>148</v>
      </c>
      <c r="C2844" t="s">
        <v>155</v>
      </c>
      <c r="D2844" t="s">
        <v>284</v>
      </c>
      <c r="E2844" t="s">
        <v>413</v>
      </c>
      <c r="F2844">
        <f>HYPERLINK("https://www.wikidata.org/wiki/Q33728280", "Q33728280")</f>
        <v>0</v>
      </c>
      <c r="G2844" t="s">
        <v>1793</v>
      </c>
      <c r="H2844" t="s">
        <v>6460</v>
      </c>
      <c r="I2844" t="s">
        <v>6175</v>
      </c>
      <c r="J2844" t="s">
        <v>12488</v>
      </c>
      <c r="K2844" t="s">
        <v>16898</v>
      </c>
      <c r="L2844">
        <f>HYPERLINK("https://www2.assemblee-nationale.fr/sycomore/fiche/(num_dept)/2918", "2918")</f>
        <v>0</v>
      </c>
      <c r="M2844">
        <f>HYPERLINK("https://www.senat.fr/senateur-3eme-republique/faugere_georges0669r3.html", "faugere_georges0669r3")</f>
        <v>0</v>
      </c>
      <c r="N2844">
        <f>HYPERLINK("https://www.wikidata.org/wiki/Q3102698", "Q3102698")</f>
        <v>0</v>
      </c>
      <c r="O2844" t="s">
        <v>20010</v>
      </c>
      <c r="P2844" t="s">
        <v>20428</v>
      </c>
      <c r="Q2844" t="s">
        <v>20588</v>
      </c>
      <c r="R2844" t="s">
        <v>17199</v>
      </c>
      <c r="S2844">
        <v>642</v>
      </c>
    </row>
    <row r="2845" spans="1:19">
      <c r="A2845" t="s">
        <v>23</v>
      </c>
      <c r="B2845" t="s">
        <v>148</v>
      </c>
      <c r="C2845" t="s">
        <v>155</v>
      </c>
      <c r="D2845" t="s">
        <v>284</v>
      </c>
      <c r="E2845" t="s">
        <v>413</v>
      </c>
      <c r="F2845">
        <f>HYPERLINK("https://www.wikidata.org/wiki/Q33728280", "Q33728280")</f>
        <v>0</v>
      </c>
      <c r="G2845" t="s">
        <v>2064</v>
      </c>
      <c r="H2845" t="s">
        <v>5397</v>
      </c>
      <c r="I2845" t="s">
        <v>9389</v>
      </c>
      <c r="J2845" t="s">
        <v>12735</v>
      </c>
      <c r="K2845" t="s">
        <v>17146</v>
      </c>
      <c r="L2845">
        <f>HYPERLINK("https://www2.assemblee-nationale.fr/sycomore/fiche/(num_dept)/2923", "2923")</f>
        <v>0</v>
      </c>
      <c r="N2845">
        <f>HYPERLINK("https://www.wikidata.org/wiki/Q13091123", "Q13091123")</f>
        <v>0</v>
      </c>
      <c r="O2845" t="s">
        <v>19969</v>
      </c>
      <c r="P2845" t="s">
        <v>20422</v>
      </c>
      <c r="Q2845" t="s">
        <v>20588</v>
      </c>
      <c r="R2845" t="s">
        <v>413</v>
      </c>
      <c r="S2845">
        <v>1493</v>
      </c>
    </row>
    <row r="2846" spans="1:19">
      <c r="A2846" t="s">
        <v>23</v>
      </c>
      <c r="B2846" t="s">
        <v>148</v>
      </c>
      <c r="C2846" t="s">
        <v>155</v>
      </c>
      <c r="D2846" t="s">
        <v>284</v>
      </c>
      <c r="E2846" t="s">
        <v>413</v>
      </c>
      <c r="F2846">
        <f>HYPERLINK("https://www.wikidata.org/wiki/Q33728280", "Q33728280")</f>
        <v>0</v>
      </c>
      <c r="G2846" t="s">
        <v>638</v>
      </c>
      <c r="H2846" t="s">
        <v>5397</v>
      </c>
      <c r="I2846" t="s">
        <v>9389</v>
      </c>
      <c r="J2846" t="s">
        <v>11388</v>
      </c>
      <c r="K2846" t="s">
        <v>15790</v>
      </c>
      <c r="L2846">
        <f>HYPERLINK("https://www2.assemblee-nationale.fr/sycomore/fiche/(num_dept)/2924", "2924")</f>
        <v>0</v>
      </c>
      <c r="N2846">
        <f>HYPERLINK("https://www.wikidata.org/wiki/Q8316772", "Q8316772")</f>
        <v>0</v>
      </c>
      <c r="O2846" t="s">
        <v>20008</v>
      </c>
      <c r="P2846" t="s">
        <v>20433</v>
      </c>
      <c r="Q2846" t="s">
        <v>20588</v>
      </c>
      <c r="R2846" t="s">
        <v>413</v>
      </c>
      <c r="S2846">
        <v>1493</v>
      </c>
    </row>
    <row r="2847" spans="1:19">
      <c r="A2847" t="s">
        <v>23</v>
      </c>
      <c r="B2847" t="s">
        <v>148</v>
      </c>
      <c r="C2847" t="s">
        <v>155</v>
      </c>
      <c r="D2847" t="s">
        <v>284</v>
      </c>
      <c r="E2847" t="s">
        <v>413</v>
      </c>
      <c r="F2847">
        <f>HYPERLINK("https://www.wikidata.org/wiki/Q33728280", "Q33728280")</f>
        <v>0</v>
      </c>
      <c r="G2847" t="s">
        <v>1795</v>
      </c>
      <c r="H2847" t="s">
        <v>5397</v>
      </c>
      <c r="I2847" t="s">
        <v>9388</v>
      </c>
      <c r="J2847" t="s">
        <v>12490</v>
      </c>
      <c r="K2847" t="s">
        <v>16900</v>
      </c>
      <c r="L2847">
        <f>HYPERLINK("https://www2.assemblee-nationale.fr/sycomore/fiche/(num_dept)/2934", "2934")</f>
        <v>0</v>
      </c>
      <c r="N2847">
        <f>HYPERLINK("https://www.wikidata.org/wiki/Q783434", "Q783434")</f>
        <v>0</v>
      </c>
      <c r="O2847" t="s">
        <v>19994</v>
      </c>
      <c r="P2847" t="s">
        <v>20404</v>
      </c>
      <c r="Q2847" t="s">
        <v>20588</v>
      </c>
      <c r="R2847" t="s">
        <v>413</v>
      </c>
      <c r="S2847">
        <v>1493</v>
      </c>
    </row>
    <row r="2848" spans="1:19">
      <c r="A2848" t="s">
        <v>23</v>
      </c>
      <c r="B2848" t="s">
        <v>148</v>
      </c>
      <c r="C2848" t="s">
        <v>155</v>
      </c>
      <c r="D2848" t="s">
        <v>284</v>
      </c>
      <c r="E2848" t="s">
        <v>413</v>
      </c>
      <c r="F2848">
        <f>HYPERLINK("https://www.wikidata.org/wiki/Q33728280", "Q33728280")</f>
        <v>0</v>
      </c>
      <c r="G2848" t="s">
        <v>2065</v>
      </c>
      <c r="H2848" t="s">
        <v>5397</v>
      </c>
      <c r="I2848" t="s">
        <v>10070</v>
      </c>
      <c r="J2848" t="s">
        <v>12736</v>
      </c>
      <c r="K2848" t="s">
        <v>17147</v>
      </c>
      <c r="L2848">
        <f>HYPERLINK("https://www2.assemblee-nationale.fr/sycomore/fiche/(num_dept)/2936", "2936")</f>
        <v>0</v>
      </c>
      <c r="N2848">
        <f>HYPERLINK("https://www.wikidata.org/wiki/Q16011221", "Q16011221")</f>
        <v>0</v>
      </c>
      <c r="O2848" t="s">
        <v>20013</v>
      </c>
      <c r="P2848" t="s">
        <v>20407</v>
      </c>
      <c r="Q2848" t="s">
        <v>20588</v>
      </c>
      <c r="R2848" t="s">
        <v>413</v>
      </c>
      <c r="S2848">
        <v>1493</v>
      </c>
    </row>
    <row r="2849" spans="1:19">
      <c r="A2849" t="s">
        <v>23</v>
      </c>
      <c r="B2849" t="s">
        <v>148</v>
      </c>
      <c r="C2849" t="s">
        <v>155</v>
      </c>
      <c r="D2849" t="s">
        <v>284</v>
      </c>
      <c r="E2849" t="s">
        <v>413</v>
      </c>
      <c r="F2849">
        <f>HYPERLINK("https://www.wikidata.org/wiki/Q33728280", "Q33728280")</f>
        <v>0</v>
      </c>
      <c r="G2849" t="s">
        <v>1253</v>
      </c>
      <c r="H2849" t="s">
        <v>5977</v>
      </c>
      <c r="I2849" t="s">
        <v>9535</v>
      </c>
      <c r="J2849" t="s">
        <v>11983</v>
      </c>
      <c r="K2849" t="s">
        <v>16386</v>
      </c>
      <c r="L2849">
        <f>HYPERLINK("https://www2.assemblee-nationale.fr/sycomore/fiche/(num_dept)/2943", "2943")</f>
        <v>0</v>
      </c>
      <c r="M2849">
        <f>HYPERLINK("https://www.senat.fr/senateur-3eme-republique/fayolle_julien0519r3.html", "fayolle_julien0519r3")</f>
        <v>0</v>
      </c>
      <c r="N2849">
        <f>HYPERLINK("https://www.wikidata.org/wiki/Q3189490", "Q3189490")</f>
        <v>0</v>
      </c>
      <c r="O2849" t="s">
        <v>19993</v>
      </c>
      <c r="P2849" t="s">
        <v>20428</v>
      </c>
      <c r="Q2849" t="s">
        <v>20588</v>
      </c>
      <c r="R2849" t="s">
        <v>413</v>
      </c>
      <c r="S2849">
        <v>1493</v>
      </c>
    </row>
    <row r="2850" spans="1:19">
      <c r="A2850" t="s">
        <v>23</v>
      </c>
      <c r="B2850" t="s">
        <v>148</v>
      </c>
      <c r="C2850" t="s">
        <v>155</v>
      </c>
      <c r="D2850" t="s">
        <v>284</v>
      </c>
      <c r="E2850" t="s">
        <v>413</v>
      </c>
      <c r="F2850">
        <f>HYPERLINK("https://www.wikidata.org/wiki/Q33728280", "Q33728280")</f>
        <v>0</v>
      </c>
      <c r="G2850" t="s">
        <v>2066</v>
      </c>
      <c r="H2850" t="s">
        <v>6694</v>
      </c>
      <c r="I2850" t="s">
        <v>10071</v>
      </c>
      <c r="J2850" t="s">
        <v>12737</v>
      </c>
      <c r="K2850" t="s">
        <v>17148</v>
      </c>
      <c r="L2850">
        <f>HYPERLINK("https://www2.assemblee-nationale.fr/sycomore/fiche/(num_dept)/2956", "2956")</f>
        <v>0</v>
      </c>
      <c r="N2850">
        <f>HYPERLINK("https://www.wikidata.org/wiki/Q8324817", "Q8324817")</f>
        <v>0</v>
      </c>
      <c r="O2850" t="s">
        <v>19976</v>
      </c>
      <c r="P2850" t="s">
        <v>20401</v>
      </c>
      <c r="Q2850" t="s">
        <v>20588</v>
      </c>
      <c r="R2850" t="s">
        <v>413</v>
      </c>
      <c r="S2850">
        <v>1493</v>
      </c>
    </row>
    <row r="2851" spans="1:19">
      <c r="A2851" t="s">
        <v>23</v>
      </c>
      <c r="B2851" t="s">
        <v>148</v>
      </c>
      <c r="C2851" t="s">
        <v>155</v>
      </c>
      <c r="D2851" t="s">
        <v>284</v>
      </c>
      <c r="E2851" t="s">
        <v>413</v>
      </c>
      <c r="F2851">
        <f>HYPERLINK("https://www.wikidata.org/wiki/Q33728280", "Q33728280")</f>
        <v>0</v>
      </c>
      <c r="G2851" t="s">
        <v>2067</v>
      </c>
      <c r="H2851" t="s">
        <v>6159</v>
      </c>
      <c r="I2851" t="s">
        <v>9506</v>
      </c>
      <c r="J2851" t="s">
        <v>12738</v>
      </c>
      <c r="K2851" t="s">
        <v>17149</v>
      </c>
      <c r="L2851">
        <f>HYPERLINK("https://www2.assemblee-nationale.fr/sycomore/fiche/(num_dept)/2965", "2965")</f>
        <v>0</v>
      </c>
      <c r="M2851">
        <f>HYPERLINK("https://www.senat.fr/senateur-3eme-republique/ferrand_camille0621r3.html", "ferrand_camille0621r3")</f>
        <v>0</v>
      </c>
      <c r="N2851">
        <f>HYPERLINK("https://www.wikidata.org/wiki/Q2934926", "Q2934926")</f>
        <v>0</v>
      </c>
      <c r="O2851" t="s">
        <v>19979</v>
      </c>
      <c r="P2851" t="s">
        <v>20428</v>
      </c>
      <c r="Q2851" t="s">
        <v>20588</v>
      </c>
      <c r="R2851" t="s">
        <v>413</v>
      </c>
      <c r="S2851">
        <v>1493</v>
      </c>
    </row>
    <row r="2852" spans="1:19">
      <c r="A2852" t="s">
        <v>23</v>
      </c>
      <c r="B2852" t="s">
        <v>148</v>
      </c>
      <c r="C2852" t="s">
        <v>155</v>
      </c>
      <c r="D2852" t="s">
        <v>284</v>
      </c>
      <c r="E2852" t="s">
        <v>413</v>
      </c>
      <c r="F2852">
        <f>HYPERLINK("https://www.wikidata.org/wiki/Q33728280", "Q33728280")</f>
        <v>0</v>
      </c>
      <c r="G2852" t="s">
        <v>1797</v>
      </c>
      <c r="H2852" t="s">
        <v>6462</v>
      </c>
      <c r="I2852" t="s">
        <v>6585</v>
      </c>
      <c r="J2852" t="s">
        <v>12492</v>
      </c>
      <c r="K2852" t="s">
        <v>16902</v>
      </c>
      <c r="L2852">
        <f>HYPERLINK("https://www2.assemblee-nationale.fr/sycomore/fiche/(num_dept)/2995", "2995")</f>
        <v>0</v>
      </c>
      <c r="N2852">
        <f>HYPERLINK("https://www.wikidata.org/wiki/Q2847791", "Q2847791")</f>
        <v>0</v>
      </c>
      <c r="O2852" t="s">
        <v>19965</v>
      </c>
      <c r="P2852" t="s">
        <v>20404</v>
      </c>
      <c r="Q2852" t="s">
        <v>20588</v>
      </c>
      <c r="R2852" t="s">
        <v>413</v>
      </c>
      <c r="S2852">
        <v>1493</v>
      </c>
    </row>
    <row r="2853" spans="1:19">
      <c r="A2853" t="s">
        <v>23</v>
      </c>
      <c r="B2853" t="s">
        <v>148</v>
      </c>
      <c r="C2853" t="s">
        <v>155</v>
      </c>
      <c r="D2853" t="s">
        <v>284</v>
      </c>
      <c r="E2853" t="s">
        <v>413</v>
      </c>
      <c r="F2853">
        <f>HYPERLINK("https://www.wikidata.org/wiki/Q33728280", "Q33728280")</f>
        <v>0</v>
      </c>
      <c r="G2853" t="s">
        <v>1798</v>
      </c>
      <c r="H2853" t="s">
        <v>6463</v>
      </c>
      <c r="I2853" t="s">
        <v>9954</v>
      </c>
      <c r="J2853" t="s">
        <v>12493</v>
      </c>
      <c r="K2853" t="s">
        <v>16903</v>
      </c>
      <c r="L2853">
        <f>HYPERLINK("https://www2.assemblee-nationale.fr/sycomore/fiche/(num_dept)/2997", "2997")</f>
        <v>0</v>
      </c>
      <c r="N2853">
        <f>HYPERLINK("https://www.wikidata.org/wiki/Q2864433", "Q2864433")</f>
        <v>0</v>
      </c>
      <c r="O2853" t="s">
        <v>20032</v>
      </c>
      <c r="P2853" t="s">
        <v>20404</v>
      </c>
      <c r="Q2853" t="s">
        <v>20588</v>
      </c>
      <c r="R2853" t="s">
        <v>413</v>
      </c>
      <c r="S2853">
        <v>1493</v>
      </c>
    </row>
    <row r="2854" spans="1:19">
      <c r="A2854" t="s">
        <v>23</v>
      </c>
      <c r="B2854" t="s">
        <v>148</v>
      </c>
      <c r="C2854" t="s">
        <v>155</v>
      </c>
      <c r="D2854" t="s">
        <v>284</v>
      </c>
      <c r="E2854" t="s">
        <v>413</v>
      </c>
      <c r="F2854">
        <f>HYPERLINK("https://www.wikidata.org/wiki/Q33728280", "Q33728280")</f>
        <v>0</v>
      </c>
      <c r="G2854" t="s">
        <v>2068</v>
      </c>
      <c r="H2854" t="s">
        <v>6695</v>
      </c>
      <c r="I2854" t="s">
        <v>6584</v>
      </c>
      <c r="J2854" t="s">
        <v>12739</v>
      </c>
      <c r="K2854" t="s">
        <v>17150</v>
      </c>
      <c r="L2854">
        <f>HYPERLINK("https://www2.assemblee-nationale.fr/sycomore/fiche/(num_dept)/3051", "3051")</f>
        <v>0</v>
      </c>
      <c r="N2854">
        <f>HYPERLINK("https://www.wikidata.org/wiki/Q2637928", "Q2637928")</f>
        <v>0</v>
      </c>
      <c r="O2854" t="s">
        <v>19992</v>
      </c>
      <c r="P2854" t="s">
        <v>20433</v>
      </c>
      <c r="Q2854" t="s">
        <v>20588</v>
      </c>
      <c r="R2854" t="s">
        <v>413</v>
      </c>
      <c r="S2854">
        <v>1493</v>
      </c>
    </row>
    <row r="2855" spans="1:19">
      <c r="A2855" t="s">
        <v>23</v>
      </c>
      <c r="B2855" t="s">
        <v>148</v>
      </c>
      <c r="C2855" t="s">
        <v>155</v>
      </c>
      <c r="D2855" t="s">
        <v>284</v>
      </c>
      <c r="E2855" t="s">
        <v>413</v>
      </c>
      <c r="F2855">
        <f>HYPERLINK("https://www.wikidata.org/wiki/Q33728280", "Q33728280")</f>
        <v>0</v>
      </c>
      <c r="G2855" t="s">
        <v>1254</v>
      </c>
      <c r="H2855" t="s">
        <v>5978</v>
      </c>
      <c r="I2855" t="s">
        <v>6860</v>
      </c>
      <c r="J2855" t="s">
        <v>11984</v>
      </c>
      <c r="K2855" t="s">
        <v>16387</v>
      </c>
      <c r="L2855">
        <f>HYPERLINK("https://www2.assemblee-nationale.fr/sycomore/fiche/(num_dept)/3057", "3057")</f>
        <v>0</v>
      </c>
      <c r="N2855">
        <f>HYPERLINK("https://www.wikidata.org/wiki/Q3385030", "Q3385030")</f>
        <v>0</v>
      </c>
      <c r="O2855" t="s">
        <v>20025</v>
      </c>
      <c r="P2855" t="s">
        <v>20406</v>
      </c>
      <c r="Q2855" t="s">
        <v>20588</v>
      </c>
      <c r="R2855" t="s">
        <v>413</v>
      </c>
      <c r="S2855">
        <v>1493</v>
      </c>
    </row>
    <row r="2856" spans="1:19">
      <c r="A2856" t="s">
        <v>23</v>
      </c>
      <c r="B2856" t="s">
        <v>148</v>
      </c>
      <c r="C2856" t="s">
        <v>155</v>
      </c>
      <c r="D2856" t="s">
        <v>284</v>
      </c>
      <c r="E2856" t="s">
        <v>413</v>
      </c>
      <c r="F2856">
        <f>HYPERLINK("https://www.wikidata.org/wiki/Q33728280", "Q33728280")</f>
        <v>0</v>
      </c>
      <c r="G2856" t="s">
        <v>649</v>
      </c>
      <c r="H2856" t="s">
        <v>5408</v>
      </c>
      <c r="I2856" t="s">
        <v>9457</v>
      </c>
      <c r="J2856" t="s">
        <v>11399</v>
      </c>
      <c r="K2856" t="s">
        <v>15801</v>
      </c>
      <c r="L2856">
        <f>HYPERLINK("https://www2.assemblee-nationale.fr/sycomore/fiche/(num_dept)/3078", "3078")</f>
        <v>0</v>
      </c>
      <c r="N2856">
        <f>HYPERLINK("https://www.wikidata.org/wiki/Q8342835", "Q8342835")</f>
        <v>0</v>
      </c>
      <c r="O2856" t="s">
        <v>19975</v>
      </c>
      <c r="P2856" t="s">
        <v>20422</v>
      </c>
      <c r="Q2856" t="s">
        <v>20588</v>
      </c>
      <c r="R2856" t="s">
        <v>413</v>
      </c>
      <c r="S2856">
        <v>1493</v>
      </c>
    </row>
    <row r="2857" spans="1:19">
      <c r="A2857" t="s">
        <v>23</v>
      </c>
      <c r="B2857" t="s">
        <v>148</v>
      </c>
      <c r="C2857" t="s">
        <v>155</v>
      </c>
      <c r="D2857" t="s">
        <v>284</v>
      </c>
      <c r="E2857" t="s">
        <v>413</v>
      </c>
      <c r="F2857">
        <f>HYPERLINK("https://www.wikidata.org/wiki/Q33728280", "Q33728280")</f>
        <v>0</v>
      </c>
      <c r="G2857" t="s">
        <v>2069</v>
      </c>
      <c r="H2857" t="s">
        <v>6696</v>
      </c>
      <c r="I2857" t="s">
        <v>7642</v>
      </c>
      <c r="J2857" t="s">
        <v>12740</v>
      </c>
      <c r="K2857" t="s">
        <v>17151</v>
      </c>
      <c r="L2857">
        <f>HYPERLINK("https://www2.assemblee-nationale.fr/sycomore/fiche/(num_dept)/3082", "3082")</f>
        <v>0</v>
      </c>
      <c r="N2857">
        <f>HYPERLINK("https://www.wikidata.org/wiki/Q3300788", "Q3300788")</f>
        <v>0</v>
      </c>
      <c r="O2857" t="s">
        <v>19969</v>
      </c>
      <c r="P2857" t="s">
        <v>20407</v>
      </c>
      <c r="Q2857" t="s">
        <v>20588</v>
      </c>
      <c r="R2857" t="s">
        <v>413</v>
      </c>
      <c r="S2857">
        <v>1493</v>
      </c>
    </row>
    <row r="2858" spans="1:19">
      <c r="A2858" t="s">
        <v>23</v>
      </c>
      <c r="B2858" t="s">
        <v>148</v>
      </c>
      <c r="C2858" t="s">
        <v>155</v>
      </c>
      <c r="D2858" t="s">
        <v>284</v>
      </c>
      <c r="E2858" t="s">
        <v>413</v>
      </c>
      <c r="F2858">
        <f>HYPERLINK("https://www.wikidata.org/wiki/Q33728280", "Q33728280")</f>
        <v>0</v>
      </c>
      <c r="G2858" t="s">
        <v>651</v>
      </c>
      <c r="H2858" t="s">
        <v>5410</v>
      </c>
      <c r="I2858" t="s">
        <v>6759</v>
      </c>
      <c r="J2858" t="s">
        <v>11401</v>
      </c>
      <c r="K2858" t="s">
        <v>15803</v>
      </c>
      <c r="L2858">
        <f>HYPERLINK("https://www2.assemblee-nationale.fr/sycomore/fiche/(num_dept)/3098", "3098")</f>
        <v>0</v>
      </c>
      <c r="N2858">
        <f>HYPERLINK("https://www.wikidata.org/wiki/Q37391", "Q37391")</f>
        <v>0</v>
      </c>
      <c r="O2858" t="s">
        <v>19989</v>
      </c>
      <c r="P2858" t="s">
        <v>20422</v>
      </c>
      <c r="Q2858" t="s">
        <v>20588</v>
      </c>
      <c r="R2858" t="s">
        <v>413</v>
      </c>
      <c r="S2858">
        <v>1493</v>
      </c>
    </row>
    <row r="2859" spans="1:19">
      <c r="A2859" t="s">
        <v>23</v>
      </c>
      <c r="B2859" t="s">
        <v>148</v>
      </c>
      <c r="C2859" t="s">
        <v>155</v>
      </c>
      <c r="D2859" t="s">
        <v>284</v>
      </c>
      <c r="E2859" t="s">
        <v>413</v>
      </c>
      <c r="F2859">
        <f>HYPERLINK("https://www.wikidata.org/wiki/Q33728280", "Q33728280")</f>
        <v>0</v>
      </c>
      <c r="G2859" t="s">
        <v>2070</v>
      </c>
      <c r="H2859" t="s">
        <v>6697</v>
      </c>
      <c r="I2859" t="s">
        <v>9449</v>
      </c>
      <c r="J2859" t="s">
        <v>12741</v>
      </c>
      <c r="K2859" t="s">
        <v>17152</v>
      </c>
      <c r="L2859">
        <f>HYPERLINK("https://www2.assemblee-nationale.fr/sycomore/fiche/(num_dept)/3112", "3112")</f>
        <v>0</v>
      </c>
      <c r="N2859">
        <f>HYPERLINK("https://www.wikidata.org/wiki/Q3188586", "Q3188586")</f>
        <v>0</v>
      </c>
      <c r="O2859" t="s">
        <v>19977</v>
      </c>
      <c r="P2859" t="s">
        <v>20424</v>
      </c>
      <c r="Q2859" t="s">
        <v>20588</v>
      </c>
      <c r="R2859" t="s">
        <v>413</v>
      </c>
      <c r="S2859">
        <v>1493</v>
      </c>
    </row>
    <row r="2860" spans="1:19">
      <c r="A2860" t="s">
        <v>23</v>
      </c>
      <c r="B2860" t="s">
        <v>148</v>
      </c>
      <c r="C2860" t="s">
        <v>155</v>
      </c>
      <c r="D2860" t="s">
        <v>284</v>
      </c>
      <c r="E2860" t="s">
        <v>413</v>
      </c>
      <c r="F2860">
        <f>HYPERLINK("https://www.wikidata.org/wiki/Q33728280", "Q33728280")</f>
        <v>0</v>
      </c>
      <c r="G2860" t="s">
        <v>960</v>
      </c>
      <c r="H2860" t="s">
        <v>5712</v>
      </c>
      <c r="I2860" t="s">
        <v>9457</v>
      </c>
      <c r="J2860" t="s">
        <v>11570</v>
      </c>
      <c r="K2860" t="s">
        <v>16102</v>
      </c>
      <c r="L2860">
        <f>HYPERLINK("https://www2.assemblee-nationale.fr/sycomore/fiche/(num_dept)/3134", "3134")</f>
        <v>0</v>
      </c>
      <c r="N2860">
        <f>HYPERLINK("https://www.wikidata.org/wiki/Q3132784", "Q3132784")</f>
        <v>0</v>
      </c>
      <c r="O2860" t="s">
        <v>19976</v>
      </c>
      <c r="P2860" t="s">
        <v>20432</v>
      </c>
      <c r="Q2860" t="s">
        <v>20588</v>
      </c>
      <c r="R2860" t="s">
        <v>413</v>
      </c>
      <c r="S2860">
        <v>1493</v>
      </c>
    </row>
    <row r="2861" spans="1:19">
      <c r="A2861" t="s">
        <v>23</v>
      </c>
      <c r="B2861" t="s">
        <v>148</v>
      </c>
      <c r="C2861" t="s">
        <v>155</v>
      </c>
      <c r="D2861" t="s">
        <v>284</v>
      </c>
      <c r="E2861" t="s">
        <v>413</v>
      </c>
      <c r="F2861">
        <f>HYPERLINK("https://www.wikidata.org/wiki/Q33728280", "Q33728280")</f>
        <v>0</v>
      </c>
      <c r="G2861" t="s">
        <v>1468</v>
      </c>
      <c r="H2861" t="s">
        <v>6167</v>
      </c>
      <c r="I2861" t="s">
        <v>9385</v>
      </c>
      <c r="J2861" t="s">
        <v>12187</v>
      </c>
      <c r="K2861" t="s">
        <v>16593</v>
      </c>
      <c r="L2861">
        <f>HYPERLINK("https://www2.assemblee-nationale.fr/sycomore/fiche/(num_dept)/3153", "3153")</f>
        <v>0</v>
      </c>
      <c r="N2861">
        <f>HYPERLINK("https://www.wikidata.org/wiki/Q2959129", "Q2959129")</f>
        <v>0</v>
      </c>
      <c r="O2861" t="s">
        <v>20048</v>
      </c>
      <c r="P2861" t="s">
        <v>20429</v>
      </c>
      <c r="Q2861" t="s">
        <v>20588</v>
      </c>
      <c r="R2861" t="s">
        <v>413</v>
      </c>
      <c r="S2861">
        <v>1493</v>
      </c>
    </row>
    <row r="2862" spans="1:19">
      <c r="A2862" t="s">
        <v>23</v>
      </c>
      <c r="B2862" t="s">
        <v>148</v>
      </c>
      <c r="C2862" t="s">
        <v>155</v>
      </c>
      <c r="D2862" t="s">
        <v>284</v>
      </c>
      <c r="E2862" t="s">
        <v>413</v>
      </c>
      <c r="F2862">
        <f>HYPERLINK("https://www.wikidata.org/wiki/Q33728280", "Q33728280")</f>
        <v>0</v>
      </c>
      <c r="G2862" t="s">
        <v>1470</v>
      </c>
      <c r="H2862" t="s">
        <v>6169</v>
      </c>
      <c r="I2862" t="s">
        <v>6158</v>
      </c>
      <c r="J2862" t="s">
        <v>12189</v>
      </c>
      <c r="K2862" t="s">
        <v>16595</v>
      </c>
      <c r="L2862">
        <f>HYPERLINK("https://www2.assemblee-nationale.fr/sycomore/fiche/(num_dept)/3193", "3193")</f>
        <v>0</v>
      </c>
      <c r="M2862">
        <f>HYPERLINK("https://www.senat.fr/senateur-3eme-republique/gadaud_felix0673r3.html", "gadaud_felix0673r3")</f>
        <v>0</v>
      </c>
      <c r="N2862">
        <f>HYPERLINK("https://www.wikidata.org/wiki/Q3092440", "Q3092440")</f>
        <v>0</v>
      </c>
      <c r="O2862" t="s">
        <v>20010</v>
      </c>
      <c r="P2862" t="s">
        <v>20401</v>
      </c>
      <c r="Q2862" t="s">
        <v>20588</v>
      </c>
      <c r="R2862" t="s">
        <v>21430</v>
      </c>
      <c r="S2862">
        <v>257</v>
      </c>
    </row>
    <row r="2863" spans="1:19">
      <c r="A2863" t="s">
        <v>23</v>
      </c>
      <c r="B2863" t="s">
        <v>148</v>
      </c>
      <c r="C2863" t="s">
        <v>155</v>
      </c>
      <c r="D2863" t="s">
        <v>284</v>
      </c>
      <c r="E2863" t="s">
        <v>413</v>
      </c>
      <c r="F2863">
        <f>HYPERLINK("https://www.wikidata.org/wiki/Q33728280", "Q33728280")</f>
        <v>0</v>
      </c>
      <c r="G2863" t="s">
        <v>2071</v>
      </c>
      <c r="H2863" t="s">
        <v>6698</v>
      </c>
      <c r="I2863" t="s">
        <v>9385</v>
      </c>
      <c r="J2863" t="s">
        <v>12742</v>
      </c>
      <c r="K2863" t="s">
        <v>17153</v>
      </c>
      <c r="L2863">
        <f>HYPERLINK("https://www2.assemblee-nationale.fr/sycomore/fiche/(num_dept)/3215", "3215")</f>
        <v>0</v>
      </c>
      <c r="N2863">
        <f>HYPERLINK("https://www.wikidata.org/wiki/Q2959161", "Q2959161")</f>
        <v>0</v>
      </c>
      <c r="O2863" t="s">
        <v>19972</v>
      </c>
      <c r="P2863" t="s">
        <v>20430</v>
      </c>
      <c r="Q2863" t="s">
        <v>20588</v>
      </c>
      <c r="R2863" t="s">
        <v>413</v>
      </c>
      <c r="S2863">
        <v>1493</v>
      </c>
    </row>
    <row r="2864" spans="1:19">
      <c r="A2864" t="s">
        <v>23</v>
      </c>
      <c r="B2864" t="s">
        <v>148</v>
      </c>
      <c r="C2864" t="s">
        <v>155</v>
      </c>
      <c r="D2864" t="s">
        <v>284</v>
      </c>
      <c r="E2864" t="s">
        <v>413</v>
      </c>
      <c r="F2864">
        <f>HYPERLINK("https://www.wikidata.org/wiki/Q33728280", "Q33728280")</f>
        <v>0</v>
      </c>
      <c r="G2864" t="s">
        <v>1803</v>
      </c>
      <c r="H2864" t="s">
        <v>6468</v>
      </c>
      <c r="I2864" t="s">
        <v>9457</v>
      </c>
      <c r="J2864" t="s">
        <v>12498</v>
      </c>
      <c r="K2864" t="s">
        <v>16908</v>
      </c>
      <c r="L2864">
        <f>HYPERLINK("https://www2.assemblee-nationale.fr/sycomore/fiche/(num_dept)/3236", "3236")</f>
        <v>0</v>
      </c>
      <c r="N2864">
        <f>HYPERLINK("https://www.wikidata.org/wiki/Q16025742", "Q16025742")</f>
        <v>0</v>
      </c>
      <c r="O2864" t="s">
        <v>20032</v>
      </c>
      <c r="P2864" t="s">
        <v>20404</v>
      </c>
      <c r="Q2864" t="s">
        <v>20588</v>
      </c>
      <c r="R2864" t="s">
        <v>413</v>
      </c>
      <c r="S2864">
        <v>1493</v>
      </c>
    </row>
    <row r="2865" spans="1:19">
      <c r="A2865" t="s">
        <v>23</v>
      </c>
      <c r="B2865" t="s">
        <v>148</v>
      </c>
      <c r="C2865" t="s">
        <v>155</v>
      </c>
      <c r="D2865" t="s">
        <v>284</v>
      </c>
      <c r="E2865" t="s">
        <v>413</v>
      </c>
      <c r="F2865">
        <f>HYPERLINK("https://www.wikidata.org/wiki/Q33728280", "Q33728280")</f>
        <v>0</v>
      </c>
      <c r="G2865" t="s">
        <v>655</v>
      </c>
      <c r="H2865" t="s">
        <v>5414</v>
      </c>
      <c r="I2865" t="s">
        <v>9407</v>
      </c>
      <c r="J2865" t="s">
        <v>11405</v>
      </c>
      <c r="K2865" t="s">
        <v>15807</v>
      </c>
      <c r="L2865">
        <f>HYPERLINK("https://www2.assemblee-nationale.fr/sycomore/fiche/(num_dept)/3247", "3247")</f>
        <v>0</v>
      </c>
      <c r="N2865">
        <f>HYPERLINK("https://www.wikidata.org/wiki/Q3184989", "Q3184989")</f>
        <v>0</v>
      </c>
      <c r="O2865" t="s">
        <v>19970</v>
      </c>
      <c r="P2865" t="s">
        <v>20428</v>
      </c>
      <c r="Q2865" t="s">
        <v>20588</v>
      </c>
      <c r="R2865" t="s">
        <v>413</v>
      </c>
      <c r="S2865">
        <v>1493</v>
      </c>
    </row>
    <row r="2866" spans="1:19">
      <c r="A2866" t="s">
        <v>23</v>
      </c>
      <c r="B2866" t="s">
        <v>148</v>
      </c>
      <c r="C2866" t="s">
        <v>155</v>
      </c>
      <c r="D2866" t="s">
        <v>284</v>
      </c>
      <c r="E2866" t="s">
        <v>413</v>
      </c>
      <c r="F2866">
        <f>HYPERLINK("https://www.wikidata.org/wiki/Q33728280", "Q33728280")</f>
        <v>0</v>
      </c>
      <c r="G2866" t="s">
        <v>2072</v>
      </c>
      <c r="H2866" t="s">
        <v>6699</v>
      </c>
      <c r="I2866" t="s">
        <v>6166</v>
      </c>
      <c r="J2866" t="s">
        <v>12743</v>
      </c>
      <c r="K2866" t="s">
        <v>17154</v>
      </c>
      <c r="L2866">
        <f>HYPERLINK("https://www2.assemblee-nationale.fr/sycomore/fiche/(num_dept)/3298", "3298")</f>
        <v>0</v>
      </c>
      <c r="N2866">
        <f>HYPERLINK("https://www.wikidata.org/wiki/Q3084696", "Q3084696")</f>
        <v>0</v>
      </c>
      <c r="O2866" t="s">
        <v>19958</v>
      </c>
      <c r="P2866" t="s">
        <v>20422</v>
      </c>
      <c r="Q2866" t="s">
        <v>20588</v>
      </c>
      <c r="R2866" t="s">
        <v>413</v>
      </c>
      <c r="S2866">
        <v>1493</v>
      </c>
    </row>
    <row r="2867" spans="1:19">
      <c r="A2867" t="s">
        <v>23</v>
      </c>
      <c r="B2867" t="s">
        <v>148</v>
      </c>
      <c r="C2867" t="s">
        <v>155</v>
      </c>
      <c r="D2867" t="s">
        <v>284</v>
      </c>
      <c r="E2867" t="s">
        <v>413</v>
      </c>
      <c r="F2867">
        <f>HYPERLINK("https://www.wikidata.org/wiki/Q33728280", "Q33728280")</f>
        <v>0</v>
      </c>
      <c r="G2867" t="s">
        <v>2073</v>
      </c>
      <c r="H2867" t="s">
        <v>6700</v>
      </c>
      <c r="I2867" t="s">
        <v>6941</v>
      </c>
      <c r="J2867" t="s">
        <v>12744</v>
      </c>
      <c r="K2867" t="s">
        <v>17155</v>
      </c>
      <c r="L2867">
        <f>HYPERLINK("https://www2.assemblee-nationale.fr/sycomore/fiche/(num_dept)/3328", "3328")</f>
        <v>0</v>
      </c>
      <c r="N2867">
        <f>HYPERLINK("https://www.wikidata.org/wiki/Q3309731", "Q3309731")</f>
        <v>0</v>
      </c>
      <c r="O2867" t="s">
        <v>19964</v>
      </c>
      <c r="P2867" t="s">
        <v>20428</v>
      </c>
      <c r="Q2867" t="s">
        <v>20588</v>
      </c>
      <c r="R2867" t="s">
        <v>413</v>
      </c>
      <c r="S2867">
        <v>1493</v>
      </c>
    </row>
    <row r="2868" spans="1:19">
      <c r="A2868" t="s">
        <v>23</v>
      </c>
      <c r="B2868" t="s">
        <v>148</v>
      </c>
      <c r="C2868" t="s">
        <v>155</v>
      </c>
      <c r="D2868" t="s">
        <v>284</v>
      </c>
      <c r="E2868" t="s">
        <v>413</v>
      </c>
      <c r="F2868">
        <f>HYPERLINK("https://www.wikidata.org/wiki/Q33728280", "Q33728280")</f>
        <v>0</v>
      </c>
      <c r="G2868" t="s">
        <v>1476</v>
      </c>
      <c r="H2868" t="s">
        <v>6175</v>
      </c>
      <c r="I2868" t="s">
        <v>6303</v>
      </c>
      <c r="J2868" t="s">
        <v>12195</v>
      </c>
      <c r="K2868" t="s">
        <v>16601</v>
      </c>
      <c r="L2868">
        <f>HYPERLINK("https://www2.assemblee-nationale.fr/sycomore/fiche/(num_dept)/3356", "3356")</f>
        <v>0</v>
      </c>
      <c r="N2868">
        <f>HYPERLINK("https://www.wikidata.org/wiki/Q8325344", "Q8325344")</f>
        <v>0</v>
      </c>
      <c r="O2868" t="s">
        <v>20039</v>
      </c>
      <c r="P2868" t="s">
        <v>20404</v>
      </c>
      <c r="Q2868" t="s">
        <v>20588</v>
      </c>
      <c r="R2868" t="s">
        <v>413</v>
      </c>
      <c r="S2868">
        <v>1493</v>
      </c>
    </row>
    <row r="2869" spans="1:19">
      <c r="A2869" t="s">
        <v>23</v>
      </c>
      <c r="B2869" t="s">
        <v>148</v>
      </c>
      <c r="C2869" t="s">
        <v>155</v>
      </c>
      <c r="D2869" t="s">
        <v>284</v>
      </c>
      <c r="E2869" t="s">
        <v>413</v>
      </c>
      <c r="F2869">
        <f>HYPERLINK("https://www.wikidata.org/wiki/Q33728280", "Q33728280")</f>
        <v>0</v>
      </c>
      <c r="G2869" t="s">
        <v>2074</v>
      </c>
      <c r="H2869" t="s">
        <v>6701</v>
      </c>
      <c r="I2869" t="s">
        <v>6495</v>
      </c>
      <c r="J2869" t="s">
        <v>12745</v>
      </c>
      <c r="K2869" t="s">
        <v>17156</v>
      </c>
      <c r="L2869">
        <f>HYPERLINK("https://www2.assemblee-nationale.fr/sycomore/fiche/(num_dept)/3378", "3378")</f>
        <v>0</v>
      </c>
      <c r="N2869">
        <f>HYPERLINK("https://www.wikidata.org/wiki/Q3262030", "Q3262030")</f>
        <v>0</v>
      </c>
      <c r="O2869" t="s">
        <v>7411</v>
      </c>
      <c r="P2869" t="s">
        <v>20401</v>
      </c>
      <c r="Q2869" t="s">
        <v>20588</v>
      </c>
      <c r="R2869" t="s">
        <v>413</v>
      </c>
      <c r="S2869">
        <v>1493</v>
      </c>
    </row>
    <row r="2870" spans="1:19">
      <c r="A2870" t="s">
        <v>23</v>
      </c>
      <c r="B2870" t="s">
        <v>148</v>
      </c>
      <c r="C2870" t="s">
        <v>155</v>
      </c>
      <c r="D2870" t="s">
        <v>284</v>
      </c>
      <c r="E2870" t="s">
        <v>413</v>
      </c>
      <c r="F2870">
        <f>HYPERLINK("https://www.wikidata.org/wiki/Q33728280", "Q33728280")</f>
        <v>0</v>
      </c>
      <c r="G2870" t="s">
        <v>2075</v>
      </c>
      <c r="H2870" t="s">
        <v>6702</v>
      </c>
      <c r="I2870" t="s">
        <v>10072</v>
      </c>
      <c r="J2870" t="s">
        <v>12746</v>
      </c>
      <c r="K2870" t="s">
        <v>17157</v>
      </c>
      <c r="L2870">
        <f>HYPERLINK("https://www2.assemblee-nationale.fr/sycomore/fiche/(num_dept)/3404", "3404")</f>
        <v>0</v>
      </c>
      <c r="N2870">
        <f>HYPERLINK("https://www.wikidata.org/wiki/Q2976757", "Q2976757")</f>
        <v>0</v>
      </c>
      <c r="O2870" t="s">
        <v>19997</v>
      </c>
      <c r="P2870" t="s">
        <v>20429</v>
      </c>
      <c r="Q2870" t="s">
        <v>20588</v>
      </c>
      <c r="R2870" t="s">
        <v>413</v>
      </c>
      <c r="S2870">
        <v>1493</v>
      </c>
    </row>
    <row r="2871" spans="1:19">
      <c r="A2871" t="s">
        <v>23</v>
      </c>
      <c r="B2871" t="s">
        <v>148</v>
      </c>
      <c r="C2871" t="s">
        <v>155</v>
      </c>
      <c r="D2871" t="s">
        <v>284</v>
      </c>
      <c r="E2871" t="s">
        <v>413</v>
      </c>
      <c r="F2871">
        <f>HYPERLINK("https://www.wikidata.org/wiki/Q33728280", "Q33728280")</f>
        <v>0</v>
      </c>
      <c r="G2871" t="s">
        <v>664</v>
      </c>
      <c r="H2871" t="s">
        <v>5423</v>
      </c>
      <c r="I2871" t="s">
        <v>9385</v>
      </c>
      <c r="J2871" t="s">
        <v>11414</v>
      </c>
      <c r="K2871" t="s">
        <v>15816</v>
      </c>
      <c r="L2871">
        <f>HYPERLINK("https://www2.assemblee-nationale.fr/sycomore/fiche/(num_dept)/3477", "3477")</f>
        <v>0</v>
      </c>
      <c r="N2871">
        <f>HYPERLINK("https://www.wikidata.org/wiki/Q16025794", "Q16025794")</f>
        <v>0</v>
      </c>
      <c r="O2871" t="s">
        <v>20013</v>
      </c>
      <c r="P2871" t="s">
        <v>20404</v>
      </c>
      <c r="Q2871" t="s">
        <v>20588</v>
      </c>
      <c r="R2871" t="s">
        <v>413</v>
      </c>
      <c r="S2871">
        <v>1493</v>
      </c>
    </row>
    <row r="2872" spans="1:19">
      <c r="A2872" t="s">
        <v>23</v>
      </c>
      <c r="B2872" t="s">
        <v>148</v>
      </c>
      <c r="C2872" t="s">
        <v>155</v>
      </c>
      <c r="D2872" t="s">
        <v>284</v>
      </c>
      <c r="E2872" t="s">
        <v>413</v>
      </c>
      <c r="F2872">
        <f>HYPERLINK("https://www.wikidata.org/wiki/Q33728280", "Q33728280")</f>
        <v>0</v>
      </c>
      <c r="G2872" t="s">
        <v>968</v>
      </c>
      <c r="H2872" t="s">
        <v>5720</v>
      </c>
      <c r="I2872" t="s">
        <v>9389</v>
      </c>
      <c r="J2872" t="s">
        <v>11707</v>
      </c>
      <c r="K2872" t="s">
        <v>16110</v>
      </c>
      <c r="L2872">
        <f>HYPERLINK("https://www2.assemblee-nationale.fr/sycomore/fiche/(num_dept)/3491", "3491")</f>
        <v>0</v>
      </c>
      <c r="N2872">
        <f>HYPERLINK("https://www.wikidata.org/wiki/Q3588541", "Q3588541")</f>
        <v>0</v>
      </c>
      <c r="O2872" t="s">
        <v>20011</v>
      </c>
      <c r="P2872" t="s">
        <v>20404</v>
      </c>
      <c r="Q2872" t="s">
        <v>20588</v>
      </c>
      <c r="R2872" t="s">
        <v>413</v>
      </c>
      <c r="S2872">
        <v>1493</v>
      </c>
    </row>
    <row r="2873" spans="1:19">
      <c r="A2873" t="s">
        <v>23</v>
      </c>
      <c r="B2873" t="s">
        <v>148</v>
      </c>
      <c r="C2873" t="s">
        <v>155</v>
      </c>
      <c r="D2873" t="s">
        <v>284</v>
      </c>
      <c r="E2873" t="s">
        <v>413</v>
      </c>
      <c r="F2873">
        <f>HYPERLINK("https://www.wikidata.org/wiki/Q33728280", "Q33728280")</f>
        <v>0</v>
      </c>
      <c r="G2873" t="s">
        <v>1808</v>
      </c>
      <c r="H2873" t="s">
        <v>6473</v>
      </c>
      <c r="I2873" t="s">
        <v>9956</v>
      </c>
      <c r="J2873" t="s">
        <v>12503</v>
      </c>
      <c r="K2873" t="s">
        <v>16913</v>
      </c>
      <c r="L2873">
        <f>HYPERLINK("https://www2.assemblee-nationale.fr/sycomore/fiche/(num_dept)/3496", "3496")</f>
        <v>0</v>
      </c>
      <c r="N2873">
        <f>HYPERLINK("https://www.wikidata.org/wiki/Q381187", "Q381187")</f>
        <v>0</v>
      </c>
      <c r="O2873" t="s">
        <v>19990</v>
      </c>
      <c r="P2873" t="s">
        <v>20404</v>
      </c>
      <c r="Q2873" t="s">
        <v>20588</v>
      </c>
      <c r="R2873" t="s">
        <v>413</v>
      </c>
      <c r="S2873">
        <v>1493</v>
      </c>
    </row>
    <row r="2874" spans="1:19">
      <c r="A2874" t="s">
        <v>23</v>
      </c>
      <c r="B2874" t="s">
        <v>148</v>
      </c>
      <c r="C2874" t="s">
        <v>155</v>
      </c>
      <c r="D2874" t="s">
        <v>284</v>
      </c>
      <c r="E2874" t="s">
        <v>413</v>
      </c>
      <c r="F2874">
        <f>HYPERLINK("https://www.wikidata.org/wiki/Q33728280", "Q33728280")</f>
        <v>0</v>
      </c>
      <c r="G2874" t="s">
        <v>2076</v>
      </c>
      <c r="H2874" t="s">
        <v>5424</v>
      </c>
      <c r="I2874" t="s">
        <v>9749</v>
      </c>
      <c r="J2874" t="s">
        <v>12747</v>
      </c>
      <c r="K2874" t="s">
        <v>17158</v>
      </c>
      <c r="L2874">
        <f>HYPERLINK("https://www2.assemblee-nationale.fr/sycomore/fiche/(num_dept)/3499", "3499")</f>
        <v>0</v>
      </c>
      <c r="N2874">
        <f>HYPERLINK("https://www.wikidata.org/wiki/Q3220006", "Q3220006")</f>
        <v>0</v>
      </c>
      <c r="O2874" t="s">
        <v>19965</v>
      </c>
      <c r="P2874" t="s">
        <v>20404</v>
      </c>
      <c r="Q2874" t="s">
        <v>20588</v>
      </c>
      <c r="R2874" t="s">
        <v>413</v>
      </c>
      <c r="S2874">
        <v>1493</v>
      </c>
    </row>
    <row r="2875" spans="1:19">
      <c r="A2875" t="s">
        <v>23</v>
      </c>
      <c r="B2875" t="s">
        <v>148</v>
      </c>
      <c r="C2875" t="s">
        <v>155</v>
      </c>
      <c r="D2875" t="s">
        <v>284</v>
      </c>
      <c r="E2875" t="s">
        <v>413</v>
      </c>
      <c r="F2875">
        <f>HYPERLINK("https://www.wikidata.org/wiki/Q33728280", "Q33728280")</f>
        <v>0</v>
      </c>
      <c r="G2875" t="s">
        <v>2077</v>
      </c>
      <c r="H2875" t="s">
        <v>6703</v>
      </c>
      <c r="I2875" t="s">
        <v>9476</v>
      </c>
      <c r="J2875" t="s">
        <v>12748</v>
      </c>
      <c r="K2875" t="s">
        <v>17159</v>
      </c>
      <c r="L2875">
        <f>HYPERLINK("https://www2.assemblee-nationale.fr/sycomore/fiche/(num_dept)/3506", "3506")</f>
        <v>0</v>
      </c>
      <c r="M2875">
        <f>HYPERLINK("https://www.senat.fr/senateur-3eme-republique/gounin_rene0402r3.html", "gounin_rene0402r3")</f>
        <v>0</v>
      </c>
      <c r="N2875">
        <f>HYPERLINK("https://www.wikidata.org/wiki/Q3426287", "Q3426287")</f>
        <v>0</v>
      </c>
      <c r="O2875" t="s">
        <v>20031</v>
      </c>
      <c r="P2875" t="s">
        <v>20404</v>
      </c>
      <c r="Q2875" t="s">
        <v>20588</v>
      </c>
      <c r="R2875" t="s">
        <v>413</v>
      </c>
      <c r="S2875">
        <v>1493</v>
      </c>
    </row>
    <row r="2876" spans="1:19">
      <c r="A2876" t="s">
        <v>23</v>
      </c>
      <c r="B2876" t="s">
        <v>148</v>
      </c>
      <c r="C2876" t="s">
        <v>155</v>
      </c>
      <c r="D2876" t="s">
        <v>284</v>
      </c>
      <c r="E2876" t="s">
        <v>413</v>
      </c>
      <c r="F2876">
        <f>HYPERLINK("https://www.wikidata.org/wiki/Q33728280", "Q33728280")</f>
        <v>0</v>
      </c>
      <c r="G2876" t="s">
        <v>2078</v>
      </c>
      <c r="H2876" t="s">
        <v>6704</v>
      </c>
      <c r="I2876" t="s">
        <v>9470</v>
      </c>
      <c r="J2876" t="s">
        <v>12749</v>
      </c>
      <c r="K2876" t="s">
        <v>17160</v>
      </c>
      <c r="L2876">
        <f>HYPERLINK("https://www2.assemblee-nationale.fr/sycomore/fiche/(num_dept)/3509", "3509")</f>
        <v>0</v>
      </c>
      <c r="N2876">
        <f>HYPERLINK("https://www.wikidata.org/wiki/Q3099021", "Q3099021")</f>
        <v>0</v>
      </c>
      <c r="O2876" t="s">
        <v>19956</v>
      </c>
      <c r="P2876" t="s">
        <v>20401</v>
      </c>
      <c r="Q2876" t="s">
        <v>20588</v>
      </c>
      <c r="R2876" t="s">
        <v>413</v>
      </c>
      <c r="S2876">
        <v>1493</v>
      </c>
    </row>
    <row r="2877" spans="1:19">
      <c r="A2877" t="s">
        <v>23</v>
      </c>
      <c r="B2877" t="s">
        <v>148</v>
      </c>
      <c r="C2877" t="s">
        <v>155</v>
      </c>
      <c r="D2877" t="s">
        <v>284</v>
      </c>
      <c r="E2877" t="s">
        <v>413</v>
      </c>
      <c r="F2877">
        <f>HYPERLINK("https://www.wikidata.org/wiki/Q33728280", "Q33728280")</f>
        <v>0</v>
      </c>
      <c r="G2877" t="s">
        <v>2079</v>
      </c>
      <c r="H2877" t="s">
        <v>6705</v>
      </c>
      <c r="I2877" t="s">
        <v>9457</v>
      </c>
      <c r="J2877" t="s">
        <v>12750</v>
      </c>
      <c r="K2877" t="s">
        <v>17161</v>
      </c>
      <c r="L2877">
        <f>HYPERLINK("https://www2.assemblee-nationale.fr/sycomore/fiche/(num_dept)/3520", "3520")</f>
        <v>0</v>
      </c>
      <c r="N2877">
        <f>HYPERLINK("https://www.wikidata.org/wiki/Q603191", "Q603191")</f>
        <v>0</v>
      </c>
      <c r="O2877" t="s">
        <v>19960</v>
      </c>
      <c r="P2877" t="s">
        <v>20428</v>
      </c>
      <c r="Q2877" t="s">
        <v>20588</v>
      </c>
      <c r="R2877" t="s">
        <v>413</v>
      </c>
      <c r="S2877">
        <v>1493</v>
      </c>
    </row>
    <row r="2878" spans="1:19">
      <c r="A2878" t="s">
        <v>23</v>
      </c>
      <c r="B2878" t="s">
        <v>148</v>
      </c>
      <c r="C2878" t="s">
        <v>155</v>
      </c>
      <c r="D2878" t="s">
        <v>284</v>
      </c>
      <c r="E2878" t="s">
        <v>413</v>
      </c>
      <c r="F2878">
        <f>HYPERLINK("https://www.wikidata.org/wiki/Q33728280", "Q33728280")</f>
        <v>0</v>
      </c>
      <c r="G2878" t="s">
        <v>1809</v>
      </c>
      <c r="H2878" t="s">
        <v>6474</v>
      </c>
      <c r="I2878" t="s">
        <v>6200</v>
      </c>
      <c r="J2878" t="s">
        <v>12504</v>
      </c>
      <c r="K2878" t="s">
        <v>16914</v>
      </c>
      <c r="L2878">
        <f>HYPERLINK("https://www2.assemblee-nationale.fr/sycomore/fiche/(num_dept)/3531", "3531")</f>
        <v>0</v>
      </c>
      <c r="N2878">
        <f>HYPERLINK("https://www.wikidata.org/wiki/Q3172356", "Q3172356")</f>
        <v>0</v>
      </c>
      <c r="O2878" t="s">
        <v>19969</v>
      </c>
      <c r="P2878" t="s">
        <v>20432</v>
      </c>
      <c r="Q2878" t="s">
        <v>20588</v>
      </c>
      <c r="R2878" t="s">
        <v>413</v>
      </c>
      <c r="S2878">
        <v>1493</v>
      </c>
    </row>
    <row r="2879" spans="1:19">
      <c r="A2879" t="s">
        <v>23</v>
      </c>
      <c r="B2879" t="s">
        <v>148</v>
      </c>
      <c r="C2879" t="s">
        <v>155</v>
      </c>
      <c r="D2879" t="s">
        <v>284</v>
      </c>
      <c r="E2879" t="s">
        <v>413</v>
      </c>
      <c r="F2879">
        <f>HYPERLINK("https://www.wikidata.org/wiki/Q33728280", "Q33728280")</f>
        <v>0</v>
      </c>
      <c r="G2879" t="s">
        <v>2080</v>
      </c>
      <c r="H2879" t="s">
        <v>6706</v>
      </c>
      <c r="I2879" t="s">
        <v>10073</v>
      </c>
      <c r="J2879" t="s">
        <v>12751</v>
      </c>
      <c r="K2879" t="s">
        <v>17162</v>
      </c>
      <c r="L2879">
        <f>HYPERLINK("https://www2.assemblee-nationale.fr/sycomore/fiche/(num_dept)/3538", "3538")</f>
        <v>0</v>
      </c>
      <c r="N2879">
        <f>HYPERLINK("https://www.wikidata.org/wiki/Q8325574", "Q8325574")</f>
        <v>0</v>
      </c>
      <c r="O2879" t="s">
        <v>19956</v>
      </c>
      <c r="P2879" t="s">
        <v>20412</v>
      </c>
      <c r="Q2879" t="s">
        <v>20588</v>
      </c>
      <c r="R2879" t="s">
        <v>413</v>
      </c>
      <c r="S2879">
        <v>1493</v>
      </c>
    </row>
    <row r="2880" spans="1:19">
      <c r="A2880" t="s">
        <v>23</v>
      </c>
      <c r="B2880" t="s">
        <v>148</v>
      </c>
      <c r="C2880" t="s">
        <v>155</v>
      </c>
      <c r="D2880" t="s">
        <v>284</v>
      </c>
      <c r="E2880" t="s">
        <v>413</v>
      </c>
      <c r="F2880">
        <f>HYPERLINK("https://www.wikidata.org/wiki/Q33728280", "Q33728280")</f>
        <v>0</v>
      </c>
      <c r="G2880" t="s">
        <v>2081</v>
      </c>
      <c r="H2880" t="s">
        <v>6707</v>
      </c>
      <c r="I2880" t="s">
        <v>9552</v>
      </c>
      <c r="J2880" t="s">
        <v>12752</v>
      </c>
      <c r="K2880" t="s">
        <v>17163</v>
      </c>
      <c r="L2880">
        <f>HYPERLINK("https://www2.assemblee-nationale.fr/sycomore/fiche/(num_dept)/3558", "3558")</f>
        <v>0</v>
      </c>
      <c r="N2880">
        <f>HYPERLINK("https://www.wikidata.org/wiki/Q2871211", "Q2871211")</f>
        <v>0</v>
      </c>
      <c r="O2880" t="s">
        <v>19969</v>
      </c>
      <c r="P2880" t="s">
        <v>20428</v>
      </c>
      <c r="Q2880" t="s">
        <v>20588</v>
      </c>
      <c r="R2880" t="s">
        <v>413</v>
      </c>
      <c r="S2880">
        <v>1493</v>
      </c>
    </row>
    <row r="2881" spans="1:19">
      <c r="A2881" t="s">
        <v>23</v>
      </c>
      <c r="B2881" t="s">
        <v>148</v>
      </c>
      <c r="C2881" t="s">
        <v>155</v>
      </c>
      <c r="D2881" t="s">
        <v>284</v>
      </c>
      <c r="E2881" t="s">
        <v>413</v>
      </c>
      <c r="F2881">
        <f>HYPERLINK("https://www.wikidata.org/wiki/Q33728280", "Q33728280")</f>
        <v>0</v>
      </c>
      <c r="G2881" t="s">
        <v>2082</v>
      </c>
      <c r="H2881" t="s">
        <v>6475</v>
      </c>
      <c r="I2881" t="s">
        <v>10074</v>
      </c>
      <c r="J2881" t="s">
        <v>12753</v>
      </c>
      <c r="K2881" t="s">
        <v>17164</v>
      </c>
      <c r="L2881">
        <f>HYPERLINK("https://www2.assemblee-nationale.fr/sycomore/fiche/(num_dept)/3598", "3598")</f>
        <v>0</v>
      </c>
      <c r="N2881">
        <f>HYPERLINK("https://www.wikidata.org/wiki/Q2864451", "Q2864451")</f>
        <v>0</v>
      </c>
      <c r="O2881" t="s">
        <v>20041</v>
      </c>
      <c r="P2881" t="s">
        <v>20404</v>
      </c>
      <c r="Q2881" t="s">
        <v>20588</v>
      </c>
      <c r="R2881" t="s">
        <v>413</v>
      </c>
      <c r="S2881">
        <v>1493</v>
      </c>
    </row>
    <row r="2882" spans="1:19">
      <c r="A2882" t="s">
        <v>23</v>
      </c>
      <c r="B2882" t="s">
        <v>148</v>
      </c>
      <c r="C2882" t="s">
        <v>155</v>
      </c>
      <c r="D2882" t="s">
        <v>284</v>
      </c>
      <c r="E2882" t="s">
        <v>413</v>
      </c>
      <c r="F2882">
        <f>HYPERLINK("https://www.wikidata.org/wiki/Q33728280", "Q33728280")</f>
        <v>0</v>
      </c>
      <c r="G2882" t="s">
        <v>1810</v>
      </c>
      <c r="H2882" t="s">
        <v>6475</v>
      </c>
      <c r="I2882" t="s">
        <v>6495</v>
      </c>
      <c r="J2882" t="s">
        <v>12328</v>
      </c>
      <c r="K2882" t="s">
        <v>16915</v>
      </c>
      <c r="L2882">
        <f>HYPERLINK("https://www2.assemblee-nationale.fr/sycomore/fiche/(num_dept)/3600", "3600")</f>
        <v>0</v>
      </c>
      <c r="N2882">
        <f>HYPERLINK("https://www.wikidata.org/wiki/Q3262089", "Q3262089")</f>
        <v>0</v>
      </c>
      <c r="O2882" t="s">
        <v>20047</v>
      </c>
      <c r="P2882" t="s">
        <v>20404</v>
      </c>
      <c r="Q2882" t="s">
        <v>20588</v>
      </c>
      <c r="R2882" t="s">
        <v>413</v>
      </c>
      <c r="S2882">
        <v>1493</v>
      </c>
    </row>
    <row r="2883" spans="1:19">
      <c r="A2883" t="s">
        <v>23</v>
      </c>
      <c r="B2883" t="s">
        <v>148</v>
      </c>
      <c r="C2883" t="s">
        <v>155</v>
      </c>
      <c r="D2883" t="s">
        <v>284</v>
      </c>
      <c r="E2883" t="s">
        <v>413</v>
      </c>
      <c r="F2883">
        <f>HYPERLINK("https://www.wikidata.org/wiki/Q33728280", "Q33728280")</f>
        <v>0</v>
      </c>
      <c r="G2883" t="s">
        <v>671</v>
      </c>
      <c r="H2883" t="s">
        <v>5430</v>
      </c>
      <c r="I2883" t="s">
        <v>9457</v>
      </c>
      <c r="J2883" t="s">
        <v>11421</v>
      </c>
      <c r="K2883" t="s">
        <v>15822</v>
      </c>
      <c r="L2883">
        <f>HYPERLINK("https://www2.assemblee-nationale.fr/sycomore/fiche/(num_dept)/3605", "3605")</f>
        <v>0</v>
      </c>
      <c r="N2883">
        <f>HYPERLINK("https://www.wikidata.org/wiki/Q3130359", "Q3130359")</f>
        <v>0</v>
      </c>
      <c r="O2883" t="s">
        <v>20013</v>
      </c>
      <c r="P2883" t="s">
        <v>20422</v>
      </c>
      <c r="Q2883" t="s">
        <v>20588</v>
      </c>
      <c r="R2883" t="s">
        <v>413</v>
      </c>
      <c r="S2883">
        <v>1493</v>
      </c>
    </row>
    <row r="2884" spans="1:19">
      <c r="A2884" t="s">
        <v>23</v>
      </c>
      <c r="B2884" t="s">
        <v>148</v>
      </c>
      <c r="C2884" t="s">
        <v>155</v>
      </c>
      <c r="D2884" t="s">
        <v>284</v>
      </c>
      <c r="E2884" t="s">
        <v>413</v>
      </c>
      <c r="F2884">
        <f>HYPERLINK("https://www.wikidata.org/wiki/Q33728280", "Q33728280")</f>
        <v>0</v>
      </c>
      <c r="G2884" t="s">
        <v>2083</v>
      </c>
      <c r="H2884" t="s">
        <v>6708</v>
      </c>
      <c r="I2884" t="s">
        <v>7412</v>
      </c>
      <c r="J2884" t="s">
        <v>12754</v>
      </c>
      <c r="K2884" t="s">
        <v>17165</v>
      </c>
      <c r="L2884">
        <f>HYPERLINK("https://www2.assemblee-nationale.fr/sycomore/fiche/(num_dept)/3612", "3612")</f>
        <v>0</v>
      </c>
      <c r="N2884">
        <f>HYPERLINK("https://www.wikidata.org/wiki/Q108407", "Q108407")</f>
        <v>0</v>
      </c>
      <c r="O2884" t="s">
        <v>20049</v>
      </c>
      <c r="P2884" t="s">
        <v>20404</v>
      </c>
      <c r="Q2884" t="s">
        <v>20588</v>
      </c>
      <c r="R2884" t="s">
        <v>413</v>
      </c>
      <c r="S2884">
        <v>1493</v>
      </c>
    </row>
    <row r="2885" spans="1:19">
      <c r="A2885" t="s">
        <v>23</v>
      </c>
      <c r="B2885" t="s">
        <v>148</v>
      </c>
      <c r="C2885" t="s">
        <v>155</v>
      </c>
      <c r="D2885" t="s">
        <v>284</v>
      </c>
      <c r="E2885" t="s">
        <v>413</v>
      </c>
      <c r="F2885">
        <f>HYPERLINK("https://www.wikidata.org/wiki/Q33728280", "Q33728280")</f>
        <v>0</v>
      </c>
      <c r="G2885" t="s">
        <v>2084</v>
      </c>
      <c r="H2885" t="s">
        <v>6709</v>
      </c>
      <c r="I2885" t="s">
        <v>6166</v>
      </c>
      <c r="J2885" t="s">
        <v>12755</v>
      </c>
      <c r="K2885" t="s">
        <v>17166</v>
      </c>
      <c r="L2885">
        <f>HYPERLINK("https://www2.assemblee-nationale.fr/sycomore/fiche/(num_dept)/3626", "3626")</f>
        <v>0</v>
      </c>
      <c r="N2885">
        <f>HYPERLINK("https://www.wikidata.org/wiki/Q3084815", "Q3084815")</f>
        <v>0</v>
      </c>
      <c r="O2885" t="s">
        <v>19998</v>
      </c>
      <c r="P2885" t="s">
        <v>20412</v>
      </c>
      <c r="Q2885" t="s">
        <v>20588</v>
      </c>
      <c r="R2885" t="s">
        <v>17166</v>
      </c>
      <c r="S2885">
        <v>831</v>
      </c>
    </row>
    <row r="2886" spans="1:19">
      <c r="A2886" t="s">
        <v>23</v>
      </c>
      <c r="B2886" t="s">
        <v>148</v>
      </c>
      <c r="C2886" t="s">
        <v>155</v>
      </c>
      <c r="D2886" t="s">
        <v>284</v>
      </c>
      <c r="E2886" t="s">
        <v>413</v>
      </c>
      <c r="F2886">
        <f>HYPERLINK("https://www.wikidata.org/wiki/Q33728280", "Q33728280")</f>
        <v>0</v>
      </c>
      <c r="G2886" t="s">
        <v>672</v>
      </c>
      <c r="H2886" t="s">
        <v>5431</v>
      </c>
      <c r="I2886" t="s">
        <v>9385</v>
      </c>
      <c r="J2886" t="s">
        <v>11422</v>
      </c>
      <c r="K2886" t="s">
        <v>15823</v>
      </c>
      <c r="L2886">
        <f>HYPERLINK("https://www2.assemblee-nationale.fr/sycomore/fiche/(num_dept)/3634", "3634")</f>
        <v>0</v>
      </c>
      <c r="N2886">
        <f>HYPERLINK("https://www.wikidata.org/wiki/Q2959267", "Q2959267")</f>
        <v>0</v>
      </c>
      <c r="O2886" t="s">
        <v>19998</v>
      </c>
      <c r="P2886" t="s">
        <v>20401</v>
      </c>
      <c r="Q2886" t="s">
        <v>20588</v>
      </c>
      <c r="R2886" t="s">
        <v>413</v>
      </c>
      <c r="S2886">
        <v>1493</v>
      </c>
    </row>
    <row r="2887" spans="1:19">
      <c r="A2887" t="s">
        <v>23</v>
      </c>
      <c r="B2887" t="s">
        <v>148</v>
      </c>
      <c r="C2887" t="s">
        <v>155</v>
      </c>
      <c r="D2887" t="s">
        <v>284</v>
      </c>
      <c r="E2887" t="s">
        <v>413</v>
      </c>
      <c r="F2887">
        <f>HYPERLINK("https://www.wikidata.org/wiki/Q33728280", "Q33728280")</f>
        <v>0</v>
      </c>
      <c r="G2887" t="s">
        <v>2085</v>
      </c>
      <c r="H2887" t="s">
        <v>6710</v>
      </c>
      <c r="I2887" t="s">
        <v>9457</v>
      </c>
      <c r="J2887" t="s">
        <v>12756</v>
      </c>
      <c r="K2887" t="s">
        <v>17167</v>
      </c>
      <c r="L2887">
        <f>HYPERLINK("https://www2.assemblee-nationale.fr/sycomore/fiche/(num_dept)/3635", "3635")</f>
        <v>0</v>
      </c>
      <c r="N2887">
        <f>HYPERLINK("https://www.wikidata.org/wiki/Q3131234", "Q3131234")</f>
        <v>0</v>
      </c>
      <c r="O2887" t="s">
        <v>20015</v>
      </c>
      <c r="P2887" t="s">
        <v>20431</v>
      </c>
      <c r="Q2887" t="s">
        <v>20588</v>
      </c>
      <c r="R2887" t="s">
        <v>413</v>
      </c>
      <c r="S2887">
        <v>1493</v>
      </c>
    </row>
    <row r="2888" spans="1:19">
      <c r="A2888" t="s">
        <v>23</v>
      </c>
      <c r="B2888" t="s">
        <v>148</v>
      </c>
      <c r="C2888" t="s">
        <v>155</v>
      </c>
      <c r="D2888" t="s">
        <v>284</v>
      </c>
      <c r="E2888" t="s">
        <v>413</v>
      </c>
      <c r="F2888">
        <f>HYPERLINK("https://www.wikidata.org/wiki/Q33728280", "Q33728280")</f>
        <v>0</v>
      </c>
      <c r="G2888" t="s">
        <v>2086</v>
      </c>
      <c r="H2888" t="s">
        <v>6711</v>
      </c>
      <c r="I2888" t="s">
        <v>10075</v>
      </c>
      <c r="J2888" t="s">
        <v>12092</v>
      </c>
      <c r="K2888" t="s">
        <v>17168</v>
      </c>
      <c r="L2888">
        <f>HYPERLINK("https://www2.assemblee-nationale.fr/sycomore/fiche/(num_dept)/3637", "3637")</f>
        <v>0</v>
      </c>
      <c r="N2888">
        <f>HYPERLINK("https://www.wikidata.org/wiki/Q16025820", "Q16025820")</f>
        <v>0</v>
      </c>
      <c r="O2888" t="s">
        <v>19968</v>
      </c>
      <c r="P2888" t="s">
        <v>20428</v>
      </c>
      <c r="Q2888" t="s">
        <v>20588</v>
      </c>
      <c r="R2888" t="s">
        <v>413</v>
      </c>
      <c r="S2888">
        <v>1493</v>
      </c>
    </row>
    <row r="2889" spans="1:19">
      <c r="A2889" t="s">
        <v>23</v>
      </c>
      <c r="B2889" t="s">
        <v>148</v>
      </c>
      <c r="C2889" t="s">
        <v>155</v>
      </c>
      <c r="D2889" t="s">
        <v>284</v>
      </c>
      <c r="E2889" t="s">
        <v>413</v>
      </c>
      <c r="F2889">
        <f>HYPERLINK("https://www.wikidata.org/wiki/Q33728280", "Q33728280")</f>
        <v>0</v>
      </c>
      <c r="G2889" t="s">
        <v>971</v>
      </c>
      <c r="H2889" t="s">
        <v>5723</v>
      </c>
      <c r="I2889" t="s">
        <v>6495</v>
      </c>
      <c r="J2889" t="s">
        <v>11709</v>
      </c>
      <c r="K2889" t="s">
        <v>16113</v>
      </c>
      <c r="L2889">
        <f>HYPERLINK("https://www2.assemblee-nationale.fr/sycomore/fiche/(num_dept)/3650", "3650")</f>
        <v>0</v>
      </c>
      <c r="N2889">
        <f>HYPERLINK("https://www.wikidata.org/wiki/Q3262102", "Q3262102")</f>
        <v>0</v>
      </c>
      <c r="O2889" t="s">
        <v>20047</v>
      </c>
      <c r="P2889" t="s">
        <v>20428</v>
      </c>
      <c r="Q2889" t="s">
        <v>20588</v>
      </c>
      <c r="R2889" t="s">
        <v>413</v>
      </c>
      <c r="S2889">
        <v>1493</v>
      </c>
    </row>
    <row r="2890" spans="1:19">
      <c r="A2890" t="s">
        <v>23</v>
      </c>
      <c r="B2890" t="s">
        <v>148</v>
      </c>
      <c r="C2890" t="s">
        <v>155</v>
      </c>
      <c r="D2890" t="s">
        <v>284</v>
      </c>
      <c r="E2890" t="s">
        <v>413</v>
      </c>
      <c r="F2890">
        <f>HYPERLINK("https://www.wikidata.org/wiki/Q33728280", "Q33728280")</f>
        <v>0</v>
      </c>
      <c r="G2890" t="s">
        <v>1487</v>
      </c>
      <c r="H2890" t="s">
        <v>6185</v>
      </c>
      <c r="I2890" t="s">
        <v>9385</v>
      </c>
      <c r="J2890" t="s">
        <v>12206</v>
      </c>
      <c r="K2890" t="s">
        <v>16611</v>
      </c>
      <c r="L2890">
        <f>HYPERLINK("https://www2.assemblee-nationale.fr/sycomore/fiche/(num_dept)/3666", "3666")</f>
        <v>0</v>
      </c>
      <c r="N2890">
        <f>HYPERLINK("https://www.wikidata.org/wiki/Q12948415", "Q12948415")</f>
        <v>0</v>
      </c>
      <c r="O2890" t="s">
        <v>7411</v>
      </c>
      <c r="P2890" t="s">
        <v>20431</v>
      </c>
      <c r="Q2890" t="s">
        <v>20588</v>
      </c>
      <c r="R2890" t="s">
        <v>413</v>
      </c>
      <c r="S2890">
        <v>1493</v>
      </c>
    </row>
    <row r="2891" spans="1:19">
      <c r="A2891" t="s">
        <v>23</v>
      </c>
      <c r="B2891" t="s">
        <v>148</v>
      </c>
      <c r="C2891" t="s">
        <v>155</v>
      </c>
      <c r="D2891" t="s">
        <v>284</v>
      </c>
      <c r="E2891" t="s">
        <v>413</v>
      </c>
      <c r="F2891">
        <f>HYPERLINK("https://www.wikidata.org/wiki/Q33728280", "Q33728280")</f>
        <v>0</v>
      </c>
      <c r="G2891" t="s">
        <v>2087</v>
      </c>
      <c r="H2891" t="s">
        <v>6712</v>
      </c>
      <c r="I2891" t="s">
        <v>9391</v>
      </c>
      <c r="J2891" t="s">
        <v>12757</v>
      </c>
      <c r="K2891" t="s">
        <v>17169</v>
      </c>
      <c r="L2891">
        <f>HYPERLINK("https://www2.assemblee-nationale.fr/sycomore/fiche/(num_dept)/3682", "3682")</f>
        <v>0</v>
      </c>
      <c r="N2891">
        <f>HYPERLINK("https://www.wikidata.org/wiki/Q16467637", "Q16467637")</f>
        <v>0</v>
      </c>
      <c r="O2891" t="s">
        <v>20032</v>
      </c>
      <c r="P2891" t="s">
        <v>20404</v>
      </c>
      <c r="Q2891" t="s">
        <v>20588</v>
      </c>
      <c r="R2891" t="s">
        <v>413</v>
      </c>
      <c r="S2891">
        <v>1493</v>
      </c>
    </row>
    <row r="2892" spans="1:19">
      <c r="A2892" t="s">
        <v>23</v>
      </c>
      <c r="B2892" t="s">
        <v>148</v>
      </c>
      <c r="C2892" t="s">
        <v>155</v>
      </c>
      <c r="D2892" t="s">
        <v>284</v>
      </c>
      <c r="E2892" t="s">
        <v>413</v>
      </c>
      <c r="F2892">
        <f>HYPERLINK("https://www.wikidata.org/wiki/Q33728280", "Q33728280")</f>
        <v>0</v>
      </c>
      <c r="G2892" t="s">
        <v>2088</v>
      </c>
      <c r="H2892" t="s">
        <v>6713</v>
      </c>
      <c r="I2892" t="s">
        <v>6478</v>
      </c>
      <c r="J2892" t="s">
        <v>12758</v>
      </c>
      <c r="K2892" t="s">
        <v>17170</v>
      </c>
      <c r="L2892">
        <f>HYPERLINK("https://www2.assemblee-nationale.fr/sycomore/fiche/(num_dept)/3703", "3703")</f>
        <v>0</v>
      </c>
      <c r="N2892">
        <f>HYPERLINK("https://www.wikidata.org/wiki/Q16025833", "Q16025833")</f>
        <v>0</v>
      </c>
      <c r="O2892" t="s">
        <v>20036</v>
      </c>
      <c r="P2892" t="s">
        <v>20428</v>
      </c>
      <c r="Q2892" t="s">
        <v>20588</v>
      </c>
      <c r="R2892" t="s">
        <v>17170</v>
      </c>
      <c r="S2892">
        <v>1428</v>
      </c>
    </row>
    <row r="2893" spans="1:19">
      <c r="A2893" t="s">
        <v>23</v>
      </c>
      <c r="B2893" t="s">
        <v>148</v>
      </c>
      <c r="C2893" t="s">
        <v>155</v>
      </c>
      <c r="D2893" t="s">
        <v>284</v>
      </c>
      <c r="E2893" t="s">
        <v>413</v>
      </c>
      <c r="F2893">
        <f>HYPERLINK("https://www.wikidata.org/wiki/Q33728280", "Q33728280")</f>
        <v>0</v>
      </c>
      <c r="G2893" t="s">
        <v>679</v>
      </c>
      <c r="H2893" t="s">
        <v>5438</v>
      </c>
      <c r="I2893" t="s">
        <v>6584</v>
      </c>
      <c r="J2893" t="s">
        <v>11429</v>
      </c>
      <c r="K2893" t="s">
        <v>15830</v>
      </c>
      <c r="L2893">
        <f>HYPERLINK("https://www2.assemblee-nationale.fr/sycomore/fiche/(num_dept)/3762", "3762")</f>
        <v>0</v>
      </c>
      <c r="N2893">
        <f>HYPERLINK("https://www.wikidata.org/wiki/Q2831231", "Q2831231")</f>
        <v>0</v>
      </c>
      <c r="O2893" t="s">
        <v>20015</v>
      </c>
      <c r="P2893" t="s">
        <v>20401</v>
      </c>
      <c r="Q2893" t="s">
        <v>20588</v>
      </c>
      <c r="R2893" t="s">
        <v>413</v>
      </c>
      <c r="S2893">
        <v>1493</v>
      </c>
    </row>
    <row r="2894" spans="1:19">
      <c r="A2894" t="s">
        <v>23</v>
      </c>
      <c r="B2894" t="s">
        <v>148</v>
      </c>
      <c r="C2894" t="s">
        <v>155</v>
      </c>
      <c r="D2894" t="s">
        <v>284</v>
      </c>
      <c r="E2894" t="s">
        <v>413</v>
      </c>
      <c r="F2894">
        <f>HYPERLINK("https://www.wikidata.org/wiki/Q33728280", "Q33728280")</f>
        <v>0</v>
      </c>
      <c r="G2894" t="s">
        <v>2089</v>
      </c>
      <c r="H2894" t="s">
        <v>6714</v>
      </c>
      <c r="I2894" t="s">
        <v>10076</v>
      </c>
      <c r="J2894" t="s">
        <v>12469</v>
      </c>
      <c r="K2894" t="s">
        <v>17171</v>
      </c>
      <c r="L2894">
        <f>HYPERLINK("https://www2.assemblee-nationale.fr/sycomore/fiche/(num_dept)/3769", "3769")</f>
        <v>0</v>
      </c>
      <c r="N2894">
        <f>HYPERLINK("https://www.wikidata.org/wiki/Q8326201", "Q8326201")</f>
        <v>0</v>
      </c>
      <c r="O2894" t="s">
        <v>20041</v>
      </c>
      <c r="P2894" t="s">
        <v>20422</v>
      </c>
      <c r="Q2894" t="s">
        <v>20588</v>
      </c>
      <c r="R2894" t="s">
        <v>413</v>
      </c>
      <c r="S2894">
        <v>1493</v>
      </c>
    </row>
    <row r="2895" spans="1:19">
      <c r="A2895" t="s">
        <v>23</v>
      </c>
      <c r="B2895" t="s">
        <v>148</v>
      </c>
      <c r="C2895" t="s">
        <v>155</v>
      </c>
      <c r="D2895" t="s">
        <v>284</v>
      </c>
      <c r="E2895" t="s">
        <v>413</v>
      </c>
      <c r="F2895">
        <f>HYPERLINK("https://www.wikidata.org/wiki/Q33728280", "Q33728280")</f>
        <v>0</v>
      </c>
      <c r="G2895" t="s">
        <v>2090</v>
      </c>
      <c r="H2895" t="s">
        <v>6715</v>
      </c>
      <c r="I2895" t="s">
        <v>10077</v>
      </c>
      <c r="J2895" t="s">
        <v>12759</v>
      </c>
      <c r="K2895" t="s">
        <v>17172</v>
      </c>
      <c r="L2895">
        <f>HYPERLINK("https://www2.assemblee-nationale.fr/sycomore/fiche/(num_dept)/3802", "3802")</f>
        <v>0</v>
      </c>
      <c r="M2895">
        <f>HYPERLINK("https://www.senat.fr/senateur-3eme-republique/henry_haye_gaston1642r3.html", "henry_haye_gaston1642r3")</f>
        <v>0</v>
      </c>
      <c r="N2895">
        <f>HYPERLINK("https://www.wikidata.org/wiki/Q3099039", "Q3099039")</f>
        <v>0</v>
      </c>
      <c r="O2895" t="s">
        <v>19976</v>
      </c>
      <c r="P2895" t="s">
        <v>20407</v>
      </c>
      <c r="Q2895" t="s">
        <v>20588</v>
      </c>
      <c r="R2895" t="s">
        <v>413</v>
      </c>
      <c r="S2895">
        <v>1493</v>
      </c>
    </row>
    <row r="2896" spans="1:19">
      <c r="A2896" t="s">
        <v>23</v>
      </c>
      <c r="B2896" t="s">
        <v>148</v>
      </c>
      <c r="C2896" t="s">
        <v>155</v>
      </c>
      <c r="D2896" t="s">
        <v>284</v>
      </c>
      <c r="E2896" t="s">
        <v>413</v>
      </c>
      <c r="F2896">
        <f>HYPERLINK("https://www.wikidata.org/wiki/Q33728280", "Q33728280")</f>
        <v>0</v>
      </c>
      <c r="G2896" t="s">
        <v>2091</v>
      </c>
      <c r="H2896" t="s">
        <v>6716</v>
      </c>
      <c r="I2896" t="s">
        <v>6200</v>
      </c>
      <c r="J2896" t="s">
        <v>12760</v>
      </c>
      <c r="K2896" t="s">
        <v>17173</v>
      </c>
      <c r="L2896">
        <f>HYPERLINK("https://www2.assemblee-nationale.fr/sycomore/fiche/(num_dept)/3803", "3803")</f>
        <v>0</v>
      </c>
      <c r="N2896">
        <f>HYPERLINK("https://www.wikidata.org/wiki/Q3172596", "Q3172596")</f>
        <v>0</v>
      </c>
      <c r="O2896" t="s">
        <v>19980</v>
      </c>
      <c r="P2896" t="s">
        <v>20428</v>
      </c>
      <c r="Q2896" t="s">
        <v>20588</v>
      </c>
      <c r="R2896" t="s">
        <v>413</v>
      </c>
      <c r="S2896">
        <v>1493</v>
      </c>
    </row>
    <row r="2897" spans="1:19">
      <c r="A2897" t="s">
        <v>23</v>
      </c>
      <c r="B2897" t="s">
        <v>148</v>
      </c>
      <c r="C2897" t="s">
        <v>155</v>
      </c>
      <c r="D2897" t="s">
        <v>284</v>
      </c>
      <c r="E2897" t="s">
        <v>413</v>
      </c>
      <c r="F2897">
        <f>HYPERLINK("https://www.wikidata.org/wiki/Q33728280", "Q33728280")</f>
        <v>0</v>
      </c>
      <c r="G2897" t="s">
        <v>2092</v>
      </c>
      <c r="H2897" t="s">
        <v>5444</v>
      </c>
      <c r="I2897" t="s">
        <v>10078</v>
      </c>
      <c r="J2897" t="s">
        <v>12761</v>
      </c>
      <c r="K2897" t="s">
        <v>17174</v>
      </c>
      <c r="L2897">
        <f>HYPERLINK("https://www2.assemblee-nationale.fr/sycomore/fiche/(num_dept)/3858", "3858")</f>
        <v>0</v>
      </c>
      <c r="N2897">
        <f>HYPERLINK("https://www.wikidata.org/wiki/Q16025852", "Q16025852")</f>
        <v>0</v>
      </c>
      <c r="O2897" t="s">
        <v>19990</v>
      </c>
      <c r="P2897" t="s">
        <v>20412</v>
      </c>
      <c r="Q2897" t="s">
        <v>20588</v>
      </c>
      <c r="R2897" t="s">
        <v>413</v>
      </c>
      <c r="S2897">
        <v>1493</v>
      </c>
    </row>
    <row r="2898" spans="1:19">
      <c r="A2898" t="s">
        <v>23</v>
      </c>
      <c r="B2898" t="s">
        <v>148</v>
      </c>
      <c r="C2898" t="s">
        <v>155</v>
      </c>
      <c r="D2898" t="s">
        <v>284</v>
      </c>
      <c r="E2898" t="s">
        <v>413</v>
      </c>
      <c r="F2898">
        <f>HYPERLINK("https://www.wikidata.org/wiki/Q33728280", "Q33728280")</f>
        <v>0</v>
      </c>
      <c r="G2898" t="s">
        <v>2093</v>
      </c>
      <c r="H2898" t="s">
        <v>6717</v>
      </c>
      <c r="I2898" t="s">
        <v>10079</v>
      </c>
      <c r="J2898" t="s">
        <v>12762</v>
      </c>
      <c r="K2898" t="s">
        <v>17175</v>
      </c>
      <c r="L2898">
        <f>HYPERLINK("https://www2.assemblee-nationale.fr/sycomore/fiche/(num_dept)/3919", "3919")</f>
        <v>0</v>
      </c>
      <c r="N2898">
        <f>HYPERLINK("https://www.wikidata.org/wiki/Q3302161", "Q3302161")</f>
        <v>0</v>
      </c>
      <c r="O2898" t="s">
        <v>19975</v>
      </c>
      <c r="P2898" t="s">
        <v>20404</v>
      </c>
      <c r="Q2898" t="s">
        <v>20588</v>
      </c>
      <c r="R2898" t="s">
        <v>413</v>
      </c>
      <c r="S2898">
        <v>1493</v>
      </c>
    </row>
    <row r="2899" spans="1:19">
      <c r="A2899" t="s">
        <v>23</v>
      </c>
      <c r="B2899" t="s">
        <v>148</v>
      </c>
      <c r="C2899" t="s">
        <v>155</v>
      </c>
      <c r="D2899" t="s">
        <v>284</v>
      </c>
      <c r="E2899" t="s">
        <v>413</v>
      </c>
      <c r="F2899">
        <f>HYPERLINK("https://www.wikidata.org/wiki/Q33728280", "Q33728280")</f>
        <v>0</v>
      </c>
      <c r="G2899" t="s">
        <v>2094</v>
      </c>
      <c r="H2899" t="s">
        <v>6718</v>
      </c>
      <c r="I2899" t="s">
        <v>5812</v>
      </c>
      <c r="J2899" t="s">
        <v>12763</v>
      </c>
      <c r="K2899" t="s">
        <v>17176</v>
      </c>
      <c r="L2899">
        <f>HYPERLINK("https://www2.assemblee-nationale.fr/sycomore/fiche/(num_dept)/3958", "3958")</f>
        <v>0</v>
      </c>
      <c r="N2899">
        <f>HYPERLINK("https://www.wikidata.org/wiki/Q3559676", "Q3559676")</f>
        <v>0</v>
      </c>
      <c r="O2899" t="s">
        <v>19994</v>
      </c>
      <c r="P2899" t="s">
        <v>20432</v>
      </c>
      <c r="Q2899" t="s">
        <v>20588</v>
      </c>
      <c r="R2899" t="s">
        <v>17176</v>
      </c>
      <c r="S2899">
        <v>1096</v>
      </c>
    </row>
    <row r="2900" spans="1:19">
      <c r="A2900" t="s">
        <v>23</v>
      </c>
      <c r="B2900" t="s">
        <v>148</v>
      </c>
      <c r="C2900" t="s">
        <v>155</v>
      </c>
      <c r="D2900" t="s">
        <v>284</v>
      </c>
      <c r="E2900" t="s">
        <v>413</v>
      </c>
      <c r="F2900">
        <f>HYPERLINK("https://www.wikidata.org/wiki/Q33728280", "Q33728280")</f>
        <v>0</v>
      </c>
      <c r="G2900" t="s">
        <v>689</v>
      </c>
      <c r="H2900" t="s">
        <v>5447</v>
      </c>
      <c r="I2900" t="s">
        <v>9388</v>
      </c>
      <c r="J2900" t="s">
        <v>11439</v>
      </c>
      <c r="K2900" t="s">
        <v>15840</v>
      </c>
      <c r="L2900">
        <f>HYPERLINK("https://www2.assemblee-nationale.fr/sycomore/fiche/(num_dept)/3970", "3970")</f>
        <v>0</v>
      </c>
      <c r="M2900">
        <f>HYPERLINK("https://www.senat.fr/senateur-3eme-republique/jacquier_paul1310r3.html", "jacquier_paul1310r3")</f>
        <v>0</v>
      </c>
      <c r="N2900">
        <f>HYPERLINK("https://www.wikidata.org/wiki/Q3371508", "Q3371508")</f>
        <v>0</v>
      </c>
      <c r="O2900" t="s">
        <v>20018</v>
      </c>
      <c r="P2900" t="s">
        <v>20428</v>
      </c>
      <c r="Q2900" t="s">
        <v>20588</v>
      </c>
      <c r="R2900" t="s">
        <v>413</v>
      </c>
      <c r="S2900">
        <v>1493</v>
      </c>
    </row>
    <row r="2901" spans="1:19">
      <c r="A2901" t="s">
        <v>23</v>
      </c>
      <c r="B2901" t="s">
        <v>148</v>
      </c>
      <c r="C2901" t="s">
        <v>155</v>
      </c>
      <c r="D2901" t="s">
        <v>284</v>
      </c>
      <c r="E2901" t="s">
        <v>413</v>
      </c>
      <c r="F2901">
        <f>HYPERLINK("https://www.wikidata.org/wiki/Q33728280", "Q33728280")</f>
        <v>0</v>
      </c>
      <c r="G2901" t="s">
        <v>1499</v>
      </c>
      <c r="H2901" t="s">
        <v>6197</v>
      </c>
      <c r="I2901" t="s">
        <v>6200</v>
      </c>
      <c r="J2901" t="s">
        <v>12217</v>
      </c>
      <c r="K2901" t="s">
        <v>16622</v>
      </c>
      <c r="L2901">
        <f>HYPERLINK("https://www2.assemblee-nationale.fr/sycomore/fiche/(num_dept)/3975", "3975")</f>
        <v>0</v>
      </c>
      <c r="N2901">
        <f>HYPERLINK("https://www.wikidata.org/wiki/Q3172781", "Q3172781")</f>
        <v>0</v>
      </c>
      <c r="O2901" t="s">
        <v>20011</v>
      </c>
      <c r="P2901" t="s">
        <v>20430</v>
      </c>
      <c r="Q2901" t="s">
        <v>20588</v>
      </c>
      <c r="R2901" t="s">
        <v>413</v>
      </c>
      <c r="S2901">
        <v>1493</v>
      </c>
    </row>
    <row r="2902" spans="1:19">
      <c r="A2902" t="s">
        <v>23</v>
      </c>
      <c r="B2902" t="s">
        <v>148</v>
      </c>
      <c r="C2902" t="s">
        <v>155</v>
      </c>
      <c r="D2902" t="s">
        <v>284</v>
      </c>
      <c r="E2902" t="s">
        <v>413</v>
      </c>
      <c r="F2902">
        <f>HYPERLINK("https://www.wikidata.org/wiki/Q33728280", "Q33728280")</f>
        <v>0</v>
      </c>
      <c r="G2902" t="s">
        <v>2095</v>
      </c>
      <c r="H2902" t="s">
        <v>6719</v>
      </c>
      <c r="I2902" t="s">
        <v>10080</v>
      </c>
      <c r="J2902" t="s">
        <v>12764</v>
      </c>
      <c r="K2902" t="s">
        <v>17177</v>
      </c>
      <c r="L2902">
        <f>HYPERLINK("https://www2.assemblee-nationale.fr/sycomore/fiche/(num_dept)/4009", "4009")</f>
        <v>0</v>
      </c>
      <c r="N2902">
        <f>HYPERLINK("https://www.wikidata.org/wiki/Q3163678", "Q3163678")</f>
        <v>0</v>
      </c>
      <c r="O2902" t="s">
        <v>20020</v>
      </c>
      <c r="P2902" t="s">
        <v>20428</v>
      </c>
      <c r="Q2902" t="s">
        <v>20588</v>
      </c>
      <c r="R2902" t="s">
        <v>413</v>
      </c>
      <c r="S2902">
        <v>1493</v>
      </c>
    </row>
    <row r="2903" spans="1:19">
      <c r="A2903" t="s">
        <v>23</v>
      </c>
      <c r="B2903" t="s">
        <v>148</v>
      </c>
      <c r="C2903" t="s">
        <v>155</v>
      </c>
      <c r="D2903" t="s">
        <v>284</v>
      </c>
      <c r="E2903" t="s">
        <v>413</v>
      </c>
      <c r="F2903">
        <f>HYPERLINK("https://www.wikidata.org/wiki/Q33728280", "Q33728280")</f>
        <v>0</v>
      </c>
      <c r="G2903" t="s">
        <v>1821</v>
      </c>
      <c r="H2903" t="s">
        <v>6484</v>
      </c>
      <c r="I2903" t="s">
        <v>6585</v>
      </c>
      <c r="J2903" t="s">
        <v>12515</v>
      </c>
      <c r="K2903" t="s">
        <v>16925</v>
      </c>
      <c r="L2903">
        <f>HYPERLINK("https://www2.assemblee-nationale.fr/sycomore/fiche/(num_dept)/4061", "4061")</f>
        <v>0</v>
      </c>
      <c r="N2903">
        <f>HYPERLINK("https://www.wikidata.org/wiki/Q2848010", "Q2848010")</f>
        <v>0</v>
      </c>
      <c r="O2903" t="s">
        <v>20021</v>
      </c>
      <c r="P2903" t="s">
        <v>20428</v>
      </c>
      <c r="Q2903" t="s">
        <v>20588</v>
      </c>
      <c r="R2903" t="s">
        <v>413</v>
      </c>
      <c r="S2903">
        <v>1493</v>
      </c>
    </row>
    <row r="2904" spans="1:19">
      <c r="A2904" t="s">
        <v>23</v>
      </c>
      <c r="B2904" t="s">
        <v>148</v>
      </c>
      <c r="C2904" t="s">
        <v>155</v>
      </c>
      <c r="D2904" t="s">
        <v>284</v>
      </c>
      <c r="E2904" t="s">
        <v>413</v>
      </c>
      <c r="F2904">
        <f>HYPERLINK("https://www.wikidata.org/wiki/Q33728280", "Q33728280")</f>
        <v>0</v>
      </c>
      <c r="G2904" t="s">
        <v>2096</v>
      </c>
      <c r="H2904" t="s">
        <v>6720</v>
      </c>
      <c r="I2904" t="s">
        <v>6200</v>
      </c>
      <c r="J2904" t="s">
        <v>12765</v>
      </c>
      <c r="K2904" t="s">
        <v>17178</v>
      </c>
      <c r="L2904">
        <f>HYPERLINK("https://www2.assemblee-nationale.fr/sycomore/fiche/(num_dept)/4191", "4191")</f>
        <v>0</v>
      </c>
      <c r="N2904">
        <f>HYPERLINK("https://www.wikidata.org/wiki/Q16025897", "Q16025897")</f>
        <v>0</v>
      </c>
      <c r="O2904" t="s">
        <v>20050</v>
      </c>
      <c r="P2904" t="s">
        <v>20430</v>
      </c>
      <c r="Q2904" t="s">
        <v>20588</v>
      </c>
      <c r="R2904" t="s">
        <v>413</v>
      </c>
      <c r="S2904">
        <v>1493</v>
      </c>
    </row>
    <row r="2905" spans="1:19">
      <c r="A2905" t="s">
        <v>23</v>
      </c>
      <c r="B2905" t="s">
        <v>148</v>
      </c>
      <c r="C2905" t="s">
        <v>155</v>
      </c>
      <c r="D2905" t="s">
        <v>284</v>
      </c>
      <c r="E2905" t="s">
        <v>413</v>
      </c>
      <c r="F2905">
        <f>HYPERLINK("https://www.wikidata.org/wiki/Q33728280", "Q33728280")</f>
        <v>0</v>
      </c>
      <c r="G2905" t="s">
        <v>1266</v>
      </c>
      <c r="H2905" t="s">
        <v>5990</v>
      </c>
      <c r="I2905" t="s">
        <v>9457</v>
      </c>
      <c r="J2905" t="s">
        <v>11996</v>
      </c>
      <c r="K2905" t="s">
        <v>16399</v>
      </c>
      <c r="L2905">
        <f>HYPERLINK("https://www2.assemblee-nationale.fr/sycomore/fiche/(num_dept)/4207", "4207")</f>
        <v>0</v>
      </c>
      <c r="N2905">
        <f>HYPERLINK("https://www.wikidata.org/wiki/Q16025906", "Q16025906")</f>
        <v>0</v>
      </c>
      <c r="O2905" t="s">
        <v>19987</v>
      </c>
      <c r="P2905" t="s">
        <v>20401</v>
      </c>
      <c r="Q2905" t="s">
        <v>20588</v>
      </c>
      <c r="R2905" t="s">
        <v>413</v>
      </c>
      <c r="S2905">
        <v>1493</v>
      </c>
    </row>
    <row r="2906" spans="1:19">
      <c r="A2906" t="s">
        <v>23</v>
      </c>
      <c r="B2906" t="s">
        <v>148</v>
      </c>
      <c r="C2906" t="s">
        <v>155</v>
      </c>
      <c r="D2906" t="s">
        <v>284</v>
      </c>
      <c r="E2906" t="s">
        <v>413</v>
      </c>
      <c r="F2906">
        <f>HYPERLINK("https://www.wikidata.org/wiki/Q33728280", "Q33728280")</f>
        <v>0</v>
      </c>
      <c r="G2906" t="s">
        <v>2097</v>
      </c>
      <c r="H2906" t="s">
        <v>6721</v>
      </c>
      <c r="I2906" t="s">
        <v>7911</v>
      </c>
      <c r="J2906" t="s">
        <v>12766</v>
      </c>
      <c r="K2906" t="s">
        <v>17179</v>
      </c>
      <c r="L2906">
        <f>HYPERLINK("https://www2.assemblee-nationale.fr/sycomore/fiche/(num_dept)/4247", "4247")</f>
        <v>0</v>
      </c>
      <c r="N2906">
        <f>HYPERLINK("https://www.wikidata.org/wiki/Q3093813", "Q3093813")</f>
        <v>0</v>
      </c>
      <c r="O2906" t="s">
        <v>19987</v>
      </c>
      <c r="P2906" t="s">
        <v>20404</v>
      </c>
      <c r="Q2906" t="s">
        <v>20588</v>
      </c>
      <c r="R2906" t="s">
        <v>413</v>
      </c>
      <c r="S2906">
        <v>1493</v>
      </c>
    </row>
    <row r="2907" spans="1:19">
      <c r="A2907" t="s">
        <v>23</v>
      </c>
      <c r="B2907" t="s">
        <v>148</v>
      </c>
      <c r="C2907" t="s">
        <v>155</v>
      </c>
      <c r="D2907" t="s">
        <v>284</v>
      </c>
      <c r="E2907" t="s">
        <v>413</v>
      </c>
      <c r="F2907">
        <f>HYPERLINK("https://www.wikidata.org/wiki/Q33728280", "Q33728280")</f>
        <v>0</v>
      </c>
      <c r="G2907" t="s">
        <v>1267</v>
      </c>
      <c r="H2907" t="s">
        <v>5991</v>
      </c>
      <c r="I2907" t="s">
        <v>9388</v>
      </c>
      <c r="J2907" t="s">
        <v>11997</v>
      </c>
      <c r="K2907" t="s">
        <v>16400</v>
      </c>
      <c r="L2907">
        <f>HYPERLINK("https://www2.assemblee-nationale.fr/sycomore/fiche/(num_dept)/4253", "4253")</f>
        <v>0</v>
      </c>
      <c r="M2907">
        <f>HYPERLINK("https://www.senat.fr/senateur-3eme-republique/laffont_paul0184r3.html", "laffont_paul0184r3")</f>
        <v>0</v>
      </c>
      <c r="N2907">
        <f>HYPERLINK("https://www.wikidata.org/wiki/Q3371619", "Q3371619")</f>
        <v>0</v>
      </c>
      <c r="O2907" t="s">
        <v>20019</v>
      </c>
      <c r="P2907" t="s">
        <v>20407</v>
      </c>
      <c r="Q2907" t="s">
        <v>20588</v>
      </c>
      <c r="R2907" t="s">
        <v>17199</v>
      </c>
      <c r="S2907">
        <v>642</v>
      </c>
    </row>
    <row r="2908" spans="1:19">
      <c r="A2908" t="s">
        <v>23</v>
      </c>
      <c r="B2908" t="s">
        <v>148</v>
      </c>
      <c r="C2908" t="s">
        <v>155</v>
      </c>
      <c r="D2908" t="s">
        <v>284</v>
      </c>
      <c r="E2908" t="s">
        <v>413</v>
      </c>
      <c r="F2908">
        <f>HYPERLINK("https://www.wikidata.org/wiki/Q33728280", "Q33728280")</f>
        <v>0</v>
      </c>
      <c r="G2908" t="s">
        <v>1268</v>
      </c>
      <c r="H2908" t="s">
        <v>5992</v>
      </c>
      <c r="I2908" t="s">
        <v>9730</v>
      </c>
      <c r="J2908" t="s">
        <v>11998</v>
      </c>
      <c r="K2908" t="s">
        <v>16401</v>
      </c>
      <c r="L2908">
        <f>HYPERLINK("https://www2.assemblee-nationale.fr/sycomore/fiche/(num_dept)/4259", "4259")</f>
        <v>0</v>
      </c>
      <c r="N2908">
        <f>HYPERLINK("https://www.wikidata.org/wiki/Q3057034", "Q3057034")</f>
        <v>0</v>
      </c>
      <c r="O2908" t="s">
        <v>19981</v>
      </c>
      <c r="P2908" t="s">
        <v>20404</v>
      </c>
      <c r="Q2908" t="s">
        <v>20588</v>
      </c>
      <c r="R2908" t="s">
        <v>413</v>
      </c>
      <c r="S2908">
        <v>1493</v>
      </c>
    </row>
    <row r="2909" spans="1:19">
      <c r="A2909" t="s">
        <v>23</v>
      </c>
      <c r="B2909" t="s">
        <v>148</v>
      </c>
      <c r="C2909" t="s">
        <v>155</v>
      </c>
      <c r="D2909" t="s">
        <v>284</v>
      </c>
      <c r="E2909" t="s">
        <v>413</v>
      </c>
      <c r="F2909">
        <f>HYPERLINK("https://www.wikidata.org/wiki/Q33728280", "Q33728280")</f>
        <v>0</v>
      </c>
      <c r="G2909" t="s">
        <v>1094</v>
      </c>
      <c r="H2909" t="s">
        <v>5836</v>
      </c>
      <c r="I2909" t="s">
        <v>9470</v>
      </c>
      <c r="J2909" t="s">
        <v>11830</v>
      </c>
      <c r="K2909" t="s">
        <v>16230</v>
      </c>
      <c r="L2909">
        <f>HYPERLINK("https://www2.assemblee-nationale.fr/sycomore/fiche/(num_dept)/4287", "4287")</f>
        <v>0</v>
      </c>
      <c r="N2909">
        <f>HYPERLINK("https://www.wikidata.org/wiki/Q16025926", "Q16025926")</f>
        <v>0</v>
      </c>
      <c r="O2909" t="s">
        <v>19995</v>
      </c>
      <c r="P2909" t="s">
        <v>20428</v>
      </c>
      <c r="Q2909" t="s">
        <v>20588</v>
      </c>
      <c r="R2909" t="s">
        <v>413</v>
      </c>
      <c r="S2909">
        <v>1493</v>
      </c>
    </row>
    <row r="2910" spans="1:19">
      <c r="A2910" t="s">
        <v>23</v>
      </c>
      <c r="B2910" t="s">
        <v>148</v>
      </c>
      <c r="C2910" t="s">
        <v>155</v>
      </c>
      <c r="D2910" t="s">
        <v>284</v>
      </c>
      <c r="E2910" t="s">
        <v>413</v>
      </c>
      <c r="F2910">
        <f>HYPERLINK("https://www.wikidata.org/wiki/Q33728280", "Q33728280")</f>
        <v>0</v>
      </c>
      <c r="G2910" t="s">
        <v>1828</v>
      </c>
      <c r="H2910" t="s">
        <v>6490</v>
      </c>
      <c r="I2910" t="s">
        <v>6860</v>
      </c>
      <c r="J2910" t="s">
        <v>12522</v>
      </c>
      <c r="K2910" t="s">
        <v>16932</v>
      </c>
      <c r="L2910">
        <f>HYPERLINK("https://www2.assemblee-nationale.fr/sycomore/fiche/(num_dept)/4300", "4300")</f>
        <v>0</v>
      </c>
      <c r="N2910">
        <f>HYPERLINK("https://www.wikidata.org/wiki/Q16025929", "Q16025929")</f>
        <v>0</v>
      </c>
      <c r="O2910" t="s">
        <v>19970</v>
      </c>
      <c r="P2910" t="s">
        <v>20422</v>
      </c>
      <c r="Q2910" t="s">
        <v>20588</v>
      </c>
      <c r="R2910" t="s">
        <v>413</v>
      </c>
      <c r="S2910">
        <v>1493</v>
      </c>
    </row>
    <row r="2911" spans="1:19">
      <c r="A2911" t="s">
        <v>23</v>
      </c>
      <c r="B2911" t="s">
        <v>148</v>
      </c>
      <c r="C2911" t="s">
        <v>155</v>
      </c>
      <c r="D2911" t="s">
        <v>284</v>
      </c>
      <c r="E2911" t="s">
        <v>413</v>
      </c>
      <c r="F2911">
        <f>HYPERLINK("https://www.wikidata.org/wiki/Q33728280", "Q33728280")</f>
        <v>0</v>
      </c>
      <c r="G2911" t="s">
        <v>1829</v>
      </c>
      <c r="H2911" t="s">
        <v>6491</v>
      </c>
      <c r="I2911" t="s">
        <v>9963</v>
      </c>
      <c r="J2911" t="s">
        <v>12523</v>
      </c>
      <c r="K2911" t="s">
        <v>16933</v>
      </c>
      <c r="L2911">
        <f>HYPERLINK("https://www2.assemblee-nationale.fr/sycomore/fiche/(num_dept)/4302", "4302")</f>
        <v>0</v>
      </c>
      <c r="N2911">
        <f>HYPERLINK("https://www.wikidata.org/wiki/Q2959557", "Q2959557")</f>
        <v>0</v>
      </c>
      <c r="O2911" t="s">
        <v>19965</v>
      </c>
      <c r="P2911" t="s">
        <v>20428</v>
      </c>
      <c r="Q2911" t="s">
        <v>20588</v>
      </c>
      <c r="R2911" t="s">
        <v>413</v>
      </c>
      <c r="S2911">
        <v>1493</v>
      </c>
    </row>
    <row r="2912" spans="1:19">
      <c r="A2912" t="s">
        <v>23</v>
      </c>
      <c r="B2912" t="s">
        <v>148</v>
      </c>
      <c r="C2912" t="s">
        <v>155</v>
      </c>
      <c r="D2912" t="s">
        <v>284</v>
      </c>
      <c r="E2912" t="s">
        <v>413</v>
      </c>
      <c r="F2912">
        <f>HYPERLINK("https://www.wikidata.org/wiki/Q33728280", "Q33728280")</f>
        <v>0</v>
      </c>
      <c r="G2912" t="s">
        <v>1512</v>
      </c>
      <c r="H2912" t="s">
        <v>5734</v>
      </c>
      <c r="I2912" t="s">
        <v>9455</v>
      </c>
      <c r="J2912" t="s">
        <v>12229</v>
      </c>
      <c r="K2912" t="s">
        <v>16635</v>
      </c>
      <c r="L2912">
        <f>HYPERLINK("https://www2.assemblee-nationale.fr/sycomore/fiche/(num_dept)/4318", "4318")</f>
        <v>0</v>
      </c>
      <c r="N2912">
        <f>HYPERLINK("https://www.wikidata.org/wiki/Q3265583", "Q3265583")</f>
        <v>0</v>
      </c>
      <c r="O2912" t="s">
        <v>19999</v>
      </c>
      <c r="P2912" t="s">
        <v>20428</v>
      </c>
      <c r="Q2912" t="s">
        <v>20588</v>
      </c>
      <c r="R2912" t="s">
        <v>413</v>
      </c>
      <c r="S2912">
        <v>1493</v>
      </c>
    </row>
    <row r="2913" spans="1:19">
      <c r="A2913" t="s">
        <v>23</v>
      </c>
      <c r="B2913" t="s">
        <v>148</v>
      </c>
      <c r="C2913" t="s">
        <v>155</v>
      </c>
      <c r="D2913" t="s">
        <v>284</v>
      </c>
      <c r="E2913" t="s">
        <v>413</v>
      </c>
      <c r="F2913">
        <f>HYPERLINK("https://www.wikidata.org/wiki/Q33728280", "Q33728280")</f>
        <v>0</v>
      </c>
      <c r="G2913" t="s">
        <v>2098</v>
      </c>
      <c r="H2913" t="s">
        <v>6722</v>
      </c>
      <c r="I2913" t="s">
        <v>9692</v>
      </c>
      <c r="J2913" t="s">
        <v>12767</v>
      </c>
      <c r="K2913" t="s">
        <v>17180</v>
      </c>
      <c r="L2913">
        <f>HYPERLINK("https://www2.assemblee-nationale.fr/sycomore/fiche/(num_dept)/4349", "4349")</f>
        <v>0</v>
      </c>
      <c r="N2913">
        <f>HYPERLINK("https://www.wikidata.org/wiki/Q16672278", "Q16672278")</f>
        <v>0</v>
      </c>
      <c r="O2913" t="s">
        <v>20000</v>
      </c>
      <c r="P2913" t="s">
        <v>20429</v>
      </c>
      <c r="Q2913" t="s">
        <v>20588</v>
      </c>
      <c r="R2913" t="s">
        <v>413</v>
      </c>
      <c r="S2913">
        <v>1493</v>
      </c>
    </row>
    <row r="2914" spans="1:19">
      <c r="A2914" t="s">
        <v>23</v>
      </c>
      <c r="B2914" t="s">
        <v>148</v>
      </c>
      <c r="C2914" t="s">
        <v>155</v>
      </c>
      <c r="D2914" t="s">
        <v>284</v>
      </c>
      <c r="E2914" t="s">
        <v>413</v>
      </c>
      <c r="F2914">
        <f>HYPERLINK("https://www.wikidata.org/wiki/Q33728280", "Q33728280")</f>
        <v>0</v>
      </c>
      <c r="G2914" t="s">
        <v>2099</v>
      </c>
      <c r="H2914" t="s">
        <v>6723</v>
      </c>
      <c r="I2914" t="s">
        <v>9602</v>
      </c>
      <c r="J2914" t="s">
        <v>11434</v>
      </c>
      <c r="K2914" t="s">
        <v>17181</v>
      </c>
      <c r="L2914">
        <f>HYPERLINK("https://www2.assemblee-nationale.fr/sycomore/fiche/(num_dept)/4357", "4357")</f>
        <v>0</v>
      </c>
      <c r="N2914">
        <f>HYPERLINK("https://www.wikidata.org/wiki/Q16025940", "Q16025940")</f>
        <v>0</v>
      </c>
      <c r="O2914" t="s">
        <v>19991</v>
      </c>
      <c r="P2914" t="s">
        <v>20401</v>
      </c>
      <c r="Q2914" t="s">
        <v>20588</v>
      </c>
      <c r="R2914" t="s">
        <v>413</v>
      </c>
      <c r="S2914">
        <v>1493</v>
      </c>
    </row>
    <row r="2915" spans="1:19">
      <c r="A2915" t="s">
        <v>23</v>
      </c>
      <c r="B2915" t="s">
        <v>148</v>
      </c>
      <c r="C2915" t="s">
        <v>155</v>
      </c>
      <c r="D2915" t="s">
        <v>284</v>
      </c>
      <c r="E2915" t="s">
        <v>413</v>
      </c>
      <c r="F2915">
        <f>HYPERLINK("https://www.wikidata.org/wiki/Q33728280", "Q33728280")</f>
        <v>0</v>
      </c>
      <c r="G2915" t="s">
        <v>2100</v>
      </c>
      <c r="H2915" t="s">
        <v>5470</v>
      </c>
      <c r="I2915" t="s">
        <v>9442</v>
      </c>
      <c r="J2915" t="s">
        <v>12334</v>
      </c>
      <c r="K2915" t="s">
        <v>17182</v>
      </c>
      <c r="L2915">
        <f>HYPERLINK("https://www2.assemblee-nationale.fr/sycomore/fiche/(num_dept)/4361", "4361")</f>
        <v>0</v>
      </c>
      <c r="N2915">
        <f>HYPERLINK("https://www.wikidata.org/wiki/Q3057038", "Q3057038")</f>
        <v>0</v>
      </c>
      <c r="O2915" t="s">
        <v>20005</v>
      </c>
      <c r="P2915" t="s">
        <v>20404</v>
      </c>
      <c r="Q2915" t="s">
        <v>20588</v>
      </c>
      <c r="R2915" t="s">
        <v>413</v>
      </c>
      <c r="S2915">
        <v>1493</v>
      </c>
    </row>
    <row r="2916" spans="1:19">
      <c r="A2916" t="s">
        <v>23</v>
      </c>
      <c r="B2916" t="s">
        <v>148</v>
      </c>
      <c r="C2916" t="s">
        <v>155</v>
      </c>
      <c r="D2916" t="s">
        <v>284</v>
      </c>
      <c r="E2916" t="s">
        <v>413</v>
      </c>
      <c r="F2916">
        <f>HYPERLINK("https://www.wikidata.org/wiki/Q33728280", "Q33728280")</f>
        <v>0</v>
      </c>
      <c r="G2916" t="s">
        <v>1513</v>
      </c>
      <c r="H2916" t="s">
        <v>6209</v>
      </c>
      <c r="I2916" t="s">
        <v>9385</v>
      </c>
      <c r="J2916" t="s">
        <v>12230</v>
      </c>
      <c r="K2916" t="s">
        <v>16636</v>
      </c>
      <c r="L2916">
        <f>HYPERLINK("https://www2.assemblee-nationale.fr/sycomore/fiche/(num_dept)/4386", "4386")</f>
        <v>0</v>
      </c>
      <c r="N2916">
        <f>HYPERLINK("https://www.wikidata.org/wiki/Q2960618", "Q2960618")</f>
        <v>0</v>
      </c>
      <c r="O2916" t="s">
        <v>19969</v>
      </c>
      <c r="P2916" t="s">
        <v>20422</v>
      </c>
      <c r="Q2916" t="s">
        <v>20588</v>
      </c>
      <c r="R2916" t="s">
        <v>413</v>
      </c>
      <c r="S2916">
        <v>1493</v>
      </c>
    </row>
    <row r="2917" spans="1:19">
      <c r="A2917" t="s">
        <v>23</v>
      </c>
      <c r="B2917" t="s">
        <v>148</v>
      </c>
      <c r="C2917" t="s">
        <v>155</v>
      </c>
      <c r="D2917" t="s">
        <v>284</v>
      </c>
      <c r="E2917" t="s">
        <v>413</v>
      </c>
      <c r="F2917">
        <f>HYPERLINK("https://www.wikidata.org/wiki/Q33728280", "Q33728280")</f>
        <v>0</v>
      </c>
      <c r="G2917" t="s">
        <v>2101</v>
      </c>
      <c r="H2917" t="s">
        <v>6724</v>
      </c>
      <c r="I2917" t="s">
        <v>9474</v>
      </c>
      <c r="J2917" t="s">
        <v>12768</v>
      </c>
      <c r="K2917" t="s">
        <v>17183</v>
      </c>
      <c r="L2917">
        <f>HYPERLINK("https://www2.assemblee-nationale.fr/sycomore/fiche/(num_dept)/4396", "4396")</f>
        <v>0</v>
      </c>
      <c r="N2917">
        <f>HYPERLINK("https://www.wikidata.org/wiki/Q3164206", "Q3164206")</f>
        <v>0</v>
      </c>
      <c r="O2917" t="s">
        <v>20020</v>
      </c>
      <c r="P2917" t="s">
        <v>20428</v>
      </c>
      <c r="Q2917" t="s">
        <v>20588</v>
      </c>
      <c r="R2917" t="s">
        <v>413</v>
      </c>
      <c r="S2917">
        <v>1493</v>
      </c>
    </row>
    <row r="2918" spans="1:19">
      <c r="A2918" t="s">
        <v>23</v>
      </c>
      <c r="B2918" t="s">
        <v>148</v>
      </c>
      <c r="C2918" t="s">
        <v>155</v>
      </c>
      <c r="D2918" t="s">
        <v>284</v>
      </c>
      <c r="E2918" t="s">
        <v>413</v>
      </c>
      <c r="F2918">
        <f>HYPERLINK("https://www.wikidata.org/wiki/Q33728280", "Q33728280")</f>
        <v>0</v>
      </c>
      <c r="G2918" t="s">
        <v>2102</v>
      </c>
      <c r="H2918" t="s">
        <v>6725</v>
      </c>
      <c r="I2918" t="s">
        <v>6585</v>
      </c>
      <c r="J2918" t="s">
        <v>12769</v>
      </c>
      <c r="K2918" t="s">
        <v>17184</v>
      </c>
      <c r="L2918">
        <f>HYPERLINK("https://www2.assemblee-nationale.fr/sycomore/fiche/(num_dept)/4808", "4808")</f>
        <v>0</v>
      </c>
      <c r="N2918">
        <f>HYPERLINK("https://www.wikidata.org/wiki/Q2848176", "Q2848176")</f>
        <v>0</v>
      </c>
      <c r="O2918" t="s">
        <v>19964</v>
      </c>
      <c r="P2918" t="s">
        <v>20428</v>
      </c>
      <c r="Q2918" t="s">
        <v>20588</v>
      </c>
      <c r="R2918" t="s">
        <v>413</v>
      </c>
      <c r="S2918">
        <v>1493</v>
      </c>
    </row>
    <row r="2919" spans="1:19">
      <c r="A2919" t="s">
        <v>23</v>
      </c>
      <c r="B2919" t="s">
        <v>148</v>
      </c>
      <c r="C2919" t="s">
        <v>155</v>
      </c>
      <c r="D2919" t="s">
        <v>284</v>
      </c>
      <c r="E2919" t="s">
        <v>413</v>
      </c>
      <c r="F2919">
        <f>HYPERLINK("https://www.wikidata.org/wiki/Q33728280", "Q33728280")</f>
        <v>0</v>
      </c>
      <c r="G2919" t="s">
        <v>1516</v>
      </c>
      <c r="H2919" t="s">
        <v>6212</v>
      </c>
      <c r="I2919" t="s">
        <v>9457</v>
      </c>
      <c r="J2919" t="s">
        <v>12233</v>
      </c>
      <c r="K2919" t="s">
        <v>16639</v>
      </c>
      <c r="L2919">
        <f>HYPERLINK("https://www2.assemblee-nationale.fr/sycomore/fiche/(num_dept)/4811", "4811")</f>
        <v>0</v>
      </c>
      <c r="N2919">
        <f>HYPERLINK("https://www.wikidata.org/wiki/Q8301528", "Q8301528")</f>
        <v>0</v>
      </c>
      <c r="O2919" t="s">
        <v>19987</v>
      </c>
      <c r="P2919" t="s">
        <v>20429</v>
      </c>
      <c r="Q2919" t="s">
        <v>20588</v>
      </c>
      <c r="R2919" t="s">
        <v>413</v>
      </c>
      <c r="S2919">
        <v>1493</v>
      </c>
    </row>
    <row r="2920" spans="1:19">
      <c r="A2920" t="s">
        <v>23</v>
      </c>
      <c r="B2920" t="s">
        <v>148</v>
      </c>
      <c r="C2920" t="s">
        <v>155</v>
      </c>
      <c r="D2920" t="s">
        <v>284</v>
      </c>
      <c r="E2920" t="s">
        <v>413</v>
      </c>
      <c r="F2920">
        <f>HYPERLINK("https://www.wikidata.org/wiki/Q33728280", "Q33728280")</f>
        <v>0</v>
      </c>
      <c r="G2920" t="s">
        <v>2103</v>
      </c>
      <c r="H2920" t="s">
        <v>6726</v>
      </c>
      <c r="I2920" t="s">
        <v>10081</v>
      </c>
      <c r="J2920" t="s">
        <v>12186</v>
      </c>
      <c r="K2920" t="s">
        <v>17185</v>
      </c>
      <c r="L2920">
        <f>HYPERLINK("https://www2.assemblee-nationale.fr/sycomore/fiche/(num_dept)/4821", "4821")</f>
        <v>0</v>
      </c>
      <c r="N2920">
        <f>HYPERLINK("https://www.wikidata.org/wiki/Q16026614", "Q16026614")</f>
        <v>0</v>
      </c>
      <c r="O2920" t="s">
        <v>19968</v>
      </c>
      <c r="P2920" t="s">
        <v>20404</v>
      </c>
      <c r="Q2920" t="s">
        <v>20588</v>
      </c>
      <c r="R2920" t="s">
        <v>413</v>
      </c>
      <c r="S2920">
        <v>1493</v>
      </c>
    </row>
    <row r="2921" spans="1:19">
      <c r="A2921" t="s">
        <v>23</v>
      </c>
      <c r="B2921" t="s">
        <v>148</v>
      </c>
      <c r="C2921" t="s">
        <v>155</v>
      </c>
      <c r="D2921" t="s">
        <v>284</v>
      </c>
      <c r="E2921" t="s">
        <v>413</v>
      </c>
      <c r="F2921">
        <f>HYPERLINK("https://www.wikidata.org/wiki/Q33728280", "Q33728280")</f>
        <v>0</v>
      </c>
      <c r="G2921" t="s">
        <v>1517</v>
      </c>
      <c r="H2921" t="s">
        <v>6213</v>
      </c>
      <c r="I2921" t="s">
        <v>6495</v>
      </c>
      <c r="J2921" t="s">
        <v>12234</v>
      </c>
      <c r="K2921" t="s">
        <v>16640</v>
      </c>
      <c r="L2921">
        <f>HYPERLINK("https://www2.assemblee-nationale.fr/sycomore/fiche/(num_dept)/4823", "4823")</f>
        <v>0</v>
      </c>
      <c r="N2921">
        <f>HYPERLINK("https://www.wikidata.org/wiki/Q2788498", "Q2788498")</f>
        <v>0</v>
      </c>
      <c r="O2921" t="s">
        <v>20013</v>
      </c>
      <c r="P2921" t="s">
        <v>20401</v>
      </c>
      <c r="Q2921" t="s">
        <v>20588</v>
      </c>
      <c r="R2921" t="s">
        <v>16640</v>
      </c>
      <c r="S2921">
        <v>1302</v>
      </c>
    </row>
    <row r="2922" spans="1:19">
      <c r="A2922" t="s">
        <v>23</v>
      </c>
      <c r="B2922" t="s">
        <v>148</v>
      </c>
      <c r="C2922" t="s">
        <v>155</v>
      </c>
      <c r="D2922" t="s">
        <v>284</v>
      </c>
      <c r="E2922" t="s">
        <v>413</v>
      </c>
      <c r="F2922">
        <f>HYPERLINK("https://www.wikidata.org/wiki/Q33728280", "Q33728280")</f>
        <v>0</v>
      </c>
      <c r="G2922" t="s">
        <v>2104</v>
      </c>
      <c r="H2922" t="s">
        <v>6727</v>
      </c>
      <c r="I2922" t="s">
        <v>10082</v>
      </c>
      <c r="J2922" t="s">
        <v>12770</v>
      </c>
      <c r="K2922" t="s">
        <v>17186</v>
      </c>
      <c r="L2922">
        <f>HYPERLINK("https://www2.assemblee-nationale.fr/sycomore/fiche/(num_dept)/4852", "4852")</f>
        <v>0</v>
      </c>
      <c r="N2922">
        <f>HYPERLINK("https://www.wikidata.org/wiki/Q16026018", "Q16026018")</f>
        <v>0</v>
      </c>
      <c r="O2922" t="s">
        <v>20012</v>
      </c>
      <c r="P2922" t="s">
        <v>20412</v>
      </c>
      <c r="Q2922" t="s">
        <v>20588</v>
      </c>
      <c r="R2922" t="s">
        <v>17186</v>
      </c>
      <c r="S2922">
        <v>578</v>
      </c>
    </row>
    <row r="2923" spans="1:19">
      <c r="A2923" t="s">
        <v>23</v>
      </c>
      <c r="B2923" t="s">
        <v>148</v>
      </c>
      <c r="C2923" t="s">
        <v>155</v>
      </c>
      <c r="D2923" t="s">
        <v>284</v>
      </c>
      <c r="E2923" t="s">
        <v>413</v>
      </c>
      <c r="F2923">
        <f>HYPERLINK("https://www.wikidata.org/wiki/Q33728280", "Q33728280")</f>
        <v>0</v>
      </c>
      <c r="G2923" t="s">
        <v>2105</v>
      </c>
      <c r="H2923" t="s">
        <v>6728</v>
      </c>
      <c r="I2923" t="s">
        <v>9553</v>
      </c>
      <c r="J2923" t="s">
        <v>12374</v>
      </c>
      <c r="K2923" t="s">
        <v>17187</v>
      </c>
      <c r="L2923">
        <f>HYPERLINK("https://www2.assemblee-nationale.fr/sycomore/fiche/(num_dept)/4854", "4854")</f>
        <v>0</v>
      </c>
      <c r="N2923">
        <f>HYPERLINK("https://www.wikidata.org/wiki/Q13080262", "Q13080262")</f>
        <v>0</v>
      </c>
      <c r="O2923" t="s">
        <v>19969</v>
      </c>
      <c r="P2923" t="s">
        <v>20404</v>
      </c>
      <c r="Q2923" t="s">
        <v>20588</v>
      </c>
      <c r="R2923" t="s">
        <v>17187</v>
      </c>
      <c r="S2923">
        <v>791</v>
      </c>
    </row>
    <row r="2924" spans="1:19">
      <c r="A2924" t="s">
        <v>23</v>
      </c>
      <c r="B2924" t="s">
        <v>148</v>
      </c>
      <c r="C2924" t="s">
        <v>155</v>
      </c>
      <c r="D2924" t="s">
        <v>284</v>
      </c>
      <c r="E2924" t="s">
        <v>413</v>
      </c>
      <c r="F2924">
        <f>HYPERLINK("https://www.wikidata.org/wiki/Q33728280", "Q33728280")</f>
        <v>0</v>
      </c>
      <c r="G2924" t="s">
        <v>715</v>
      </c>
      <c r="H2924" t="s">
        <v>5473</v>
      </c>
      <c r="I2924" t="s">
        <v>9494</v>
      </c>
      <c r="J2924" t="s">
        <v>11464</v>
      </c>
      <c r="K2924" t="s">
        <v>15866</v>
      </c>
      <c r="L2924">
        <f>HYPERLINK("https://www2.assemblee-nationale.fr/sycomore/fiche/(num_dept)/4861", "4861")</f>
        <v>0</v>
      </c>
      <c r="N2924">
        <f>HYPERLINK("https://www.wikidata.org/wiki/Q3132399", "Q3132399")</f>
        <v>0</v>
      </c>
      <c r="O2924" t="s">
        <v>20012</v>
      </c>
      <c r="P2924" t="s">
        <v>20422</v>
      </c>
      <c r="Q2924" t="s">
        <v>20588</v>
      </c>
      <c r="R2924" t="s">
        <v>413</v>
      </c>
      <c r="S2924">
        <v>1493</v>
      </c>
    </row>
    <row r="2925" spans="1:19">
      <c r="A2925" t="s">
        <v>23</v>
      </c>
      <c r="B2925" t="s">
        <v>148</v>
      </c>
      <c r="C2925" t="s">
        <v>155</v>
      </c>
      <c r="D2925" t="s">
        <v>284</v>
      </c>
      <c r="E2925" t="s">
        <v>413</v>
      </c>
      <c r="F2925">
        <f>HYPERLINK("https://www.wikidata.org/wiki/Q33728280", "Q33728280")</f>
        <v>0</v>
      </c>
      <c r="G2925" t="s">
        <v>2106</v>
      </c>
      <c r="H2925" t="s">
        <v>6729</v>
      </c>
      <c r="I2925" t="s">
        <v>10083</v>
      </c>
      <c r="J2925" t="s">
        <v>12771</v>
      </c>
      <c r="K2925" t="s">
        <v>17188</v>
      </c>
      <c r="L2925">
        <f>HYPERLINK("https://www2.assemblee-nationale.fr/sycomore/fiche/(num_dept)/4929", "4929")</f>
        <v>0</v>
      </c>
      <c r="N2925">
        <f>HYPERLINK("https://www.wikidata.org/wiki/Q3371756", "Q3371756")</f>
        <v>0</v>
      </c>
      <c r="O2925" t="s">
        <v>19969</v>
      </c>
      <c r="P2925" t="s">
        <v>20431</v>
      </c>
      <c r="Q2925" t="s">
        <v>20588</v>
      </c>
      <c r="R2925" t="s">
        <v>413</v>
      </c>
      <c r="S2925">
        <v>1493</v>
      </c>
    </row>
    <row r="2926" spans="1:19">
      <c r="A2926" t="s">
        <v>23</v>
      </c>
      <c r="B2926" t="s">
        <v>148</v>
      </c>
      <c r="C2926" t="s">
        <v>155</v>
      </c>
      <c r="D2926" t="s">
        <v>284</v>
      </c>
      <c r="E2926" t="s">
        <v>413</v>
      </c>
      <c r="F2926">
        <f>HYPERLINK("https://www.wikidata.org/wiki/Q33728280", "Q33728280")</f>
        <v>0</v>
      </c>
      <c r="G2926" t="s">
        <v>1921</v>
      </c>
      <c r="H2926" t="s">
        <v>6568</v>
      </c>
      <c r="I2926" t="s">
        <v>6585</v>
      </c>
      <c r="J2926" t="s">
        <v>12606</v>
      </c>
      <c r="K2926" t="s">
        <v>17018</v>
      </c>
      <c r="L2926">
        <f>HYPERLINK("https://www2.assemblee-nationale.fr/sycomore/fiche/(num_dept)/4931", "4931")</f>
        <v>0</v>
      </c>
      <c r="M2926">
        <f>HYPERLINK("https://www.senat.fr/senateur-3eme-republique/mallarme_andre0841r3.html", "mallarme_andre0841r3")</f>
        <v>0</v>
      </c>
      <c r="N2926">
        <f>HYPERLINK("https://www.wikidata.org/wiki/Q2511312", "Q2511312")</f>
        <v>0</v>
      </c>
      <c r="O2926" t="s">
        <v>20000</v>
      </c>
      <c r="P2926" t="s">
        <v>20401</v>
      </c>
      <c r="Q2926" t="s">
        <v>20588</v>
      </c>
      <c r="R2926" t="s">
        <v>413</v>
      </c>
      <c r="S2926">
        <v>1493</v>
      </c>
    </row>
    <row r="2927" spans="1:19">
      <c r="A2927" t="s">
        <v>23</v>
      </c>
      <c r="B2927" t="s">
        <v>148</v>
      </c>
      <c r="C2927" t="s">
        <v>155</v>
      </c>
      <c r="D2927" t="s">
        <v>284</v>
      </c>
      <c r="E2927" t="s">
        <v>413</v>
      </c>
      <c r="F2927">
        <f>HYPERLINK("https://www.wikidata.org/wiki/Q33728280", "Q33728280")</f>
        <v>0</v>
      </c>
      <c r="G2927" t="s">
        <v>1524</v>
      </c>
      <c r="H2927" t="s">
        <v>5746</v>
      </c>
      <c r="I2927" t="s">
        <v>9476</v>
      </c>
      <c r="J2927" t="s">
        <v>12241</v>
      </c>
      <c r="K2927" t="s">
        <v>16647</v>
      </c>
      <c r="L2927">
        <f>HYPERLINK("https://www2.assemblee-nationale.fr/sycomore/fiche/(num_dept)/4946", "4946")</f>
        <v>0</v>
      </c>
      <c r="N2927">
        <f>HYPERLINK("https://www.wikidata.org/wiki/Q3426588", "Q3426588")</f>
        <v>0</v>
      </c>
      <c r="O2927" t="s">
        <v>20001</v>
      </c>
      <c r="P2927" t="s">
        <v>20401</v>
      </c>
      <c r="Q2927" t="s">
        <v>20588</v>
      </c>
      <c r="R2927" t="s">
        <v>413</v>
      </c>
      <c r="S2927">
        <v>1493</v>
      </c>
    </row>
    <row r="2928" spans="1:19">
      <c r="A2928" t="s">
        <v>23</v>
      </c>
      <c r="B2928" t="s">
        <v>148</v>
      </c>
      <c r="C2928" t="s">
        <v>155</v>
      </c>
      <c r="D2928" t="s">
        <v>284</v>
      </c>
      <c r="E2928" t="s">
        <v>413</v>
      </c>
      <c r="F2928">
        <f>HYPERLINK("https://www.wikidata.org/wiki/Q33728280", "Q33728280")</f>
        <v>0</v>
      </c>
      <c r="G2928" t="s">
        <v>1526</v>
      </c>
      <c r="H2928" t="s">
        <v>6221</v>
      </c>
      <c r="I2928" t="s">
        <v>6175</v>
      </c>
      <c r="J2928" t="s">
        <v>12243</v>
      </c>
      <c r="K2928" t="s">
        <v>16649</v>
      </c>
      <c r="L2928">
        <f>HYPERLINK("https://www2.assemblee-nationale.fr/sycomore/fiche/(num_dept)/4952", "4952")</f>
        <v>0</v>
      </c>
      <c r="N2928">
        <f>HYPERLINK("https://www.wikidata.org/wiki/Q669893", "Q669893")</f>
        <v>0</v>
      </c>
      <c r="O2928" t="s">
        <v>19987</v>
      </c>
      <c r="P2928" t="s">
        <v>20407</v>
      </c>
      <c r="Q2928" t="s">
        <v>20588</v>
      </c>
      <c r="R2928" t="s">
        <v>413</v>
      </c>
      <c r="S2928">
        <v>1493</v>
      </c>
    </row>
    <row r="2929" spans="1:19">
      <c r="A2929" t="s">
        <v>23</v>
      </c>
      <c r="B2929" t="s">
        <v>148</v>
      </c>
      <c r="C2929" t="s">
        <v>155</v>
      </c>
      <c r="D2929" t="s">
        <v>284</v>
      </c>
      <c r="E2929" t="s">
        <v>413</v>
      </c>
      <c r="F2929">
        <f>HYPERLINK("https://www.wikidata.org/wiki/Q33728280", "Q33728280")</f>
        <v>0</v>
      </c>
      <c r="G2929" t="s">
        <v>2107</v>
      </c>
      <c r="H2929" t="s">
        <v>6730</v>
      </c>
      <c r="I2929" t="s">
        <v>7265</v>
      </c>
      <c r="J2929" t="s">
        <v>12772</v>
      </c>
      <c r="K2929" t="s">
        <v>17189</v>
      </c>
      <c r="L2929">
        <f>HYPERLINK("https://www2.assemblee-nationale.fr/sycomore/fiche/(num_dept)/4982", "4982")</f>
        <v>0</v>
      </c>
      <c r="N2929">
        <f>HYPERLINK("https://www.wikidata.org/wiki/Q3380310", "Q3380310")</f>
        <v>0</v>
      </c>
      <c r="O2929" t="s">
        <v>20005</v>
      </c>
      <c r="P2929" t="s">
        <v>20428</v>
      </c>
      <c r="Q2929" t="s">
        <v>20588</v>
      </c>
      <c r="R2929" t="s">
        <v>413</v>
      </c>
      <c r="S2929">
        <v>1493</v>
      </c>
    </row>
    <row r="2930" spans="1:19">
      <c r="A2930" t="s">
        <v>23</v>
      </c>
      <c r="B2930" t="s">
        <v>148</v>
      </c>
      <c r="C2930" t="s">
        <v>155</v>
      </c>
      <c r="D2930" t="s">
        <v>284</v>
      </c>
      <c r="E2930" t="s">
        <v>413</v>
      </c>
      <c r="F2930">
        <f>HYPERLINK("https://www.wikidata.org/wiki/Q33728280", "Q33728280")</f>
        <v>0</v>
      </c>
      <c r="G2930" t="s">
        <v>723</v>
      </c>
      <c r="H2930" t="s">
        <v>5481</v>
      </c>
      <c r="I2930" t="s">
        <v>9458</v>
      </c>
      <c r="J2930" t="s">
        <v>11472</v>
      </c>
      <c r="K2930" t="s">
        <v>15874</v>
      </c>
      <c r="L2930">
        <f>HYPERLINK("https://www2.assemblee-nationale.fr/sycomore/fiche/(num_dept)/4991", "4991")</f>
        <v>0</v>
      </c>
      <c r="N2930">
        <f>HYPERLINK("https://www.wikidata.org/wiki/Q2835305", "Q2835305")</f>
        <v>0</v>
      </c>
      <c r="O2930" t="s">
        <v>20025</v>
      </c>
      <c r="P2930" t="s">
        <v>20428</v>
      </c>
      <c r="Q2930" t="s">
        <v>20588</v>
      </c>
      <c r="R2930" t="s">
        <v>413</v>
      </c>
      <c r="S2930">
        <v>1493</v>
      </c>
    </row>
    <row r="2931" spans="1:19">
      <c r="A2931" t="s">
        <v>23</v>
      </c>
      <c r="B2931" t="s">
        <v>148</v>
      </c>
      <c r="C2931" t="s">
        <v>155</v>
      </c>
      <c r="D2931" t="s">
        <v>284</v>
      </c>
      <c r="E2931" t="s">
        <v>413</v>
      </c>
      <c r="F2931">
        <f>HYPERLINK("https://www.wikidata.org/wiki/Q33728280", "Q33728280")</f>
        <v>0</v>
      </c>
      <c r="G2931" t="s">
        <v>2108</v>
      </c>
      <c r="H2931" t="s">
        <v>6731</v>
      </c>
      <c r="I2931" t="s">
        <v>6585</v>
      </c>
      <c r="J2931" t="s">
        <v>12773</v>
      </c>
      <c r="K2931" t="s">
        <v>17190</v>
      </c>
      <c r="L2931">
        <f>HYPERLINK("https://www2.assemblee-nationale.fr/sycomore/fiche/(num_dept)/4997", "4997")</f>
        <v>0</v>
      </c>
      <c r="N2931">
        <f>HYPERLINK("https://www.wikidata.org/wiki/Q440565", "Q440565")</f>
        <v>0</v>
      </c>
      <c r="O2931" t="s">
        <v>19978</v>
      </c>
      <c r="P2931" t="s">
        <v>20428</v>
      </c>
      <c r="Q2931" t="s">
        <v>20588</v>
      </c>
      <c r="R2931" t="s">
        <v>413</v>
      </c>
      <c r="S2931">
        <v>1493</v>
      </c>
    </row>
    <row r="2932" spans="1:19">
      <c r="A2932" t="s">
        <v>23</v>
      </c>
      <c r="B2932" t="s">
        <v>148</v>
      </c>
      <c r="C2932" t="s">
        <v>155</v>
      </c>
      <c r="D2932" t="s">
        <v>284</v>
      </c>
      <c r="E2932" t="s">
        <v>413</v>
      </c>
      <c r="F2932">
        <f>HYPERLINK("https://www.wikidata.org/wiki/Q33728280", "Q33728280")</f>
        <v>0</v>
      </c>
      <c r="G2932" t="s">
        <v>1839</v>
      </c>
      <c r="H2932" t="s">
        <v>5749</v>
      </c>
      <c r="I2932" t="s">
        <v>9445</v>
      </c>
      <c r="J2932" t="s">
        <v>12531</v>
      </c>
      <c r="K2932" t="s">
        <v>16943</v>
      </c>
      <c r="L2932">
        <f>HYPERLINK("https://www2.assemblee-nationale.fr/sycomore/fiche/(num_dept)/5018", "5018")</f>
        <v>0</v>
      </c>
      <c r="N2932">
        <f>HYPERLINK("https://www.wikidata.org/wiki/Q2825221", "Q2825221")</f>
        <v>0</v>
      </c>
      <c r="O2932" t="s">
        <v>19987</v>
      </c>
      <c r="P2932" t="s">
        <v>20404</v>
      </c>
      <c r="Q2932" t="s">
        <v>20588</v>
      </c>
      <c r="R2932" t="s">
        <v>413</v>
      </c>
      <c r="S2932">
        <v>1493</v>
      </c>
    </row>
    <row r="2933" spans="1:19">
      <c r="A2933" t="s">
        <v>23</v>
      </c>
      <c r="B2933" t="s">
        <v>148</v>
      </c>
      <c r="C2933" t="s">
        <v>155</v>
      </c>
      <c r="D2933" t="s">
        <v>284</v>
      </c>
      <c r="E2933" t="s">
        <v>413</v>
      </c>
      <c r="F2933">
        <f>HYPERLINK("https://www.wikidata.org/wiki/Q33728280", "Q33728280")</f>
        <v>0</v>
      </c>
      <c r="G2933" t="s">
        <v>2109</v>
      </c>
      <c r="H2933" t="s">
        <v>6732</v>
      </c>
      <c r="I2933" t="s">
        <v>10084</v>
      </c>
      <c r="J2933" t="s">
        <v>12774</v>
      </c>
      <c r="K2933" t="s">
        <v>17191</v>
      </c>
      <c r="L2933">
        <f>HYPERLINK("https://www2.assemblee-nationale.fr/sycomore/fiche/(num_dept)/5025", "5025")</f>
        <v>0</v>
      </c>
      <c r="N2933">
        <f>HYPERLINK("https://www.wikidata.org/wiki/Q16026052", "Q16026052")</f>
        <v>0</v>
      </c>
      <c r="O2933" t="s">
        <v>19969</v>
      </c>
      <c r="P2933" t="s">
        <v>20404</v>
      </c>
      <c r="Q2933" t="s">
        <v>20588</v>
      </c>
      <c r="R2933" t="s">
        <v>413</v>
      </c>
      <c r="S2933">
        <v>1493</v>
      </c>
    </row>
    <row r="2934" spans="1:19">
      <c r="A2934" t="s">
        <v>23</v>
      </c>
      <c r="B2934" t="s">
        <v>148</v>
      </c>
      <c r="C2934" t="s">
        <v>155</v>
      </c>
      <c r="D2934" t="s">
        <v>284</v>
      </c>
      <c r="E2934" t="s">
        <v>413</v>
      </c>
      <c r="F2934">
        <f>HYPERLINK("https://www.wikidata.org/wiki/Q33728280", "Q33728280")</f>
        <v>0</v>
      </c>
      <c r="G2934" t="s">
        <v>2110</v>
      </c>
      <c r="H2934" t="s">
        <v>6733</v>
      </c>
      <c r="I2934" t="s">
        <v>6495</v>
      </c>
      <c r="J2934" t="s">
        <v>12775</v>
      </c>
      <c r="K2934" t="s">
        <v>17192</v>
      </c>
      <c r="L2934">
        <f>HYPERLINK("https://www2.assemblee-nationale.fr/sycomore/fiche/(num_dept)/5029", "5029")</f>
        <v>0</v>
      </c>
      <c r="N2934">
        <f>HYPERLINK("https://www.wikidata.org/wiki/Q16026053", "Q16026053")</f>
        <v>0</v>
      </c>
      <c r="O2934" t="s">
        <v>20034</v>
      </c>
      <c r="P2934" t="s">
        <v>20412</v>
      </c>
      <c r="Q2934" t="s">
        <v>20588</v>
      </c>
      <c r="R2934" t="s">
        <v>413</v>
      </c>
      <c r="S2934">
        <v>1493</v>
      </c>
    </row>
    <row r="2935" spans="1:19">
      <c r="A2935" t="s">
        <v>23</v>
      </c>
      <c r="B2935" t="s">
        <v>148</v>
      </c>
      <c r="C2935" t="s">
        <v>155</v>
      </c>
      <c r="D2935" t="s">
        <v>284</v>
      </c>
      <c r="E2935" t="s">
        <v>413</v>
      </c>
      <c r="F2935">
        <f>HYPERLINK("https://www.wikidata.org/wiki/Q33728280", "Q33728280")</f>
        <v>0</v>
      </c>
      <c r="G2935" t="s">
        <v>2111</v>
      </c>
      <c r="H2935" t="s">
        <v>6734</v>
      </c>
      <c r="I2935" t="s">
        <v>10085</v>
      </c>
      <c r="J2935" t="s">
        <v>12776</v>
      </c>
      <c r="K2935" t="s">
        <v>17193</v>
      </c>
      <c r="L2935">
        <f>HYPERLINK("https://www2.assemblee-nationale.fr/sycomore/fiche/(num_dept)/5065", "5065")</f>
        <v>0</v>
      </c>
      <c r="M2935">
        <f>HYPERLINK("https://www.senat.fr/senateur-3eme-republique/masclanis_joseph0157r3.html", "masclanis_joseph0157r3")</f>
        <v>0</v>
      </c>
      <c r="N2935">
        <f>HYPERLINK("https://www.wikidata.org/wiki/Q3185333", "Q3185333")</f>
        <v>0</v>
      </c>
      <c r="O2935" t="s">
        <v>20003</v>
      </c>
      <c r="P2935" t="s">
        <v>20401</v>
      </c>
      <c r="Q2935" t="s">
        <v>20588</v>
      </c>
      <c r="R2935" t="s">
        <v>413</v>
      </c>
      <c r="S2935">
        <v>1493</v>
      </c>
    </row>
    <row r="2936" spans="1:19">
      <c r="A2936" t="s">
        <v>23</v>
      </c>
      <c r="B2936" t="s">
        <v>148</v>
      </c>
      <c r="C2936" t="s">
        <v>155</v>
      </c>
      <c r="D2936" t="s">
        <v>284</v>
      </c>
      <c r="E2936" t="s">
        <v>413</v>
      </c>
      <c r="F2936">
        <f>HYPERLINK("https://www.wikidata.org/wiki/Q33728280", "Q33728280")</f>
        <v>0</v>
      </c>
      <c r="G2936" t="s">
        <v>1843</v>
      </c>
      <c r="H2936" t="s">
        <v>5750</v>
      </c>
      <c r="I2936" t="s">
        <v>9950</v>
      </c>
      <c r="J2936" t="s">
        <v>12534</v>
      </c>
      <c r="K2936" t="s">
        <v>16946</v>
      </c>
      <c r="L2936">
        <f>HYPERLINK("https://www2.assemblee-nationale.fr/sycomore/fiche/(num_dept)/5072", "5072")</f>
        <v>0</v>
      </c>
      <c r="N2936">
        <f>HYPERLINK("https://www.wikidata.org/wiki/Q2871618", "Q2871618")</f>
        <v>0</v>
      </c>
      <c r="O2936" t="s">
        <v>19996</v>
      </c>
      <c r="P2936" t="s">
        <v>20412</v>
      </c>
      <c r="Q2936" t="s">
        <v>20588</v>
      </c>
      <c r="R2936" t="s">
        <v>413</v>
      </c>
      <c r="S2936">
        <v>1493</v>
      </c>
    </row>
    <row r="2937" spans="1:19">
      <c r="A2937" t="s">
        <v>23</v>
      </c>
      <c r="B2937" t="s">
        <v>148</v>
      </c>
      <c r="C2937" t="s">
        <v>155</v>
      </c>
      <c r="D2937" t="s">
        <v>284</v>
      </c>
      <c r="E2937" t="s">
        <v>413</v>
      </c>
      <c r="F2937">
        <f>HYPERLINK("https://www.wikidata.org/wiki/Q33728280", "Q33728280")</f>
        <v>0</v>
      </c>
      <c r="G2937" t="s">
        <v>2112</v>
      </c>
      <c r="H2937" t="s">
        <v>5750</v>
      </c>
      <c r="I2937" t="s">
        <v>10086</v>
      </c>
      <c r="J2937" t="s">
        <v>12777</v>
      </c>
      <c r="K2937" t="s">
        <v>16362</v>
      </c>
      <c r="L2937">
        <f>HYPERLINK("https://www2.assemblee-nationale.fr/sycomore/fiche/(num_dept)/5073", "5073")</f>
        <v>0</v>
      </c>
      <c r="N2937">
        <f>HYPERLINK("https://www.wikidata.org/wiki/Q3588650", "Q3588650")</f>
        <v>0</v>
      </c>
      <c r="O2937" t="s">
        <v>20005</v>
      </c>
      <c r="P2937" t="s">
        <v>20428</v>
      </c>
      <c r="Q2937" t="s">
        <v>20588</v>
      </c>
      <c r="R2937" t="s">
        <v>413</v>
      </c>
      <c r="S2937">
        <v>1493</v>
      </c>
    </row>
    <row r="2938" spans="1:19">
      <c r="A2938" t="s">
        <v>23</v>
      </c>
      <c r="B2938" t="s">
        <v>148</v>
      </c>
      <c r="C2938" t="s">
        <v>155</v>
      </c>
      <c r="D2938" t="s">
        <v>284</v>
      </c>
      <c r="E2938" t="s">
        <v>413</v>
      </c>
      <c r="F2938">
        <f>HYPERLINK("https://www.wikidata.org/wiki/Q33728280", "Q33728280")</f>
        <v>0</v>
      </c>
      <c r="G2938" t="s">
        <v>2113</v>
      </c>
      <c r="H2938" t="s">
        <v>5916</v>
      </c>
      <c r="I2938" t="s">
        <v>6200</v>
      </c>
      <c r="J2938" t="s">
        <v>12778</v>
      </c>
      <c r="K2938" t="s">
        <v>17194</v>
      </c>
      <c r="L2938">
        <f>HYPERLINK("https://www2.assemblee-nationale.fr/sycomore/fiche/(num_dept)/5075", "5075")</f>
        <v>0</v>
      </c>
      <c r="N2938">
        <f>HYPERLINK("https://www.wikidata.org/wiki/Q17630967", "Q17630967")</f>
        <v>0</v>
      </c>
      <c r="O2938" t="s">
        <v>20012</v>
      </c>
      <c r="P2938" t="s">
        <v>20412</v>
      </c>
      <c r="Q2938" t="s">
        <v>20588</v>
      </c>
      <c r="R2938" t="s">
        <v>413</v>
      </c>
      <c r="S2938">
        <v>1493</v>
      </c>
    </row>
    <row r="2939" spans="1:19">
      <c r="A2939" t="s">
        <v>23</v>
      </c>
      <c r="B2939" t="s">
        <v>148</v>
      </c>
      <c r="C2939" t="s">
        <v>155</v>
      </c>
      <c r="D2939" t="s">
        <v>284</v>
      </c>
      <c r="E2939" t="s">
        <v>413</v>
      </c>
      <c r="F2939">
        <f>HYPERLINK("https://www.wikidata.org/wiki/Q33728280", "Q33728280")</f>
        <v>0</v>
      </c>
      <c r="G2939" t="s">
        <v>2114</v>
      </c>
      <c r="H2939" t="s">
        <v>6735</v>
      </c>
      <c r="I2939" t="s">
        <v>10087</v>
      </c>
      <c r="J2939" t="s">
        <v>12779</v>
      </c>
      <c r="K2939" t="s">
        <v>17195</v>
      </c>
      <c r="L2939">
        <f>HYPERLINK("https://www2.assemblee-nationale.fr/sycomore/fiche/(num_dept)/5079", "5079")</f>
        <v>0</v>
      </c>
      <c r="N2939">
        <f>HYPERLINK("https://www.wikidata.org/wiki/Q16026062", "Q16026062")</f>
        <v>0</v>
      </c>
      <c r="O2939" t="s">
        <v>19965</v>
      </c>
      <c r="P2939" t="s">
        <v>20428</v>
      </c>
      <c r="Q2939" t="s">
        <v>20588</v>
      </c>
      <c r="R2939" t="s">
        <v>413</v>
      </c>
      <c r="S2939">
        <v>1493</v>
      </c>
    </row>
    <row r="2940" spans="1:19">
      <c r="A2940" t="s">
        <v>23</v>
      </c>
      <c r="B2940" t="s">
        <v>148</v>
      </c>
      <c r="C2940" t="s">
        <v>155</v>
      </c>
      <c r="D2940" t="s">
        <v>284</v>
      </c>
      <c r="E2940" t="s">
        <v>413</v>
      </c>
      <c r="F2940">
        <f>HYPERLINK("https://www.wikidata.org/wiki/Q33728280", "Q33728280")</f>
        <v>0</v>
      </c>
      <c r="G2940" t="s">
        <v>1531</v>
      </c>
      <c r="H2940" t="s">
        <v>6226</v>
      </c>
      <c r="I2940" t="s">
        <v>9472</v>
      </c>
      <c r="J2940" t="s">
        <v>12248</v>
      </c>
      <c r="K2940" t="s">
        <v>16653</v>
      </c>
      <c r="L2940">
        <f>HYPERLINK("https://www2.assemblee-nationale.fr/sycomore/fiche/(num_dept)/5082", "5082")</f>
        <v>0</v>
      </c>
      <c r="N2940">
        <f>HYPERLINK("https://www.wikidata.org/wiki/Q3188665", "Q3188665")</f>
        <v>0</v>
      </c>
      <c r="O2940" t="s">
        <v>20011</v>
      </c>
      <c r="P2940" t="s">
        <v>20404</v>
      </c>
      <c r="Q2940" t="s">
        <v>20588</v>
      </c>
      <c r="R2940" t="s">
        <v>413</v>
      </c>
      <c r="S2940">
        <v>1493</v>
      </c>
    </row>
    <row r="2941" spans="1:19">
      <c r="A2941" t="s">
        <v>23</v>
      </c>
      <c r="B2941" t="s">
        <v>148</v>
      </c>
      <c r="C2941" t="s">
        <v>155</v>
      </c>
      <c r="D2941" t="s">
        <v>284</v>
      </c>
      <c r="E2941" t="s">
        <v>413</v>
      </c>
      <c r="F2941">
        <f>HYPERLINK("https://www.wikidata.org/wiki/Q33728280", "Q33728280")</f>
        <v>0</v>
      </c>
      <c r="G2941" t="s">
        <v>2115</v>
      </c>
      <c r="H2941" t="s">
        <v>6736</v>
      </c>
      <c r="I2941" t="s">
        <v>10088</v>
      </c>
      <c r="J2941" t="s">
        <v>12580</v>
      </c>
      <c r="K2941" t="s">
        <v>17196</v>
      </c>
      <c r="L2941">
        <f>HYPERLINK("https://www2.assemblee-nationale.fr/sycomore/fiche/(num_dept)/5098", "5098")</f>
        <v>0</v>
      </c>
      <c r="N2941">
        <f>HYPERLINK("https://www.wikidata.org/wiki/Q2311355", "Q2311355")</f>
        <v>0</v>
      </c>
      <c r="O2941" t="s">
        <v>19996</v>
      </c>
      <c r="P2941" t="s">
        <v>20422</v>
      </c>
      <c r="Q2941" t="s">
        <v>20588</v>
      </c>
      <c r="R2941" t="s">
        <v>413</v>
      </c>
      <c r="S2941">
        <v>1493</v>
      </c>
    </row>
    <row r="2942" spans="1:19">
      <c r="A2942" t="s">
        <v>23</v>
      </c>
      <c r="B2942" t="s">
        <v>148</v>
      </c>
      <c r="C2942" t="s">
        <v>155</v>
      </c>
      <c r="D2942" t="s">
        <v>284</v>
      </c>
      <c r="E2942" t="s">
        <v>413</v>
      </c>
      <c r="F2942">
        <f>HYPERLINK("https://www.wikidata.org/wiki/Q33728280", "Q33728280")</f>
        <v>0</v>
      </c>
      <c r="G2942" t="s">
        <v>1845</v>
      </c>
      <c r="H2942" t="s">
        <v>6504</v>
      </c>
      <c r="I2942" t="s">
        <v>9457</v>
      </c>
      <c r="J2942" t="s">
        <v>12536</v>
      </c>
      <c r="K2942" t="s">
        <v>16948</v>
      </c>
      <c r="L2942">
        <f>HYPERLINK("https://www2.assemblee-nationale.fr/sycomore/fiche/(num_dept)/5122", "5122")</f>
        <v>0</v>
      </c>
      <c r="M2942">
        <f>HYPERLINK("https://www.senat.fr/senateur-3eme-republique/maupoil_henri0356r4.html", "maupoil_henri0356r4")</f>
        <v>0</v>
      </c>
      <c r="N2942">
        <f>HYPERLINK("https://www.wikidata.org/wiki/Q3131615", "Q3131615")</f>
        <v>0</v>
      </c>
      <c r="O2942" t="s">
        <v>19994</v>
      </c>
      <c r="P2942" t="s">
        <v>20428</v>
      </c>
      <c r="Q2942" t="s">
        <v>20588</v>
      </c>
      <c r="R2942" t="s">
        <v>413</v>
      </c>
      <c r="S2942">
        <v>1493</v>
      </c>
    </row>
    <row r="2943" spans="1:19">
      <c r="A2943" t="s">
        <v>23</v>
      </c>
      <c r="B2943" t="s">
        <v>148</v>
      </c>
      <c r="C2943" t="s">
        <v>155</v>
      </c>
      <c r="D2943" t="s">
        <v>284</v>
      </c>
      <c r="E2943" t="s">
        <v>413</v>
      </c>
      <c r="F2943">
        <f>HYPERLINK("https://www.wikidata.org/wiki/Q33728280", "Q33728280")</f>
        <v>0</v>
      </c>
      <c r="G2943" t="s">
        <v>1539</v>
      </c>
      <c r="H2943" t="s">
        <v>6233</v>
      </c>
      <c r="I2943" t="s">
        <v>6175</v>
      </c>
      <c r="J2943" t="s">
        <v>11729</v>
      </c>
      <c r="K2943" t="s">
        <v>16661</v>
      </c>
      <c r="L2943">
        <f>HYPERLINK("https://www2.assemblee-nationale.fr/sycomore/fiche/(num_dept)/5146", "5146")</f>
        <v>0</v>
      </c>
      <c r="N2943">
        <f>HYPERLINK("https://www.wikidata.org/wiki/Q3103182", "Q3103182")</f>
        <v>0</v>
      </c>
      <c r="O2943" t="s">
        <v>20007</v>
      </c>
      <c r="P2943" t="s">
        <v>20412</v>
      </c>
      <c r="Q2943" t="s">
        <v>20588</v>
      </c>
      <c r="R2943" t="s">
        <v>413</v>
      </c>
      <c r="S2943">
        <v>1493</v>
      </c>
    </row>
    <row r="2944" spans="1:19">
      <c r="A2944" t="s">
        <v>23</v>
      </c>
      <c r="B2944" t="s">
        <v>148</v>
      </c>
      <c r="C2944" t="s">
        <v>155</v>
      </c>
      <c r="D2944" t="s">
        <v>284</v>
      </c>
      <c r="E2944" t="s">
        <v>413</v>
      </c>
      <c r="F2944">
        <f>HYPERLINK("https://www.wikidata.org/wiki/Q33728280", "Q33728280")</f>
        <v>0</v>
      </c>
      <c r="G2944" t="s">
        <v>2116</v>
      </c>
      <c r="H2944" t="s">
        <v>6737</v>
      </c>
      <c r="I2944" t="s">
        <v>9457</v>
      </c>
      <c r="J2944" t="s">
        <v>12780</v>
      </c>
      <c r="K2944" t="s">
        <v>17197</v>
      </c>
      <c r="L2944">
        <f>HYPERLINK("https://www2.assemblee-nationale.fr/sycomore/fiche/(num_dept)/5154", "5154")</f>
        <v>0</v>
      </c>
      <c r="N2944">
        <f>HYPERLINK("https://www.wikidata.org/wiki/Q3131626", "Q3131626")</f>
        <v>0</v>
      </c>
      <c r="O2944" t="s">
        <v>20048</v>
      </c>
      <c r="P2944" t="s">
        <v>20430</v>
      </c>
      <c r="Q2944" t="s">
        <v>20588</v>
      </c>
      <c r="R2944" t="s">
        <v>413</v>
      </c>
      <c r="S2944">
        <v>1493</v>
      </c>
    </row>
    <row r="2945" spans="1:19">
      <c r="A2945" t="s">
        <v>23</v>
      </c>
      <c r="B2945" t="s">
        <v>148</v>
      </c>
      <c r="C2945" t="s">
        <v>155</v>
      </c>
      <c r="D2945" t="s">
        <v>284</v>
      </c>
      <c r="E2945" t="s">
        <v>413</v>
      </c>
      <c r="F2945">
        <f>HYPERLINK("https://www.wikidata.org/wiki/Q33728280", "Q33728280")</f>
        <v>0</v>
      </c>
      <c r="G2945" t="s">
        <v>2117</v>
      </c>
      <c r="H2945" t="s">
        <v>6738</v>
      </c>
      <c r="I2945" t="s">
        <v>10089</v>
      </c>
      <c r="J2945" t="s">
        <v>12781</v>
      </c>
      <c r="K2945" t="s">
        <v>17198</v>
      </c>
      <c r="L2945">
        <f>HYPERLINK("https://www2.assemblee-nationale.fr/sycomore/fiche/(num_dept)/5181", "5181")</f>
        <v>0</v>
      </c>
      <c r="N2945">
        <f>HYPERLINK("https://www.wikidata.org/wiki/Q16026083", "Q16026083")</f>
        <v>0</v>
      </c>
      <c r="O2945" t="s">
        <v>20012</v>
      </c>
      <c r="P2945" t="s">
        <v>20422</v>
      </c>
      <c r="Q2945" t="s">
        <v>20588</v>
      </c>
      <c r="R2945" t="s">
        <v>413</v>
      </c>
      <c r="S2945">
        <v>1493</v>
      </c>
    </row>
    <row r="2946" spans="1:19">
      <c r="A2946" t="s">
        <v>23</v>
      </c>
      <c r="B2946" t="s">
        <v>148</v>
      </c>
      <c r="C2946" t="s">
        <v>155</v>
      </c>
      <c r="D2946" t="s">
        <v>284</v>
      </c>
      <c r="E2946" t="s">
        <v>413</v>
      </c>
      <c r="F2946">
        <f>HYPERLINK("https://www.wikidata.org/wiki/Q33728280", "Q33728280")</f>
        <v>0</v>
      </c>
      <c r="G2946" t="s">
        <v>2118</v>
      </c>
      <c r="H2946" t="s">
        <v>5874</v>
      </c>
      <c r="I2946" t="s">
        <v>9534</v>
      </c>
      <c r="J2946" t="s">
        <v>12782</v>
      </c>
      <c r="K2946" t="s">
        <v>17199</v>
      </c>
      <c r="L2946">
        <f>HYPERLINK("https://www2.assemblee-nationale.fr/sycomore/fiche/(num_dept)/5203", "5203")</f>
        <v>0</v>
      </c>
      <c r="N2946">
        <f>HYPERLINK("https://www.wikidata.org/wiki/Q16026088", "Q16026088")</f>
        <v>0</v>
      </c>
      <c r="O2946" t="s">
        <v>7411</v>
      </c>
      <c r="P2946" t="s">
        <v>20428</v>
      </c>
      <c r="Q2946" t="s">
        <v>20588</v>
      </c>
      <c r="R2946" t="s">
        <v>17199</v>
      </c>
      <c r="S2946">
        <v>642</v>
      </c>
    </row>
    <row r="2947" spans="1:19">
      <c r="A2947" t="s">
        <v>23</v>
      </c>
      <c r="B2947" t="s">
        <v>148</v>
      </c>
      <c r="C2947" t="s">
        <v>155</v>
      </c>
      <c r="D2947" t="s">
        <v>284</v>
      </c>
      <c r="E2947" t="s">
        <v>413</v>
      </c>
      <c r="F2947">
        <f>HYPERLINK("https://www.wikidata.org/wiki/Q33728280", "Q33728280")</f>
        <v>0</v>
      </c>
      <c r="G2947" t="s">
        <v>1693</v>
      </c>
      <c r="H2947" t="s">
        <v>6239</v>
      </c>
      <c r="I2947" t="s">
        <v>5528</v>
      </c>
      <c r="J2947" t="s">
        <v>12397</v>
      </c>
      <c r="K2947" t="s">
        <v>16805</v>
      </c>
      <c r="L2947">
        <f>HYPERLINK("https://www2.assemblee-nationale.fr/sycomore/fiche/(num_dept)/5241", "5241")</f>
        <v>0</v>
      </c>
      <c r="N2947">
        <f>HYPERLINK("https://www.wikidata.org/wiki/Q1879449", "Q1879449")</f>
        <v>0</v>
      </c>
      <c r="O2947" t="s">
        <v>19978</v>
      </c>
      <c r="P2947" t="s">
        <v>20428</v>
      </c>
      <c r="Q2947" t="s">
        <v>20588</v>
      </c>
      <c r="R2947" t="s">
        <v>413</v>
      </c>
      <c r="S2947">
        <v>1493</v>
      </c>
    </row>
    <row r="2948" spans="1:19">
      <c r="A2948" t="s">
        <v>23</v>
      </c>
      <c r="B2948" t="s">
        <v>148</v>
      </c>
      <c r="C2948" t="s">
        <v>155</v>
      </c>
      <c r="D2948" t="s">
        <v>284</v>
      </c>
      <c r="E2948" t="s">
        <v>413</v>
      </c>
      <c r="F2948">
        <f>HYPERLINK("https://www.wikidata.org/wiki/Q33728280", "Q33728280")</f>
        <v>0</v>
      </c>
      <c r="G2948" t="s">
        <v>1673</v>
      </c>
      <c r="H2948" t="s">
        <v>6353</v>
      </c>
      <c r="I2948" t="s">
        <v>9602</v>
      </c>
      <c r="J2948" t="s">
        <v>12379</v>
      </c>
      <c r="K2948" t="s">
        <v>16787</v>
      </c>
      <c r="L2948">
        <f>HYPERLINK("https://www2.assemblee-nationale.fr/sycomore/fiche/(num_dept)/5271", "5271")</f>
        <v>0</v>
      </c>
      <c r="N2948">
        <f>HYPERLINK("https://www.wikidata.org/wiki/Q3047928", "Q3047928")</f>
        <v>0</v>
      </c>
      <c r="O2948" t="s">
        <v>20040</v>
      </c>
      <c r="P2948" t="s">
        <v>20428</v>
      </c>
      <c r="Q2948" t="s">
        <v>20588</v>
      </c>
      <c r="R2948" t="s">
        <v>413</v>
      </c>
      <c r="S2948">
        <v>1493</v>
      </c>
    </row>
    <row r="2949" spans="1:19">
      <c r="A2949" t="s">
        <v>23</v>
      </c>
      <c r="B2949" t="s">
        <v>148</v>
      </c>
      <c r="C2949" t="s">
        <v>155</v>
      </c>
      <c r="D2949" t="s">
        <v>284</v>
      </c>
      <c r="E2949" t="s">
        <v>413</v>
      </c>
      <c r="F2949">
        <f>HYPERLINK("https://www.wikidata.org/wiki/Q33728280", "Q33728280")</f>
        <v>0</v>
      </c>
      <c r="G2949" t="s">
        <v>2119</v>
      </c>
      <c r="H2949" t="s">
        <v>6739</v>
      </c>
      <c r="I2949" t="s">
        <v>5528</v>
      </c>
      <c r="J2949" t="s">
        <v>12783</v>
      </c>
      <c r="K2949" t="s">
        <v>16919</v>
      </c>
      <c r="L2949">
        <f>HYPERLINK("https://www2.assemblee-nationale.fr/sycomore/fiche/(num_dept)/5292", "5292")</f>
        <v>0</v>
      </c>
      <c r="N2949">
        <f>HYPERLINK("https://www.wikidata.org/wiki/Q3271203", "Q3271203")</f>
        <v>0</v>
      </c>
      <c r="O2949" t="s">
        <v>20013</v>
      </c>
      <c r="P2949" t="s">
        <v>20401</v>
      </c>
      <c r="Q2949" t="s">
        <v>20588</v>
      </c>
      <c r="R2949" t="s">
        <v>413</v>
      </c>
      <c r="S2949">
        <v>1493</v>
      </c>
    </row>
    <row r="2950" spans="1:19">
      <c r="A2950" t="s">
        <v>23</v>
      </c>
      <c r="B2950" t="s">
        <v>148</v>
      </c>
      <c r="C2950" t="s">
        <v>155</v>
      </c>
      <c r="D2950" t="s">
        <v>284</v>
      </c>
      <c r="E2950" t="s">
        <v>413</v>
      </c>
      <c r="F2950">
        <f>HYPERLINK("https://www.wikidata.org/wiki/Q33728280", "Q33728280")</f>
        <v>0</v>
      </c>
      <c r="G2950" t="s">
        <v>2120</v>
      </c>
      <c r="H2950" t="s">
        <v>6740</v>
      </c>
      <c r="I2950" t="s">
        <v>6200</v>
      </c>
      <c r="J2950" t="s">
        <v>12784</v>
      </c>
      <c r="K2950" t="s">
        <v>17200</v>
      </c>
      <c r="L2950">
        <f>HYPERLINK("https://www2.assemblee-nationale.fr/sycomore/fiche/(num_dept)/5310", "5310")</f>
        <v>0</v>
      </c>
      <c r="N2950">
        <f>HYPERLINK("https://www.wikidata.org/wiki/Q845559", "Q845559")</f>
        <v>0</v>
      </c>
      <c r="O2950" t="s">
        <v>19960</v>
      </c>
      <c r="P2950" t="s">
        <v>20428</v>
      </c>
      <c r="Q2950" t="s">
        <v>20588</v>
      </c>
      <c r="R2950" t="s">
        <v>413</v>
      </c>
      <c r="S2950">
        <v>1493</v>
      </c>
    </row>
    <row r="2951" spans="1:19">
      <c r="A2951" t="s">
        <v>23</v>
      </c>
      <c r="B2951" t="s">
        <v>148</v>
      </c>
      <c r="C2951" t="s">
        <v>155</v>
      </c>
      <c r="D2951" t="s">
        <v>284</v>
      </c>
      <c r="E2951" t="s">
        <v>413</v>
      </c>
      <c r="F2951">
        <f>HYPERLINK("https://www.wikidata.org/wiki/Q33728280", "Q33728280")</f>
        <v>0</v>
      </c>
      <c r="G2951" t="s">
        <v>2121</v>
      </c>
      <c r="H2951" t="s">
        <v>6741</v>
      </c>
      <c r="I2951" t="s">
        <v>9449</v>
      </c>
      <c r="J2951" t="s">
        <v>12785</v>
      </c>
      <c r="K2951" t="s">
        <v>17201</v>
      </c>
      <c r="L2951">
        <f>HYPERLINK("https://www2.assemblee-nationale.fr/sycomore/fiche/(num_dept)/5316", "5316")</f>
        <v>0</v>
      </c>
      <c r="N2951">
        <f>HYPERLINK("https://www.wikidata.org/wiki/Q2564543", "Q2564543")</f>
        <v>0</v>
      </c>
      <c r="O2951" t="s">
        <v>20044</v>
      </c>
      <c r="P2951" t="s">
        <v>20404</v>
      </c>
      <c r="Q2951" t="s">
        <v>20588</v>
      </c>
      <c r="R2951" t="s">
        <v>413</v>
      </c>
      <c r="S2951">
        <v>1493</v>
      </c>
    </row>
    <row r="2952" spans="1:19">
      <c r="A2952" t="s">
        <v>23</v>
      </c>
      <c r="B2952" t="s">
        <v>148</v>
      </c>
      <c r="C2952" t="s">
        <v>155</v>
      </c>
      <c r="D2952" t="s">
        <v>284</v>
      </c>
      <c r="E2952" t="s">
        <v>413</v>
      </c>
      <c r="F2952">
        <f>HYPERLINK("https://www.wikidata.org/wiki/Q33728280", "Q33728280")</f>
        <v>0</v>
      </c>
      <c r="G2952" t="s">
        <v>1850</v>
      </c>
      <c r="H2952" t="s">
        <v>6509</v>
      </c>
      <c r="I2952" t="s">
        <v>9970</v>
      </c>
      <c r="J2952" t="s">
        <v>12541</v>
      </c>
      <c r="K2952" t="s">
        <v>16953</v>
      </c>
      <c r="L2952">
        <f>HYPERLINK("https://www2.assemblee-nationale.fr/sycomore/fiche/(num_dept)/5334", "5334")</f>
        <v>0</v>
      </c>
      <c r="N2952">
        <f>HYPERLINK("https://www.wikidata.org/wiki/Q3579966", "Q3579966")</f>
        <v>0</v>
      </c>
      <c r="O2952" t="s">
        <v>20050</v>
      </c>
      <c r="P2952" t="s">
        <v>20422</v>
      </c>
      <c r="Q2952" t="s">
        <v>20588</v>
      </c>
      <c r="R2952" t="s">
        <v>413</v>
      </c>
      <c r="S2952">
        <v>1493</v>
      </c>
    </row>
    <row r="2953" spans="1:19">
      <c r="A2953" t="s">
        <v>23</v>
      </c>
      <c r="B2953" t="s">
        <v>148</v>
      </c>
      <c r="C2953" t="s">
        <v>155</v>
      </c>
      <c r="D2953" t="s">
        <v>284</v>
      </c>
      <c r="E2953" t="s">
        <v>413</v>
      </c>
      <c r="F2953">
        <f>HYPERLINK("https://www.wikidata.org/wiki/Q33728280", "Q33728280")</f>
        <v>0</v>
      </c>
      <c r="G2953" t="s">
        <v>1550</v>
      </c>
      <c r="H2953" t="s">
        <v>6242</v>
      </c>
      <c r="I2953" t="s">
        <v>9839</v>
      </c>
      <c r="J2953" t="s">
        <v>12265</v>
      </c>
      <c r="K2953" t="s">
        <v>16672</v>
      </c>
      <c r="L2953">
        <f>HYPERLINK("https://www2.assemblee-nationale.fr/sycomore/fiche/(num_dept)/5341", "5341")</f>
        <v>0</v>
      </c>
      <c r="N2953">
        <f>HYPERLINK("https://www.wikidata.org/wiki/Q3387633", "Q3387633")</f>
        <v>0</v>
      </c>
      <c r="O2953" t="s">
        <v>19986</v>
      </c>
      <c r="P2953" t="s">
        <v>20422</v>
      </c>
      <c r="Q2953" t="s">
        <v>20588</v>
      </c>
      <c r="R2953" t="s">
        <v>413</v>
      </c>
      <c r="S2953">
        <v>1493</v>
      </c>
    </row>
    <row r="2954" spans="1:19">
      <c r="A2954" t="s">
        <v>23</v>
      </c>
      <c r="B2954" t="s">
        <v>148</v>
      </c>
      <c r="C2954" t="s">
        <v>155</v>
      </c>
      <c r="D2954" t="s">
        <v>284</v>
      </c>
      <c r="E2954" t="s">
        <v>413</v>
      </c>
      <c r="F2954">
        <f>HYPERLINK("https://www.wikidata.org/wiki/Q33728280", "Q33728280")</f>
        <v>0</v>
      </c>
      <c r="G2954" t="s">
        <v>2122</v>
      </c>
      <c r="H2954" t="s">
        <v>6742</v>
      </c>
      <c r="I2954" t="s">
        <v>6175</v>
      </c>
      <c r="J2954" t="s">
        <v>12786</v>
      </c>
      <c r="K2954" t="s">
        <v>17202</v>
      </c>
      <c r="L2954">
        <f>HYPERLINK("https://www2.assemblee-nationale.fr/sycomore/fiche/(num_dept)/5350", "5350")</f>
        <v>0</v>
      </c>
      <c r="N2954">
        <f>HYPERLINK("https://www.wikidata.org/wiki/Q3103220", "Q3103220")</f>
        <v>0</v>
      </c>
      <c r="O2954" t="s">
        <v>20015</v>
      </c>
      <c r="P2954" t="s">
        <v>20404</v>
      </c>
      <c r="Q2954" t="s">
        <v>20588</v>
      </c>
      <c r="R2954" t="s">
        <v>413</v>
      </c>
      <c r="S2954">
        <v>1493</v>
      </c>
    </row>
    <row r="2955" spans="1:19">
      <c r="A2955" t="s">
        <v>23</v>
      </c>
      <c r="B2955" t="s">
        <v>148</v>
      </c>
      <c r="C2955" t="s">
        <v>155</v>
      </c>
      <c r="D2955" t="s">
        <v>284</v>
      </c>
      <c r="E2955" t="s">
        <v>413</v>
      </c>
      <c r="F2955">
        <f>HYPERLINK("https://www.wikidata.org/wiki/Q33728280", "Q33728280")</f>
        <v>0</v>
      </c>
      <c r="G2955" t="s">
        <v>1851</v>
      </c>
      <c r="H2955" t="s">
        <v>6510</v>
      </c>
      <c r="I2955" t="s">
        <v>9971</v>
      </c>
      <c r="J2955" t="s">
        <v>12542</v>
      </c>
      <c r="K2955" t="s">
        <v>16954</v>
      </c>
      <c r="L2955">
        <f>HYPERLINK("https://www2.assemblee-nationale.fr/sycomore/fiche/(num_dept)/5388", "5388")</f>
        <v>0</v>
      </c>
      <c r="N2955">
        <f>HYPERLINK("https://www.wikidata.org/wiki/Q3173588", "Q3173588")</f>
        <v>0</v>
      </c>
      <c r="O2955" t="s">
        <v>19956</v>
      </c>
      <c r="P2955" t="s">
        <v>20428</v>
      </c>
      <c r="Q2955" t="s">
        <v>20588</v>
      </c>
      <c r="R2955" t="s">
        <v>413</v>
      </c>
      <c r="S2955">
        <v>1493</v>
      </c>
    </row>
    <row r="2956" spans="1:19">
      <c r="A2956" t="s">
        <v>23</v>
      </c>
      <c r="B2956" t="s">
        <v>148</v>
      </c>
      <c r="C2956" t="s">
        <v>155</v>
      </c>
      <c r="D2956" t="s">
        <v>284</v>
      </c>
      <c r="E2956" t="s">
        <v>413</v>
      </c>
      <c r="F2956">
        <f>HYPERLINK("https://www.wikidata.org/wiki/Q33728280", "Q33728280")</f>
        <v>0</v>
      </c>
      <c r="G2956" t="s">
        <v>1278</v>
      </c>
      <c r="H2956" t="s">
        <v>5760</v>
      </c>
      <c r="I2956" t="s">
        <v>9376</v>
      </c>
      <c r="J2956" t="s">
        <v>12008</v>
      </c>
      <c r="K2956" t="s">
        <v>16411</v>
      </c>
      <c r="L2956">
        <f>HYPERLINK("https://www2.assemblee-nationale.fr/sycomore/fiche/(num_dept)/5421", "5421")</f>
        <v>0</v>
      </c>
      <c r="N2956">
        <f>HYPERLINK("https://www.wikidata.org/wiki/Q3068631", "Q3068631")</f>
        <v>0</v>
      </c>
      <c r="O2956" t="s">
        <v>20008</v>
      </c>
      <c r="P2956" t="s">
        <v>20404</v>
      </c>
      <c r="Q2956" t="s">
        <v>20588</v>
      </c>
      <c r="R2956" t="s">
        <v>413</v>
      </c>
      <c r="S2956">
        <v>1493</v>
      </c>
    </row>
    <row r="2957" spans="1:19">
      <c r="A2957" t="s">
        <v>23</v>
      </c>
      <c r="B2957" t="s">
        <v>148</v>
      </c>
      <c r="C2957" t="s">
        <v>155</v>
      </c>
      <c r="D2957" t="s">
        <v>284</v>
      </c>
      <c r="E2957" t="s">
        <v>413</v>
      </c>
      <c r="F2957">
        <f>HYPERLINK("https://www.wikidata.org/wiki/Q33728280", "Q33728280")</f>
        <v>0</v>
      </c>
      <c r="G2957" t="s">
        <v>2123</v>
      </c>
      <c r="H2957" t="s">
        <v>6743</v>
      </c>
      <c r="I2957" t="s">
        <v>6585</v>
      </c>
      <c r="J2957" t="s">
        <v>12787</v>
      </c>
      <c r="K2957" t="s">
        <v>17203</v>
      </c>
      <c r="L2957">
        <f>HYPERLINK("https://www2.assemblee-nationale.fr/sycomore/fiche/(num_dept)/5442", "5442")</f>
        <v>0</v>
      </c>
      <c r="N2957">
        <f>HYPERLINK("https://www.wikidata.org/wiki/Q8327759", "Q8327759")</f>
        <v>0</v>
      </c>
      <c r="O2957" t="s">
        <v>19976</v>
      </c>
      <c r="P2957" t="s">
        <v>20412</v>
      </c>
      <c r="Q2957" t="s">
        <v>20588</v>
      </c>
      <c r="R2957" t="s">
        <v>413</v>
      </c>
      <c r="S2957">
        <v>1493</v>
      </c>
    </row>
    <row r="2958" spans="1:19">
      <c r="A2958" t="s">
        <v>23</v>
      </c>
      <c r="B2958" t="s">
        <v>148</v>
      </c>
      <c r="C2958" t="s">
        <v>155</v>
      </c>
      <c r="D2958" t="s">
        <v>284</v>
      </c>
      <c r="E2958" t="s">
        <v>413</v>
      </c>
      <c r="F2958">
        <f>HYPERLINK("https://www.wikidata.org/wiki/Q33728280", "Q33728280")</f>
        <v>0</v>
      </c>
      <c r="G2958" t="s">
        <v>2124</v>
      </c>
      <c r="H2958" t="s">
        <v>6744</v>
      </c>
      <c r="I2958" t="s">
        <v>9638</v>
      </c>
      <c r="J2958" t="s">
        <v>12788</v>
      </c>
      <c r="K2958" t="s">
        <v>17204</v>
      </c>
      <c r="L2958">
        <f>HYPERLINK("https://www2.assemblee-nationale.fr/sycomore/fiche/(num_dept)/5454", "5454")</f>
        <v>0</v>
      </c>
      <c r="N2958">
        <f>HYPERLINK("https://www.wikidata.org/wiki/Q87121", "Q87121")</f>
        <v>0</v>
      </c>
      <c r="O2958" t="s">
        <v>20048</v>
      </c>
      <c r="P2958" t="s">
        <v>20424</v>
      </c>
      <c r="Q2958" t="s">
        <v>20588</v>
      </c>
      <c r="R2958" t="s">
        <v>413</v>
      </c>
      <c r="S2958">
        <v>1493</v>
      </c>
    </row>
    <row r="2959" spans="1:19">
      <c r="A2959" t="s">
        <v>23</v>
      </c>
      <c r="B2959" t="s">
        <v>148</v>
      </c>
      <c r="C2959" t="s">
        <v>155</v>
      </c>
      <c r="D2959" t="s">
        <v>284</v>
      </c>
      <c r="E2959" t="s">
        <v>413</v>
      </c>
      <c r="F2959">
        <f>HYPERLINK("https://www.wikidata.org/wiki/Q33728280", "Q33728280")</f>
        <v>0</v>
      </c>
      <c r="G2959" t="s">
        <v>1281</v>
      </c>
      <c r="H2959" t="s">
        <v>6003</v>
      </c>
      <c r="I2959" t="s">
        <v>9734</v>
      </c>
      <c r="J2959" t="s">
        <v>12011</v>
      </c>
      <c r="K2959" t="s">
        <v>16414</v>
      </c>
      <c r="L2959">
        <f>HYPERLINK("https://www2.assemblee-nationale.fr/sycomore/fiche/(num_dept)/5499", "5499")</f>
        <v>0</v>
      </c>
      <c r="N2959">
        <f>HYPERLINK("https://www.wikidata.org/wiki/Q3188821", "Q3188821")</f>
        <v>0</v>
      </c>
      <c r="O2959" t="s">
        <v>20044</v>
      </c>
      <c r="Q2959" t="s">
        <v>20588</v>
      </c>
      <c r="R2959" t="s">
        <v>16414</v>
      </c>
      <c r="S2959">
        <v>193</v>
      </c>
    </row>
    <row r="2960" spans="1:19">
      <c r="A2960" t="s">
        <v>23</v>
      </c>
      <c r="B2960" t="s">
        <v>148</v>
      </c>
      <c r="C2960" t="s">
        <v>155</v>
      </c>
      <c r="D2960" t="s">
        <v>284</v>
      </c>
      <c r="E2960" t="s">
        <v>413</v>
      </c>
      <c r="F2960">
        <f>HYPERLINK("https://www.wikidata.org/wiki/Q33728280", "Q33728280")</f>
        <v>0</v>
      </c>
      <c r="G2960" t="s">
        <v>2125</v>
      </c>
      <c r="H2960" t="s">
        <v>6006</v>
      </c>
      <c r="I2960" t="s">
        <v>6200</v>
      </c>
      <c r="J2960" t="s">
        <v>12789</v>
      </c>
      <c r="K2960" t="s">
        <v>17205</v>
      </c>
      <c r="L2960">
        <f>HYPERLINK("https://www2.assemblee-nationale.fr/sycomore/fiche/(num_dept)/5539", "5539")</f>
        <v>0</v>
      </c>
      <c r="M2960">
        <f>HYPERLINK("https://www.senat.fr/senateur-3eme-republique/neyret_jean1364r3.html", "neyret_jean1364r3")</f>
        <v>0</v>
      </c>
      <c r="N2960">
        <f>HYPERLINK("https://www.wikidata.org/wiki/Q8336685", "Q8336685")</f>
        <v>0</v>
      </c>
      <c r="O2960" t="s">
        <v>19997</v>
      </c>
      <c r="P2960" t="s">
        <v>20407</v>
      </c>
      <c r="Q2960" t="s">
        <v>20588</v>
      </c>
      <c r="R2960" t="s">
        <v>413</v>
      </c>
      <c r="S2960">
        <v>1493</v>
      </c>
    </row>
    <row r="2961" spans="1:19">
      <c r="A2961" t="s">
        <v>23</v>
      </c>
      <c r="B2961" t="s">
        <v>148</v>
      </c>
      <c r="C2961" t="s">
        <v>155</v>
      </c>
      <c r="D2961" t="s">
        <v>284</v>
      </c>
      <c r="E2961" t="s">
        <v>413</v>
      </c>
      <c r="F2961">
        <f>HYPERLINK("https://www.wikidata.org/wiki/Q33728280", "Q33728280")</f>
        <v>0</v>
      </c>
      <c r="G2961" t="s">
        <v>1855</v>
      </c>
      <c r="H2961" t="s">
        <v>5503</v>
      </c>
      <c r="I2961" t="s">
        <v>6495</v>
      </c>
      <c r="J2961" t="s">
        <v>11675</v>
      </c>
      <c r="K2961" t="s">
        <v>16956</v>
      </c>
      <c r="L2961">
        <f>HYPERLINK("https://www2.assemblee-nationale.fr/sycomore/fiche/(num_dept)/5549", "5549")</f>
        <v>0</v>
      </c>
      <c r="N2961">
        <f>HYPERLINK("https://www.wikidata.org/wiki/Q3262798", "Q3262798")</f>
        <v>0</v>
      </c>
      <c r="O2961" t="s">
        <v>20013</v>
      </c>
      <c r="P2961" t="s">
        <v>20422</v>
      </c>
      <c r="Q2961" t="s">
        <v>20588</v>
      </c>
      <c r="R2961" t="s">
        <v>413</v>
      </c>
      <c r="S2961">
        <v>1493</v>
      </c>
    </row>
    <row r="2962" spans="1:19">
      <c r="A2962" t="s">
        <v>23</v>
      </c>
      <c r="B2962" t="s">
        <v>148</v>
      </c>
      <c r="C2962" t="s">
        <v>155</v>
      </c>
      <c r="D2962" t="s">
        <v>284</v>
      </c>
      <c r="E2962" t="s">
        <v>413</v>
      </c>
      <c r="F2962">
        <f>HYPERLINK("https://www.wikidata.org/wiki/Q33728280", "Q33728280")</f>
        <v>0</v>
      </c>
      <c r="G2962" t="s">
        <v>1856</v>
      </c>
      <c r="H2962" t="s">
        <v>6512</v>
      </c>
      <c r="I2962" t="s">
        <v>9388</v>
      </c>
      <c r="J2962" t="s">
        <v>12546</v>
      </c>
      <c r="K2962" t="s">
        <v>16957</v>
      </c>
      <c r="L2962">
        <f>HYPERLINK("https://www2.assemblee-nationale.fr/sycomore/fiche/(num_dept)/5550", "5550")</f>
        <v>0</v>
      </c>
      <c r="N2962">
        <f>HYPERLINK("https://www.wikidata.org/wiki/Q16026197", "Q16026197")</f>
        <v>0</v>
      </c>
      <c r="O2962" t="s">
        <v>19986</v>
      </c>
      <c r="P2962" t="s">
        <v>20404</v>
      </c>
      <c r="Q2962" t="s">
        <v>20588</v>
      </c>
      <c r="R2962" t="s">
        <v>413</v>
      </c>
      <c r="S2962">
        <v>1493</v>
      </c>
    </row>
    <row r="2963" spans="1:19">
      <c r="A2963" t="s">
        <v>23</v>
      </c>
      <c r="B2963" t="s">
        <v>148</v>
      </c>
      <c r="C2963" t="s">
        <v>155</v>
      </c>
      <c r="D2963" t="s">
        <v>284</v>
      </c>
      <c r="E2963" t="s">
        <v>413</v>
      </c>
      <c r="F2963">
        <f>HYPERLINK("https://www.wikidata.org/wiki/Q33728280", "Q33728280")</f>
        <v>0</v>
      </c>
      <c r="G2963" t="s">
        <v>1857</v>
      </c>
      <c r="H2963" t="s">
        <v>6513</v>
      </c>
      <c r="I2963" t="s">
        <v>5630</v>
      </c>
      <c r="J2963" t="s">
        <v>12547</v>
      </c>
      <c r="K2963" t="s">
        <v>16958</v>
      </c>
      <c r="L2963">
        <f>HYPERLINK("https://www2.assemblee-nationale.fr/sycomore/fiche/(num_dept)/5569", "5569")</f>
        <v>0</v>
      </c>
      <c r="N2963">
        <f>HYPERLINK("https://www.wikidata.org/wiki/Q2899637", "Q2899637")</f>
        <v>0</v>
      </c>
      <c r="O2963" t="s">
        <v>20027</v>
      </c>
      <c r="P2963" t="s">
        <v>20428</v>
      </c>
      <c r="Q2963" t="s">
        <v>20588</v>
      </c>
      <c r="R2963" t="s">
        <v>413</v>
      </c>
      <c r="S2963">
        <v>1493</v>
      </c>
    </row>
    <row r="2964" spans="1:19">
      <c r="A2964" t="s">
        <v>23</v>
      </c>
      <c r="B2964" t="s">
        <v>148</v>
      </c>
      <c r="C2964" t="s">
        <v>155</v>
      </c>
      <c r="D2964" t="s">
        <v>284</v>
      </c>
      <c r="E2964" t="s">
        <v>413</v>
      </c>
      <c r="F2964">
        <f>HYPERLINK("https://www.wikidata.org/wiki/Q33728280", "Q33728280")</f>
        <v>0</v>
      </c>
      <c r="G2964" t="s">
        <v>2126</v>
      </c>
      <c r="H2964" t="s">
        <v>6745</v>
      </c>
      <c r="I2964" t="s">
        <v>9458</v>
      </c>
      <c r="J2964" t="s">
        <v>12790</v>
      </c>
      <c r="K2964" t="s">
        <v>17206</v>
      </c>
      <c r="L2964">
        <f>HYPERLINK("https://www2.assemblee-nationale.fr/sycomore/fiche/(num_dept)/5575", "5575")</f>
        <v>0</v>
      </c>
      <c r="N2964">
        <f>HYPERLINK("https://www.wikidata.org/wiki/Q16026208", "Q16026208")</f>
        <v>0</v>
      </c>
      <c r="O2964" t="s">
        <v>19969</v>
      </c>
      <c r="P2964" t="s">
        <v>20412</v>
      </c>
      <c r="Q2964" t="s">
        <v>20588</v>
      </c>
      <c r="R2964" t="s">
        <v>413</v>
      </c>
      <c r="S2964">
        <v>1493</v>
      </c>
    </row>
    <row r="2965" spans="1:19">
      <c r="A2965" t="s">
        <v>23</v>
      </c>
      <c r="B2965" t="s">
        <v>148</v>
      </c>
      <c r="C2965" t="s">
        <v>155</v>
      </c>
      <c r="D2965" t="s">
        <v>284</v>
      </c>
      <c r="E2965" t="s">
        <v>413</v>
      </c>
      <c r="F2965">
        <f>HYPERLINK("https://www.wikidata.org/wiki/Q33728280", "Q33728280")</f>
        <v>0</v>
      </c>
      <c r="G2965" t="s">
        <v>2127</v>
      </c>
      <c r="H2965" t="s">
        <v>6746</v>
      </c>
      <c r="I2965" t="s">
        <v>9457</v>
      </c>
      <c r="J2965" t="s">
        <v>12791</v>
      </c>
      <c r="K2965" t="s">
        <v>17207</v>
      </c>
      <c r="L2965">
        <f>HYPERLINK("https://www2.assemblee-nationale.fr/sycomore/fiche/(num_dept)/5576", "5576")</f>
        <v>0</v>
      </c>
      <c r="N2965">
        <f>HYPERLINK("https://www.wikidata.org/wiki/Q16025602", "Q16025602")</f>
        <v>0</v>
      </c>
      <c r="O2965" t="s">
        <v>20050</v>
      </c>
      <c r="P2965" t="s">
        <v>20422</v>
      </c>
      <c r="Q2965" t="s">
        <v>20588</v>
      </c>
      <c r="R2965" t="s">
        <v>413</v>
      </c>
      <c r="S2965">
        <v>1493</v>
      </c>
    </row>
    <row r="2966" spans="1:19">
      <c r="A2966" t="s">
        <v>23</v>
      </c>
      <c r="B2966" t="s">
        <v>148</v>
      </c>
      <c r="C2966" t="s">
        <v>155</v>
      </c>
      <c r="D2966" t="s">
        <v>284</v>
      </c>
      <c r="E2966" t="s">
        <v>413</v>
      </c>
      <c r="F2966">
        <f>HYPERLINK("https://www.wikidata.org/wiki/Q33728280", "Q33728280")</f>
        <v>0</v>
      </c>
      <c r="G2966" t="s">
        <v>1858</v>
      </c>
      <c r="H2966" t="s">
        <v>6514</v>
      </c>
      <c r="I2966" t="s">
        <v>6175</v>
      </c>
      <c r="J2966" t="s">
        <v>12548</v>
      </c>
      <c r="K2966" t="s">
        <v>16959</v>
      </c>
      <c r="L2966">
        <f>HYPERLINK("https://www2.assemblee-nationale.fr/sycomore/fiche/(num_dept)/5581", "5581")</f>
        <v>0</v>
      </c>
      <c r="N2966">
        <f>HYPERLINK("https://www.wikidata.org/wiki/Q3103266", "Q3103266")</f>
        <v>0</v>
      </c>
      <c r="O2966" t="s">
        <v>19994</v>
      </c>
      <c r="P2966" t="s">
        <v>20404</v>
      </c>
      <c r="Q2966" t="s">
        <v>20588</v>
      </c>
      <c r="R2966" t="s">
        <v>413</v>
      </c>
      <c r="S2966">
        <v>1493</v>
      </c>
    </row>
    <row r="2967" spans="1:19">
      <c r="A2967" t="s">
        <v>23</v>
      </c>
      <c r="B2967" t="s">
        <v>148</v>
      </c>
      <c r="C2967" t="s">
        <v>155</v>
      </c>
      <c r="D2967" t="s">
        <v>284</v>
      </c>
      <c r="E2967" t="s">
        <v>413</v>
      </c>
      <c r="F2967">
        <f>HYPERLINK("https://www.wikidata.org/wiki/Q33728280", "Q33728280")</f>
        <v>0</v>
      </c>
      <c r="G2967" t="s">
        <v>2128</v>
      </c>
      <c r="H2967" t="s">
        <v>6747</v>
      </c>
      <c r="I2967" t="s">
        <v>6200</v>
      </c>
      <c r="J2967" t="s">
        <v>12792</v>
      </c>
      <c r="K2967" t="s">
        <v>17208</v>
      </c>
      <c r="L2967">
        <f>HYPERLINK("https://www2.assemblee-nationale.fr/sycomore/fiche/(num_dept)/5593", "5593")</f>
        <v>0</v>
      </c>
      <c r="M2967">
        <f>HYPERLINK("https://www.senat.fr/senateur-3eme-republique/odin_jean0202r3.html", "odin_jean0202r3")</f>
        <v>0</v>
      </c>
      <c r="N2967">
        <f>HYPERLINK("https://www.wikidata.org/wiki/Q3173771", "Q3173771")</f>
        <v>0</v>
      </c>
      <c r="O2967" t="s">
        <v>19987</v>
      </c>
      <c r="P2967" t="s">
        <v>20401</v>
      </c>
      <c r="Q2967" t="s">
        <v>20588</v>
      </c>
      <c r="R2967" t="s">
        <v>413</v>
      </c>
      <c r="S2967">
        <v>1493</v>
      </c>
    </row>
    <row r="2968" spans="1:19">
      <c r="A2968" t="s">
        <v>23</v>
      </c>
      <c r="B2968" t="s">
        <v>148</v>
      </c>
      <c r="C2968" t="s">
        <v>155</v>
      </c>
      <c r="D2968" t="s">
        <v>284</v>
      </c>
      <c r="E2968" t="s">
        <v>413</v>
      </c>
      <c r="F2968">
        <f>HYPERLINK("https://www.wikidata.org/wiki/Q33728280", "Q33728280")</f>
        <v>0</v>
      </c>
      <c r="G2968" t="s">
        <v>1287</v>
      </c>
      <c r="H2968" t="s">
        <v>6009</v>
      </c>
      <c r="I2968" t="s">
        <v>9442</v>
      </c>
      <c r="J2968" t="s">
        <v>12017</v>
      </c>
      <c r="K2968" t="s">
        <v>16420</v>
      </c>
      <c r="L2968">
        <f>HYPERLINK("https://www2.assemblee-nationale.fr/sycomore/fiche/(num_dept)/5636", "5636")</f>
        <v>0</v>
      </c>
      <c r="N2968">
        <f>HYPERLINK("https://www.wikidata.org/wiki/Q3057112", "Q3057112")</f>
        <v>0</v>
      </c>
      <c r="O2968" t="s">
        <v>20038</v>
      </c>
      <c r="P2968" t="s">
        <v>20401</v>
      </c>
      <c r="Q2968" t="s">
        <v>20588</v>
      </c>
      <c r="R2968" t="s">
        <v>413</v>
      </c>
      <c r="S2968">
        <v>1493</v>
      </c>
    </row>
    <row r="2969" spans="1:19">
      <c r="A2969" t="s">
        <v>23</v>
      </c>
      <c r="B2969" t="s">
        <v>148</v>
      </c>
      <c r="C2969" t="s">
        <v>155</v>
      </c>
      <c r="D2969" t="s">
        <v>284</v>
      </c>
      <c r="E2969" t="s">
        <v>413</v>
      </c>
      <c r="F2969">
        <f>HYPERLINK("https://www.wikidata.org/wiki/Q33728280", "Q33728280")</f>
        <v>0</v>
      </c>
      <c r="G2969" t="s">
        <v>1017</v>
      </c>
      <c r="H2969" t="s">
        <v>5767</v>
      </c>
      <c r="I2969" t="s">
        <v>9388</v>
      </c>
      <c r="J2969" t="s">
        <v>11754</v>
      </c>
      <c r="K2969" t="s">
        <v>16157</v>
      </c>
      <c r="L2969">
        <f>HYPERLINK("https://www2.assemblee-nationale.fr/sycomore/fiche/(num_dept)/5653", "5653")</f>
        <v>0</v>
      </c>
      <c r="N2969">
        <f>HYPERLINK("https://www.wikidata.org/wiki/Q315434", "Q315434")</f>
        <v>0</v>
      </c>
      <c r="O2969" t="s">
        <v>19986</v>
      </c>
      <c r="P2969" t="s">
        <v>20406</v>
      </c>
      <c r="Q2969" t="s">
        <v>20588</v>
      </c>
      <c r="R2969" t="s">
        <v>413</v>
      </c>
      <c r="S2969">
        <v>1493</v>
      </c>
    </row>
    <row r="2970" spans="1:19">
      <c r="A2970" t="s">
        <v>23</v>
      </c>
      <c r="B2970" t="s">
        <v>148</v>
      </c>
      <c r="C2970" t="s">
        <v>155</v>
      </c>
      <c r="D2970" t="s">
        <v>284</v>
      </c>
      <c r="E2970" t="s">
        <v>413</v>
      </c>
      <c r="F2970">
        <f>HYPERLINK("https://www.wikidata.org/wiki/Q33728280", "Q33728280")</f>
        <v>0</v>
      </c>
      <c r="G2970" t="s">
        <v>1861</v>
      </c>
      <c r="H2970" t="s">
        <v>6517</v>
      </c>
      <c r="I2970" t="s">
        <v>7642</v>
      </c>
      <c r="J2970" t="s">
        <v>11903</v>
      </c>
      <c r="K2970" t="s">
        <v>16962</v>
      </c>
      <c r="L2970">
        <f>HYPERLINK("https://www2.assemblee-nationale.fr/sycomore/fiche/(num_dept)/5662", "5662")</f>
        <v>0</v>
      </c>
      <c r="M2970">
        <f>HYPERLINK("https://www.senat.fr/senateur-3eme-republique/palmade_maurice0409r3.html", "palmade_maurice0409r3")</f>
        <v>0</v>
      </c>
      <c r="N2970">
        <f>HYPERLINK("https://www.wikidata.org/wiki/Q3301240", "Q3301240")</f>
        <v>0</v>
      </c>
      <c r="O2970" t="s">
        <v>20037</v>
      </c>
      <c r="P2970" t="s">
        <v>20428</v>
      </c>
      <c r="Q2970" t="s">
        <v>20588</v>
      </c>
      <c r="R2970" t="s">
        <v>413</v>
      </c>
      <c r="S2970">
        <v>1493</v>
      </c>
    </row>
    <row r="2971" spans="1:19">
      <c r="A2971" t="s">
        <v>23</v>
      </c>
      <c r="B2971" t="s">
        <v>148</v>
      </c>
      <c r="C2971" t="s">
        <v>155</v>
      </c>
      <c r="D2971" t="s">
        <v>284</v>
      </c>
      <c r="E2971" t="s">
        <v>413</v>
      </c>
      <c r="F2971">
        <f>HYPERLINK("https://www.wikidata.org/wiki/Q33728280", "Q33728280")</f>
        <v>0</v>
      </c>
      <c r="G2971" t="s">
        <v>2129</v>
      </c>
      <c r="H2971" t="s">
        <v>6748</v>
      </c>
      <c r="I2971" t="s">
        <v>9476</v>
      </c>
      <c r="J2971" t="s">
        <v>12793</v>
      </c>
      <c r="K2971" t="s">
        <v>17209</v>
      </c>
      <c r="L2971">
        <f>HYPERLINK("https://www2.assemblee-nationale.fr/sycomore/fiche/(num_dept)/5682", "5682")</f>
        <v>0</v>
      </c>
      <c r="N2971">
        <f>HYPERLINK("https://www.wikidata.org/wiki/Q16026261", "Q16026261")</f>
        <v>0</v>
      </c>
      <c r="O2971" t="s">
        <v>19972</v>
      </c>
      <c r="P2971" t="s">
        <v>20412</v>
      </c>
      <c r="Q2971" t="s">
        <v>20588</v>
      </c>
      <c r="R2971" t="s">
        <v>413</v>
      </c>
      <c r="S2971">
        <v>1493</v>
      </c>
    </row>
    <row r="2972" spans="1:19">
      <c r="A2972" t="s">
        <v>23</v>
      </c>
      <c r="B2972" t="s">
        <v>148</v>
      </c>
      <c r="C2972" t="s">
        <v>155</v>
      </c>
      <c r="D2972" t="s">
        <v>284</v>
      </c>
      <c r="E2972" t="s">
        <v>413</v>
      </c>
      <c r="F2972">
        <f>HYPERLINK("https://www.wikidata.org/wiki/Q33728280", "Q33728280")</f>
        <v>0</v>
      </c>
      <c r="G2972" t="s">
        <v>2130</v>
      </c>
      <c r="H2972" t="s">
        <v>6749</v>
      </c>
      <c r="I2972" t="s">
        <v>9552</v>
      </c>
      <c r="J2972" t="s">
        <v>12794</v>
      </c>
      <c r="K2972" t="s">
        <v>17210</v>
      </c>
      <c r="L2972">
        <f>HYPERLINK("https://www2.assemblee-nationale.fr/sycomore/fiche/(num_dept)/5691", "5691")</f>
        <v>0</v>
      </c>
      <c r="N2972">
        <f>HYPERLINK("https://www.wikidata.org/wiki/Q16026264", "Q16026264")</f>
        <v>0</v>
      </c>
      <c r="O2972" t="s">
        <v>20013</v>
      </c>
      <c r="P2972" t="s">
        <v>20404</v>
      </c>
      <c r="Q2972" t="s">
        <v>20588</v>
      </c>
      <c r="R2972" t="s">
        <v>413</v>
      </c>
      <c r="S2972">
        <v>1493</v>
      </c>
    </row>
    <row r="2973" spans="1:19">
      <c r="A2973" t="s">
        <v>23</v>
      </c>
      <c r="B2973" t="s">
        <v>148</v>
      </c>
      <c r="C2973" t="s">
        <v>155</v>
      </c>
      <c r="D2973" t="s">
        <v>284</v>
      </c>
      <c r="E2973" t="s">
        <v>413</v>
      </c>
      <c r="F2973">
        <f>HYPERLINK("https://www.wikidata.org/wiki/Q33728280", "Q33728280")</f>
        <v>0</v>
      </c>
      <c r="G2973" t="s">
        <v>2131</v>
      </c>
      <c r="H2973" t="s">
        <v>6750</v>
      </c>
      <c r="I2973" t="s">
        <v>10090</v>
      </c>
      <c r="J2973" t="s">
        <v>12795</v>
      </c>
      <c r="K2973" t="s">
        <v>17211</v>
      </c>
      <c r="L2973">
        <f>HYPERLINK("https://www2.assemblee-nationale.fr/sycomore/fiche/(num_dept)/5708", "5708")</f>
        <v>0</v>
      </c>
      <c r="N2973">
        <f>HYPERLINK("https://www.wikidata.org/wiki/Q8306122", "Q8306122")</f>
        <v>0</v>
      </c>
      <c r="O2973" t="s">
        <v>19976</v>
      </c>
      <c r="P2973" t="s">
        <v>20412</v>
      </c>
      <c r="Q2973" t="s">
        <v>20588</v>
      </c>
      <c r="R2973" t="s">
        <v>413</v>
      </c>
      <c r="S2973">
        <v>1493</v>
      </c>
    </row>
    <row r="2974" spans="1:19">
      <c r="A2974" t="s">
        <v>23</v>
      </c>
      <c r="B2974" t="s">
        <v>148</v>
      </c>
      <c r="C2974" t="s">
        <v>155</v>
      </c>
      <c r="D2974" t="s">
        <v>284</v>
      </c>
      <c r="E2974" t="s">
        <v>413</v>
      </c>
      <c r="F2974">
        <f>HYPERLINK("https://www.wikidata.org/wiki/Q33728280", "Q33728280")</f>
        <v>0</v>
      </c>
      <c r="G2974" t="s">
        <v>1020</v>
      </c>
      <c r="H2974" t="s">
        <v>5770</v>
      </c>
      <c r="I2974" t="s">
        <v>9621</v>
      </c>
      <c r="J2974" t="s">
        <v>11757</v>
      </c>
      <c r="K2974" t="s">
        <v>16159</v>
      </c>
      <c r="L2974">
        <f>HYPERLINK("https://www2.assemblee-nationale.fr/sycomore/fiche/(num_dept)/5718", "5718")</f>
        <v>0</v>
      </c>
      <c r="N2974">
        <f>HYPERLINK("https://www.wikidata.org/wiki/Q3185457", "Q3185457")</f>
        <v>0</v>
      </c>
      <c r="O2974" t="s">
        <v>19975</v>
      </c>
      <c r="P2974" t="s">
        <v>20429</v>
      </c>
      <c r="Q2974" t="s">
        <v>20588</v>
      </c>
      <c r="R2974" t="s">
        <v>413</v>
      </c>
      <c r="S2974">
        <v>1493</v>
      </c>
    </row>
    <row r="2975" spans="1:19">
      <c r="A2975" t="s">
        <v>23</v>
      </c>
      <c r="B2975" t="s">
        <v>148</v>
      </c>
      <c r="C2975" t="s">
        <v>155</v>
      </c>
      <c r="D2975" t="s">
        <v>284</v>
      </c>
      <c r="E2975" t="s">
        <v>413</v>
      </c>
      <c r="F2975">
        <f>HYPERLINK("https://www.wikidata.org/wiki/Q33728280", "Q33728280")</f>
        <v>0</v>
      </c>
      <c r="G2975" t="s">
        <v>1863</v>
      </c>
      <c r="H2975" t="s">
        <v>6519</v>
      </c>
      <c r="I2975" t="s">
        <v>6584</v>
      </c>
      <c r="J2975" t="s">
        <v>12551</v>
      </c>
      <c r="K2975" t="s">
        <v>16964</v>
      </c>
      <c r="L2975">
        <f>HYPERLINK("https://www2.assemblee-nationale.fr/sycomore/fiche/(num_dept)/5726", "5726")</f>
        <v>0</v>
      </c>
      <c r="N2975">
        <f>HYPERLINK("https://www.wikidata.org/wiki/Q2831455", "Q2831455")</f>
        <v>0</v>
      </c>
      <c r="O2975" t="s">
        <v>20005</v>
      </c>
      <c r="P2975" t="s">
        <v>20404</v>
      </c>
      <c r="Q2975" t="s">
        <v>20588</v>
      </c>
      <c r="R2975" t="s">
        <v>413</v>
      </c>
      <c r="S2975">
        <v>1493</v>
      </c>
    </row>
    <row r="2976" spans="1:19">
      <c r="A2976" t="s">
        <v>23</v>
      </c>
      <c r="B2976" t="s">
        <v>148</v>
      </c>
      <c r="C2976" t="s">
        <v>155</v>
      </c>
      <c r="D2976" t="s">
        <v>284</v>
      </c>
      <c r="E2976" t="s">
        <v>413</v>
      </c>
      <c r="F2976">
        <f>HYPERLINK("https://www.wikidata.org/wiki/Q33728280", "Q33728280")</f>
        <v>0</v>
      </c>
      <c r="G2976" t="s">
        <v>2132</v>
      </c>
      <c r="H2976" t="s">
        <v>6357</v>
      </c>
      <c r="I2976" t="s">
        <v>10091</v>
      </c>
      <c r="J2976" t="s">
        <v>12796</v>
      </c>
      <c r="K2976" t="s">
        <v>17212</v>
      </c>
      <c r="L2976">
        <f>HYPERLINK("https://www2.assemblee-nationale.fr/sycomore/fiche/(num_dept)/5734", "5734")</f>
        <v>0</v>
      </c>
      <c r="N2976">
        <f>HYPERLINK("https://www.wikidata.org/wiki/Q3054472", "Q3054472")</f>
        <v>0</v>
      </c>
      <c r="O2976" t="s">
        <v>20006</v>
      </c>
      <c r="P2976" t="s">
        <v>20407</v>
      </c>
      <c r="Q2976" t="s">
        <v>20588</v>
      </c>
      <c r="R2976" t="s">
        <v>413</v>
      </c>
      <c r="S2976">
        <v>1493</v>
      </c>
    </row>
    <row r="2977" spans="1:19">
      <c r="A2977" t="s">
        <v>23</v>
      </c>
      <c r="B2977" t="s">
        <v>148</v>
      </c>
      <c r="C2977" t="s">
        <v>155</v>
      </c>
      <c r="D2977" t="s">
        <v>284</v>
      </c>
      <c r="E2977" t="s">
        <v>413</v>
      </c>
      <c r="F2977">
        <f>HYPERLINK("https://www.wikidata.org/wiki/Q33728280", "Q33728280")</f>
        <v>0</v>
      </c>
      <c r="G2977" t="s">
        <v>1337</v>
      </c>
      <c r="H2977" t="s">
        <v>6055</v>
      </c>
      <c r="I2977" t="s">
        <v>6585</v>
      </c>
      <c r="J2977" t="s">
        <v>12064</v>
      </c>
      <c r="K2977" t="s">
        <v>16466</v>
      </c>
      <c r="L2977">
        <f>HYPERLINK("https://www2.assemblee-nationale.fr/sycomore/fiche/(num_dept)/5735", "5735")</f>
        <v>0</v>
      </c>
      <c r="N2977">
        <f>HYPERLINK("https://www.wikidata.org/wiki/Q13077231", "Q13077231")</f>
        <v>0</v>
      </c>
      <c r="O2977" t="s">
        <v>19969</v>
      </c>
      <c r="P2977" t="s">
        <v>20407</v>
      </c>
      <c r="Q2977" t="s">
        <v>20588</v>
      </c>
      <c r="R2977" t="s">
        <v>413</v>
      </c>
      <c r="S2977">
        <v>1493</v>
      </c>
    </row>
    <row r="2978" spans="1:19">
      <c r="A2978" t="s">
        <v>23</v>
      </c>
      <c r="B2978" t="s">
        <v>148</v>
      </c>
      <c r="C2978" t="s">
        <v>155</v>
      </c>
      <c r="D2978" t="s">
        <v>284</v>
      </c>
      <c r="E2978" t="s">
        <v>413</v>
      </c>
      <c r="F2978">
        <f>HYPERLINK("https://www.wikidata.org/wiki/Q33728280", "Q33728280")</f>
        <v>0</v>
      </c>
      <c r="G2978" t="s">
        <v>1864</v>
      </c>
      <c r="H2978" t="s">
        <v>6520</v>
      </c>
      <c r="I2978" t="s">
        <v>6200</v>
      </c>
      <c r="J2978" t="s">
        <v>12552</v>
      </c>
      <c r="K2978" t="s">
        <v>16965</v>
      </c>
      <c r="L2978">
        <f>HYPERLINK("https://www2.assemblee-nationale.fr/sycomore/fiche/(num_dept)/5736", "5736")</f>
        <v>0</v>
      </c>
      <c r="M2978">
        <f>HYPERLINK("https://www.senat.fr/senateur-3eme-republique/payra_jean1091r3.html", "payra_jean1091r3")</f>
        <v>0</v>
      </c>
      <c r="N2978">
        <f>HYPERLINK("https://www.wikidata.org/wiki/Q3173886", "Q3173886")</f>
        <v>0</v>
      </c>
      <c r="O2978" t="s">
        <v>20001</v>
      </c>
      <c r="P2978" t="s">
        <v>20404</v>
      </c>
      <c r="Q2978" t="s">
        <v>20588</v>
      </c>
      <c r="R2978" t="s">
        <v>413</v>
      </c>
      <c r="S2978">
        <v>1493</v>
      </c>
    </row>
    <row r="2979" spans="1:19">
      <c r="A2979" t="s">
        <v>23</v>
      </c>
      <c r="B2979" t="s">
        <v>148</v>
      </c>
      <c r="C2979" t="s">
        <v>155</v>
      </c>
      <c r="D2979" t="s">
        <v>284</v>
      </c>
      <c r="E2979" t="s">
        <v>413</v>
      </c>
      <c r="F2979">
        <f>HYPERLINK("https://www.wikidata.org/wiki/Q33728280", "Q33728280")</f>
        <v>0</v>
      </c>
      <c r="G2979" t="s">
        <v>2133</v>
      </c>
      <c r="H2979" t="s">
        <v>6751</v>
      </c>
      <c r="I2979" t="s">
        <v>9385</v>
      </c>
      <c r="J2979" t="s">
        <v>12797</v>
      </c>
      <c r="K2979" t="s">
        <v>17213</v>
      </c>
      <c r="L2979">
        <f>HYPERLINK("https://www2.assemblee-nationale.fr/sycomore/fiche/(num_dept)/5744", "5744")</f>
        <v>0</v>
      </c>
      <c r="N2979">
        <f>HYPERLINK("https://www.wikidata.org/wiki/Q2960054", "Q2960054")</f>
        <v>0</v>
      </c>
      <c r="O2979" t="s">
        <v>19969</v>
      </c>
      <c r="P2979" t="s">
        <v>20422</v>
      </c>
      <c r="Q2979" t="s">
        <v>20588</v>
      </c>
      <c r="R2979" t="s">
        <v>413</v>
      </c>
      <c r="S2979">
        <v>1493</v>
      </c>
    </row>
    <row r="2980" spans="1:19">
      <c r="A2980" t="s">
        <v>23</v>
      </c>
      <c r="B2980" t="s">
        <v>148</v>
      </c>
      <c r="C2980" t="s">
        <v>155</v>
      </c>
      <c r="D2980" t="s">
        <v>284</v>
      </c>
      <c r="E2980" t="s">
        <v>413</v>
      </c>
      <c r="F2980">
        <f>HYPERLINK("https://www.wikidata.org/wiki/Q33728280", "Q33728280")</f>
        <v>0</v>
      </c>
      <c r="G2980" t="s">
        <v>1865</v>
      </c>
      <c r="H2980" t="s">
        <v>6521</v>
      </c>
      <c r="I2980" t="s">
        <v>9972</v>
      </c>
      <c r="J2980" t="s">
        <v>12553</v>
      </c>
      <c r="K2980" t="s">
        <v>16966</v>
      </c>
      <c r="L2980">
        <f>HYPERLINK("https://www2.assemblee-nationale.fr/sycomore/fiche/(num_dept)/5748", "5748")</f>
        <v>0</v>
      </c>
      <c r="N2980">
        <f>HYPERLINK("https://www.wikidata.org/wiki/Q16026291", "Q16026291")</f>
        <v>0</v>
      </c>
      <c r="O2980" t="s">
        <v>19971</v>
      </c>
      <c r="P2980" t="s">
        <v>20428</v>
      </c>
      <c r="Q2980" t="s">
        <v>20588</v>
      </c>
      <c r="R2980" t="s">
        <v>16966</v>
      </c>
      <c r="S2980">
        <v>507</v>
      </c>
    </row>
    <row r="2981" spans="1:19">
      <c r="A2981" t="s">
        <v>23</v>
      </c>
      <c r="B2981" t="s">
        <v>148</v>
      </c>
      <c r="C2981" t="s">
        <v>155</v>
      </c>
      <c r="D2981" t="s">
        <v>284</v>
      </c>
      <c r="E2981" t="s">
        <v>413</v>
      </c>
      <c r="F2981">
        <f>HYPERLINK("https://www.wikidata.org/wiki/Q33728280", "Q33728280")</f>
        <v>0</v>
      </c>
      <c r="G2981" t="s">
        <v>1866</v>
      </c>
      <c r="H2981" t="s">
        <v>6522</v>
      </c>
      <c r="I2981" t="s">
        <v>9973</v>
      </c>
      <c r="J2981" t="s">
        <v>12554</v>
      </c>
      <c r="K2981" t="s">
        <v>16967</v>
      </c>
      <c r="L2981">
        <f>HYPERLINK("https://www2.assemblee-nationale.fr/sycomore/fiche/(num_dept)/5752", "5752")</f>
        <v>0</v>
      </c>
      <c r="N2981">
        <f>HYPERLINK("https://www.wikidata.org/wiki/Q74670", "Q74670")</f>
        <v>0</v>
      </c>
      <c r="O2981" t="s">
        <v>20048</v>
      </c>
      <c r="P2981" t="s">
        <v>20404</v>
      </c>
      <c r="Q2981" t="s">
        <v>20588</v>
      </c>
      <c r="R2981" t="s">
        <v>413</v>
      </c>
      <c r="S2981">
        <v>1493</v>
      </c>
    </row>
    <row r="2982" spans="1:19">
      <c r="A2982" t="s">
        <v>23</v>
      </c>
      <c r="B2982" t="s">
        <v>148</v>
      </c>
      <c r="C2982" t="s">
        <v>155</v>
      </c>
      <c r="D2982" t="s">
        <v>284</v>
      </c>
      <c r="E2982" t="s">
        <v>413</v>
      </c>
      <c r="F2982">
        <f>HYPERLINK("https://www.wikidata.org/wiki/Q33728280", "Q33728280")</f>
        <v>0</v>
      </c>
      <c r="G2982" t="s">
        <v>1867</v>
      </c>
      <c r="H2982" t="s">
        <v>6523</v>
      </c>
      <c r="I2982" t="s">
        <v>9974</v>
      </c>
      <c r="J2982" t="s">
        <v>12555</v>
      </c>
      <c r="K2982" t="s">
        <v>16968</v>
      </c>
      <c r="L2982">
        <f>HYPERLINK("https://www2.assemblee-nationale.fr/sycomore/fiche/(num_dept)/5760", "5760")</f>
        <v>0</v>
      </c>
      <c r="N2982">
        <f>HYPERLINK("https://www.wikidata.org/wiki/Q16026298", "Q16026298")</f>
        <v>0</v>
      </c>
      <c r="O2982" t="s">
        <v>19960</v>
      </c>
      <c r="P2982" t="s">
        <v>20404</v>
      </c>
      <c r="Q2982" t="s">
        <v>20588</v>
      </c>
      <c r="R2982" t="s">
        <v>16968</v>
      </c>
      <c r="S2982">
        <v>296</v>
      </c>
    </row>
    <row r="2983" spans="1:19">
      <c r="A2983" t="s">
        <v>23</v>
      </c>
      <c r="B2983" t="s">
        <v>148</v>
      </c>
      <c r="C2983" t="s">
        <v>155</v>
      </c>
      <c r="D2983" t="s">
        <v>284</v>
      </c>
      <c r="E2983" t="s">
        <v>413</v>
      </c>
      <c r="F2983">
        <f>HYPERLINK("https://www.wikidata.org/wiki/Q33728280", "Q33728280")</f>
        <v>0</v>
      </c>
      <c r="G2983" t="s">
        <v>2134</v>
      </c>
      <c r="H2983" t="s">
        <v>6752</v>
      </c>
      <c r="I2983" t="s">
        <v>9506</v>
      </c>
      <c r="J2983" t="s">
        <v>12798</v>
      </c>
      <c r="K2983" t="s">
        <v>17214</v>
      </c>
      <c r="L2983">
        <f>HYPERLINK("https://www2.assemblee-nationale.fr/sycomore/fiche/(num_dept)/5784", "5784")</f>
        <v>0</v>
      </c>
      <c r="N2983">
        <f>HYPERLINK("https://www.wikidata.org/wiki/Q2935032", "Q2935032")</f>
        <v>0</v>
      </c>
      <c r="O2983" t="s">
        <v>20022</v>
      </c>
      <c r="P2983" t="s">
        <v>20428</v>
      </c>
      <c r="Q2983" t="s">
        <v>20588</v>
      </c>
      <c r="R2983" t="s">
        <v>413</v>
      </c>
      <c r="S2983">
        <v>1493</v>
      </c>
    </row>
    <row r="2984" spans="1:19">
      <c r="A2984" t="s">
        <v>23</v>
      </c>
      <c r="B2984" t="s">
        <v>148</v>
      </c>
      <c r="C2984" t="s">
        <v>155</v>
      </c>
      <c r="D2984" t="s">
        <v>284</v>
      </c>
      <c r="E2984" t="s">
        <v>413</v>
      </c>
      <c r="F2984">
        <f>HYPERLINK("https://www.wikidata.org/wiki/Q33728280", "Q33728280")</f>
        <v>0</v>
      </c>
      <c r="G2984" t="s">
        <v>2135</v>
      </c>
      <c r="H2984" t="s">
        <v>6753</v>
      </c>
      <c r="I2984" t="s">
        <v>6584</v>
      </c>
      <c r="J2984" t="s">
        <v>12799</v>
      </c>
      <c r="K2984" t="s">
        <v>16895</v>
      </c>
      <c r="L2984">
        <f>HYPERLINK("https://www2.assemblee-nationale.fr/sycomore/fiche/(num_dept)/5813", "5813")</f>
        <v>0</v>
      </c>
      <c r="N2984">
        <f>HYPERLINK("https://www.wikidata.org/wiki/Q2831460", "Q2831460")</f>
        <v>0</v>
      </c>
      <c r="O2984" t="s">
        <v>20006</v>
      </c>
      <c r="P2984" t="s">
        <v>20431</v>
      </c>
      <c r="Q2984" t="s">
        <v>20588</v>
      </c>
      <c r="R2984" t="s">
        <v>413</v>
      </c>
      <c r="S2984">
        <v>1493</v>
      </c>
    </row>
    <row r="2985" spans="1:19">
      <c r="A2985" t="s">
        <v>23</v>
      </c>
      <c r="B2985" t="s">
        <v>148</v>
      </c>
      <c r="C2985" t="s">
        <v>155</v>
      </c>
      <c r="D2985" t="s">
        <v>284</v>
      </c>
      <c r="E2985" t="s">
        <v>413</v>
      </c>
      <c r="F2985">
        <f>HYPERLINK("https://www.wikidata.org/wiki/Q33728280", "Q33728280")</f>
        <v>0</v>
      </c>
      <c r="G2985" t="s">
        <v>2136</v>
      </c>
      <c r="H2985" t="s">
        <v>6754</v>
      </c>
      <c r="I2985" t="s">
        <v>10024</v>
      </c>
      <c r="J2985" t="s">
        <v>12800</v>
      </c>
      <c r="K2985" t="s">
        <v>17215</v>
      </c>
      <c r="L2985">
        <f>HYPERLINK("https://www2.assemblee-nationale.fr/sycomore/fiche/(num_dept)/5838", "5838")</f>
        <v>0</v>
      </c>
      <c r="N2985">
        <f>HYPERLINK("https://www.wikidata.org/wiki/Q3588694", "Q3588694")</f>
        <v>0</v>
      </c>
      <c r="O2985" t="s">
        <v>20050</v>
      </c>
      <c r="P2985" t="s">
        <v>20429</v>
      </c>
      <c r="Q2985" t="s">
        <v>20588</v>
      </c>
      <c r="R2985" t="s">
        <v>413</v>
      </c>
      <c r="S2985">
        <v>1493</v>
      </c>
    </row>
    <row r="2986" spans="1:19">
      <c r="A2986" t="s">
        <v>23</v>
      </c>
      <c r="B2986" t="s">
        <v>148</v>
      </c>
      <c r="C2986" t="s">
        <v>155</v>
      </c>
      <c r="D2986" t="s">
        <v>284</v>
      </c>
      <c r="E2986" t="s">
        <v>413</v>
      </c>
      <c r="F2986">
        <f>HYPERLINK("https://www.wikidata.org/wiki/Q33728280", "Q33728280")</f>
        <v>0</v>
      </c>
      <c r="G2986" t="s">
        <v>2137</v>
      </c>
      <c r="H2986" t="s">
        <v>6014</v>
      </c>
      <c r="I2986" t="s">
        <v>10092</v>
      </c>
      <c r="J2986" t="s">
        <v>12801</v>
      </c>
      <c r="K2986" t="s">
        <v>17216</v>
      </c>
      <c r="L2986">
        <f>HYPERLINK("https://www2.assemblee-nationale.fr/sycomore/fiche/(num_dept)/5876", "5876")</f>
        <v>0</v>
      </c>
      <c r="N2986">
        <f>HYPERLINK("https://www.wikidata.org/wiki/Q3057133", "Q3057133")</f>
        <v>0</v>
      </c>
      <c r="O2986" t="s">
        <v>19961</v>
      </c>
      <c r="P2986" t="s">
        <v>20430</v>
      </c>
      <c r="Q2986" t="s">
        <v>20588</v>
      </c>
      <c r="R2986" t="s">
        <v>413</v>
      </c>
      <c r="S2986">
        <v>1493</v>
      </c>
    </row>
    <row r="2987" spans="1:19">
      <c r="A2987" t="s">
        <v>23</v>
      </c>
      <c r="B2987" t="s">
        <v>148</v>
      </c>
      <c r="C2987" t="s">
        <v>155</v>
      </c>
      <c r="D2987" t="s">
        <v>284</v>
      </c>
      <c r="E2987" t="s">
        <v>413</v>
      </c>
      <c r="F2987">
        <f>HYPERLINK("https://www.wikidata.org/wiki/Q33728280", "Q33728280")</f>
        <v>0</v>
      </c>
      <c r="G2987" t="s">
        <v>1572</v>
      </c>
      <c r="H2987" t="s">
        <v>6262</v>
      </c>
      <c r="I2987" t="s">
        <v>9457</v>
      </c>
      <c r="J2987" t="s">
        <v>12285</v>
      </c>
      <c r="K2987" t="s">
        <v>15702</v>
      </c>
      <c r="L2987">
        <f>HYPERLINK("https://www2.assemblee-nationale.fr/sycomore/fiche/(num_dept)/5891", "5891")</f>
        <v>0</v>
      </c>
      <c r="M2987">
        <f>HYPERLINK("https://www.senat.fr/senateur-3eme-republique/philippoteaux_henri0169r3.html", "philippoteaux_henri0169r3")</f>
        <v>0</v>
      </c>
      <c r="N2987">
        <f>HYPERLINK("https://www.wikidata.org/wiki/Q3131770", "Q3131770")</f>
        <v>0</v>
      </c>
      <c r="O2987" t="s">
        <v>19959</v>
      </c>
      <c r="P2987" t="s">
        <v>20428</v>
      </c>
      <c r="Q2987" t="s">
        <v>20588</v>
      </c>
      <c r="R2987" t="s">
        <v>18170</v>
      </c>
      <c r="S2987">
        <v>639</v>
      </c>
    </row>
    <row r="2988" spans="1:19">
      <c r="A2988" t="s">
        <v>23</v>
      </c>
      <c r="B2988" t="s">
        <v>148</v>
      </c>
      <c r="C2988" t="s">
        <v>155</v>
      </c>
      <c r="D2988" t="s">
        <v>284</v>
      </c>
      <c r="E2988" t="s">
        <v>413</v>
      </c>
      <c r="F2988">
        <f>HYPERLINK("https://www.wikidata.org/wiki/Q33728280", "Q33728280")</f>
        <v>0</v>
      </c>
      <c r="G2988" t="s">
        <v>2138</v>
      </c>
      <c r="H2988" t="s">
        <v>6755</v>
      </c>
      <c r="I2988" t="s">
        <v>9612</v>
      </c>
      <c r="J2988" t="s">
        <v>12802</v>
      </c>
      <c r="K2988" t="s">
        <v>17217</v>
      </c>
      <c r="L2988">
        <f>HYPERLINK("https://www2.assemblee-nationale.fr/sycomore/fiche/(num_dept)/5894", "5894")</f>
        <v>0</v>
      </c>
      <c r="N2988">
        <f>HYPERLINK("https://www.wikidata.org/wiki/Q3090114", "Q3090114")</f>
        <v>0</v>
      </c>
      <c r="O2988" t="s">
        <v>19969</v>
      </c>
      <c r="P2988" t="s">
        <v>20401</v>
      </c>
      <c r="Q2988" t="s">
        <v>20588</v>
      </c>
      <c r="R2988" t="s">
        <v>413</v>
      </c>
      <c r="S2988">
        <v>1493</v>
      </c>
    </row>
    <row r="2989" spans="1:19">
      <c r="A2989" t="s">
        <v>23</v>
      </c>
      <c r="B2989" t="s">
        <v>148</v>
      </c>
      <c r="C2989" t="s">
        <v>155</v>
      </c>
      <c r="D2989" t="s">
        <v>284</v>
      </c>
      <c r="E2989" t="s">
        <v>413</v>
      </c>
      <c r="F2989">
        <f>HYPERLINK("https://www.wikidata.org/wiki/Q33728280", "Q33728280")</f>
        <v>0</v>
      </c>
      <c r="G2989" t="s">
        <v>1573</v>
      </c>
      <c r="H2989" t="s">
        <v>6263</v>
      </c>
      <c r="I2989" t="s">
        <v>9843</v>
      </c>
      <c r="J2989" t="s">
        <v>12286</v>
      </c>
      <c r="K2989" t="s">
        <v>16692</v>
      </c>
      <c r="L2989">
        <f>HYPERLINK("https://www2.assemblee-nationale.fr/sycomore/fiche/(num_dept)/5908", "5908")</f>
        <v>0</v>
      </c>
      <c r="N2989">
        <f>HYPERLINK("https://www.wikidata.org/wiki/Q3573892", "Q3573892")</f>
        <v>0</v>
      </c>
      <c r="O2989" t="s">
        <v>19987</v>
      </c>
      <c r="P2989" t="s">
        <v>20412</v>
      </c>
      <c r="Q2989" t="s">
        <v>20588</v>
      </c>
      <c r="R2989" t="s">
        <v>413</v>
      </c>
      <c r="S2989">
        <v>1493</v>
      </c>
    </row>
    <row r="2990" spans="1:19">
      <c r="A2990" t="s">
        <v>23</v>
      </c>
      <c r="B2990" t="s">
        <v>148</v>
      </c>
      <c r="C2990" t="s">
        <v>155</v>
      </c>
      <c r="D2990" t="s">
        <v>284</v>
      </c>
      <c r="E2990" t="s">
        <v>413</v>
      </c>
      <c r="F2990">
        <f>HYPERLINK("https://www.wikidata.org/wiki/Q33728280", "Q33728280")</f>
        <v>0</v>
      </c>
      <c r="G2990" t="s">
        <v>2139</v>
      </c>
      <c r="H2990" t="s">
        <v>6756</v>
      </c>
      <c r="I2990" t="s">
        <v>10093</v>
      </c>
      <c r="J2990" t="s">
        <v>12803</v>
      </c>
      <c r="K2990" t="s">
        <v>17218</v>
      </c>
      <c r="L2990">
        <f>HYPERLINK("https://www2.assemblee-nationale.fr/sycomore/fiche/(num_dept)/5926", "5926")</f>
        <v>0</v>
      </c>
      <c r="M2990">
        <f>HYPERLINK("https://www.senat.fr/senateur-3eme-republique/pieyre_marius0448r3.html", "pieyre_marius0448r3")</f>
        <v>0</v>
      </c>
      <c r="N2990">
        <f>HYPERLINK("https://www.wikidata.org/wiki/Q3293843", "Q3293843")</f>
        <v>0</v>
      </c>
      <c r="O2990" t="s">
        <v>20041</v>
      </c>
      <c r="P2990" t="s">
        <v>20428</v>
      </c>
      <c r="Q2990" t="s">
        <v>20588</v>
      </c>
      <c r="R2990" t="s">
        <v>21431</v>
      </c>
      <c r="S2990">
        <v>1395</v>
      </c>
    </row>
    <row r="2991" spans="1:19">
      <c r="A2991" t="s">
        <v>23</v>
      </c>
      <c r="B2991" t="s">
        <v>148</v>
      </c>
      <c r="C2991" t="s">
        <v>155</v>
      </c>
      <c r="D2991" t="s">
        <v>284</v>
      </c>
      <c r="E2991" t="s">
        <v>413</v>
      </c>
      <c r="F2991">
        <f>HYPERLINK("https://www.wikidata.org/wiki/Q33728280", "Q33728280")</f>
        <v>0</v>
      </c>
      <c r="G2991" t="s">
        <v>2140</v>
      </c>
      <c r="H2991" t="s">
        <v>6757</v>
      </c>
      <c r="I2991" t="s">
        <v>10094</v>
      </c>
      <c r="J2991" t="s">
        <v>12804</v>
      </c>
      <c r="K2991" t="s">
        <v>17219</v>
      </c>
      <c r="L2991">
        <f>HYPERLINK("https://www2.assemblee-nationale.fr/sycomore/fiche/(num_dept)/5940", "5940")</f>
        <v>0</v>
      </c>
      <c r="N2991">
        <f>HYPERLINK("https://www.wikidata.org/wiki/Q3592333", "Q3592333")</f>
        <v>0</v>
      </c>
      <c r="O2991" t="s">
        <v>19998</v>
      </c>
      <c r="P2991" t="s">
        <v>20430</v>
      </c>
      <c r="Q2991" t="s">
        <v>20588</v>
      </c>
      <c r="R2991" t="s">
        <v>413</v>
      </c>
      <c r="S2991">
        <v>1493</v>
      </c>
    </row>
    <row r="2992" spans="1:19">
      <c r="A2992" t="s">
        <v>23</v>
      </c>
      <c r="B2992" t="s">
        <v>148</v>
      </c>
      <c r="C2992" t="s">
        <v>155</v>
      </c>
      <c r="D2992" t="s">
        <v>284</v>
      </c>
      <c r="E2992" t="s">
        <v>413</v>
      </c>
      <c r="F2992">
        <f>HYPERLINK("https://www.wikidata.org/wiki/Q33728280", "Q33728280")</f>
        <v>0</v>
      </c>
      <c r="G2992" t="s">
        <v>1874</v>
      </c>
      <c r="H2992" t="s">
        <v>6529</v>
      </c>
      <c r="I2992" t="s">
        <v>9977</v>
      </c>
      <c r="J2992" t="s">
        <v>12562</v>
      </c>
      <c r="K2992" t="s">
        <v>16974</v>
      </c>
      <c r="L2992">
        <f>HYPERLINK("https://www2.assemblee-nationale.fr/sycomore/fiche/(num_dept)/5957", "5957")</f>
        <v>0</v>
      </c>
      <c r="N2992">
        <f>HYPERLINK("https://www.wikidata.org/wiki/Q2833972", "Q2833972")</f>
        <v>0</v>
      </c>
      <c r="O2992" t="s">
        <v>19969</v>
      </c>
      <c r="P2992" t="s">
        <v>20424</v>
      </c>
      <c r="Q2992" t="s">
        <v>20588</v>
      </c>
      <c r="R2992" t="s">
        <v>413</v>
      </c>
      <c r="S2992">
        <v>1493</v>
      </c>
    </row>
    <row r="2993" spans="1:19">
      <c r="A2993" t="s">
        <v>23</v>
      </c>
      <c r="B2993" t="s">
        <v>148</v>
      </c>
      <c r="C2993" t="s">
        <v>155</v>
      </c>
      <c r="D2993" t="s">
        <v>284</v>
      </c>
      <c r="E2993" t="s">
        <v>413</v>
      </c>
      <c r="F2993">
        <f>HYPERLINK("https://www.wikidata.org/wiki/Q33728280", "Q33728280")</f>
        <v>0</v>
      </c>
      <c r="G2993" t="s">
        <v>2141</v>
      </c>
      <c r="H2993" t="s">
        <v>6016</v>
      </c>
      <c r="I2993" t="s">
        <v>9506</v>
      </c>
      <c r="J2993" t="s">
        <v>12805</v>
      </c>
      <c r="K2993" t="s">
        <v>17220</v>
      </c>
      <c r="L2993">
        <f>HYPERLINK("https://www2.assemblee-nationale.fr/sycomore/fiche/(num_dept)/5966", "5966")</f>
        <v>0</v>
      </c>
      <c r="N2993">
        <f>HYPERLINK("https://www.wikidata.org/wiki/Q2935039", "Q2935039")</f>
        <v>0</v>
      </c>
      <c r="O2993" t="s">
        <v>19999</v>
      </c>
      <c r="P2993" t="s">
        <v>20433</v>
      </c>
      <c r="Q2993" t="s">
        <v>20588</v>
      </c>
      <c r="R2993" t="s">
        <v>413</v>
      </c>
      <c r="S2993">
        <v>1493</v>
      </c>
    </row>
    <row r="2994" spans="1:19">
      <c r="A2994" t="s">
        <v>23</v>
      </c>
      <c r="B2994" t="s">
        <v>148</v>
      </c>
      <c r="C2994" t="s">
        <v>155</v>
      </c>
      <c r="D2994" t="s">
        <v>284</v>
      </c>
      <c r="E2994" t="s">
        <v>413</v>
      </c>
      <c r="F2994">
        <f>HYPERLINK("https://www.wikidata.org/wiki/Q33728280", "Q33728280")</f>
        <v>0</v>
      </c>
      <c r="G2994" t="s">
        <v>2142</v>
      </c>
      <c r="H2994" t="s">
        <v>6758</v>
      </c>
      <c r="I2994" t="s">
        <v>9449</v>
      </c>
      <c r="J2994" t="s">
        <v>12806</v>
      </c>
      <c r="K2994" t="s">
        <v>17221</v>
      </c>
      <c r="L2994">
        <f>HYPERLINK("https://www2.assemblee-nationale.fr/sycomore/fiche/(num_dept)/5992", "5992")</f>
        <v>0</v>
      </c>
      <c r="N2994">
        <f>HYPERLINK("https://www.wikidata.org/wiki/Q3188852", "Q3188852")</f>
        <v>0</v>
      </c>
      <c r="O2994" t="s">
        <v>20002</v>
      </c>
      <c r="P2994" t="s">
        <v>20401</v>
      </c>
      <c r="Q2994" t="s">
        <v>20588</v>
      </c>
      <c r="R2994" t="s">
        <v>413</v>
      </c>
      <c r="S2994">
        <v>1493</v>
      </c>
    </row>
    <row r="2995" spans="1:19">
      <c r="A2995" t="s">
        <v>23</v>
      </c>
      <c r="B2995" t="s">
        <v>148</v>
      </c>
      <c r="C2995" t="s">
        <v>155</v>
      </c>
      <c r="D2995" t="s">
        <v>284</v>
      </c>
      <c r="E2995" t="s">
        <v>413</v>
      </c>
      <c r="F2995">
        <f>HYPERLINK("https://www.wikidata.org/wiki/Q33728280", "Q33728280")</f>
        <v>0</v>
      </c>
      <c r="G2995" t="s">
        <v>2143</v>
      </c>
      <c r="H2995" t="s">
        <v>6759</v>
      </c>
      <c r="I2995" t="s">
        <v>7642</v>
      </c>
      <c r="J2995" t="s">
        <v>12807</v>
      </c>
      <c r="K2995" t="s">
        <v>17222</v>
      </c>
      <c r="L2995">
        <f>HYPERLINK("https://www2.assemblee-nationale.fr/sycomore/fiche/(num_dept)/6014", "6014")</f>
        <v>0</v>
      </c>
      <c r="N2995">
        <f>HYPERLINK("https://www.wikidata.org/wiki/Q13085399", "Q13085399")</f>
        <v>0</v>
      </c>
      <c r="O2995" t="s">
        <v>8449</v>
      </c>
      <c r="P2995" t="s">
        <v>20428</v>
      </c>
      <c r="Q2995" t="s">
        <v>20588</v>
      </c>
      <c r="R2995" t="s">
        <v>413</v>
      </c>
      <c r="S2995">
        <v>1493</v>
      </c>
    </row>
    <row r="2996" spans="1:19">
      <c r="A2996" t="s">
        <v>23</v>
      </c>
      <c r="B2996" t="s">
        <v>148</v>
      </c>
      <c r="C2996" t="s">
        <v>155</v>
      </c>
      <c r="D2996" t="s">
        <v>284</v>
      </c>
      <c r="E2996" t="s">
        <v>413</v>
      </c>
      <c r="F2996">
        <f>HYPERLINK("https://www.wikidata.org/wiki/Q33728280", "Q33728280")</f>
        <v>0</v>
      </c>
      <c r="G2996" t="s">
        <v>2144</v>
      </c>
      <c r="H2996" t="s">
        <v>5525</v>
      </c>
      <c r="I2996" t="s">
        <v>10095</v>
      </c>
      <c r="J2996" t="s">
        <v>12808</v>
      </c>
      <c r="K2996" t="s">
        <v>17223</v>
      </c>
      <c r="L2996">
        <f>HYPERLINK("https://www2.assemblee-nationale.fr/sycomore/fiche/(num_dept)/6033", "6033")</f>
        <v>0</v>
      </c>
      <c r="N2996">
        <f>HYPERLINK("https://www.wikidata.org/wiki/Q8310777", "Q8310777")</f>
        <v>0</v>
      </c>
      <c r="O2996" t="s">
        <v>20034</v>
      </c>
      <c r="P2996" t="s">
        <v>20431</v>
      </c>
      <c r="Q2996" t="s">
        <v>20588</v>
      </c>
      <c r="R2996" t="s">
        <v>413</v>
      </c>
      <c r="S2996">
        <v>1493</v>
      </c>
    </row>
    <row r="2997" spans="1:19">
      <c r="A2997" t="s">
        <v>23</v>
      </c>
      <c r="B2997" t="s">
        <v>148</v>
      </c>
      <c r="C2997" t="s">
        <v>155</v>
      </c>
      <c r="D2997" t="s">
        <v>284</v>
      </c>
      <c r="E2997" t="s">
        <v>413</v>
      </c>
      <c r="F2997">
        <f>HYPERLINK("https://www.wikidata.org/wiki/Q33728280", "Q33728280")</f>
        <v>0</v>
      </c>
      <c r="G2997" t="s">
        <v>1580</v>
      </c>
      <c r="H2997" t="s">
        <v>6270</v>
      </c>
      <c r="I2997" t="s">
        <v>9846</v>
      </c>
      <c r="J2997" t="s">
        <v>11466</v>
      </c>
      <c r="K2997" t="s">
        <v>16699</v>
      </c>
      <c r="L2997">
        <f>HYPERLINK("https://www2.assemblee-nationale.fr/sycomore/fiche/(num_dept)/6046", "6046")</f>
        <v>0</v>
      </c>
      <c r="N2997">
        <f>HYPERLINK("https://www.wikidata.org/wiki/Q16026438", "Q16026438")</f>
        <v>0</v>
      </c>
      <c r="O2997" t="s">
        <v>7411</v>
      </c>
      <c r="P2997" t="s">
        <v>20407</v>
      </c>
      <c r="Q2997" t="s">
        <v>20588</v>
      </c>
      <c r="R2997" t="s">
        <v>413</v>
      </c>
      <c r="S2997">
        <v>1493</v>
      </c>
    </row>
    <row r="2998" spans="1:19">
      <c r="A2998" t="s">
        <v>23</v>
      </c>
      <c r="B2998" t="s">
        <v>148</v>
      </c>
      <c r="C2998" t="s">
        <v>155</v>
      </c>
      <c r="D2998" t="s">
        <v>284</v>
      </c>
      <c r="E2998" t="s">
        <v>413</v>
      </c>
      <c r="F2998">
        <f>HYPERLINK("https://www.wikidata.org/wiki/Q33728280", "Q33728280")</f>
        <v>0</v>
      </c>
      <c r="G2998" t="s">
        <v>1877</v>
      </c>
      <c r="H2998" t="s">
        <v>6532</v>
      </c>
      <c r="I2998" t="s">
        <v>9552</v>
      </c>
      <c r="J2998" t="s">
        <v>12564</v>
      </c>
      <c r="K2998" t="s">
        <v>16977</v>
      </c>
      <c r="L2998">
        <f>HYPERLINK("https://www2.assemblee-nationale.fr/sycomore/fiche/(num_dept)/6047", "6047")</f>
        <v>0</v>
      </c>
      <c r="N2998">
        <f>HYPERLINK("https://www.wikidata.org/wiki/Q8328995", "Q8328995")</f>
        <v>0</v>
      </c>
      <c r="O2998" t="s">
        <v>19971</v>
      </c>
      <c r="P2998" t="s">
        <v>20428</v>
      </c>
      <c r="Q2998" t="s">
        <v>20588</v>
      </c>
      <c r="R2998" t="s">
        <v>413</v>
      </c>
      <c r="S2998">
        <v>1493</v>
      </c>
    </row>
    <row r="2999" spans="1:19">
      <c r="A2999" t="s">
        <v>23</v>
      </c>
      <c r="B2999" t="s">
        <v>148</v>
      </c>
      <c r="C2999" t="s">
        <v>155</v>
      </c>
      <c r="D2999" t="s">
        <v>284</v>
      </c>
      <c r="E2999" t="s">
        <v>413</v>
      </c>
      <c r="F2999">
        <f>HYPERLINK("https://www.wikidata.org/wiki/Q33728280", "Q33728280")</f>
        <v>0</v>
      </c>
      <c r="G2999" t="s">
        <v>769</v>
      </c>
      <c r="H2999" t="s">
        <v>5527</v>
      </c>
      <c r="I2999" t="s">
        <v>9516</v>
      </c>
      <c r="J2999" t="s">
        <v>11516</v>
      </c>
      <c r="K2999" t="s">
        <v>15920</v>
      </c>
      <c r="L2999">
        <f>HYPERLINK("https://www2.assemblee-nationale.fr/sycomore/fiche/(num_dept)/6053", "6053")</f>
        <v>0</v>
      </c>
      <c r="N2999">
        <f>HYPERLINK("https://www.wikidata.org/wiki/Q13091126", "Q13091126")</f>
        <v>0</v>
      </c>
      <c r="O2999" t="s">
        <v>19965</v>
      </c>
      <c r="P2999" t="s">
        <v>20404</v>
      </c>
      <c r="Q2999" t="s">
        <v>20588</v>
      </c>
      <c r="R2999" t="s">
        <v>413</v>
      </c>
      <c r="S2999">
        <v>1493</v>
      </c>
    </row>
    <row r="3000" spans="1:19">
      <c r="A3000" t="s">
        <v>23</v>
      </c>
      <c r="B3000" t="s">
        <v>148</v>
      </c>
      <c r="C3000" t="s">
        <v>155</v>
      </c>
      <c r="D3000" t="s">
        <v>284</v>
      </c>
      <c r="E3000" t="s">
        <v>413</v>
      </c>
      <c r="F3000">
        <f>HYPERLINK("https://www.wikidata.org/wiki/Q33728280", "Q33728280")</f>
        <v>0</v>
      </c>
      <c r="G3000" t="s">
        <v>1581</v>
      </c>
      <c r="H3000" t="s">
        <v>6271</v>
      </c>
      <c r="I3000" t="s">
        <v>6495</v>
      </c>
      <c r="J3000" t="s">
        <v>12293</v>
      </c>
      <c r="K3000" t="s">
        <v>16700</v>
      </c>
      <c r="L3000">
        <f>HYPERLINK("https://www2.assemblee-nationale.fr/sycomore/fiche/(num_dept)/6068", "6068")</f>
        <v>0</v>
      </c>
      <c r="N3000">
        <f>HYPERLINK("https://www.wikidata.org/wiki/Q3263043", "Q3263043")</f>
        <v>0</v>
      </c>
      <c r="O3000" t="s">
        <v>19969</v>
      </c>
      <c r="P3000" t="s">
        <v>20412</v>
      </c>
      <c r="Q3000" t="s">
        <v>20588</v>
      </c>
      <c r="R3000" t="s">
        <v>413</v>
      </c>
      <c r="S3000">
        <v>1493</v>
      </c>
    </row>
    <row r="3001" spans="1:19">
      <c r="A3001" t="s">
        <v>23</v>
      </c>
      <c r="B3001" t="s">
        <v>148</v>
      </c>
      <c r="C3001" t="s">
        <v>155</v>
      </c>
      <c r="D3001" t="s">
        <v>284</v>
      </c>
      <c r="E3001" t="s">
        <v>413</v>
      </c>
      <c r="F3001">
        <f>HYPERLINK("https://www.wikidata.org/wiki/Q33728280", "Q33728280")</f>
        <v>0</v>
      </c>
      <c r="G3001" t="s">
        <v>2145</v>
      </c>
      <c r="H3001" t="s">
        <v>6760</v>
      </c>
      <c r="I3001" t="s">
        <v>9407</v>
      </c>
      <c r="J3001" t="s">
        <v>12809</v>
      </c>
      <c r="K3001" t="s">
        <v>17224</v>
      </c>
      <c r="L3001">
        <f>HYPERLINK("https://www2.assemblee-nationale.fr/sycomore/fiche/(num_dept)/6093", "6093")</f>
        <v>0</v>
      </c>
      <c r="N3001">
        <f>HYPERLINK("https://www.wikidata.org/wiki/Q1400234", "Q1400234")</f>
        <v>0</v>
      </c>
      <c r="O3001" t="s">
        <v>20049</v>
      </c>
      <c r="Q3001" t="s">
        <v>20588</v>
      </c>
      <c r="R3001" t="s">
        <v>16414</v>
      </c>
      <c r="S3001">
        <v>193</v>
      </c>
    </row>
    <row r="3002" spans="1:19">
      <c r="A3002" t="s">
        <v>23</v>
      </c>
      <c r="B3002" t="s">
        <v>148</v>
      </c>
      <c r="C3002" t="s">
        <v>155</v>
      </c>
      <c r="D3002" t="s">
        <v>284</v>
      </c>
      <c r="E3002" t="s">
        <v>413</v>
      </c>
      <c r="F3002">
        <f>HYPERLINK("https://www.wikidata.org/wiki/Q33728280", "Q33728280")</f>
        <v>0</v>
      </c>
      <c r="G3002" t="s">
        <v>1585</v>
      </c>
      <c r="H3002" t="s">
        <v>6275</v>
      </c>
      <c r="I3002" t="s">
        <v>9423</v>
      </c>
      <c r="J3002" t="s">
        <v>12296</v>
      </c>
      <c r="K3002" t="s">
        <v>16704</v>
      </c>
      <c r="L3002">
        <f>HYPERLINK("https://www2.assemblee-nationale.fr/sycomore/fiche/(num_dept)/6104", "6104")</f>
        <v>0</v>
      </c>
      <c r="M3002">
        <f>HYPERLINK("https://www.senat.fr/senateur-3eme-republique/des_rotours_guillaume1419r3.html", "des_rotours_guillaume1419r3")</f>
        <v>0</v>
      </c>
      <c r="N3002">
        <f>HYPERLINK("https://www.wikidata.org/wiki/Q3120480", "Q3120480")</f>
        <v>0</v>
      </c>
      <c r="O3002" t="s">
        <v>20013</v>
      </c>
      <c r="P3002" t="s">
        <v>20422</v>
      </c>
      <c r="Q3002" t="s">
        <v>20588</v>
      </c>
      <c r="R3002" t="s">
        <v>413</v>
      </c>
      <c r="S3002">
        <v>1493</v>
      </c>
    </row>
    <row r="3003" spans="1:19">
      <c r="A3003" t="s">
        <v>23</v>
      </c>
      <c r="B3003" t="s">
        <v>148</v>
      </c>
      <c r="C3003" t="s">
        <v>155</v>
      </c>
      <c r="D3003" t="s">
        <v>284</v>
      </c>
      <c r="E3003" t="s">
        <v>413</v>
      </c>
      <c r="F3003">
        <f>HYPERLINK("https://www.wikidata.org/wiki/Q33728280", "Q33728280")</f>
        <v>0</v>
      </c>
      <c r="G3003" t="s">
        <v>772</v>
      </c>
      <c r="H3003" t="s">
        <v>5530</v>
      </c>
      <c r="I3003" t="s">
        <v>5445</v>
      </c>
      <c r="J3003" t="s">
        <v>11519</v>
      </c>
      <c r="K3003" t="s">
        <v>15923</v>
      </c>
      <c r="L3003">
        <f>HYPERLINK("https://www2.assemblee-nationale.fr/sycomore/fiche/(num_dept)/6116", "6116")</f>
        <v>0</v>
      </c>
      <c r="N3003">
        <f>HYPERLINK("https://www.wikidata.org/wiki/Q29767", "Q29767")</f>
        <v>0</v>
      </c>
      <c r="O3003" t="s">
        <v>20014</v>
      </c>
      <c r="P3003" t="s">
        <v>20404</v>
      </c>
      <c r="Q3003" t="s">
        <v>20588</v>
      </c>
      <c r="R3003" t="s">
        <v>413</v>
      </c>
      <c r="S3003">
        <v>1493</v>
      </c>
    </row>
    <row r="3004" spans="1:19">
      <c r="A3004" t="s">
        <v>23</v>
      </c>
      <c r="B3004" t="s">
        <v>148</v>
      </c>
      <c r="C3004" t="s">
        <v>155</v>
      </c>
      <c r="D3004" t="s">
        <v>284</v>
      </c>
      <c r="E3004" t="s">
        <v>413</v>
      </c>
      <c r="F3004">
        <f>HYPERLINK("https://www.wikidata.org/wiki/Q33728280", "Q33728280")</f>
        <v>0</v>
      </c>
      <c r="G3004" t="s">
        <v>2146</v>
      </c>
      <c r="H3004" t="s">
        <v>6761</v>
      </c>
      <c r="I3004" t="s">
        <v>10096</v>
      </c>
      <c r="J3004" t="s">
        <v>12810</v>
      </c>
      <c r="K3004" t="s">
        <v>17225</v>
      </c>
      <c r="L3004">
        <f>HYPERLINK("https://www2.assemblee-nationale.fr/sycomore/fiche/(num_dept)/6127", "6127")</f>
        <v>0</v>
      </c>
      <c r="N3004">
        <f>HYPERLINK("https://www.wikidata.org/wiki/Q3060155", "Q3060155")</f>
        <v>0</v>
      </c>
      <c r="O3004" t="s">
        <v>20047</v>
      </c>
      <c r="P3004" t="s">
        <v>20428</v>
      </c>
      <c r="Q3004" t="s">
        <v>20588</v>
      </c>
      <c r="R3004" t="s">
        <v>413</v>
      </c>
      <c r="S3004">
        <v>1493</v>
      </c>
    </row>
    <row r="3005" spans="1:19">
      <c r="A3005" t="s">
        <v>23</v>
      </c>
      <c r="B3005" t="s">
        <v>148</v>
      </c>
      <c r="C3005" t="s">
        <v>155</v>
      </c>
      <c r="D3005" t="s">
        <v>284</v>
      </c>
      <c r="E3005" t="s">
        <v>413</v>
      </c>
      <c r="F3005">
        <f>HYPERLINK("https://www.wikidata.org/wiki/Q33728280", "Q33728280")</f>
        <v>0</v>
      </c>
      <c r="G3005" t="s">
        <v>2147</v>
      </c>
      <c r="H3005" t="s">
        <v>6762</v>
      </c>
      <c r="I3005" t="s">
        <v>10097</v>
      </c>
      <c r="J3005" t="s">
        <v>12811</v>
      </c>
      <c r="K3005" t="s">
        <v>17226</v>
      </c>
      <c r="L3005">
        <f>HYPERLINK("https://www2.assemblee-nationale.fr/sycomore/fiche/(num_dept)/6131", "6131")</f>
        <v>0</v>
      </c>
      <c r="N3005">
        <f>HYPERLINK("https://www.wikidata.org/wiki/Q3263052", "Q3263052")</f>
        <v>0</v>
      </c>
      <c r="O3005" t="s">
        <v>19969</v>
      </c>
      <c r="P3005" t="s">
        <v>20431</v>
      </c>
      <c r="Q3005" t="s">
        <v>20588</v>
      </c>
      <c r="R3005" t="s">
        <v>413</v>
      </c>
      <c r="S3005">
        <v>1493</v>
      </c>
    </row>
    <row r="3006" spans="1:19">
      <c r="A3006" t="s">
        <v>23</v>
      </c>
      <c r="B3006" t="s">
        <v>148</v>
      </c>
      <c r="C3006" t="s">
        <v>155</v>
      </c>
      <c r="D3006" t="s">
        <v>284</v>
      </c>
      <c r="E3006" t="s">
        <v>413</v>
      </c>
      <c r="F3006">
        <f>HYPERLINK("https://www.wikidata.org/wiki/Q33728280", "Q33728280")</f>
        <v>0</v>
      </c>
      <c r="G3006" t="s">
        <v>1879</v>
      </c>
      <c r="H3006" t="s">
        <v>6277</v>
      </c>
      <c r="I3006" t="s">
        <v>9979</v>
      </c>
      <c r="J3006" t="s">
        <v>12566</v>
      </c>
      <c r="K3006" t="s">
        <v>16979</v>
      </c>
      <c r="L3006">
        <f>HYPERLINK("https://www2.assemblee-nationale.fr/sycomore/fiche/(num_dept)/6162", "6162")</f>
        <v>0</v>
      </c>
      <c r="N3006">
        <f>HYPERLINK("https://www.wikidata.org/wiki/Q24845886", "Q24845886")</f>
        <v>0</v>
      </c>
      <c r="O3006" t="s">
        <v>19990</v>
      </c>
      <c r="P3006" t="s">
        <v>20404</v>
      </c>
      <c r="Q3006" t="s">
        <v>20588</v>
      </c>
      <c r="R3006" t="s">
        <v>413</v>
      </c>
      <c r="S3006">
        <v>1493</v>
      </c>
    </row>
    <row r="3007" spans="1:19">
      <c r="A3007" t="s">
        <v>23</v>
      </c>
      <c r="B3007" t="s">
        <v>148</v>
      </c>
      <c r="C3007" t="s">
        <v>155</v>
      </c>
      <c r="D3007" t="s">
        <v>284</v>
      </c>
      <c r="E3007" t="s">
        <v>413</v>
      </c>
      <c r="F3007">
        <f>HYPERLINK("https://www.wikidata.org/wiki/Q33728280", "Q33728280")</f>
        <v>0</v>
      </c>
      <c r="G3007" t="s">
        <v>2148</v>
      </c>
      <c r="H3007" t="s">
        <v>5781</v>
      </c>
      <c r="I3007" t="s">
        <v>10098</v>
      </c>
      <c r="J3007" t="s">
        <v>12812</v>
      </c>
      <c r="K3007" t="s">
        <v>17227</v>
      </c>
      <c r="L3007">
        <f>HYPERLINK("https://www2.assemblee-nationale.fr/sycomore/fiche/(num_dept)/6170", "6170")</f>
        <v>0</v>
      </c>
      <c r="M3007">
        <f>HYPERLINK("https://www.senat.fr/senateur-3eme-republique/roy_eugene1007r3.html", "roy_eugene1007r3")</f>
        <v>0</v>
      </c>
      <c r="N3007">
        <f>HYPERLINK("https://www.wikidata.org/wiki/Q3060160", "Q3060160")</f>
        <v>0</v>
      </c>
      <c r="O3007" t="s">
        <v>20005</v>
      </c>
      <c r="P3007" t="s">
        <v>20428</v>
      </c>
      <c r="Q3007" t="s">
        <v>20588</v>
      </c>
      <c r="R3007" t="s">
        <v>413</v>
      </c>
      <c r="S3007">
        <v>1493</v>
      </c>
    </row>
    <row r="3008" spans="1:19">
      <c r="A3008" t="s">
        <v>23</v>
      </c>
      <c r="B3008" t="s">
        <v>148</v>
      </c>
      <c r="C3008" t="s">
        <v>155</v>
      </c>
      <c r="D3008" t="s">
        <v>284</v>
      </c>
      <c r="E3008" t="s">
        <v>413</v>
      </c>
      <c r="F3008">
        <f>HYPERLINK("https://www.wikidata.org/wiki/Q33728280", "Q33728280")</f>
        <v>0</v>
      </c>
      <c r="G3008" t="s">
        <v>2149</v>
      </c>
      <c r="H3008" t="s">
        <v>6763</v>
      </c>
      <c r="I3008" t="s">
        <v>9499</v>
      </c>
      <c r="J3008" t="s">
        <v>12813</v>
      </c>
      <c r="K3008" t="s">
        <v>17228</v>
      </c>
      <c r="L3008">
        <f>HYPERLINK("https://www2.assemblee-nationale.fr/sycomore/fiche/(num_dept)/6184", "6184")</f>
        <v>0</v>
      </c>
      <c r="N3008">
        <f>HYPERLINK("https://www.wikidata.org/wiki/Q950845", "Q950845")</f>
        <v>0</v>
      </c>
      <c r="O3008" t="s">
        <v>20017</v>
      </c>
      <c r="P3008" t="s">
        <v>20428</v>
      </c>
      <c r="Q3008" t="s">
        <v>20588</v>
      </c>
      <c r="R3008" t="s">
        <v>413</v>
      </c>
      <c r="S3008">
        <v>1493</v>
      </c>
    </row>
    <row r="3009" spans="1:19">
      <c r="A3009" t="s">
        <v>23</v>
      </c>
      <c r="B3009" t="s">
        <v>148</v>
      </c>
      <c r="C3009" t="s">
        <v>155</v>
      </c>
      <c r="D3009" t="s">
        <v>284</v>
      </c>
      <c r="E3009" t="s">
        <v>413</v>
      </c>
      <c r="F3009">
        <f>HYPERLINK("https://www.wikidata.org/wiki/Q33728280", "Q33728280")</f>
        <v>0</v>
      </c>
      <c r="G3009" t="s">
        <v>2150</v>
      </c>
      <c r="H3009" t="s">
        <v>6764</v>
      </c>
      <c r="I3009" t="s">
        <v>10099</v>
      </c>
      <c r="J3009" t="s">
        <v>12814</v>
      </c>
      <c r="K3009" t="s">
        <v>17229</v>
      </c>
      <c r="L3009">
        <f>HYPERLINK("https://www2.assemblee-nationale.fr/sycomore/fiche/(num_dept)/6185", "6185")</f>
        <v>0</v>
      </c>
      <c r="N3009">
        <f>HYPERLINK("https://www.wikidata.org/wiki/Q3426863", "Q3426863")</f>
        <v>0</v>
      </c>
      <c r="O3009" t="s">
        <v>19973</v>
      </c>
      <c r="P3009" t="s">
        <v>20404</v>
      </c>
      <c r="Q3009" t="s">
        <v>20588</v>
      </c>
      <c r="R3009" t="s">
        <v>413</v>
      </c>
      <c r="S3009">
        <v>1493</v>
      </c>
    </row>
    <row r="3010" spans="1:19">
      <c r="A3010" t="s">
        <v>23</v>
      </c>
      <c r="B3010" t="s">
        <v>148</v>
      </c>
      <c r="C3010" t="s">
        <v>155</v>
      </c>
      <c r="D3010" t="s">
        <v>284</v>
      </c>
      <c r="E3010" t="s">
        <v>413</v>
      </c>
      <c r="F3010">
        <f>HYPERLINK("https://www.wikidata.org/wiki/Q33728280", "Q33728280")</f>
        <v>0</v>
      </c>
      <c r="G3010" t="s">
        <v>2151</v>
      </c>
      <c r="H3010" t="s">
        <v>6765</v>
      </c>
      <c r="I3010" t="s">
        <v>9552</v>
      </c>
      <c r="J3010" t="s">
        <v>12815</v>
      </c>
      <c r="K3010" t="s">
        <v>17230</v>
      </c>
      <c r="L3010">
        <f>HYPERLINK("https://www2.assemblee-nationale.fr/sycomore/fiche/(num_dept)/6197", "6197")</f>
        <v>0</v>
      </c>
      <c r="N3010">
        <f>HYPERLINK("https://www.wikidata.org/wiki/Q16026461", "Q16026461")</f>
        <v>0</v>
      </c>
      <c r="O3010" t="s">
        <v>19969</v>
      </c>
      <c r="P3010" t="s">
        <v>20422</v>
      </c>
      <c r="Q3010" t="s">
        <v>20588</v>
      </c>
      <c r="R3010" t="s">
        <v>413</v>
      </c>
      <c r="S3010">
        <v>1493</v>
      </c>
    </row>
    <row r="3011" spans="1:19">
      <c r="A3011" t="s">
        <v>23</v>
      </c>
      <c r="B3011" t="s">
        <v>148</v>
      </c>
      <c r="C3011" t="s">
        <v>155</v>
      </c>
      <c r="D3011" t="s">
        <v>284</v>
      </c>
      <c r="E3011" t="s">
        <v>413</v>
      </c>
      <c r="F3011">
        <f>HYPERLINK("https://www.wikidata.org/wiki/Q33728280", "Q33728280")</f>
        <v>0</v>
      </c>
      <c r="G3011" t="s">
        <v>2152</v>
      </c>
      <c r="H3011" t="s">
        <v>6766</v>
      </c>
      <c r="I3011" t="s">
        <v>10100</v>
      </c>
      <c r="J3011" t="s">
        <v>12816</v>
      </c>
      <c r="K3011" t="s">
        <v>17231</v>
      </c>
      <c r="L3011">
        <f>HYPERLINK("https://www2.assemblee-nationale.fr/sycomore/fiche/(num_dept)/6200", "6200")</f>
        <v>0</v>
      </c>
      <c r="N3011">
        <f>HYPERLINK("https://www.wikidata.org/wiki/Q1233694", "Q1233694")</f>
        <v>0</v>
      </c>
      <c r="O3011" t="s">
        <v>19990</v>
      </c>
      <c r="P3011" t="s">
        <v>20407</v>
      </c>
      <c r="Q3011" t="s">
        <v>20588</v>
      </c>
      <c r="R3011" t="s">
        <v>413</v>
      </c>
      <c r="S3011">
        <v>1493</v>
      </c>
    </row>
    <row r="3012" spans="1:19">
      <c r="A3012" t="s">
        <v>23</v>
      </c>
      <c r="B3012" t="s">
        <v>148</v>
      </c>
      <c r="C3012" t="s">
        <v>155</v>
      </c>
      <c r="D3012" t="s">
        <v>284</v>
      </c>
      <c r="E3012" t="s">
        <v>413</v>
      </c>
      <c r="F3012">
        <f>HYPERLINK("https://www.wikidata.org/wiki/Q33728280", "Q33728280")</f>
        <v>0</v>
      </c>
      <c r="G3012" t="s">
        <v>2153</v>
      </c>
      <c r="H3012" t="s">
        <v>6767</v>
      </c>
      <c r="I3012" t="s">
        <v>7308</v>
      </c>
      <c r="J3012" t="s">
        <v>12817</v>
      </c>
      <c r="K3012" t="s">
        <v>17232</v>
      </c>
      <c r="L3012">
        <f>HYPERLINK("https://www2.assemblee-nationale.fr/sycomore/fiche/(num_dept)/6245", "6245")</f>
        <v>0</v>
      </c>
      <c r="N3012">
        <f>HYPERLINK("https://www.wikidata.org/wiki/Q1400172", "Q1400172")</f>
        <v>0</v>
      </c>
      <c r="O3012" t="s">
        <v>20013</v>
      </c>
      <c r="P3012" t="s">
        <v>20404</v>
      </c>
      <c r="Q3012" t="s">
        <v>20588</v>
      </c>
      <c r="R3012" t="s">
        <v>413</v>
      </c>
      <c r="S3012">
        <v>1493</v>
      </c>
    </row>
    <row r="3013" spans="1:19">
      <c r="A3013" t="s">
        <v>23</v>
      </c>
      <c r="B3013" t="s">
        <v>148</v>
      </c>
      <c r="C3013" t="s">
        <v>155</v>
      </c>
      <c r="D3013" t="s">
        <v>284</v>
      </c>
      <c r="E3013" t="s">
        <v>413</v>
      </c>
      <c r="F3013">
        <f>HYPERLINK("https://www.wikidata.org/wiki/Q33728280", "Q33728280")</f>
        <v>0</v>
      </c>
      <c r="G3013" t="s">
        <v>2154</v>
      </c>
      <c r="H3013" t="s">
        <v>6768</v>
      </c>
      <c r="I3013" t="s">
        <v>9401</v>
      </c>
      <c r="J3013" t="s">
        <v>12818</v>
      </c>
      <c r="K3013" t="s">
        <v>17233</v>
      </c>
      <c r="L3013">
        <f>HYPERLINK("https://www2.assemblee-nationale.fr/sycomore/fiche/(num_dept)/6253", "6253")</f>
        <v>0</v>
      </c>
      <c r="N3013">
        <f>HYPERLINK("https://www.wikidata.org/wiki/Q2856706", "Q2856706")</f>
        <v>0</v>
      </c>
      <c r="O3013" t="s">
        <v>19965</v>
      </c>
      <c r="P3013" t="s">
        <v>20422</v>
      </c>
      <c r="Q3013" t="s">
        <v>20588</v>
      </c>
      <c r="R3013" t="s">
        <v>413</v>
      </c>
      <c r="S3013">
        <v>1493</v>
      </c>
    </row>
    <row r="3014" spans="1:19">
      <c r="A3014" t="s">
        <v>23</v>
      </c>
      <c r="B3014" t="s">
        <v>148</v>
      </c>
      <c r="C3014" t="s">
        <v>155</v>
      </c>
      <c r="D3014" t="s">
        <v>284</v>
      </c>
      <c r="E3014" t="s">
        <v>413</v>
      </c>
      <c r="F3014">
        <f>HYPERLINK("https://www.wikidata.org/wiki/Q33728280", "Q33728280")</f>
        <v>0</v>
      </c>
      <c r="G3014" t="s">
        <v>1881</v>
      </c>
      <c r="H3014" t="s">
        <v>6534</v>
      </c>
      <c r="I3014" t="s">
        <v>9458</v>
      </c>
      <c r="J3014" t="s">
        <v>12568</v>
      </c>
      <c r="K3014" t="s">
        <v>16981</v>
      </c>
      <c r="L3014">
        <f>HYPERLINK("https://www2.assemblee-nationale.fr/sycomore/fiche/(num_dept)/6259", "6259")</f>
        <v>0</v>
      </c>
      <c r="M3014">
        <f>HYPERLINK("https://www.senat.fr/senateur-3eme-republique/salmon_alfred0977r3.html", "salmon_alfred0977r3")</f>
        <v>0</v>
      </c>
      <c r="N3014">
        <f>HYPERLINK("https://www.wikidata.org/wiki/Q2835437", "Q2835437")</f>
        <v>0</v>
      </c>
      <c r="O3014" t="s">
        <v>19968</v>
      </c>
      <c r="P3014" t="s">
        <v>20412</v>
      </c>
      <c r="Q3014" t="s">
        <v>20588</v>
      </c>
      <c r="R3014" t="s">
        <v>413</v>
      </c>
      <c r="S3014">
        <v>1493</v>
      </c>
    </row>
    <row r="3015" spans="1:19">
      <c r="A3015" t="s">
        <v>23</v>
      </c>
      <c r="B3015" t="s">
        <v>148</v>
      </c>
      <c r="C3015" t="s">
        <v>155</v>
      </c>
      <c r="D3015" t="s">
        <v>284</v>
      </c>
      <c r="E3015" t="s">
        <v>413</v>
      </c>
      <c r="F3015">
        <f>HYPERLINK("https://www.wikidata.org/wiki/Q33728280", "Q33728280")</f>
        <v>0</v>
      </c>
      <c r="G3015" t="s">
        <v>2155</v>
      </c>
      <c r="H3015" t="s">
        <v>6769</v>
      </c>
      <c r="I3015" t="s">
        <v>6175</v>
      </c>
      <c r="J3015" t="s">
        <v>12819</v>
      </c>
      <c r="K3015" t="s">
        <v>17234</v>
      </c>
      <c r="L3015">
        <f>HYPERLINK("https://www2.assemblee-nationale.fr/sycomore/fiche/(num_dept)/6328", "6328")</f>
        <v>0</v>
      </c>
      <c r="N3015">
        <f>HYPERLINK("https://www.wikidata.org/wiki/Q3103471", "Q3103471")</f>
        <v>0</v>
      </c>
      <c r="O3015" t="s">
        <v>19969</v>
      </c>
      <c r="P3015" t="s">
        <v>20429</v>
      </c>
      <c r="Q3015" t="s">
        <v>20588</v>
      </c>
      <c r="R3015" t="s">
        <v>413</v>
      </c>
      <c r="S3015">
        <v>1493</v>
      </c>
    </row>
    <row r="3016" spans="1:19">
      <c r="A3016" t="s">
        <v>23</v>
      </c>
      <c r="B3016" t="s">
        <v>148</v>
      </c>
      <c r="C3016" t="s">
        <v>155</v>
      </c>
      <c r="D3016" t="s">
        <v>284</v>
      </c>
      <c r="E3016" t="s">
        <v>413</v>
      </c>
      <c r="F3016">
        <f>HYPERLINK("https://www.wikidata.org/wiki/Q33728280", "Q33728280")</f>
        <v>0</v>
      </c>
      <c r="G3016" t="s">
        <v>1687</v>
      </c>
      <c r="H3016" t="s">
        <v>5785</v>
      </c>
      <c r="I3016" t="s">
        <v>9887</v>
      </c>
      <c r="J3016" t="s">
        <v>12391</v>
      </c>
      <c r="K3016" t="s">
        <v>16800</v>
      </c>
      <c r="L3016">
        <f>HYPERLINK("https://www2.assemblee-nationale.fr/sycomore/fiche/(num_dept)/6343", "6343")</f>
        <v>0</v>
      </c>
      <c r="N3016">
        <f>HYPERLINK("https://www.wikidata.org/wiki/Q3161589", "Q3161589")</f>
        <v>0</v>
      </c>
      <c r="O3016" t="s">
        <v>19989</v>
      </c>
      <c r="P3016" t="s">
        <v>20428</v>
      </c>
      <c r="Q3016" t="s">
        <v>20588</v>
      </c>
      <c r="R3016" t="s">
        <v>413</v>
      </c>
      <c r="S3016">
        <v>1493</v>
      </c>
    </row>
    <row r="3017" spans="1:19">
      <c r="A3017" t="s">
        <v>23</v>
      </c>
      <c r="B3017" t="s">
        <v>148</v>
      </c>
      <c r="C3017" t="s">
        <v>155</v>
      </c>
      <c r="D3017" t="s">
        <v>284</v>
      </c>
      <c r="E3017" t="s">
        <v>413</v>
      </c>
      <c r="F3017">
        <f>HYPERLINK("https://www.wikidata.org/wiki/Q33728280", "Q33728280")</f>
        <v>0</v>
      </c>
      <c r="G3017" t="s">
        <v>1594</v>
      </c>
      <c r="H3017" t="s">
        <v>6284</v>
      </c>
      <c r="I3017" t="s">
        <v>6759</v>
      </c>
      <c r="J3017" t="s">
        <v>12302</v>
      </c>
      <c r="K3017" t="s">
        <v>16712</v>
      </c>
      <c r="L3017">
        <f>HYPERLINK("https://www2.assemblee-nationale.fr/sycomore/fiche/(num_dept)/6358", "6358")</f>
        <v>0</v>
      </c>
      <c r="N3017">
        <f>HYPERLINK("https://www.wikidata.org/wiki/Q15981", "Q15981")</f>
        <v>0</v>
      </c>
      <c r="O3017" t="s">
        <v>20050</v>
      </c>
      <c r="P3017" t="s">
        <v>20407</v>
      </c>
      <c r="Q3017" t="s">
        <v>20588</v>
      </c>
      <c r="R3017" t="s">
        <v>413</v>
      </c>
      <c r="S3017">
        <v>1493</v>
      </c>
    </row>
    <row r="3018" spans="1:19">
      <c r="A3018" t="s">
        <v>23</v>
      </c>
      <c r="B3018" t="s">
        <v>148</v>
      </c>
      <c r="C3018" t="s">
        <v>155</v>
      </c>
      <c r="D3018" t="s">
        <v>284</v>
      </c>
      <c r="E3018" t="s">
        <v>413</v>
      </c>
      <c r="F3018">
        <f>HYPERLINK("https://www.wikidata.org/wiki/Q33728280", "Q33728280")</f>
        <v>0</v>
      </c>
      <c r="G3018" t="s">
        <v>1885</v>
      </c>
      <c r="H3018" t="s">
        <v>6538</v>
      </c>
      <c r="I3018" t="s">
        <v>6584</v>
      </c>
      <c r="J3018" t="s">
        <v>12572</v>
      </c>
      <c r="K3018" t="s">
        <v>16984</v>
      </c>
      <c r="L3018">
        <f>HYPERLINK("https://www2.assemblee-nationale.fr/sycomore/fiche/(num_dept)/6395", "6395")</f>
        <v>0</v>
      </c>
      <c r="N3018">
        <f>HYPERLINK("https://www.wikidata.org/wiki/Q8334416", "Q8334416")</f>
        <v>0</v>
      </c>
      <c r="O3018" t="s">
        <v>19997</v>
      </c>
      <c r="P3018" t="s">
        <v>20404</v>
      </c>
      <c r="Q3018" t="s">
        <v>20588</v>
      </c>
      <c r="R3018" t="s">
        <v>413</v>
      </c>
      <c r="S3018">
        <v>1493</v>
      </c>
    </row>
    <row r="3019" spans="1:19">
      <c r="A3019" t="s">
        <v>23</v>
      </c>
      <c r="B3019" t="s">
        <v>148</v>
      </c>
      <c r="C3019" t="s">
        <v>155</v>
      </c>
      <c r="D3019" t="s">
        <v>284</v>
      </c>
      <c r="E3019" t="s">
        <v>413</v>
      </c>
      <c r="F3019">
        <f>HYPERLINK("https://www.wikidata.org/wiki/Q33728280", "Q33728280")</f>
        <v>0</v>
      </c>
      <c r="G3019" t="s">
        <v>1600</v>
      </c>
      <c r="H3019" t="s">
        <v>6289</v>
      </c>
      <c r="I3019" t="s">
        <v>9470</v>
      </c>
      <c r="J3019" t="s">
        <v>12308</v>
      </c>
      <c r="K3019" t="s">
        <v>16212</v>
      </c>
      <c r="L3019">
        <f>HYPERLINK("https://www2.assemblee-nationale.fr/sycomore/fiche/(num_dept)/6403", "6403")</f>
        <v>0</v>
      </c>
      <c r="N3019">
        <f>HYPERLINK("https://www.wikidata.org/wiki/Q3099119", "Q3099119")</f>
        <v>0</v>
      </c>
      <c r="O3019" t="s">
        <v>20025</v>
      </c>
      <c r="P3019" t="s">
        <v>20428</v>
      </c>
      <c r="Q3019" t="s">
        <v>20588</v>
      </c>
      <c r="R3019" t="s">
        <v>413</v>
      </c>
      <c r="S3019">
        <v>1493</v>
      </c>
    </row>
    <row r="3020" spans="1:19">
      <c r="A3020" t="s">
        <v>23</v>
      </c>
      <c r="B3020" t="s">
        <v>148</v>
      </c>
      <c r="C3020" t="s">
        <v>155</v>
      </c>
      <c r="D3020" t="s">
        <v>284</v>
      </c>
      <c r="E3020" t="s">
        <v>413</v>
      </c>
      <c r="F3020">
        <f>HYPERLINK("https://www.wikidata.org/wiki/Q33728280", "Q33728280")</f>
        <v>0</v>
      </c>
      <c r="G3020" t="s">
        <v>2156</v>
      </c>
      <c r="H3020" t="s">
        <v>6770</v>
      </c>
      <c r="I3020" t="s">
        <v>9385</v>
      </c>
      <c r="J3020" t="s">
        <v>12820</v>
      </c>
      <c r="K3020" t="s">
        <v>17235</v>
      </c>
      <c r="L3020">
        <f>HYPERLINK("https://www2.assemblee-nationale.fr/sycomore/fiche/(num_dept)/6406", "6406")</f>
        <v>0</v>
      </c>
      <c r="N3020">
        <f>HYPERLINK("https://www.wikidata.org/wiki/Q2960033", "Q2960033")</f>
        <v>0</v>
      </c>
      <c r="O3020" t="s">
        <v>20004</v>
      </c>
      <c r="P3020" t="s">
        <v>20433</v>
      </c>
      <c r="Q3020" t="s">
        <v>20588</v>
      </c>
      <c r="R3020" t="s">
        <v>413</v>
      </c>
      <c r="S3020">
        <v>1493</v>
      </c>
    </row>
    <row r="3021" spans="1:19">
      <c r="A3021" t="s">
        <v>23</v>
      </c>
      <c r="B3021" t="s">
        <v>148</v>
      </c>
      <c r="C3021" t="s">
        <v>155</v>
      </c>
      <c r="D3021" t="s">
        <v>284</v>
      </c>
      <c r="E3021" t="s">
        <v>413</v>
      </c>
      <c r="F3021">
        <f>HYPERLINK("https://www.wikidata.org/wiki/Q33728280", "Q33728280")</f>
        <v>0</v>
      </c>
      <c r="G3021" t="s">
        <v>1300</v>
      </c>
      <c r="H3021" t="s">
        <v>6021</v>
      </c>
      <c r="I3021" t="s">
        <v>9739</v>
      </c>
      <c r="J3021" t="s">
        <v>12030</v>
      </c>
      <c r="K3021" t="s">
        <v>16431</v>
      </c>
      <c r="L3021">
        <f>HYPERLINK("https://www2.assemblee-nationale.fr/sycomore/fiche/(num_dept)/6414", "6414")</f>
        <v>0</v>
      </c>
      <c r="N3021">
        <f>HYPERLINK("https://www.wikidata.org/wiki/Q3372024", "Q3372024")</f>
        <v>0</v>
      </c>
      <c r="O3021" t="s">
        <v>19969</v>
      </c>
      <c r="P3021" t="s">
        <v>20407</v>
      </c>
      <c r="Q3021" t="s">
        <v>20588</v>
      </c>
      <c r="R3021" t="s">
        <v>413</v>
      </c>
      <c r="S3021">
        <v>1493</v>
      </c>
    </row>
    <row r="3022" spans="1:19">
      <c r="A3022" t="s">
        <v>23</v>
      </c>
      <c r="B3022" t="s">
        <v>148</v>
      </c>
      <c r="C3022" t="s">
        <v>155</v>
      </c>
      <c r="D3022" t="s">
        <v>284</v>
      </c>
      <c r="E3022" t="s">
        <v>413</v>
      </c>
      <c r="F3022">
        <f>HYPERLINK("https://www.wikidata.org/wiki/Q33728280", "Q33728280")</f>
        <v>0</v>
      </c>
      <c r="G3022" t="s">
        <v>2157</v>
      </c>
      <c r="H3022" t="s">
        <v>6771</v>
      </c>
      <c r="I3022" t="s">
        <v>9476</v>
      </c>
      <c r="J3022" t="s">
        <v>12821</v>
      </c>
      <c r="K3022" t="s">
        <v>17236</v>
      </c>
      <c r="L3022">
        <f>HYPERLINK("https://www2.assemblee-nationale.fr/sycomore/fiche/(num_dept)/6432", "6432")</f>
        <v>0</v>
      </c>
      <c r="N3022">
        <f>HYPERLINK("https://www.wikidata.org/wiki/Q3426768", "Q3426768")</f>
        <v>0</v>
      </c>
      <c r="O3022" t="s">
        <v>20017</v>
      </c>
      <c r="P3022" t="s">
        <v>20401</v>
      </c>
      <c r="Q3022" t="s">
        <v>20588</v>
      </c>
      <c r="R3022" t="s">
        <v>413</v>
      </c>
      <c r="S3022">
        <v>1493</v>
      </c>
    </row>
    <row r="3023" spans="1:19">
      <c r="A3023" t="s">
        <v>23</v>
      </c>
      <c r="B3023" t="s">
        <v>148</v>
      </c>
      <c r="C3023" t="s">
        <v>155</v>
      </c>
      <c r="D3023" t="s">
        <v>284</v>
      </c>
      <c r="E3023" t="s">
        <v>413</v>
      </c>
      <c r="F3023">
        <f>HYPERLINK("https://www.wikidata.org/wiki/Q33728280", "Q33728280")</f>
        <v>0</v>
      </c>
      <c r="G3023" t="s">
        <v>1302</v>
      </c>
      <c r="H3023" t="s">
        <v>6023</v>
      </c>
      <c r="I3023" t="s">
        <v>9375</v>
      </c>
      <c r="J3023" t="s">
        <v>12032</v>
      </c>
      <c r="K3023" t="s">
        <v>16433</v>
      </c>
      <c r="L3023">
        <f>HYPERLINK("https://www2.assemblee-nationale.fr/sycomore/fiche/(num_dept)/6467", "6467")</f>
        <v>0</v>
      </c>
      <c r="N3023">
        <f>HYPERLINK("https://www.wikidata.org/wiki/Q16026362", "Q16026362")</f>
        <v>0</v>
      </c>
      <c r="O3023" t="s">
        <v>20037</v>
      </c>
      <c r="P3023" t="s">
        <v>20406</v>
      </c>
      <c r="Q3023" t="s">
        <v>20588</v>
      </c>
      <c r="R3023" t="s">
        <v>413</v>
      </c>
      <c r="S3023">
        <v>1493</v>
      </c>
    </row>
    <row r="3024" spans="1:19">
      <c r="A3024" t="s">
        <v>23</v>
      </c>
      <c r="B3024" t="s">
        <v>148</v>
      </c>
      <c r="C3024" t="s">
        <v>155</v>
      </c>
      <c r="D3024" t="s">
        <v>284</v>
      </c>
      <c r="E3024" t="s">
        <v>413</v>
      </c>
      <c r="F3024">
        <f>HYPERLINK("https://www.wikidata.org/wiki/Q33728280", "Q33728280")</f>
        <v>0</v>
      </c>
      <c r="G3024" t="s">
        <v>2158</v>
      </c>
      <c r="H3024" t="s">
        <v>6772</v>
      </c>
      <c r="I3024" t="s">
        <v>5445</v>
      </c>
      <c r="J3024" t="s">
        <v>12822</v>
      </c>
      <c r="K3024" t="s">
        <v>17237</v>
      </c>
      <c r="L3024">
        <f>HYPERLINK("https://www2.assemblee-nationale.fr/sycomore/fiche/(num_dept)/6479", "6479")</f>
        <v>0</v>
      </c>
      <c r="N3024">
        <f>HYPERLINK("https://www.wikidata.org/wiki/Q16026365", "Q16026365")</f>
        <v>0</v>
      </c>
      <c r="O3024" t="s">
        <v>19999</v>
      </c>
      <c r="P3024" t="s">
        <v>20406</v>
      </c>
      <c r="Q3024" t="s">
        <v>20588</v>
      </c>
      <c r="R3024" t="s">
        <v>413</v>
      </c>
      <c r="S3024">
        <v>1493</v>
      </c>
    </row>
    <row r="3025" spans="1:19">
      <c r="A3025" t="s">
        <v>23</v>
      </c>
      <c r="B3025" t="s">
        <v>148</v>
      </c>
      <c r="C3025" t="s">
        <v>155</v>
      </c>
      <c r="D3025" t="s">
        <v>284</v>
      </c>
      <c r="E3025" t="s">
        <v>413</v>
      </c>
      <c r="F3025">
        <f>HYPERLINK("https://www.wikidata.org/wiki/Q33728280", "Q33728280")</f>
        <v>0</v>
      </c>
      <c r="G3025" t="s">
        <v>1604</v>
      </c>
      <c r="H3025" t="s">
        <v>6024</v>
      </c>
      <c r="I3025" t="s">
        <v>9854</v>
      </c>
      <c r="J3025" t="s">
        <v>12312</v>
      </c>
      <c r="K3025" t="s">
        <v>16721</v>
      </c>
      <c r="L3025">
        <f>HYPERLINK("https://www2.assemblee-nationale.fr/sycomore/fiche/(num_dept)/6518", "6518")</f>
        <v>0</v>
      </c>
      <c r="N3025">
        <f>HYPERLINK("https://www.wikidata.org/wiki/Q3262960", "Q3262960")</f>
        <v>0</v>
      </c>
      <c r="O3025" t="s">
        <v>20008</v>
      </c>
      <c r="P3025" t="s">
        <v>20433</v>
      </c>
      <c r="Q3025" t="s">
        <v>20588</v>
      </c>
      <c r="R3025" t="s">
        <v>413</v>
      </c>
      <c r="S3025">
        <v>1493</v>
      </c>
    </row>
    <row r="3026" spans="1:19">
      <c r="A3026" t="s">
        <v>23</v>
      </c>
      <c r="B3026" t="s">
        <v>148</v>
      </c>
      <c r="C3026" t="s">
        <v>155</v>
      </c>
      <c r="D3026" t="s">
        <v>284</v>
      </c>
      <c r="E3026" t="s">
        <v>413</v>
      </c>
      <c r="F3026">
        <f>HYPERLINK("https://www.wikidata.org/wiki/Q33728280", "Q33728280")</f>
        <v>0</v>
      </c>
      <c r="G3026" t="s">
        <v>792</v>
      </c>
      <c r="H3026" t="s">
        <v>5549</v>
      </c>
      <c r="I3026" t="s">
        <v>6495</v>
      </c>
      <c r="J3026" t="s">
        <v>11539</v>
      </c>
      <c r="K3026" t="s">
        <v>15943</v>
      </c>
      <c r="L3026">
        <f>HYPERLINK("https://www2.assemblee-nationale.fr/sycomore/fiche/(num_dept)/6531", "6531")</f>
        <v>0</v>
      </c>
      <c r="N3026">
        <f>HYPERLINK("https://www.wikidata.org/wiki/Q3262963", "Q3262963")</f>
        <v>0</v>
      </c>
      <c r="O3026" t="s">
        <v>19969</v>
      </c>
      <c r="P3026" t="s">
        <v>20412</v>
      </c>
      <c r="Q3026" t="s">
        <v>20588</v>
      </c>
      <c r="R3026" t="s">
        <v>413</v>
      </c>
      <c r="S3026">
        <v>1493</v>
      </c>
    </row>
    <row r="3027" spans="1:19">
      <c r="A3027" t="s">
        <v>23</v>
      </c>
      <c r="B3027" t="s">
        <v>148</v>
      </c>
      <c r="C3027" t="s">
        <v>155</v>
      </c>
      <c r="D3027" t="s">
        <v>284</v>
      </c>
      <c r="E3027" t="s">
        <v>413</v>
      </c>
      <c r="F3027">
        <f>HYPERLINK("https://www.wikidata.org/wiki/Q33728280", "Q33728280")</f>
        <v>0</v>
      </c>
      <c r="G3027" t="s">
        <v>2159</v>
      </c>
      <c r="H3027" t="s">
        <v>6773</v>
      </c>
      <c r="I3027" t="s">
        <v>7419</v>
      </c>
      <c r="J3027" t="s">
        <v>12823</v>
      </c>
      <c r="K3027" t="s">
        <v>17238</v>
      </c>
      <c r="L3027">
        <f>HYPERLINK("https://www2.assemblee-nationale.fr/sycomore/fiche/(num_dept)/6545", "6545")</f>
        <v>0</v>
      </c>
      <c r="M3027">
        <f>HYPERLINK("https://www.senat.fr/senateur-3eme-republique/queinnec_jacques0794r3.html", "queinnec_jacques0794r3")</f>
        <v>0</v>
      </c>
      <c r="N3027">
        <f>HYPERLINK("https://www.wikidata.org/wiki/Q3159830", "Q3159830")</f>
        <v>0</v>
      </c>
      <c r="O3027" t="s">
        <v>20011</v>
      </c>
      <c r="P3027" t="s">
        <v>20422</v>
      </c>
      <c r="Q3027" t="s">
        <v>20588</v>
      </c>
      <c r="R3027" t="s">
        <v>413</v>
      </c>
      <c r="S3027">
        <v>1493</v>
      </c>
    </row>
    <row r="3028" spans="1:19">
      <c r="A3028" t="s">
        <v>23</v>
      </c>
      <c r="B3028" t="s">
        <v>148</v>
      </c>
      <c r="C3028" t="s">
        <v>155</v>
      </c>
      <c r="D3028" t="s">
        <v>284</v>
      </c>
      <c r="E3028" t="s">
        <v>413</v>
      </c>
      <c r="F3028">
        <f>HYPERLINK("https://www.wikidata.org/wiki/Q33728280", "Q33728280")</f>
        <v>0</v>
      </c>
      <c r="G3028" t="s">
        <v>1304</v>
      </c>
      <c r="H3028" t="s">
        <v>6025</v>
      </c>
      <c r="I3028" t="s">
        <v>9457</v>
      </c>
      <c r="J3028" t="s">
        <v>12034</v>
      </c>
      <c r="K3028" t="s">
        <v>16435</v>
      </c>
      <c r="L3028">
        <f>HYPERLINK("https://www2.assemblee-nationale.fr/sycomore/fiche/(num_dept)/6554", "6554")</f>
        <v>0</v>
      </c>
      <c r="M3028">
        <f>HYPERLINK("https://www.senat.fr/senateur-3eme-republique/queuille_henri0469r3.html", "queuille_henri0469r3")</f>
        <v>0</v>
      </c>
      <c r="N3028">
        <f>HYPERLINK("https://www.wikidata.org/wiki/Q455655", "Q455655")</f>
        <v>0</v>
      </c>
      <c r="O3028" t="s">
        <v>20020</v>
      </c>
      <c r="P3028" t="s">
        <v>20428</v>
      </c>
      <c r="Q3028" t="s">
        <v>20588</v>
      </c>
      <c r="R3028" t="s">
        <v>413</v>
      </c>
      <c r="S3028">
        <v>1493</v>
      </c>
    </row>
    <row r="3029" spans="1:19">
      <c r="A3029" t="s">
        <v>23</v>
      </c>
      <c r="B3029" t="s">
        <v>148</v>
      </c>
      <c r="C3029" t="s">
        <v>155</v>
      </c>
      <c r="D3029" t="s">
        <v>284</v>
      </c>
      <c r="E3029" t="s">
        <v>413</v>
      </c>
      <c r="F3029">
        <f>HYPERLINK("https://www.wikidata.org/wiki/Q33728280", "Q33728280")</f>
        <v>0</v>
      </c>
      <c r="G3029" t="s">
        <v>2160</v>
      </c>
      <c r="H3029" t="s">
        <v>6774</v>
      </c>
      <c r="I3029" t="s">
        <v>9388</v>
      </c>
      <c r="J3029" t="s">
        <v>12824</v>
      </c>
      <c r="K3029" t="s">
        <v>17239</v>
      </c>
      <c r="L3029">
        <f>HYPERLINK("https://www2.assemblee-nationale.fr/sycomore/fiche/(num_dept)/6588", "6588")</f>
        <v>0</v>
      </c>
      <c r="N3029">
        <f>HYPERLINK("https://www.wikidata.org/wiki/Q328235", "Q328235")</f>
        <v>0</v>
      </c>
      <c r="O3029" t="s">
        <v>19967</v>
      </c>
      <c r="P3029" t="s">
        <v>20404</v>
      </c>
      <c r="Q3029" t="s">
        <v>20588</v>
      </c>
      <c r="R3029" t="s">
        <v>413</v>
      </c>
      <c r="S3029">
        <v>1493</v>
      </c>
    </row>
    <row r="3030" spans="1:19">
      <c r="A3030" t="s">
        <v>23</v>
      </c>
      <c r="B3030" t="s">
        <v>148</v>
      </c>
      <c r="C3030" t="s">
        <v>155</v>
      </c>
      <c r="D3030" t="s">
        <v>284</v>
      </c>
      <c r="E3030" t="s">
        <v>413</v>
      </c>
      <c r="F3030">
        <f>HYPERLINK("https://www.wikidata.org/wiki/Q33728280", "Q33728280")</f>
        <v>0</v>
      </c>
      <c r="G3030" t="s">
        <v>1306</v>
      </c>
      <c r="H3030" t="s">
        <v>6027</v>
      </c>
      <c r="I3030" t="s">
        <v>6860</v>
      </c>
      <c r="J3030" t="s">
        <v>12036</v>
      </c>
      <c r="K3030" t="s">
        <v>16437</v>
      </c>
      <c r="L3030">
        <f>HYPERLINK("https://www2.assemblee-nationale.fr/sycomore/fiche/(num_dept)/6591", "6591")</f>
        <v>0</v>
      </c>
      <c r="M3030">
        <f>HYPERLINK("https://www.senat.fr/senateur-3eme-republique/rameil_pierre1090r3.html", "rameil_pierre1090r3")</f>
        <v>0</v>
      </c>
      <c r="N3030">
        <f>HYPERLINK("https://www.wikidata.org/wiki/Q3386748", "Q3386748")</f>
        <v>0</v>
      </c>
      <c r="O3030" t="s">
        <v>20001</v>
      </c>
      <c r="P3030" t="s">
        <v>20428</v>
      </c>
      <c r="Q3030" t="s">
        <v>20588</v>
      </c>
      <c r="R3030" t="s">
        <v>21432</v>
      </c>
      <c r="S3030">
        <v>935</v>
      </c>
    </row>
    <row r="3031" spans="1:19">
      <c r="A3031" t="s">
        <v>23</v>
      </c>
      <c r="B3031" t="s">
        <v>148</v>
      </c>
      <c r="C3031" t="s">
        <v>155</v>
      </c>
      <c r="D3031" t="s">
        <v>284</v>
      </c>
      <c r="E3031" t="s">
        <v>413</v>
      </c>
      <c r="F3031">
        <f>HYPERLINK("https://www.wikidata.org/wiki/Q33728280", "Q33728280")</f>
        <v>0</v>
      </c>
      <c r="G3031" t="s">
        <v>1607</v>
      </c>
      <c r="H3031" t="s">
        <v>5793</v>
      </c>
      <c r="I3031" t="s">
        <v>9856</v>
      </c>
      <c r="J3031" t="s">
        <v>12314</v>
      </c>
      <c r="K3031" t="s">
        <v>16724</v>
      </c>
      <c r="L3031">
        <f>HYPERLINK("https://www2.assemblee-nationale.fr/sycomore/fiche/(num_dept)/6594", "6594")</f>
        <v>0</v>
      </c>
      <c r="N3031">
        <f>HYPERLINK("https://www.wikidata.org/wiki/Q3086299", "Q3086299")</f>
        <v>0</v>
      </c>
      <c r="O3031" t="s">
        <v>20014</v>
      </c>
      <c r="P3031" t="s">
        <v>20407</v>
      </c>
      <c r="Q3031" t="s">
        <v>20588</v>
      </c>
      <c r="R3031" t="s">
        <v>413</v>
      </c>
      <c r="S3031">
        <v>1493</v>
      </c>
    </row>
    <row r="3032" spans="1:19">
      <c r="A3032" t="s">
        <v>23</v>
      </c>
      <c r="B3032" t="s">
        <v>148</v>
      </c>
      <c r="C3032" t="s">
        <v>155</v>
      </c>
      <c r="D3032" t="s">
        <v>284</v>
      </c>
      <c r="E3032" t="s">
        <v>413</v>
      </c>
      <c r="F3032">
        <f>HYPERLINK("https://www.wikidata.org/wiki/Q33728280", "Q33728280")</f>
        <v>0</v>
      </c>
      <c r="G3032" t="s">
        <v>2161</v>
      </c>
      <c r="H3032" t="s">
        <v>6775</v>
      </c>
      <c r="I3032" t="s">
        <v>10101</v>
      </c>
      <c r="J3032" t="s">
        <v>12825</v>
      </c>
      <c r="K3032" t="s">
        <v>17240</v>
      </c>
      <c r="L3032">
        <f>HYPERLINK("https://www2.assemblee-nationale.fr/sycomore/fiche/(num_dept)/6610", "6610")</f>
        <v>0</v>
      </c>
      <c r="N3032">
        <f>HYPERLINK("https://www.wikidata.org/wiki/Q3060126", "Q3060126")</f>
        <v>0</v>
      </c>
      <c r="O3032" t="s">
        <v>19961</v>
      </c>
      <c r="P3032" t="s">
        <v>20428</v>
      </c>
      <c r="Q3032" t="s">
        <v>20588</v>
      </c>
      <c r="R3032" t="s">
        <v>413</v>
      </c>
      <c r="S3032">
        <v>1493</v>
      </c>
    </row>
    <row r="3033" spans="1:19">
      <c r="A3033" t="s">
        <v>23</v>
      </c>
      <c r="B3033" t="s">
        <v>148</v>
      </c>
      <c r="C3033" t="s">
        <v>155</v>
      </c>
      <c r="D3033" t="s">
        <v>284</v>
      </c>
      <c r="E3033" t="s">
        <v>413</v>
      </c>
      <c r="F3033">
        <f>HYPERLINK("https://www.wikidata.org/wiki/Q33728280", "Q33728280")</f>
        <v>0</v>
      </c>
      <c r="G3033" t="s">
        <v>2162</v>
      </c>
      <c r="H3033" t="s">
        <v>6776</v>
      </c>
      <c r="I3033" t="s">
        <v>9553</v>
      </c>
      <c r="J3033" t="s">
        <v>12826</v>
      </c>
      <c r="K3033" t="s">
        <v>17241</v>
      </c>
      <c r="L3033">
        <f>HYPERLINK("https://www2.assemblee-nationale.fr/sycomore/fiche/(num_dept)/6618", "6618")</f>
        <v>0</v>
      </c>
      <c r="N3033">
        <f>HYPERLINK("https://www.wikidata.org/wiki/Q2833992", "Q2833992")</f>
        <v>0</v>
      </c>
      <c r="O3033" t="s">
        <v>20019</v>
      </c>
      <c r="P3033" t="s">
        <v>20404</v>
      </c>
      <c r="Q3033" t="s">
        <v>20588</v>
      </c>
      <c r="R3033" t="s">
        <v>413</v>
      </c>
      <c r="S3033">
        <v>1493</v>
      </c>
    </row>
    <row r="3034" spans="1:19">
      <c r="A3034" t="s">
        <v>23</v>
      </c>
      <c r="B3034" t="s">
        <v>148</v>
      </c>
      <c r="C3034" t="s">
        <v>155</v>
      </c>
      <c r="D3034" t="s">
        <v>284</v>
      </c>
      <c r="E3034" t="s">
        <v>413</v>
      </c>
      <c r="F3034">
        <f>HYPERLINK("https://www.wikidata.org/wiki/Q33728280", "Q33728280")</f>
        <v>0</v>
      </c>
      <c r="G3034" t="s">
        <v>2163</v>
      </c>
      <c r="H3034" t="s">
        <v>6777</v>
      </c>
      <c r="I3034" t="s">
        <v>9613</v>
      </c>
      <c r="J3034" t="s">
        <v>12827</v>
      </c>
      <c r="K3034" t="s">
        <v>17242</v>
      </c>
      <c r="L3034">
        <f>HYPERLINK("https://www2.assemblee-nationale.fr/sycomore/fiche/(num_dept)/6619", "6619")</f>
        <v>0</v>
      </c>
      <c r="N3034">
        <f>HYPERLINK("https://www.wikidata.org/wiki/Q3179710", "Q3179710")</f>
        <v>0</v>
      </c>
      <c r="O3034" t="s">
        <v>20006</v>
      </c>
      <c r="P3034" t="s">
        <v>20404</v>
      </c>
      <c r="Q3034" t="s">
        <v>20588</v>
      </c>
      <c r="R3034" t="s">
        <v>413</v>
      </c>
      <c r="S3034">
        <v>1493</v>
      </c>
    </row>
    <row r="3035" spans="1:19">
      <c r="A3035" t="s">
        <v>23</v>
      </c>
      <c r="B3035" t="s">
        <v>148</v>
      </c>
      <c r="C3035" t="s">
        <v>155</v>
      </c>
      <c r="D3035" t="s">
        <v>284</v>
      </c>
      <c r="E3035" t="s">
        <v>413</v>
      </c>
      <c r="F3035">
        <f>HYPERLINK("https://www.wikidata.org/wiki/Q33728280", "Q33728280")</f>
        <v>0</v>
      </c>
      <c r="G3035" t="s">
        <v>1889</v>
      </c>
      <c r="H3035" t="s">
        <v>6542</v>
      </c>
      <c r="I3035" t="s">
        <v>9986</v>
      </c>
      <c r="J3035" t="s">
        <v>12576</v>
      </c>
      <c r="K3035" t="s">
        <v>16988</v>
      </c>
      <c r="L3035">
        <f>HYPERLINK("https://www2.assemblee-nationale.fr/sycomore/fiche/(num_dept)/6649", "6649")</f>
        <v>0</v>
      </c>
      <c r="N3035">
        <f>HYPERLINK("https://www.wikidata.org/wiki/Q16026399", "Q16026399")</f>
        <v>0</v>
      </c>
      <c r="O3035" t="s">
        <v>19990</v>
      </c>
      <c r="P3035" t="s">
        <v>20412</v>
      </c>
      <c r="Q3035" t="s">
        <v>20588</v>
      </c>
      <c r="R3035" t="s">
        <v>413</v>
      </c>
      <c r="S3035">
        <v>1493</v>
      </c>
    </row>
    <row r="3036" spans="1:19">
      <c r="A3036" t="s">
        <v>23</v>
      </c>
      <c r="B3036" t="s">
        <v>148</v>
      </c>
      <c r="C3036" t="s">
        <v>155</v>
      </c>
      <c r="D3036" t="s">
        <v>284</v>
      </c>
      <c r="E3036" t="s">
        <v>413</v>
      </c>
      <c r="F3036">
        <f>HYPERLINK("https://www.wikidata.org/wiki/Q33728280", "Q33728280")</f>
        <v>0</v>
      </c>
      <c r="G3036" t="s">
        <v>1612</v>
      </c>
      <c r="H3036" t="s">
        <v>6298</v>
      </c>
      <c r="I3036" t="s">
        <v>9385</v>
      </c>
      <c r="J3036" t="s">
        <v>12319</v>
      </c>
      <c r="K3036" t="s">
        <v>16729</v>
      </c>
      <c r="L3036">
        <f>HYPERLINK("https://www2.assemblee-nationale.fr/sycomore/fiche/(num_dept)/6656", "6656")</f>
        <v>0</v>
      </c>
      <c r="M3036">
        <f>HYPERLINK("https://www.senat.fr/senateur-3eme-republique/reibel_charles1672r3.html", "reibel_charles1672r3")</f>
        <v>0</v>
      </c>
      <c r="N3036">
        <f>HYPERLINK("https://www.wikidata.org/wiki/Q2960097", "Q2960097")</f>
        <v>0</v>
      </c>
      <c r="O3036" t="s">
        <v>19976</v>
      </c>
      <c r="P3036" t="s">
        <v>20429</v>
      </c>
      <c r="Q3036" t="s">
        <v>20588</v>
      </c>
      <c r="R3036" t="s">
        <v>413</v>
      </c>
      <c r="S3036">
        <v>1493</v>
      </c>
    </row>
    <row r="3037" spans="1:19">
      <c r="A3037" t="s">
        <v>23</v>
      </c>
      <c r="B3037" t="s">
        <v>148</v>
      </c>
      <c r="C3037" t="s">
        <v>155</v>
      </c>
      <c r="D3037" t="s">
        <v>284</v>
      </c>
      <c r="E3037" t="s">
        <v>413</v>
      </c>
      <c r="F3037">
        <f>HYPERLINK("https://www.wikidata.org/wiki/Q33728280", "Q33728280")</f>
        <v>0</v>
      </c>
      <c r="G3037" t="s">
        <v>2164</v>
      </c>
      <c r="H3037" t="s">
        <v>6778</v>
      </c>
      <c r="I3037" t="s">
        <v>10102</v>
      </c>
      <c r="J3037" t="s">
        <v>12828</v>
      </c>
      <c r="K3037" t="s">
        <v>17243</v>
      </c>
      <c r="L3037">
        <f>HYPERLINK("https://www2.assemblee-nationale.fr/sycomore/fiche/(num_dept)/6669", "6669")</f>
        <v>0</v>
      </c>
      <c r="N3037">
        <f>HYPERLINK("https://www.wikidata.org/wiki/Q3168121", "Q3168121")</f>
        <v>0</v>
      </c>
      <c r="O3037" t="s">
        <v>20034</v>
      </c>
      <c r="P3037" t="s">
        <v>20431</v>
      </c>
      <c r="Q3037" t="s">
        <v>20588</v>
      </c>
      <c r="R3037" t="s">
        <v>413</v>
      </c>
      <c r="S3037">
        <v>1493</v>
      </c>
    </row>
    <row r="3038" spans="1:19">
      <c r="A3038" t="s">
        <v>23</v>
      </c>
      <c r="B3038" t="s">
        <v>148</v>
      </c>
      <c r="C3038" t="s">
        <v>155</v>
      </c>
      <c r="D3038" t="s">
        <v>284</v>
      </c>
      <c r="E3038" t="s">
        <v>413</v>
      </c>
      <c r="F3038">
        <f>HYPERLINK("https://www.wikidata.org/wiki/Q33728280", "Q33728280")</f>
        <v>0</v>
      </c>
      <c r="G3038" t="s">
        <v>1307</v>
      </c>
      <c r="H3038" t="s">
        <v>6028</v>
      </c>
      <c r="I3038" t="s">
        <v>9742</v>
      </c>
      <c r="J3038" t="s">
        <v>12037</v>
      </c>
      <c r="K3038" t="s">
        <v>16438</v>
      </c>
      <c r="L3038">
        <f>HYPERLINK("https://www2.assemblee-nationale.fr/sycomore/fiche/(num_dept)/6676", "6676")</f>
        <v>0</v>
      </c>
      <c r="N3038">
        <f>HYPERLINK("https://www.wikidata.org/wiki/Q3386778", "Q3386778")</f>
        <v>0</v>
      </c>
      <c r="O3038" t="s">
        <v>20042</v>
      </c>
      <c r="P3038" t="s">
        <v>20404</v>
      </c>
      <c r="Q3038" t="s">
        <v>20588</v>
      </c>
      <c r="R3038" t="s">
        <v>413</v>
      </c>
      <c r="S3038">
        <v>1493</v>
      </c>
    </row>
    <row r="3039" spans="1:19">
      <c r="A3039" t="s">
        <v>23</v>
      </c>
      <c r="B3039" t="s">
        <v>148</v>
      </c>
      <c r="C3039" t="s">
        <v>155</v>
      </c>
      <c r="D3039" t="s">
        <v>284</v>
      </c>
      <c r="E3039" t="s">
        <v>413</v>
      </c>
      <c r="F3039">
        <f>HYPERLINK("https://www.wikidata.org/wiki/Q33728280", "Q33728280")</f>
        <v>0</v>
      </c>
      <c r="G3039" t="s">
        <v>1890</v>
      </c>
      <c r="H3039" t="s">
        <v>6301</v>
      </c>
      <c r="I3039" t="s">
        <v>9987</v>
      </c>
      <c r="J3039" t="s">
        <v>12577</v>
      </c>
      <c r="K3039" t="s">
        <v>16989</v>
      </c>
      <c r="L3039">
        <f>HYPERLINK("https://www2.assemblee-nationale.fr/sycomore/fiche/(num_dept)/6708", "6708")</f>
        <v>0</v>
      </c>
      <c r="N3039">
        <f>HYPERLINK("https://www.wikidata.org/wiki/Q21155030", "Q21155030")</f>
        <v>0</v>
      </c>
      <c r="O3039" t="s">
        <v>20042</v>
      </c>
      <c r="P3039" t="s">
        <v>20404</v>
      </c>
      <c r="Q3039" t="s">
        <v>20588</v>
      </c>
      <c r="R3039" t="s">
        <v>413</v>
      </c>
      <c r="S3039">
        <v>1493</v>
      </c>
    </row>
    <row r="3040" spans="1:19">
      <c r="A3040" t="s">
        <v>23</v>
      </c>
      <c r="B3040" t="s">
        <v>148</v>
      </c>
      <c r="C3040" t="s">
        <v>155</v>
      </c>
      <c r="D3040" t="s">
        <v>284</v>
      </c>
      <c r="E3040" t="s">
        <v>413</v>
      </c>
      <c r="F3040">
        <f>HYPERLINK("https://www.wikidata.org/wiki/Q33728280", "Q33728280")</f>
        <v>0</v>
      </c>
      <c r="G3040" t="s">
        <v>1616</v>
      </c>
      <c r="H3040" t="s">
        <v>6301</v>
      </c>
      <c r="I3040" t="s">
        <v>9388</v>
      </c>
      <c r="J3040" t="s">
        <v>12323</v>
      </c>
      <c r="K3040" t="s">
        <v>16733</v>
      </c>
      <c r="L3040">
        <f>HYPERLINK("https://www2.assemblee-nationale.fr/sycomore/fiche/(num_dept)/6710", "6710")</f>
        <v>0</v>
      </c>
      <c r="N3040">
        <f>HYPERLINK("https://www.wikidata.org/wiki/Q161076", "Q161076")</f>
        <v>0</v>
      </c>
      <c r="O3040" t="s">
        <v>19969</v>
      </c>
      <c r="P3040" t="s">
        <v>20429</v>
      </c>
      <c r="Q3040" t="s">
        <v>20588</v>
      </c>
      <c r="R3040" t="s">
        <v>413</v>
      </c>
      <c r="S3040">
        <v>1493</v>
      </c>
    </row>
    <row r="3041" spans="1:19">
      <c r="A3041" t="s">
        <v>23</v>
      </c>
      <c r="B3041" t="s">
        <v>148</v>
      </c>
      <c r="C3041" t="s">
        <v>155</v>
      </c>
      <c r="D3041" t="s">
        <v>284</v>
      </c>
      <c r="E3041" t="s">
        <v>413</v>
      </c>
      <c r="F3041">
        <f>HYPERLINK("https://www.wikidata.org/wiki/Q33728280", "Q33728280")</f>
        <v>0</v>
      </c>
      <c r="G3041" t="s">
        <v>2165</v>
      </c>
      <c r="H3041" t="s">
        <v>6779</v>
      </c>
      <c r="I3041" t="s">
        <v>10103</v>
      </c>
      <c r="J3041" t="s">
        <v>12829</v>
      </c>
      <c r="K3041" t="s">
        <v>17244</v>
      </c>
      <c r="L3041">
        <f>HYPERLINK("https://www2.assemblee-nationale.fr/sycomore/fiche/(num_dept)/6730", "6730")</f>
        <v>0</v>
      </c>
      <c r="N3041">
        <f>HYPERLINK("https://www.wikidata.org/wiki/Q15998296", "Q15998296")</f>
        <v>0</v>
      </c>
      <c r="O3041" t="s">
        <v>20000</v>
      </c>
      <c r="P3041" t="s">
        <v>20429</v>
      </c>
      <c r="Q3041" t="s">
        <v>20588</v>
      </c>
      <c r="R3041" t="s">
        <v>413</v>
      </c>
      <c r="S3041">
        <v>1493</v>
      </c>
    </row>
    <row r="3042" spans="1:19">
      <c r="A3042" t="s">
        <v>23</v>
      </c>
      <c r="B3042" t="s">
        <v>148</v>
      </c>
      <c r="C3042" t="s">
        <v>155</v>
      </c>
      <c r="D3042" t="s">
        <v>284</v>
      </c>
      <c r="E3042" t="s">
        <v>413</v>
      </c>
      <c r="F3042">
        <f>HYPERLINK("https://www.wikidata.org/wiki/Q33728280", "Q33728280")</f>
        <v>0</v>
      </c>
      <c r="G3042" t="s">
        <v>1892</v>
      </c>
      <c r="H3042" t="s">
        <v>6303</v>
      </c>
      <c r="I3042" t="s">
        <v>9476</v>
      </c>
      <c r="J3042" t="s">
        <v>12579</v>
      </c>
      <c r="K3042" t="s">
        <v>16991</v>
      </c>
      <c r="L3042">
        <f>HYPERLINK("https://www2.assemblee-nationale.fr/sycomore/fiche/(num_dept)/6740", "6740")</f>
        <v>0</v>
      </c>
      <c r="N3042">
        <f>HYPERLINK("https://www.wikidata.org/wiki/Q3426819", "Q3426819")</f>
        <v>0</v>
      </c>
      <c r="O3042" t="s">
        <v>20021</v>
      </c>
      <c r="P3042" t="s">
        <v>20428</v>
      </c>
      <c r="Q3042" t="s">
        <v>20588</v>
      </c>
      <c r="R3042" t="s">
        <v>413</v>
      </c>
      <c r="S3042">
        <v>1493</v>
      </c>
    </row>
    <row r="3043" spans="1:19">
      <c r="A3043" t="s">
        <v>23</v>
      </c>
      <c r="B3043" t="s">
        <v>148</v>
      </c>
      <c r="C3043" t="s">
        <v>155</v>
      </c>
      <c r="D3043" t="s">
        <v>284</v>
      </c>
      <c r="E3043" t="s">
        <v>413</v>
      </c>
      <c r="F3043">
        <f>HYPERLINK("https://www.wikidata.org/wiki/Q33728280", "Q33728280")</f>
        <v>0</v>
      </c>
      <c r="G3043" t="s">
        <v>2166</v>
      </c>
      <c r="H3043" t="s">
        <v>6780</v>
      </c>
      <c r="I3043" t="s">
        <v>5394</v>
      </c>
      <c r="J3043" t="s">
        <v>12830</v>
      </c>
      <c r="K3043" t="s">
        <v>17245</v>
      </c>
      <c r="L3043">
        <f>HYPERLINK("https://www2.assemblee-nationale.fr/sycomore/fiche/(num_dept)/6742", "6742")</f>
        <v>0</v>
      </c>
      <c r="N3043">
        <f>HYPERLINK("https://www.wikidata.org/wiki/Q3592354", "Q3592354")</f>
        <v>0</v>
      </c>
      <c r="O3043" t="s">
        <v>19959</v>
      </c>
      <c r="P3043" t="s">
        <v>20432</v>
      </c>
      <c r="Q3043" t="s">
        <v>20588</v>
      </c>
      <c r="R3043" t="s">
        <v>413</v>
      </c>
      <c r="S3043">
        <v>1493</v>
      </c>
    </row>
    <row r="3044" spans="1:19">
      <c r="A3044" t="s">
        <v>23</v>
      </c>
      <c r="B3044" t="s">
        <v>148</v>
      </c>
      <c r="C3044" t="s">
        <v>155</v>
      </c>
      <c r="D3044" t="s">
        <v>284</v>
      </c>
      <c r="E3044" t="s">
        <v>413</v>
      </c>
      <c r="F3044">
        <f>HYPERLINK("https://www.wikidata.org/wiki/Q33728280", "Q33728280")</f>
        <v>0</v>
      </c>
      <c r="G3044" t="s">
        <v>2167</v>
      </c>
      <c r="H3044" t="s">
        <v>6781</v>
      </c>
      <c r="I3044" t="s">
        <v>9516</v>
      </c>
      <c r="J3044" t="s">
        <v>12831</v>
      </c>
      <c r="K3044" t="s">
        <v>17246</v>
      </c>
      <c r="L3044">
        <f>HYPERLINK("https://www2.assemblee-nationale.fr/sycomore/fiche/(num_dept)/6744", "6744")</f>
        <v>0</v>
      </c>
      <c r="N3044">
        <f>HYPERLINK("https://www.wikidata.org/wiki/Q16026421", "Q16026421")</f>
        <v>0</v>
      </c>
      <c r="O3044" t="s">
        <v>19965</v>
      </c>
      <c r="P3044" t="s">
        <v>20404</v>
      </c>
      <c r="Q3044" t="s">
        <v>20588</v>
      </c>
      <c r="R3044" t="s">
        <v>17246</v>
      </c>
      <c r="S3044">
        <v>990</v>
      </c>
    </row>
    <row r="3045" spans="1:19">
      <c r="A3045" t="s">
        <v>23</v>
      </c>
      <c r="B3045" t="s">
        <v>148</v>
      </c>
      <c r="C3045" t="s">
        <v>155</v>
      </c>
      <c r="D3045" t="s">
        <v>284</v>
      </c>
      <c r="E3045" t="s">
        <v>413</v>
      </c>
      <c r="F3045">
        <f>HYPERLINK("https://www.wikidata.org/wiki/Q33728280", "Q33728280")</f>
        <v>0</v>
      </c>
      <c r="G3045" t="s">
        <v>2168</v>
      </c>
      <c r="H3045" t="s">
        <v>6782</v>
      </c>
      <c r="I3045" t="s">
        <v>10055</v>
      </c>
      <c r="J3045" t="s">
        <v>12832</v>
      </c>
      <c r="K3045" t="s">
        <v>16967</v>
      </c>
      <c r="L3045">
        <f>HYPERLINK("https://www2.assemblee-nationale.fr/sycomore/fiche/(num_dept)/6751", "6751")</f>
        <v>0</v>
      </c>
      <c r="N3045">
        <f>HYPERLINK("https://www.wikidata.org/wiki/Q78227", "Q78227")</f>
        <v>0</v>
      </c>
      <c r="O3045" t="s">
        <v>20049</v>
      </c>
      <c r="Q3045" t="s">
        <v>20588</v>
      </c>
      <c r="R3045" t="s">
        <v>16414</v>
      </c>
      <c r="S3045">
        <v>193</v>
      </c>
    </row>
    <row r="3046" spans="1:19">
      <c r="A3046" t="s">
        <v>23</v>
      </c>
      <c r="B3046" t="s">
        <v>148</v>
      </c>
      <c r="C3046" t="s">
        <v>155</v>
      </c>
      <c r="D3046" t="s">
        <v>284</v>
      </c>
      <c r="E3046" t="s">
        <v>413</v>
      </c>
      <c r="F3046">
        <f>HYPERLINK("https://www.wikidata.org/wiki/Q33728280", "Q33728280")</f>
        <v>0</v>
      </c>
      <c r="G3046" t="s">
        <v>2169</v>
      </c>
      <c r="H3046" t="s">
        <v>6783</v>
      </c>
      <c r="I3046" t="s">
        <v>10104</v>
      </c>
      <c r="J3046" t="s">
        <v>12833</v>
      </c>
      <c r="K3046" t="s">
        <v>17247</v>
      </c>
      <c r="L3046">
        <f>HYPERLINK("https://www2.assemblee-nationale.fr/sycomore/fiche/(num_dept)/6760", "6760")</f>
        <v>0</v>
      </c>
      <c r="N3046">
        <f>HYPERLINK("https://www.wikidata.org/wiki/Q2935058", "Q2935058")</f>
        <v>0</v>
      </c>
      <c r="O3046" t="s">
        <v>19979</v>
      </c>
      <c r="P3046" t="s">
        <v>20433</v>
      </c>
      <c r="Q3046" t="s">
        <v>20588</v>
      </c>
      <c r="R3046" t="s">
        <v>413</v>
      </c>
      <c r="S3046">
        <v>1493</v>
      </c>
    </row>
    <row r="3047" spans="1:19">
      <c r="A3047" t="s">
        <v>23</v>
      </c>
      <c r="B3047" t="s">
        <v>148</v>
      </c>
      <c r="C3047" t="s">
        <v>155</v>
      </c>
      <c r="D3047" t="s">
        <v>284</v>
      </c>
      <c r="E3047" t="s">
        <v>413</v>
      </c>
      <c r="F3047">
        <f>HYPERLINK("https://www.wikidata.org/wiki/Q33728280", "Q33728280")</f>
        <v>0</v>
      </c>
      <c r="G3047" t="s">
        <v>1894</v>
      </c>
      <c r="H3047" t="s">
        <v>6544</v>
      </c>
      <c r="I3047" t="s">
        <v>9988</v>
      </c>
      <c r="J3047" t="s">
        <v>12581</v>
      </c>
      <c r="K3047" t="s">
        <v>16993</v>
      </c>
      <c r="L3047">
        <f>HYPERLINK("https://www2.assemblee-nationale.fr/sycomore/fiche/(num_dept)/6774", "6774")</f>
        <v>0</v>
      </c>
      <c r="N3047">
        <f>HYPERLINK("https://www.wikidata.org/wiki/Q3069028", "Q3069028")</f>
        <v>0</v>
      </c>
      <c r="O3047" t="s">
        <v>19978</v>
      </c>
      <c r="P3047" t="s">
        <v>20401</v>
      </c>
      <c r="Q3047" t="s">
        <v>20588</v>
      </c>
      <c r="R3047" t="s">
        <v>413</v>
      </c>
      <c r="S3047">
        <v>1493</v>
      </c>
    </row>
    <row r="3048" spans="1:19">
      <c r="A3048" t="s">
        <v>23</v>
      </c>
      <c r="B3048" t="s">
        <v>148</v>
      </c>
      <c r="C3048" t="s">
        <v>155</v>
      </c>
      <c r="D3048" t="s">
        <v>284</v>
      </c>
      <c r="E3048" t="s">
        <v>413</v>
      </c>
      <c r="F3048">
        <f>HYPERLINK("https://www.wikidata.org/wiki/Q33728280", "Q33728280")</f>
        <v>0</v>
      </c>
      <c r="G3048" t="s">
        <v>2170</v>
      </c>
      <c r="H3048" t="s">
        <v>6784</v>
      </c>
      <c r="I3048" t="s">
        <v>6495</v>
      </c>
      <c r="J3048" t="s">
        <v>12834</v>
      </c>
      <c r="K3048" t="s">
        <v>17248</v>
      </c>
      <c r="L3048">
        <f>HYPERLINK("https://www2.assemblee-nationale.fr/sycomore/fiche/(num_dept)/6816", "6816")</f>
        <v>0</v>
      </c>
      <c r="N3048">
        <f>HYPERLINK("https://www.wikidata.org/wiki/Q16026501", "Q16026501")</f>
        <v>0</v>
      </c>
      <c r="O3048" t="s">
        <v>19982</v>
      </c>
      <c r="P3048" t="s">
        <v>20412</v>
      </c>
      <c r="Q3048" t="s">
        <v>20588</v>
      </c>
      <c r="R3048" t="s">
        <v>413</v>
      </c>
      <c r="S3048">
        <v>1493</v>
      </c>
    </row>
    <row r="3049" spans="1:19">
      <c r="A3049" t="s">
        <v>23</v>
      </c>
      <c r="B3049" t="s">
        <v>148</v>
      </c>
      <c r="C3049" t="s">
        <v>155</v>
      </c>
      <c r="D3049" t="s">
        <v>284</v>
      </c>
      <c r="E3049" t="s">
        <v>413</v>
      </c>
      <c r="F3049">
        <f>HYPERLINK("https://www.wikidata.org/wiki/Q33728280", "Q33728280")</f>
        <v>0</v>
      </c>
      <c r="G3049" t="s">
        <v>2171</v>
      </c>
      <c r="H3049" t="s">
        <v>6785</v>
      </c>
      <c r="I3049" t="s">
        <v>6860</v>
      </c>
      <c r="J3049" t="s">
        <v>12835</v>
      </c>
      <c r="K3049" t="s">
        <v>16790</v>
      </c>
      <c r="L3049">
        <f>HYPERLINK("https://www2.assemblee-nationale.fr/sycomore/fiche/(num_dept)/6856", "6856")</f>
        <v>0</v>
      </c>
      <c r="N3049">
        <f>HYPERLINK("https://www.wikidata.org/wiki/Q16026509", "Q16026509")</f>
        <v>0</v>
      </c>
      <c r="O3049" t="s">
        <v>19960</v>
      </c>
      <c r="P3049" t="s">
        <v>20428</v>
      </c>
      <c r="Q3049" t="s">
        <v>20588</v>
      </c>
      <c r="R3049" t="s">
        <v>413</v>
      </c>
      <c r="S3049">
        <v>1493</v>
      </c>
    </row>
    <row r="3050" spans="1:19">
      <c r="A3050" t="s">
        <v>23</v>
      </c>
      <c r="B3050" t="s">
        <v>148</v>
      </c>
      <c r="C3050" t="s">
        <v>155</v>
      </c>
      <c r="D3050" t="s">
        <v>284</v>
      </c>
      <c r="E3050" t="s">
        <v>413</v>
      </c>
      <c r="F3050">
        <f>HYPERLINK("https://www.wikidata.org/wiki/Q33728280", "Q33728280")</f>
        <v>0</v>
      </c>
      <c r="G3050" t="s">
        <v>1055</v>
      </c>
      <c r="H3050" t="s">
        <v>5801</v>
      </c>
      <c r="I3050" t="s">
        <v>9503</v>
      </c>
      <c r="J3050" t="s">
        <v>11792</v>
      </c>
      <c r="K3050" t="s">
        <v>16193</v>
      </c>
      <c r="L3050">
        <f>HYPERLINK("https://www2.assemblee-nationale.fr/sycomore/fiche/(num_dept)/6863", "6863")</f>
        <v>0</v>
      </c>
      <c r="N3050">
        <f>HYPERLINK("https://www.wikidata.org/wiki/Q16026512", "Q16026512")</f>
        <v>0</v>
      </c>
      <c r="O3050" t="s">
        <v>19990</v>
      </c>
      <c r="P3050" t="s">
        <v>20404</v>
      </c>
      <c r="Q3050" t="s">
        <v>20588</v>
      </c>
      <c r="R3050" t="s">
        <v>413</v>
      </c>
      <c r="S3050">
        <v>1493</v>
      </c>
    </row>
    <row r="3051" spans="1:19">
      <c r="A3051" t="s">
        <v>23</v>
      </c>
      <c r="B3051" t="s">
        <v>148</v>
      </c>
      <c r="C3051" t="s">
        <v>155</v>
      </c>
      <c r="D3051" t="s">
        <v>284</v>
      </c>
      <c r="E3051" t="s">
        <v>413</v>
      </c>
      <c r="F3051">
        <f>HYPERLINK("https://www.wikidata.org/wiki/Q33728280", "Q33728280")</f>
        <v>0</v>
      </c>
      <c r="G3051" t="s">
        <v>1896</v>
      </c>
      <c r="H3051" t="s">
        <v>6546</v>
      </c>
      <c r="I3051" t="s">
        <v>9457</v>
      </c>
      <c r="J3051" t="s">
        <v>12583</v>
      </c>
      <c r="K3051" t="s">
        <v>16995</v>
      </c>
      <c r="L3051">
        <f>HYPERLINK("https://www2.assemblee-nationale.fr/sycomore/fiche/(num_dept)/6864", "6864")</f>
        <v>0</v>
      </c>
      <c r="N3051">
        <f>HYPERLINK("https://www.wikidata.org/wiki/Q3132022", "Q3132022")</f>
        <v>0</v>
      </c>
      <c r="O3051" t="s">
        <v>19962</v>
      </c>
      <c r="P3051" t="s">
        <v>20404</v>
      </c>
      <c r="Q3051" t="s">
        <v>20588</v>
      </c>
      <c r="R3051" t="s">
        <v>413</v>
      </c>
      <c r="S3051">
        <v>1493</v>
      </c>
    </row>
    <row r="3052" spans="1:19">
      <c r="A3052" t="s">
        <v>23</v>
      </c>
      <c r="B3052" t="s">
        <v>148</v>
      </c>
      <c r="C3052" t="s">
        <v>155</v>
      </c>
      <c r="D3052" t="s">
        <v>284</v>
      </c>
      <c r="E3052" t="s">
        <v>413</v>
      </c>
      <c r="F3052">
        <f>HYPERLINK("https://www.wikidata.org/wiki/Q33728280", "Q33728280")</f>
        <v>0</v>
      </c>
      <c r="G3052" t="s">
        <v>1626</v>
      </c>
      <c r="H3052" t="s">
        <v>6311</v>
      </c>
      <c r="I3052" t="s">
        <v>9375</v>
      </c>
      <c r="J3052" t="s">
        <v>12333</v>
      </c>
      <c r="K3052" t="s">
        <v>16742</v>
      </c>
      <c r="L3052">
        <f>HYPERLINK("https://www2.assemblee-nationale.fr/sycomore/fiche/(num_dept)/6883", "6883")</f>
        <v>0</v>
      </c>
      <c r="N3052">
        <f>HYPERLINK("https://www.wikidata.org/wiki/Q16026518", "Q16026518")</f>
        <v>0</v>
      </c>
      <c r="O3052" t="s">
        <v>19969</v>
      </c>
      <c r="P3052" t="s">
        <v>20422</v>
      </c>
      <c r="Q3052" t="s">
        <v>20588</v>
      </c>
      <c r="R3052" t="s">
        <v>413</v>
      </c>
      <c r="S3052">
        <v>1493</v>
      </c>
    </row>
    <row r="3053" spans="1:19">
      <c r="A3053" t="s">
        <v>23</v>
      </c>
      <c r="B3053" t="s">
        <v>148</v>
      </c>
      <c r="C3053" t="s">
        <v>155</v>
      </c>
      <c r="D3053" t="s">
        <v>284</v>
      </c>
      <c r="E3053" t="s">
        <v>413</v>
      </c>
      <c r="F3053">
        <f>HYPERLINK("https://www.wikidata.org/wiki/Q33728280", "Q33728280")</f>
        <v>0</v>
      </c>
      <c r="G3053" t="s">
        <v>1897</v>
      </c>
      <c r="H3053" t="s">
        <v>6547</v>
      </c>
      <c r="I3053" t="s">
        <v>9385</v>
      </c>
      <c r="J3053" t="s">
        <v>12584</v>
      </c>
      <c r="K3053" t="s">
        <v>16996</v>
      </c>
      <c r="L3053">
        <f>HYPERLINK("https://www2.assemblee-nationale.fr/sycomore/fiche/(num_dept)/6897", "6897")</f>
        <v>0</v>
      </c>
      <c r="N3053">
        <f>HYPERLINK("https://www.wikidata.org/wiki/Q2960255", "Q2960255")</f>
        <v>0</v>
      </c>
      <c r="O3053" t="s">
        <v>20020</v>
      </c>
      <c r="P3053" t="s">
        <v>20404</v>
      </c>
      <c r="Q3053" t="s">
        <v>20588</v>
      </c>
      <c r="R3053" t="s">
        <v>413</v>
      </c>
      <c r="S3053">
        <v>1493</v>
      </c>
    </row>
    <row r="3054" spans="1:19">
      <c r="A3054" t="s">
        <v>23</v>
      </c>
      <c r="B3054" t="s">
        <v>148</v>
      </c>
      <c r="C3054" t="s">
        <v>155</v>
      </c>
      <c r="D3054" t="s">
        <v>284</v>
      </c>
      <c r="E3054" t="s">
        <v>413</v>
      </c>
      <c r="F3054">
        <f>HYPERLINK("https://www.wikidata.org/wiki/Q33728280", "Q33728280")</f>
        <v>0</v>
      </c>
      <c r="G3054" t="s">
        <v>2172</v>
      </c>
      <c r="H3054" t="s">
        <v>6786</v>
      </c>
      <c r="I3054" t="s">
        <v>9385</v>
      </c>
      <c r="J3054" t="s">
        <v>12836</v>
      </c>
      <c r="K3054" t="s">
        <v>17249</v>
      </c>
      <c r="L3054">
        <f>HYPERLINK("https://www2.assemblee-nationale.fr/sycomore/fiche/(num_dept)/6924", "6924")</f>
        <v>0</v>
      </c>
      <c r="N3054">
        <f>HYPERLINK("https://www.wikidata.org/wiki/Q2960269", "Q2960269")</f>
        <v>0</v>
      </c>
      <c r="O3054" t="s">
        <v>20013</v>
      </c>
      <c r="P3054" t="s">
        <v>20412</v>
      </c>
      <c r="Q3054" t="s">
        <v>20588</v>
      </c>
      <c r="R3054" t="s">
        <v>413</v>
      </c>
      <c r="S3054">
        <v>1493</v>
      </c>
    </row>
    <row r="3055" spans="1:19">
      <c r="A3055" t="s">
        <v>23</v>
      </c>
      <c r="B3055" t="s">
        <v>148</v>
      </c>
      <c r="C3055" t="s">
        <v>155</v>
      </c>
      <c r="D3055" t="s">
        <v>284</v>
      </c>
      <c r="E3055" t="s">
        <v>413</v>
      </c>
      <c r="F3055">
        <f>HYPERLINK("https://www.wikidata.org/wiki/Q33728280", "Q33728280")</f>
        <v>0</v>
      </c>
      <c r="G3055" t="s">
        <v>2173</v>
      </c>
      <c r="H3055" t="s">
        <v>6787</v>
      </c>
      <c r="I3055" t="s">
        <v>10105</v>
      </c>
      <c r="J3055" t="s">
        <v>12837</v>
      </c>
      <c r="K3055" t="s">
        <v>17250</v>
      </c>
      <c r="L3055">
        <f>HYPERLINK("https://www2.assemblee-nationale.fr/sycomore/fiche/(num_dept)/6962", "6962")</f>
        <v>0</v>
      </c>
      <c r="N3055">
        <f>HYPERLINK("https://www.wikidata.org/wiki/Q3241970", "Q3241970")</f>
        <v>0</v>
      </c>
      <c r="O3055" t="s">
        <v>19969</v>
      </c>
      <c r="P3055" t="s">
        <v>20412</v>
      </c>
      <c r="Q3055" t="s">
        <v>20588</v>
      </c>
      <c r="R3055" t="s">
        <v>413</v>
      </c>
      <c r="S3055">
        <v>1493</v>
      </c>
    </row>
    <row r="3056" spans="1:19">
      <c r="A3056" t="s">
        <v>23</v>
      </c>
      <c r="B3056" t="s">
        <v>148</v>
      </c>
      <c r="C3056" t="s">
        <v>155</v>
      </c>
      <c r="D3056" t="s">
        <v>284</v>
      </c>
      <c r="E3056" t="s">
        <v>413</v>
      </c>
      <c r="F3056">
        <f>HYPERLINK("https://www.wikidata.org/wiki/Q33728280", "Q33728280")</f>
        <v>0</v>
      </c>
      <c r="G3056" t="s">
        <v>1630</v>
      </c>
      <c r="H3056" t="s">
        <v>6315</v>
      </c>
      <c r="I3056" t="s">
        <v>6200</v>
      </c>
      <c r="J3056" t="s">
        <v>12337</v>
      </c>
      <c r="K3056" t="s">
        <v>16746</v>
      </c>
      <c r="L3056">
        <f>HYPERLINK("https://www2.assemblee-nationale.fr/sycomore/fiche/(num_dept)/6969", "6969")</f>
        <v>0</v>
      </c>
      <c r="M3056">
        <f>HYPERLINK("https://www.senat.fr/senateur-3eme-republique/taurines_jean1357r3.html", "taurines_jean1357r3")</f>
        <v>0</v>
      </c>
      <c r="N3056">
        <f>HYPERLINK("https://www.wikidata.org/wiki/Q3174745", "Q3174745")</f>
        <v>0</v>
      </c>
      <c r="O3056" t="s">
        <v>19997</v>
      </c>
      <c r="P3056" t="s">
        <v>20407</v>
      </c>
      <c r="Q3056" t="s">
        <v>20588</v>
      </c>
      <c r="R3056" t="s">
        <v>413</v>
      </c>
      <c r="S3056">
        <v>1493</v>
      </c>
    </row>
    <row r="3057" spans="1:19">
      <c r="A3057" t="s">
        <v>23</v>
      </c>
      <c r="B3057" t="s">
        <v>148</v>
      </c>
      <c r="C3057" t="s">
        <v>155</v>
      </c>
      <c r="D3057" t="s">
        <v>284</v>
      </c>
      <c r="E3057" t="s">
        <v>413</v>
      </c>
      <c r="F3057">
        <f>HYPERLINK("https://www.wikidata.org/wiki/Q33728280", "Q33728280")</f>
        <v>0</v>
      </c>
      <c r="G3057" t="s">
        <v>2174</v>
      </c>
      <c r="H3057" t="s">
        <v>6788</v>
      </c>
      <c r="I3057" t="s">
        <v>9426</v>
      </c>
      <c r="J3057" t="s">
        <v>12838</v>
      </c>
      <c r="K3057" t="s">
        <v>16922</v>
      </c>
      <c r="L3057">
        <f>HYPERLINK("https://www2.assemblee-nationale.fr/sycomore/fiche/(num_dept)/6980", "6980")</f>
        <v>0</v>
      </c>
      <c r="N3057">
        <f>HYPERLINK("https://www.wikidata.org/wiki/Q2839976", "Q2839976")</f>
        <v>0</v>
      </c>
      <c r="O3057" t="s">
        <v>19968</v>
      </c>
      <c r="P3057" t="s">
        <v>20404</v>
      </c>
      <c r="Q3057" t="s">
        <v>20588</v>
      </c>
      <c r="R3057" t="s">
        <v>413</v>
      </c>
      <c r="S3057">
        <v>1493</v>
      </c>
    </row>
    <row r="3058" spans="1:19">
      <c r="A3058" t="s">
        <v>23</v>
      </c>
      <c r="B3058" t="s">
        <v>148</v>
      </c>
      <c r="C3058" t="s">
        <v>155</v>
      </c>
      <c r="D3058" t="s">
        <v>284</v>
      </c>
      <c r="E3058" t="s">
        <v>413</v>
      </c>
      <c r="F3058">
        <f>HYPERLINK("https://www.wikidata.org/wiki/Q33728280", "Q33728280")</f>
        <v>0</v>
      </c>
      <c r="G3058" t="s">
        <v>1087</v>
      </c>
      <c r="H3058" t="s">
        <v>5830</v>
      </c>
      <c r="I3058" t="s">
        <v>9657</v>
      </c>
      <c r="J3058" t="s">
        <v>11823</v>
      </c>
      <c r="K3058" t="s">
        <v>16224</v>
      </c>
      <c r="L3058">
        <f>HYPERLINK("https://www2.assemblee-nationale.fr/sycomore/fiche/(num_dept)/6988", "6988")</f>
        <v>0</v>
      </c>
      <c r="N3058">
        <f>HYPERLINK("https://www.wikidata.org/wiki/Q16026546", "Q16026546")</f>
        <v>0</v>
      </c>
      <c r="O3058" t="s">
        <v>20012</v>
      </c>
      <c r="P3058" t="s">
        <v>20428</v>
      </c>
      <c r="Q3058" t="s">
        <v>20588</v>
      </c>
      <c r="R3058" t="s">
        <v>413</v>
      </c>
      <c r="S3058">
        <v>1493</v>
      </c>
    </row>
    <row r="3059" spans="1:19">
      <c r="A3059" t="s">
        <v>23</v>
      </c>
      <c r="B3059" t="s">
        <v>148</v>
      </c>
      <c r="C3059" t="s">
        <v>155</v>
      </c>
      <c r="D3059" t="s">
        <v>284</v>
      </c>
      <c r="E3059" t="s">
        <v>413</v>
      </c>
      <c r="F3059">
        <f>HYPERLINK("https://www.wikidata.org/wiki/Q33728280", "Q33728280")</f>
        <v>0</v>
      </c>
      <c r="G3059" t="s">
        <v>2175</v>
      </c>
      <c r="H3059" t="s">
        <v>6789</v>
      </c>
      <c r="I3059" t="s">
        <v>6166</v>
      </c>
      <c r="J3059" t="s">
        <v>12339</v>
      </c>
      <c r="K3059" t="s">
        <v>17251</v>
      </c>
      <c r="L3059">
        <f>HYPERLINK("https://www2.assemblee-nationale.fr/sycomore/fiche/(num_dept)/6999", "6999")</f>
        <v>0</v>
      </c>
      <c r="N3059">
        <f>HYPERLINK("https://www.wikidata.org/wiki/Q3086325", "Q3086325")</f>
        <v>0</v>
      </c>
      <c r="O3059" t="s">
        <v>20026</v>
      </c>
      <c r="P3059" t="s">
        <v>20428</v>
      </c>
      <c r="Q3059" t="s">
        <v>20588</v>
      </c>
      <c r="R3059" t="s">
        <v>413</v>
      </c>
      <c r="S3059">
        <v>1493</v>
      </c>
    </row>
    <row r="3060" spans="1:19">
      <c r="A3060" t="s">
        <v>23</v>
      </c>
      <c r="B3060" t="s">
        <v>148</v>
      </c>
      <c r="C3060" t="s">
        <v>155</v>
      </c>
      <c r="D3060" t="s">
        <v>284</v>
      </c>
      <c r="E3060" t="s">
        <v>413</v>
      </c>
      <c r="F3060">
        <f>HYPERLINK("https://www.wikidata.org/wiki/Q33728280", "Q33728280")</f>
        <v>0</v>
      </c>
      <c r="G3060" t="s">
        <v>2176</v>
      </c>
      <c r="H3060" t="s">
        <v>6790</v>
      </c>
      <c r="I3060" t="s">
        <v>10106</v>
      </c>
      <c r="J3060" t="s">
        <v>12839</v>
      </c>
      <c r="K3060" t="s">
        <v>17252</v>
      </c>
      <c r="L3060">
        <f>HYPERLINK("https://www2.assemblee-nationale.fr/sycomore/fiche/(num_dept)/7021", "7021")</f>
        <v>0</v>
      </c>
      <c r="M3060">
        <f>HYPERLINK("https://www.senat.fr/senateur-3eme-republique/thibault_albert1243r3.html", "thibault_albert1243r3")</f>
        <v>0</v>
      </c>
      <c r="N3060">
        <f>HYPERLINK("https://www.wikidata.org/wiki/Q2831577", "Q2831577")</f>
        <v>0</v>
      </c>
      <c r="O3060" t="s">
        <v>19956</v>
      </c>
      <c r="P3060" t="s">
        <v>20412</v>
      </c>
      <c r="Q3060" t="s">
        <v>20588</v>
      </c>
      <c r="R3060" t="s">
        <v>413</v>
      </c>
      <c r="S3060">
        <v>1493</v>
      </c>
    </row>
    <row r="3061" spans="1:19">
      <c r="A3061" t="s">
        <v>23</v>
      </c>
      <c r="B3061" t="s">
        <v>148</v>
      </c>
      <c r="C3061" t="s">
        <v>155</v>
      </c>
      <c r="D3061" t="s">
        <v>284</v>
      </c>
      <c r="E3061" t="s">
        <v>413</v>
      </c>
      <c r="F3061">
        <f>HYPERLINK("https://www.wikidata.org/wiki/Q33728280", "Q33728280")</f>
        <v>0</v>
      </c>
      <c r="G3061" t="s">
        <v>1902</v>
      </c>
      <c r="H3061" t="s">
        <v>5807</v>
      </c>
      <c r="I3061" t="s">
        <v>9992</v>
      </c>
      <c r="J3061" t="s">
        <v>12589</v>
      </c>
      <c r="K3061" t="s">
        <v>17000</v>
      </c>
      <c r="L3061">
        <f>HYPERLINK("https://www2.assemblee-nationale.fr/sycomore/fiche/(num_dept)/7039", "7039")</f>
        <v>0</v>
      </c>
      <c r="N3061">
        <f>HYPERLINK("https://www.wikidata.org/wiki/Q3155329", "Q3155329")</f>
        <v>0</v>
      </c>
      <c r="O3061" t="s">
        <v>19999</v>
      </c>
      <c r="P3061" t="s">
        <v>20404</v>
      </c>
      <c r="Q3061" t="s">
        <v>20588</v>
      </c>
      <c r="R3061" t="s">
        <v>413</v>
      </c>
      <c r="S3061">
        <v>1493</v>
      </c>
    </row>
    <row r="3062" spans="1:19">
      <c r="A3062" t="s">
        <v>23</v>
      </c>
      <c r="B3062" t="s">
        <v>148</v>
      </c>
      <c r="C3062" t="s">
        <v>155</v>
      </c>
      <c r="D3062" t="s">
        <v>284</v>
      </c>
      <c r="E3062" t="s">
        <v>413</v>
      </c>
      <c r="F3062">
        <f>HYPERLINK("https://www.wikidata.org/wiki/Q33728280", "Q33728280")</f>
        <v>0</v>
      </c>
      <c r="G3062" t="s">
        <v>2177</v>
      </c>
      <c r="H3062" t="s">
        <v>6367</v>
      </c>
      <c r="I3062" t="s">
        <v>9606</v>
      </c>
      <c r="J3062" t="s">
        <v>12840</v>
      </c>
      <c r="K3062" t="s">
        <v>17253</v>
      </c>
      <c r="L3062">
        <f>HYPERLINK("https://www2.assemblee-nationale.fr/sycomore/fiche/(num_dept)/7049", "7049")</f>
        <v>0</v>
      </c>
      <c r="N3062">
        <f>HYPERLINK("https://www.wikidata.org/wiki/Q3167841", "Q3167841")</f>
        <v>0</v>
      </c>
      <c r="O3062" t="s">
        <v>19994</v>
      </c>
      <c r="P3062" t="s">
        <v>20404</v>
      </c>
      <c r="Q3062" t="s">
        <v>20588</v>
      </c>
      <c r="R3062" t="s">
        <v>413</v>
      </c>
      <c r="S3062">
        <v>1493</v>
      </c>
    </row>
    <row r="3063" spans="1:19">
      <c r="A3063" t="s">
        <v>23</v>
      </c>
      <c r="B3063" t="s">
        <v>148</v>
      </c>
      <c r="C3063" t="s">
        <v>155</v>
      </c>
      <c r="D3063" t="s">
        <v>284</v>
      </c>
      <c r="E3063" t="s">
        <v>413</v>
      </c>
      <c r="F3063">
        <f>HYPERLINK("https://www.wikidata.org/wiki/Q33728280", "Q33728280")</f>
        <v>0</v>
      </c>
      <c r="G3063" t="s">
        <v>1637</v>
      </c>
      <c r="H3063" t="s">
        <v>6322</v>
      </c>
      <c r="I3063" t="s">
        <v>9867</v>
      </c>
      <c r="J3063" t="s">
        <v>12344</v>
      </c>
      <c r="K3063" t="s">
        <v>16751</v>
      </c>
      <c r="L3063">
        <f>HYPERLINK("https://www2.assemblee-nationale.fr/sycomore/fiche/(num_dept)/7128", "7128")</f>
        <v>0</v>
      </c>
      <c r="N3063">
        <f>HYPERLINK("https://www.wikidata.org/wiki/Q2828093", "Q2828093")</f>
        <v>0</v>
      </c>
      <c r="O3063" t="s">
        <v>19982</v>
      </c>
      <c r="P3063" t="s">
        <v>20401</v>
      </c>
      <c r="Q3063" t="s">
        <v>20588</v>
      </c>
      <c r="R3063" t="s">
        <v>413</v>
      </c>
      <c r="S3063">
        <v>1493</v>
      </c>
    </row>
    <row r="3064" spans="1:19">
      <c r="A3064" t="s">
        <v>23</v>
      </c>
      <c r="B3064" t="s">
        <v>148</v>
      </c>
      <c r="C3064" t="s">
        <v>155</v>
      </c>
      <c r="D3064" t="s">
        <v>284</v>
      </c>
      <c r="E3064" t="s">
        <v>413</v>
      </c>
      <c r="F3064">
        <f>HYPERLINK("https://www.wikidata.org/wiki/Q33728280", "Q33728280")</f>
        <v>0</v>
      </c>
      <c r="G3064" t="s">
        <v>1907</v>
      </c>
      <c r="H3064" t="s">
        <v>6556</v>
      </c>
      <c r="I3064" t="s">
        <v>9457</v>
      </c>
      <c r="J3064" t="s">
        <v>12593</v>
      </c>
      <c r="K3064" t="s">
        <v>17005</v>
      </c>
      <c r="L3064">
        <f>HYPERLINK("https://www2.assemblee-nationale.fr/sycomore/fiche/(num_dept)/7150", "7150")</f>
        <v>0</v>
      </c>
      <c r="N3064">
        <f>HYPERLINK("https://www.wikidata.org/wiki/Q3132090", "Q3132090")</f>
        <v>0</v>
      </c>
      <c r="O3064" t="s">
        <v>19971</v>
      </c>
      <c r="P3064" t="s">
        <v>20433</v>
      </c>
      <c r="Q3064" t="s">
        <v>20588</v>
      </c>
      <c r="R3064" t="s">
        <v>413</v>
      </c>
      <c r="S3064">
        <v>1493</v>
      </c>
    </row>
    <row r="3065" spans="1:19">
      <c r="A3065" t="s">
        <v>23</v>
      </c>
      <c r="B3065" t="s">
        <v>148</v>
      </c>
      <c r="C3065" t="s">
        <v>155</v>
      </c>
      <c r="D3065" t="s">
        <v>284</v>
      </c>
      <c r="E3065" t="s">
        <v>413</v>
      </c>
      <c r="F3065">
        <f>HYPERLINK("https://www.wikidata.org/wiki/Q33728280", "Q33728280")</f>
        <v>0</v>
      </c>
      <c r="G3065" t="s">
        <v>2178</v>
      </c>
      <c r="H3065" t="s">
        <v>6791</v>
      </c>
      <c r="I3065" t="s">
        <v>6860</v>
      </c>
      <c r="J3065" t="s">
        <v>12841</v>
      </c>
      <c r="K3065" t="s">
        <v>17254</v>
      </c>
      <c r="L3065">
        <f>HYPERLINK("https://www2.assemblee-nationale.fr/sycomore/fiche/(num_dept)/7152", "7152")</f>
        <v>0</v>
      </c>
      <c r="N3065">
        <f>HYPERLINK("https://www.wikidata.org/wiki/Q3387161", "Q3387161")</f>
        <v>0</v>
      </c>
      <c r="O3065" t="s">
        <v>20043</v>
      </c>
      <c r="P3065" t="s">
        <v>20412</v>
      </c>
      <c r="Q3065" t="s">
        <v>20588</v>
      </c>
      <c r="R3065" t="s">
        <v>413</v>
      </c>
      <c r="S3065">
        <v>1493</v>
      </c>
    </row>
    <row r="3066" spans="1:19">
      <c r="A3066" t="s">
        <v>23</v>
      </c>
      <c r="B3066" t="s">
        <v>148</v>
      </c>
      <c r="C3066" t="s">
        <v>155</v>
      </c>
      <c r="D3066" t="s">
        <v>284</v>
      </c>
      <c r="E3066" t="s">
        <v>413</v>
      </c>
      <c r="F3066">
        <f>HYPERLINK("https://www.wikidata.org/wiki/Q33728280", "Q33728280")</f>
        <v>0</v>
      </c>
      <c r="G3066" t="s">
        <v>2179</v>
      </c>
      <c r="H3066" t="s">
        <v>6792</v>
      </c>
      <c r="I3066" t="s">
        <v>10107</v>
      </c>
      <c r="J3066" t="s">
        <v>12842</v>
      </c>
      <c r="K3066" t="s">
        <v>17255</v>
      </c>
      <c r="L3066">
        <f>HYPERLINK("https://www2.assemblee-nationale.fr/sycomore/fiche/(num_dept)/7156", "7156")</f>
        <v>0</v>
      </c>
      <c r="N3066">
        <f>HYPERLINK("https://www.wikidata.org/wiki/Q15972017", "Q15972017")</f>
        <v>0</v>
      </c>
      <c r="O3066" t="s">
        <v>20015</v>
      </c>
      <c r="P3066" t="s">
        <v>20404</v>
      </c>
      <c r="Q3066" t="s">
        <v>20588</v>
      </c>
      <c r="R3066" t="s">
        <v>413</v>
      </c>
      <c r="S3066">
        <v>1493</v>
      </c>
    </row>
    <row r="3067" spans="1:19">
      <c r="A3067" t="s">
        <v>23</v>
      </c>
      <c r="B3067" t="s">
        <v>148</v>
      </c>
      <c r="C3067" t="s">
        <v>155</v>
      </c>
      <c r="D3067" t="s">
        <v>284</v>
      </c>
      <c r="E3067" t="s">
        <v>413</v>
      </c>
      <c r="F3067">
        <f>HYPERLINK("https://www.wikidata.org/wiki/Q33728280", "Q33728280")</f>
        <v>0</v>
      </c>
      <c r="G3067" t="s">
        <v>1639</v>
      </c>
      <c r="H3067" t="s">
        <v>6324</v>
      </c>
      <c r="I3067" t="s">
        <v>9449</v>
      </c>
      <c r="J3067" t="s">
        <v>12346</v>
      </c>
      <c r="K3067" t="s">
        <v>16753</v>
      </c>
      <c r="L3067">
        <f>HYPERLINK("https://www2.assemblee-nationale.fr/sycomore/fiche/(num_dept)/7184", "7184")</f>
        <v>0</v>
      </c>
      <c r="N3067">
        <f>HYPERLINK("https://www.wikidata.org/wiki/Q3188949", "Q3188949")</f>
        <v>0</v>
      </c>
      <c r="O3067" t="s">
        <v>19989</v>
      </c>
      <c r="P3067" t="s">
        <v>20404</v>
      </c>
      <c r="Q3067" t="s">
        <v>20588</v>
      </c>
      <c r="R3067" t="s">
        <v>413</v>
      </c>
      <c r="S3067">
        <v>1493</v>
      </c>
    </row>
    <row r="3068" spans="1:19">
      <c r="A3068" t="s">
        <v>23</v>
      </c>
      <c r="B3068" t="s">
        <v>148</v>
      </c>
      <c r="C3068" t="s">
        <v>155</v>
      </c>
      <c r="D3068" t="s">
        <v>284</v>
      </c>
      <c r="E3068" t="s">
        <v>413</v>
      </c>
      <c r="F3068">
        <f>HYPERLINK("https://www.wikidata.org/wiki/Q33728280", "Q33728280")</f>
        <v>0</v>
      </c>
      <c r="G3068" t="s">
        <v>823</v>
      </c>
      <c r="H3068" t="s">
        <v>5580</v>
      </c>
      <c r="I3068" t="s">
        <v>7642</v>
      </c>
      <c r="J3068" t="s">
        <v>11570</v>
      </c>
      <c r="K3068" t="s">
        <v>15973</v>
      </c>
      <c r="L3068">
        <f>HYPERLINK("https://www2.assemblee-nationale.fr/sycomore/fiche/(num_dept)/7238", "7238")</f>
        <v>0</v>
      </c>
      <c r="M3068">
        <f>HYPERLINK("https://www.senat.fr/senateur-3eme-republique/viollette_maurice0773r3.html", "viollette_maurice0773r3")</f>
        <v>0</v>
      </c>
      <c r="N3068">
        <f>HYPERLINK("https://www.wikidata.org/wiki/Q3301513", "Q3301513")</f>
        <v>0</v>
      </c>
      <c r="O3068" t="s">
        <v>19971</v>
      </c>
      <c r="P3068" t="s">
        <v>20406</v>
      </c>
      <c r="Q3068" t="s">
        <v>20588</v>
      </c>
      <c r="R3068" t="s">
        <v>18797</v>
      </c>
      <c r="S3068">
        <v>645</v>
      </c>
    </row>
    <row r="3069" spans="1:19">
      <c r="A3069" t="s">
        <v>23</v>
      </c>
      <c r="B3069" t="s">
        <v>148</v>
      </c>
      <c r="C3069" t="s">
        <v>155</v>
      </c>
      <c r="D3069" t="s">
        <v>284</v>
      </c>
      <c r="E3069" t="s">
        <v>413</v>
      </c>
      <c r="F3069">
        <f>HYPERLINK("https://www.wikidata.org/wiki/Q33728280", "Q33728280")</f>
        <v>0</v>
      </c>
      <c r="G3069" t="s">
        <v>2180</v>
      </c>
      <c r="H3069" t="s">
        <v>6793</v>
      </c>
      <c r="I3069" t="s">
        <v>6200</v>
      </c>
      <c r="J3069" t="s">
        <v>12843</v>
      </c>
      <c r="K3069" t="s">
        <v>16197</v>
      </c>
      <c r="L3069">
        <f>HYPERLINK("https://www2.assemblee-nationale.fr/sycomore/fiche/(num_dept)/7295", "7295")</f>
        <v>0</v>
      </c>
      <c r="N3069">
        <f>HYPERLINK("https://www.wikidata.org/wiki/Q3174977", "Q3174977")</f>
        <v>0</v>
      </c>
      <c r="O3069" t="s">
        <v>19989</v>
      </c>
      <c r="P3069" t="s">
        <v>20404</v>
      </c>
      <c r="Q3069" t="s">
        <v>20588</v>
      </c>
      <c r="R3069" t="s">
        <v>413</v>
      </c>
      <c r="S3069">
        <v>1493</v>
      </c>
    </row>
    <row r="3070" spans="1:19">
      <c r="A3070" t="s">
        <v>23</v>
      </c>
      <c r="B3070" t="s">
        <v>148</v>
      </c>
      <c r="C3070" t="s">
        <v>155</v>
      </c>
      <c r="D3070" t="s">
        <v>284</v>
      </c>
      <c r="E3070" t="s">
        <v>413</v>
      </c>
      <c r="F3070">
        <f>HYPERLINK("https://www.wikidata.org/wiki/Q33728280", "Q33728280")</f>
        <v>0</v>
      </c>
      <c r="G3070" t="s">
        <v>1642</v>
      </c>
      <c r="H3070" t="s">
        <v>5815</v>
      </c>
      <c r="I3070" t="s">
        <v>6941</v>
      </c>
      <c r="J3070" t="s">
        <v>12349</v>
      </c>
      <c r="K3070" t="s">
        <v>16756</v>
      </c>
      <c r="L3070">
        <f>HYPERLINK("https://www2.assemblee-nationale.fr/sycomore/fiche/(num_dept)/7300", "7300")</f>
        <v>0</v>
      </c>
      <c r="N3070">
        <f>HYPERLINK("https://www.wikidata.org/wiki/Q3311115", "Q3311115")</f>
        <v>0</v>
      </c>
      <c r="O3070" t="s">
        <v>20048</v>
      </c>
      <c r="P3070" t="s">
        <v>20407</v>
      </c>
      <c r="Q3070" t="s">
        <v>20588</v>
      </c>
      <c r="R3070" t="s">
        <v>413</v>
      </c>
      <c r="S3070">
        <v>1493</v>
      </c>
    </row>
    <row r="3071" spans="1:19">
      <c r="A3071" t="s">
        <v>23</v>
      </c>
      <c r="B3071" t="s">
        <v>148</v>
      </c>
      <c r="C3071" t="s">
        <v>155</v>
      </c>
      <c r="D3071" t="s">
        <v>284</v>
      </c>
      <c r="E3071" t="s">
        <v>413</v>
      </c>
      <c r="F3071">
        <f>HYPERLINK("https://www.wikidata.org/wiki/Q33728280", "Q33728280")</f>
        <v>0</v>
      </c>
      <c r="G3071" t="s">
        <v>2181</v>
      </c>
      <c r="H3071" t="s">
        <v>6794</v>
      </c>
      <c r="I3071" t="s">
        <v>9458</v>
      </c>
      <c r="J3071" t="s">
        <v>12844</v>
      </c>
      <c r="K3071" t="s">
        <v>17256</v>
      </c>
      <c r="L3071">
        <f>HYPERLINK("https://www2.assemblee-nationale.fr/sycomore/fiche/(num_dept)/7334", "7334")</f>
        <v>0</v>
      </c>
      <c r="N3071">
        <f>HYPERLINK("https://www.wikidata.org/wiki/Q16026589", "Q16026589")</f>
        <v>0</v>
      </c>
      <c r="O3071" t="s">
        <v>19997</v>
      </c>
      <c r="P3071" t="s">
        <v>20428</v>
      </c>
      <c r="Q3071" t="s">
        <v>20588</v>
      </c>
      <c r="R3071" t="s">
        <v>413</v>
      </c>
      <c r="S3071">
        <v>1493</v>
      </c>
    </row>
    <row r="3072" spans="1:19">
      <c r="A3072" t="s">
        <v>23</v>
      </c>
      <c r="B3072" t="s">
        <v>148</v>
      </c>
      <c r="C3072" t="s">
        <v>155</v>
      </c>
      <c r="D3072" t="s">
        <v>284</v>
      </c>
      <c r="E3072" t="s">
        <v>413</v>
      </c>
      <c r="F3072">
        <f>HYPERLINK("https://www.wikidata.org/wiki/Q33728280", "Q33728280")</f>
        <v>0</v>
      </c>
      <c r="G3072" t="s">
        <v>2182</v>
      </c>
      <c r="H3072" t="s">
        <v>5812</v>
      </c>
      <c r="I3072" t="s">
        <v>10108</v>
      </c>
      <c r="J3072" t="s">
        <v>12845</v>
      </c>
      <c r="K3072" t="s">
        <v>17257</v>
      </c>
      <c r="L3072">
        <f>HYPERLINK("https://www2.assemblee-nationale.fr/sycomore/fiche/(num_dept)/7338", "7338")</f>
        <v>0</v>
      </c>
      <c r="N3072">
        <f>HYPERLINK("https://www.wikidata.org/wiki/Q15971879", "Q15971879")</f>
        <v>0</v>
      </c>
      <c r="O3072" t="s">
        <v>19968</v>
      </c>
      <c r="P3072" t="s">
        <v>20406</v>
      </c>
      <c r="Q3072" t="s">
        <v>20588</v>
      </c>
      <c r="R3072" t="s">
        <v>413</v>
      </c>
      <c r="S3072">
        <v>1493</v>
      </c>
    </row>
    <row r="3073" spans="1:19">
      <c r="A3073" t="s">
        <v>23</v>
      </c>
      <c r="B3073" t="s">
        <v>148</v>
      </c>
      <c r="C3073" t="s">
        <v>155</v>
      </c>
      <c r="D3073" t="s">
        <v>284</v>
      </c>
      <c r="E3073" t="s">
        <v>413</v>
      </c>
      <c r="F3073">
        <f>HYPERLINK("https://www.wikidata.org/wiki/Q33728280", "Q33728280")</f>
        <v>0</v>
      </c>
      <c r="G3073" t="s">
        <v>2183</v>
      </c>
      <c r="H3073" t="s">
        <v>6795</v>
      </c>
      <c r="I3073" t="s">
        <v>9533</v>
      </c>
      <c r="J3073" t="s">
        <v>12846</v>
      </c>
      <c r="K3073" t="s">
        <v>17258</v>
      </c>
      <c r="L3073">
        <f>HYPERLINK("https://www2.assemblee-nationale.fr/sycomore/fiche/(num_dept)/7340", "7340")</f>
        <v>0</v>
      </c>
      <c r="N3073">
        <f>HYPERLINK("https://www.wikidata.org/wiki/Q15987639", "Q15987639")</f>
        <v>0</v>
      </c>
      <c r="O3073" t="s">
        <v>20036</v>
      </c>
      <c r="P3073" t="s">
        <v>20406</v>
      </c>
      <c r="Q3073" t="s">
        <v>20588</v>
      </c>
      <c r="R3073" t="s">
        <v>21433</v>
      </c>
      <c r="S3073">
        <v>67</v>
      </c>
    </row>
    <row r="3074" spans="1:19">
      <c r="A3074" t="s">
        <v>23</v>
      </c>
      <c r="B3074" t="s">
        <v>148</v>
      </c>
      <c r="C3074" t="s">
        <v>155</v>
      </c>
      <c r="D3074" t="s">
        <v>284</v>
      </c>
      <c r="E3074" t="s">
        <v>413</v>
      </c>
      <c r="F3074">
        <f>HYPERLINK("https://www.wikidata.org/wiki/Q33728280", "Q33728280")</f>
        <v>0</v>
      </c>
      <c r="G3074" t="s">
        <v>2184</v>
      </c>
      <c r="H3074" t="s">
        <v>6796</v>
      </c>
      <c r="I3074" t="s">
        <v>9407</v>
      </c>
      <c r="J3074" t="s">
        <v>12847</v>
      </c>
      <c r="K3074" t="s">
        <v>17259</v>
      </c>
      <c r="L3074">
        <f>HYPERLINK("https://www2.assemblee-nationale.fr/sycomore/fiche/(num_dept)/7343", "7343")</f>
        <v>0</v>
      </c>
      <c r="N3074">
        <f>HYPERLINK("https://www.wikidata.org/wiki/Q8340374", "Q8340374")</f>
        <v>0</v>
      </c>
      <c r="O3074" t="s">
        <v>20048</v>
      </c>
      <c r="P3074" t="s">
        <v>20422</v>
      </c>
      <c r="Q3074" t="s">
        <v>20588</v>
      </c>
      <c r="R3074" t="s">
        <v>413</v>
      </c>
      <c r="S3074">
        <v>1493</v>
      </c>
    </row>
    <row r="3075" spans="1:19">
      <c r="A3075" t="s">
        <v>23</v>
      </c>
      <c r="B3075" t="s">
        <v>148</v>
      </c>
      <c r="C3075" t="s">
        <v>155</v>
      </c>
      <c r="D3075" t="s">
        <v>284</v>
      </c>
      <c r="E3075" t="s">
        <v>413</v>
      </c>
      <c r="F3075">
        <f>HYPERLINK("https://www.wikidata.org/wiki/Q33728280", "Q33728280")</f>
        <v>0</v>
      </c>
      <c r="G3075" t="s">
        <v>2185</v>
      </c>
      <c r="H3075" t="s">
        <v>5592</v>
      </c>
      <c r="I3075" t="s">
        <v>6200</v>
      </c>
      <c r="J3075" t="s">
        <v>12848</v>
      </c>
      <c r="K3075" t="s">
        <v>17260</v>
      </c>
      <c r="L3075">
        <f>HYPERLINK("https://www2.assemblee-nationale.fr/sycomore/fiche/(num_dept)/7507", "7507")</f>
        <v>0</v>
      </c>
      <c r="N3075">
        <f>HYPERLINK("https://www.wikidata.org/wiki/Q3173035", "Q3173035")</f>
        <v>0</v>
      </c>
      <c r="O3075" t="s">
        <v>19964</v>
      </c>
      <c r="P3075" t="s">
        <v>20401</v>
      </c>
      <c r="Q3075" t="s">
        <v>20588</v>
      </c>
      <c r="R3075" t="s">
        <v>413</v>
      </c>
      <c r="S3075">
        <v>1493</v>
      </c>
    </row>
    <row r="3076" spans="1:19">
      <c r="A3076" t="s">
        <v>23</v>
      </c>
      <c r="B3076" t="s">
        <v>148</v>
      </c>
      <c r="C3076" t="s">
        <v>155</v>
      </c>
      <c r="D3076" t="s">
        <v>284</v>
      </c>
      <c r="E3076" t="s">
        <v>413</v>
      </c>
      <c r="F3076">
        <f>HYPERLINK("https://www.wikidata.org/wiki/Q33728280", "Q33728280")</f>
        <v>0</v>
      </c>
      <c r="G3076" t="s">
        <v>2186</v>
      </c>
      <c r="H3076" t="s">
        <v>6797</v>
      </c>
      <c r="I3076" t="s">
        <v>5528</v>
      </c>
      <c r="J3076" t="s">
        <v>12849</v>
      </c>
      <c r="K3076" t="s">
        <v>17261</v>
      </c>
      <c r="L3076">
        <f>HYPERLINK("https://www2.assemblee-nationale.fr/sycomore/fiche/(num_dept)/7518", "7518")</f>
        <v>0</v>
      </c>
      <c r="M3076">
        <f>HYPERLINK("https://www.senat.fr/senateur-3eme-republique/lauvray_leon0752r3.html", "lauvray_leon0752r3")</f>
        <v>0</v>
      </c>
      <c r="N3076">
        <f>HYPERLINK("https://www.wikidata.org/wiki/Q3271132", "Q3271132")</f>
        <v>0</v>
      </c>
      <c r="O3076" t="s">
        <v>19992</v>
      </c>
      <c r="P3076" t="s">
        <v>20429</v>
      </c>
      <c r="Q3076" t="s">
        <v>20588</v>
      </c>
      <c r="R3076" t="s">
        <v>413</v>
      </c>
      <c r="S3076">
        <v>1493</v>
      </c>
    </row>
    <row r="3077" spans="1:19">
      <c r="A3077" t="s">
        <v>23</v>
      </c>
      <c r="B3077" t="s">
        <v>148</v>
      </c>
      <c r="C3077" t="s">
        <v>155</v>
      </c>
      <c r="D3077" t="s">
        <v>284</v>
      </c>
      <c r="E3077" t="s">
        <v>413</v>
      </c>
      <c r="F3077">
        <f>HYPERLINK("https://www.wikidata.org/wiki/Q33728280", "Q33728280")</f>
        <v>0</v>
      </c>
      <c r="G3077" t="s">
        <v>2187</v>
      </c>
      <c r="H3077" t="s">
        <v>6798</v>
      </c>
      <c r="I3077" t="s">
        <v>6200</v>
      </c>
      <c r="J3077" t="s">
        <v>12850</v>
      </c>
      <c r="K3077" t="s">
        <v>17262</v>
      </c>
      <c r="L3077">
        <f>HYPERLINK("https://www2.assemblee-nationale.fr/sycomore/fiche/(num_dept)/7529", "7529")</f>
        <v>0</v>
      </c>
      <c r="N3077">
        <f>HYPERLINK("https://www.wikidata.org/wiki/Q3173048", "Q3173048")</f>
        <v>0</v>
      </c>
      <c r="O3077" t="s">
        <v>19994</v>
      </c>
      <c r="P3077" t="s">
        <v>20404</v>
      </c>
      <c r="Q3077" t="s">
        <v>20588</v>
      </c>
      <c r="R3077" t="s">
        <v>413</v>
      </c>
      <c r="S3077">
        <v>1493</v>
      </c>
    </row>
    <row r="3078" spans="1:19">
      <c r="A3078" t="s">
        <v>23</v>
      </c>
      <c r="B3078" t="s">
        <v>148</v>
      </c>
      <c r="C3078" t="s">
        <v>155</v>
      </c>
      <c r="D3078" t="s">
        <v>284</v>
      </c>
      <c r="E3078" t="s">
        <v>413</v>
      </c>
      <c r="F3078">
        <f>HYPERLINK("https://www.wikidata.org/wiki/Q33728280", "Q33728280")</f>
        <v>0</v>
      </c>
      <c r="G3078" t="s">
        <v>1682</v>
      </c>
      <c r="H3078" t="s">
        <v>6361</v>
      </c>
      <c r="I3078" t="s">
        <v>9883</v>
      </c>
      <c r="J3078" t="s">
        <v>12386</v>
      </c>
      <c r="K3078" t="s">
        <v>16796</v>
      </c>
      <c r="L3078">
        <f>HYPERLINK("https://www2.assemblee-nationale.fr/sycomore/fiche/(num_dept)/7559", "7559")</f>
        <v>0</v>
      </c>
      <c r="N3078">
        <f>HYPERLINK("https://www.wikidata.org/wiki/Q13080919", "Q13080919")</f>
        <v>0</v>
      </c>
      <c r="O3078" t="s">
        <v>19969</v>
      </c>
      <c r="P3078" t="s">
        <v>20422</v>
      </c>
      <c r="Q3078" t="s">
        <v>20588</v>
      </c>
      <c r="R3078" t="s">
        <v>413</v>
      </c>
      <c r="S3078">
        <v>1493</v>
      </c>
    </row>
    <row r="3079" spans="1:19">
      <c r="A3079" t="s">
        <v>23</v>
      </c>
      <c r="B3079" t="s">
        <v>148</v>
      </c>
      <c r="C3079" t="s">
        <v>155</v>
      </c>
      <c r="D3079" t="s">
        <v>284</v>
      </c>
      <c r="E3079" t="s">
        <v>413</v>
      </c>
      <c r="F3079">
        <f>HYPERLINK("https://www.wikidata.org/wiki/Q33728280", "Q33728280")</f>
        <v>0</v>
      </c>
      <c r="G3079" t="s">
        <v>1688</v>
      </c>
      <c r="H3079" t="s">
        <v>6366</v>
      </c>
      <c r="I3079" t="s">
        <v>9888</v>
      </c>
      <c r="J3079" t="s">
        <v>12392</v>
      </c>
      <c r="K3079" t="s">
        <v>16801</v>
      </c>
      <c r="L3079">
        <f>HYPERLINK("https://www2.assemblee-nationale.fr/sycomore/fiche/(num_dept)/7590", "7590")</f>
        <v>0</v>
      </c>
      <c r="N3079">
        <f>HYPERLINK("https://www.wikidata.org/wiki/Q3557410", "Q3557410")</f>
        <v>0</v>
      </c>
      <c r="O3079" t="s">
        <v>19964</v>
      </c>
      <c r="P3079" t="s">
        <v>20422</v>
      </c>
      <c r="Q3079" t="s">
        <v>20588</v>
      </c>
      <c r="R3079" t="s">
        <v>413</v>
      </c>
      <c r="S3079">
        <v>1493</v>
      </c>
    </row>
    <row r="3080" spans="1:19">
      <c r="A3080" t="s">
        <v>23</v>
      </c>
      <c r="B3080" t="s">
        <v>148</v>
      </c>
      <c r="C3080" t="s">
        <v>155</v>
      </c>
      <c r="D3080" t="s">
        <v>284</v>
      </c>
      <c r="E3080" t="s">
        <v>413</v>
      </c>
      <c r="F3080">
        <f>HYPERLINK("https://www.wikidata.org/wiki/Q33728280", "Q33728280")</f>
        <v>0</v>
      </c>
      <c r="G3080" t="s">
        <v>2188</v>
      </c>
      <c r="H3080" t="s">
        <v>6799</v>
      </c>
      <c r="I3080" t="s">
        <v>10109</v>
      </c>
      <c r="J3080" t="s">
        <v>12851</v>
      </c>
      <c r="K3080" t="s">
        <v>17263</v>
      </c>
      <c r="L3080">
        <f>HYPERLINK("https://www2.assemblee-nationale.fr/sycomore/fiche/(num_dept)/7609", "7609")</f>
        <v>0</v>
      </c>
      <c r="N3080">
        <f>HYPERLINK("https://www.wikidata.org/wiki/Q3185231", "Q3185231")</f>
        <v>0</v>
      </c>
      <c r="O3080" t="s">
        <v>19961</v>
      </c>
      <c r="P3080" t="s">
        <v>20407</v>
      </c>
      <c r="Q3080" t="s">
        <v>20588</v>
      </c>
      <c r="R3080" t="s">
        <v>413</v>
      </c>
      <c r="S3080">
        <v>1493</v>
      </c>
    </row>
    <row r="3081" spans="1:19">
      <c r="A3081" t="s">
        <v>23</v>
      </c>
      <c r="B3081" t="s">
        <v>148</v>
      </c>
      <c r="C3081" t="s">
        <v>155</v>
      </c>
      <c r="D3081" t="s">
        <v>284</v>
      </c>
      <c r="E3081" t="s">
        <v>413</v>
      </c>
      <c r="F3081">
        <f>HYPERLINK("https://www.wikidata.org/wiki/Q33728280", "Q33728280")</f>
        <v>0</v>
      </c>
      <c r="G3081" t="s">
        <v>2189</v>
      </c>
      <c r="H3081" t="s">
        <v>6800</v>
      </c>
      <c r="I3081" t="s">
        <v>9476</v>
      </c>
      <c r="J3081" t="s">
        <v>12852</v>
      </c>
      <c r="K3081" t="s">
        <v>17264</v>
      </c>
      <c r="L3081">
        <f>HYPERLINK("https://www2.assemblee-nationale.fr/sycomore/fiche/(num_dept)/7651", "7651")</f>
        <v>0</v>
      </c>
      <c r="N3081">
        <f>HYPERLINK("https://www.wikidata.org/wiki/Q3426502", "Q3426502")</f>
        <v>0</v>
      </c>
      <c r="O3081" t="s">
        <v>19978</v>
      </c>
      <c r="P3081" t="s">
        <v>20404</v>
      </c>
      <c r="Q3081" t="s">
        <v>20588</v>
      </c>
      <c r="R3081" t="s">
        <v>413</v>
      </c>
      <c r="S3081">
        <v>1493</v>
      </c>
    </row>
    <row r="3082" spans="1:19">
      <c r="A3082" t="s">
        <v>23</v>
      </c>
      <c r="B3082" t="s">
        <v>148</v>
      </c>
      <c r="C3082" t="s">
        <v>155</v>
      </c>
      <c r="D3082" t="s">
        <v>284</v>
      </c>
      <c r="E3082" t="s">
        <v>413</v>
      </c>
      <c r="F3082">
        <f>HYPERLINK("https://www.wikidata.org/wiki/Q33728280", "Q33728280")</f>
        <v>0</v>
      </c>
      <c r="G3082" t="s">
        <v>1211</v>
      </c>
      <c r="H3082" t="s">
        <v>5939</v>
      </c>
      <c r="I3082" t="s">
        <v>6166</v>
      </c>
      <c r="J3082" t="s">
        <v>11943</v>
      </c>
      <c r="K3082" t="s">
        <v>16345</v>
      </c>
      <c r="L3082">
        <f>HYPERLINK("https://www2.assemblee-nationale.fr/sycomore/fiche/(num_dept)/7688", "7688")</f>
        <v>0</v>
      </c>
      <c r="N3082">
        <f>HYPERLINK("https://www.wikidata.org/wiki/Q16025975", "Q16025975")</f>
        <v>0</v>
      </c>
      <c r="O3082" t="s">
        <v>20013</v>
      </c>
      <c r="P3082" t="s">
        <v>20404</v>
      </c>
      <c r="Q3082" t="s">
        <v>20588</v>
      </c>
      <c r="R3082" t="s">
        <v>413</v>
      </c>
      <c r="S3082">
        <v>1493</v>
      </c>
    </row>
    <row r="3083" spans="1:19">
      <c r="A3083" t="s">
        <v>23</v>
      </c>
      <c r="B3083" t="s">
        <v>148</v>
      </c>
      <c r="C3083" t="s">
        <v>155</v>
      </c>
      <c r="D3083" t="s">
        <v>284</v>
      </c>
      <c r="E3083" t="s">
        <v>413</v>
      </c>
      <c r="F3083">
        <f>HYPERLINK("https://www.wikidata.org/wiki/Q33728280", "Q33728280")</f>
        <v>0</v>
      </c>
      <c r="G3083" t="s">
        <v>2190</v>
      </c>
      <c r="H3083" t="s">
        <v>6801</v>
      </c>
      <c r="I3083" t="s">
        <v>10110</v>
      </c>
      <c r="J3083" t="s">
        <v>12853</v>
      </c>
      <c r="K3083" t="s">
        <v>17265</v>
      </c>
      <c r="L3083">
        <f>HYPERLINK("https://www2.assemblee-nationale.fr/sycomore/fiche/(num_dept)/7719", "7719")</f>
        <v>0</v>
      </c>
      <c r="N3083">
        <f>HYPERLINK("https://www.wikidata.org/wiki/Q16025978", "Q16025978")</f>
        <v>0</v>
      </c>
      <c r="O3083" t="s">
        <v>19987</v>
      </c>
      <c r="P3083" t="s">
        <v>20412</v>
      </c>
      <c r="Q3083" t="s">
        <v>20588</v>
      </c>
      <c r="R3083" t="s">
        <v>413</v>
      </c>
      <c r="S3083">
        <v>1493</v>
      </c>
    </row>
    <row r="3084" spans="1:19">
      <c r="A3084" t="s">
        <v>23</v>
      </c>
      <c r="B3084" t="s">
        <v>148</v>
      </c>
      <c r="C3084" t="s">
        <v>155</v>
      </c>
      <c r="D3084" t="s">
        <v>284</v>
      </c>
      <c r="E3084" t="s">
        <v>413</v>
      </c>
      <c r="F3084">
        <f>HYPERLINK("https://www.wikidata.org/wiki/Q33728280", "Q33728280")</f>
        <v>0</v>
      </c>
      <c r="G3084" t="s">
        <v>1327</v>
      </c>
      <c r="H3084" t="s">
        <v>6046</v>
      </c>
      <c r="I3084" t="s">
        <v>9753</v>
      </c>
      <c r="J3084" t="s">
        <v>12055</v>
      </c>
      <c r="K3084" t="s">
        <v>16456</v>
      </c>
      <c r="L3084">
        <f>HYPERLINK("https://www2.assemblee-nationale.fr/sycomore/fiche/(num_dept)/7730", "7730")</f>
        <v>0</v>
      </c>
      <c r="N3084">
        <f>HYPERLINK("https://www.wikidata.org/wiki/Q1508764", "Q1508764")</f>
        <v>0</v>
      </c>
      <c r="O3084" t="s">
        <v>20039</v>
      </c>
      <c r="P3084" t="s">
        <v>20412</v>
      </c>
      <c r="Q3084" t="s">
        <v>20588</v>
      </c>
      <c r="R3084" t="s">
        <v>413</v>
      </c>
      <c r="S3084">
        <v>1493</v>
      </c>
    </row>
    <row r="3085" spans="1:19">
      <c r="A3085" t="s">
        <v>23</v>
      </c>
      <c r="B3085" t="s">
        <v>148</v>
      </c>
      <c r="C3085" t="s">
        <v>155</v>
      </c>
      <c r="D3085" t="s">
        <v>284</v>
      </c>
      <c r="E3085" t="s">
        <v>413</v>
      </c>
      <c r="F3085">
        <f>HYPERLINK("https://www.wikidata.org/wiki/Q33728280", "Q33728280")</f>
        <v>0</v>
      </c>
      <c r="G3085" t="s">
        <v>1936</v>
      </c>
      <c r="H3085" t="s">
        <v>6582</v>
      </c>
      <c r="I3085" t="s">
        <v>6495</v>
      </c>
      <c r="J3085" t="s">
        <v>12620</v>
      </c>
      <c r="K3085" t="s">
        <v>17032</v>
      </c>
      <c r="L3085">
        <f>HYPERLINK("https://www2.assemblee-nationale.fr/sycomore/fiche/(num_dept)/7733", "7733")</f>
        <v>0</v>
      </c>
      <c r="N3085">
        <f>HYPERLINK("https://www.wikidata.org/wiki/Q16025980", "Q16025980")</f>
        <v>0</v>
      </c>
      <c r="O3085" t="s">
        <v>19956</v>
      </c>
      <c r="P3085" t="s">
        <v>20429</v>
      </c>
      <c r="Q3085" t="s">
        <v>20588</v>
      </c>
      <c r="R3085" t="s">
        <v>413</v>
      </c>
      <c r="S3085">
        <v>1493</v>
      </c>
    </row>
    <row r="3086" spans="1:19">
      <c r="A3086" t="s">
        <v>23</v>
      </c>
      <c r="B3086" t="s">
        <v>148</v>
      </c>
      <c r="C3086" t="s">
        <v>155</v>
      </c>
      <c r="D3086" t="s">
        <v>284</v>
      </c>
      <c r="E3086" t="s">
        <v>413</v>
      </c>
      <c r="F3086">
        <f>HYPERLINK("https://www.wikidata.org/wiki/Q33728280", "Q33728280")</f>
        <v>0</v>
      </c>
      <c r="G3086" t="s">
        <v>2191</v>
      </c>
      <c r="H3086" t="s">
        <v>6802</v>
      </c>
      <c r="I3086" t="s">
        <v>9421</v>
      </c>
      <c r="J3086" t="s">
        <v>12854</v>
      </c>
      <c r="K3086" t="s">
        <v>17266</v>
      </c>
      <c r="L3086">
        <f>HYPERLINK("https://www2.assemblee-nationale.fr/sycomore/fiche/(num_dept)/7749", "7749")</f>
        <v>0</v>
      </c>
      <c r="N3086">
        <f>HYPERLINK("https://www.wikidata.org/wiki/Q16011464", "Q16011464")</f>
        <v>0</v>
      </c>
      <c r="O3086" t="s">
        <v>19968</v>
      </c>
      <c r="P3086" t="s">
        <v>20401</v>
      </c>
      <c r="Q3086" t="s">
        <v>20588</v>
      </c>
      <c r="R3086" t="s">
        <v>413</v>
      </c>
      <c r="S3086">
        <v>1493</v>
      </c>
    </row>
    <row r="3087" spans="1:19">
      <c r="A3087" t="s">
        <v>23</v>
      </c>
      <c r="B3087" t="s">
        <v>148</v>
      </c>
      <c r="C3087" t="s">
        <v>155</v>
      </c>
      <c r="D3087" t="s">
        <v>284</v>
      </c>
      <c r="E3087" t="s">
        <v>413</v>
      </c>
      <c r="F3087">
        <f>HYPERLINK("https://www.wikidata.org/wiki/Q33728280", "Q33728280")</f>
        <v>0</v>
      </c>
      <c r="G3087" t="s">
        <v>1129</v>
      </c>
      <c r="H3087" t="s">
        <v>5611</v>
      </c>
      <c r="I3087" t="s">
        <v>6200</v>
      </c>
      <c r="J3087" t="s">
        <v>11863</v>
      </c>
      <c r="K3087" t="s">
        <v>16265</v>
      </c>
      <c r="L3087">
        <f>HYPERLINK("https://www2.assemblee-nationale.fr/sycomore/fiche/(num_dept)/7790", "7790")</f>
        <v>0</v>
      </c>
      <c r="N3087">
        <f>HYPERLINK("https://www.wikidata.org/wiki/Q13080902", "Q13080902")</f>
        <v>0</v>
      </c>
      <c r="O3087" t="s">
        <v>19969</v>
      </c>
      <c r="P3087" t="s">
        <v>20430</v>
      </c>
      <c r="Q3087" t="s">
        <v>20588</v>
      </c>
      <c r="R3087" t="s">
        <v>413</v>
      </c>
      <c r="S3087">
        <v>1493</v>
      </c>
    </row>
    <row r="3088" spans="1:19">
      <c r="A3088" t="s">
        <v>23</v>
      </c>
      <c r="B3088" t="s">
        <v>148</v>
      </c>
      <c r="C3088" t="s">
        <v>155</v>
      </c>
      <c r="D3088" t="s">
        <v>284</v>
      </c>
      <c r="E3088" t="s">
        <v>413</v>
      </c>
      <c r="F3088">
        <f>HYPERLINK("https://www.wikidata.org/wiki/Q33728280", "Q33728280")</f>
        <v>0</v>
      </c>
      <c r="G3088" t="s">
        <v>2192</v>
      </c>
      <c r="H3088" t="s">
        <v>6803</v>
      </c>
      <c r="I3088" t="s">
        <v>9421</v>
      </c>
      <c r="J3088" t="s">
        <v>12855</v>
      </c>
      <c r="K3088" t="s">
        <v>17267</v>
      </c>
      <c r="L3088">
        <f>HYPERLINK("https://www2.assemblee-nationale.fr/sycomore/fiche/(num_dept)/7810", "7810")</f>
        <v>0</v>
      </c>
      <c r="N3088">
        <f>HYPERLINK("https://www.wikidata.org/wiki/Q13080882", "Q13080882")</f>
        <v>0</v>
      </c>
      <c r="O3088" t="s">
        <v>19969</v>
      </c>
      <c r="P3088" t="s">
        <v>20407</v>
      </c>
      <c r="Q3088" t="s">
        <v>20588</v>
      </c>
      <c r="R3088" t="s">
        <v>413</v>
      </c>
      <c r="S3088">
        <v>1493</v>
      </c>
    </row>
    <row r="3089" spans="1:19">
      <c r="A3089" t="s">
        <v>23</v>
      </c>
      <c r="B3089" t="s">
        <v>148</v>
      </c>
      <c r="C3089" t="s">
        <v>155</v>
      </c>
      <c r="D3089" t="s">
        <v>284</v>
      </c>
      <c r="E3089" t="s">
        <v>413</v>
      </c>
      <c r="F3089">
        <f>HYPERLINK("https://www.wikidata.org/wiki/Q33728280", "Q33728280")</f>
        <v>0</v>
      </c>
      <c r="G3089" t="s">
        <v>1919</v>
      </c>
      <c r="H3089" t="s">
        <v>6567</v>
      </c>
      <c r="I3089" t="s">
        <v>6175</v>
      </c>
      <c r="J3089" t="s">
        <v>12604</v>
      </c>
      <c r="K3089" t="s">
        <v>17016</v>
      </c>
      <c r="L3089">
        <f>HYPERLINK("https://www2.assemblee-nationale.fr/sycomore/fiche/(num_dept)/7838", "7838")</f>
        <v>0</v>
      </c>
      <c r="N3089">
        <f>HYPERLINK("https://www.wikidata.org/wiki/Q3103129", "Q3103129")</f>
        <v>0</v>
      </c>
      <c r="O3089" t="s">
        <v>20022</v>
      </c>
      <c r="P3089" t="s">
        <v>20428</v>
      </c>
      <c r="Q3089" t="s">
        <v>20588</v>
      </c>
      <c r="R3089" t="s">
        <v>413</v>
      </c>
      <c r="S3089">
        <v>1493</v>
      </c>
    </row>
    <row r="3090" spans="1:19">
      <c r="A3090" t="s">
        <v>23</v>
      </c>
      <c r="B3090" t="s">
        <v>148</v>
      </c>
      <c r="C3090" t="s">
        <v>155</v>
      </c>
      <c r="D3090" t="s">
        <v>284</v>
      </c>
      <c r="E3090" t="s">
        <v>413</v>
      </c>
      <c r="F3090">
        <f>HYPERLINK("https://www.wikidata.org/wiki/Q33728280", "Q33728280")</f>
        <v>0</v>
      </c>
      <c r="G3090" t="s">
        <v>2193</v>
      </c>
      <c r="H3090" t="s">
        <v>6804</v>
      </c>
      <c r="I3090" t="s">
        <v>10111</v>
      </c>
      <c r="J3090" t="s">
        <v>12856</v>
      </c>
      <c r="K3090" t="s">
        <v>17268</v>
      </c>
      <c r="L3090">
        <f>HYPERLINK("https://www2.assemblee-nationale.fr/sycomore/fiche/(num_dept)/7850", "7850")</f>
        <v>0</v>
      </c>
      <c r="N3090">
        <f>HYPERLINK("https://www.wikidata.org/wiki/Q16026000", "Q16026000")</f>
        <v>0</v>
      </c>
      <c r="O3090" t="s">
        <v>20013</v>
      </c>
      <c r="P3090" t="s">
        <v>20412</v>
      </c>
      <c r="Q3090" t="s">
        <v>20588</v>
      </c>
      <c r="R3090" t="s">
        <v>413</v>
      </c>
      <c r="S3090">
        <v>1493</v>
      </c>
    </row>
    <row r="3091" spans="1:19">
      <c r="A3091" t="s">
        <v>23</v>
      </c>
      <c r="B3091" t="s">
        <v>148</v>
      </c>
      <c r="C3091" t="s">
        <v>155</v>
      </c>
      <c r="D3091" t="s">
        <v>284</v>
      </c>
      <c r="E3091" t="s">
        <v>413</v>
      </c>
      <c r="F3091">
        <f>HYPERLINK("https://www.wikidata.org/wiki/Q33728280", "Q33728280")</f>
        <v>0</v>
      </c>
      <c r="G3091" t="s">
        <v>2194</v>
      </c>
      <c r="H3091" t="s">
        <v>6805</v>
      </c>
      <c r="I3091" t="s">
        <v>9457</v>
      </c>
      <c r="J3091" t="s">
        <v>12857</v>
      </c>
      <c r="K3091" t="s">
        <v>17269</v>
      </c>
      <c r="L3091">
        <f>HYPERLINK("https://www2.assemblee-nationale.fr/sycomore/fiche/(num_dept)/7853", "7853")</f>
        <v>0</v>
      </c>
      <c r="N3091">
        <f>HYPERLINK("https://www.wikidata.org/wiki/Q3131493", "Q3131493")</f>
        <v>0</v>
      </c>
      <c r="O3091" t="s">
        <v>19970</v>
      </c>
      <c r="P3091" t="s">
        <v>20401</v>
      </c>
      <c r="Q3091" t="s">
        <v>20588</v>
      </c>
      <c r="R3091" t="s">
        <v>413</v>
      </c>
      <c r="S3091">
        <v>1493</v>
      </c>
    </row>
    <row r="3092" spans="1:19">
      <c r="A3092" t="s">
        <v>23</v>
      </c>
      <c r="B3092" t="s">
        <v>148</v>
      </c>
      <c r="C3092" t="s">
        <v>155</v>
      </c>
      <c r="D3092" t="s">
        <v>284</v>
      </c>
      <c r="E3092" t="s">
        <v>413</v>
      </c>
      <c r="F3092">
        <f>HYPERLINK("https://www.wikidata.org/wiki/Q33728280", "Q33728280")</f>
        <v>0</v>
      </c>
      <c r="G3092" t="s">
        <v>1331</v>
      </c>
      <c r="H3092" t="s">
        <v>6050</v>
      </c>
      <c r="I3092" t="s">
        <v>6200</v>
      </c>
      <c r="J3092" t="s">
        <v>12058</v>
      </c>
      <c r="K3092" t="s">
        <v>16460</v>
      </c>
      <c r="L3092">
        <f>HYPERLINK("https://www2.assemblee-nationale.fr/sycomore/fiche/(num_dept)/7876", "7876")</f>
        <v>0</v>
      </c>
      <c r="N3092">
        <f>HYPERLINK("https://www.wikidata.org/wiki/Q8318774", "Q8318774")</f>
        <v>0</v>
      </c>
      <c r="O3092" t="s">
        <v>20032</v>
      </c>
      <c r="P3092" t="s">
        <v>20404</v>
      </c>
      <c r="Q3092" t="s">
        <v>20588</v>
      </c>
      <c r="R3092" t="s">
        <v>413</v>
      </c>
      <c r="S3092">
        <v>1493</v>
      </c>
    </row>
    <row r="3093" spans="1:19">
      <c r="A3093" t="s">
        <v>23</v>
      </c>
      <c r="B3093" t="s">
        <v>148</v>
      </c>
      <c r="C3093" t="s">
        <v>155</v>
      </c>
      <c r="D3093" t="s">
        <v>284</v>
      </c>
      <c r="E3093" t="s">
        <v>413</v>
      </c>
      <c r="F3093">
        <f>HYPERLINK("https://www.wikidata.org/wiki/Q33728280", "Q33728280")</f>
        <v>0</v>
      </c>
      <c r="G3093" t="s">
        <v>1920</v>
      </c>
      <c r="H3093" t="s">
        <v>6051</v>
      </c>
      <c r="I3093" t="s">
        <v>10000</v>
      </c>
      <c r="J3093" t="s">
        <v>12605</v>
      </c>
      <c r="K3093" t="s">
        <v>17017</v>
      </c>
      <c r="L3093">
        <f>HYPERLINK("https://www2.assemblee-nationale.fr/sycomore/fiche/(num_dept)/7889", "7889")</f>
        <v>0</v>
      </c>
      <c r="N3093">
        <f>HYPERLINK("https://www.wikidata.org/wiki/Q3526668", "Q3526668")</f>
        <v>0</v>
      </c>
      <c r="O3093" t="s">
        <v>20037</v>
      </c>
      <c r="P3093" t="s">
        <v>20428</v>
      </c>
      <c r="Q3093" t="s">
        <v>20588</v>
      </c>
      <c r="R3093" t="s">
        <v>413</v>
      </c>
      <c r="S3093">
        <v>1493</v>
      </c>
    </row>
    <row r="3094" spans="1:19">
      <c r="A3094" t="s">
        <v>23</v>
      </c>
      <c r="B3094" t="s">
        <v>148</v>
      </c>
      <c r="C3094" t="s">
        <v>155</v>
      </c>
      <c r="D3094" t="s">
        <v>284</v>
      </c>
      <c r="E3094" t="s">
        <v>413</v>
      </c>
      <c r="F3094">
        <f>HYPERLINK("https://www.wikidata.org/wiki/Q33728280", "Q33728280")</f>
        <v>0</v>
      </c>
      <c r="G3094" t="s">
        <v>2195</v>
      </c>
      <c r="H3094" t="s">
        <v>6806</v>
      </c>
      <c r="I3094" t="s">
        <v>6584</v>
      </c>
      <c r="J3094" t="s">
        <v>12858</v>
      </c>
      <c r="K3094" t="s">
        <v>16325</v>
      </c>
      <c r="L3094">
        <f>HYPERLINK("https://www2.assemblee-nationale.fr/sycomore/fiche/(num_dept)/19493", "19493")</f>
        <v>0</v>
      </c>
      <c r="N3094">
        <f>HYPERLINK("https://www.wikidata.org/wiki/Q2831506", "Q2831506")</f>
        <v>0</v>
      </c>
      <c r="O3094" t="s">
        <v>19979</v>
      </c>
      <c r="P3094" t="s">
        <v>20404</v>
      </c>
      <c r="Q3094" t="s">
        <v>20588</v>
      </c>
      <c r="R3094" t="s">
        <v>413</v>
      </c>
      <c r="S3094">
        <v>1493</v>
      </c>
    </row>
    <row r="3095" spans="1:19">
      <c r="A3095" t="s">
        <v>23</v>
      </c>
      <c r="B3095" t="s">
        <v>148</v>
      </c>
      <c r="C3095" t="s">
        <v>155</v>
      </c>
      <c r="D3095" t="s">
        <v>284</v>
      </c>
      <c r="E3095" t="s">
        <v>413</v>
      </c>
      <c r="F3095">
        <f>HYPERLINK("https://www.wikidata.org/wiki/Q33728280", "Q33728280")</f>
        <v>0</v>
      </c>
      <c r="G3095" t="s">
        <v>2195</v>
      </c>
      <c r="H3095" t="s">
        <v>6806</v>
      </c>
      <c r="I3095" t="s">
        <v>6584</v>
      </c>
      <c r="J3095" t="s">
        <v>12858</v>
      </c>
      <c r="K3095" t="s">
        <v>16325</v>
      </c>
      <c r="L3095">
        <f>HYPERLINK("https://www2.assemblee-nationale.fr/sycomore/fiche/(num_dept)/19493", "19493")</f>
        <v>0</v>
      </c>
      <c r="N3095">
        <f>HYPERLINK("https://www.wikidata.org/wiki/Q2831506", "Q2831506")</f>
        <v>0</v>
      </c>
      <c r="O3095" t="s">
        <v>19979</v>
      </c>
      <c r="P3095" t="s">
        <v>20404</v>
      </c>
      <c r="Q3095" t="s">
        <v>20588</v>
      </c>
      <c r="R3095" t="s">
        <v>413</v>
      </c>
      <c r="S3095">
        <v>1493</v>
      </c>
    </row>
    <row r="3096" spans="1:19">
      <c r="A3096" t="s">
        <v>23</v>
      </c>
      <c r="B3096" t="s">
        <v>148</v>
      </c>
      <c r="C3096" t="s">
        <v>155</v>
      </c>
      <c r="D3096" t="s">
        <v>284</v>
      </c>
      <c r="E3096" t="s">
        <v>413</v>
      </c>
      <c r="F3096">
        <f>HYPERLINK("https://www.wikidata.org/wiki/Q33728280", "Q33728280")</f>
        <v>0</v>
      </c>
      <c r="G3096" t="s">
        <v>1606</v>
      </c>
      <c r="H3096" t="s">
        <v>6294</v>
      </c>
      <c r="I3096" t="s">
        <v>9855</v>
      </c>
      <c r="J3096" t="s">
        <v>11665</v>
      </c>
      <c r="K3096" t="s">
        <v>16723</v>
      </c>
      <c r="L3096">
        <f>HYPERLINK("https://www2.assemblee-nationale.fr/sycomore/fiche/(num_dept)/6547", "6547")</f>
        <v>0</v>
      </c>
      <c r="N3096">
        <f>HYPERLINK("https://www.wikidata.org/wiki/Q2898489", "Q2898489")</f>
        <v>0</v>
      </c>
      <c r="O3096" t="s">
        <v>19985</v>
      </c>
      <c r="P3096" t="s">
        <v>20422</v>
      </c>
      <c r="Q3096" t="s">
        <v>284</v>
      </c>
      <c r="R3096" t="s">
        <v>413</v>
      </c>
      <c r="S3096">
        <v>1460</v>
      </c>
    </row>
    <row r="3097" spans="1:19">
      <c r="A3097" t="s">
        <v>23</v>
      </c>
      <c r="B3097" t="s">
        <v>148</v>
      </c>
      <c r="C3097" t="s">
        <v>155</v>
      </c>
      <c r="D3097" t="s">
        <v>284</v>
      </c>
      <c r="E3097" t="s">
        <v>413</v>
      </c>
      <c r="F3097">
        <f>HYPERLINK("https://www.wikidata.org/wiki/Q33728280", "Q33728280")</f>
        <v>0</v>
      </c>
      <c r="G3097" t="s">
        <v>2196</v>
      </c>
      <c r="H3097" t="s">
        <v>6807</v>
      </c>
      <c r="I3097" t="s">
        <v>7642</v>
      </c>
      <c r="J3097" t="s">
        <v>12008</v>
      </c>
      <c r="K3097" t="s">
        <v>17270</v>
      </c>
      <c r="L3097">
        <f>HYPERLINK("https://www2.assemblee-nationale.fr/sycomore/fiche/(num_dept)/2599", "2599")</f>
        <v>0</v>
      </c>
      <c r="N3097">
        <f>HYPERLINK("https://www.wikidata.org/wiki/Q3300712", "Q3300712")</f>
        <v>0</v>
      </c>
      <c r="O3097" t="s">
        <v>20036</v>
      </c>
      <c r="P3097" t="s">
        <v>20412</v>
      </c>
      <c r="Q3097" t="s">
        <v>20589</v>
      </c>
      <c r="R3097" t="s">
        <v>413</v>
      </c>
      <c r="S3097">
        <v>1332</v>
      </c>
    </row>
    <row r="3098" spans="1:19">
      <c r="A3098" t="s">
        <v>23</v>
      </c>
      <c r="B3098" t="s">
        <v>148</v>
      </c>
      <c r="C3098" t="s">
        <v>155</v>
      </c>
      <c r="D3098" t="s">
        <v>284</v>
      </c>
      <c r="E3098" t="s">
        <v>413</v>
      </c>
      <c r="F3098">
        <f>HYPERLINK("https://www.wikidata.org/wiki/Q33728280", "Q33728280")</f>
        <v>0</v>
      </c>
      <c r="G3098" t="s">
        <v>1765</v>
      </c>
      <c r="H3098" t="s">
        <v>6433</v>
      </c>
      <c r="I3098" t="s">
        <v>9606</v>
      </c>
      <c r="J3098" t="s">
        <v>12464</v>
      </c>
      <c r="K3098" t="s">
        <v>16871</v>
      </c>
      <c r="L3098">
        <f>HYPERLINK("https://www2.assemblee-nationale.fr/sycomore/fiche/(num_dept)/1829", "1829")</f>
        <v>0</v>
      </c>
      <c r="M3098">
        <f>HYPERLINK("https://www.senat.fr/senateur-3eme-republique/clamamus_jean_marie1568r3.html", "clamamus_jean_marie1568r3")</f>
        <v>0</v>
      </c>
      <c r="N3098">
        <f>HYPERLINK("https://www.wikidata.org/wiki/Q3167607", "Q3167607")</f>
        <v>0</v>
      </c>
      <c r="O3098" t="s">
        <v>19969</v>
      </c>
      <c r="P3098" t="s">
        <v>20424</v>
      </c>
      <c r="Q3098" t="s">
        <v>20590</v>
      </c>
      <c r="R3098" t="s">
        <v>413</v>
      </c>
      <c r="S3098">
        <v>1325</v>
      </c>
    </row>
    <row r="3099" spans="1:19">
      <c r="A3099" t="s">
        <v>23</v>
      </c>
      <c r="B3099" t="s">
        <v>148</v>
      </c>
      <c r="C3099" t="s">
        <v>155</v>
      </c>
      <c r="D3099" t="s">
        <v>284</v>
      </c>
      <c r="E3099" t="s">
        <v>413</v>
      </c>
      <c r="F3099">
        <f>HYPERLINK("https://www.wikidata.org/wiki/Q33728280", "Q33728280")</f>
        <v>0</v>
      </c>
      <c r="G3099" t="s">
        <v>1811</v>
      </c>
      <c r="H3099" t="s">
        <v>6476</v>
      </c>
      <c r="I3099" t="s">
        <v>6495</v>
      </c>
      <c r="J3099" t="s">
        <v>12505</v>
      </c>
      <c r="K3099" t="s">
        <v>16916</v>
      </c>
      <c r="L3099">
        <f>HYPERLINK("https://www2.assemblee-nationale.fr/sycomore/fiche/(num_dept)/3782", "3782")</f>
        <v>0</v>
      </c>
      <c r="N3099">
        <f>HYPERLINK("https://www.wikidata.org/wiki/Q8325995", "Q8325995")</f>
        <v>0</v>
      </c>
      <c r="O3099" t="s">
        <v>19975</v>
      </c>
      <c r="P3099" t="s">
        <v>20404</v>
      </c>
      <c r="Q3099" t="s">
        <v>20590</v>
      </c>
      <c r="R3099" t="s">
        <v>413</v>
      </c>
      <c r="S3099">
        <v>1325</v>
      </c>
    </row>
    <row r="3100" spans="1:19">
      <c r="A3100" t="s">
        <v>23</v>
      </c>
      <c r="B3100" t="s">
        <v>148</v>
      </c>
      <c r="C3100" t="s">
        <v>155</v>
      </c>
      <c r="D3100" t="s">
        <v>284</v>
      </c>
      <c r="E3100" t="s">
        <v>413</v>
      </c>
      <c r="F3100">
        <f>HYPERLINK("https://www.wikidata.org/wiki/Q33728280", "Q33728280")</f>
        <v>0</v>
      </c>
      <c r="G3100" t="s">
        <v>2197</v>
      </c>
      <c r="H3100" t="s">
        <v>5812</v>
      </c>
      <c r="I3100" t="s">
        <v>10112</v>
      </c>
      <c r="J3100" t="s">
        <v>12859</v>
      </c>
      <c r="K3100" t="s">
        <v>17271</v>
      </c>
      <c r="L3100">
        <f>HYPERLINK("https://www2.assemblee-nationale.fr/sycomore/fiche/(num_dept)/7337", "7337")</f>
        <v>0</v>
      </c>
      <c r="N3100">
        <f>HYPERLINK("https://www.wikidata.org/wiki/Q16026615", "Q16026615")</f>
        <v>0</v>
      </c>
      <c r="O3100" t="s">
        <v>20013</v>
      </c>
      <c r="P3100" t="s">
        <v>20412</v>
      </c>
      <c r="Q3100" t="s">
        <v>365</v>
      </c>
      <c r="R3100" t="s">
        <v>413</v>
      </c>
      <c r="S3100">
        <v>1297</v>
      </c>
    </row>
    <row r="3101" spans="1:19">
      <c r="A3101" t="s">
        <v>23</v>
      </c>
      <c r="B3101" t="s">
        <v>148</v>
      </c>
      <c r="C3101" t="s">
        <v>155</v>
      </c>
      <c r="D3101" t="s">
        <v>284</v>
      </c>
      <c r="E3101" t="s">
        <v>413</v>
      </c>
      <c r="F3101">
        <f>HYPERLINK("https://www.wikidata.org/wiki/Q33728280", "Q33728280")</f>
        <v>0</v>
      </c>
      <c r="G3101" t="s">
        <v>2198</v>
      </c>
      <c r="H3101" t="s">
        <v>6808</v>
      </c>
      <c r="I3101" t="s">
        <v>10113</v>
      </c>
      <c r="J3101" t="s">
        <v>12860</v>
      </c>
      <c r="K3101" t="s">
        <v>17272</v>
      </c>
      <c r="L3101">
        <f>HYPERLINK("https://www2.assemblee-nationale.fr/sycomore/fiche/(num_dept)/840", "840")</f>
        <v>0</v>
      </c>
      <c r="N3101">
        <f>HYPERLINK("https://www.wikidata.org/wiki/Q2828004", "Q2828004")</f>
        <v>0</v>
      </c>
      <c r="O3101" t="s">
        <v>19969</v>
      </c>
      <c r="P3101" t="s">
        <v>20407</v>
      </c>
      <c r="Q3101" t="s">
        <v>20591</v>
      </c>
      <c r="R3101" t="s">
        <v>413</v>
      </c>
      <c r="S3101">
        <v>1276</v>
      </c>
    </row>
    <row r="3102" spans="1:19">
      <c r="A3102" t="s">
        <v>23</v>
      </c>
      <c r="B3102" t="s">
        <v>148</v>
      </c>
      <c r="C3102" t="s">
        <v>155</v>
      </c>
      <c r="D3102" t="s">
        <v>284</v>
      </c>
      <c r="E3102" t="s">
        <v>413</v>
      </c>
      <c r="F3102">
        <f>HYPERLINK("https://www.wikidata.org/wiki/Q33728280", "Q33728280")</f>
        <v>0</v>
      </c>
      <c r="G3102" t="s">
        <v>2199</v>
      </c>
      <c r="H3102" t="s">
        <v>6809</v>
      </c>
      <c r="I3102" t="s">
        <v>10114</v>
      </c>
      <c r="J3102" t="s">
        <v>12861</v>
      </c>
      <c r="K3102" t="s">
        <v>17273</v>
      </c>
      <c r="L3102">
        <f>HYPERLINK("https://www2.assemblee-nationale.fr/sycomore/fiche/(num_dept)/10593", "10593")</f>
        <v>0</v>
      </c>
      <c r="M3102">
        <f>HYPERLINK("https://www.senat.fr/senateur-3eme-republique/leboeuf_marcel1266r3.html", "leboeuf_marcel1266r3")</f>
        <v>0</v>
      </c>
      <c r="N3102">
        <f>HYPERLINK("https://www.wikidata.org/wiki/Q3289119", "Q3289119")</f>
        <v>0</v>
      </c>
      <c r="O3102" t="s">
        <v>20032</v>
      </c>
      <c r="Q3102" t="s">
        <v>20592</v>
      </c>
      <c r="R3102" t="s">
        <v>413</v>
      </c>
      <c r="S3102">
        <v>1259</v>
      </c>
    </row>
    <row r="3103" spans="1:19">
      <c r="A3103" t="s">
        <v>23</v>
      </c>
      <c r="B3103" t="s">
        <v>148</v>
      </c>
      <c r="C3103" t="s">
        <v>155</v>
      </c>
      <c r="D3103" t="s">
        <v>284</v>
      </c>
      <c r="E3103" t="s">
        <v>413</v>
      </c>
      <c r="F3103">
        <f>HYPERLINK("https://www.wikidata.org/wiki/Q33728280", "Q33728280")</f>
        <v>0</v>
      </c>
      <c r="G3103" t="s">
        <v>1336</v>
      </c>
      <c r="H3103" t="s">
        <v>6054</v>
      </c>
      <c r="I3103" t="s">
        <v>9593</v>
      </c>
      <c r="J3103" t="s">
        <v>12063</v>
      </c>
      <c r="K3103" t="s">
        <v>16465</v>
      </c>
      <c r="L3103">
        <f>HYPERLINK("https://www2.assemblee-nationale.fr/sycomore/fiche/(num_dept)/5466", "5466")</f>
        <v>0</v>
      </c>
      <c r="N3103">
        <f>HYPERLINK("https://www.wikidata.org/wiki/Q3293837", "Q3293837")</f>
        <v>0</v>
      </c>
      <c r="O3103" t="s">
        <v>20044</v>
      </c>
      <c r="P3103" t="s">
        <v>20404</v>
      </c>
      <c r="Q3103" t="s">
        <v>20593</v>
      </c>
      <c r="R3103" t="s">
        <v>413</v>
      </c>
      <c r="S3103">
        <v>1234</v>
      </c>
    </row>
    <row r="3104" spans="1:19">
      <c r="A3104" t="s">
        <v>23</v>
      </c>
      <c r="B3104" t="s">
        <v>148</v>
      </c>
      <c r="C3104" t="s">
        <v>155</v>
      </c>
      <c r="D3104" t="s">
        <v>284</v>
      </c>
      <c r="E3104" t="s">
        <v>413</v>
      </c>
      <c r="F3104">
        <f>HYPERLINK("https://www.wikidata.org/wiki/Q33728280", "Q33728280")</f>
        <v>0</v>
      </c>
      <c r="G3104" t="s">
        <v>2200</v>
      </c>
      <c r="H3104" t="s">
        <v>6810</v>
      </c>
      <c r="I3104" t="s">
        <v>9523</v>
      </c>
      <c r="J3104" t="s">
        <v>12862</v>
      </c>
      <c r="K3104" t="s">
        <v>17274</v>
      </c>
      <c r="L3104">
        <f>HYPERLINK("https://www2.assemblee-nationale.fr/sycomore/fiche/(num_dept)/6914", "6914")</f>
        <v>0</v>
      </c>
      <c r="N3104">
        <f>HYPERLINK("https://www.wikidata.org/wiki/Q3289422", "Q3289422")</f>
        <v>0</v>
      </c>
      <c r="O3104" t="s">
        <v>20049</v>
      </c>
      <c r="P3104" t="s">
        <v>20407</v>
      </c>
      <c r="Q3104" t="s">
        <v>20593</v>
      </c>
      <c r="R3104" t="s">
        <v>413</v>
      </c>
      <c r="S3104">
        <v>1234</v>
      </c>
    </row>
    <row r="3105" spans="1:19">
      <c r="A3105" t="s">
        <v>23</v>
      </c>
      <c r="B3105" t="s">
        <v>148</v>
      </c>
      <c r="C3105" t="s">
        <v>155</v>
      </c>
      <c r="D3105" t="s">
        <v>284</v>
      </c>
      <c r="E3105" t="s">
        <v>413</v>
      </c>
      <c r="F3105">
        <f>HYPERLINK("https://www.wikidata.org/wiki/Q33728280", "Q33728280")</f>
        <v>0</v>
      </c>
      <c r="G3105" t="s">
        <v>2201</v>
      </c>
      <c r="H3105" t="s">
        <v>6811</v>
      </c>
      <c r="I3105" t="s">
        <v>9476</v>
      </c>
      <c r="J3105" t="s">
        <v>12863</v>
      </c>
      <c r="K3105" t="s">
        <v>17275</v>
      </c>
      <c r="L3105">
        <f>HYPERLINK("https://www2.assemblee-nationale.fr/sycomore/fiche/(num_dept)/3767", "3767")</f>
        <v>0</v>
      </c>
      <c r="N3105">
        <f>HYPERLINK("https://www.wikidata.org/wiki/Q11945258", "Q11945258")</f>
        <v>0</v>
      </c>
      <c r="O3105" t="s">
        <v>20049</v>
      </c>
      <c r="P3105" t="s">
        <v>20407</v>
      </c>
      <c r="Q3105" t="s">
        <v>20594</v>
      </c>
      <c r="R3105" t="s">
        <v>413</v>
      </c>
      <c r="S3105">
        <v>1220</v>
      </c>
    </row>
    <row r="3106" spans="1:19">
      <c r="A3106" t="s">
        <v>23</v>
      </c>
      <c r="B3106" t="s">
        <v>148</v>
      </c>
      <c r="C3106" t="s">
        <v>155</v>
      </c>
      <c r="D3106" t="s">
        <v>284</v>
      </c>
      <c r="E3106" t="s">
        <v>413</v>
      </c>
      <c r="F3106">
        <f>HYPERLINK("https://www.wikidata.org/wiki/Q33728280", "Q33728280")</f>
        <v>0</v>
      </c>
      <c r="G3106" t="s">
        <v>1842</v>
      </c>
      <c r="H3106" t="s">
        <v>6502</v>
      </c>
      <c r="I3106" t="s">
        <v>6585</v>
      </c>
      <c r="J3106" t="s">
        <v>12533</v>
      </c>
      <c r="K3106" t="s">
        <v>16676</v>
      </c>
      <c r="L3106">
        <f>HYPERLINK("https://www2.assemblee-nationale.fr/sycomore/fiche/(num_dept)/5056", "5056")</f>
        <v>0</v>
      </c>
      <c r="N3106">
        <f>HYPERLINK("https://www.wikidata.org/wiki/Q369785", "Q369785")</f>
        <v>0</v>
      </c>
      <c r="O3106" t="s">
        <v>19969</v>
      </c>
      <c r="P3106" t="s">
        <v>20424</v>
      </c>
      <c r="Q3106" t="s">
        <v>20595</v>
      </c>
      <c r="R3106" t="s">
        <v>413</v>
      </c>
      <c r="S3106">
        <v>1213</v>
      </c>
    </row>
    <row r="3107" spans="1:19">
      <c r="A3107" t="s">
        <v>23</v>
      </c>
      <c r="B3107" t="s">
        <v>148</v>
      </c>
      <c r="C3107" t="s">
        <v>155</v>
      </c>
      <c r="D3107" t="s">
        <v>284</v>
      </c>
      <c r="E3107" t="s">
        <v>413</v>
      </c>
      <c r="F3107">
        <f>HYPERLINK("https://www.wikidata.org/wiki/Q33728280", "Q33728280")</f>
        <v>0</v>
      </c>
      <c r="G3107" t="s">
        <v>1724</v>
      </c>
      <c r="H3107" t="s">
        <v>6360</v>
      </c>
      <c r="I3107" t="s">
        <v>9912</v>
      </c>
      <c r="J3107" t="s">
        <v>12425</v>
      </c>
      <c r="K3107" t="s">
        <v>16833</v>
      </c>
      <c r="L3107">
        <f>HYPERLINK("https://www2.assemblee-nationale.fr/sycomore/fiche/(num_dept)/949", "949")</f>
        <v>0</v>
      </c>
      <c r="N3107">
        <f>HYPERLINK("https://www.wikidata.org/wiki/Q1262453", "Q1262453")</f>
        <v>0</v>
      </c>
      <c r="O3107" t="s">
        <v>20010</v>
      </c>
      <c r="P3107" t="s">
        <v>20428</v>
      </c>
      <c r="Q3107" t="s">
        <v>20596</v>
      </c>
      <c r="R3107" t="s">
        <v>413</v>
      </c>
      <c r="S3107">
        <v>1192</v>
      </c>
    </row>
    <row r="3108" spans="1:19">
      <c r="A3108" t="s">
        <v>23</v>
      </c>
      <c r="B3108" t="s">
        <v>148</v>
      </c>
      <c r="C3108" t="s">
        <v>155</v>
      </c>
      <c r="D3108" t="s">
        <v>284</v>
      </c>
      <c r="E3108" t="s">
        <v>413</v>
      </c>
      <c r="F3108">
        <f>HYPERLINK("https://www.wikidata.org/wiki/Q33728280", "Q33728280")</f>
        <v>0</v>
      </c>
      <c r="G3108" t="s">
        <v>2202</v>
      </c>
      <c r="H3108" t="s">
        <v>6812</v>
      </c>
      <c r="I3108" t="s">
        <v>6585</v>
      </c>
      <c r="J3108" t="s">
        <v>12864</v>
      </c>
      <c r="K3108" t="s">
        <v>17276</v>
      </c>
      <c r="L3108">
        <f>HYPERLINK("https://www2.assemblee-nationale.fr/sycomore/fiche/(num_dept)/401", "401")</f>
        <v>0</v>
      </c>
      <c r="N3108">
        <f>HYPERLINK("https://www.wikidata.org/wiki/Q2847200", "Q2847200")</f>
        <v>0</v>
      </c>
      <c r="O3108" t="s">
        <v>19977</v>
      </c>
      <c r="P3108" t="s">
        <v>20401</v>
      </c>
      <c r="Q3108" t="s">
        <v>20597</v>
      </c>
      <c r="R3108" t="s">
        <v>413</v>
      </c>
      <c r="S3108">
        <v>1164</v>
      </c>
    </row>
    <row r="3109" spans="1:19">
      <c r="A3109" t="s">
        <v>23</v>
      </c>
      <c r="B3109" t="s">
        <v>148</v>
      </c>
      <c r="C3109" t="s">
        <v>155</v>
      </c>
      <c r="D3109" t="s">
        <v>284</v>
      </c>
      <c r="E3109" t="s">
        <v>413</v>
      </c>
      <c r="F3109">
        <f>HYPERLINK("https://www.wikidata.org/wiki/Q33728280", "Q33728280")</f>
        <v>0</v>
      </c>
      <c r="G3109" t="s">
        <v>1380</v>
      </c>
      <c r="H3109" t="s">
        <v>6091</v>
      </c>
      <c r="I3109" t="s">
        <v>5528</v>
      </c>
      <c r="J3109" t="s">
        <v>12106</v>
      </c>
      <c r="K3109" t="s">
        <v>16507</v>
      </c>
      <c r="L3109">
        <f>HYPERLINK("https://www2.assemblee-nationale.fr/sycomore/fiche/(num_dept)/880", "880")</f>
        <v>0</v>
      </c>
      <c r="N3109">
        <f>HYPERLINK("https://www.wikidata.org/wiki/Q18434", "Q18434")</f>
        <v>0</v>
      </c>
      <c r="O3109" t="s">
        <v>19960</v>
      </c>
      <c r="P3109" t="s">
        <v>20404</v>
      </c>
      <c r="Q3109" t="s">
        <v>20598</v>
      </c>
      <c r="R3109" t="s">
        <v>413</v>
      </c>
      <c r="S3109">
        <v>1143</v>
      </c>
    </row>
    <row r="3110" spans="1:19">
      <c r="A3110" t="s">
        <v>23</v>
      </c>
      <c r="B3110" t="s">
        <v>148</v>
      </c>
      <c r="C3110" t="s">
        <v>155</v>
      </c>
      <c r="D3110" t="s">
        <v>284</v>
      </c>
      <c r="E3110" t="s">
        <v>413</v>
      </c>
      <c r="F3110">
        <f>HYPERLINK("https://www.wikidata.org/wiki/Q33728280", "Q33728280")</f>
        <v>0</v>
      </c>
      <c r="G3110" t="s">
        <v>2203</v>
      </c>
      <c r="H3110" t="s">
        <v>6813</v>
      </c>
      <c r="I3110" t="s">
        <v>6166</v>
      </c>
      <c r="J3110" t="s">
        <v>12865</v>
      </c>
      <c r="K3110" t="s">
        <v>17277</v>
      </c>
      <c r="L3110">
        <f>HYPERLINK("https://www2.assemblee-nationale.fr/sycomore/fiche/(num_dept)/3751", "3751")</f>
        <v>0</v>
      </c>
      <c r="N3110">
        <f>HYPERLINK("https://www.wikidata.org/wiki/Q3083328", "Q3083328")</f>
        <v>0</v>
      </c>
      <c r="O3110" t="s">
        <v>20009</v>
      </c>
      <c r="P3110" t="s">
        <v>20407</v>
      </c>
      <c r="Q3110" t="s">
        <v>20599</v>
      </c>
      <c r="R3110" t="s">
        <v>413</v>
      </c>
      <c r="S3110">
        <v>1136</v>
      </c>
    </row>
    <row r="3111" spans="1:19">
      <c r="A3111" t="s">
        <v>23</v>
      </c>
      <c r="B3111" t="s">
        <v>148</v>
      </c>
      <c r="C3111" t="s">
        <v>155</v>
      </c>
      <c r="D3111" t="s">
        <v>284</v>
      </c>
      <c r="E3111" t="s">
        <v>413</v>
      </c>
      <c r="F3111">
        <f>HYPERLINK("https://www.wikidata.org/wiki/Q33728280", "Q33728280")</f>
        <v>0</v>
      </c>
      <c r="G3111" t="s">
        <v>2204</v>
      </c>
      <c r="H3111" t="s">
        <v>6814</v>
      </c>
      <c r="I3111" t="s">
        <v>10115</v>
      </c>
      <c r="J3111" t="s">
        <v>11274</v>
      </c>
      <c r="K3111" t="s">
        <v>17278</v>
      </c>
      <c r="L3111">
        <f>HYPERLINK("https://www2.assemblee-nationale.fr/sycomore/fiche/(num_dept)/7070", "7070")</f>
        <v>0</v>
      </c>
      <c r="M3111">
        <f>HYPERLINK("https://www.senat.fr/senateur-3eme-republique/thureau_dangin_jean1599r3.html", "thureau_dangin_jean1599r3")</f>
        <v>0</v>
      </c>
      <c r="N3111">
        <f>HYPERLINK("https://www.wikidata.org/wiki/Q3174798", "Q3174798")</f>
        <v>0</v>
      </c>
      <c r="O3111" t="s">
        <v>19978</v>
      </c>
      <c r="P3111" t="s">
        <v>20412</v>
      </c>
      <c r="Q3111" t="s">
        <v>20599</v>
      </c>
      <c r="R3111" t="s">
        <v>413</v>
      </c>
      <c r="S3111">
        <v>1136</v>
      </c>
    </row>
    <row r="3112" spans="1:19">
      <c r="A3112" t="s">
        <v>23</v>
      </c>
      <c r="B3112" t="s">
        <v>148</v>
      </c>
      <c r="C3112" t="s">
        <v>155</v>
      </c>
      <c r="D3112" t="s">
        <v>284</v>
      </c>
      <c r="E3112" t="s">
        <v>413</v>
      </c>
      <c r="F3112">
        <f>HYPERLINK("https://www.wikidata.org/wiki/Q33728280", "Q33728280")</f>
        <v>0</v>
      </c>
      <c r="G3112" t="s">
        <v>1410</v>
      </c>
      <c r="H3112" t="s">
        <v>5337</v>
      </c>
      <c r="I3112" t="s">
        <v>9506</v>
      </c>
      <c r="J3112" t="s">
        <v>12135</v>
      </c>
      <c r="K3112" t="s">
        <v>16537</v>
      </c>
      <c r="L3112">
        <f>HYPERLINK("https://www2.assemblee-nationale.fr/sycomore/fiche/(num_dept)/1726", "1726")</f>
        <v>0</v>
      </c>
      <c r="M3112">
        <f>HYPERLINK("https://www.senat.fr/senateur-3eme-republique/chautemps_camille0380r3.html", "chautemps_camille0380r3")</f>
        <v>0</v>
      </c>
      <c r="N3112">
        <f>HYPERLINK("https://www.wikidata.org/wiki/Q263884", "Q263884")</f>
        <v>0</v>
      </c>
      <c r="O3112" t="s">
        <v>20039</v>
      </c>
      <c r="P3112" t="s">
        <v>20428</v>
      </c>
      <c r="Q3112" t="s">
        <v>16836</v>
      </c>
      <c r="R3112" t="s">
        <v>413</v>
      </c>
      <c r="S3112">
        <v>1024</v>
      </c>
    </row>
    <row r="3113" spans="1:19">
      <c r="A3113" t="s">
        <v>23</v>
      </c>
      <c r="B3113" t="s">
        <v>148</v>
      </c>
      <c r="C3113" t="s">
        <v>155</v>
      </c>
      <c r="D3113" t="s">
        <v>284</v>
      </c>
      <c r="E3113" t="s">
        <v>413</v>
      </c>
      <c r="F3113">
        <f>HYPERLINK("https://www.wikidata.org/wiki/Q33728280", "Q33728280")</f>
        <v>0</v>
      </c>
      <c r="G3113" t="s">
        <v>738</v>
      </c>
      <c r="H3113" t="s">
        <v>5496</v>
      </c>
      <c r="I3113" t="s">
        <v>9503</v>
      </c>
      <c r="J3113" t="s">
        <v>11487</v>
      </c>
      <c r="K3113" t="s">
        <v>15889</v>
      </c>
      <c r="L3113">
        <f>HYPERLINK("https://www2.assemblee-nationale.fr/sycomore/fiche/(num_dept)/5394", "5394")</f>
        <v>0</v>
      </c>
      <c r="M3113">
        <f>HYPERLINK("https://www.senat.fr/senateur-3eme-republique/de_monzie_anatole0605r3.html", "de_monzie_anatole0605r3")</f>
        <v>0</v>
      </c>
      <c r="N3113">
        <f>HYPERLINK("https://www.wikidata.org/wiki/Q2845619", "Q2845619")</f>
        <v>0</v>
      </c>
      <c r="O3113" t="s">
        <v>19974</v>
      </c>
      <c r="Q3113" t="s">
        <v>405</v>
      </c>
      <c r="R3113" t="s">
        <v>413</v>
      </c>
      <c r="S3113">
        <v>954</v>
      </c>
    </row>
    <row r="3114" spans="1:19">
      <c r="A3114" t="s">
        <v>23</v>
      </c>
      <c r="B3114" t="s">
        <v>148</v>
      </c>
      <c r="C3114" t="s">
        <v>155</v>
      </c>
      <c r="D3114" t="s">
        <v>284</v>
      </c>
      <c r="E3114" t="s">
        <v>413</v>
      </c>
      <c r="F3114">
        <f>HYPERLINK("https://www.wikidata.org/wiki/Q33728280", "Q33728280")</f>
        <v>0</v>
      </c>
      <c r="G3114" t="s">
        <v>2205</v>
      </c>
      <c r="H3114" t="s">
        <v>6815</v>
      </c>
      <c r="I3114" t="s">
        <v>9449</v>
      </c>
      <c r="J3114" t="s">
        <v>12866</v>
      </c>
      <c r="K3114" t="s">
        <v>17279</v>
      </c>
      <c r="L3114">
        <f>HYPERLINK("https://www2.assemblee-nationale.fr/sycomore/fiche/(num_dept)/5314", "5314")</f>
        <v>0</v>
      </c>
      <c r="N3114">
        <f>HYPERLINK("https://www.wikidata.org/wiki/Q3188792", "Q3188792")</f>
        <v>0</v>
      </c>
      <c r="O3114" t="s">
        <v>19971</v>
      </c>
      <c r="P3114" t="s">
        <v>20428</v>
      </c>
      <c r="Q3114" t="s">
        <v>20600</v>
      </c>
      <c r="R3114" t="s">
        <v>413</v>
      </c>
      <c r="S3114">
        <v>905</v>
      </c>
    </row>
    <row r="3115" spans="1:19">
      <c r="A3115" t="s">
        <v>23</v>
      </c>
      <c r="B3115" t="s">
        <v>148</v>
      </c>
      <c r="C3115" t="s">
        <v>155</v>
      </c>
      <c r="D3115" t="s">
        <v>284</v>
      </c>
      <c r="E3115" t="s">
        <v>413</v>
      </c>
      <c r="F3115">
        <f>HYPERLINK("https://www.wikidata.org/wiki/Q33728280", "Q33728280")</f>
        <v>0</v>
      </c>
      <c r="G3115" t="s">
        <v>2206</v>
      </c>
      <c r="H3115" t="s">
        <v>6816</v>
      </c>
      <c r="I3115" t="s">
        <v>9407</v>
      </c>
      <c r="J3115" t="s">
        <v>12867</v>
      </c>
      <c r="K3115" t="s">
        <v>16040</v>
      </c>
      <c r="L3115">
        <f>HYPERLINK("https://www2.assemblee-nationale.fr/sycomore/fiche/(num_dept)/6755", "6755")</f>
        <v>0</v>
      </c>
      <c r="N3115">
        <f>HYPERLINK("https://www.wikidata.org/wiki/Q20962351", "Q20962351")</f>
        <v>0</v>
      </c>
      <c r="O3115" t="s">
        <v>20049</v>
      </c>
      <c r="P3115" t="s">
        <v>20422</v>
      </c>
      <c r="Q3115" t="s">
        <v>16727</v>
      </c>
      <c r="R3115" t="s">
        <v>413</v>
      </c>
      <c r="S3115">
        <v>842</v>
      </c>
    </row>
    <row r="3116" spans="1:19">
      <c r="A3116" t="s">
        <v>23</v>
      </c>
      <c r="B3116" t="s">
        <v>148</v>
      </c>
      <c r="C3116" t="s">
        <v>155</v>
      </c>
      <c r="D3116" t="s">
        <v>284</v>
      </c>
      <c r="E3116" t="s">
        <v>413</v>
      </c>
      <c r="F3116">
        <f>HYPERLINK("https://www.wikidata.org/wiki/Q33728280", "Q33728280")</f>
        <v>0</v>
      </c>
      <c r="G3116" t="s">
        <v>2207</v>
      </c>
      <c r="H3116" t="s">
        <v>6817</v>
      </c>
      <c r="I3116" t="s">
        <v>9442</v>
      </c>
      <c r="J3116" t="s">
        <v>12868</v>
      </c>
      <c r="K3116" t="s">
        <v>17280</v>
      </c>
      <c r="L3116">
        <f>HYPERLINK("https://www2.assemblee-nationale.fr/sycomore/fiche/(num_dept)/3582", "3582")</f>
        <v>0</v>
      </c>
      <c r="N3116">
        <f>HYPERLINK("https://www.wikidata.org/wiki/Q16025811", "Q16025811")</f>
        <v>0</v>
      </c>
      <c r="O3116" t="s">
        <v>19981</v>
      </c>
      <c r="P3116" t="s">
        <v>20409</v>
      </c>
      <c r="Q3116" t="s">
        <v>20601</v>
      </c>
      <c r="R3116" t="s">
        <v>413</v>
      </c>
      <c r="S3116">
        <v>828</v>
      </c>
    </row>
    <row r="3117" spans="1:19">
      <c r="A3117" t="s">
        <v>23</v>
      </c>
      <c r="B3117" t="s">
        <v>148</v>
      </c>
      <c r="C3117" t="s">
        <v>155</v>
      </c>
      <c r="D3117" t="s">
        <v>284</v>
      </c>
      <c r="E3117" t="s">
        <v>413</v>
      </c>
      <c r="F3117">
        <f>HYPERLINK("https://www.wikidata.org/wiki/Q33728280", "Q33728280")</f>
        <v>0</v>
      </c>
      <c r="G3117" t="s">
        <v>2208</v>
      </c>
      <c r="H3117" t="s">
        <v>6818</v>
      </c>
      <c r="I3117" t="s">
        <v>10116</v>
      </c>
      <c r="J3117" t="s">
        <v>12869</v>
      </c>
      <c r="K3117" t="s">
        <v>17281</v>
      </c>
      <c r="L3117">
        <f>HYPERLINK("https://www2.assemblee-nationale.fr/sycomore/fiche/(num_dept)/7100", "7100")</f>
        <v>0</v>
      </c>
      <c r="N3117">
        <f>HYPERLINK("https://www.wikidata.org/wiki/Q15971824", "Q15971824")</f>
        <v>0</v>
      </c>
      <c r="O3117" t="s">
        <v>20012</v>
      </c>
      <c r="P3117" t="s">
        <v>20404</v>
      </c>
      <c r="Q3117" t="s">
        <v>20601</v>
      </c>
      <c r="R3117" t="s">
        <v>413</v>
      </c>
      <c r="S3117">
        <v>828</v>
      </c>
    </row>
    <row r="3118" spans="1:19">
      <c r="A3118" t="s">
        <v>23</v>
      </c>
      <c r="B3118" t="s">
        <v>148</v>
      </c>
      <c r="C3118" t="s">
        <v>155</v>
      </c>
      <c r="D3118" t="s">
        <v>284</v>
      </c>
      <c r="E3118" t="s">
        <v>413</v>
      </c>
      <c r="F3118">
        <f>HYPERLINK("https://www.wikidata.org/wiki/Q33728280", "Q33728280")</f>
        <v>0</v>
      </c>
      <c r="G3118" t="s">
        <v>2209</v>
      </c>
      <c r="H3118" t="s">
        <v>5532</v>
      </c>
      <c r="I3118" t="s">
        <v>10117</v>
      </c>
      <c r="J3118" t="s">
        <v>12870</v>
      </c>
      <c r="K3118" t="s">
        <v>17282</v>
      </c>
      <c r="L3118">
        <f>HYPERLINK("https://www2.assemblee-nationale.fr/sycomore/fiche/(num_dept)/6123", "6123")</f>
        <v>0</v>
      </c>
      <c r="N3118">
        <f>HYPERLINK("https://www.wikidata.org/wiki/Q3102871", "Q3102871")</f>
        <v>0</v>
      </c>
      <c r="O3118" t="s">
        <v>19957</v>
      </c>
      <c r="P3118" t="s">
        <v>20422</v>
      </c>
      <c r="Q3118" t="s">
        <v>15679</v>
      </c>
      <c r="R3118" t="s">
        <v>413</v>
      </c>
      <c r="S3118">
        <v>807</v>
      </c>
    </row>
    <row r="3119" spans="1:19">
      <c r="A3119" t="s">
        <v>23</v>
      </c>
      <c r="B3119" t="s">
        <v>148</v>
      </c>
      <c r="C3119" t="s">
        <v>155</v>
      </c>
      <c r="D3119" t="s">
        <v>284</v>
      </c>
      <c r="E3119" t="s">
        <v>413</v>
      </c>
      <c r="F3119">
        <f>HYPERLINK("https://www.wikidata.org/wiki/Q33728280", "Q33728280")</f>
        <v>0</v>
      </c>
      <c r="G3119" t="s">
        <v>2210</v>
      </c>
      <c r="H3119" t="s">
        <v>6819</v>
      </c>
      <c r="I3119" t="s">
        <v>10118</v>
      </c>
      <c r="J3119" t="s">
        <v>12871</v>
      </c>
      <c r="K3119" t="s">
        <v>17283</v>
      </c>
      <c r="L3119">
        <f>HYPERLINK("https://www2.assemblee-nationale.fr/sycomore/fiche/(num_dept)/1352", "1352")</f>
        <v>0</v>
      </c>
      <c r="N3119">
        <f>HYPERLINK("https://www.wikidata.org/wiki/Q3084157", "Q3084157")</f>
        <v>0</v>
      </c>
      <c r="O3119" t="s">
        <v>20011</v>
      </c>
      <c r="P3119" t="s">
        <v>20428</v>
      </c>
      <c r="Q3119" t="s">
        <v>20602</v>
      </c>
      <c r="R3119" t="s">
        <v>413</v>
      </c>
      <c r="S3119">
        <v>793</v>
      </c>
    </row>
    <row r="3120" spans="1:19">
      <c r="A3120" t="s">
        <v>23</v>
      </c>
      <c r="B3120" t="s">
        <v>148</v>
      </c>
      <c r="C3120" t="s">
        <v>155</v>
      </c>
      <c r="D3120" t="s">
        <v>284</v>
      </c>
      <c r="E3120" t="s">
        <v>413</v>
      </c>
      <c r="F3120">
        <f>HYPERLINK("https://www.wikidata.org/wiki/Q33728280", "Q33728280")</f>
        <v>0</v>
      </c>
      <c r="G3120" t="s">
        <v>2211</v>
      </c>
      <c r="H3120" t="s">
        <v>6820</v>
      </c>
      <c r="I3120" t="s">
        <v>9470</v>
      </c>
      <c r="J3120" t="s">
        <v>12872</v>
      </c>
      <c r="K3120" t="s">
        <v>17284</v>
      </c>
      <c r="L3120">
        <f>HYPERLINK("https://www2.assemblee-nationale.fr/sycomore/fiche/(num_dept)/6853", "6853")</f>
        <v>0</v>
      </c>
      <c r="N3120">
        <f>HYPERLINK("https://www.wikidata.org/wiki/Q16026508", "Q16026508")</f>
        <v>0</v>
      </c>
      <c r="O3120" t="s">
        <v>20010</v>
      </c>
      <c r="P3120" t="s">
        <v>20404</v>
      </c>
      <c r="Q3120" t="s">
        <v>20602</v>
      </c>
      <c r="R3120" t="s">
        <v>413</v>
      </c>
      <c r="S3120">
        <v>793</v>
      </c>
    </row>
    <row r="3121" spans="1:19">
      <c r="A3121" t="s">
        <v>23</v>
      </c>
      <c r="B3121" t="s">
        <v>148</v>
      </c>
      <c r="C3121" t="s">
        <v>155</v>
      </c>
      <c r="D3121" t="s">
        <v>284</v>
      </c>
      <c r="E3121" t="s">
        <v>413</v>
      </c>
      <c r="F3121">
        <f>HYPERLINK("https://www.wikidata.org/wiki/Q33728280", "Q33728280")</f>
        <v>0</v>
      </c>
      <c r="G3121" t="s">
        <v>2212</v>
      </c>
      <c r="H3121" t="s">
        <v>6821</v>
      </c>
      <c r="I3121" t="s">
        <v>9376</v>
      </c>
      <c r="J3121" t="s">
        <v>12873</v>
      </c>
      <c r="K3121" t="s">
        <v>17285</v>
      </c>
      <c r="L3121">
        <f>HYPERLINK("https://www2.assemblee-nationale.fr/sycomore/fiche/(num_dept)/7676", "7676")</f>
        <v>0</v>
      </c>
      <c r="N3121">
        <f>HYPERLINK("https://www.wikidata.org/wiki/Q3068611", "Q3068611")</f>
        <v>0</v>
      </c>
      <c r="O3121" t="s">
        <v>19959</v>
      </c>
      <c r="P3121" t="s">
        <v>20428</v>
      </c>
      <c r="Q3121" t="s">
        <v>20602</v>
      </c>
      <c r="R3121" t="s">
        <v>413</v>
      </c>
      <c r="S3121">
        <v>793</v>
      </c>
    </row>
    <row r="3122" spans="1:19">
      <c r="A3122" t="s">
        <v>23</v>
      </c>
      <c r="B3122" t="s">
        <v>148</v>
      </c>
      <c r="C3122" t="s">
        <v>155</v>
      </c>
      <c r="D3122" t="s">
        <v>284</v>
      </c>
      <c r="E3122" t="s">
        <v>413</v>
      </c>
      <c r="F3122">
        <f>HYPERLINK("https://www.wikidata.org/wiki/Q33728280", "Q33728280")</f>
        <v>0</v>
      </c>
      <c r="G3122" t="s">
        <v>2213</v>
      </c>
      <c r="H3122" t="s">
        <v>6822</v>
      </c>
      <c r="I3122" t="s">
        <v>10119</v>
      </c>
      <c r="J3122" t="s">
        <v>12874</v>
      </c>
      <c r="K3122" t="s">
        <v>17286</v>
      </c>
      <c r="L3122">
        <f>HYPERLINK("https://www2.assemblee-nationale.fr/sycomore/fiche/(num_dept)/657", "657")</f>
        <v>0</v>
      </c>
      <c r="N3122">
        <f>HYPERLINK("https://www.wikidata.org/wiki/Q8308813", "Q8308813")</f>
        <v>0</v>
      </c>
      <c r="O3122" t="s">
        <v>19971</v>
      </c>
      <c r="P3122" t="s">
        <v>20404</v>
      </c>
      <c r="Q3122" t="s">
        <v>20603</v>
      </c>
      <c r="R3122" t="s">
        <v>413</v>
      </c>
      <c r="S3122">
        <v>792</v>
      </c>
    </row>
    <row r="3123" spans="1:19">
      <c r="A3123" t="s">
        <v>23</v>
      </c>
      <c r="B3123" t="s">
        <v>148</v>
      </c>
      <c r="C3123" t="s">
        <v>155</v>
      </c>
      <c r="D3123" t="s">
        <v>284</v>
      </c>
      <c r="E3123" t="s">
        <v>413</v>
      </c>
      <c r="F3123">
        <f>HYPERLINK("https://www.wikidata.org/wiki/Q33728280", "Q33728280")</f>
        <v>0</v>
      </c>
      <c r="G3123" t="s">
        <v>2214</v>
      </c>
      <c r="H3123" t="s">
        <v>6823</v>
      </c>
      <c r="I3123" t="s">
        <v>9455</v>
      </c>
      <c r="J3123" t="s">
        <v>12875</v>
      </c>
      <c r="K3123" t="s">
        <v>17287</v>
      </c>
      <c r="L3123">
        <f>HYPERLINK("https://www2.assemblee-nationale.fr/sycomore/fiche/(num_dept)/6247", "6247")</f>
        <v>0</v>
      </c>
      <c r="N3123">
        <f>HYPERLINK("https://www.wikidata.org/wiki/Q12949554", "Q12949554")</f>
        <v>0</v>
      </c>
      <c r="O3123" t="s">
        <v>7411</v>
      </c>
      <c r="Q3123" t="s">
        <v>20604</v>
      </c>
      <c r="R3123" t="s">
        <v>413</v>
      </c>
      <c r="S3123">
        <v>786</v>
      </c>
    </row>
    <row r="3124" spans="1:19">
      <c r="A3124" t="s">
        <v>23</v>
      </c>
      <c r="B3124" t="s">
        <v>148</v>
      </c>
      <c r="C3124" t="s">
        <v>155</v>
      </c>
      <c r="D3124" t="s">
        <v>284</v>
      </c>
      <c r="E3124" t="s">
        <v>413</v>
      </c>
      <c r="F3124">
        <f>HYPERLINK("https://www.wikidata.org/wiki/Q33728280", "Q33728280")</f>
        <v>0</v>
      </c>
      <c r="G3124" t="s">
        <v>2215</v>
      </c>
      <c r="H3124" t="s">
        <v>6824</v>
      </c>
      <c r="I3124" t="s">
        <v>10120</v>
      </c>
      <c r="J3124" t="s">
        <v>12876</v>
      </c>
      <c r="K3124" t="s">
        <v>17288</v>
      </c>
      <c r="L3124">
        <f>HYPERLINK("https://www2.assemblee-nationale.fr/sycomore/fiche/(num_dept)/7734", "7734")</f>
        <v>0</v>
      </c>
      <c r="M3124">
        <f>HYPERLINK("https://www.senat.fr/senateur-3eme-republique/leguet_firmin0170r3.html", "leguet_firmin0170r3")</f>
        <v>0</v>
      </c>
      <c r="N3124">
        <f>HYPERLINK("https://www.wikidata.org/wiki/Q3072883", "Q3072883")</f>
        <v>0</v>
      </c>
      <c r="O3124" t="s">
        <v>19959</v>
      </c>
      <c r="Q3124" t="s">
        <v>20604</v>
      </c>
      <c r="R3124" t="s">
        <v>413</v>
      </c>
      <c r="S3124">
        <v>786</v>
      </c>
    </row>
    <row r="3125" spans="1:19">
      <c r="A3125" t="s">
        <v>23</v>
      </c>
      <c r="B3125" t="s">
        <v>148</v>
      </c>
      <c r="C3125" t="s">
        <v>155</v>
      </c>
      <c r="D3125" t="s">
        <v>284</v>
      </c>
      <c r="E3125" t="s">
        <v>413</v>
      </c>
      <c r="F3125">
        <f>HYPERLINK("https://www.wikidata.org/wiki/Q33728280", "Q33728280")</f>
        <v>0</v>
      </c>
      <c r="G3125" t="s">
        <v>2216</v>
      </c>
      <c r="H3125" t="s">
        <v>6825</v>
      </c>
      <c r="I3125" t="s">
        <v>10121</v>
      </c>
      <c r="J3125" t="s">
        <v>12877</v>
      </c>
      <c r="K3125" t="s">
        <v>17289</v>
      </c>
      <c r="L3125">
        <f>HYPERLINK("https://www2.assemblee-nationale.fr/sycomore/fiche/(num_dept)/4134", "4134")</f>
        <v>0</v>
      </c>
      <c r="N3125">
        <f>HYPERLINK("https://www.wikidata.org/wiki/Q3357532", "Q3357532")</f>
        <v>0</v>
      </c>
      <c r="O3125" t="s">
        <v>19964</v>
      </c>
      <c r="Q3125" t="s">
        <v>20605</v>
      </c>
      <c r="R3125" t="s">
        <v>413</v>
      </c>
      <c r="S3125">
        <v>779</v>
      </c>
    </row>
    <row r="3126" spans="1:19">
      <c r="A3126" t="s">
        <v>23</v>
      </c>
      <c r="B3126" t="s">
        <v>148</v>
      </c>
      <c r="C3126" t="s">
        <v>155</v>
      </c>
      <c r="D3126" t="s">
        <v>284</v>
      </c>
      <c r="E3126" t="s">
        <v>413</v>
      </c>
      <c r="F3126">
        <f>HYPERLINK("https://www.wikidata.org/wiki/Q33728280", "Q33728280")</f>
        <v>0</v>
      </c>
      <c r="G3126" t="s">
        <v>2217</v>
      </c>
      <c r="H3126" t="s">
        <v>6826</v>
      </c>
      <c r="I3126" t="s">
        <v>10122</v>
      </c>
      <c r="J3126" t="s">
        <v>12878</v>
      </c>
      <c r="K3126" t="s">
        <v>17290</v>
      </c>
      <c r="L3126">
        <f>HYPERLINK("https://www2.assemblee-nationale.fr/sycomore/fiche/(num_dept)/5142", "5142")</f>
        <v>0</v>
      </c>
      <c r="N3126">
        <f>HYPERLINK("https://www.wikidata.org/wiki/Q16026077", "Q16026077")</f>
        <v>0</v>
      </c>
      <c r="O3126" t="s">
        <v>20019</v>
      </c>
      <c r="P3126" t="s">
        <v>20404</v>
      </c>
      <c r="Q3126" t="s">
        <v>20605</v>
      </c>
      <c r="R3126" t="s">
        <v>413</v>
      </c>
      <c r="S3126">
        <v>779</v>
      </c>
    </row>
    <row r="3127" spans="1:19">
      <c r="A3127" t="s">
        <v>23</v>
      </c>
      <c r="B3127" t="s">
        <v>148</v>
      </c>
      <c r="C3127" t="s">
        <v>155</v>
      </c>
      <c r="D3127" t="s">
        <v>284</v>
      </c>
      <c r="E3127" t="s">
        <v>413</v>
      </c>
      <c r="F3127">
        <f>HYPERLINK("https://www.wikidata.org/wiki/Q33728280", "Q33728280")</f>
        <v>0</v>
      </c>
      <c r="G3127" t="s">
        <v>2218</v>
      </c>
      <c r="H3127" t="s">
        <v>6827</v>
      </c>
      <c r="I3127" t="s">
        <v>10123</v>
      </c>
      <c r="J3127" t="s">
        <v>12879</v>
      </c>
      <c r="K3127" t="s">
        <v>17291</v>
      </c>
      <c r="L3127">
        <f>HYPERLINK("https://www2.assemblee-nationale.fr/sycomore/fiche/(num_dept)/7565", "7565")</f>
        <v>0</v>
      </c>
      <c r="N3127">
        <f>HYPERLINK("https://www.wikidata.org/wiki/Q3573767", "Q3573767")</f>
        <v>0</v>
      </c>
      <c r="O3127" t="s">
        <v>19964</v>
      </c>
      <c r="Q3127" t="s">
        <v>20605</v>
      </c>
      <c r="R3127" t="s">
        <v>413</v>
      </c>
      <c r="S3127">
        <v>779</v>
      </c>
    </row>
    <row r="3128" spans="1:19">
      <c r="A3128" t="s">
        <v>23</v>
      </c>
      <c r="B3128" t="s">
        <v>148</v>
      </c>
      <c r="C3128" t="s">
        <v>155</v>
      </c>
      <c r="D3128" t="s">
        <v>284</v>
      </c>
      <c r="E3128" t="s">
        <v>413</v>
      </c>
      <c r="F3128">
        <f>HYPERLINK("https://www.wikidata.org/wiki/Q33728280", "Q33728280")</f>
        <v>0</v>
      </c>
      <c r="G3128" t="s">
        <v>2219</v>
      </c>
      <c r="H3128" t="s">
        <v>6828</v>
      </c>
      <c r="I3128" t="s">
        <v>10124</v>
      </c>
      <c r="J3128" t="s">
        <v>12880</v>
      </c>
      <c r="K3128" t="s">
        <v>17292</v>
      </c>
      <c r="L3128">
        <f>HYPERLINK("https://www2.assemblee-nationale.fr/sycomore/fiche/(num_dept)/912", "912")</f>
        <v>0</v>
      </c>
      <c r="N3128">
        <f>HYPERLINK("https://www.wikidata.org/wiki/Q3184625", "Q3184625")</f>
        <v>0</v>
      </c>
      <c r="O3128" t="s">
        <v>19991</v>
      </c>
      <c r="P3128" t="s">
        <v>20422</v>
      </c>
      <c r="Q3128" t="s">
        <v>20606</v>
      </c>
      <c r="R3128" t="s">
        <v>413</v>
      </c>
      <c r="S3128">
        <v>758</v>
      </c>
    </row>
    <row r="3129" spans="1:19">
      <c r="A3129" t="s">
        <v>23</v>
      </c>
      <c r="B3129" t="s">
        <v>148</v>
      </c>
      <c r="C3129" t="s">
        <v>155</v>
      </c>
      <c r="D3129" t="s">
        <v>284</v>
      </c>
      <c r="E3129" t="s">
        <v>413</v>
      </c>
      <c r="F3129">
        <f>HYPERLINK("https://www.wikidata.org/wiki/Q33728280", "Q33728280")</f>
        <v>0</v>
      </c>
      <c r="G3129" t="s">
        <v>2220</v>
      </c>
      <c r="H3129" t="s">
        <v>6829</v>
      </c>
      <c r="I3129" t="s">
        <v>6495</v>
      </c>
      <c r="J3129" t="s">
        <v>12881</v>
      </c>
      <c r="K3129" t="s">
        <v>17293</v>
      </c>
      <c r="L3129">
        <f>HYPERLINK("https://www2.assemblee-nationale.fr/sycomore/fiche/(num_dept)/4167", "4167")</f>
        <v>0</v>
      </c>
      <c r="N3129">
        <f>HYPERLINK("https://www.wikidata.org/wiki/Q3262410", "Q3262410")</f>
        <v>0</v>
      </c>
      <c r="O3129" t="s">
        <v>19961</v>
      </c>
      <c r="P3129" t="s">
        <v>20404</v>
      </c>
      <c r="Q3129" t="s">
        <v>20606</v>
      </c>
      <c r="R3129" t="s">
        <v>413</v>
      </c>
      <c r="S3129">
        <v>758</v>
      </c>
    </row>
    <row r="3130" spans="1:19">
      <c r="A3130" t="s">
        <v>23</v>
      </c>
      <c r="B3130" t="s">
        <v>148</v>
      </c>
      <c r="C3130" t="s">
        <v>155</v>
      </c>
      <c r="D3130" t="s">
        <v>284</v>
      </c>
      <c r="E3130" t="s">
        <v>413</v>
      </c>
      <c r="F3130">
        <f>HYPERLINK("https://www.wikidata.org/wiki/Q33728280", "Q33728280")</f>
        <v>0</v>
      </c>
      <c r="G3130" t="s">
        <v>2221</v>
      </c>
      <c r="H3130" t="s">
        <v>6830</v>
      </c>
      <c r="I3130" t="s">
        <v>6200</v>
      </c>
      <c r="J3130" t="s">
        <v>12882</v>
      </c>
      <c r="K3130" t="s">
        <v>17294</v>
      </c>
      <c r="L3130">
        <f>HYPERLINK("https://www2.assemblee-nationale.fr/sycomore/fiche/(num_dept)/5552", "5552")</f>
        <v>0</v>
      </c>
      <c r="N3130">
        <f>HYPERLINK("https://www.wikidata.org/wiki/Q530195", "Q530195")</f>
        <v>0</v>
      </c>
      <c r="O3130" t="s">
        <v>19967</v>
      </c>
      <c r="Q3130" t="s">
        <v>20607</v>
      </c>
      <c r="R3130" t="s">
        <v>413</v>
      </c>
      <c r="S3130">
        <v>681</v>
      </c>
    </row>
    <row r="3131" spans="1:19">
      <c r="A3131" t="s">
        <v>23</v>
      </c>
      <c r="B3131" t="s">
        <v>148</v>
      </c>
      <c r="C3131" t="s">
        <v>155</v>
      </c>
      <c r="D3131" t="s">
        <v>284</v>
      </c>
      <c r="E3131" t="s">
        <v>413</v>
      </c>
      <c r="F3131">
        <f>HYPERLINK("https://www.wikidata.org/wiki/Q33728280", "Q33728280")</f>
        <v>0</v>
      </c>
      <c r="G3131" t="s">
        <v>2222</v>
      </c>
      <c r="H3131" t="s">
        <v>6831</v>
      </c>
      <c r="I3131" t="s">
        <v>6759</v>
      </c>
      <c r="J3131" t="s">
        <v>12883</v>
      </c>
      <c r="K3131" t="s">
        <v>17295</v>
      </c>
      <c r="L3131">
        <f>HYPERLINK("https://www2.assemblee-nationale.fr/sycomore/fiche/(num_dept)/4001", "4001")</f>
        <v>0</v>
      </c>
      <c r="N3131">
        <f>HYPERLINK("https://www.wikidata.org/wiki/Q16025867", "Q16025867")</f>
        <v>0</v>
      </c>
      <c r="O3131" t="s">
        <v>19969</v>
      </c>
      <c r="P3131" t="s">
        <v>20404</v>
      </c>
      <c r="Q3131" t="s">
        <v>20608</v>
      </c>
      <c r="R3131" t="s">
        <v>413</v>
      </c>
      <c r="S3131">
        <v>604</v>
      </c>
    </row>
    <row r="3132" spans="1:19">
      <c r="A3132" t="s">
        <v>23</v>
      </c>
      <c r="B3132" t="s">
        <v>148</v>
      </c>
      <c r="C3132" t="s">
        <v>155</v>
      </c>
      <c r="D3132" t="s">
        <v>284</v>
      </c>
      <c r="E3132" t="s">
        <v>413</v>
      </c>
      <c r="F3132">
        <f>HYPERLINK("https://www.wikidata.org/wiki/Q33728280", "Q33728280")</f>
        <v>0</v>
      </c>
      <c r="G3132" t="s">
        <v>2223</v>
      </c>
      <c r="H3132" t="s">
        <v>6832</v>
      </c>
      <c r="I3132" t="s">
        <v>10125</v>
      </c>
      <c r="J3132" t="s">
        <v>12884</v>
      </c>
      <c r="K3132" t="s">
        <v>17296</v>
      </c>
      <c r="L3132">
        <f>HYPERLINK("https://www2.assemblee-nationale.fr/sycomore/fiche/(num_dept)/7011", "7011")</f>
        <v>0</v>
      </c>
      <c r="N3132">
        <f>HYPERLINK("https://www.wikidata.org/wiki/Q3271353", "Q3271353")</f>
        <v>0</v>
      </c>
      <c r="O3132" t="s">
        <v>19998</v>
      </c>
      <c r="P3132" t="s">
        <v>20434</v>
      </c>
      <c r="Q3132" t="s">
        <v>20609</v>
      </c>
      <c r="R3132" t="s">
        <v>413</v>
      </c>
      <c r="S3132">
        <v>590</v>
      </c>
    </row>
    <row r="3133" spans="1:19">
      <c r="A3133" t="s">
        <v>23</v>
      </c>
      <c r="B3133" t="s">
        <v>148</v>
      </c>
      <c r="C3133" t="s">
        <v>155</v>
      </c>
      <c r="D3133" t="s">
        <v>284</v>
      </c>
      <c r="E3133" t="s">
        <v>413</v>
      </c>
      <c r="F3133">
        <f>HYPERLINK("https://www.wikidata.org/wiki/Q33728280", "Q33728280")</f>
        <v>0</v>
      </c>
      <c r="G3133" t="s">
        <v>2224</v>
      </c>
      <c r="H3133" t="s">
        <v>6833</v>
      </c>
      <c r="I3133" t="s">
        <v>8093</v>
      </c>
      <c r="J3133" t="s">
        <v>12885</v>
      </c>
      <c r="K3133" t="s">
        <v>17297</v>
      </c>
      <c r="L3133">
        <f>HYPERLINK("https://www2.assemblee-nationale.fr/sycomore/fiche/(num_dept)/108", "108")</f>
        <v>0</v>
      </c>
      <c r="N3133">
        <f>HYPERLINK("https://www.wikidata.org/wiki/Q3535642", "Q3535642")</f>
        <v>0</v>
      </c>
      <c r="O3133" t="s">
        <v>19990</v>
      </c>
      <c r="P3133" t="s">
        <v>20404</v>
      </c>
      <c r="Q3133" t="s">
        <v>20610</v>
      </c>
      <c r="R3133" t="s">
        <v>413</v>
      </c>
      <c r="S3133">
        <v>583</v>
      </c>
    </row>
    <row r="3134" spans="1:19">
      <c r="A3134" t="s">
        <v>23</v>
      </c>
      <c r="B3134" t="s">
        <v>148</v>
      </c>
      <c r="C3134" t="s">
        <v>155</v>
      </c>
      <c r="D3134" t="s">
        <v>284</v>
      </c>
      <c r="E3134" t="s">
        <v>413</v>
      </c>
      <c r="F3134">
        <f>HYPERLINK("https://www.wikidata.org/wiki/Q33728280", "Q33728280")</f>
        <v>0</v>
      </c>
      <c r="G3134" t="s">
        <v>2225</v>
      </c>
      <c r="H3134" t="s">
        <v>6834</v>
      </c>
      <c r="I3134" t="s">
        <v>6495</v>
      </c>
      <c r="J3134" t="s">
        <v>12886</v>
      </c>
      <c r="K3134" t="s">
        <v>17298</v>
      </c>
      <c r="L3134">
        <f>HYPERLINK("https://www2.assemblee-nationale.fr/sycomore/fiche/(num_dept)/4826", "4826")</f>
        <v>0</v>
      </c>
      <c r="M3134">
        <f>HYPERLINK("https://www.senat.fr/senateur-3eme-republique/louis_dreyfus_louis0119r3.html", "louis_dreyfus_louis0119r3")</f>
        <v>0</v>
      </c>
      <c r="N3134">
        <f>HYPERLINK("https://www.wikidata.org/wiki/Q3262554", "Q3262554")</f>
        <v>0</v>
      </c>
      <c r="O3134" t="s">
        <v>20024</v>
      </c>
      <c r="P3134" t="s">
        <v>20431</v>
      </c>
      <c r="Q3134" t="s">
        <v>18930</v>
      </c>
      <c r="R3134" t="s">
        <v>413</v>
      </c>
      <c r="S3134">
        <v>520</v>
      </c>
    </row>
    <row r="3135" spans="1:19">
      <c r="A3135" t="s">
        <v>23</v>
      </c>
      <c r="B3135" t="s">
        <v>148</v>
      </c>
      <c r="C3135" t="s">
        <v>155</v>
      </c>
      <c r="D3135" t="s">
        <v>284</v>
      </c>
      <c r="E3135" t="s">
        <v>413</v>
      </c>
      <c r="F3135">
        <f>HYPERLINK("https://www.wikidata.org/wiki/Q33728280", "Q33728280")</f>
        <v>0</v>
      </c>
      <c r="G3135" t="s">
        <v>2226</v>
      </c>
      <c r="H3135" t="s">
        <v>6835</v>
      </c>
      <c r="I3135" t="s">
        <v>9407</v>
      </c>
      <c r="J3135" t="s">
        <v>12887</v>
      </c>
      <c r="K3135" t="s">
        <v>17299</v>
      </c>
      <c r="L3135">
        <f>HYPERLINK("https://www2.assemblee-nationale.fr/sycomore/fiche/(num_dept)/5679", "5679")</f>
        <v>0</v>
      </c>
      <c r="M3135">
        <f>HYPERLINK("https://www.senat.fr/senateur-3eme-republique/parayre_joseph1092r3.html", "parayre_joseph1092r3")</f>
        <v>0</v>
      </c>
      <c r="N3135">
        <f>HYPERLINK("https://www.wikidata.org/wiki/Q3185447", "Q3185447")</f>
        <v>0</v>
      </c>
      <c r="O3135" t="s">
        <v>20001</v>
      </c>
      <c r="P3135" t="s">
        <v>20404</v>
      </c>
      <c r="Q3135" t="s">
        <v>20611</v>
      </c>
      <c r="R3135" t="s">
        <v>413</v>
      </c>
      <c r="S3135">
        <v>485</v>
      </c>
    </row>
    <row r="3136" spans="1:19">
      <c r="A3136" t="s">
        <v>23</v>
      </c>
      <c r="B3136" t="s">
        <v>148</v>
      </c>
      <c r="C3136" t="s">
        <v>155</v>
      </c>
      <c r="D3136" t="s">
        <v>284</v>
      </c>
      <c r="E3136" t="s">
        <v>413</v>
      </c>
      <c r="F3136">
        <f>HYPERLINK("https://www.wikidata.org/wiki/Q33728280", "Q33728280")</f>
        <v>0</v>
      </c>
      <c r="G3136" t="s">
        <v>2227</v>
      </c>
      <c r="H3136" t="s">
        <v>6836</v>
      </c>
      <c r="I3136" t="s">
        <v>6860</v>
      </c>
      <c r="J3136" t="s">
        <v>12888</v>
      </c>
      <c r="K3136" t="s">
        <v>17300</v>
      </c>
      <c r="L3136">
        <f>HYPERLINK("https://www2.assemblee-nationale.fr/sycomore/fiche/(num_dept)/3334", "3334")</f>
        <v>0</v>
      </c>
      <c r="N3136">
        <f>HYPERLINK("https://www.wikidata.org/wiki/Q11984999", "Q11984999")</f>
        <v>0</v>
      </c>
      <c r="O3136" t="s">
        <v>20005</v>
      </c>
      <c r="Q3136" t="s">
        <v>20612</v>
      </c>
      <c r="R3136" t="s">
        <v>413</v>
      </c>
      <c r="S3136">
        <v>471</v>
      </c>
    </row>
    <row r="3137" spans="1:19">
      <c r="A3137" t="s">
        <v>23</v>
      </c>
      <c r="B3137" t="s">
        <v>148</v>
      </c>
      <c r="C3137" t="s">
        <v>155</v>
      </c>
      <c r="D3137" t="s">
        <v>284</v>
      </c>
      <c r="E3137" t="s">
        <v>413</v>
      </c>
      <c r="F3137">
        <f>HYPERLINK("https://www.wikidata.org/wiki/Q33728280", "Q33728280")</f>
        <v>0</v>
      </c>
      <c r="G3137" t="s">
        <v>2228</v>
      </c>
      <c r="H3137" t="s">
        <v>6837</v>
      </c>
      <c r="I3137" t="s">
        <v>6941</v>
      </c>
      <c r="J3137" t="s">
        <v>12889</v>
      </c>
      <c r="K3137" t="s">
        <v>17301</v>
      </c>
      <c r="L3137">
        <f>HYPERLINK("https://www2.assemblee-nationale.fr/sycomore/fiche/(num_dept)/5683", "5683")</f>
        <v>0</v>
      </c>
      <c r="N3137">
        <f>HYPERLINK("https://www.wikidata.org/wiki/Q16004087", "Q16004087")</f>
        <v>0</v>
      </c>
      <c r="O3137" t="s">
        <v>20000</v>
      </c>
      <c r="P3137" t="s">
        <v>20422</v>
      </c>
      <c r="Q3137" t="s">
        <v>20613</v>
      </c>
      <c r="R3137" t="s">
        <v>413</v>
      </c>
      <c r="S3137">
        <v>436</v>
      </c>
    </row>
    <row r="3138" spans="1:19">
      <c r="A3138" t="s">
        <v>23</v>
      </c>
      <c r="B3138" t="s">
        <v>148</v>
      </c>
      <c r="C3138" t="s">
        <v>155</v>
      </c>
      <c r="D3138" t="s">
        <v>284</v>
      </c>
      <c r="E3138" t="s">
        <v>413</v>
      </c>
      <c r="F3138">
        <f>HYPERLINK("https://www.wikidata.org/wiki/Q33728280", "Q33728280")</f>
        <v>0</v>
      </c>
      <c r="G3138" t="s">
        <v>2229</v>
      </c>
      <c r="H3138" t="s">
        <v>6838</v>
      </c>
      <c r="I3138" t="s">
        <v>6860</v>
      </c>
      <c r="J3138" t="s">
        <v>12890</v>
      </c>
      <c r="K3138" t="s">
        <v>17302</v>
      </c>
      <c r="L3138">
        <f>HYPERLINK("https://www2.assemblee-nationale.fr/sycomore/fiche/(num_dept)/5594", "5594")</f>
        <v>0</v>
      </c>
      <c r="N3138">
        <f>HYPERLINK("https://www.wikidata.org/wiki/Q16026226", "Q16026226")</f>
        <v>0</v>
      </c>
      <c r="O3138" t="s">
        <v>19965</v>
      </c>
      <c r="P3138" t="s">
        <v>20404</v>
      </c>
      <c r="Q3138" t="s">
        <v>20614</v>
      </c>
      <c r="R3138" t="s">
        <v>413</v>
      </c>
      <c r="S3138">
        <v>429</v>
      </c>
    </row>
    <row r="3139" spans="1:19">
      <c r="A3139" t="s">
        <v>23</v>
      </c>
      <c r="B3139" t="s">
        <v>148</v>
      </c>
      <c r="C3139" t="s">
        <v>155</v>
      </c>
      <c r="D3139" t="s">
        <v>284</v>
      </c>
      <c r="E3139" t="s">
        <v>413</v>
      </c>
      <c r="F3139">
        <f>HYPERLINK("https://www.wikidata.org/wiki/Q33728280", "Q33728280")</f>
        <v>0</v>
      </c>
      <c r="G3139" t="s">
        <v>2230</v>
      </c>
      <c r="H3139" t="s">
        <v>6839</v>
      </c>
      <c r="I3139" t="s">
        <v>10126</v>
      </c>
      <c r="J3139" t="s">
        <v>12891</v>
      </c>
      <c r="K3139" t="s">
        <v>15943</v>
      </c>
      <c r="L3139">
        <f>HYPERLINK("https://www2.assemblee-nationale.fr/sycomore/fiche/(num_dept)/597", "597")</f>
        <v>0</v>
      </c>
      <c r="N3139">
        <f>HYPERLINK("https://www.wikidata.org/wiki/Q3098912", "Q3098912")</f>
        <v>0</v>
      </c>
      <c r="O3139" t="s">
        <v>19968</v>
      </c>
      <c r="P3139" t="s">
        <v>20404</v>
      </c>
      <c r="Q3139" t="s">
        <v>20615</v>
      </c>
      <c r="R3139" t="s">
        <v>413</v>
      </c>
      <c r="S3139">
        <v>415</v>
      </c>
    </row>
    <row r="3140" spans="1:19">
      <c r="A3140" t="s">
        <v>23</v>
      </c>
      <c r="B3140" t="s">
        <v>148</v>
      </c>
      <c r="C3140" t="s">
        <v>155</v>
      </c>
      <c r="D3140" t="s">
        <v>284</v>
      </c>
      <c r="E3140" t="s">
        <v>413</v>
      </c>
      <c r="F3140">
        <f>HYPERLINK("https://www.wikidata.org/wiki/Q33728280", "Q33728280")</f>
        <v>0</v>
      </c>
      <c r="G3140" t="s">
        <v>2231</v>
      </c>
      <c r="H3140" t="s">
        <v>6840</v>
      </c>
      <c r="I3140" t="s">
        <v>9667</v>
      </c>
      <c r="J3140" t="s">
        <v>12892</v>
      </c>
      <c r="K3140" t="s">
        <v>17303</v>
      </c>
      <c r="L3140">
        <f>HYPERLINK("https://www2.assemblee-nationale.fr/sycomore/fiche/(num_dept)/6256", "6256")</f>
        <v>0</v>
      </c>
      <c r="N3140">
        <f>HYPERLINK("https://www.wikidata.org/wiki/Q16026475", "Q16026475")</f>
        <v>0</v>
      </c>
      <c r="O3140" t="s">
        <v>19991</v>
      </c>
      <c r="P3140" t="s">
        <v>20404</v>
      </c>
      <c r="Q3140" t="s">
        <v>20616</v>
      </c>
      <c r="R3140" t="s">
        <v>413</v>
      </c>
      <c r="S3140">
        <v>408</v>
      </c>
    </row>
    <row r="3141" spans="1:19">
      <c r="A3141" t="s">
        <v>23</v>
      </c>
      <c r="B3141" t="s">
        <v>148</v>
      </c>
      <c r="C3141" t="s">
        <v>155</v>
      </c>
      <c r="D3141" t="s">
        <v>284</v>
      </c>
      <c r="E3141" t="s">
        <v>413</v>
      </c>
      <c r="F3141">
        <f>HYPERLINK("https://www.wikidata.org/wiki/Q33728280", "Q33728280")</f>
        <v>0</v>
      </c>
      <c r="G3141" t="s">
        <v>1715</v>
      </c>
      <c r="H3141" t="s">
        <v>6390</v>
      </c>
      <c r="I3141" t="s">
        <v>9641</v>
      </c>
      <c r="J3141" t="s">
        <v>12417</v>
      </c>
      <c r="K3141" t="s">
        <v>16825</v>
      </c>
      <c r="L3141">
        <f>HYPERLINK("https://www2.assemblee-nationale.fr/sycomore/fiche/(num_dept)/606", "606")</f>
        <v>0</v>
      </c>
      <c r="N3141">
        <f>HYPERLINK("https://www.wikidata.org/wiki/Q2934853", "Q2934853")</f>
        <v>0</v>
      </c>
      <c r="O3141" t="s">
        <v>19979</v>
      </c>
      <c r="P3141" t="s">
        <v>20404</v>
      </c>
      <c r="Q3141" t="s">
        <v>16632</v>
      </c>
      <c r="R3141" t="s">
        <v>413</v>
      </c>
      <c r="S3141">
        <v>394</v>
      </c>
    </row>
    <row r="3142" spans="1:19">
      <c r="A3142" t="s">
        <v>23</v>
      </c>
      <c r="B3142" t="s">
        <v>148</v>
      </c>
      <c r="C3142" t="s">
        <v>155</v>
      </c>
      <c r="D3142" t="s">
        <v>284</v>
      </c>
      <c r="E3142" t="s">
        <v>413</v>
      </c>
      <c r="F3142">
        <f>HYPERLINK("https://www.wikidata.org/wiki/Q33728280", "Q33728280")</f>
        <v>0</v>
      </c>
      <c r="G3142" t="s">
        <v>2232</v>
      </c>
      <c r="H3142" t="s">
        <v>6841</v>
      </c>
      <c r="I3142" t="s">
        <v>9458</v>
      </c>
      <c r="J3142" t="s">
        <v>12893</v>
      </c>
      <c r="K3142" t="s">
        <v>17304</v>
      </c>
      <c r="L3142">
        <f>HYPERLINK("https://www2.assemblee-nationale.fr/sycomore/fiche/(num_dept)/4092", "4092")</f>
        <v>0</v>
      </c>
      <c r="N3142">
        <f>HYPERLINK("https://www.wikidata.org/wiki/Q2835216", "Q2835216")</f>
        <v>0</v>
      </c>
      <c r="O3142" t="s">
        <v>19965</v>
      </c>
      <c r="P3142" t="s">
        <v>20428</v>
      </c>
      <c r="Q3142" t="s">
        <v>20617</v>
      </c>
      <c r="R3142" t="s">
        <v>413</v>
      </c>
      <c r="S3142">
        <v>348</v>
      </c>
    </row>
    <row r="3143" spans="1:19">
      <c r="A3143" t="s">
        <v>23</v>
      </c>
      <c r="B3143" t="s">
        <v>148</v>
      </c>
      <c r="C3143" t="s">
        <v>155</v>
      </c>
      <c r="D3143" t="s">
        <v>284</v>
      </c>
      <c r="E3143" t="s">
        <v>413</v>
      </c>
      <c r="F3143">
        <f>HYPERLINK("https://www.wikidata.org/wiki/Q33728280", "Q33728280")</f>
        <v>0</v>
      </c>
      <c r="G3143" t="s">
        <v>2233</v>
      </c>
      <c r="H3143" t="s">
        <v>6842</v>
      </c>
      <c r="I3143" t="s">
        <v>9457</v>
      </c>
      <c r="J3143" t="s">
        <v>12894</v>
      </c>
      <c r="K3143" t="s">
        <v>17305</v>
      </c>
      <c r="L3143">
        <f>HYPERLINK("https://www2.assemblee-nationale.fr/sycomore/fiche/(num_dept)/1054", "1054")</f>
        <v>0</v>
      </c>
      <c r="N3143">
        <f>HYPERLINK("https://www.wikidata.org/wiki/Q3130720", "Q3130720")</f>
        <v>0</v>
      </c>
      <c r="O3143" t="s">
        <v>19994</v>
      </c>
      <c r="P3143" t="s">
        <v>20404</v>
      </c>
      <c r="Q3143" t="s">
        <v>20618</v>
      </c>
      <c r="R3143" t="s">
        <v>413</v>
      </c>
      <c r="S3143">
        <v>317</v>
      </c>
    </row>
    <row r="3144" spans="1:19">
      <c r="A3144" t="s">
        <v>23</v>
      </c>
      <c r="B3144" t="s">
        <v>148</v>
      </c>
      <c r="C3144" t="s">
        <v>155</v>
      </c>
      <c r="D3144" t="s">
        <v>284</v>
      </c>
      <c r="E3144" t="s">
        <v>413</v>
      </c>
      <c r="F3144">
        <f>HYPERLINK("https://www.wikidata.org/wiki/Q33728280", "Q33728280")</f>
        <v>0</v>
      </c>
      <c r="G3144" t="s">
        <v>2234</v>
      </c>
      <c r="H3144" t="s">
        <v>6843</v>
      </c>
      <c r="I3144" t="s">
        <v>6584</v>
      </c>
      <c r="J3144" t="s">
        <v>12895</v>
      </c>
      <c r="K3144" t="s">
        <v>17306</v>
      </c>
      <c r="L3144">
        <f>HYPERLINK("https://www2.assemblee-nationale.fr/sycomore/fiche/(num_dept)/5511", "5511")</f>
        <v>0</v>
      </c>
      <c r="N3144">
        <f>HYPERLINK("https://www.wikidata.org/wiki/Q13077217", "Q13077217")</f>
        <v>0</v>
      </c>
      <c r="O3144" t="s">
        <v>20026</v>
      </c>
      <c r="Q3144" t="s">
        <v>20619</v>
      </c>
      <c r="R3144" t="s">
        <v>413</v>
      </c>
      <c r="S3144">
        <v>240</v>
      </c>
    </row>
    <row r="3145" spans="1:19">
      <c r="A3145" t="s">
        <v>23</v>
      </c>
      <c r="B3145" t="s">
        <v>148</v>
      </c>
      <c r="C3145" t="s">
        <v>155</v>
      </c>
      <c r="D3145" t="s">
        <v>284</v>
      </c>
      <c r="E3145" t="s">
        <v>413</v>
      </c>
      <c r="F3145">
        <f>HYPERLINK("https://www.wikidata.org/wiki/Q33728280", "Q33728280")</f>
        <v>0</v>
      </c>
      <c r="G3145" t="s">
        <v>2235</v>
      </c>
      <c r="H3145" t="s">
        <v>6142</v>
      </c>
      <c r="I3145" t="s">
        <v>10127</v>
      </c>
      <c r="J3145" t="s">
        <v>12896</v>
      </c>
      <c r="K3145" t="s">
        <v>17307</v>
      </c>
      <c r="L3145">
        <f>HYPERLINK("https://www2.assemblee-nationale.fr/sycomore/fiche/(num_dept)/2560", "2560")</f>
        <v>0</v>
      </c>
      <c r="M3145">
        <f>HYPERLINK("https://www.senat.fr/senateur-3eme-republique/dormoy_marx0045r3.html", "dormoy_marx0045r3")</f>
        <v>0</v>
      </c>
      <c r="N3145">
        <f>HYPERLINK("https://www.wikidata.org/wiki/Q255618", "Q255618")</f>
        <v>0</v>
      </c>
      <c r="O3145" t="s">
        <v>19999</v>
      </c>
      <c r="P3145" t="s">
        <v>20404</v>
      </c>
      <c r="Q3145" t="s">
        <v>16640</v>
      </c>
      <c r="R3145" t="s">
        <v>413</v>
      </c>
      <c r="S3145">
        <v>191</v>
      </c>
    </row>
    <row r="3146" spans="1:19">
      <c r="A3146" t="s">
        <v>23</v>
      </c>
      <c r="B3146" t="s">
        <v>148</v>
      </c>
      <c r="C3146" t="s">
        <v>155</v>
      </c>
      <c r="D3146" t="s">
        <v>284</v>
      </c>
      <c r="E3146" t="s">
        <v>413</v>
      </c>
      <c r="F3146">
        <f>HYPERLINK("https://www.wikidata.org/wiki/Q33728280", "Q33728280")</f>
        <v>0</v>
      </c>
      <c r="G3146" t="s">
        <v>2236</v>
      </c>
      <c r="H3146" t="s">
        <v>6844</v>
      </c>
      <c r="I3146" t="s">
        <v>10128</v>
      </c>
      <c r="J3146" t="s">
        <v>12897</v>
      </c>
      <c r="K3146" t="s">
        <v>17308</v>
      </c>
      <c r="L3146">
        <f>HYPERLINK("https://www2.assemblee-nationale.fr/sycomore/fiche/(num_dept)/1863", "1863")</f>
        <v>0</v>
      </c>
      <c r="N3146">
        <f>HYPERLINK("https://www.wikidata.org/wiki/Q16025463", "Q16025463")</f>
        <v>0</v>
      </c>
      <c r="O3146" t="s">
        <v>19987</v>
      </c>
      <c r="P3146" t="s">
        <v>20428</v>
      </c>
      <c r="Q3146" t="s">
        <v>20620</v>
      </c>
      <c r="R3146" t="s">
        <v>413</v>
      </c>
      <c r="S3146">
        <v>184</v>
      </c>
    </row>
    <row r="3147" spans="1:19">
      <c r="A3147" t="s">
        <v>23</v>
      </c>
      <c r="B3147" t="s">
        <v>148</v>
      </c>
      <c r="C3147" t="s">
        <v>155</v>
      </c>
      <c r="D3147" t="s">
        <v>284</v>
      </c>
      <c r="E3147" t="s">
        <v>413</v>
      </c>
      <c r="F3147">
        <f>HYPERLINK("https://www.wikidata.org/wiki/Q33728280", "Q33728280")</f>
        <v>0</v>
      </c>
      <c r="G3147" t="s">
        <v>2237</v>
      </c>
      <c r="H3147" t="s">
        <v>6254</v>
      </c>
      <c r="I3147" t="s">
        <v>9445</v>
      </c>
      <c r="J3147" t="s">
        <v>12898</v>
      </c>
      <c r="K3147" t="s">
        <v>17309</v>
      </c>
      <c r="L3147">
        <f>HYPERLINK("https://www2.assemblee-nationale.fr/sycomore/fiche/(num_dept)/5626", "5626")</f>
        <v>0</v>
      </c>
      <c r="N3147">
        <f>HYPERLINK("https://www.wikidata.org/wiki/Q13077207", "Q13077207")</f>
        <v>0</v>
      </c>
      <c r="O3147" t="s">
        <v>19969</v>
      </c>
      <c r="Q3147" t="s">
        <v>15659</v>
      </c>
      <c r="R3147" t="s">
        <v>413</v>
      </c>
      <c r="S3147">
        <v>163</v>
      </c>
    </row>
    <row r="3148" spans="1:19">
      <c r="A3148" t="s">
        <v>24</v>
      </c>
      <c r="B3148" t="s">
        <v>148</v>
      </c>
      <c r="C3148" t="s">
        <v>156</v>
      </c>
      <c r="D3148" t="s">
        <v>285</v>
      </c>
      <c r="E3148" t="s">
        <v>414</v>
      </c>
      <c r="F3148">
        <f>HYPERLINK("https://www.wikidata.org/wiki/Q16683508", "Q16683508")</f>
        <v>0</v>
      </c>
      <c r="G3148" t="s">
        <v>1939</v>
      </c>
      <c r="H3148" t="s">
        <v>6584</v>
      </c>
      <c r="I3148" t="s">
        <v>6166</v>
      </c>
      <c r="J3148" t="s">
        <v>12623</v>
      </c>
      <c r="K3148" t="s">
        <v>485</v>
      </c>
      <c r="L3148">
        <f>HYPERLINK("https://www2.assemblee-nationale.fr/sycomore/fiche/(num_dept)/69", "69")</f>
        <v>0</v>
      </c>
      <c r="M3148">
        <f>HYPERLINK("https://www.senat.fr/senateur-3eme-republique/albert_francois1773r3.html", "albert_francois1773r3")</f>
        <v>0</v>
      </c>
      <c r="N3148">
        <f>HYPERLINK("https://www.wikidata.org/wiki/Q3083780", "Q3083780")</f>
        <v>0</v>
      </c>
      <c r="O3148" t="s">
        <v>20021</v>
      </c>
      <c r="P3148" t="s">
        <v>20428</v>
      </c>
      <c r="Q3148" t="s">
        <v>16639</v>
      </c>
      <c r="R3148" t="s">
        <v>485</v>
      </c>
      <c r="S3148">
        <v>571</v>
      </c>
    </row>
    <row r="3149" spans="1:19">
      <c r="A3149" t="s">
        <v>24</v>
      </c>
      <c r="B3149" t="s">
        <v>148</v>
      </c>
      <c r="C3149" t="s">
        <v>156</v>
      </c>
      <c r="D3149" t="s">
        <v>285</v>
      </c>
      <c r="E3149" t="s">
        <v>414</v>
      </c>
      <c r="F3149">
        <f>HYPERLINK("https://www.wikidata.org/wiki/Q16683508", "Q16683508")</f>
        <v>0</v>
      </c>
      <c r="G3149" t="s">
        <v>1980</v>
      </c>
      <c r="H3149" t="s">
        <v>6618</v>
      </c>
      <c r="I3149" t="s">
        <v>10027</v>
      </c>
      <c r="J3149" t="s">
        <v>12343</v>
      </c>
      <c r="K3149" t="s">
        <v>17071</v>
      </c>
      <c r="L3149">
        <f>HYPERLINK("https://www2.assemblee-nationale.fr/sycomore/fiche/(num_dept)/81", "81")</f>
        <v>0</v>
      </c>
      <c r="N3149">
        <f>HYPERLINK("https://www.wikidata.org/wiki/Q3170348", "Q3170348")</f>
        <v>0</v>
      </c>
      <c r="O3149" t="s">
        <v>7411</v>
      </c>
      <c r="P3149" t="s">
        <v>20428</v>
      </c>
      <c r="Q3149" t="s">
        <v>16639</v>
      </c>
      <c r="R3149" t="s">
        <v>414</v>
      </c>
      <c r="S3149">
        <v>1491</v>
      </c>
    </row>
    <row r="3150" spans="1:19">
      <c r="A3150" t="s">
        <v>24</v>
      </c>
      <c r="B3150" t="s">
        <v>148</v>
      </c>
      <c r="C3150" t="s">
        <v>156</v>
      </c>
      <c r="D3150" t="s">
        <v>285</v>
      </c>
      <c r="E3150" t="s">
        <v>414</v>
      </c>
      <c r="F3150">
        <f>HYPERLINK("https://www.wikidata.org/wiki/Q16683508", "Q16683508")</f>
        <v>0</v>
      </c>
      <c r="G3150" t="s">
        <v>1698</v>
      </c>
      <c r="H3150" t="s">
        <v>6375</v>
      </c>
      <c r="I3150" t="s">
        <v>9506</v>
      </c>
      <c r="J3150" t="s">
        <v>12401</v>
      </c>
      <c r="K3150" t="s">
        <v>16809</v>
      </c>
      <c r="L3150">
        <f>HYPERLINK("https://www2.assemblee-nationale.fr/sycomore/fiche/(num_dept)/111", "111")</f>
        <v>0</v>
      </c>
      <c r="N3150">
        <f>HYPERLINK("https://www.wikidata.org/wiki/Q2934841", "Q2934841")</f>
        <v>0</v>
      </c>
      <c r="O3150" t="s">
        <v>20017</v>
      </c>
      <c r="P3150" t="s">
        <v>20412</v>
      </c>
      <c r="Q3150" t="s">
        <v>16639</v>
      </c>
      <c r="R3150" t="s">
        <v>16809</v>
      </c>
      <c r="S3150">
        <v>680</v>
      </c>
    </row>
    <row r="3151" spans="1:19">
      <c r="A3151" t="s">
        <v>24</v>
      </c>
      <c r="B3151" t="s">
        <v>148</v>
      </c>
      <c r="C3151" t="s">
        <v>156</v>
      </c>
      <c r="D3151" t="s">
        <v>285</v>
      </c>
      <c r="E3151" t="s">
        <v>414</v>
      </c>
      <c r="F3151">
        <f>HYPERLINK("https://www.wikidata.org/wiki/Q16683508", "Q16683508")</f>
        <v>0</v>
      </c>
      <c r="G3151" t="s">
        <v>1982</v>
      </c>
      <c r="H3151" t="s">
        <v>6620</v>
      </c>
      <c r="I3151" t="s">
        <v>10028</v>
      </c>
      <c r="J3151" t="s">
        <v>12662</v>
      </c>
      <c r="K3151" t="s">
        <v>17073</v>
      </c>
      <c r="L3151">
        <f>HYPERLINK("https://www2.assemblee-nationale.fr/sycomore/fiche/(num_dept)/113", "113")</f>
        <v>0</v>
      </c>
      <c r="N3151">
        <f>HYPERLINK("https://www.wikidata.org/wiki/Q3383696", "Q3383696")</f>
        <v>0</v>
      </c>
      <c r="O3151" t="s">
        <v>20007</v>
      </c>
      <c r="P3151" t="s">
        <v>20435</v>
      </c>
      <c r="Q3151" t="s">
        <v>16639</v>
      </c>
      <c r="R3151" t="s">
        <v>414</v>
      </c>
      <c r="S3151">
        <v>1491</v>
      </c>
    </row>
    <row r="3152" spans="1:19">
      <c r="A3152" t="s">
        <v>24</v>
      </c>
      <c r="B3152" t="s">
        <v>148</v>
      </c>
      <c r="C3152" t="s">
        <v>156</v>
      </c>
      <c r="D3152" t="s">
        <v>285</v>
      </c>
      <c r="E3152" t="s">
        <v>414</v>
      </c>
      <c r="F3152">
        <f>HYPERLINK("https://www.wikidata.org/wiki/Q16683508", "Q16683508")</f>
        <v>0</v>
      </c>
      <c r="G3152" t="s">
        <v>2238</v>
      </c>
      <c r="H3152" t="s">
        <v>6376</v>
      </c>
      <c r="I3152" t="s">
        <v>10129</v>
      </c>
      <c r="J3152" t="s">
        <v>12899</v>
      </c>
      <c r="K3152" t="s">
        <v>17310</v>
      </c>
      <c r="L3152">
        <f>HYPERLINK("https://www2.assemblee-nationale.fr/sycomore/fiche/(num_dept)/125", "125")</f>
        <v>0</v>
      </c>
      <c r="N3152">
        <f>HYPERLINK("https://www.wikidata.org/wiki/Q3078594", "Q3078594")</f>
        <v>0</v>
      </c>
      <c r="O3152" t="s">
        <v>19980</v>
      </c>
      <c r="P3152" t="s">
        <v>20414</v>
      </c>
      <c r="Q3152" t="s">
        <v>16639</v>
      </c>
      <c r="R3152" t="s">
        <v>17310</v>
      </c>
      <c r="S3152">
        <v>1214</v>
      </c>
    </row>
    <row r="3153" spans="1:19">
      <c r="A3153" t="s">
        <v>24</v>
      </c>
      <c r="B3153" t="s">
        <v>148</v>
      </c>
      <c r="C3153" t="s">
        <v>156</v>
      </c>
      <c r="D3153" t="s">
        <v>285</v>
      </c>
      <c r="E3153" t="s">
        <v>414</v>
      </c>
      <c r="F3153">
        <f>HYPERLINK("https://www.wikidata.org/wiki/Q16683508", "Q16683508")</f>
        <v>0</v>
      </c>
      <c r="G3153" t="s">
        <v>1984</v>
      </c>
      <c r="H3153" t="s">
        <v>6622</v>
      </c>
      <c r="I3153" t="s">
        <v>6478</v>
      </c>
      <c r="J3153" t="s">
        <v>12664</v>
      </c>
      <c r="K3153" t="s">
        <v>17075</v>
      </c>
      <c r="L3153">
        <f>HYPERLINK("https://www2.assemblee-nationale.fr/sycomore/fiche/(num_dept)/127", "127")</f>
        <v>0</v>
      </c>
      <c r="N3153">
        <f>HYPERLINK("https://www.wikidata.org/wiki/Q3132579", "Q3132579")</f>
        <v>0</v>
      </c>
      <c r="O3153" t="s">
        <v>20005</v>
      </c>
      <c r="P3153" t="s">
        <v>20436</v>
      </c>
      <c r="Q3153" t="s">
        <v>16639</v>
      </c>
      <c r="R3153" t="s">
        <v>414</v>
      </c>
      <c r="S3153">
        <v>1491</v>
      </c>
    </row>
    <row r="3154" spans="1:19">
      <c r="A3154" t="s">
        <v>24</v>
      </c>
      <c r="B3154" t="s">
        <v>148</v>
      </c>
      <c r="C3154" t="s">
        <v>156</v>
      </c>
      <c r="D3154" t="s">
        <v>285</v>
      </c>
      <c r="E3154" t="s">
        <v>414</v>
      </c>
      <c r="F3154">
        <f>HYPERLINK("https://www.wikidata.org/wiki/Q16683508", "Q16683508")</f>
        <v>0</v>
      </c>
      <c r="G3154" t="s">
        <v>1940</v>
      </c>
      <c r="H3154" t="s">
        <v>6585</v>
      </c>
      <c r="I3154" t="s">
        <v>10007</v>
      </c>
      <c r="J3154" t="s">
        <v>12624</v>
      </c>
      <c r="K3154" t="s">
        <v>17035</v>
      </c>
      <c r="L3154">
        <f>HYPERLINK("https://www2.assemblee-nationale.fr/sycomore/fiche/(num_dept)/128", "128")</f>
        <v>0</v>
      </c>
      <c r="M3154">
        <f>HYPERLINK("https://www.senat.fr/senateur-3eme-republique/andre_adrien1762r3.html", "andre_adrien1762r3")</f>
        <v>0</v>
      </c>
      <c r="N3154">
        <f>HYPERLINK("https://www.wikidata.org/wiki/Q2825114", "Q2825114")</f>
        <v>0</v>
      </c>
      <c r="O3154" t="s">
        <v>19982</v>
      </c>
      <c r="P3154" t="s">
        <v>20401</v>
      </c>
      <c r="Q3154" t="s">
        <v>16639</v>
      </c>
      <c r="R3154" t="s">
        <v>16437</v>
      </c>
      <c r="S3154">
        <v>1374</v>
      </c>
    </row>
    <row r="3155" spans="1:19">
      <c r="A3155" t="s">
        <v>24</v>
      </c>
      <c r="B3155" t="s">
        <v>148</v>
      </c>
      <c r="C3155" t="s">
        <v>156</v>
      </c>
      <c r="D3155" t="s">
        <v>285</v>
      </c>
      <c r="E3155" t="s">
        <v>414</v>
      </c>
      <c r="F3155">
        <f>HYPERLINK("https://www.wikidata.org/wiki/Q16683508", "Q16683508")</f>
        <v>0</v>
      </c>
      <c r="G3155" t="s">
        <v>1085</v>
      </c>
      <c r="H3155" t="s">
        <v>5828</v>
      </c>
      <c r="I3155" t="s">
        <v>9656</v>
      </c>
      <c r="J3155" t="s">
        <v>11821</v>
      </c>
      <c r="K3155" t="s">
        <v>16222</v>
      </c>
      <c r="L3155">
        <f>HYPERLINK("https://www2.assemblee-nationale.fr/sycomore/fiche/(num_dept)/172", "172")</f>
        <v>0</v>
      </c>
      <c r="N3155">
        <f>HYPERLINK("https://www.wikidata.org/wiki/Q2899755", "Q2899755")</f>
        <v>0</v>
      </c>
      <c r="O3155" t="s">
        <v>19969</v>
      </c>
      <c r="P3155" t="s">
        <v>20414</v>
      </c>
      <c r="Q3155" t="s">
        <v>16639</v>
      </c>
      <c r="R3155" t="s">
        <v>414</v>
      </c>
      <c r="S3155">
        <v>1491</v>
      </c>
    </row>
    <row r="3156" spans="1:19">
      <c r="A3156" t="s">
        <v>24</v>
      </c>
      <c r="B3156" t="s">
        <v>148</v>
      </c>
      <c r="C3156" t="s">
        <v>156</v>
      </c>
      <c r="D3156" t="s">
        <v>285</v>
      </c>
      <c r="E3156" t="s">
        <v>414</v>
      </c>
      <c r="F3156">
        <f>HYPERLINK("https://www.wikidata.org/wiki/Q16683508", "Q16683508")</f>
        <v>0</v>
      </c>
      <c r="G3156" t="s">
        <v>1345</v>
      </c>
      <c r="H3156" t="s">
        <v>6063</v>
      </c>
      <c r="I3156" t="s">
        <v>5528</v>
      </c>
      <c r="J3156" t="s">
        <v>12072</v>
      </c>
      <c r="K3156" t="s">
        <v>16474</v>
      </c>
      <c r="L3156">
        <f>HYPERLINK("https://www2.assemblee-nationale.fr/sycomore/fiche/(num_dept)/185", "185")</f>
        <v>0</v>
      </c>
      <c r="N3156">
        <f>HYPERLINK("https://www.wikidata.org/wiki/Q3270682", "Q3270682")</f>
        <v>0</v>
      </c>
      <c r="O3156" t="s">
        <v>20044</v>
      </c>
      <c r="P3156" t="s">
        <v>20428</v>
      </c>
      <c r="Q3156" t="s">
        <v>16639</v>
      </c>
      <c r="R3156" t="s">
        <v>414</v>
      </c>
      <c r="S3156">
        <v>1491</v>
      </c>
    </row>
    <row r="3157" spans="1:19">
      <c r="A3157" t="s">
        <v>24</v>
      </c>
      <c r="B3157" t="s">
        <v>148</v>
      </c>
      <c r="C3157" t="s">
        <v>156</v>
      </c>
      <c r="D3157" t="s">
        <v>285</v>
      </c>
      <c r="E3157" t="s">
        <v>414</v>
      </c>
      <c r="F3157">
        <f>HYPERLINK("https://www.wikidata.org/wiki/Q16683508", "Q16683508")</f>
        <v>0</v>
      </c>
      <c r="G3157" t="s">
        <v>1348</v>
      </c>
      <c r="H3157" t="s">
        <v>6066</v>
      </c>
      <c r="I3157" t="s">
        <v>9763</v>
      </c>
      <c r="J3157" t="s">
        <v>11375</v>
      </c>
      <c r="K3157" t="s">
        <v>16477</v>
      </c>
      <c r="L3157">
        <f>HYPERLINK("https://www2.assemblee-nationale.fr/sycomore/fiche/(num_dept)/253", "253")</f>
        <v>0</v>
      </c>
      <c r="N3157">
        <f>HYPERLINK("https://www.wikidata.org/wiki/Q3592397", "Q3592397")</f>
        <v>0</v>
      </c>
      <c r="O3157" t="s">
        <v>19957</v>
      </c>
      <c r="P3157" t="s">
        <v>20437</v>
      </c>
      <c r="Q3157" t="s">
        <v>16639</v>
      </c>
      <c r="R3157" t="s">
        <v>414</v>
      </c>
      <c r="S3157">
        <v>1491</v>
      </c>
    </row>
    <row r="3158" spans="1:19">
      <c r="A3158" t="s">
        <v>24</v>
      </c>
      <c r="B3158" t="s">
        <v>148</v>
      </c>
      <c r="C3158" t="s">
        <v>156</v>
      </c>
      <c r="D3158" t="s">
        <v>285</v>
      </c>
      <c r="E3158" t="s">
        <v>414</v>
      </c>
      <c r="F3158">
        <f>HYPERLINK("https://www.wikidata.org/wiki/Q16683508", "Q16683508")</f>
        <v>0</v>
      </c>
      <c r="G3158" t="s">
        <v>1704</v>
      </c>
      <c r="H3158" t="s">
        <v>5844</v>
      </c>
      <c r="I3158" t="s">
        <v>9899</v>
      </c>
      <c r="J3158" t="s">
        <v>12407</v>
      </c>
      <c r="K3158" t="s">
        <v>16815</v>
      </c>
      <c r="L3158">
        <f>HYPERLINK("https://www2.assemblee-nationale.fr/sycomore/fiche/(num_dept)/265", "265")</f>
        <v>0</v>
      </c>
      <c r="N3158">
        <f>HYPERLINK("https://www.wikidata.org/wiki/Q15973393", "Q15973393")</f>
        <v>0</v>
      </c>
      <c r="O3158" t="s">
        <v>20026</v>
      </c>
      <c r="P3158" t="s">
        <v>20428</v>
      </c>
      <c r="Q3158" t="s">
        <v>16639</v>
      </c>
      <c r="R3158" t="s">
        <v>414</v>
      </c>
      <c r="S3158">
        <v>1491</v>
      </c>
    </row>
    <row r="3159" spans="1:19">
      <c r="A3159" t="s">
        <v>24</v>
      </c>
      <c r="B3159" t="s">
        <v>148</v>
      </c>
      <c r="C3159" t="s">
        <v>156</v>
      </c>
      <c r="D3159" t="s">
        <v>285</v>
      </c>
      <c r="E3159" t="s">
        <v>414</v>
      </c>
      <c r="F3159">
        <f>HYPERLINK("https://www.wikidata.org/wiki/Q16683508", "Q16683508")</f>
        <v>0</v>
      </c>
      <c r="G3159" t="s">
        <v>866</v>
      </c>
      <c r="H3159" t="s">
        <v>5622</v>
      </c>
      <c r="I3159" t="s">
        <v>9564</v>
      </c>
      <c r="J3159" t="s">
        <v>11612</v>
      </c>
      <c r="K3159" t="s">
        <v>16014</v>
      </c>
      <c r="L3159">
        <f>HYPERLINK("https://www2.assemblee-nationale.fr/sycomore/fiche/(num_dept)/284", "284")</f>
        <v>0</v>
      </c>
      <c r="N3159">
        <f>HYPERLINK("https://www.wikidata.org/wiki/Q3130593", "Q3130593")</f>
        <v>0</v>
      </c>
      <c r="O3159" t="s">
        <v>20016</v>
      </c>
      <c r="P3159" t="s">
        <v>20438</v>
      </c>
      <c r="Q3159" t="s">
        <v>16639</v>
      </c>
      <c r="R3159" t="s">
        <v>414</v>
      </c>
      <c r="S3159">
        <v>1491</v>
      </c>
    </row>
    <row r="3160" spans="1:19">
      <c r="A3160" t="s">
        <v>24</v>
      </c>
      <c r="B3160" t="s">
        <v>148</v>
      </c>
      <c r="C3160" t="s">
        <v>156</v>
      </c>
      <c r="D3160" t="s">
        <v>285</v>
      </c>
      <c r="E3160" t="s">
        <v>414</v>
      </c>
      <c r="F3160">
        <f>HYPERLINK("https://www.wikidata.org/wiki/Q16683508", "Q16683508")</f>
        <v>0</v>
      </c>
      <c r="G3160" t="s">
        <v>1217</v>
      </c>
      <c r="H3160" t="s">
        <v>5622</v>
      </c>
      <c r="I3160" t="s">
        <v>5812</v>
      </c>
      <c r="J3160" t="s">
        <v>11949</v>
      </c>
      <c r="K3160" t="s">
        <v>16351</v>
      </c>
      <c r="L3160">
        <f>HYPERLINK("https://www2.assemblee-nationale.fr/sycomore/fiche/(num_dept)/285", "285")</f>
        <v>0</v>
      </c>
      <c r="N3160">
        <f>HYPERLINK("https://www.wikidata.org/wiki/Q158772", "Q158772")</f>
        <v>0</v>
      </c>
      <c r="O3160" t="s">
        <v>20016</v>
      </c>
      <c r="P3160" t="s">
        <v>20404</v>
      </c>
      <c r="Q3160" t="s">
        <v>16639</v>
      </c>
      <c r="R3160" t="s">
        <v>414</v>
      </c>
      <c r="S3160">
        <v>1491</v>
      </c>
    </row>
    <row r="3161" spans="1:19">
      <c r="A3161" t="s">
        <v>24</v>
      </c>
      <c r="B3161" t="s">
        <v>148</v>
      </c>
      <c r="C3161" t="s">
        <v>156</v>
      </c>
      <c r="D3161" t="s">
        <v>285</v>
      </c>
      <c r="E3161" t="s">
        <v>414</v>
      </c>
      <c r="F3161">
        <f>HYPERLINK("https://www.wikidata.org/wiki/Q16683508", "Q16683508")</f>
        <v>0</v>
      </c>
      <c r="G3161" t="s">
        <v>1990</v>
      </c>
      <c r="H3161" t="s">
        <v>6628</v>
      </c>
      <c r="I3161" t="s">
        <v>9426</v>
      </c>
      <c r="J3161" t="s">
        <v>12669</v>
      </c>
      <c r="K3161" t="s">
        <v>17081</v>
      </c>
      <c r="L3161">
        <f>HYPERLINK("https://www2.assemblee-nationale.fr/sycomore/fiche/(num_dept)/392", "392")</f>
        <v>0</v>
      </c>
      <c r="N3161">
        <f>HYPERLINK("https://www.wikidata.org/wiki/Q15973463", "Q15973463")</f>
        <v>0</v>
      </c>
      <c r="O3161" t="s">
        <v>19998</v>
      </c>
      <c r="P3161" t="s">
        <v>20409</v>
      </c>
      <c r="Q3161" t="s">
        <v>16639</v>
      </c>
      <c r="R3161" t="s">
        <v>414</v>
      </c>
      <c r="S3161">
        <v>1491</v>
      </c>
    </row>
    <row r="3162" spans="1:19">
      <c r="A3162" t="s">
        <v>24</v>
      </c>
      <c r="B3162" t="s">
        <v>148</v>
      </c>
      <c r="C3162" t="s">
        <v>156</v>
      </c>
      <c r="D3162" t="s">
        <v>285</v>
      </c>
      <c r="E3162" t="s">
        <v>414</v>
      </c>
      <c r="F3162">
        <f>HYPERLINK("https://www.wikidata.org/wiki/Q16683508", "Q16683508")</f>
        <v>0</v>
      </c>
      <c r="G3162" t="s">
        <v>2202</v>
      </c>
      <c r="H3162" t="s">
        <v>6812</v>
      </c>
      <c r="I3162" t="s">
        <v>6585</v>
      </c>
      <c r="J3162" t="s">
        <v>12864</v>
      </c>
      <c r="K3162" t="s">
        <v>17276</v>
      </c>
      <c r="L3162">
        <f>HYPERLINK("https://www2.assemblee-nationale.fr/sycomore/fiche/(num_dept)/401", "401")</f>
        <v>0</v>
      </c>
      <c r="N3162">
        <f>HYPERLINK("https://www.wikidata.org/wiki/Q2847200", "Q2847200")</f>
        <v>0</v>
      </c>
      <c r="O3162" t="s">
        <v>19977</v>
      </c>
      <c r="P3162" t="s">
        <v>20401</v>
      </c>
      <c r="Q3162" t="s">
        <v>16639</v>
      </c>
      <c r="R3162" t="s">
        <v>414</v>
      </c>
      <c r="S3162">
        <v>1491</v>
      </c>
    </row>
    <row r="3163" spans="1:19">
      <c r="A3163" t="s">
        <v>24</v>
      </c>
      <c r="B3163" t="s">
        <v>148</v>
      </c>
      <c r="C3163" t="s">
        <v>156</v>
      </c>
      <c r="D3163" t="s">
        <v>285</v>
      </c>
      <c r="E3163" t="s">
        <v>414</v>
      </c>
      <c r="F3163">
        <f>HYPERLINK("https://www.wikidata.org/wiki/Q16683508", "Q16683508")</f>
        <v>0</v>
      </c>
      <c r="G3163" t="s">
        <v>1355</v>
      </c>
      <c r="H3163" t="s">
        <v>6073</v>
      </c>
      <c r="I3163" t="s">
        <v>5528</v>
      </c>
      <c r="J3163" t="s">
        <v>12081</v>
      </c>
      <c r="K3163" t="s">
        <v>16484</v>
      </c>
      <c r="L3163">
        <f>HYPERLINK("https://www2.assemblee-nationale.fr/sycomore/fiche/(num_dept)/409", "409")</f>
        <v>0</v>
      </c>
      <c r="N3163">
        <f>HYPERLINK("https://www.wikidata.org/wiki/Q3270710", "Q3270710")</f>
        <v>0</v>
      </c>
      <c r="O3163" t="s">
        <v>20024</v>
      </c>
      <c r="P3163" t="s">
        <v>20412</v>
      </c>
      <c r="Q3163" t="s">
        <v>16639</v>
      </c>
      <c r="R3163" t="s">
        <v>414</v>
      </c>
      <c r="S3163">
        <v>1491</v>
      </c>
    </row>
    <row r="3164" spans="1:19">
      <c r="A3164" t="s">
        <v>24</v>
      </c>
      <c r="B3164" t="s">
        <v>148</v>
      </c>
      <c r="C3164" t="s">
        <v>156</v>
      </c>
      <c r="D3164" t="s">
        <v>285</v>
      </c>
      <c r="E3164" t="s">
        <v>414</v>
      </c>
      <c r="F3164">
        <f>HYPERLINK("https://www.wikidata.org/wiki/Q16683508", "Q16683508")</f>
        <v>0</v>
      </c>
      <c r="G3164" t="s">
        <v>1357</v>
      </c>
      <c r="H3164" t="s">
        <v>6075</v>
      </c>
      <c r="I3164" t="s">
        <v>9768</v>
      </c>
      <c r="J3164" t="s">
        <v>12083</v>
      </c>
      <c r="K3164" t="s">
        <v>16486</v>
      </c>
      <c r="L3164">
        <f>HYPERLINK("https://www2.assemblee-nationale.fr/sycomore/fiche/(num_dept)/422", "422")</f>
        <v>0</v>
      </c>
      <c r="N3164">
        <f>HYPERLINK("https://www.wikidata.org/wiki/Q2958475", "Q2958475")</f>
        <v>0</v>
      </c>
      <c r="O3164" t="s">
        <v>20033</v>
      </c>
      <c r="P3164" t="s">
        <v>20404</v>
      </c>
      <c r="Q3164" t="s">
        <v>16639</v>
      </c>
      <c r="R3164" t="s">
        <v>414</v>
      </c>
      <c r="S3164">
        <v>1491</v>
      </c>
    </row>
    <row r="3165" spans="1:19">
      <c r="A3165" t="s">
        <v>24</v>
      </c>
      <c r="B3165" t="s">
        <v>148</v>
      </c>
      <c r="C3165" t="s">
        <v>156</v>
      </c>
      <c r="D3165" t="s">
        <v>285</v>
      </c>
      <c r="E3165" t="s">
        <v>414</v>
      </c>
      <c r="F3165">
        <f>HYPERLINK("https://www.wikidata.org/wiki/Q16683508", "Q16683508")</f>
        <v>0</v>
      </c>
      <c r="G3165" t="s">
        <v>1992</v>
      </c>
      <c r="H3165" t="s">
        <v>6075</v>
      </c>
      <c r="I3165" t="s">
        <v>10035</v>
      </c>
      <c r="J3165" t="s">
        <v>12671</v>
      </c>
      <c r="K3165" t="s">
        <v>17083</v>
      </c>
      <c r="L3165">
        <f>HYPERLINK("https://www2.assemblee-nationale.fr/sycomore/fiche/(num_dept)/423", "423")</f>
        <v>0</v>
      </c>
      <c r="N3165">
        <f>HYPERLINK("https://www.wikidata.org/wiki/Q3592055", "Q3592055")</f>
        <v>0</v>
      </c>
      <c r="O3165" t="s">
        <v>20045</v>
      </c>
      <c r="P3165" t="s">
        <v>20428</v>
      </c>
      <c r="Q3165" t="s">
        <v>16639</v>
      </c>
      <c r="R3165" t="s">
        <v>414</v>
      </c>
      <c r="S3165">
        <v>1491</v>
      </c>
    </row>
    <row r="3166" spans="1:19">
      <c r="A3166" t="s">
        <v>24</v>
      </c>
      <c r="B3166" t="s">
        <v>148</v>
      </c>
      <c r="C3166" t="s">
        <v>156</v>
      </c>
      <c r="D3166" t="s">
        <v>285</v>
      </c>
      <c r="E3166" t="s">
        <v>414</v>
      </c>
      <c r="F3166">
        <f>HYPERLINK("https://www.wikidata.org/wiki/Q16683508", "Q16683508")</f>
        <v>0</v>
      </c>
      <c r="G3166" t="s">
        <v>511</v>
      </c>
      <c r="H3166" t="s">
        <v>5276</v>
      </c>
      <c r="I3166" t="s">
        <v>9375</v>
      </c>
      <c r="J3166" t="s">
        <v>11263</v>
      </c>
      <c r="K3166" t="s">
        <v>15663</v>
      </c>
      <c r="L3166">
        <f>HYPERLINK("https://www2.assemblee-nationale.fr/sycomore/fiche/(num_dept)/442", "442")</f>
        <v>0</v>
      </c>
      <c r="N3166">
        <f>HYPERLINK("https://www.wikidata.org/wiki/Q3579735", "Q3579735")</f>
        <v>0</v>
      </c>
      <c r="O3166" t="s">
        <v>7411</v>
      </c>
      <c r="P3166" t="s">
        <v>20436</v>
      </c>
      <c r="Q3166" t="s">
        <v>16639</v>
      </c>
      <c r="R3166" t="s">
        <v>414</v>
      </c>
      <c r="S3166">
        <v>1491</v>
      </c>
    </row>
    <row r="3167" spans="1:19">
      <c r="A3167" t="s">
        <v>24</v>
      </c>
      <c r="B3167" t="s">
        <v>148</v>
      </c>
      <c r="C3167" t="s">
        <v>156</v>
      </c>
      <c r="D3167" t="s">
        <v>285</v>
      </c>
      <c r="E3167" t="s">
        <v>414</v>
      </c>
      <c r="F3167">
        <f>HYPERLINK("https://www.wikidata.org/wiki/Q16683508", "Q16683508")</f>
        <v>0</v>
      </c>
      <c r="G3167" t="s">
        <v>1711</v>
      </c>
      <c r="H3167" t="s">
        <v>6386</v>
      </c>
      <c r="I3167" t="s">
        <v>9388</v>
      </c>
      <c r="J3167" t="s">
        <v>12414</v>
      </c>
      <c r="K3167" t="s">
        <v>16821</v>
      </c>
      <c r="L3167">
        <f>HYPERLINK("https://www2.assemblee-nationale.fr/sycomore/fiche/(num_dept)/471", "471")</f>
        <v>0</v>
      </c>
      <c r="N3167">
        <f>HYPERLINK("https://www.wikidata.org/wiki/Q2058829", "Q2058829")</f>
        <v>0</v>
      </c>
      <c r="O3167" t="s">
        <v>19966</v>
      </c>
      <c r="P3167" t="s">
        <v>20428</v>
      </c>
      <c r="Q3167" t="s">
        <v>16639</v>
      </c>
      <c r="R3167" t="s">
        <v>414</v>
      </c>
      <c r="S3167">
        <v>1491</v>
      </c>
    </row>
    <row r="3168" spans="1:19">
      <c r="A3168" t="s">
        <v>24</v>
      </c>
      <c r="B3168" t="s">
        <v>148</v>
      </c>
      <c r="C3168" t="s">
        <v>156</v>
      </c>
      <c r="D3168" t="s">
        <v>285</v>
      </c>
      <c r="E3168" t="s">
        <v>414</v>
      </c>
      <c r="F3168">
        <f>HYPERLINK("https://www.wikidata.org/wiki/Q16683508", "Q16683508")</f>
        <v>0</v>
      </c>
      <c r="G3168" t="s">
        <v>1941</v>
      </c>
      <c r="H3168" t="s">
        <v>6586</v>
      </c>
      <c r="I3168" t="s">
        <v>10008</v>
      </c>
      <c r="J3168" t="s">
        <v>12625</v>
      </c>
      <c r="K3168" t="s">
        <v>17036</v>
      </c>
      <c r="L3168">
        <f>HYPERLINK("https://www2.assemblee-nationale.fr/sycomore/fiche/(num_dept)/497", "497")</f>
        <v>0</v>
      </c>
      <c r="N3168">
        <f>HYPERLINK("https://www.wikidata.org/wiki/Q3383900", "Q3383900")</f>
        <v>0</v>
      </c>
      <c r="O3168" t="s">
        <v>19973</v>
      </c>
      <c r="P3168" t="s">
        <v>20409</v>
      </c>
      <c r="Q3168" t="s">
        <v>16639</v>
      </c>
      <c r="R3168" t="s">
        <v>414</v>
      </c>
      <c r="S3168">
        <v>1491</v>
      </c>
    </row>
    <row r="3169" spans="1:19">
      <c r="A3169" t="s">
        <v>24</v>
      </c>
      <c r="B3169" t="s">
        <v>148</v>
      </c>
      <c r="C3169" t="s">
        <v>156</v>
      </c>
      <c r="D3169" t="s">
        <v>285</v>
      </c>
      <c r="E3169" t="s">
        <v>414</v>
      </c>
      <c r="F3169">
        <f>HYPERLINK("https://www.wikidata.org/wiki/Q16683508", "Q16683508")</f>
        <v>0</v>
      </c>
      <c r="G3169" t="s">
        <v>871</v>
      </c>
      <c r="H3169" t="s">
        <v>5627</v>
      </c>
      <c r="I3169" t="s">
        <v>6584</v>
      </c>
      <c r="J3169" t="s">
        <v>11617</v>
      </c>
      <c r="K3169" t="s">
        <v>16019</v>
      </c>
      <c r="L3169">
        <f>HYPERLINK("https://www2.assemblee-nationale.fr/sycomore/fiche/(num_dept)/564", "564")</f>
        <v>0</v>
      </c>
      <c r="N3169">
        <f>HYPERLINK("https://www.wikidata.org/wiki/Q2830945", "Q2830945")</f>
        <v>0</v>
      </c>
      <c r="O3169" t="s">
        <v>20016</v>
      </c>
      <c r="P3169" t="s">
        <v>20404</v>
      </c>
      <c r="Q3169" t="s">
        <v>16639</v>
      </c>
      <c r="R3169" t="s">
        <v>414</v>
      </c>
      <c r="S3169">
        <v>1491</v>
      </c>
    </row>
    <row r="3170" spans="1:19">
      <c r="A3170" t="s">
        <v>24</v>
      </c>
      <c r="B3170" t="s">
        <v>148</v>
      </c>
      <c r="C3170" t="s">
        <v>156</v>
      </c>
      <c r="D3170" t="s">
        <v>285</v>
      </c>
      <c r="E3170" t="s">
        <v>414</v>
      </c>
      <c r="F3170">
        <f>HYPERLINK("https://www.wikidata.org/wiki/Q16683508", "Q16683508")</f>
        <v>0</v>
      </c>
      <c r="G3170" t="s">
        <v>1091</v>
      </c>
      <c r="H3170" t="s">
        <v>5833</v>
      </c>
      <c r="I3170" t="s">
        <v>9445</v>
      </c>
      <c r="J3170" t="s">
        <v>11827</v>
      </c>
      <c r="K3170" t="s">
        <v>16227</v>
      </c>
      <c r="L3170">
        <f>HYPERLINK("https://www2.assemblee-nationale.fr/sycomore/fiche/(num_dept)/729", "729")</f>
        <v>0</v>
      </c>
      <c r="M3170">
        <f>HYPERLINK("https://www.senat.fr/senateur-3eme-republique/berthod_aime0449r3.html", "berthod_aime0449r3")</f>
        <v>0</v>
      </c>
      <c r="N3170">
        <f>HYPERLINK("https://www.wikidata.org/wiki/Q2825126", "Q2825126")</f>
        <v>0</v>
      </c>
      <c r="O3170" t="s">
        <v>20041</v>
      </c>
      <c r="P3170" t="s">
        <v>20428</v>
      </c>
      <c r="Q3170" t="s">
        <v>16639</v>
      </c>
      <c r="R3170" t="s">
        <v>21434</v>
      </c>
      <c r="S3170">
        <v>1318</v>
      </c>
    </row>
    <row r="3171" spans="1:19">
      <c r="A3171" t="s">
        <v>24</v>
      </c>
      <c r="B3171" t="s">
        <v>148</v>
      </c>
      <c r="C3171" t="s">
        <v>156</v>
      </c>
      <c r="D3171" t="s">
        <v>285</v>
      </c>
      <c r="E3171" t="s">
        <v>414</v>
      </c>
      <c r="F3171">
        <f>HYPERLINK("https://www.wikidata.org/wiki/Q16683508", "Q16683508")</f>
        <v>0</v>
      </c>
      <c r="G3171" t="s">
        <v>1224</v>
      </c>
      <c r="H3171" t="s">
        <v>5630</v>
      </c>
      <c r="I3171" t="s">
        <v>9712</v>
      </c>
      <c r="J3171" t="s">
        <v>11956</v>
      </c>
      <c r="K3171" t="s">
        <v>16358</v>
      </c>
      <c r="L3171">
        <f>HYPERLINK("https://www2.assemblee-nationale.fr/sycomore/fiche/(num_dept)/748", "748")</f>
        <v>0</v>
      </c>
      <c r="M3171">
        <f>HYPERLINK("https://www.senat.fr/senateur-3eme-republique/bertrand_williams0414r3.html", "bertrand_williams0414r3")</f>
        <v>0</v>
      </c>
      <c r="N3171">
        <f>HYPERLINK("https://www.wikidata.org/wiki/Q3568432", "Q3568432")</f>
        <v>0</v>
      </c>
      <c r="O3171" t="s">
        <v>20037</v>
      </c>
      <c r="P3171" t="s">
        <v>20428</v>
      </c>
      <c r="Q3171" t="s">
        <v>16639</v>
      </c>
      <c r="R3171" t="s">
        <v>414</v>
      </c>
      <c r="S3171">
        <v>1491</v>
      </c>
    </row>
    <row r="3172" spans="1:19">
      <c r="A3172" t="s">
        <v>24</v>
      </c>
      <c r="B3172" t="s">
        <v>148</v>
      </c>
      <c r="C3172" t="s">
        <v>156</v>
      </c>
      <c r="D3172" t="s">
        <v>285</v>
      </c>
      <c r="E3172" t="s">
        <v>414</v>
      </c>
      <c r="F3172">
        <f>HYPERLINK("https://www.wikidata.org/wiki/Q16683508", "Q16683508")</f>
        <v>0</v>
      </c>
      <c r="G3172" t="s">
        <v>1718</v>
      </c>
      <c r="H3172" t="s">
        <v>6393</v>
      </c>
      <c r="I3172" t="s">
        <v>9908</v>
      </c>
      <c r="J3172" t="s">
        <v>12419</v>
      </c>
      <c r="K3172" t="s">
        <v>16827</v>
      </c>
      <c r="L3172">
        <f>HYPERLINK("https://www2.assemblee-nationale.fr/sycomore/fiche/(num_dept)/782", "782")</f>
        <v>0</v>
      </c>
      <c r="N3172">
        <f>HYPERLINK("https://www.wikidata.org/wiki/Q3302423", "Q3302423")</f>
        <v>0</v>
      </c>
      <c r="O3172" t="s">
        <v>20010</v>
      </c>
      <c r="P3172" t="s">
        <v>20439</v>
      </c>
      <c r="Q3172" t="s">
        <v>16639</v>
      </c>
      <c r="R3172" t="s">
        <v>414</v>
      </c>
      <c r="S3172">
        <v>1491</v>
      </c>
    </row>
    <row r="3173" spans="1:19">
      <c r="A3173" t="s">
        <v>24</v>
      </c>
      <c r="B3173" t="s">
        <v>148</v>
      </c>
      <c r="C3173" t="s">
        <v>156</v>
      </c>
      <c r="D3173" t="s">
        <v>285</v>
      </c>
      <c r="E3173" t="s">
        <v>414</v>
      </c>
      <c r="F3173">
        <f>HYPERLINK("https://www.wikidata.org/wiki/Q16683508", "Q16683508")</f>
        <v>0</v>
      </c>
      <c r="G3173" t="s">
        <v>1225</v>
      </c>
      <c r="H3173" t="s">
        <v>5950</v>
      </c>
      <c r="I3173" t="s">
        <v>9506</v>
      </c>
      <c r="J3173" t="s">
        <v>11957</v>
      </c>
      <c r="K3173" t="s">
        <v>16359</v>
      </c>
      <c r="L3173">
        <f>HYPERLINK("https://www2.assemblee-nationale.fr/sycomore/fiche/(num_dept)/842", "842")</f>
        <v>0</v>
      </c>
      <c r="N3173">
        <f>HYPERLINK("https://www.wikidata.org/wiki/Q2934871", "Q2934871")</f>
        <v>0</v>
      </c>
      <c r="O3173" t="s">
        <v>20009</v>
      </c>
      <c r="P3173" t="s">
        <v>20414</v>
      </c>
      <c r="Q3173" t="s">
        <v>16639</v>
      </c>
      <c r="R3173" t="s">
        <v>414</v>
      </c>
      <c r="S3173">
        <v>1491</v>
      </c>
    </row>
    <row r="3174" spans="1:19">
      <c r="A3174" t="s">
        <v>24</v>
      </c>
      <c r="B3174" t="s">
        <v>148</v>
      </c>
      <c r="C3174" t="s">
        <v>156</v>
      </c>
      <c r="D3174" t="s">
        <v>285</v>
      </c>
      <c r="E3174" t="s">
        <v>414</v>
      </c>
      <c r="F3174">
        <f>HYPERLINK("https://www.wikidata.org/wiki/Q16683508", "Q16683508")</f>
        <v>0</v>
      </c>
      <c r="G3174" t="s">
        <v>2007</v>
      </c>
      <c r="H3174" t="s">
        <v>6641</v>
      </c>
      <c r="I3174" t="s">
        <v>6166</v>
      </c>
      <c r="J3174" t="s">
        <v>12686</v>
      </c>
      <c r="K3174" t="s">
        <v>17095</v>
      </c>
      <c r="L3174">
        <f>HYPERLINK("https://www2.assemblee-nationale.fr/sycomore/fiche/(num_dept)/857", "857")</f>
        <v>0</v>
      </c>
      <c r="N3174">
        <f>HYPERLINK("https://www.wikidata.org/wiki/Q3083995", "Q3083995")</f>
        <v>0</v>
      </c>
      <c r="O3174" t="s">
        <v>20023</v>
      </c>
      <c r="P3174" t="s">
        <v>20404</v>
      </c>
      <c r="Q3174" t="s">
        <v>16639</v>
      </c>
      <c r="R3174" t="s">
        <v>414</v>
      </c>
      <c r="S3174">
        <v>1491</v>
      </c>
    </row>
    <row r="3175" spans="1:19">
      <c r="A3175" t="s">
        <v>24</v>
      </c>
      <c r="B3175" t="s">
        <v>148</v>
      </c>
      <c r="C3175" t="s">
        <v>156</v>
      </c>
      <c r="D3175" t="s">
        <v>285</v>
      </c>
      <c r="E3175" t="s">
        <v>414</v>
      </c>
      <c r="F3175">
        <f>HYPERLINK("https://www.wikidata.org/wiki/Q16683508", "Q16683508")</f>
        <v>0</v>
      </c>
      <c r="G3175" t="s">
        <v>1942</v>
      </c>
      <c r="H3175" t="s">
        <v>6587</v>
      </c>
      <c r="I3175" t="s">
        <v>10009</v>
      </c>
      <c r="J3175" t="s">
        <v>12626</v>
      </c>
      <c r="K3175" t="s">
        <v>17037</v>
      </c>
      <c r="L3175">
        <f>HYPERLINK("https://www2.assemblee-nationale.fr/sycomore/fiche/(num_dept)/879", "879")</f>
        <v>0</v>
      </c>
      <c r="N3175">
        <f>HYPERLINK("https://www.wikidata.org/wiki/Q3047752", "Q3047752")</f>
        <v>0</v>
      </c>
      <c r="O3175" t="s">
        <v>19969</v>
      </c>
      <c r="P3175" t="s">
        <v>20437</v>
      </c>
      <c r="Q3175" t="s">
        <v>16639</v>
      </c>
      <c r="R3175" t="s">
        <v>414</v>
      </c>
      <c r="S3175">
        <v>1491</v>
      </c>
    </row>
    <row r="3176" spans="1:19">
      <c r="A3176" t="s">
        <v>24</v>
      </c>
      <c r="B3176" t="s">
        <v>148</v>
      </c>
      <c r="C3176" t="s">
        <v>156</v>
      </c>
      <c r="D3176" t="s">
        <v>285</v>
      </c>
      <c r="E3176" t="s">
        <v>414</v>
      </c>
      <c r="F3176">
        <f>HYPERLINK("https://www.wikidata.org/wiki/Q16683508", "Q16683508")</f>
        <v>0</v>
      </c>
      <c r="G3176" t="s">
        <v>1380</v>
      </c>
      <c r="H3176" t="s">
        <v>6091</v>
      </c>
      <c r="I3176" t="s">
        <v>5528</v>
      </c>
      <c r="J3176" t="s">
        <v>12106</v>
      </c>
      <c r="K3176" t="s">
        <v>16507</v>
      </c>
      <c r="L3176">
        <f>HYPERLINK("https://www2.assemblee-nationale.fr/sycomore/fiche/(num_dept)/880", "880")</f>
        <v>0</v>
      </c>
      <c r="N3176">
        <f>HYPERLINK("https://www.wikidata.org/wiki/Q18434", "Q18434")</f>
        <v>0</v>
      </c>
      <c r="O3176" t="s">
        <v>19960</v>
      </c>
      <c r="P3176" t="s">
        <v>20404</v>
      </c>
      <c r="Q3176" t="s">
        <v>16639</v>
      </c>
      <c r="R3176" t="s">
        <v>414</v>
      </c>
      <c r="S3176">
        <v>1491</v>
      </c>
    </row>
    <row r="3177" spans="1:19">
      <c r="A3177" t="s">
        <v>24</v>
      </c>
      <c r="B3177" t="s">
        <v>148</v>
      </c>
      <c r="C3177" t="s">
        <v>156</v>
      </c>
      <c r="D3177" t="s">
        <v>285</v>
      </c>
      <c r="E3177" t="s">
        <v>414</v>
      </c>
      <c r="F3177">
        <f>HYPERLINK("https://www.wikidata.org/wiki/Q16683508", "Q16683508")</f>
        <v>0</v>
      </c>
      <c r="G3177" t="s">
        <v>536</v>
      </c>
      <c r="H3177" t="s">
        <v>5300</v>
      </c>
      <c r="I3177" t="s">
        <v>9389</v>
      </c>
      <c r="J3177" t="s">
        <v>11288</v>
      </c>
      <c r="K3177" t="s">
        <v>15688</v>
      </c>
      <c r="L3177">
        <f>HYPERLINK("https://www2.assemblee-nationale.fr/sycomore/fiche/(num_dept)/909", "909")</f>
        <v>0</v>
      </c>
      <c r="N3177">
        <f>HYPERLINK("https://www.wikidata.org/wiki/Q3588362", "Q3588362")</f>
        <v>0</v>
      </c>
      <c r="O3177" t="s">
        <v>19985</v>
      </c>
      <c r="P3177" t="s">
        <v>20412</v>
      </c>
      <c r="Q3177" t="s">
        <v>16639</v>
      </c>
      <c r="R3177" t="s">
        <v>414</v>
      </c>
      <c r="S3177">
        <v>1491</v>
      </c>
    </row>
    <row r="3178" spans="1:19">
      <c r="A3178" t="s">
        <v>24</v>
      </c>
      <c r="B3178" t="s">
        <v>148</v>
      </c>
      <c r="C3178" t="s">
        <v>156</v>
      </c>
      <c r="D3178" t="s">
        <v>285</v>
      </c>
      <c r="E3178" t="s">
        <v>414</v>
      </c>
      <c r="F3178">
        <f>HYPERLINK("https://www.wikidata.org/wiki/Q16683508", "Q16683508")</f>
        <v>0</v>
      </c>
      <c r="G3178" t="s">
        <v>2219</v>
      </c>
      <c r="H3178" t="s">
        <v>6828</v>
      </c>
      <c r="I3178" t="s">
        <v>10124</v>
      </c>
      <c r="J3178" t="s">
        <v>12880</v>
      </c>
      <c r="K3178" t="s">
        <v>17292</v>
      </c>
      <c r="L3178">
        <f>HYPERLINK("https://www2.assemblee-nationale.fr/sycomore/fiche/(num_dept)/912", "912")</f>
        <v>0</v>
      </c>
      <c r="N3178">
        <f>HYPERLINK("https://www.wikidata.org/wiki/Q3184625", "Q3184625")</f>
        <v>0</v>
      </c>
      <c r="O3178" t="s">
        <v>19991</v>
      </c>
      <c r="P3178" t="s">
        <v>20414</v>
      </c>
      <c r="Q3178" t="s">
        <v>16639</v>
      </c>
      <c r="R3178" t="s">
        <v>414</v>
      </c>
      <c r="S3178">
        <v>1491</v>
      </c>
    </row>
    <row r="3179" spans="1:19">
      <c r="A3179" t="s">
        <v>24</v>
      </c>
      <c r="B3179" t="s">
        <v>148</v>
      </c>
      <c r="C3179" t="s">
        <v>156</v>
      </c>
      <c r="D3179" t="s">
        <v>285</v>
      </c>
      <c r="E3179" t="s">
        <v>414</v>
      </c>
      <c r="F3179">
        <f>HYPERLINK("https://www.wikidata.org/wiki/Q16683508", "Q16683508")</f>
        <v>0</v>
      </c>
      <c r="G3179" t="s">
        <v>1943</v>
      </c>
      <c r="H3179" t="s">
        <v>5632</v>
      </c>
      <c r="I3179" t="s">
        <v>10010</v>
      </c>
      <c r="J3179" t="s">
        <v>12627</v>
      </c>
      <c r="K3179" t="s">
        <v>17038</v>
      </c>
      <c r="L3179">
        <f>HYPERLINK("https://www2.assemblee-nationale.fr/sycomore/fiche/(num_dept)/939", "939")</f>
        <v>0</v>
      </c>
      <c r="N3179">
        <f>HYPERLINK("https://www.wikidata.org/wiki/Q3261304", "Q3261304")</f>
        <v>0</v>
      </c>
      <c r="O3179" t="s">
        <v>19967</v>
      </c>
      <c r="P3179" t="s">
        <v>20414</v>
      </c>
      <c r="Q3179" t="s">
        <v>16639</v>
      </c>
      <c r="R3179" t="s">
        <v>414</v>
      </c>
      <c r="S3179">
        <v>1491</v>
      </c>
    </row>
    <row r="3180" spans="1:19">
      <c r="A3180" t="s">
        <v>24</v>
      </c>
      <c r="B3180" t="s">
        <v>148</v>
      </c>
      <c r="C3180" t="s">
        <v>156</v>
      </c>
      <c r="D3180" t="s">
        <v>285</v>
      </c>
      <c r="E3180" t="s">
        <v>414</v>
      </c>
      <c r="F3180">
        <f>HYPERLINK("https://www.wikidata.org/wiki/Q16683508", "Q16683508")</f>
        <v>0</v>
      </c>
      <c r="G3180" t="s">
        <v>1724</v>
      </c>
      <c r="H3180" t="s">
        <v>6360</v>
      </c>
      <c r="I3180" t="s">
        <v>9912</v>
      </c>
      <c r="J3180" t="s">
        <v>12425</v>
      </c>
      <c r="K3180" t="s">
        <v>16833</v>
      </c>
      <c r="L3180">
        <f>HYPERLINK("https://www2.assemblee-nationale.fr/sycomore/fiche/(num_dept)/949", "949")</f>
        <v>0</v>
      </c>
      <c r="N3180">
        <f>HYPERLINK("https://www.wikidata.org/wiki/Q1262453", "Q1262453")</f>
        <v>0</v>
      </c>
      <c r="O3180" t="s">
        <v>20010</v>
      </c>
      <c r="P3180" t="s">
        <v>20428</v>
      </c>
      <c r="Q3180" t="s">
        <v>16639</v>
      </c>
      <c r="R3180" t="s">
        <v>414</v>
      </c>
      <c r="S3180">
        <v>1491</v>
      </c>
    </row>
    <row r="3181" spans="1:19">
      <c r="A3181" t="s">
        <v>24</v>
      </c>
      <c r="B3181" t="s">
        <v>148</v>
      </c>
      <c r="C3181" t="s">
        <v>156</v>
      </c>
      <c r="D3181" t="s">
        <v>285</v>
      </c>
      <c r="E3181" t="s">
        <v>414</v>
      </c>
      <c r="F3181">
        <f>HYPERLINK("https://www.wikidata.org/wiki/Q16683508", "Q16683508")</f>
        <v>0</v>
      </c>
      <c r="G3181" t="s">
        <v>538</v>
      </c>
      <c r="H3181" t="s">
        <v>5302</v>
      </c>
      <c r="I3181" t="s">
        <v>5592</v>
      </c>
      <c r="J3181" t="s">
        <v>11290</v>
      </c>
      <c r="K3181" t="s">
        <v>15690</v>
      </c>
      <c r="L3181">
        <f>HYPERLINK("https://www2.assemblee-nationale.fr/sycomore/fiche/(num_dept)/955", "955")</f>
        <v>0</v>
      </c>
      <c r="M3181">
        <f>HYPERLINK("https://www.senat.fr/senateur-3eme-republique/bonnevay_laurent1123r3.html", "bonnevay_laurent1123r3")</f>
        <v>0</v>
      </c>
      <c r="N3181">
        <f>HYPERLINK("https://www.wikidata.org/wiki/Q3219051", "Q3219051")</f>
        <v>0</v>
      </c>
      <c r="O3181" t="s">
        <v>19965</v>
      </c>
      <c r="P3181" t="s">
        <v>20412</v>
      </c>
      <c r="Q3181" t="s">
        <v>16639</v>
      </c>
      <c r="R3181" t="s">
        <v>414</v>
      </c>
      <c r="S3181">
        <v>1491</v>
      </c>
    </row>
    <row r="3182" spans="1:19">
      <c r="A3182" t="s">
        <v>24</v>
      </c>
      <c r="B3182" t="s">
        <v>148</v>
      </c>
      <c r="C3182" t="s">
        <v>156</v>
      </c>
      <c r="D3182" t="s">
        <v>285</v>
      </c>
      <c r="E3182" t="s">
        <v>414</v>
      </c>
      <c r="F3182">
        <f>HYPERLINK("https://www.wikidata.org/wiki/Q16683508", "Q16683508")</f>
        <v>0</v>
      </c>
      <c r="G3182" t="s">
        <v>1725</v>
      </c>
      <c r="H3182" t="s">
        <v>6399</v>
      </c>
      <c r="I3182" t="s">
        <v>9437</v>
      </c>
      <c r="J3182" t="s">
        <v>12426</v>
      </c>
      <c r="K3182" t="s">
        <v>16834</v>
      </c>
      <c r="L3182">
        <f>HYPERLINK("https://www2.assemblee-nationale.fr/sycomore/fiche/(num_dept)/975", "975")</f>
        <v>0</v>
      </c>
      <c r="N3182">
        <f>HYPERLINK("https://www.wikidata.org/wiki/Q154356", "Q154356")</f>
        <v>0</v>
      </c>
      <c r="O3182" t="s">
        <v>19967</v>
      </c>
      <c r="P3182" t="s">
        <v>20440</v>
      </c>
      <c r="Q3182" t="s">
        <v>16639</v>
      </c>
      <c r="R3182" t="s">
        <v>414</v>
      </c>
      <c r="S3182">
        <v>1491</v>
      </c>
    </row>
    <row r="3183" spans="1:19">
      <c r="A3183" t="s">
        <v>24</v>
      </c>
      <c r="B3183" t="s">
        <v>148</v>
      </c>
      <c r="C3183" t="s">
        <v>156</v>
      </c>
      <c r="D3183" t="s">
        <v>285</v>
      </c>
      <c r="E3183" t="s">
        <v>414</v>
      </c>
      <c r="F3183">
        <f>HYPERLINK("https://www.wikidata.org/wiki/Q16683508", "Q16683508")</f>
        <v>0</v>
      </c>
      <c r="G3183" t="s">
        <v>884</v>
      </c>
      <c r="H3183" t="s">
        <v>5640</v>
      </c>
      <c r="I3183" t="s">
        <v>9446</v>
      </c>
      <c r="J3183" t="s">
        <v>11630</v>
      </c>
      <c r="K3183" t="s">
        <v>16030</v>
      </c>
      <c r="L3183">
        <f>HYPERLINK("https://www2.assemblee-nationale.fr/sycomore/fiche/(num_dept)/1043", "1043")</f>
        <v>0</v>
      </c>
      <c r="N3183">
        <f>HYPERLINK("https://www.wikidata.org/wiki/Q459510", "Q459510")</f>
        <v>0</v>
      </c>
      <c r="O3183" t="s">
        <v>19990</v>
      </c>
      <c r="P3183" t="s">
        <v>20404</v>
      </c>
      <c r="Q3183" t="s">
        <v>16639</v>
      </c>
      <c r="R3183" t="s">
        <v>414</v>
      </c>
      <c r="S3183">
        <v>1491</v>
      </c>
    </row>
    <row r="3184" spans="1:19">
      <c r="A3184" t="s">
        <v>24</v>
      </c>
      <c r="B3184" t="s">
        <v>148</v>
      </c>
      <c r="C3184" t="s">
        <v>156</v>
      </c>
      <c r="D3184" t="s">
        <v>285</v>
      </c>
      <c r="E3184" t="s">
        <v>414</v>
      </c>
      <c r="F3184">
        <f>HYPERLINK("https://www.wikidata.org/wiki/Q16683508", "Q16683508")</f>
        <v>0</v>
      </c>
      <c r="G3184" t="s">
        <v>1944</v>
      </c>
      <c r="H3184" t="s">
        <v>6588</v>
      </c>
      <c r="I3184" t="s">
        <v>10011</v>
      </c>
      <c r="J3184" t="s">
        <v>12628</v>
      </c>
      <c r="K3184" t="s">
        <v>16567</v>
      </c>
      <c r="L3184">
        <f>HYPERLINK("https://www2.assemblee-nationale.fr/sycomore/fiche/(num_dept)/1044", "1044")</f>
        <v>0</v>
      </c>
      <c r="N3184">
        <f>HYPERLINK("https://www.wikidata.org/wiki/Q2958594", "Q2958594")</f>
        <v>0</v>
      </c>
      <c r="O3184" t="s">
        <v>19994</v>
      </c>
      <c r="P3184" t="s">
        <v>20412</v>
      </c>
      <c r="Q3184" t="s">
        <v>16639</v>
      </c>
      <c r="R3184" t="s">
        <v>414</v>
      </c>
      <c r="S3184">
        <v>1491</v>
      </c>
    </row>
    <row r="3185" spans="1:19">
      <c r="A3185" t="s">
        <v>24</v>
      </c>
      <c r="B3185" t="s">
        <v>148</v>
      </c>
      <c r="C3185" t="s">
        <v>156</v>
      </c>
      <c r="D3185" t="s">
        <v>285</v>
      </c>
      <c r="E3185" t="s">
        <v>414</v>
      </c>
      <c r="F3185">
        <f>HYPERLINK("https://www.wikidata.org/wiki/Q16683508", "Q16683508")</f>
        <v>0</v>
      </c>
      <c r="G3185" t="s">
        <v>2239</v>
      </c>
      <c r="H3185" t="s">
        <v>6845</v>
      </c>
      <c r="I3185" t="s">
        <v>6200</v>
      </c>
      <c r="J3185" t="s">
        <v>12900</v>
      </c>
      <c r="K3185" t="s">
        <v>16751</v>
      </c>
      <c r="L3185">
        <f>HYPERLINK("https://www2.assemblee-nationale.fr/sycomore/fiche/(num_dept)/1109", "1109")</f>
        <v>0</v>
      </c>
      <c r="N3185">
        <f>HYPERLINK("https://www.wikidata.org/wiki/Q3170940", "Q3170940")</f>
        <v>0</v>
      </c>
      <c r="O3185" t="s">
        <v>19960</v>
      </c>
      <c r="P3185" t="s">
        <v>20428</v>
      </c>
      <c r="Q3185" t="s">
        <v>16639</v>
      </c>
      <c r="R3185" t="s">
        <v>414</v>
      </c>
      <c r="S3185">
        <v>1491</v>
      </c>
    </row>
    <row r="3186" spans="1:19">
      <c r="A3186" t="s">
        <v>24</v>
      </c>
      <c r="B3186" t="s">
        <v>148</v>
      </c>
      <c r="C3186" t="s">
        <v>156</v>
      </c>
      <c r="D3186" t="s">
        <v>285</v>
      </c>
      <c r="E3186" t="s">
        <v>414</v>
      </c>
      <c r="F3186">
        <f>HYPERLINK("https://www.wikidata.org/wiki/Q16683508", "Q16683508")</f>
        <v>0</v>
      </c>
      <c r="G3186" t="s">
        <v>2240</v>
      </c>
      <c r="H3186" t="s">
        <v>6846</v>
      </c>
      <c r="I3186" t="s">
        <v>10130</v>
      </c>
      <c r="J3186" t="s">
        <v>12901</v>
      </c>
      <c r="K3186" t="s">
        <v>17311</v>
      </c>
      <c r="L3186">
        <f>HYPERLINK("https://www2.assemblee-nationale.fr/sycomore/fiche/(num_dept)/1112", "1112")</f>
        <v>0</v>
      </c>
      <c r="N3186">
        <f>HYPERLINK("https://www.wikidata.org/wiki/Q3579750", "Q3579750")</f>
        <v>0</v>
      </c>
      <c r="O3186" t="s">
        <v>20004</v>
      </c>
      <c r="P3186" t="s">
        <v>20414</v>
      </c>
      <c r="Q3186" t="s">
        <v>16639</v>
      </c>
      <c r="R3186" t="s">
        <v>414</v>
      </c>
      <c r="S3186">
        <v>1491</v>
      </c>
    </row>
    <row r="3187" spans="1:19">
      <c r="A3187" t="s">
        <v>24</v>
      </c>
      <c r="B3187" t="s">
        <v>148</v>
      </c>
      <c r="C3187" t="s">
        <v>156</v>
      </c>
      <c r="D3187" t="s">
        <v>285</v>
      </c>
      <c r="E3187" t="s">
        <v>414</v>
      </c>
      <c r="F3187">
        <f>HYPERLINK("https://www.wikidata.org/wiki/Q16683508", "Q16683508")</f>
        <v>0</v>
      </c>
      <c r="G3187" t="s">
        <v>550</v>
      </c>
      <c r="H3187" t="s">
        <v>5313</v>
      </c>
      <c r="I3187" t="s">
        <v>9408</v>
      </c>
      <c r="J3187" t="s">
        <v>11302</v>
      </c>
      <c r="K3187" t="s">
        <v>15702</v>
      </c>
      <c r="L3187">
        <f>HYPERLINK("https://www2.assemblee-nationale.fr/sycomore/fiche/(num_dept)/1147", "1147")</f>
        <v>0</v>
      </c>
      <c r="N3187">
        <f>HYPERLINK("https://www.wikidata.org/wiki/Q3270443", "Q3270443")</f>
        <v>0</v>
      </c>
      <c r="O3187" t="s">
        <v>19995</v>
      </c>
      <c r="P3187" t="s">
        <v>20428</v>
      </c>
      <c r="Q3187" t="s">
        <v>16639</v>
      </c>
      <c r="R3187" t="s">
        <v>15702</v>
      </c>
      <c r="S3187">
        <v>1294</v>
      </c>
    </row>
    <row r="3188" spans="1:19">
      <c r="A3188" t="s">
        <v>24</v>
      </c>
      <c r="B3188" t="s">
        <v>148</v>
      </c>
      <c r="C3188" t="s">
        <v>156</v>
      </c>
      <c r="D3188" t="s">
        <v>285</v>
      </c>
      <c r="E3188" t="s">
        <v>414</v>
      </c>
      <c r="F3188">
        <f>HYPERLINK("https://www.wikidata.org/wiki/Q16683508", "Q16683508")</f>
        <v>0</v>
      </c>
      <c r="G3188" t="s">
        <v>2014</v>
      </c>
      <c r="H3188" t="s">
        <v>6648</v>
      </c>
      <c r="I3188" t="s">
        <v>6158</v>
      </c>
      <c r="J3188" t="s">
        <v>12692</v>
      </c>
      <c r="K3188" t="s">
        <v>17102</v>
      </c>
      <c r="L3188">
        <f>HYPERLINK("https://www2.assemblee-nationale.fr/sycomore/fiche/(num_dept)/1171", "1171")</f>
        <v>0</v>
      </c>
      <c r="M3188">
        <f>HYPERLINK("https://www.senat.fr/senateur-3eme-republique/braise_felix1323r3.html", "braise_felix1323r3")</f>
        <v>0</v>
      </c>
      <c r="N3188">
        <f>HYPERLINK("https://www.wikidata.org/wiki/Q3092389", "Q3092389")</f>
        <v>0</v>
      </c>
      <c r="O3188" t="s">
        <v>20018</v>
      </c>
      <c r="P3188" t="s">
        <v>20414</v>
      </c>
      <c r="Q3188" t="s">
        <v>16639</v>
      </c>
      <c r="R3188" t="s">
        <v>414</v>
      </c>
      <c r="S3188">
        <v>1491</v>
      </c>
    </row>
    <row r="3189" spans="1:19">
      <c r="A3189" t="s">
        <v>24</v>
      </c>
      <c r="B3189" t="s">
        <v>148</v>
      </c>
      <c r="C3189" t="s">
        <v>156</v>
      </c>
      <c r="D3189" t="s">
        <v>285</v>
      </c>
      <c r="E3189" t="s">
        <v>414</v>
      </c>
      <c r="F3189">
        <f>HYPERLINK("https://www.wikidata.org/wiki/Q16683508", "Q16683508")</f>
        <v>0</v>
      </c>
      <c r="G3189" t="s">
        <v>1734</v>
      </c>
      <c r="H3189" t="s">
        <v>6407</v>
      </c>
      <c r="I3189" t="s">
        <v>9916</v>
      </c>
      <c r="J3189" t="s">
        <v>12435</v>
      </c>
      <c r="K3189" t="s">
        <v>16843</v>
      </c>
      <c r="L3189">
        <f>HYPERLINK("https://www2.assemblee-nationale.fr/sycomore/fiche/(num_dept)/1195", "1195")</f>
        <v>0</v>
      </c>
      <c r="N3189">
        <f>HYPERLINK("https://www.wikidata.org/wiki/Q3102377", "Q3102377")</f>
        <v>0</v>
      </c>
      <c r="O3189" t="s">
        <v>19998</v>
      </c>
      <c r="P3189" t="s">
        <v>20438</v>
      </c>
      <c r="Q3189" t="s">
        <v>16639</v>
      </c>
      <c r="R3189" t="s">
        <v>414</v>
      </c>
      <c r="S3189">
        <v>1491</v>
      </c>
    </row>
    <row r="3190" spans="1:19">
      <c r="A3190" t="s">
        <v>24</v>
      </c>
      <c r="B3190" t="s">
        <v>148</v>
      </c>
      <c r="C3190" t="s">
        <v>156</v>
      </c>
      <c r="D3190" t="s">
        <v>285</v>
      </c>
      <c r="E3190" t="s">
        <v>414</v>
      </c>
      <c r="F3190">
        <f>HYPERLINK("https://www.wikidata.org/wiki/Q16683508", "Q16683508")</f>
        <v>0</v>
      </c>
      <c r="G3190" t="s">
        <v>2020</v>
      </c>
      <c r="H3190" t="s">
        <v>5647</v>
      </c>
      <c r="I3190" t="s">
        <v>10050</v>
      </c>
      <c r="J3190" t="s">
        <v>12676</v>
      </c>
      <c r="K3190" t="s">
        <v>17107</v>
      </c>
      <c r="L3190">
        <f>HYPERLINK("https://www2.assemblee-nationale.fr/sycomore/fiche/(num_dept)/1238", "1238")</f>
        <v>0</v>
      </c>
      <c r="N3190">
        <f>HYPERLINK("https://www.wikidata.org/wiki/Q2398766", "Q2398766")</f>
        <v>0</v>
      </c>
      <c r="O3190" t="s">
        <v>19992</v>
      </c>
      <c r="P3190" t="s">
        <v>20428</v>
      </c>
      <c r="Q3190" t="s">
        <v>16639</v>
      </c>
      <c r="R3190" t="s">
        <v>414</v>
      </c>
      <c r="S3190">
        <v>1491</v>
      </c>
    </row>
    <row r="3191" spans="1:19">
      <c r="A3191" t="s">
        <v>24</v>
      </c>
      <c r="B3191" t="s">
        <v>148</v>
      </c>
      <c r="C3191" t="s">
        <v>156</v>
      </c>
      <c r="D3191" t="s">
        <v>285</v>
      </c>
      <c r="E3191" t="s">
        <v>414</v>
      </c>
      <c r="F3191">
        <f>HYPERLINK("https://www.wikidata.org/wiki/Q16683508", "Q16683508")</f>
        <v>0</v>
      </c>
      <c r="G3191" t="s">
        <v>1740</v>
      </c>
      <c r="H3191" t="s">
        <v>6412</v>
      </c>
      <c r="I3191" t="s">
        <v>9407</v>
      </c>
      <c r="J3191" t="s">
        <v>12441</v>
      </c>
      <c r="K3191" t="s">
        <v>16848</v>
      </c>
      <c r="L3191">
        <f>HYPERLINK("https://www2.assemblee-nationale.fr/sycomore/fiche/(num_dept)/1254", "1254")</f>
        <v>0</v>
      </c>
      <c r="M3191">
        <f>HYPERLINK("https://www.senat.fr/senateur-3eme-republique/brom_joseph1111r3.html", "brom_joseph1111r3")</f>
        <v>0</v>
      </c>
      <c r="N3191">
        <f>HYPERLINK("https://www.wikidata.org/wiki/Q104941", "Q104941")</f>
        <v>0</v>
      </c>
      <c r="O3191" t="s">
        <v>20049</v>
      </c>
      <c r="P3191" t="s">
        <v>20441</v>
      </c>
      <c r="Q3191" t="s">
        <v>16639</v>
      </c>
      <c r="R3191" t="s">
        <v>414</v>
      </c>
      <c r="S3191">
        <v>1491</v>
      </c>
    </row>
    <row r="3192" spans="1:19">
      <c r="A3192" t="s">
        <v>24</v>
      </c>
      <c r="B3192" t="s">
        <v>148</v>
      </c>
      <c r="C3192" t="s">
        <v>156</v>
      </c>
      <c r="D3192" t="s">
        <v>285</v>
      </c>
      <c r="E3192" t="s">
        <v>414</v>
      </c>
      <c r="F3192">
        <f>HYPERLINK("https://www.wikidata.org/wiki/Q16683508", "Q16683508")</f>
        <v>0</v>
      </c>
      <c r="G3192" t="s">
        <v>2021</v>
      </c>
      <c r="H3192" t="s">
        <v>5650</v>
      </c>
      <c r="I3192" t="s">
        <v>9476</v>
      </c>
      <c r="J3192" t="s">
        <v>12697</v>
      </c>
      <c r="K3192" t="s">
        <v>17108</v>
      </c>
      <c r="L3192">
        <f>HYPERLINK("https://www2.assemblee-nationale.fr/sycomore/fiche/(num_dept)/1290", "1290")</f>
        <v>0</v>
      </c>
      <c r="N3192">
        <f>HYPERLINK("https://www.wikidata.org/wiki/Q3425935", "Q3425935")</f>
        <v>0</v>
      </c>
      <c r="O3192" t="s">
        <v>20044</v>
      </c>
      <c r="P3192" t="s">
        <v>20404</v>
      </c>
      <c r="Q3192" t="s">
        <v>16639</v>
      </c>
      <c r="R3192" t="s">
        <v>414</v>
      </c>
      <c r="S3192">
        <v>1491</v>
      </c>
    </row>
    <row r="3193" spans="1:19">
      <c r="A3193" t="s">
        <v>24</v>
      </c>
      <c r="B3193" t="s">
        <v>148</v>
      </c>
      <c r="C3193" t="s">
        <v>156</v>
      </c>
      <c r="D3193" t="s">
        <v>285</v>
      </c>
      <c r="E3193" t="s">
        <v>414</v>
      </c>
      <c r="F3193">
        <f>HYPERLINK("https://www.wikidata.org/wiki/Q16683508", "Q16683508")</f>
        <v>0</v>
      </c>
      <c r="G3193" t="s">
        <v>2022</v>
      </c>
      <c r="H3193" t="s">
        <v>6654</v>
      </c>
      <c r="I3193" t="s">
        <v>10051</v>
      </c>
      <c r="J3193" t="s">
        <v>12684</v>
      </c>
      <c r="K3193" t="s">
        <v>17109</v>
      </c>
      <c r="L3193">
        <f>HYPERLINK("https://www2.assemblee-nationale.fr/sycomore/fiche/(num_dept)/1295", "1295")</f>
        <v>0</v>
      </c>
      <c r="N3193">
        <f>HYPERLINK("https://www.wikidata.org/wiki/Q15974045", "Q15974045")</f>
        <v>0</v>
      </c>
      <c r="O3193" t="s">
        <v>19965</v>
      </c>
      <c r="P3193" t="s">
        <v>20428</v>
      </c>
      <c r="Q3193" t="s">
        <v>16639</v>
      </c>
      <c r="R3193" t="s">
        <v>414</v>
      </c>
      <c r="S3193">
        <v>1491</v>
      </c>
    </row>
    <row r="3194" spans="1:19">
      <c r="A3194" t="s">
        <v>24</v>
      </c>
      <c r="B3194" t="s">
        <v>148</v>
      </c>
      <c r="C3194" t="s">
        <v>156</v>
      </c>
      <c r="D3194" t="s">
        <v>285</v>
      </c>
      <c r="E3194" t="s">
        <v>414</v>
      </c>
      <c r="F3194">
        <f>HYPERLINK("https://www.wikidata.org/wiki/Q16683508", "Q16683508")</f>
        <v>0</v>
      </c>
      <c r="G3194" t="s">
        <v>896</v>
      </c>
      <c r="H3194" t="s">
        <v>5652</v>
      </c>
      <c r="I3194" t="s">
        <v>6175</v>
      </c>
      <c r="J3194" t="s">
        <v>11642</v>
      </c>
      <c r="K3194" t="s">
        <v>16041</v>
      </c>
      <c r="L3194">
        <f>HYPERLINK("https://www2.assemblee-nationale.fr/sycomore/fiche/(num_dept)/1313", "1313")</f>
        <v>0</v>
      </c>
      <c r="N3194">
        <f>HYPERLINK("https://www.wikidata.org/wiki/Q3102398", "Q3102398")</f>
        <v>0</v>
      </c>
      <c r="O3194" t="s">
        <v>19978</v>
      </c>
      <c r="P3194" t="s">
        <v>20412</v>
      </c>
      <c r="Q3194" t="s">
        <v>16639</v>
      </c>
      <c r="R3194" t="s">
        <v>414</v>
      </c>
      <c r="S3194">
        <v>1491</v>
      </c>
    </row>
    <row r="3195" spans="1:19">
      <c r="A3195" t="s">
        <v>24</v>
      </c>
      <c r="B3195" t="s">
        <v>148</v>
      </c>
      <c r="C3195" t="s">
        <v>156</v>
      </c>
      <c r="D3195" t="s">
        <v>285</v>
      </c>
      <c r="E3195" t="s">
        <v>414</v>
      </c>
      <c r="F3195">
        <f>HYPERLINK("https://www.wikidata.org/wiki/Q16683508", "Q16683508")</f>
        <v>0</v>
      </c>
      <c r="G3195" t="s">
        <v>2210</v>
      </c>
      <c r="H3195" t="s">
        <v>6819</v>
      </c>
      <c r="I3195" t="s">
        <v>10118</v>
      </c>
      <c r="J3195" t="s">
        <v>12871</v>
      </c>
      <c r="K3195" t="s">
        <v>17283</v>
      </c>
      <c r="L3195">
        <f>HYPERLINK("https://www2.assemblee-nationale.fr/sycomore/fiche/(num_dept)/1352", "1352")</f>
        <v>0</v>
      </c>
      <c r="N3195">
        <f>HYPERLINK("https://www.wikidata.org/wiki/Q3084157", "Q3084157")</f>
        <v>0</v>
      </c>
      <c r="O3195" t="s">
        <v>20011</v>
      </c>
      <c r="P3195" t="s">
        <v>20428</v>
      </c>
      <c r="Q3195" t="s">
        <v>16639</v>
      </c>
      <c r="R3195" t="s">
        <v>414</v>
      </c>
      <c r="S3195">
        <v>1491</v>
      </c>
    </row>
    <row r="3196" spans="1:19">
      <c r="A3196" t="s">
        <v>24</v>
      </c>
      <c r="B3196" t="s">
        <v>148</v>
      </c>
      <c r="C3196" t="s">
        <v>156</v>
      </c>
      <c r="D3196" t="s">
        <v>285</v>
      </c>
      <c r="E3196" t="s">
        <v>414</v>
      </c>
      <c r="F3196">
        <f>HYPERLINK("https://www.wikidata.org/wiki/Q16683508", "Q16683508")</f>
        <v>0</v>
      </c>
      <c r="G3196" t="s">
        <v>2027</v>
      </c>
      <c r="H3196" t="s">
        <v>6659</v>
      </c>
      <c r="I3196" t="s">
        <v>5592</v>
      </c>
      <c r="J3196" t="s">
        <v>12702</v>
      </c>
      <c r="K3196" t="s">
        <v>16953</v>
      </c>
      <c r="L3196">
        <f>HYPERLINK("https://www2.assemblee-nationale.fr/sycomore/fiche/(num_dept)/1399", "1399")</f>
        <v>0</v>
      </c>
      <c r="M3196">
        <f>HYPERLINK("https://www.senat.fr/senateur-3eme-republique/camboulives_laurent1689r3.html", "camboulives_laurent1689r3")</f>
        <v>0</v>
      </c>
      <c r="N3196">
        <f>HYPERLINK("https://www.wikidata.org/wiki/Q3219095", "Q3219095")</f>
        <v>0</v>
      </c>
      <c r="O3196" t="s">
        <v>19962</v>
      </c>
      <c r="P3196" t="s">
        <v>20436</v>
      </c>
      <c r="Q3196" t="s">
        <v>16639</v>
      </c>
      <c r="R3196" t="s">
        <v>414</v>
      </c>
      <c r="S3196">
        <v>1491</v>
      </c>
    </row>
    <row r="3197" spans="1:19">
      <c r="A3197" t="s">
        <v>24</v>
      </c>
      <c r="B3197" t="s">
        <v>148</v>
      </c>
      <c r="C3197" t="s">
        <v>156</v>
      </c>
      <c r="D3197" t="s">
        <v>285</v>
      </c>
      <c r="E3197" t="s">
        <v>414</v>
      </c>
      <c r="F3197">
        <f>HYPERLINK("https://www.wikidata.org/wiki/Q16683508", "Q16683508")</f>
        <v>0</v>
      </c>
      <c r="G3197" t="s">
        <v>2241</v>
      </c>
      <c r="H3197" t="s">
        <v>6847</v>
      </c>
      <c r="I3197" t="s">
        <v>10131</v>
      </c>
      <c r="J3197" t="s">
        <v>12902</v>
      </c>
      <c r="K3197" t="s">
        <v>17312</v>
      </c>
      <c r="L3197">
        <f>HYPERLINK("https://www2.assemblee-nationale.fr/sycomore/fiche/(num_dept)/1406", "1406")</f>
        <v>0</v>
      </c>
      <c r="N3197">
        <f>HYPERLINK("https://www.wikidata.org/wiki/Q3010436", "Q3010436")</f>
        <v>0</v>
      </c>
      <c r="O3197" t="s">
        <v>19955</v>
      </c>
      <c r="P3197" t="s">
        <v>20428</v>
      </c>
      <c r="Q3197" t="s">
        <v>16639</v>
      </c>
      <c r="R3197" t="s">
        <v>414</v>
      </c>
      <c r="S3197">
        <v>1491</v>
      </c>
    </row>
    <row r="3198" spans="1:19">
      <c r="A3198" t="s">
        <v>24</v>
      </c>
      <c r="B3198" t="s">
        <v>148</v>
      </c>
      <c r="C3198" t="s">
        <v>156</v>
      </c>
      <c r="D3198" t="s">
        <v>285</v>
      </c>
      <c r="E3198" t="s">
        <v>414</v>
      </c>
      <c r="F3198">
        <f>HYPERLINK("https://www.wikidata.org/wiki/Q16683508", "Q16683508")</f>
        <v>0</v>
      </c>
      <c r="G3198" t="s">
        <v>1100</v>
      </c>
      <c r="H3198" t="s">
        <v>5841</v>
      </c>
      <c r="I3198" t="s">
        <v>6707</v>
      </c>
      <c r="J3198" t="s">
        <v>11836</v>
      </c>
      <c r="K3198" t="s">
        <v>16236</v>
      </c>
      <c r="L3198">
        <f>HYPERLINK("https://www2.assemblee-nationale.fr/sycomore/fiche/(num_dept)/1415", "1415")</f>
        <v>0</v>
      </c>
      <c r="N3198">
        <f>HYPERLINK("https://www.wikidata.org/wiki/Q3115697", "Q3115697")</f>
        <v>0</v>
      </c>
      <c r="O3198" t="s">
        <v>20028</v>
      </c>
      <c r="P3198" t="s">
        <v>20401</v>
      </c>
      <c r="Q3198" t="s">
        <v>16639</v>
      </c>
      <c r="R3198" t="s">
        <v>414</v>
      </c>
      <c r="S3198">
        <v>1491</v>
      </c>
    </row>
    <row r="3199" spans="1:19">
      <c r="A3199" t="s">
        <v>24</v>
      </c>
      <c r="B3199" t="s">
        <v>148</v>
      </c>
      <c r="C3199" t="s">
        <v>156</v>
      </c>
      <c r="D3199" t="s">
        <v>285</v>
      </c>
      <c r="E3199" t="s">
        <v>414</v>
      </c>
      <c r="F3199">
        <f>HYPERLINK("https://www.wikidata.org/wiki/Q16683508", "Q16683508")</f>
        <v>0</v>
      </c>
      <c r="G3199" t="s">
        <v>2242</v>
      </c>
      <c r="H3199" t="s">
        <v>6848</v>
      </c>
      <c r="I3199" t="s">
        <v>10132</v>
      </c>
      <c r="J3199" t="s">
        <v>12903</v>
      </c>
      <c r="K3199" t="s">
        <v>17313</v>
      </c>
      <c r="L3199">
        <f>HYPERLINK("https://www2.assemblee-nationale.fr/sycomore/fiche/(num_dept)/1435", "1435")</f>
        <v>0</v>
      </c>
      <c r="N3199">
        <f>HYPERLINK("https://www.wikidata.org/wiki/Q3140478", "Q3140478")</f>
        <v>0</v>
      </c>
      <c r="O3199" t="s">
        <v>19955</v>
      </c>
      <c r="P3199" t="s">
        <v>20401</v>
      </c>
      <c r="Q3199" t="s">
        <v>16639</v>
      </c>
      <c r="R3199" t="s">
        <v>414</v>
      </c>
      <c r="S3199">
        <v>1491</v>
      </c>
    </row>
    <row r="3200" spans="1:19">
      <c r="A3200" t="s">
        <v>24</v>
      </c>
      <c r="B3200" t="s">
        <v>148</v>
      </c>
      <c r="C3200" t="s">
        <v>156</v>
      </c>
      <c r="D3200" t="s">
        <v>285</v>
      </c>
      <c r="E3200" t="s">
        <v>414</v>
      </c>
      <c r="F3200">
        <f>HYPERLINK("https://www.wikidata.org/wiki/Q16683508", "Q16683508")</f>
        <v>0</v>
      </c>
      <c r="G3200" t="s">
        <v>1747</v>
      </c>
      <c r="H3200" t="s">
        <v>6418</v>
      </c>
      <c r="I3200" t="s">
        <v>9926</v>
      </c>
      <c r="J3200" t="s">
        <v>12448</v>
      </c>
      <c r="K3200" t="s">
        <v>16855</v>
      </c>
      <c r="L3200">
        <f>HYPERLINK("https://www2.assemblee-nationale.fr/sycomore/fiche/(num_dept)/1447", "1447")</f>
        <v>0</v>
      </c>
      <c r="N3200">
        <f>HYPERLINK("https://www.wikidata.org/wiki/Q15974149", "Q15974149")</f>
        <v>0</v>
      </c>
      <c r="O3200" t="s">
        <v>20042</v>
      </c>
      <c r="P3200" t="s">
        <v>20436</v>
      </c>
      <c r="Q3200" t="s">
        <v>16639</v>
      </c>
      <c r="R3200" t="s">
        <v>414</v>
      </c>
      <c r="S3200">
        <v>1491</v>
      </c>
    </row>
    <row r="3201" spans="1:19">
      <c r="A3201" t="s">
        <v>24</v>
      </c>
      <c r="B3201" t="s">
        <v>148</v>
      </c>
      <c r="C3201" t="s">
        <v>156</v>
      </c>
      <c r="D3201" t="s">
        <v>285</v>
      </c>
      <c r="E3201" t="s">
        <v>414</v>
      </c>
      <c r="F3201">
        <f>HYPERLINK("https://www.wikidata.org/wiki/Q16683508", "Q16683508")</f>
        <v>0</v>
      </c>
      <c r="G3201" t="s">
        <v>1749</v>
      </c>
      <c r="H3201" t="s">
        <v>6419</v>
      </c>
      <c r="I3201" t="s">
        <v>9928</v>
      </c>
      <c r="J3201" t="s">
        <v>11879</v>
      </c>
      <c r="K3201" t="s">
        <v>16857</v>
      </c>
      <c r="L3201">
        <f>HYPERLINK("https://www2.assemblee-nationale.fr/sycomore/fiche/(num_dept)/1470", "1470")</f>
        <v>0</v>
      </c>
      <c r="N3201">
        <f>HYPERLINK("https://www.wikidata.org/wiki/Q3143572", "Q3143572")</f>
        <v>0</v>
      </c>
      <c r="O3201" t="s">
        <v>19988</v>
      </c>
      <c r="P3201" t="s">
        <v>20428</v>
      </c>
      <c r="Q3201" t="s">
        <v>16639</v>
      </c>
      <c r="R3201" t="s">
        <v>414</v>
      </c>
      <c r="S3201">
        <v>1491</v>
      </c>
    </row>
    <row r="3202" spans="1:19">
      <c r="A3202" t="s">
        <v>24</v>
      </c>
      <c r="B3202" t="s">
        <v>148</v>
      </c>
      <c r="C3202" t="s">
        <v>156</v>
      </c>
      <c r="D3202" t="s">
        <v>285</v>
      </c>
      <c r="E3202" t="s">
        <v>414</v>
      </c>
      <c r="F3202">
        <f>HYPERLINK("https://www.wikidata.org/wiki/Q16683508", "Q16683508")</f>
        <v>0</v>
      </c>
      <c r="G3202" t="s">
        <v>1401</v>
      </c>
      <c r="H3202" t="s">
        <v>6112</v>
      </c>
      <c r="I3202" t="s">
        <v>5528</v>
      </c>
      <c r="J3202" t="s">
        <v>11473</v>
      </c>
      <c r="K3202" t="s">
        <v>16528</v>
      </c>
      <c r="L3202">
        <f>HYPERLINK("https://www2.assemblee-nationale.fr/sycomore/fiche/(num_dept)/1500", "1500")</f>
        <v>0</v>
      </c>
      <c r="N3202">
        <f>HYPERLINK("https://www.wikidata.org/wiki/Q3270798", "Q3270798")</f>
        <v>0</v>
      </c>
      <c r="O3202" t="s">
        <v>19960</v>
      </c>
      <c r="P3202" t="s">
        <v>20428</v>
      </c>
      <c r="Q3202" t="s">
        <v>16639</v>
      </c>
      <c r="R3202" t="s">
        <v>414</v>
      </c>
      <c r="S3202">
        <v>1491</v>
      </c>
    </row>
    <row r="3203" spans="1:19">
      <c r="A3203" t="s">
        <v>24</v>
      </c>
      <c r="B3203" t="s">
        <v>148</v>
      </c>
      <c r="C3203" t="s">
        <v>156</v>
      </c>
      <c r="D3203" t="s">
        <v>285</v>
      </c>
      <c r="E3203" t="s">
        <v>414</v>
      </c>
      <c r="F3203">
        <f>HYPERLINK("https://www.wikidata.org/wiki/Q16683508", "Q16683508")</f>
        <v>0</v>
      </c>
      <c r="G3203" t="s">
        <v>1402</v>
      </c>
      <c r="H3203" t="s">
        <v>6113</v>
      </c>
      <c r="I3203" t="s">
        <v>9795</v>
      </c>
      <c r="J3203" t="s">
        <v>12127</v>
      </c>
      <c r="K3203" t="s">
        <v>16529</v>
      </c>
      <c r="L3203">
        <f>HYPERLINK("https://www2.assemblee-nationale.fr/sycomore/fiche/(num_dept)/1505", "1505")</f>
        <v>0</v>
      </c>
      <c r="M3203">
        <f>HYPERLINK("https://www.senat.fr/senateur-3eme-republique/de_castellane_stanislas0375r3.html", "de_castellane_stanislas0375r3")</f>
        <v>0</v>
      </c>
      <c r="N3203">
        <f>HYPERLINK("https://www.wikidata.org/wiki/Q3496715", "Q3496715")</f>
        <v>0</v>
      </c>
      <c r="O3203" t="s">
        <v>19966</v>
      </c>
      <c r="P3203" t="s">
        <v>20412</v>
      </c>
      <c r="Q3203" t="s">
        <v>16639</v>
      </c>
      <c r="R3203" t="s">
        <v>414</v>
      </c>
      <c r="S3203">
        <v>1491</v>
      </c>
    </row>
    <row r="3204" spans="1:19">
      <c r="A3204" t="s">
        <v>24</v>
      </c>
      <c r="B3204" t="s">
        <v>148</v>
      </c>
      <c r="C3204" t="s">
        <v>156</v>
      </c>
      <c r="D3204" t="s">
        <v>285</v>
      </c>
      <c r="E3204" t="s">
        <v>414</v>
      </c>
      <c r="F3204">
        <f>HYPERLINK("https://www.wikidata.org/wiki/Q16683508", "Q16683508")</f>
        <v>0</v>
      </c>
      <c r="G3204" t="s">
        <v>2031</v>
      </c>
      <c r="H3204" t="s">
        <v>6663</v>
      </c>
      <c r="I3204" t="s">
        <v>10057</v>
      </c>
      <c r="J3204" t="s">
        <v>12705</v>
      </c>
      <c r="K3204" t="s">
        <v>17117</v>
      </c>
      <c r="L3204">
        <f>HYPERLINK("https://www2.assemblee-nationale.fr/sycomore/fiche/(num_dept)/1515", "1515")</f>
        <v>0</v>
      </c>
      <c r="N3204">
        <f>HYPERLINK("https://www.wikidata.org/wiki/Q2934881", "Q2934881")</f>
        <v>0</v>
      </c>
      <c r="O3204" t="s">
        <v>20003</v>
      </c>
      <c r="P3204" t="s">
        <v>20428</v>
      </c>
      <c r="Q3204" t="s">
        <v>16639</v>
      </c>
      <c r="R3204" t="s">
        <v>414</v>
      </c>
      <c r="S3204">
        <v>1491</v>
      </c>
    </row>
    <row r="3205" spans="1:19">
      <c r="A3205" t="s">
        <v>24</v>
      </c>
      <c r="B3205" t="s">
        <v>148</v>
      </c>
      <c r="C3205" t="s">
        <v>156</v>
      </c>
      <c r="D3205" t="s">
        <v>285</v>
      </c>
      <c r="E3205" t="s">
        <v>414</v>
      </c>
      <c r="F3205">
        <f>HYPERLINK("https://www.wikidata.org/wiki/Q16683508", "Q16683508")</f>
        <v>0</v>
      </c>
      <c r="G3205" t="s">
        <v>1405</v>
      </c>
      <c r="H3205" t="s">
        <v>6115</v>
      </c>
      <c r="I3205" t="s">
        <v>9506</v>
      </c>
      <c r="J3205" t="s">
        <v>12130</v>
      </c>
      <c r="K3205" t="s">
        <v>16532</v>
      </c>
      <c r="L3205">
        <f>HYPERLINK("https://www2.assemblee-nationale.fr/sycomore/fiche/(num_dept)/1536", "1536")</f>
        <v>0</v>
      </c>
      <c r="M3205">
        <f>HYPERLINK("https://www.senat.fr/senateur-3eme-republique/cautru_camille0339r3.html", "cautru_camille0339r3")</f>
        <v>0</v>
      </c>
      <c r="N3205">
        <f>HYPERLINK("https://www.wikidata.org/wiki/Q2934880", "Q2934880")</f>
        <v>0</v>
      </c>
      <c r="O3205" t="s">
        <v>20009</v>
      </c>
      <c r="P3205" t="s">
        <v>20437</v>
      </c>
      <c r="Q3205" t="s">
        <v>16639</v>
      </c>
      <c r="R3205" t="s">
        <v>414</v>
      </c>
      <c r="S3205">
        <v>1491</v>
      </c>
    </row>
    <row r="3206" spans="1:19">
      <c r="A3206" t="s">
        <v>24</v>
      </c>
      <c r="B3206" t="s">
        <v>148</v>
      </c>
      <c r="C3206" t="s">
        <v>156</v>
      </c>
      <c r="D3206" t="s">
        <v>285</v>
      </c>
      <c r="E3206" t="s">
        <v>414</v>
      </c>
      <c r="F3206">
        <f>HYPERLINK("https://www.wikidata.org/wiki/Q16683508", "Q16683508")</f>
        <v>0</v>
      </c>
      <c r="G3206" t="s">
        <v>565</v>
      </c>
      <c r="H3206" t="s">
        <v>5328</v>
      </c>
      <c r="I3206" t="s">
        <v>6860</v>
      </c>
      <c r="J3206" t="s">
        <v>11316</v>
      </c>
      <c r="K3206" t="s">
        <v>15717</v>
      </c>
      <c r="L3206">
        <f>HYPERLINK("https://www2.assemblee-nationale.fr/sycomore/fiche/(num_dept)/1623", "1623")</f>
        <v>0</v>
      </c>
      <c r="M3206">
        <f>HYPERLINK("https://www.senat.fr/senateur-3eme-republique/de_chambrun_pierre0856r3.html", "de_chambrun_pierre0856r3")</f>
        <v>0</v>
      </c>
      <c r="N3206">
        <f>HYPERLINK("https://www.wikidata.org/wiki/Q3042196", "Q3042196")</f>
        <v>0</v>
      </c>
      <c r="O3206" t="s">
        <v>20004</v>
      </c>
      <c r="P3206" t="s">
        <v>20409</v>
      </c>
      <c r="Q3206" t="s">
        <v>16639</v>
      </c>
      <c r="R3206" t="s">
        <v>414</v>
      </c>
      <c r="S3206">
        <v>1491</v>
      </c>
    </row>
    <row r="3207" spans="1:19">
      <c r="A3207" t="s">
        <v>24</v>
      </c>
      <c r="B3207" t="s">
        <v>148</v>
      </c>
      <c r="C3207" t="s">
        <v>156</v>
      </c>
      <c r="D3207" t="s">
        <v>285</v>
      </c>
      <c r="E3207" t="s">
        <v>414</v>
      </c>
      <c r="F3207">
        <f>HYPERLINK("https://www.wikidata.org/wiki/Q16683508", "Q16683508")</f>
        <v>0</v>
      </c>
      <c r="G3207" t="s">
        <v>1754</v>
      </c>
      <c r="H3207" t="s">
        <v>6424</v>
      </c>
      <c r="I3207" t="s">
        <v>9552</v>
      </c>
      <c r="J3207" t="s">
        <v>12454</v>
      </c>
      <c r="K3207" t="s">
        <v>16860</v>
      </c>
      <c r="L3207">
        <f>HYPERLINK("https://www2.assemblee-nationale.fr/sycomore/fiche/(num_dept)/1631", "1631")</f>
        <v>0</v>
      </c>
      <c r="M3207">
        <f>HYPERLINK("https://www.senat.fr/senateur-3eme-republique/champetier_de_ribes_auguste0517r4.html", "champetier_de_ribes_auguste0517r4")</f>
        <v>0</v>
      </c>
      <c r="N3207">
        <f>HYPERLINK("https://www.wikidata.org/wiki/Q478746", "Q478746")</f>
        <v>0</v>
      </c>
      <c r="O3207" t="s">
        <v>19970</v>
      </c>
      <c r="P3207" t="s">
        <v>20441</v>
      </c>
      <c r="Q3207" t="s">
        <v>16639</v>
      </c>
      <c r="R3207" t="s">
        <v>414</v>
      </c>
      <c r="S3207">
        <v>1491</v>
      </c>
    </row>
    <row r="3208" spans="1:19">
      <c r="A3208" t="s">
        <v>24</v>
      </c>
      <c r="B3208" t="s">
        <v>148</v>
      </c>
      <c r="C3208" t="s">
        <v>156</v>
      </c>
      <c r="D3208" t="s">
        <v>285</v>
      </c>
      <c r="E3208" t="s">
        <v>414</v>
      </c>
      <c r="F3208">
        <f>HYPERLINK("https://www.wikidata.org/wiki/Q16683508", "Q16683508")</f>
        <v>0</v>
      </c>
      <c r="G3208" t="s">
        <v>906</v>
      </c>
      <c r="H3208" t="s">
        <v>5662</v>
      </c>
      <c r="I3208" t="s">
        <v>6495</v>
      </c>
      <c r="J3208" t="s">
        <v>11377</v>
      </c>
      <c r="K3208" t="s">
        <v>16050</v>
      </c>
      <c r="L3208">
        <f>HYPERLINK("https://www2.assemblee-nationale.fr/sycomore/fiche/(num_dept)/1648", "1648")</f>
        <v>0</v>
      </c>
      <c r="N3208">
        <f>HYPERLINK("https://www.wikidata.org/wiki/Q3263418", "Q3263418")</f>
        <v>0</v>
      </c>
      <c r="O3208" t="s">
        <v>19964</v>
      </c>
      <c r="P3208" t="s">
        <v>20401</v>
      </c>
      <c r="Q3208" t="s">
        <v>16639</v>
      </c>
      <c r="R3208" t="s">
        <v>414</v>
      </c>
      <c r="S3208">
        <v>1491</v>
      </c>
    </row>
    <row r="3209" spans="1:19">
      <c r="A3209" t="s">
        <v>24</v>
      </c>
      <c r="B3209" t="s">
        <v>148</v>
      </c>
      <c r="C3209" t="s">
        <v>156</v>
      </c>
      <c r="D3209" t="s">
        <v>285</v>
      </c>
      <c r="E3209" t="s">
        <v>414</v>
      </c>
      <c r="F3209">
        <f>HYPERLINK("https://www.wikidata.org/wiki/Q16683508", "Q16683508")</f>
        <v>0</v>
      </c>
      <c r="G3209" t="s">
        <v>1407</v>
      </c>
      <c r="H3209" t="s">
        <v>6117</v>
      </c>
      <c r="I3209" t="s">
        <v>9798</v>
      </c>
      <c r="J3209" t="s">
        <v>12132</v>
      </c>
      <c r="K3209" t="s">
        <v>16534</v>
      </c>
      <c r="L3209">
        <f>HYPERLINK("https://www2.assemblee-nationale.fr/sycomore/fiche/(num_dept)/1692", "1692")</f>
        <v>0</v>
      </c>
      <c r="N3209">
        <f>HYPERLINK("https://www.wikidata.org/wiki/Q3370851", "Q3370851")</f>
        <v>0</v>
      </c>
      <c r="O3209" t="s">
        <v>19969</v>
      </c>
      <c r="P3209" t="s">
        <v>20414</v>
      </c>
      <c r="Q3209" t="s">
        <v>16639</v>
      </c>
      <c r="R3209" t="s">
        <v>16534</v>
      </c>
      <c r="S3209">
        <v>1372</v>
      </c>
    </row>
    <row r="3210" spans="1:19">
      <c r="A3210" t="s">
        <v>24</v>
      </c>
      <c r="B3210" t="s">
        <v>148</v>
      </c>
      <c r="C3210" t="s">
        <v>156</v>
      </c>
      <c r="D3210" t="s">
        <v>285</v>
      </c>
      <c r="E3210" t="s">
        <v>414</v>
      </c>
      <c r="F3210">
        <f>HYPERLINK("https://www.wikidata.org/wiki/Q16683508", "Q16683508")</f>
        <v>0</v>
      </c>
      <c r="G3210" t="s">
        <v>572</v>
      </c>
      <c r="H3210" t="s">
        <v>5335</v>
      </c>
      <c r="I3210" t="s">
        <v>9425</v>
      </c>
      <c r="J3210" t="s">
        <v>11323</v>
      </c>
      <c r="K3210" t="s">
        <v>15724</v>
      </c>
      <c r="L3210">
        <f>HYPERLINK("https://www2.assemblee-nationale.fr/sycomore/fiche/(num_dept)/1713", "1713")</f>
        <v>0</v>
      </c>
      <c r="N3210">
        <f>HYPERLINK("https://www.wikidata.org/wiki/Q3171275", "Q3171275")</f>
        <v>0</v>
      </c>
      <c r="O3210" t="s">
        <v>19984</v>
      </c>
      <c r="P3210" t="s">
        <v>20401</v>
      </c>
      <c r="Q3210" t="s">
        <v>16639</v>
      </c>
      <c r="R3210" t="s">
        <v>414</v>
      </c>
      <c r="S3210">
        <v>1491</v>
      </c>
    </row>
    <row r="3211" spans="1:19">
      <c r="A3211" t="s">
        <v>24</v>
      </c>
      <c r="B3211" t="s">
        <v>148</v>
      </c>
      <c r="C3211" t="s">
        <v>156</v>
      </c>
      <c r="D3211" t="s">
        <v>285</v>
      </c>
      <c r="E3211" t="s">
        <v>414</v>
      </c>
      <c r="F3211">
        <f>HYPERLINK("https://www.wikidata.org/wiki/Q16683508", "Q16683508")</f>
        <v>0</v>
      </c>
      <c r="G3211" t="s">
        <v>1410</v>
      </c>
      <c r="H3211" t="s">
        <v>5337</v>
      </c>
      <c r="I3211" t="s">
        <v>9506</v>
      </c>
      <c r="J3211" t="s">
        <v>12135</v>
      </c>
      <c r="K3211" t="s">
        <v>16537</v>
      </c>
      <c r="L3211">
        <f>HYPERLINK("https://www2.assemblee-nationale.fr/sycomore/fiche/(num_dept)/1726", "1726")</f>
        <v>0</v>
      </c>
      <c r="M3211">
        <f>HYPERLINK("https://www.senat.fr/senateur-3eme-republique/chautemps_camille0380r3.html", "chautemps_camille0380r3")</f>
        <v>0</v>
      </c>
      <c r="N3211">
        <f>HYPERLINK("https://www.wikidata.org/wiki/Q263884", "Q263884")</f>
        <v>0</v>
      </c>
      <c r="O3211" t="s">
        <v>20039</v>
      </c>
      <c r="P3211" t="s">
        <v>20428</v>
      </c>
      <c r="Q3211" t="s">
        <v>16639</v>
      </c>
      <c r="R3211" t="s">
        <v>16515</v>
      </c>
      <c r="S3211">
        <v>975</v>
      </c>
    </row>
    <row r="3212" spans="1:19">
      <c r="A3212" t="s">
        <v>24</v>
      </c>
      <c r="B3212" t="s">
        <v>148</v>
      </c>
      <c r="C3212" t="s">
        <v>156</v>
      </c>
      <c r="D3212" t="s">
        <v>285</v>
      </c>
      <c r="E3212" t="s">
        <v>414</v>
      </c>
      <c r="F3212">
        <f>HYPERLINK("https://www.wikidata.org/wiki/Q16683508", "Q16683508")</f>
        <v>0</v>
      </c>
      <c r="G3212" t="s">
        <v>1411</v>
      </c>
      <c r="H3212" t="s">
        <v>5338</v>
      </c>
      <c r="I3212" t="s">
        <v>9534</v>
      </c>
      <c r="J3212" t="s">
        <v>12136</v>
      </c>
      <c r="K3212" t="s">
        <v>16538</v>
      </c>
      <c r="L3212">
        <f>HYPERLINK("https://www2.assemblee-nationale.fr/sycomore/fiche/(num_dept)/1767", "1767")</f>
        <v>0</v>
      </c>
      <c r="N3212">
        <f>HYPERLINK("https://www.wikidata.org/wiki/Q2824794", "Q2824794")</f>
        <v>0</v>
      </c>
      <c r="O3212" t="s">
        <v>19969</v>
      </c>
      <c r="P3212" t="s">
        <v>20401</v>
      </c>
      <c r="Q3212" t="s">
        <v>16639</v>
      </c>
      <c r="R3212" t="s">
        <v>414</v>
      </c>
      <c r="S3212">
        <v>1491</v>
      </c>
    </row>
    <row r="3213" spans="1:19">
      <c r="A3213" t="s">
        <v>24</v>
      </c>
      <c r="B3213" t="s">
        <v>148</v>
      </c>
      <c r="C3213" t="s">
        <v>156</v>
      </c>
      <c r="D3213" t="s">
        <v>285</v>
      </c>
      <c r="E3213" t="s">
        <v>414</v>
      </c>
      <c r="F3213">
        <f>HYPERLINK("https://www.wikidata.org/wiki/Q16683508", "Q16683508")</f>
        <v>0</v>
      </c>
      <c r="G3213" t="s">
        <v>1763</v>
      </c>
      <c r="H3213" t="s">
        <v>6431</v>
      </c>
      <c r="I3213" t="s">
        <v>9709</v>
      </c>
      <c r="J3213" t="s">
        <v>12462</v>
      </c>
      <c r="K3213" t="s">
        <v>16869</v>
      </c>
      <c r="L3213">
        <f>HYPERLINK("https://www2.assemblee-nationale.fr/sycomore/fiche/(num_dept)/1789", "1789")</f>
        <v>0</v>
      </c>
      <c r="N3213">
        <f>HYPERLINK("https://www.wikidata.org/wiki/Q3130828", "Q3130828")</f>
        <v>0</v>
      </c>
      <c r="O3213" t="s">
        <v>19958</v>
      </c>
      <c r="P3213" t="s">
        <v>20428</v>
      </c>
      <c r="Q3213" t="s">
        <v>16639</v>
      </c>
      <c r="R3213" t="s">
        <v>16869</v>
      </c>
      <c r="S3213">
        <v>1149</v>
      </c>
    </row>
    <row r="3214" spans="1:19">
      <c r="A3214" t="s">
        <v>24</v>
      </c>
      <c r="B3214" t="s">
        <v>148</v>
      </c>
      <c r="C3214" t="s">
        <v>156</v>
      </c>
      <c r="D3214" t="s">
        <v>285</v>
      </c>
      <c r="E3214" t="s">
        <v>414</v>
      </c>
      <c r="F3214">
        <f>HYPERLINK("https://www.wikidata.org/wiki/Q16683508", "Q16683508")</f>
        <v>0</v>
      </c>
      <c r="G3214" t="s">
        <v>2037</v>
      </c>
      <c r="H3214" t="s">
        <v>6669</v>
      </c>
      <c r="I3214" t="s">
        <v>10061</v>
      </c>
      <c r="J3214" t="s">
        <v>12711</v>
      </c>
      <c r="K3214" t="s">
        <v>17122</v>
      </c>
      <c r="L3214">
        <f>HYPERLINK("https://www2.assemblee-nationale.fr/sycomore/fiche/(num_dept)/1912", "1912")</f>
        <v>0</v>
      </c>
      <c r="N3214">
        <f>HYPERLINK("https://www.wikidata.org/wiki/Q3384483", "Q3384483")</f>
        <v>0</v>
      </c>
      <c r="O3214" t="s">
        <v>19982</v>
      </c>
      <c r="P3214" t="s">
        <v>20428</v>
      </c>
      <c r="Q3214" t="s">
        <v>16639</v>
      </c>
      <c r="R3214" t="s">
        <v>414</v>
      </c>
      <c r="S3214">
        <v>1491</v>
      </c>
    </row>
    <row r="3215" spans="1:19">
      <c r="A3215" t="s">
        <v>24</v>
      </c>
      <c r="B3215" t="s">
        <v>148</v>
      </c>
      <c r="C3215" t="s">
        <v>156</v>
      </c>
      <c r="D3215" t="s">
        <v>285</v>
      </c>
      <c r="E3215" t="s">
        <v>414</v>
      </c>
      <c r="F3215">
        <f>HYPERLINK("https://www.wikidata.org/wiki/Q16683508", "Q16683508")</f>
        <v>0</v>
      </c>
      <c r="G3215" t="s">
        <v>2243</v>
      </c>
      <c r="H3215" t="s">
        <v>6849</v>
      </c>
      <c r="I3215" t="s">
        <v>10133</v>
      </c>
      <c r="J3215" t="s">
        <v>12904</v>
      </c>
      <c r="K3215" t="s">
        <v>17314</v>
      </c>
      <c r="L3215">
        <f>HYPERLINK("https://www2.assemblee-nationale.fr/sycomore/fiche/(num_dept)/1932", "1932")</f>
        <v>0</v>
      </c>
      <c r="N3215">
        <f>HYPERLINK("https://www.wikidata.org/wiki/Q2422952", "Q2422952")</f>
        <v>0</v>
      </c>
      <c r="O3215" t="s">
        <v>19962</v>
      </c>
      <c r="P3215" t="s">
        <v>20428</v>
      </c>
      <c r="Q3215" t="s">
        <v>16639</v>
      </c>
      <c r="R3215" t="s">
        <v>414</v>
      </c>
      <c r="S3215">
        <v>1491</v>
      </c>
    </row>
    <row r="3216" spans="1:19">
      <c r="A3216" t="s">
        <v>24</v>
      </c>
      <c r="B3216" t="s">
        <v>148</v>
      </c>
      <c r="C3216" t="s">
        <v>156</v>
      </c>
      <c r="D3216" t="s">
        <v>285</v>
      </c>
      <c r="E3216" t="s">
        <v>414</v>
      </c>
      <c r="F3216">
        <f>HYPERLINK("https://www.wikidata.org/wiki/Q16683508", "Q16683508")</f>
        <v>0</v>
      </c>
      <c r="G3216" t="s">
        <v>2244</v>
      </c>
      <c r="H3216" t="s">
        <v>6850</v>
      </c>
      <c r="I3216" t="s">
        <v>10134</v>
      </c>
      <c r="J3216" t="s">
        <v>12905</v>
      </c>
      <c r="K3216" t="s">
        <v>17315</v>
      </c>
      <c r="L3216">
        <f>HYPERLINK("https://www2.assemblee-nationale.fr/sycomore/fiche/(num_dept)/1986", "1986")</f>
        <v>0</v>
      </c>
      <c r="N3216">
        <f>HYPERLINK("https://www.wikidata.org/wiki/Q16025486", "Q16025486")</f>
        <v>0</v>
      </c>
      <c r="O3216" t="s">
        <v>19997</v>
      </c>
      <c r="P3216" t="s">
        <v>20428</v>
      </c>
      <c r="Q3216" t="s">
        <v>16639</v>
      </c>
      <c r="R3216" t="s">
        <v>414</v>
      </c>
      <c r="S3216">
        <v>1491</v>
      </c>
    </row>
    <row r="3217" spans="1:19">
      <c r="A3217" t="s">
        <v>24</v>
      </c>
      <c r="B3217" t="s">
        <v>148</v>
      </c>
      <c r="C3217" t="s">
        <v>156</v>
      </c>
      <c r="D3217" t="s">
        <v>285</v>
      </c>
      <c r="E3217" t="s">
        <v>414</v>
      </c>
      <c r="F3217">
        <f>HYPERLINK("https://www.wikidata.org/wiki/Q16683508", "Q16683508")</f>
        <v>0</v>
      </c>
      <c r="G3217" t="s">
        <v>1946</v>
      </c>
      <c r="H3217" t="s">
        <v>6590</v>
      </c>
      <c r="I3217" t="s">
        <v>6860</v>
      </c>
      <c r="J3217" t="s">
        <v>12630</v>
      </c>
      <c r="K3217" t="s">
        <v>17040</v>
      </c>
      <c r="L3217">
        <f>HYPERLINK("https://www2.assemblee-nationale.fr/sycomore/fiche/(num_dept)/1997", "1997")</f>
        <v>0</v>
      </c>
      <c r="N3217">
        <f>HYPERLINK("https://www.wikidata.org/wiki/Q2274693", "Q2274693")</f>
        <v>0</v>
      </c>
      <c r="O3217" t="s">
        <v>19988</v>
      </c>
      <c r="P3217" t="s">
        <v>20428</v>
      </c>
      <c r="Q3217" t="s">
        <v>16639</v>
      </c>
      <c r="R3217" t="s">
        <v>414</v>
      </c>
      <c r="S3217">
        <v>1491</v>
      </c>
    </row>
    <row r="3218" spans="1:19">
      <c r="A3218" t="s">
        <v>24</v>
      </c>
      <c r="B3218" t="s">
        <v>148</v>
      </c>
      <c r="C3218" t="s">
        <v>156</v>
      </c>
      <c r="D3218" t="s">
        <v>285</v>
      </c>
      <c r="E3218" t="s">
        <v>414</v>
      </c>
      <c r="F3218">
        <f>HYPERLINK("https://www.wikidata.org/wiki/Q16683508", "Q16683508")</f>
        <v>0</v>
      </c>
      <c r="G3218" t="s">
        <v>1692</v>
      </c>
      <c r="H3218" t="s">
        <v>6370</v>
      </c>
      <c r="I3218" t="s">
        <v>9476</v>
      </c>
      <c r="J3218" t="s">
        <v>12396</v>
      </c>
      <c r="K3218" t="s">
        <v>16804</v>
      </c>
      <c r="L3218">
        <f>HYPERLINK("https://www2.assemblee-nationale.fr/sycomore/fiche/(num_dept)/2000", "2000")</f>
        <v>0</v>
      </c>
      <c r="M3218">
        <f>HYPERLINK("https://www.senat.fr/senateur-3eme-republique/coty_rene0134r4.html", "coty_rene0134r4")</f>
        <v>0</v>
      </c>
      <c r="N3218">
        <f>HYPERLINK("https://www.wikidata.org/wiki/Q158768", "Q158768")</f>
        <v>0</v>
      </c>
      <c r="O3218" t="s">
        <v>19978</v>
      </c>
      <c r="P3218" t="s">
        <v>20412</v>
      </c>
      <c r="Q3218" t="s">
        <v>16639</v>
      </c>
      <c r="R3218" t="s">
        <v>414</v>
      </c>
      <c r="S3218">
        <v>1491</v>
      </c>
    </row>
    <row r="3219" spans="1:19">
      <c r="A3219" t="s">
        <v>24</v>
      </c>
      <c r="B3219" t="s">
        <v>148</v>
      </c>
      <c r="C3219" t="s">
        <v>156</v>
      </c>
      <c r="D3219" t="s">
        <v>285</v>
      </c>
      <c r="E3219" t="s">
        <v>414</v>
      </c>
      <c r="F3219">
        <f>HYPERLINK("https://www.wikidata.org/wiki/Q16683508", "Q16683508")</f>
        <v>0</v>
      </c>
      <c r="G3219" t="s">
        <v>1774</v>
      </c>
      <c r="H3219" t="s">
        <v>6442</v>
      </c>
      <c r="I3219" t="s">
        <v>9944</v>
      </c>
      <c r="J3219" t="s">
        <v>12472</v>
      </c>
      <c r="K3219" t="s">
        <v>16880</v>
      </c>
      <c r="L3219">
        <f>HYPERLINK("https://www2.assemblee-nationale.fr/sycomore/fiche/(num_dept)/2033", "2033")</f>
        <v>0</v>
      </c>
      <c r="N3219">
        <f>HYPERLINK("https://www.wikidata.org/wiki/Q3188501", "Q3188501")</f>
        <v>0</v>
      </c>
      <c r="O3219" t="s">
        <v>19959</v>
      </c>
      <c r="P3219" t="s">
        <v>20428</v>
      </c>
      <c r="Q3219" t="s">
        <v>16639</v>
      </c>
      <c r="R3219" t="s">
        <v>414</v>
      </c>
      <c r="S3219">
        <v>1491</v>
      </c>
    </row>
    <row r="3220" spans="1:19">
      <c r="A3220" t="s">
        <v>24</v>
      </c>
      <c r="B3220" t="s">
        <v>148</v>
      </c>
      <c r="C3220" t="s">
        <v>156</v>
      </c>
      <c r="D3220" t="s">
        <v>285</v>
      </c>
      <c r="E3220" t="s">
        <v>414</v>
      </c>
      <c r="F3220">
        <f>HYPERLINK("https://www.wikidata.org/wiki/Q16683508", "Q16683508")</f>
        <v>0</v>
      </c>
      <c r="G3220" t="s">
        <v>1947</v>
      </c>
      <c r="H3220" t="s">
        <v>5357</v>
      </c>
      <c r="I3220" t="s">
        <v>10013</v>
      </c>
      <c r="J3220" t="s">
        <v>12631</v>
      </c>
      <c r="K3220" t="s">
        <v>16882</v>
      </c>
      <c r="L3220">
        <f>HYPERLINK("https://www2.assemblee-nationale.fr/sycomore/fiche/(num_dept)/2090", "2090")</f>
        <v>0</v>
      </c>
      <c r="N3220">
        <f>HYPERLINK("https://www.wikidata.org/wiki/Q3188508", "Q3188508")</f>
        <v>0</v>
      </c>
      <c r="O3220" t="s">
        <v>20000</v>
      </c>
      <c r="P3220" t="s">
        <v>20428</v>
      </c>
      <c r="Q3220" t="s">
        <v>16639</v>
      </c>
      <c r="R3220" t="s">
        <v>414</v>
      </c>
      <c r="S3220">
        <v>1491</v>
      </c>
    </row>
    <row r="3221" spans="1:19">
      <c r="A3221" t="s">
        <v>24</v>
      </c>
      <c r="B3221" t="s">
        <v>148</v>
      </c>
      <c r="C3221" t="s">
        <v>156</v>
      </c>
      <c r="D3221" t="s">
        <v>285</v>
      </c>
      <c r="E3221" t="s">
        <v>414</v>
      </c>
      <c r="F3221">
        <f>HYPERLINK("https://www.wikidata.org/wiki/Q16683508", "Q16683508")</f>
        <v>0</v>
      </c>
      <c r="G3221" t="s">
        <v>1423</v>
      </c>
      <c r="H3221" t="s">
        <v>6128</v>
      </c>
      <c r="I3221" t="s">
        <v>9728</v>
      </c>
      <c r="J3221" t="s">
        <v>12147</v>
      </c>
      <c r="K3221" t="s">
        <v>16549</v>
      </c>
      <c r="L3221">
        <f>HYPERLINK("https://www2.assemblee-nationale.fr/sycomore/fiche/(num_dept)/2105", "2105")</f>
        <v>0</v>
      </c>
      <c r="N3221">
        <f>HYPERLINK("https://www.wikidata.org/wiki/Q213526", "Q213526")</f>
        <v>0</v>
      </c>
      <c r="O3221" t="s">
        <v>20047</v>
      </c>
      <c r="P3221" t="s">
        <v>20428</v>
      </c>
      <c r="Q3221" t="s">
        <v>16639</v>
      </c>
      <c r="R3221" t="s">
        <v>414</v>
      </c>
      <c r="S3221">
        <v>1491</v>
      </c>
    </row>
    <row r="3222" spans="1:19">
      <c r="A3222" t="s">
        <v>24</v>
      </c>
      <c r="B3222" t="s">
        <v>148</v>
      </c>
      <c r="C3222" t="s">
        <v>156</v>
      </c>
      <c r="D3222" t="s">
        <v>285</v>
      </c>
      <c r="E3222" t="s">
        <v>414</v>
      </c>
      <c r="F3222">
        <f>HYPERLINK("https://www.wikidata.org/wiki/Q16683508", "Q16683508")</f>
        <v>0</v>
      </c>
      <c r="G3222" t="s">
        <v>597</v>
      </c>
      <c r="H3222" t="s">
        <v>5358</v>
      </c>
      <c r="I3222" t="s">
        <v>6584</v>
      </c>
      <c r="J3222" t="s">
        <v>11348</v>
      </c>
      <c r="K3222" t="s">
        <v>15749</v>
      </c>
      <c r="L3222">
        <f>HYPERLINK("https://www2.assemblee-nationale.fr/sycomore/fiche/(num_dept)/2110", "2110")</f>
        <v>0</v>
      </c>
      <c r="N3222">
        <f>HYPERLINK("https://www.wikidata.org/wiki/Q2831073", "Q2831073")</f>
        <v>0</v>
      </c>
      <c r="O3222" t="s">
        <v>19976</v>
      </c>
      <c r="P3222" t="s">
        <v>20428</v>
      </c>
      <c r="Q3222" t="s">
        <v>16639</v>
      </c>
      <c r="R3222" t="s">
        <v>15749</v>
      </c>
      <c r="S3222">
        <v>1466</v>
      </c>
    </row>
    <row r="3223" spans="1:19">
      <c r="A3223" t="s">
        <v>24</v>
      </c>
      <c r="B3223" t="s">
        <v>148</v>
      </c>
      <c r="C3223" t="s">
        <v>156</v>
      </c>
      <c r="D3223" t="s">
        <v>285</v>
      </c>
      <c r="E3223" t="s">
        <v>414</v>
      </c>
      <c r="F3223">
        <f>HYPERLINK("https://www.wikidata.org/wiki/Q16683508", "Q16683508")</f>
        <v>0</v>
      </c>
      <c r="G3223" t="s">
        <v>1778</v>
      </c>
      <c r="H3223" t="s">
        <v>6446</v>
      </c>
      <c r="I3223" t="s">
        <v>9946</v>
      </c>
      <c r="J3223" t="s">
        <v>12475</v>
      </c>
      <c r="K3223" t="s">
        <v>16884</v>
      </c>
      <c r="L3223">
        <f>HYPERLINK("https://www2.assemblee-nationale.fr/sycomore/fiche/(num_dept)/2282", "2282")</f>
        <v>0</v>
      </c>
      <c r="N3223">
        <f>HYPERLINK("https://www.wikidata.org/wiki/Q362673", "Q362673")</f>
        <v>0</v>
      </c>
      <c r="O3223" t="s">
        <v>20010</v>
      </c>
      <c r="P3223" t="s">
        <v>20428</v>
      </c>
      <c r="Q3223" t="s">
        <v>16639</v>
      </c>
      <c r="R3223" t="s">
        <v>414</v>
      </c>
      <c r="S3223">
        <v>1491</v>
      </c>
    </row>
    <row r="3224" spans="1:19">
      <c r="A3224" t="s">
        <v>24</v>
      </c>
      <c r="B3224" t="s">
        <v>148</v>
      </c>
      <c r="C3224" t="s">
        <v>156</v>
      </c>
      <c r="D3224" t="s">
        <v>285</v>
      </c>
      <c r="E3224" t="s">
        <v>414</v>
      </c>
      <c r="F3224">
        <f>HYPERLINK("https://www.wikidata.org/wiki/Q16683508", "Q16683508")</f>
        <v>0</v>
      </c>
      <c r="G3224" t="s">
        <v>1430</v>
      </c>
      <c r="H3224" t="s">
        <v>6135</v>
      </c>
      <c r="I3224" t="s">
        <v>9385</v>
      </c>
      <c r="J3224" t="s">
        <v>12153</v>
      </c>
      <c r="K3224" t="s">
        <v>16556</v>
      </c>
      <c r="L3224">
        <f>HYPERLINK("https://www2.assemblee-nationale.fr/sycomore/fiche/(num_dept)/2295", "2295")</f>
        <v>0</v>
      </c>
      <c r="M3224">
        <f>HYPERLINK("https://www.senat.fr/senateur-3eme-republique/delesalle_charles0979r3.html", "delesalle_charles0979r3")</f>
        <v>0</v>
      </c>
      <c r="N3224">
        <f>HYPERLINK("https://www.wikidata.org/wiki/Q2958867", "Q2958867")</f>
        <v>0</v>
      </c>
      <c r="O3224" t="s">
        <v>19968</v>
      </c>
      <c r="P3224" t="s">
        <v>20401</v>
      </c>
      <c r="Q3224" t="s">
        <v>16639</v>
      </c>
      <c r="R3224" t="s">
        <v>21435</v>
      </c>
      <c r="S3224">
        <v>998</v>
      </c>
    </row>
    <row r="3225" spans="1:19">
      <c r="A3225" t="s">
        <v>24</v>
      </c>
      <c r="B3225" t="s">
        <v>148</v>
      </c>
      <c r="C3225" t="s">
        <v>156</v>
      </c>
      <c r="D3225" t="s">
        <v>285</v>
      </c>
      <c r="E3225" t="s">
        <v>414</v>
      </c>
      <c r="F3225">
        <f>HYPERLINK("https://www.wikidata.org/wiki/Q16683508", "Q16683508")</f>
        <v>0</v>
      </c>
      <c r="G3225" t="s">
        <v>1780</v>
      </c>
      <c r="H3225" t="s">
        <v>6448</v>
      </c>
      <c r="I3225" t="s">
        <v>9947</v>
      </c>
      <c r="J3225" t="s">
        <v>12119</v>
      </c>
      <c r="K3225" t="s">
        <v>16886</v>
      </c>
      <c r="L3225">
        <f>HYPERLINK("https://www2.assemblee-nationale.fr/sycomore/fiche/(num_dept)/2318", "2318")</f>
        <v>0</v>
      </c>
      <c r="N3225">
        <f>HYPERLINK("https://www.wikidata.org/wiki/Q2832159", "Q2832159")</f>
        <v>0</v>
      </c>
      <c r="O3225" t="s">
        <v>20035</v>
      </c>
      <c r="P3225" t="s">
        <v>20431</v>
      </c>
      <c r="Q3225" t="s">
        <v>16639</v>
      </c>
      <c r="R3225" t="s">
        <v>414</v>
      </c>
      <c r="S3225">
        <v>1491</v>
      </c>
    </row>
    <row r="3226" spans="1:19">
      <c r="A3226" t="s">
        <v>24</v>
      </c>
      <c r="B3226" t="s">
        <v>148</v>
      </c>
      <c r="C3226" t="s">
        <v>156</v>
      </c>
      <c r="D3226" t="s">
        <v>285</v>
      </c>
      <c r="E3226" t="s">
        <v>414</v>
      </c>
      <c r="F3226">
        <f>HYPERLINK("https://www.wikidata.org/wiki/Q16683508", "Q16683508")</f>
        <v>0</v>
      </c>
      <c r="G3226" t="s">
        <v>1098</v>
      </c>
      <c r="H3226" t="s">
        <v>5839</v>
      </c>
      <c r="I3226" t="s">
        <v>9659</v>
      </c>
      <c r="J3226" t="s">
        <v>11834</v>
      </c>
      <c r="K3226" t="s">
        <v>16234</v>
      </c>
      <c r="L3226">
        <f>HYPERLINK("https://www2.assemblee-nationale.fr/sycomore/fiche/(num_dept)/2366", "2366")</f>
        <v>0</v>
      </c>
      <c r="N3226">
        <f>HYPERLINK("https://www.wikidata.org/wiki/Q3184835", "Q3184835")</f>
        <v>0</v>
      </c>
      <c r="O3226" t="s">
        <v>19969</v>
      </c>
      <c r="P3226" t="s">
        <v>20414</v>
      </c>
      <c r="Q3226" t="s">
        <v>16639</v>
      </c>
      <c r="R3226" t="s">
        <v>414</v>
      </c>
      <c r="S3226">
        <v>1491</v>
      </c>
    </row>
    <row r="3227" spans="1:19">
      <c r="A3227" t="s">
        <v>24</v>
      </c>
      <c r="B3227" t="s">
        <v>148</v>
      </c>
      <c r="C3227" t="s">
        <v>156</v>
      </c>
      <c r="D3227" t="s">
        <v>285</v>
      </c>
      <c r="E3227" t="s">
        <v>414</v>
      </c>
      <c r="F3227">
        <f>HYPERLINK("https://www.wikidata.org/wiki/Q16683508", "Q16683508")</f>
        <v>0</v>
      </c>
      <c r="G3227" t="s">
        <v>1949</v>
      </c>
      <c r="H3227" t="s">
        <v>6592</v>
      </c>
      <c r="I3227" t="s">
        <v>9606</v>
      </c>
      <c r="J3227" t="s">
        <v>12633</v>
      </c>
      <c r="K3227" t="s">
        <v>17042</v>
      </c>
      <c r="L3227">
        <f>HYPERLINK("https://www2.assemblee-nationale.fr/sycomore/fiche/(num_dept)/2434", "2434")</f>
        <v>0</v>
      </c>
      <c r="N3227">
        <f>HYPERLINK("https://www.wikidata.org/wiki/Q3167637", "Q3167637")</f>
        <v>0</v>
      </c>
      <c r="O3227" t="s">
        <v>19961</v>
      </c>
      <c r="P3227" t="s">
        <v>20409</v>
      </c>
      <c r="Q3227" t="s">
        <v>16639</v>
      </c>
      <c r="R3227" t="s">
        <v>414</v>
      </c>
      <c r="S3227">
        <v>1491</v>
      </c>
    </row>
    <row r="3228" spans="1:19">
      <c r="A3228" t="s">
        <v>24</v>
      </c>
      <c r="B3228" t="s">
        <v>148</v>
      </c>
      <c r="C3228" t="s">
        <v>156</v>
      </c>
      <c r="D3228" t="s">
        <v>285</v>
      </c>
      <c r="E3228" t="s">
        <v>414</v>
      </c>
      <c r="F3228">
        <f>HYPERLINK("https://www.wikidata.org/wiki/Q16683508", "Q16683508")</f>
        <v>0</v>
      </c>
      <c r="G3228" t="s">
        <v>2245</v>
      </c>
      <c r="H3228" t="s">
        <v>6851</v>
      </c>
      <c r="I3228" t="s">
        <v>9388</v>
      </c>
      <c r="J3228" t="s">
        <v>12906</v>
      </c>
      <c r="K3228" t="s">
        <v>17316</v>
      </c>
      <c r="L3228">
        <f>HYPERLINK("https://www2.assemblee-nationale.fr/sycomore/fiche/(num_dept)/2468", "2468")</f>
        <v>0</v>
      </c>
      <c r="N3228">
        <f>HYPERLINK("https://www.wikidata.org/wiki/Q16025591", "Q16025591")</f>
        <v>0</v>
      </c>
      <c r="O3228" t="s">
        <v>20024</v>
      </c>
      <c r="P3228" t="s">
        <v>20434</v>
      </c>
      <c r="Q3228" t="s">
        <v>16639</v>
      </c>
      <c r="R3228" t="s">
        <v>414</v>
      </c>
      <c r="S3228">
        <v>1491</v>
      </c>
    </row>
    <row r="3229" spans="1:19">
      <c r="A3229" t="s">
        <v>24</v>
      </c>
      <c r="B3229" t="s">
        <v>148</v>
      </c>
      <c r="C3229" t="s">
        <v>156</v>
      </c>
      <c r="D3229" t="s">
        <v>285</v>
      </c>
      <c r="E3229" t="s">
        <v>414</v>
      </c>
      <c r="F3229">
        <f>HYPERLINK("https://www.wikidata.org/wiki/Q16683508", "Q16683508")</f>
        <v>0</v>
      </c>
      <c r="G3229" t="s">
        <v>1250</v>
      </c>
      <c r="H3229" t="s">
        <v>5974</v>
      </c>
      <c r="I3229" t="s">
        <v>6860</v>
      </c>
      <c r="J3229" t="s">
        <v>11980</v>
      </c>
      <c r="K3229" t="s">
        <v>16383</v>
      </c>
      <c r="L3229">
        <f>HYPERLINK("https://www2.assemblee-nationale.fr/sycomore/fiche/(num_dept)/2488", "2488")</f>
        <v>0</v>
      </c>
      <c r="N3229">
        <f>HYPERLINK("https://www.wikidata.org/wiki/Q16025596", "Q16025596")</f>
        <v>0</v>
      </c>
      <c r="O3229" t="s">
        <v>19995</v>
      </c>
      <c r="P3229" t="s">
        <v>20428</v>
      </c>
      <c r="Q3229" t="s">
        <v>16639</v>
      </c>
      <c r="R3229" t="s">
        <v>414</v>
      </c>
      <c r="S3229">
        <v>1491</v>
      </c>
    </row>
    <row r="3230" spans="1:19">
      <c r="A3230" t="s">
        <v>24</v>
      </c>
      <c r="B3230" t="s">
        <v>148</v>
      </c>
      <c r="C3230" t="s">
        <v>156</v>
      </c>
      <c r="D3230" t="s">
        <v>285</v>
      </c>
      <c r="E3230" t="s">
        <v>414</v>
      </c>
      <c r="F3230">
        <f>HYPERLINK("https://www.wikidata.org/wiki/Q16683508", "Q16683508")</f>
        <v>0</v>
      </c>
      <c r="G3230" t="s">
        <v>1437</v>
      </c>
      <c r="H3230" t="s">
        <v>6139</v>
      </c>
      <c r="I3230" t="s">
        <v>6860</v>
      </c>
      <c r="J3230" t="s">
        <v>12158</v>
      </c>
      <c r="K3230" t="s">
        <v>16563</v>
      </c>
      <c r="L3230">
        <f>HYPERLINK("https://www2.assemblee-nationale.fr/sycomore/fiche/(num_dept)/2490", "2490")</f>
        <v>0</v>
      </c>
      <c r="N3230">
        <f>HYPERLINK("https://www.wikidata.org/wiki/Q3384896", "Q3384896")</f>
        <v>0</v>
      </c>
      <c r="O3230" t="s">
        <v>19958</v>
      </c>
      <c r="P3230" t="s">
        <v>20428</v>
      </c>
      <c r="Q3230" t="s">
        <v>16639</v>
      </c>
      <c r="R3230" t="s">
        <v>414</v>
      </c>
      <c r="S3230">
        <v>1491</v>
      </c>
    </row>
    <row r="3231" spans="1:19">
      <c r="A3231" t="s">
        <v>24</v>
      </c>
      <c r="B3231" t="s">
        <v>148</v>
      </c>
      <c r="C3231" t="s">
        <v>156</v>
      </c>
      <c r="D3231" t="s">
        <v>285</v>
      </c>
      <c r="E3231" t="s">
        <v>414</v>
      </c>
      <c r="F3231">
        <f>HYPERLINK("https://www.wikidata.org/wiki/Q16683508", "Q16683508")</f>
        <v>0</v>
      </c>
      <c r="G3231" t="s">
        <v>1251</v>
      </c>
      <c r="H3231" t="s">
        <v>5975</v>
      </c>
      <c r="I3231" t="s">
        <v>9727</v>
      </c>
      <c r="J3231" t="s">
        <v>11981</v>
      </c>
      <c r="K3231" t="s">
        <v>16384</v>
      </c>
      <c r="L3231">
        <f>HYPERLINK("https://www2.assemblee-nationale.fr/sycomore/fiche/(num_dept)/2496", "2496")</f>
        <v>0</v>
      </c>
      <c r="N3231">
        <f>HYPERLINK("https://www.wikidata.org/wiki/Q725749", "Q725749")</f>
        <v>0</v>
      </c>
      <c r="O3231" t="s">
        <v>20046</v>
      </c>
      <c r="P3231" t="s">
        <v>20420</v>
      </c>
      <c r="Q3231" t="s">
        <v>16639</v>
      </c>
      <c r="R3231" t="s">
        <v>16384</v>
      </c>
      <c r="S3231">
        <v>740</v>
      </c>
    </row>
    <row r="3232" spans="1:19">
      <c r="A3232" t="s">
        <v>24</v>
      </c>
      <c r="B3232" t="s">
        <v>148</v>
      </c>
      <c r="C3232" t="s">
        <v>156</v>
      </c>
      <c r="D3232" t="s">
        <v>285</v>
      </c>
      <c r="E3232" t="s">
        <v>414</v>
      </c>
      <c r="F3232">
        <f>HYPERLINK("https://www.wikidata.org/wiki/Q16683508", "Q16683508")</f>
        <v>0</v>
      </c>
      <c r="G3232" t="s">
        <v>1438</v>
      </c>
      <c r="H3232" t="s">
        <v>6140</v>
      </c>
      <c r="I3232" t="s">
        <v>6860</v>
      </c>
      <c r="J3232" t="s">
        <v>12159</v>
      </c>
      <c r="K3232" t="s">
        <v>16564</v>
      </c>
      <c r="L3232">
        <f>HYPERLINK("https://www2.assemblee-nationale.fr/sycomore/fiche/(num_dept)/2514", "2514")</f>
        <v>0</v>
      </c>
      <c r="N3232">
        <f>HYPERLINK("https://www.wikidata.org/wiki/Q3384763", "Q3384763")</f>
        <v>0</v>
      </c>
      <c r="O3232" t="s">
        <v>19987</v>
      </c>
      <c r="P3232" t="s">
        <v>20438</v>
      </c>
      <c r="Q3232" t="s">
        <v>16639</v>
      </c>
      <c r="R3232" t="s">
        <v>414</v>
      </c>
      <c r="S3232">
        <v>1491</v>
      </c>
    </row>
    <row r="3233" spans="1:19">
      <c r="A3233" t="s">
        <v>24</v>
      </c>
      <c r="B3233" t="s">
        <v>148</v>
      </c>
      <c r="C3233" t="s">
        <v>156</v>
      </c>
      <c r="D3233" t="s">
        <v>285</v>
      </c>
      <c r="E3233" t="s">
        <v>414</v>
      </c>
      <c r="F3233">
        <f>HYPERLINK("https://www.wikidata.org/wiki/Q16683508", "Q16683508")</f>
        <v>0</v>
      </c>
      <c r="G3233" t="s">
        <v>1785</v>
      </c>
      <c r="H3233" t="s">
        <v>6453</v>
      </c>
      <c r="I3233" t="s">
        <v>7419</v>
      </c>
      <c r="J3233" t="s">
        <v>12481</v>
      </c>
      <c r="K3233" t="s">
        <v>16890</v>
      </c>
      <c r="L3233">
        <f>HYPERLINK("https://www2.assemblee-nationale.fr/sycomore/fiche/(num_dept)/2556", "2556")</f>
        <v>0</v>
      </c>
      <c r="N3233">
        <f>HYPERLINK("https://www.wikidata.org/wiki/Q724729", "Q724729")</f>
        <v>0</v>
      </c>
      <c r="O3233" t="s">
        <v>19969</v>
      </c>
      <c r="P3233" t="s">
        <v>20424</v>
      </c>
      <c r="Q3233" t="s">
        <v>16639</v>
      </c>
      <c r="R3233" t="s">
        <v>414</v>
      </c>
      <c r="S3233">
        <v>1491</v>
      </c>
    </row>
    <row r="3234" spans="1:19">
      <c r="A3234" t="s">
        <v>24</v>
      </c>
      <c r="B3234" t="s">
        <v>148</v>
      </c>
      <c r="C3234" t="s">
        <v>156</v>
      </c>
      <c r="D3234" t="s">
        <v>285</v>
      </c>
      <c r="E3234" t="s">
        <v>414</v>
      </c>
      <c r="F3234">
        <f>HYPERLINK("https://www.wikidata.org/wiki/Q16683508", "Q16683508")</f>
        <v>0</v>
      </c>
      <c r="G3234" t="s">
        <v>2235</v>
      </c>
      <c r="H3234" t="s">
        <v>6142</v>
      </c>
      <c r="I3234" t="s">
        <v>10127</v>
      </c>
      <c r="J3234" t="s">
        <v>12896</v>
      </c>
      <c r="K3234" t="s">
        <v>17307</v>
      </c>
      <c r="L3234">
        <f>HYPERLINK("https://www2.assemblee-nationale.fr/sycomore/fiche/(num_dept)/2560", "2560")</f>
        <v>0</v>
      </c>
      <c r="M3234">
        <f>HYPERLINK("https://www.senat.fr/senateur-3eme-republique/dormoy_marx0045r3.html", "dormoy_marx0045r3")</f>
        <v>0</v>
      </c>
      <c r="N3234">
        <f>HYPERLINK("https://www.wikidata.org/wiki/Q255618", "Q255618")</f>
        <v>0</v>
      </c>
      <c r="O3234" t="s">
        <v>19999</v>
      </c>
      <c r="P3234" t="s">
        <v>20404</v>
      </c>
      <c r="Q3234" t="s">
        <v>16639</v>
      </c>
      <c r="R3234" t="s">
        <v>414</v>
      </c>
      <c r="S3234">
        <v>1491</v>
      </c>
    </row>
    <row r="3235" spans="1:19">
      <c r="A3235" t="s">
        <v>24</v>
      </c>
      <c r="B3235" t="s">
        <v>148</v>
      </c>
      <c r="C3235" t="s">
        <v>156</v>
      </c>
      <c r="D3235" t="s">
        <v>285</v>
      </c>
      <c r="E3235" t="s">
        <v>414</v>
      </c>
      <c r="F3235">
        <f>HYPERLINK("https://www.wikidata.org/wiki/Q16683508", "Q16683508")</f>
        <v>0</v>
      </c>
      <c r="G3235" t="s">
        <v>2058</v>
      </c>
      <c r="H3235" t="s">
        <v>6689</v>
      </c>
      <c r="I3235" t="s">
        <v>9421</v>
      </c>
      <c r="J3235" t="s">
        <v>12730</v>
      </c>
      <c r="K3235" t="s">
        <v>17140</v>
      </c>
      <c r="L3235">
        <f>HYPERLINK("https://www2.assemblee-nationale.fr/sycomore/fiche/(num_dept)/2571", "2571")</f>
        <v>0</v>
      </c>
      <c r="N3235">
        <f>HYPERLINK("https://www.wikidata.org/wiki/Q3121168", "Q3121168")</f>
        <v>0</v>
      </c>
      <c r="O3235" t="s">
        <v>19969</v>
      </c>
      <c r="P3235" t="s">
        <v>20412</v>
      </c>
      <c r="Q3235" t="s">
        <v>16639</v>
      </c>
      <c r="R3235" t="s">
        <v>414</v>
      </c>
      <c r="S3235">
        <v>1491</v>
      </c>
    </row>
    <row r="3236" spans="1:19">
      <c r="A3236" t="s">
        <v>24</v>
      </c>
      <c r="B3236" t="s">
        <v>148</v>
      </c>
      <c r="C3236" t="s">
        <v>156</v>
      </c>
      <c r="D3236" t="s">
        <v>285</v>
      </c>
      <c r="E3236" t="s">
        <v>414</v>
      </c>
      <c r="F3236">
        <f>HYPERLINK("https://www.wikidata.org/wiki/Q16683508", "Q16683508")</f>
        <v>0</v>
      </c>
      <c r="G3236" t="s">
        <v>2246</v>
      </c>
      <c r="H3236" t="s">
        <v>6852</v>
      </c>
      <c r="I3236" t="s">
        <v>10135</v>
      </c>
      <c r="J3236" t="s">
        <v>11624</v>
      </c>
      <c r="K3236" t="s">
        <v>17317</v>
      </c>
      <c r="L3236">
        <f>HYPERLINK("https://www2.assemblee-nationale.fr/sycomore/fiche/(num_dept)/2663", "2663")</f>
        <v>0</v>
      </c>
      <c r="N3236">
        <f>HYPERLINK("https://www.wikidata.org/wiki/Q16025626", "Q16025626")</f>
        <v>0</v>
      </c>
      <c r="O3236" t="s">
        <v>20023</v>
      </c>
      <c r="P3236" t="s">
        <v>20409</v>
      </c>
      <c r="Q3236" t="s">
        <v>16639</v>
      </c>
      <c r="R3236" t="s">
        <v>414</v>
      </c>
      <c r="S3236">
        <v>1491</v>
      </c>
    </row>
    <row r="3237" spans="1:19">
      <c r="A3237" t="s">
        <v>24</v>
      </c>
      <c r="B3237" t="s">
        <v>148</v>
      </c>
      <c r="C3237" t="s">
        <v>156</v>
      </c>
      <c r="D3237" t="s">
        <v>285</v>
      </c>
      <c r="E3237" t="s">
        <v>414</v>
      </c>
      <c r="F3237">
        <f>HYPERLINK("https://www.wikidata.org/wiki/Q16683508", "Q16683508")</f>
        <v>0</v>
      </c>
      <c r="G3237" t="s">
        <v>625</v>
      </c>
      <c r="H3237" t="s">
        <v>5385</v>
      </c>
      <c r="I3237" t="s">
        <v>9460</v>
      </c>
      <c r="J3237" t="s">
        <v>11375</v>
      </c>
      <c r="K3237" t="s">
        <v>15777</v>
      </c>
      <c r="L3237">
        <f>HYPERLINK("https://www2.assemblee-nationale.fr/sycomore/fiche/(num_dept)/2699", "2699")</f>
        <v>0</v>
      </c>
      <c r="M3237">
        <f>HYPERLINK("https://www.senat.fr/senateur-3eme-republique/dumesnil_jacques1613r3.html", "dumesnil_jacques1613r3")</f>
        <v>0</v>
      </c>
      <c r="N3237">
        <f>HYPERLINK("https://www.wikidata.org/wiki/Q3157989", "Q3157989")</f>
        <v>0</v>
      </c>
      <c r="O3237" t="s">
        <v>20026</v>
      </c>
      <c r="P3237" t="s">
        <v>20431</v>
      </c>
      <c r="Q3237" t="s">
        <v>16639</v>
      </c>
      <c r="R3237" t="s">
        <v>21436</v>
      </c>
      <c r="S3237">
        <v>1054</v>
      </c>
    </row>
    <row r="3238" spans="1:19">
      <c r="A3238" t="s">
        <v>24</v>
      </c>
      <c r="B3238" t="s">
        <v>148</v>
      </c>
      <c r="C3238" t="s">
        <v>156</v>
      </c>
      <c r="D3238" t="s">
        <v>285</v>
      </c>
      <c r="E3238" t="s">
        <v>414</v>
      </c>
      <c r="F3238">
        <f>HYPERLINK("https://www.wikidata.org/wiki/Q16683508", "Q16683508")</f>
        <v>0</v>
      </c>
      <c r="G3238" t="s">
        <v>627</v>
      </c>
      <c r="H3238" t="s">
        <v>5387</v>
      </c>
      <c r="I3238" t="s">
        <v>6860</v>
      </c>
      <c r="J3238" t="s">
        <v>11377</v>
      </c>
      <c r="K3238" t="s">
        <v>15779</v>
      </c>
      <c r="L3238">
        <f>HYPERLINK("https://www2.assemblee-nationale.fr/sycomore/fiche/(num_dept)/2743", "2743")</f>
        <v>0</v>
      </c>
      <c r="N3238">
        <f>HYPERLINK("https://www.wikidata.org/wiki/Q3384871", "Q3384871")</f>
        <v>0</v>
      </c>
      <c r="O3238" t="s">
        <v>19983</v>
      </c>
      <c r="P3238" t="s">
        <v>20409</v>
      </c>
      <c r="Q3238" t="s">
        <v>16639</v>
      </c>
      <c r="R3238" t="s">
        <v>414</v>
      </c>
      <c r="S3238">
        <v>1491</v>
      </c>
    </row>
    <row r="3239" spans="1:19">
      <c r="A3239" t="s">
        <v>24</v>
      </c>
      <c r="B3239" t="s">
        <v>148</v>
      </c>
      <c r="C3239" t="s">
        <v>156</v>
      </c>
      <c r="D3239" t="s">
        <v>285</v>
      </c>
      <c r="E3239" t="s">
        <v>414</v>
      </c>
      <c r="F3239">
        <f>HYPERLINK("https://www.wikidata.org/wiki/Q16683508", "Q16683508")</f>
        <v>0</v>
      </c>
      <c r="G3239" t="s">
        <v>2061</v>
      </c>
      <c r="H3239" t="s">
        <v>5388</v>
      </c>
      <c r="I3239" t="s">
        <v>10069</v>
      </c>
      <c r="J3239" t="s">
        <v>12733</v>
      </c>
      <c r="K3239" t="s">
        <v>17143</v>
      </c>
      <c r="L3239">
        <f>HYPERLINK("https://www2.assemblee-nationale.fr/sycomore/fiche/(num_dept)/2753", "2753")</f>
        <v>0</v>
      </c>
      <c r="N3239">
        <f>HYPERLINK("https://www.wikidata.org/wiki/Q16025654", "Q16025654")</f>
        <v>0</v>
      </c>
      <c r="O3239" t="s">
        <v>19972</v>
      </c>
      <c r="P3239" t="s">
        <v>20441</v>
      </c>
      <c r="Q3239" t="s">
        <v>16639</v>
      </c>
      <c r="R3239" t="s">
        <v>414</v>
      </c>
      <c r="S3239">
        <v>1491</v>
      </c>
    </row>
    <row r="3240" spans="1:19">
      <c r="A3240" t="s">
        <v>24</v>
      </c>
      <c r="B3240" t="s">
        <v>148</v>
      </c>
      <c r="C3240" t="s">
        <v>156</v>
      </c>
      <c r="D3240" t="s">
        <v>285</v>
      </c>
      <c r="E3240" t="s">
        <v>414</v>
      </c>
      <c r="F3240">
        <f>HYPERLINK("https://www.wikidata.org/wiki/Q16683508", "Q16683508")</f>
        <v>0</v>
      </c>
      <c r="G3240" t="s">
        <v>1449</v>
      </c>
      <c r="H3240" t="s">
        <v>6150</v>
      </c>
      <c r="I3240" t="s">
        <v>9815</v>
      </c>
      <c r="J3240" t="s">
        <v>11723</v>
      </c>
      <c r="K3240" t="s">
        <v>16574</v>
      </c>
      <c r="L3240">
        <f>HYPERLINK("https://www2.assemblee-nationale.fr/sycomore/fiche/(num_dept)/2801", "2801")</f>
        <v>0</v>
      </c>
      <c r="N3240">
        <f>HYPERLINK("https://www.wikidata.org/wiki/Q3261828", "Q3261828")</f>
        <v>0</v>
      </c>
      <c r="O3240" t="s">
        <v>19969</v>
      </c>
      <c r="P3240" t="s">
        <v>20414</v>
      </c>
      <c r="Q3240" t="s">
        <v>16639</v>
      </c>
      <c r="R3240" t="s">
        <v>414</v>
      </c>
      <c r="S3240">
        <v>1491</v>
      </c>
    </row>
    <row r="3241" spans="1:19">
      <c r="A3241" t="s">
        <v>24</v>
      </c>
      <c r="B3241" t="s">
        <v>148</v>
      </c>
      <c r="C3241" t="s">
        <v>156</v>
      </c>
      <c r="D3241" t="s">
        <v>285</v>
      </c>
      <c r="E3241" t="s">
        <v>414</v>
      </c>
      <c r="F3241">
        <f>HYPERLINK("https://www.wikidata.org/wiki/Q16683508", "Q16683508")</f>
        <v>0</v>
      </c>
      <c r="G3241" t="s">
        <v>633</v>
      </c>
      <c r="H3241" t="s">
        <v>5392</v>
      </c>
      <c r="I3241" t="s">
        <v>9446</v>
      </c>
      <c r="J3241" t="s">
        <v>11383</v>
      </c>
      <c r="K3241" t="s">
        <v>15785</v>
      </c>
      <c r="L3241">
        <f>HYPERLINK("https://www2.assemblee-nationale.fr/sycomore/fiche/(num_dept)/2829", "2829")</f>
        <v>0</v>
      </c>
      <c r="N3241">
        <f>HYPERLINK("https://www.wikidata.org/wiki/Q3069139", "Q3069139")</f>
        <v>0</v>
      </c>
      <c r="O3241" t="s">
        <v>20009</v>
      </c>
      <c r="P3241" t="s">
        <v>20437</v>
      </c>
      <c r="Q3241" t="s">
        <v>16639</v>
      </c>
      <c r="R3241" t="s">
        <v>414</v>
      </c>
      <c r="S3241">
        <v>1491</v>
      </c>
    </row>
    <row r="3242" spans="1:19">
      <c r="A3242" t="s">
        <v>24</v>
      </c>
      <c r="B3242" t="s">
        <v>148</v>
      </c>
      <c r="C3242" t="s">
        <v>156</v>
      </c>
      <c r="D3242" t="s">
        <v>285</v>
      </c>
      <c r="E3242" t="s">
        <v>414</v>
      </c>
      <c r="F3242">
        <f>HYPERLINK("https://www.wikidata.org/wiki/Q16683508", "Q16683508")</f>
        <v>0</v>
      </c>
      <c r="G3242" t="s">
        <v>1170</v>
      </c>
      <c r="H3242" t="s">
        <v>5901</v>
      </c>
      <c r="I3242" t="s">
        <v>5592</v>
      </c>
      <c r="J3242" t="s">
        <v>11903</v>
      </c>
      <c r="K3242" t="s">
        <v>16305</v>
      </c>
      <c r="L3242">
        <f>HYPERLINK("https://www2.assemblee-nationale.fr/sycomore/fiche/(num_dept)/2874", "2874")</f>
        <v>0</v>
      </c>
      <c r="M3242">
        <f>HYPERLINK("https://www.senat.fr/senateur-3eme-republique/eynac_laurent0520r3.html", "eynac_laurent0520r3")</f>
        <v>0</v>
      </c>
      <c r="N3242">
        <f>HYPERLINK("https://www.wikidata.org/wiki/Q3219208", "Q3219208")</f>
        <v>0</v>
      </c>
      <c r="O3242" t="s">
        <v>19993</v>
      </c>
      <c r="P3242" t="s">
        <v>20401</v>
      </c>
      <c r="Q3242" t="s">
        <v>16639</v>
      </c>
      <c r="R3242" t="s">
        <v>21437</v>
      </c>
      <c r="S3242">
        <v>1369</v>
      </c>
    </row>
    <row r="3243" spans="1:19">
      <c r="A3243" t="s">
        <v>24</v>
      </c>
      <c r="B3243" t="s">
        <v>148</v>
      </c>
      <c r="C3243" t="s">
        <v>156</v>
      </c>
      <c r="D3243" t="s">
        <v>285</v>
      </c>
      <c r="E3243" t="s">
        <v>414</v>
      </c>
      <c r="F3243">
        <f>HYPERLINK("https://www.wikidata.org/wiki/Q16683508", "Q16683508")</f>
        <v>0</v>
      </c>
      <c r="G3243" t="s">
        <v>1792</v>
      </c>
      <c r="H3243" t="s">
        <v>6459</v>
      </c>
      <c r="I3243" t="s">
        <v>9457</v>
      </c>
      <c r="J3243" t="s">
        <v>11694</v>
      </c>
      <c r="K3243" t="s">
        <v>16897</v>
      </c>
      <c r="L3243">
        <f>HYPERLINK("https://www2.assemblee-nationale.fr/sycomore/fiche/(num_dept)/2899", "2899")</f>
        <v>0</v>
      </c>
      <c r="N3243">
        <f>HYPERLINK("https://www.wikidata.org/wiki/Q3131064", "Q3131064")</f>
        <v>0</v>
      </c>
      <c r="O3243" t="s">
        <v>19988</v>
      </c>
      <c r="P3243" t="s">
        <v>20401</v>
      </c>
      <c r="Q3243" t="s">
        <v>16639</v>
      </c>
      <c r="R3243" t="s">
        <v>414</v>
      </c>
      <c r="S3243">
        <v>1491</v>
      </c>
    </row>
    <row r="3244" spans="1:19">
      <c r="A3244" t="s">
        <v>24</v>
      </c>
      <c r="B3244" t="s">
        <v>148</v>
      </c>
      <c r="C3244" t="s">
        <v>156</v>
      </c>
      <c r="D3244" t="s">
        <v>285</v>
      </c>
      <c r="E3244" t="s">
        <v>414</v>
      </c>
      <c r="F3244">
        <f>HYPERLINK("https://www.wikidata.org/wiki/Q16683508", "Q16683508")</f>
        <v>0</v>
      </c>
      <c r="G3244" t="s">
        <v>2247</v>
      </c>
      <c r="H3244" t="s">
        <v>5397</v>
      </c>
      <c r="I3244" t="s">
        <v>9823</v>
      </c>
      <c r="J3244" t="s">
        <v>12907</v>
      </c>
      <c r="K3244" t="s">
        <v>17318</v>
      </c>
      <c r="L3244">
        <f>HYPERLINK("https://www2.assemblee-nationale.fr/sycomore/fiche/(num_dept)/2935", "2935")</f>
        <v>0</v>
      </c>
      <c r="N3244">
        <f>HYPERLINK("https://www.wikidata.org/wiki/Q3412095", "Q3412095")</f>
        <v>0</v>
      </c>
      <c r="O3244" t="s">
        <v>19997</v>
      </c>
      <c r="P3244" t="s">
        <v>20442</v>
      </c>
      <c r="Q3244" t="s">
        <v>16639</v>
      </c>
      <c r="R3244" t="s">
        <v>414</v>
      </c>
      <c r="S3244">
        <v>1491</v>
      </c>
    </row>
    <row r="3245" spans="1:19">
      <c r="A3245" t="s">
        <v>24</v>
      </c>
      <c r="B3245" t="s">
        <v>148</v>
      </c>
      <c r="C3245" t="s">
        <v>156</v>
      </c>
      <c r="D3245" t="s">
        <v>285</v>
      </c>
      <c r="E3245" t="s">
        <v>414</v>
      </c>
      <c r="F3245">
        <f>HYPERLINK("https://www.wikidata.org/wiki/Q16683508", "Q16683508")</f>
        <v>0</v>
      </c>
      <c r="G3245" t="s">
        <v>2065</v>
      </c>
      <c r="H3245" t="s">
        <v>5397</v>
      </c>
      <c r="I3245" t="s">
        <v>10070</v>
      </c>
      <c r="J3245" t="s">
        <v>12736</v>
      </c>
      <c r="K3245" t="s">
        <v>17147</v>
      </c>
      <c r="L3245">
        <f>HYPERLINK("https://www2.assemblee-nationale.fr/sycomore/fiche/(num_dept)/2936", "2936")</f>
        <v>0</v>
      </c>
      <c r="N3245">
        <f>HYPERLINK("https://www.wikidata.org/wiki/Q16011221", "Q16011221")</f>
        <v>0</v>
      </c>
      <c r="O3245" t="s">
        <v>20013</v>
      </c>
      <c r="P3245" t="s">
        <v>20420</v>
      </c>
      <c r="Q3245" t="s">
        <v>16639</v>
      </c>
      <c r="R3245" t="s">
        <v>414</v>
      </c>
      <c r="S3245">
        <v>1491</v>
      </c>
    </row>
    <row r="3246" spans="1:19">
      <c r="A3246" t="s">
        <v>24</v>
      </c>
      <c r="B3246" t="s">
        <v>148</v>
      </c>
      <c r="C3246" t="s">
        <v>156</v>
      </c>
      <c r="D3246" t="s">
        <v>285</v>
      </c>
      <c r="E3246" t="s">
        <v>414</v>
      </c>
      <c r="F3246">
        <f>HYPERLINK("https://www.wikidata.org/wiki/Q16683508", "Q16683508")</f>
        <v>0</v>
      </c>
      <c r="G3246" t="s">
        <v>1253</v>
      </c>
      <c r="H3246" t="s">
        <v>5977</v>
      </c>
      <c r="I3246" t="s">
        <v>9535</v>
      </c>
      <c r="J3246" t="s">
        <v>11983</v>
      </c>
      <c r="K3246" t="s">
        <v>16386</v>
      </c>
      <c r="L3246">
        <f>HYPERLINK("https://www2.assemblee-nationale.fr/sycomore/fiche/(num_dept)/2943", "2943")</f>
        <v>0</v>
      </c>
      <c r="M3246">
        <f>HYPERLINK("https://www.senat.fr/senateur-3eme-republique/fayolle_julien0519r3.html", "fayolle_julien0519r3")</f>
        <v>0</v>
      </c>
      <c r="N3246">
        <f>HYPERLINK("https://www.wikidata.org/wiki/Q3189490", "Q3189490")</f>
        <v>0</v>
      </c>
      <c r="O3246" t="s">
        <v>19993</v>
      </c>
      <c r="P3246" t="s">
        <v>20428</v>
      </c>
      <c r="Q3246" t="s">
        <v>16639</v>
      </c>
      <c r="R3246" t="s">
        <v>21438</v>
      </c>
      <c r="S3246">
        <v>285</v>
      </c>
    </row>
    <row r="3247" spans="1:19">
      <c r="A3247" t="s">
        <v>24</v>
      </c>
      <c r="B3247" t="s">
        <v>148</v>
      </c>
      <c r="C3247" t="s">
        <v>156</v>
      </c>
      <c r="D3247" t="s">
        <v>285</v>
      </c>
      <c r="E3247" t="s">
        <v>414</v>
      </c>
      <c r="F3247">
        <f>HYPERLINK("https://www.wikidata.org/wiki/Q16683508", "Q16683508")</f>
        <v>0</v>
      </c>
      <c r="G3247" t="s">
        <v>1462</v>
      </c>
      <c r="H3247" t="s">
        <v>5400</v>
      </c>
      <c r="I3247" t="s">
        <v>9818</v>
      </c>
      <c r="J3247" t="s">
        <v>12181</v>
      </c>
      <c r="K3247" t="s">
        <v>16587</v>
      </c>
      <c r="L3247">
        <f>HYPERLINK("https://www2.assemblee-nationale.fr/sycomore/fiche/(num_dept)/2987", "2987")</f>
        <v>0</v>
      </c>
      <c r="N3247">
        <f>HYPERLINK("https://www.wikidata.org/wiki/Q3045174", "Q3045174")</f>
        <v>0</v>
      </c>
      <c r="O3247" t="s">
        <v>20007</v>
      </c>
      <c r="P3247" t="s">
        <v>20438</v>
      </c>
      <c r="Q3247" t="s">
        <v>16639</v>
      </c>
      <c r="R3247" t="s">
        <v>414</v>
      </c>
      <c r="S3247">
        <v>1491</v>
      </c>
    </row>
    <row r="3248" spans="1:19">
      <c r="A3248" t="s">
        <v>24</v>
      </c>
      <c r="B3248" t="s">
        <v>148</v>
      </c>
      <c r="C3248" t="s">
        <v>156</v>
      </c>
      <c r="D3248" t="s">
        <v>285</v>
      </c>
      <c r="E3248" t="s">
        <v>414</v>
      </c>
      <c r="F3248">
        <f>HYPERLINK("https://www.wikidata.org/wiki/Q16683508", "Q16683508")</f>
        <v>0</v>
      </c>
      <c r="G3248" t="s">
        <v>1952</v>
      </c>
      <c r="H3248" t="s">
        <v>6595</v>
      </c>
      <c r="I3248" t="s">
        <v>9465</v>
      </c>
      <c r="J3248" t="s">
        <v>11916</v>
      </c>
      <c r="K3248" t="s">
        <v>17045</v>
      </c>
      <c r="L3248">
        <f>HYPERLINK("https://www2.assemblee-nationale.fr/sycomore/fiche/(num_dept)/2996", "2996")</f>
        <v>0</v>
      </c>
      <c r="M3248">
        <f>HYPERLINK("https://www.senat.fr/senateur-3eme-republique/fiancette_eugene1556r3.html", "fiancette_eugene1556r3")</f>
        <v>0</v>
      </c>
      <c r="N3248">
        <f>HYPERLINK("https://www.wikidata.org/wiki/Q3059859", "Q3059859")</f>
        <v>0</v>
      </c>
      <c r="O3248" t="s">
        <v>19969</v>
      </c>
      <c r="P3248" t="s">
        <v>20404</v>
      </c>
      <c r="Q3248" t="s">
        <v>16639</v>
      </c>
      <c r="R3248" t="s">
        <v>21439</v>
      </c>
      <c r="S3248">
        <v>1370</v>
      </c>
    </row>
    <row r="3249" spans="1:19">
      <c r="A3249" t="s">
        <v>24</v>
      </c>
      <c r="B3249" t="s">
        <v>148</v>
      </c>
      <c r="C3249" t="s">
        <v>156</v>
      </c>
      <c r="D3249" t="s">
        <v>285</v>
      </c>
      <c r="E3249" t="s">
        <v>414</v>
      </c>
      <c r="F3249">
        <f>HYPERLINK("https://www.wikidata.org/wiki/Q16683508", "Q16683508")</f>
        <v>0</v>
      </c>
      <c r="G3249" t="s">
        <v>2248</v>
      </c>
      <c r="H3249" t="s">
        <v>6853</v>
      </c>
      <c r="I3249" t="s">
        <v>6495</v>
      </c>
      <c r="J3249" t="s">
        <v>12908</v>
      </c>
      <c r="K3249" t="s">
        <v>17319</v>
      </c>
      <c r="L3249">
        <f>HYPERLINK("https://www2.assemblee-nationale.fr/sycomore/fiche/(num_dept)/2998", "2998")</f>
        <v>0</v>
      </c>
      <c r="N3249">
        <f>HYPERLINK("https://www.wikidata.org/wiki/Q3261890", "Q3261890")</f>
        <v>0</v>
      </c>
      <c r="O3249" t="s">
        <v>19962</v>
      </c>
      <c r="P3249" t="s">
        <v>20404</v>
      </c>
      <c r="Q3249" t="s">
        <v>16639</v>
      </c>
      <c r="R3249" t="s">
        <v>414</v>
      </c>
      <c r="S3249">
        <v>1491</v>
      </c>
    </row>
    <row r="3250" spans="1:19">
      <c r="A3250" t="s">
        <v>24</v>
      </c>
      <c r="B3250" t="s">
        <v>148</v>
      </c>
      <c r="C3250" t="s">
        <v>156</v>
      </c>
      <c r="D3250" t="s">
        <v>285</v>
      </c>
      <c r="E3250" t="s">
        <v>414</v>
      </c>
      <c r="F3250">
        <f>HYPERLINK("https://www.wikidata.org/wiki/Q16683508", "Q16683508")</f>
        <v>0</v>
      </c>
      <c r="G3250" t="s">
        <v>1466</v>
      </c>
      <c r="H3250" t="s">
        <v>6165</v>
      </c>
      <c r="I3250" t="s">
        <v>9820</v>
      </c>
      <c r="J3250" t="s">
        <v>12185</v>
      </c>
      <c r="K3250" t="s">
        <v>16591</v>
      </c>
      <c r="L3250">
        <f>HYPERLINK("https://www2.assemblee-nationale.fr/sycomore/fiche/(num_dept)/3080", "3080")</f>
        <v>0</v>
      </c>
      <c r="N3250">
        <f>HYPERLINK("https://www.wikidata.org/wiki/Q2861749", "Q2861749")</f>
        <v>0</v>
      </c>
      <c r="O3250" t="s">
        <v>20027</v>
      </c>
      <c r="P3250" t="s">
        <v>20438</v>
      </c>
      <c r="Q3250" t="s">
        <v>16639</v>
      </c>
      <c r="R3250" t="s">
        <v>414</v>
      </c>
      <c r="S3250">
        <v>1491</v>
      </c>
    </row>
    <row r="3251" spans="1:19">
      <c r="A3251" t="s">
        <v>24</v>
      </c>
      <c r="B3251" t="s">
        <v>148</v>
      </c>
      <c r="C3251" t="s">
        <v>156</v>
      </c>
      <c r="D3251" t="s">
        <v>285</v>
      </c>
      <c r="E3251" t="s">
        <v>414</v>
      </c>
      <c r="F3251">
        <f>HYPERLINK("https://www.wikidata.org/wiki/Q16683508", "Q16683508")</f>
        <v>0</v>
      </c>
      <c r="G3251" t="s">
        <v>1802</v>
      </c>
      <c r="H3251" t="s">
        <v>6467</v>
      </c>
      <c r="I3251" t="s">
        <v>9465</v>
      </c>
      <c r="J3251" t="s">
        <v>12497</v>
      </c>
      <c r="K3251" t="s">
        <v>16907</v>
      </c>
      <c r="L3251">
        <f>HYPERLINK("https://www2.assemblee-nationale.fr/sycomore/fiche/(num_dept)/3167", "3167")</f>
        <v>0</v>
      </c>
      <c r="N3251">
        <f>HYPERLINK("https://www.wikidata.org/wiki/Q3059882", "Q3059882")</f>
        <v>0</v>
      </c>
      <c r="O3251" t="s">
        <v>19958</v>
      </c>
      <c r="P3251" t="s">
        <v>20404</v>
      </c>
      <c r="Q3251" t="s">
        <v>16639</v>
      </c>
      <c r="R3251" t="s">
        <v>414</v>
      </c>
      <c r="S3251">
        <v>1491</v>
      </c>
    </row>
    <row r="3252" spans="1:19">
      <c r="A3252" t="s">
        <v>24</v>
      </c>
      <c r="B3252" t="s">
        <v>148</v>
      </c>
      <c r="C3252" t="s">
        <v>156</v>
      </c>
      <c r="D3252" t="s">
        <v>285</v>
      </c>
      <c r="E3252" t="s">
        <v>414</v>
      </c>
      <c r="F3252">
        <f>HYPERLINK("https://www.wikidata.org/wiki/Q16683508", "Q16683508")</f>
        <v>0</v>
      </c>
      <c r="G3252" t="s">
        <v>2071</v>
      </c>
      <c r="H3252" t="s">
        <v>6698</v>
      </c>
      <c r="I3252" t="s">
        <v>9385</v>
      </c>
      <c r="J3252" t="s">
        <v>12742</v>
      </c>
      <c r="K3252" t="s">
        <v>17153</v>
      </c>
      <c r="L3252">
        <f>HYPERLINK("https://www2.assemblee-nationale.fr/sycomore/fiche/(num_dept)/3215", "3215")</f>
        <v>0</v>
      </c>
      <c r="N3252">
        <f>HYPERLINK("https://www.wikidata.org/wiki/Q2959161", "Q2959161")</f>
        <v>0</v>
      </c>
      <c r="O3252" t="s">
        <v>19972</v>
      </c>
      <c r="P3252" t="s">
        <v>20441</v>
      </c>
      <c r="Q3252" t="s">
        <v>16639</v>
      </c>
      <c r="R3252" t="s">
        <v>414</v>
      </c>
      <c r="S3252">
        <v>1491</v>
      </c>
    </row>
    <row r="3253" spans="1:19">
      <c r="A3253" t="s">
        <v>24</v>
      </c>
      <c r="B3253" t="s">
        <v>148</v>
      </c>
      <c r="C3253" t="s">
        <v>156</v>
      </c>
      <c r="D3253" t="s">
        <v>285</v>
      </c>
      <c r="E3253" t="s">
        <v>414</v>
      </c>
      <c r="F3253">
        <f>HYPERLINK("https://www.wikidata.org/wiki/Q16683508", "Q16683508")</f>
        <v>0</v>
      </c>
      <c r="G3253" t="s">
        <v>2073</v>
      </c>
      <c r="H3253" t="s">
        <v>6700</v>
      </c>
      <c r="I3253" t="s">
        <v>6941</v>
      </c>
      <c r="J3253" t="s">
        <v>12744</v>
      </c>
      <c r="K3253" t="s">
        <v>17155</v>
      </c>
      <c r="L3253">
        <f>HYPERLINK("https://www2.assemblee-nationale.fr/sycomore/fiche/(num_dept)/3328", "3328")</f>
        <v>0</v>
      </c>
      <c r="N3253">
        <f>HYPERLINK("https://www.wikidata.org/wiki/Q3309731", "Q3309731")</f>
        <v>0</v>
      </c>
      <c r="O3253" t="s">
        <v>19964</v>
      </c>
      <c r="P3253" t="s">
        <v>20428</v>
      </c>
      <c r="Q3253" t="s">
        <v>16639</v>
      </c>
      <c r="R3253" t="s">
        <v>414</v>
      </c>
      <c r="S3253">
        <v>1491</v>
      </c>
    </row>
    <row r="3254" spans="1:19">
      <c r="A3254" t="s">
        <v>24</v>
      </c>
      <c r="B3254" t="s">
        <v>148</v>
      </c>
      <c r="C3254" t="s">
        <v>156</v>
      </c>
      <c r="D3254" t="s">
        <v>285</v>
      </c>
      <c r="E3254" t="s">
        <v>414</v>
      </c>
      <c r="F3254">
        <f>HYPERLINK("https://www.wikidata.org/wiki/Q16683508", "Q16683508")</f>
        <v>0</v>
      </c>
      <c r="G3254" t="s">
        <v>1956</v>
      </c>
      <c r="H3254" t="s">
        <v>6598</v>
      </c>
      <c r="I3254" t="s">
        <v>9389</v>
      </c>
      <c r="J3254" t="s">
        <v>12639</v>
      </c>
      <c r="K3254" t="s">
        <v>17049</v>
      </c>
      <c r="L3254">
        <f>HYPERLINK("https://www2.assemblee-nationale.fr/sycomore/fiche/(num_dept)/3332", "3332")</f>
        <v>0</v>
      </c>
      <c r="N3254">
        <f>HYPERLINK("https://www.wikidata.org/wiki/Q3588531", "Q3588531")</f>
        <v>0</v>
      </c>
      <c r="O3254" t="s">
        <v>19987</v>
      </c>
      <c r="P3254" t="s">
        <v>20412</v>
      </c>
      <c r="Q3254" t="s">
        <v>16639</v>
      </c>
      <c r="R3254" t="s">
        <v>414</v>
      </c>
      <c r="S3254">
        <v>1491</v>
      </c>
    </row>
    <row r="3255" spans="1:19">
      <c r="A3255" t="s">
        <v>24</v>
      </c>
      <c r="B3255" t="s">
        <v>148</v>
      </c>
      <c r="C3255" t="s">
        <v>156</v>
      </c>
      <c r="D3255" t="s">
        <v>285</v>
      </c>
      <c r="E3255" t="s">
        <v>414</v>
      </c>
      <c r="F3255">
        <f>HYPERLINK("https://www.wikidata.org/wiki/Q16683508", "Q16683508")</f>
        <v>0</v>
      </c>
      <c r="G3255" t="s">
        <v>2074</v>
      </c>
      <c r="H3255" t="s">
        <v>6701</v>
      </c>
      <c r="I3255" t="s">
        <v>6495</v>
      </c>
      <c r="J3255" t="s">
        <v>12745</v>
      </c>
      <c r="K3255" t="s">
        <v>17156</v>
      </c>
      <c r="L3255">
        <f>HYPERLINK("https://www2.assemblee-nationale.fr/sycomore/fiche/(num_dept)/3378", "3378")</f>
        <v>0</v>
      </c>
      <c r="N3255">
        <f>HYPERLINK("https://www.wikidata.org/wiki/Q3262030", "Q3262030")</f>
        <v>0</v>
      </c>
      <c r="O3255" t="s">
        <v>7411</v>
      </c>
      <c r="P3255" t="s">
        <v>20401</v>
      </c>
      <c r="Q3255" t="s">
        <v>16639</v>
      </c>
      <c r="R3255" t="s">
        <v>414</v>
      </c>
      <c r="S3255">
        <v>1491</v>
      </c>
    </row>
    <row r="3256" spans="1:19">
      <c r="A3256" t="s">
        <v>24</v>
      </c>
      <c r="B3256" t="s">
        <v>148</v>
      </c>
      <c r="C3256" t="s">
        <v>156</v>
      </c>
      <c r="D3256" t="s">
        <v>285</v>
      </c>
      <c r="E3256" t="s">
        <v>414</v>
      </c>
      <c r="F3256">
        <f>HYPERLINK("https://www.wikidata.org/wiki/Q16683508", "Q16683508")</f>
        <v>0</v>
      </c>
      <c r="G3256" t="s">
        <v>968</v>
      </c>
      <c r="H3256" t="s">
        <v>5720</v>
      </c>
      <c r="I3256" t="s">
        <v>9389</v>
      </c>
      <c r="J3256" t="s">
        <v>11707</v>
      </c>
      <c r="K3256" t="s">
        <v>16110</v>
      </c>
      <c r="L3256">
        <f>HYPERLINK("https://www2.assemblee-nationale.fr/sycomore/fiche/(num_dept)/3491", "3491")</f>
        <v>0</v>
      </c>
      <c r="N3256">
        <f>HYPERLINK("https://www.wikidata.org/wiki/Q3588541", "Q3588541")</f>
        <v>0</v>
      </c>
      <c r="O3256" t="s">
        <v>20011</v>
      </c>
      <c r="P3256" t="s">
        <v>20409</v>
      </c>
      <c r="Q3256" t="s">
        <v>16639</v>
      </c>
      <c r="R3256" t="s">
        <v>414</v>
      </c>
      <c r="S3256">
        <v>1491</v>
      </c>
    </row>
    <row r="3257" spans="1:19">
      <c r="A3257" t="s">
        <v>24</v>
      </c>
      <c r="B3257" t="s">
        <v>148</v>
      </c>
      <c r="C3257" t="s">
        <v>156</v>
      </c>
      <c r="D3257" t="s">
        <v>285</v>
      </c>
      <c r="E3257" t="s">
        <v>414</v>
      </c>
      <c r="F3257">
        <f>HYPERLINK("https://www.wikidata.org/wiki/Q16683508", "Q16683508")</f>
        <v>0</v>
      </c>
      <c r="G3257" t="s">
        <v>1808</v>
      </c>
      <c r="H3257" t="s">
        <v>6473</v>
      </c>
      <c r="I3257" t="s">
        <v>9956</v>
      </c>
      <c r="J3257" t="s">
        <v>12503</v>
      </c>
      <c r="K3257" t="s">
        <v>16913</v>
      </c>
      <c r="L3257">
        <f>HYPERLINK("https://www2.assemblee-nationale.fr/sycomore/fiche/(num_dept)/3496", "3496")</f>
        <v>0</v>
      </c>
      <c r="N3257">
        <f>HYPERLINK("https://www.wikidata.org/wiki/Q381187", "Q381187")</f>
        <v>0</v>
      </c>
      <c r="O3257" t="s">
        <v>19990</v>
      </c>
      <c r="P3257" t="s">
        <v>20404</v>
      </c>
      <c r="Q3257" t="s">
        <v>16639</v>
      </c>
      <c r="R3257" t="s">
        <v>414</v>
      </c>
      <c r="S3257">
        <v>1491</v>
      </c>
    </row>
    <row r="3258" spans="1:19">
      <c r="A3258" t="s">
        <v>24</v>
      </c>
      <c r="B3258" t="s">
        <v>148</v>
      </c>
      <c r="C3258" t="s">
        <v>156</v>
      </c>
      <c r="D3258" t="s">
        <v>285</v>
      </c>
      <c r="E3258" t="s">
        <v>414</v>
      </c>
      <c r="F3258">
        <f>HYPERLINK("https://www.wikidata.org/wiki/Q16683508", "Q16683508")</f>
        <v>0</v>
      </c>
      <c r="G3258" t="s">
        <v>2077</v>
      </c>
      <c r="H3258" t="s">
        <v>6703</v>
      </c>
      <c r="I3258" t="s">
        <v>9476</v>
      </c>
      <c r="J3258" t="s">
        <v>12748</v>
      </c>
      <c r="K3258" t="s">
        <v>17159</v>
      </c>
      <c r="L3258">
        <f>HYPERLINK("https://www2.assemblee-nationale.fr/sycomore/fiche/(num_dept)/3506", "3506")</f>
        <v>0</v>
      </c>
      <c r="M3258">
        <f>HYPERLINK("https://www.senat.fr/senateur-3eme-republique/gounin_rene0402r3.html", "gounin_rene0402r3")</f>
        <v>0</v>
      </c>
      <c r="N3258">
        <f>HYPERLINK("https://www.wikidata.org/wiki/Q3426287", "Q3426287")</f>
        <v>0</v>
      </c>
      <c r="O3258" t="s">
        <v>20031</v>
      </c>
      <c r="P3258" t="s">
        <v>20436</v>
      </c>
      <c r="Q3258" t="s">
        <v>16639</v>
      </c>
      <c r="R3258" t="s">
        <v>414</v>
      </c>
      <c r="S3258">
        <v>1491</v>
      </c>
    </row>
    <row r="3259" spans="1:19">
      <c r="A3259" t="s">
        <v>24</v>
      </c>
      <c r="B3259" t="s">
        <v>148</v>
      </c>
      <c r="C3259" t="s">
        <v>156</v>
      </c>
      <c r="D3259" t="s">
        <v>285</v>
      </c>
      <c r="E3259" t="s">
        <v>414</v>
      </c>
      <c r="F3259">
        <f>HYPERLINK("https://www.wikidata.org/wiki/Q16683508", "Q16683508")</f>
        <v>0</v>
      </c>
      <c r="G3259" t="s">
        <v>2078</v>
      </c>
      <c r="H3259" t="s">
        <v>6704</v>
      </c>
      <c r="I3259" t="s">
        <v>9470</v>
      </c>
      <c r="J3259" t="s">
        <v>12749</v>
      </c>
      <c r="K3259" t="s">
        <v>17160</v>
      </c>
      <c r="L3259">
        <f>HYPERLINK("https://www2.assemblee-nationale.fr/sycomore/fiche/(num_dept)/3509", "3509")</f>
        <v>0</v>
      </c>
      <c r="N3259">
        <f>HYPERLINK("https://www.wikidata.org/wiki/Q3099021", "Q3099021")</f>
        <v>0</v>
      </c>
      <c r="O3259" t="s">
        <v>19956</v>
      </c>
      <c r="P3259" t="s">
        <v>20401</v>
      </c>
      <c r="Q3259" t="s">
        <v>16639</v>
      </c>
      <c r="R3259" t="s">
        <v>414</v>
      </c>
      <c r="S3259">
        <v>1491</v>
      </c>
    </row>
    <row r="3260" spans="1:19">
      <c r="A3260" t="s">
        <v>24</v>
      </c>
      <c r="B3260" t="s">
        <v>148</v>
      </c>
      <c r="C3260" t="s">
        <v>156</v>
      </c>
      <c r="D3260" t="s">
        <v>285</v>
      </c>
      <c r="E3260" t="s">
        <v>414</v>
      </c>
      <c r="F3260">
        <f>HYPERLINK("https://www.wikidata.org/wiki/Q16683508", "Q16683508")</f>
        <v>0</v>
      </c>
      <c r="G3260" t="s">
        <v>2079</v>
      </c>
      <c r="H3260" t="s">
        <v>6705</v>
      </c>
      <c r="I3260" t="s">
        <v>9457</v>
      </c>
      <c r="J3260" t="s">
        <v>12750</v>
      </c>
      <c r="K3260" t="s">
        <v>17161</v>
      </c>
      <c r="L3260">
        <f>HYPERLINK("https://www2.assemblee-nationale.fr/sycomore/fiche/(num_dept)/3520", "3520")</f>
        <v>0</v>
      </c>
      <c r="N3260">
        <f>HYPERLINK("https://www.wikidata.org/wiki/Q603191", "Q603191")</f>
        <v>0</v>
      </c>
      <c r="O3260" t="s">
        <v>19960</v>
      </c>
      <c r="P3260" t="s">
        <v>20428</v>
      </c>
      <c r="Q3260" t="s">
        <v>16639</v>
      </c>
      <c r="R3260" t="s">
        <v>414</v>
      </c>
      <c r="S3260">
        <v>1491</v>
      </c>
    </row>
    <row r="3261" spans="1:19">
      <c r="A3261" t="s">
        <v>24</v>
      </c>
      <c r="B3261" t="s">
        <v>148</v>
      </c>
      <c r="C3261" t="s">
        <v>156</v>
      </c>
      <c r="D3261" t="s">
        <v>285</v>
      </c>
      <c r="E3261" t="s">
        <v>414</v>
      </c>
      <c r="F3261">
        <f>HYPERLINK("https://www.wikidata.org/wiki/Q16683508", "Q16683508")</f>
        <v>0</v>
      </c>
      <c r="G3261" t="s">
        <v>668</v>
      </c>
      <c r="H3261" t="s">
        <v>5427</v>
      </c>
      <c r="I3261" t="s">
        <v>6175</v>
      </c>
      <c r="J3261" t="s">
        <v>11418</v>
      </c>
      <c r="K3261" t="s">
        <v>15820</v>
      </c>
      <c r="L3261">
        <f>HYPERLINK("https://www2.assemblee-nationale.fr/sycomore/fiche/(num_dept)/3542", "3542")</f>
        <v>0</v>
      </c>
      <c r="M3261">
        <f>HYPERLINK("https://www.senat.fr/senateur-3eme-republique/de_grandmaison_georges1070r3.html", "de_grandmaison_georges1070r3")</f>
        <v>0</v>
      </c>
      <c r="N3261">
        <f>HYPERLINK("https://www.wikidata.org/wiki/Q3103201", "Q3103201")</f>
        <v>0</v>
      </c>
      <c r="O3261" t="s">
        <v>19980</v>
      </c>
      <c r="P3261" t="s">
        <v>20437</v>
      </c>
      <c r="Q3261" t="s">
        <v>16639</v>
      </c>
      <c r="R3261" t="s">
        <v>21440</v>
      </c>
      <c r="S3261">
        <v>339</v>
      </c>
    </row>
    <row r="3262" spans="1:19">
      <c r="A3262" t="s">
        <v>24</v>
      </c>
      <c r="B3262" t="s">
        <v>148</v>
      </c>
      <c r="C3262" t="s">
        <v>156</v>
      </c>
      <c r="D3262" t="s">
        <v>285</v>
      </c>
      <c r="E3262" t="s">
        <v>414</v>
      </c>
      <c r="F3262">
        <f>HYPERLINK("https://www.wikidata.org/wiki/Q16683508", "Q16683508")</f>
        <v>0</v>
      </c>
      <c r="G3262" t="s">
        <v>1485</v>
      </c>
      <c r="H3262" t="s">
        <v>6183</v>
      </c>
      <c r="I3262" t="s">
        <v>9421</v>
      </c>
      <c r="J3262" t="s">
        <v>12204</v>
      </c>
      <c r="K3262" t="s">
        <v>16609</v>
      </c>
      <c r="L3262">
        <f>HYPERLINK("https://www2.assemblee-nationale.fr/sycomore/fiche/(num_dept)/3627", "3627")</f>
        <v>0</v>
      </c>
      <c r="M3262">
        <f>HYPERLINK("https://www.senat.fr/senateur-3eme-republique/guerin_gustave1038r3.html", "guerin_gustave1038r3")</f>
        <v>0</v>
      </c>
      <c r="N3262">
        <f>HYPERLINK("https://www.wikidata.org/wiki/Q3121205", "Q3121205")</f>
        <v>0</v>
      </c>
      <c r="O3262" t="s">
        <v>19985</v>
      </c>
      <c r="P3262" t="s">
        <v>20414</v>
      </c>
      <c r="Q3262" t="s">
        <v>16639</v>
      </c>
      <c r="R3262" t="s">
        <v>414</v>
      </c>
      <c r="S3262">
        <v>1491</v>
      </c>
    </row>
    <row r="3263" spans="1:19">
      <c r="A3263" t="s">
        <v>24</v>
      </c>
      <c r="B3263" t="s">
        <v>148</v>
      </c>
      <c r="C3263" t="s">
        <v>156</v>
      </c>
      <c r="D3263" t="s">
        <v>285</v>
      </c>
      <c r="E3263" t="s">
        <v>414</v>
      </c>
      <c r="F3263">
        <f>HYPERLINK("https://www.wikidata.org/wiki/Q16683508", "Q16683508")</f>
        <v>0</v>
      </c>
      <c r="G3263" t="s">
        <v>672</v>
      </c>
      <c r="H3263" t="s">
        <v>5431</v>
      </c>
      <c r="I3263" t="s">
        <v>9385</v>
      </c>
      <c r="J3263" t="s">
        <v>11422</v>
      </c>
      <c r="K3263" t="s">
        <v>15823</v>
      </c>
      <c r="L3263">
        <f>HYPERLINK("https://www2.assemblee-nationale.fr/sycomore/fiche/(num_dept)/3634", "3634")</f>
        <v>0</v>
      </c>
      <c r="N3263">
        <f>HYPERLINK("https://www.wikidata.org/wiki/Q2959267", "Q2959267")</f>
        <v>0</v>
      </c>
      <c r="O3263" t="s">
        <v>19998</v>
      </c>
      <c r="P3263" t="s">
        <v>20401</v>
      </c>
      <c r="Q3263" t="s">
        <v>16639</v>
      </c>
      <c r="R3263" t="s">
        <v>414</v>
      </c>
      <c r="S3263">
        <v>1491</v>
      </c>
    </row>
    <row r="3264" spans="1:19">
      <c r="A3264" t="s">
        <v>24</v>
      </c>
      <c r="B3264" t="s">
        <v>148</v>
      </c>
      <c r="C3264" t="s">
        <v>156</v>
      </c>
      <c r="D3264" t="s">
        <v>285</v>
      </c>
      <c r="E3264" t="s">
        <v>414</v>
      </c>
      <c r="F3264">
        <f>HYPERLINK("https://www.wikidata.org/wiki/Q16683508", "Q16683508")</f>
        <v>0</v>
      </c>
      <c r="G3264" t="s">
        <v>971</v>
      </c>
      <c r="H3264" t="s">
        <v>5723</v>
      </c>
      <c r="I3264" t="s">
        <v>6495</v>
      </c>
      <c r="J3264" t="s">
        <v>11709</v>
      </c>
      <c r="K3264" t="s">
        <v>16113</v>
      </c>
      <c r="L3264">
        <f>HYPERLINK("https://www2.assemblee-nationale.fr/sycomore/fiche/(num_dept)/3650", "3650")</f>
        <v>0</v>
      </c>
      <c r="N3264">
        <f>HYPERLINK("https://www.wikidata.org/wiki/Q3262102", "Q3262102")</f>
        <v>0</v>
      </c>
      <c r="O3264" t="s">
        <v>20047</v>
      </c>
      <c r="P3264" t="s">
        <v>20428</v>
      </c>
      <c r="Q3264" t="s">
        <v>16639</v>
      </c>
      <c r="R3264" t="s">
        <v>414</v>
      </c>
      <c r="S3264">
        <v>1491</v>
      </c>
    </row>
    <row r="3265" spans="1:19">
      <c r="A3265" t="s">
        <v>24</v>
      </c>
      <c r="B3265" t="s">
        <v>148</v>
      </c>
      <c r="C3265" t="s">
        <v>156</v>
      </c>
      <c r="D3265" t="s">
        <v>285</v>
      </c>
      <c r="E3265" t="s">
        <v>414</v>
      </c>
      <c r="F3265">
        <f>HYPERLINK("https://www.wikidata.org/wiki/Q16683508", "Q16683508")</f>
        <v>0</v>
      </c>
      <c r="G3265" t="s">
        <v>2249</v>
      </c>
      <c r="H3265" t="s">
        <v>6854</v>
      </c>
      <c r="I3265" t="s">
        <v>6495</v>
      </c>
      <c r="J3265" t="s">
        <v>12909</v>
      </c>
      <c r="K3265" t="s">
        <v>17320</v>
      </c>
      <c r="L3265">
        <f>HYPERLINK("https://www2.assemblee-nationale.fr/sycomore/fiche/(num_dept)/3681", "3681")</f>
        <v>0</v>
      </c>
      <c r="M3265">
        <f>HYPERLINK("https://www.senat.fr/senateur-3eme-republique/guillois_louis0898r3.html", "guillois_louis0898r3")</f>
        <v>0</v>
      </c>
      <c r="N3265">
        <f>HYPERLINK("https://www.wikidata.org/wiki/Q3262110", "Q3262110")</f>
        <v>0</v>
      </c>
      <c r="O3265" t="s">
        <v>19961</v>
      </c>
      <c r="P3265" t="s">
        <v>20414</v>
      </c>
      <c r="Q3265" t="s">
        <v>16639</v>
      </c>
      <c r="R3265" t="s">
        <v>414</v>
      </c>
      <c r="S3265">
        <v>1491</v>
      </c>
    </row>
    <row r="3266" spans="1:19">
      <c r="A3266" t="s">
        <v>24</v>
      </c>
      <c r="B3266" t="s">
        <v>148</v>
      </c>
      <c r="C3266" t="s">
        <v>156</v>
      </c>
      <c r="D3266" t="s">
        <v>285</v>
      </c>
      <c r="E3266" t="s">
        <v>414</v>
      </c>
      <c r="F3266">
        <f>HYPERLINK("https://www.wikidata.org/wiki/Q16683508", "Q16683508")</f>
        <v>0</v>
      </c>
      <c r="G3266" t="s">
        <v>679</v>
      </c>
      <c r="H3266" t="s">
        <v>5438</v>
      </c>
      <c r="I3266" t="s">
        <v>6584</v>
      </c>
      <c r="J3266" t="s">
        <v>11429</v>
      </c>
      <c r="K3266" t="s">
        <v>15830</v>
      </c>
      <c r="L3266">
        <f>HYPERLINK("https://www2.assemblee-nationale.fr/sycomore/fiche/(num_dept)/3762", "3762")</f>
        <v>0</v>
      </c>
      <c r="N3266">
        <f>HYPERLINK("https://www.wikidata.org/wiki/Q2831231", "Q2831231")</f>
        <v>0</v>
      </c>
      <c r="O3266" t="s">
        <v>20015</v>
      </c>
      <c r="P3266" t="s">
        <v>20428</v>
      </c>
      <c r="Q3266" t="s">
        <v>16639</v>
      </c>
      <c r="R3266" t="s">
        <v>414</v>
      </c>
      <c r="S3266">
        <v>1491</v>
      </c>
    </row>
    <row r="3267" spans="1:19">
      <c r="A3267" t="s">
        <v>24</v>
      </c>
      <c r="B3267" t="s">
        <v>148</v>
      </c>
      <c r="C3267" t="s">
        <v>156</v>
      </c>
      <c r="D3267" t="s">
        <v>285</v>
      </c>
      <c r="E3267" t="s">
        <v>414</v>
      </c>
      <c r="F3267">
        <f>HYPERLINK("https://www.wikidata.org/wiki/Q16683508", "Q16683508")</f>
        <v>0</v>
      </c>
      <c r="G3267" t="s">
        <v>2090</v>
      </c>
      <c r="H3267" t="s">
        <v>6715</v>
      </c>
      <c r="I3267" t="s">
        <v>10077</v>
      </c>
      <c r="J3267" t="s">
        <v>12759</v>
      </c>
      <c r="K3267" t="s">
        <v>17172</v>
      </c>
      <c r="L3267">
        <f>HYPERLINK("https://www2.assemblee-nationale.fr/sycomore/fiche/(num_dept)/3802", "3802")</f>
        <v>0</v>
      </c>
      <c r="M3267">
        <f>HYPERLINK("https://www.senat.fr/senateur-3eme-republique/henry_haye_gaston1642r3.html", "henry_haye_gaston1642r3")</f>
        <v>0</v>
      </c>
      <c r="N3267">
        <f>HYPERLINK("https://www.wikidata.org/wiki/Q3099039", "Q3099039")</f>
        <v>0</v>
      </c>
      <c r="O3267" t="s">
        <v>19976</v>
      </c>
      <c r="P3267" t="s">
        <v>20431</v>
      </c>
      <c r="Q3267" t="s">
        <v>16639</v>
      </c>
      <c r="R3267" t="s">
        <v>414</v>
      </c>
      <c r="S3267">
        <v>1491</v>
      </c>
    </row>
    <row r="3268" spans="1:19">
      <c r="A3268" t="s">
        <v>24</v>
      </c>
      <c r="B3268" t="s">
        <v>148</v>
      </c>
      <c r="C3268" t="s">
        <v>156</v>
      </c>
      <c r="D3268" t="s">
        <v>285</v>
      </c>
      <c r="E3268" t="s">
        <v>414</v>
      </c>
      <c r="F3268">
        <f>HYPERLINK("https://www.wikidata.org/wiki/Q16683508", "Q16683508")</f>
        <v>0</v>
      </c>
      <c r="G3268" t="s">
        <v>2091</v>
      </c>
      <c r="H3268" t="s">
        <v>6716</v>
      </c>
      <c r="I3268" t="s">
        <v>6200</v>
      </c>
      <c r="J3268" t="s">
        <v>12760</v>
      </c>
      <c r="K3268" t="s">
        <v>17173</v>
      </c>
      <c r="L3268">
        <f>HYPERLINK("https://www2.assemblee-nationale.fr/sycomore/fiche/(num_dept)/3803", "3803")</f>
        <v>0</v>
      </c>
      <c r="N3268">
        <f>HYPERLINK("https://www.wikidata.org/wiki/Q3172596", "Q3172596")</f>
        <v>0</v>
      </c>
      <c r="O3268" t="s">
        <v>19980</v>
      </c>
      <c r="P3268" t="s">
        <v>20428</v>
      </c>
      <c r="Q3268" t="s">
        <v>16639</v>
      </c>
      <c r="R3268" t="s">
        <v>414</v>
      </c>
      <c r="S3268">
        <v>1491</v>
      </c>
    </row>
    <row r="3269" spans="1:19">
      <c r="A3269" t="s">
        <v>24</v>
      </c>
      <c r="B3269" t="s">
        <v>148</v>
      </c>
      <c r="C3269" t="s">
        <v>156</v>
      </c>
      <c r="D3269" t="s">
        <v>285</v>
      </c>
      <c r="E3269" t="s">
        <v>414</v>
      </c>
      <c r="F3269">
        <f>HYPERLINK("https://www.wikidata.org/wiki/Q16683508", "Q16683508")</f>
        <v>0</v>
      </c>
      <c r="G3269" t="s">
        <v>1492</v>
      </c>
      <c r="H3269" t="s">
        <v>6190</v>
      </c>
      <c r="I3269" t="s">
        <v>9728</v>
      </c>
      <c r="J3269" t="s">
        <v>12210</v>
      </c>
      <c r="K3269" t="s">
        <v>16616</v>
      </c>
      <c r="L3269">
        <f>HYPERLINK("https://www2.assemblee-nationale.fr/sycomore/fiche/(num_dept)/3819", "3819")</f>
        <v>0</v>
      </c>
      <c r="M3269">
        <f>HYPERLINK("https://www.senat.fr/senateur-3eme-republique/herriot_edouard1121r3.html", "herriot_edouard1121r3")</f>
        <v>0</v>
      </c>
      <c r="N3269">
        <f>HYPERLINK("https://www.wikidata.org/wiki/Q274344", "Q274344")</f>
        <v>0</v>
      </c>
      <c r="O3269" t="s">
        <v>19965</v>
      </c>
      <c r="P3269" t="s">
        <v>20428</v>
      </c>
      <c r="Q3269" t="s">
        <v>16639</v>
      </c>
      <c r="R3269" t="s">
        <v>414</v>
      </c>
      <c r="S3269">
        <v>1491</v>
      </c>
    </row>
    <row r="3270" spans="1:19">
      <c r="A3270" t="s">
        <v>24</v>
      </c>
      <c r="B3270" t="s">
        <v>148</v>
      </c>
      <c r="C3270" t="s">
        <v>156</v>
      </c>
      <c r="D3270" t="s">
        <v>285</v>
      </c>
      <c r="E3270" t="s">
        <v>414</v>
      </c>
      <c r="F3270">
        <f>HYPERLINK("https://www.wikidata.org/wiki/Q16683508", "Q16683508")</f>
        <v>0</v>
      </c>
      <c r="G3270" t="s">
        <v>1496</v>
      </c>
      <c r="H3270" t="s">
        <v>6194</v>
      </c>
      <c r="I3270" t="s">
        <v>5812</v>
      </c>
      <c r="J3270" t="s">
        <v>12214</v>
      </c>
      <c r="K3270" t="s">
        <v>16221</v>
      </c>
      <c r="L3270">
        <f>HYPERLINK("https://www2.assemblee-nationale.fr/sycomore/fiche/(num_dept)/3933", "3933")</f>
        <v>0</v>
      </c>
      <c r="N3270">
        <f>HYPERLINK("https://www.wikidata.org/wiki/Q3559675", "Q3559675")</f>
        <v>0</v>
      </c>
      <c r="O3270" t="s">
        <v>20011</v>
      </c>
      <c r="P3270" t="s">
        <v>20414</v>
      </c>
      <c r="Q3270" t="s">
        <v>16639</v>
      </c>
      <c r="R3270" t="s">
        <v>414</v>
      </c>
      <c r="S3270">
        <v>1491</v>
      </c>
    </row>
    <row r="3271" spans="1:19">
      <c r="A3271" t="s">
        <v>24</v>
      </c>
      <c r="B3271" t="s">
        <v>148</v>
      </c>
      <c r="C3271" t="s">
        <v>156</v>
      </c>
      <c r="D3271" t="s">
        <v>285</v>
      </c>
      <c r="E3271" t="s">
        <v>414</v>
      </c>
      <c r="F3271">
        <f>HYPERLINK("https://www.wikidata.org/wiki/Q16683508", "Q16683508")</f>
        <v>0</v>
      </c>
      <c r="G3271" t="s">
        <v>2250</v>
      </c>
      <c r="H3271" t="s">
        <v>6855</v>
      </c>
      <c r="I3271" t="s">
        <v>6495</v>
      </c>
      <c r="J3271" t="s">
        <v>12910</v>
      </c>
      <c r="K3271" t="s">
        <v>17321</v>
      </c>
      <c r="L3271">
        <f>HYPERLINK("https://www2.assemblee-nationale.fr/sycomore/fiche/(num_dept)/3971", "3971")</f>
        <v>0</v>
      </c>
      <c r="N3271">
        <f>HYPERLINK("https://www.wikidata.org/wiki/Q3262301", "Q3262301")</f>
        <v>0</v>
      </c>
      <c r="O3271" t="s">
        <v>20030</v>
      </c>
      <c r="P3271" t="s">
        <v>20438</v>
      </c>
      <c r="Q3271" t="s">
        <v>16639</v>
      </c>
      <c r="R3271" t="s">
        <v>414</v>
      </c>
      <c r="S3271">
        <v>1491</v>
      </c>
    </row>
    <row r="3272" spans="1:19">
      <c r="A3272" t="s">
        <v>24</v>
      </c>
      <c r="B3272" t="s">
        <v>148</v>
      </c>
      <c r="C3272" t="s">
        <v>156</v>
      </c>
      <c r="D3272" t="s">
        <v>285</v>
      </c>
      <c r="E3272" t="s">
        <v>414</v>
      </c>
      <c r="F3272">
        <f>HYPERLINK("https://www.wikidata.org/wiki/Q16683508", "Q16683508")</f>
        <v>0</v>
      </c>
      <c r="G3272" t="s">
        <v>1821</v>
      </c>
      <c r="H3272" t="s">
        <v>6484</v>
      </c>
      <c r="I3272" t="s">
        <v>6585</v>
      </c>
      <c r="J3272" t="s">
        <v>12515</v>
      </c>
      <c r="K3272" t="s">
        <v>16925</v>
      </c>
      <c r="L3272">
        <f>HYPERLINK("https://www2.assemblee-nationale.fr/sycomore/fiche/(num_dept)/4061", "4061")</f>
        <v>0</v>
      </c>
      <c r="N3272">
        <f>HYPERLINK("https://www.wikidata.org/wiki/Q2848010", "Q2848010")</f>
        <v>0</v>
      </c>
      <c r="O3272" t="s">
        <v>20021</v>
      </c>
      <c r="P3272" t="s">
        <v>20428</v>
      </c>
      <c r="Q3272" t="s">
        <v>16639</v>
      </c>
      <c r="R3272" t="s">
        <v>414</v>
      </c>
      <c r="S3272">
        <v>1491</v>
      </c>
    </row>
    <row r="3273" spans="1:19">
      <c r="A3273" t="s">
        <v>24</v>
      </c>
      <c r="B3273" t="s">
        <v>148</v>
      </c>
      <c r="C3273" t="s">
        <v>156</v>
      </c>
      <c r="D3273" t="s">
        <v>285</v>
      </c>
      <c r="E3273" t="s">
        <v>414</v>
      </c>
      <c r="F3273">
        <f>HYPERLINK("https://www.wikidata.org/wiki/Q16683508", "Q16683508")</f>
        <v>0</v>
      </c>
      <c r="G3273" t="s">
        <v>2232</v>
      </c>
      <c r="H3273" t="s">
        <v>6841</v>
      </c>
      <c r="I3273" t="s">
        <v>9458</v>
      </c>
      <c r="J3273" t="s">
        <v>12893</v>
      </c>
      <c r="K3273" t="s">
        <v>17304</v>
      </c>
      <c r="L3273">
        <f>HYPERLINK("https://www2.assemblee-nationale.fr/sycomore/fiche/(num_dept)/4092", "4092")</f>
        <v>0</v>
      </c>
      <c r="N3273">
        <f>HYPERLINK("https://www.wikidata.org/wiki/Q2835216", "Q2835216")</f>
        <v>0</v>
      </c>
      <c r="O3273" t="s">
        <v>19965</v>
      </c>
      <c r="P3273" t="s">
        <v>20428</v>
      </c>
      <c r="Q3273" t="s">
        <v>16639</v>
      </c>
      <c r="R3273" t="s">
        <v>414</v>
      </c>
      <c r="S3273">
        <v>1491</v>
      </c>
    </row>
    <row r="3274" spans="1:19">
      <c r="A3274" t="s">
        <v>24</v>
      </c>
      <c r="B3274" t="s">
        <v>148</v>
      </c>
      <c r="C3274" t="s">
        <v>156</v>
      </c>
      <c r="D3274" t="s">
        <v>285</v>
      </c>
      <c r="E3274" t="s">
        <v>414</v>
      </c>
      <c r="F3274">
        <f>HYPERLINK("https://www.wikidata.org/wiki/Q16683508", "Q16683508")</f>
        <v>0</v>
      </c>
      <c r="G3274" t="s">
        <v>2251</v>
      </c>
      <c r="H3274" t="s">
        <v>6856</v>
      </c>
      <c r="I3274" t="s">
        <v>10136</v>
      </c>
      <c r="J3274" t="s">
        <v>12421</v>
      </c>
      <c r="K3274" t="s">
        <v>16475</v>
      </c>
      <c r="L3274">
        <f>HYPERLINK("https://www2.assemblee-nationale.fr/sycomore/fiche/(num_dept)/4163", "4163")</f>
        <v>0</v>
      </c>
      <c r="N3274">
        <f>HYPERLINK("https://www.wikidata.org/wiki/Q3291942", "Q3291942")</f>
        <v>0</v>
      </c>
      <c r="O3274" t="s">
        <v>19989</v>
      </c>
      <c r="P3274" t="s">
        <v>20438</v>
      </c>
      <c r="Q3274" t="s">
        <v>16639</v>
      </c>
      <c r="R3274" t="s">
        <v>16475</v>
      </c>
      <c r="S3274">
        <v>1228</v>
      </c>
    </row>
    <row r="3275" spans="1:19">
      <c r="A3275" t="s">
        <v>24</v>
      </c>
      <c r="B3275" t="s">
        <v>148</v>
      </c>
      <c r="C3275" t="s">
        <v>156</v>
      </c>
      <c r="D3275" t="s">
        <v>285</v>
      </c>
      <c r="E3275" t="s">
        <v>414</v>
      </c>
      <c r="F3275">
        <f>HYPERLINK("https://www.wikidata.org/wiki/Q16683508", "Q16683508")</f>
        <v>0</v>
      </c>
      <c r="G3275" t="s">
        <v>2220</v>
      </c>
      <c r="H3275" t="s">
        <v>6829</v>
      </c>
      <c r="I3275" t="s">
        <v>6495</v>
      </c>
      <c r="J3275" t="s">
        <v>12881</v>
      </c>
      <c r="K3275" t="s">
        <v>17293</v>
      </c>
      <c r="L3275">
        <f>HYPERLINK("https://www2.assemblee-nationale.fr/sycomore/fiche/(num_dept)/4167", "4167")</f>
        <v>0</v>
      </c>
      <c r="N3275">
        <f>HYPERLINK("https://www.wikidata.org/wiki/Q3262410", "Q3262410")</f>
        <v>0</v>
      </c>
      <c r="O3275" t="s">
        <v>19961</v>
      </c>
      <c r="P3275" t="s">
        <v>20404</v>
      </c>
      <c r="Q3275" t="s">
        <v>16639</v>
      </c>
      <c r="R3275" t="s">
        <v>414</v>
      </c>
      <c r="S3275">
        <v>1491</v>
      </c>
    </row>
    <row r="3276" spans="1:19">
      <c r="A3276" t="s">
        <v>24</v>
      </c>
      <c r="B3276" t="s">
        <v>148</v>
      </c>
      <c r="C3276" t="s">
        <v>156</v>
      </c>
      <c r="D3276" t="s">
        <v>285</v>
      </c>
      <c r="E3276" t="s">
        <v>414</v>
      </c>
      <c r="F3276">
        <f>HYPERLINK("https://www.wikidata.org/wiki/Q16683508", "Q16683508")</f>
        <v>0</v>
      </c>
      <c r="G3276" t="s">
        <v>1960</v>
      </c>
      <c r="H3276" t="s">
        <v>6601</v>
      </c>
      <c r="I3276" t="s">
        <v>6713</v>
      </c>
      <c r="J3276" t="s">
        <v>12643</v>
      </c>
      <c r="K3276" t="s">
        <v>17053</v>
      </c>
      <c r="L3276">
        <f>HYPERLINK("https://www2.assemblee-nationale.fr/sycomore/fiche/(num_dept)/4175", "4175")</f>
        <v>0</v>
      </c>
      <c r="N3276">
        <f>HYPERLINK("https://www.wikidata.org/wiki/Q3121895", "Q3121895")</f>
        <v>0</v>
      </c>
      <c r="O3276" t="s">
        <v>19998</v>
      </c>
      <c r="P3276" t="s">
        <v>20434</v>
      </c>
      <c r="Q3276" t="s">
        <v>16639</v>
      </c>
      <c r="R3276" t="s">
        <v>414</v>
      </c>
      <c r="S3276">
        <v>1491</v>
      </c>
    </row>
    <row r="3277" spans="1:19">
      <c r="A3277" t="s">
        <v>24</v>
      </c>
      <c r="B3277" t="s">
        <v>148</v>
      </c>
      <c r="C3277" t="s">
        <v>156</v>
      </c>
      <c r="D3277" t="s">
        <v>285</v>
      </c>
      <c r="E3277" t="s">
        <v>414</v>
      </c>
      <c r="F3277">
        <f>HYPERLINK("https://www.wikidata.org/wiki/Q16683508", "Q16683508")</f>
        <v>0</v>
      </c>
      <c r="G3277" t="s">
        <v>700</v>
      </c>
      <c r="H3277" t="s">
        <v>5458</v>
      </c>
      <c r="I3277" t="s">
        <v>9486</v>
      </c>
      <c r="J3277" t="s">
        <v>11450</v>
      </c>
      <c r="K3277" t="s">
        <v>15851</v>
      </c>
      <c r="L3277">
        <f>HYPERLINK("https://www2.assemblee-nationale.fr/sycomore/fiche/(num_dept)/4177", "4177")</f>
        <v>0</v>
      </c>
      <c r="N3277">
        <f>HYPERLINK("https://www.wikidata.org/wiki/Q3132286", "Q3132286")</f>
        <v>0</v>
      </c>
      <c r="O3277" t="s">
        <v>20023</v>
      </c>
      <c r="P3277" t="s">
        <v>20420</v>
      </c>
      <c r="Q3277" t="s">
        <v>16639</v>
      </c>
      <c r="R3277" t="s">
        <v>414</v>
      </c>
      <c r="S3277">
        <v>1491</v>
      </c>
    </row>
    <row r="3278" spans="1:19">
      <c r="A3278" t="s">
        <v>24</v>
      </c>
      <c r="B3278" t="s">
        <v>148</v>
      </c>
      <c r="C3278" t="s">
        <v>156</v>
      </c>
      <c r="D3278" t="s">
        <v>285</v>
      </c>
      <c r="E3278" t="s">
        <v>414</v>
      </c>
      <c r="F3278">
        <f>HYPERLINK("https://www.wikidata.org/wiki/Q16683508", "Q16683508")</f>
        <v>0</v>
      </c>
      <c r="G3278" t="s">
        <v>2097</v>
      </c>
      <c r="H3278" t="s">
        <v>6721</v>
      </c>
      <c r="I3278" t="s">
        <v>7911</v>
      </c>
      <c r="J3278" t="s">
        <v>12766</v>
      </c>
      <c r="K3278" t="s">
        <v>17179</v>
      </c>
      <c r="L3278">
        <f>HYPERLINK("https://www2.assemblee-nationale.fr/sycomore/fiche/(num_dept)/4247", "4247")</f>
        <v>0</v>
      </c>
      <c r="N3278">
        <f>HYPERLINK("https://www.wikidata.org/wiki/Q3093813", "Q3093813")</f>
        <v>0</v>
      </c>
      <c r="O3278" t="s">
        <v>19987</v>
      </c>
      <c r="P3278" t="s">
        <v>20436</v>
      </c>
      <c r="Q3278" t="s">
        <v>16639</v>
      </c>
      <c r="R3278" t="s">
        <v>414</v>
      </c>
      <c r="S3278">
        <v>1491</v>
      </c>
    </row>
    <row r="3279" spans="1:19">
      <c r="A3279" t="s">
        <v>24</v>
      </c>
      <c r="B3279" t="s">
        <v>148</v>
      </c>
      <c r="C3279" t="s">
        <v>156</v>
      </c>
      <c r="D3279" t="s">
        <v>285</v>
      </c>
      <c r="E3279" t="s">
        <v>414</v>
      </c>
      <c r="F3279">
        <f>HYPERLINK("https://www.wikidata.org/wiki/Q16683508", "Q16683508")</f>
        <v>0</v>
      </c>
      <c r="G3279" t="s">
        <v>1268</v>
      </c>
      <c r="H3279" t="s">
        <v>5992</v>
      </c>
      <c r="I3279" t="s">
        <v>9730</v>
      </c>
      <c r="J3279" t="s">
        <v>11998</v>
      </c>
      <c r="K3279" t="s">
        <v>16401</v>
      </c>
      <c r="L3279">
        <f>HYPERLINK("https://www2.assemblee-nationale.fr/sycomore/fiche/(num_dept)/4259", "4259")</f>
        <v>0</v>
      </c>
      <c r="N3279">
        <f>HYPERLINK("https://www.wikidata.org/wiki/Q3057034", "Q3057034")</f>
        <v>0</v>
      </c>
      <c r="O3279" t="s">
        <v>19981</v>
      </c>
      <c r="P3279" t="s">
        <v>20436</v>
      </c>
      <c r="Q3279" t="s">
        <v>16639</v>
      </c>
      <c r="R3279" t="s">
        <v>414</v>
      </c>
      <c r="S3279">
        <v>1491</v>
      </c>
    </row>
    <row r="3280" spans="1:19">
      <c r="A3280" t="s">
        <v>24</v>
      </c>
      <c r="B3280" t="s">
        <v>148</v>
      </c>
      <c r="C3280" t="s">
        <v>156</v>
      </c>
      <c r="D3280" t="s">
        <v>285</v>
      </c>
      <c r="E3280" t="s">
        <v>414</v>
      </c>
      <c r="F3280">
        <f>HYPERLINK("https://www.wikidata.org/wiki/Q16683508", "Q16683508")</f>
        <v>0</v>
      </c>
      <c r="G3280" t="s">
        <v>705</v>
      </c>
      <c r="H3280" t="s">
        <v>5463</v>
      </c>
      <c r="I3280" t="s">
        <v>9489</v>
      </c>
      <c r="J3280" t="s">
        <v>11455</v>
      </c>
      <c r="K3280" t="s">
        <v>15856</v>
      </c>
      <c r="L3280">
        <f>HYPERLINK("https://www2.assemblee-nationale.fr/sycomore/fiche/(num_dept)/4271", "4271")</f>
        <v>0</v>
      </c>
      <c r="N3280">
        <f>HYPERLINK("https://www.wikidata.org/wiki/Q3185196", "Q3185196")</f>
        <v>0</v>
      </c>
      <c r="O3280" t="s">
        <v>20035</v>
      </c>
      <c r="P3280" t="s">
        <v>20436</v>
      </c>
      <c r="Q3280" t="s">
        <v>16639</v>
      </c>
      <c r="R3280" t="s">
        <v>414</v>
      </c>
      <c r="S3280">
        <v>1491</v>
      </c>
    </row>
    <row r="3281" spans="1:19">
      <c r="A3281" t="s">
        <v>24</v>
      </c>
      <c r="B3281" t="s">
        <v>148</v>
      </c>
      <c r="C3281" t="s">
        <v>156</v>
      </c>
      <c r="D3281" t="s">
        <v>285</v>
      </c>
      <c r="E3281" t="s">
        <v>414</v>
      </c>
      <c r="F3281">
        <f>HYPERLINK("https://www.wikidata.org/wiki/Q16683508", "Q16683508")</f>
        <v>0</v>
      </c>
      <c r="G3281" t="s">
        <v>1832</v>
      </c>
      <c r="H3281" t="s">
        <v>6494</v>
      </c>
      <c r="I3281" t="s">
        <v>6759</v>
      </c>
      <c r="J3281" t="s">
        <v>12526</v>
      </c>
      <c r="K3281" t="s">
        <v>16936</v>
      </c>
      <c r="L3281">
        <f>HYPERLINK("https://www2.assemblee-nationale.fr/sycomore/fiche/(num_dept)/4380", "4380")</f>
        <v>0</v>
      </c>
      <c r="N3281">
        <f>HYPERLINK("https://www.wikidata.org/wiki/Q3435667", "Q3435667")</f>
        <v>0</v>
      </c>
      <c r="O3281" t="s">
        <v>19995</v>
      </c>
      <c r="P3281" t="s">
        <v>20428</v>
      </c>
      <c r="Q3281" t="s">
        <v>16639</v>
      </c>
      <c r="R3281" t="s">
        <v>414</v>
      </c>
      <c r="S3281">
        <v>1491</v>
      </c>
    </row>
    <row r="3282" spans="1:19">
      <c r="A3282" t="s">
        <v>24</v>
      </c>
      <c r="B3282" t="s">
        <v>148</v>
      </c>
      <c r="C3282" t="s">
        <v>156</v>
      </c>
      <c r="D3282" t="s">
        <v>285</v>
      </c>
      <c r="E3282" t="s">
        <v>414</v>
      </c>
      <c r="F3282">
        <f>HYPERLINK("https://www.wikidata.org/wiki/Q16683508", "Q16683508")</f>
        <v>0</v>
      </c>
      <c r="G3282" t="s">
        <v>1513</v>
      </c>
      <c r="H3282" t="s">
        <v>6209</v>
      </c>
      <c r="I3282" t="s">
        <v>9385</v>
      </c>
      <c r="J3282" t="s">
        <v>12230</v>
      </c>
      <c r="K3282" t="s">
        <v>16636</v>
      </c>
      <c r="L3282">
        <f>HYPERLINK("https://www2.assemblee-nationale.fr/sycomore/fiche/(num_dept)/4386", "4386")</f>
        <v>0</v>
      </c>
      <c r="N3282">
        <f>HYPERLINK("https://www.wikidata.org/wiki/Q2960618", "Q2960618")</f>
        <v>0</v>
      </c>
      <c r="O3282" t="s">
        <v>19969</v>
      </c>
      <c r="P3282" t="s">
        <v>20414</v>
      </c>
      <c r="Q3282" t="s">
        <v>16639</v>
      </c>
      <c r="R3282" t="s">
        <v>414</v>
      </c>
      <c r="S3282">
        <v>1491</v>
      </c>
    </row>
    <row r="3283" spans="1:19">
      <c r="A3283" t="s">
        <v>24</v>
      </c>
      <c r="B3283" t="s">
        <v>148</v>
      </c>
      <c r="C3283" t="s">
        <v>156</v>
      </c>
      <c r="D3283" t="s">
        <v>285</v>
      </c>
      <c r="E3283" t="s">
        <v>414</v>
      </c>
      <c r="F3283">
        <f>HYPERLINK("https://www.wikidata.org/wiki/Q16683508", "Q16683508")</f>
        <v>0</v>
      </c>
      <c r="G3283" t="s">
        <v>2252</v>
      </c>
      <c r="H3283" t="s">
        <v>6857</v>
      </c>
      <c r="I3283" t="s">
        <v>9388</v>
      </c>
      <c r="J3283" t="s">
        <v>12652</v>
      </c>
      <c r="K3283" t="s">
        <v>17322</v>
      </c>
      <c r="L3283">
        <f>HYPERLINK("https://www2.assemblee-nationale.fr/sycomore/fiche/(num_dept)/4820", "4820")</f>
        <v>0</v>
      </c>
      <c r="N3283">
        <f>HYPERLINK("https://www.wikidata.org/wiki/Q3371708", "Q3371708")</f>
        <v>0</v>
      </c>
      <c r="O3283" t="s">
        <v>19961</v>
      </c>
      <c r="P3283" t="s">
        <v>20428</v>
      </c>
      <c r="Q3283" t="s">
        <v>16639</v>
      </c>
      <c r="R3283" t="s">
        <v>414</v>
      </c>
      <c r="S3283">
        <v>1491</v>
      </c>
    </row>
    <row r="3284" spans="1:19">
      <c r="A3284" t="s">
        <v>24</v>
      </c>
      <c r="B3284" t="s">
        <v>148</v>
      </c>
      <c r="C3284" t="s">
        <v>156</v>
      </c>
      <c r="D3284" t="s">
        <v>285</v>
      </c>
      <c r="E3284" t="s">
        <v>414</v>
      </c>
      <c r="F3284">
        <f>HYPERLINK("https://www.wikidata.org/wiki/Q16683508", "Q16683508")</f>
        <v>0</v>
      </c>
      <c r="G3284" t="s">
        <v>2225</v>
      </c>
      <c r="H3284" t="s">
        <v>6834</v>
      </c>
      <c r="I3284" t="s">
        <v>6495</v>
      </c>
      <c r="J3284" t="s">
        <v>12886</v>
      </c>
      <c r="K3284" t="s">
        <v>17298</v>
      </c>
      <c r="L3284">
        <f>HYPERLINK("https://www2.assemblee-nationale.fr/sycomore/fiche/(num_dept)/4826", "4826")</f>
        <v>0</v>
      </c>
      <c r="M3284">
        <f>HYPERLINK("https://www.senat.fr/senateur-3eme-republique/louis_dreyfus_louis0119r3.html", "louis_dreyfus_louis0119r3")</f>
        <v>0</v>
      </c>
      <c r="N3284">
        <f>HYPERLINK("https://www.wikidata.org/wiki/Q3262554", "Q3262554")</f>
        <v>0</v>
      </c>
      <c r="O3284" t="s">
        <v>20024</v>
      </c>
      <c r="P3284" t="s">
        <v>20431</v>
      </c>
      <c r="Q3284" t="s">
        <v>16639</v>
      </c>
      <c r="R3284" t="s">
        <v>414</v>
      </c>
      <c r="S3284">
        <v>1491</v>
      </c>
    </row>
    <row r="3285" spans="1:19">
      <c r="A3285" t="s">
        <v>24</v>
      </c>
      <c r="B3285" t="s">
        <v>148</v>
      </c>
      <c r="C3285" t="s">
        <v>156</v>
      </c>
      <c r="D3285" t="s">
        <v>285</v>
      </c>
      <c r="E3285" t="s">
        <v>414</v>
      </c>
      <c r="F3285">
        <f>HYPERLINK("https://www.wikidata.org/wiki/Q16683508", "Q16683508")</f>
        <v>0</v>
      </c>
      <c r="G3285" t="s">
        <v>1961</v>
      </c>
      <c r="H3285" t="s">
        <v>6602</v>
      </c>
      <c r="I3285" t="s">
        <v>10018</v>
      </c>
      <c r="J3285" t="s">
        <v>12644</v>
      </c>
      <c r="K3285" t="s">
        <v>17054</v>
      </c>
      <c r="L3285">
        <f>HYPERLINK("https://www2.assemblee-nationale.fr/sycomore/fiche/(num_dept)/4869", "4869")</f>
        <v>0</v>
      </c>
      <c r="N3285">
        <f>HYPERLINK("https://www.wikidata.org/wiki/Q2979749", "Q2979749")</f>
        <v>0</v>
      </c>
      <c r="O3285" t="s">
        <v>20021</v>
      </c>
      <c r="P3285" t="s">
        <v>20414</v>
      </c>
      <c r="Q3285" t="s">
        <v>16639</v>
      </c>
      <c r="R3285" t="s">
        <v>414</v>
      </c>
      <c r="S3285">
        <v>1491</v>
      </c>
    </row>
    <row r="3286" spans="1:19">
      <c r="A3286" t="s">
        <v>24</v>
      </c>
      <c r="B3286" t="s">
        <v>148</v>
      </c>
      <c r="C3286" t="s">
        <v>156</v>
      </c>
      <c r="D3286" t="s">
        <v>285</v>
      </c>
      <c r="E3286" t="s">
        <v>414</v>
      </c>
      <c r="F3286">
        <f>HYPERLINK("https://www.wikidata.org/wiki/Q16683508", "Q16683508")</f>
        <v>0</v>
      </c>
      <c r="G3286" t="s">
        <v>1921</v>
      </c>
      <c r="H3286" t="s">
        <v>6568</v>
      </c>
      <c r="I3286" t="s">
        <v>6585</v>
      </c>
      <c r="J3286" t="s">
        <v>12606</v>
      </c>
      <c r="K3286" t="s">
        <v>17018</v>
      </c>
      <c r="L3286">
        <f>HYPERLINK("https://www2.assemblee-nationale.fr/sycomore/fiche/(num_dept)/4931", "4931")</f>
        <v>0</v>
      </c>
      <c r="M3286">
        <f>HYPERLINK("https://www.senat.fr/senateur-3eme-republique/mallarme_andre0841r3.html", "mallarme_andre0841r3")</f>
        <v>0</v>
      </c>
      <c r="N3286">
        <f>HYPERLINK("https://www.wikidata.org/wiki/Q2511312", "Q2511312")</f>
        <v>0</v>
      </c>
      <c r="O3286" t="s">
        <v>20000</v>
      </c>
      <c r="P3286" t="s">
        <v>20401</v>
      </c>
      <c r="Q3286" t="s">
        <v>16639</v>
      </c>
      <c r="R3286" t="s">
        <v>414</v>
      </c>
      <c r="S3286">
        <v>1491</v>
      </c>
    </row>
    <row r="3287" spans="1:19">
      <c r="A3287" t="s">
        <v>24</v>
      </c>
      <c r="B3287" t="s">
        <v>148</v>
      </c>
      <c r="C3287" t="s">
        <v>156</v>
      </c>
      <c r="D3287" t="s">
        <v>285</v>
      </c>
      <c r="E3287" t="s">
        <v>414</v>
      </c>
      <c r="F3287">
        <f>HYPERLINK("https://www.wikidata.org/wiki/Q16683508", "Q16683508")</f>
        <v>0</v>
      </c>
      <c r="G3287" t="s">
        <v>721</v>
      </c>
      <c r="H3287" t="s">
        <v>5479</v>
      </c>
      <c r="I3287" t="s">
        <v>6495</v>
      </c>
      <c r="J3287" t="s">
        <v>11470</v>
      </c>
      <c r="K3287" t="s">
        <v>15872</v>
      </c>
      <c r="L3287">
        <f>HYPERLINK("https://www2.assemblee-nationale.fr/sycomore/fiche/(num_dept)/4940", "4940")</f>
        <v>0</v>
      </c>
      <c r="N3287">
        <f>HYPERLINK("https://www.wikidata.org/wiki/Q3262600", "Q3262600")</f>
        <v>0</v>
      </c>
      <c r="O3287" t="s">
        <v>19974</v>
      </c>
      <c r="P3287" t="s">
        <v>20428</v>
      </c>
      <c r="Q3287" t="s">
        <v>16639</v>
      </c>
      <c r="R3287" t="s">
        <v>414</v>
      </c>
      <c r="S3287">
        <v>1491</v>
      </c>
    </row>
    <row r="3288" spans="1:19">
      <c r="A3288" t="s">
        <v>24</v>
      </c>
      <c r="B3288" t="s">
        <v>148</v>
      </c>
      <c r="C3288" t="s">
        <v>156</v>
      </c>
      <c r="D3288" t="s">
        <v>285</v>
      </c>
      <c r="E3288" t="s">
        <v>414</v>
      </c>
      <c r="F3288">
        <f>HYPERLINK("https://www.wikidata.org/wiki/Q16683508", "Q16683508")</f>
        <v>0</v>
      </c>
      <c r="G3288" t="s">
        <v>1925</v>
      </c>
      <c r="H3288" t="s">
        <v>6572</v>
      </c>
      <c r="I3288" t="s">
        <v>9388</v>
      </c>
      <c r="J3288" t="s">
        <v>12610</v>
      </c>
      <c r="K3288" t="s">
        <v>17021</v>
      </c>
      <c r="L3288">
        <f>HYPERLINK("https://www2.assemblee-nationale.fr/sycomore/fiche/(num_dept)/4976", "4976")</f>
        <v>0</v>
      </c>
      <c r="N3288">
        <f>HYPERLINK("https://www.wikidata.org/wiki/Q3371769", "Q3371769")</f>
        <v>0</v>
      </c>
      <c r="O3288" t="s">
        <v>20025</v>
      </c>
      <c r="P3288" t="s">
        <v>20428</v>
      </c>
      <c r="Q3288" t="s">
        <v>16639</v>
      </c>
      <c r="R3288" t="s">
        <v>414</v>
      </c>
      <c r="S3288">
        <v>1491</v>
      </c>
    </row>
    <row r="3289" spans="1:19">
      <c r="A3289" t="s">
        <v>24</v>
      </c>
      <c r="B3289" t="s">
        <v>148</v>
      </c>
      <c r="C3289" t="s">
        <v>156</v>
      </c>
      <c r="D3289" t="s">
        <v>285</v>
      </c>
      <c r="E3289" t="s">
        <v>414</v>
      </c>
      <c r="F3289">
        <f>HYPERLINK("https://www.wikidata.org/wiki/Q16683508", "Q16683508")</f>
        <v>0</v>
      </c>
      <c r="G3289" t="s">
        <v>2108</v>
      </c>
      <c r="H3289" t="s">
        <v>6731</v>
      </c>
      <c r="I3289" t="s">
        <v>6585</v>
      </c>
      <c r="J3289" t="s">
        <v>12773</v>
      </c>
      <c r="K3289" t="s">
        <v>17190</v>
      </c>
      <c r="L3289">
        <f>HYPERLINK("https://www2.assemblee-nationale.fr/sycomore/fiche/(num_dept)/4997", "4997")</f>
        <v>0</v>
      </c>
      <c r="N3289">
        <f>HYPERLINK("https://www.wikidata.org/wiki/Q440565", "Q440565")</f>
        <v>0</v>
      </c>
      <c r="O3289" t="s">
        <v>19978</v>
      </c>
      <c r="P3289" t="s">
        <v>20428</v>
      </c>
      <c r="Q3289" t="s">
        <v>16639</v>
      </c>
      <c r="R3289" t="s">
        <v>414</v>
      </c>
      <c r="S3289">
        <v>1491</v>
      </c>
    </row>
    <row r="3290" spans="1:19">
      <c r="A3290" t="s">
        <v>24</v>
      </c>
      <c r="B3290" t="s">
        <v>148</v>
      </c>
      <c r="C3290" t="s">
        <v>156</v>
      </c>
      <c r="D3290" t="s">
        <v>285</v>
      </c>
      <c r="E3290" t="s">
        <v>414</v>
      </c>
      <c r="F3290">
        <f>HYPERLINK("https://www.wikidata.org/wiki/Q16683508", "Q16683508")</f>
        <v>0</v>
      </c>
      <c r="G3290" t="s">
        <v>724</v>
      </c>
      <c r="H3290" t="s">
        <v>5482</v>
      </c>
      <c r="I3290" t="s">
        <v>6495</v>
      </c>
      <c r="J3290" t="s">
        <v>11473</v>
      </c>
      <c r="K3290" t="s">
        <v>15875</v>
      </c>
      <c r="L3290">
        <f>HYPERLINK("https://www2.assemblee-nationale.fr/sycomore/fiche/(num_dept)/5001", "5001")</f>
        <v>0</v>
      </c>
      <c r="N3290">
        <f>HYPERLINK("https://www.wikidata.org/wiki/Q1229977", "Q1229977")</f>
        <v>0</v>
      </c>
      <c r="O3290" t="s">
        <v>20007</v>
      </c>
      <c r="P3290" t="s">
        <v>20414</v>
      </c>
      <c r="Q3290" t="s">
        <v>16639</v>
      </c>
      <c r="R3290" t="s">
        <v>414</v>
      </c>
      <c r="S3290">
        <v>1491</v>
      </c>
    </row>
    <row r="3291" spans="1:19">
      <c r="A3291" t="s">
        <v>24</v>
      </c>
      <c r="B3291" t="s">
        <v>148</v>
      </c>
      <c r="C3291" t="s">
        <v>156</v>
      </c>
      <c r="D3291" t="s">
        <v>285</v>
      </c>
      <c r="E3291" t="s">
        <v>414</v>
      </c>
      <c r="F3291">
        <f>HYPERLINK("https://www.wikidata.org/wiki/Q16683508", "Q16683508")</f>
        <v>0</v>
      </c>
      <c r="G3291" t="s">
        <v>1839</v>
      </c>
      <c r="H3291" t="s">
        <v>5749</v>
      </c>
      <c r="I3291" t="s">
        <v>9445</v>
      </c>
      <c r="J3291" t="s">
        <v>12531</v>
      </c>
      <c r="K3291" t="s">
        <v>16943</v>
      </c>
      <c r="L3291">
        <f>HYPERLINK("https://www2.assemblee-nationale.fr/sycomore/fiche/(num_dept)/5018", "5018")</f>
        <v>0</v>
      </c>
      <c r="N3291">
        <f>HYPERLINK("https://www.wikidata.org/wiki/Q2825221", "Q2825221")</f>
        <v>0</v>
      </c>
      <c r="O3291" t="s">
        <v>19987</v>
      </c>
      <c r="P3291" t="s">
        <v>20436</v>
      </c>
      <c r="Q3291" t="s">
        <v>16639</v>
      </c>
      <c r="R3291" t="s">
        <v>414</v>
      </c>
      <c r="S3291">
        <v>1491</v>
      </c>
    </row>
    <row r="3292" spans="1:19">
      <c r="A3292" t="s">
        <v>24</v>
      </c>
      <c r="B3292" t="s">
        <v>148</v>
      </c>
      <c r="C3292" t="s">
        <v>156</v>
      </c>
      <c r="D3292" t="s">
        <v>285</v>
      </c>
      <c r="E3292" t="s">
        <v>414</v>
      </c>
      <c r="F3292">
        <f>HYPERLINK("https://www.wikidata.org/wiki/Q16683508", "Q16683508")</f>
        <v>0</v>
      </c>
      <c r="G3292" t="s">
        <v>2114</v>
      </c>
      <c r="H3292" t="s">
        <v>6735</v>
      </c>
      <c r="I3292" t="s">
        <v>10087</v>
      </c>
      <c r="J3292" t="s">
        <v>12779</v>
      </c>
      <c r="K3292" t="s">
        <v>17195</v>
      </c>
      <c r="L3292">
        <f>HYPERLINK("https://www2.assemblee-nationale.fr/sycomore/fiche/(num_dept)/5079", "5079")</f>
        <v>0</v>
      </c>
      <c r="N3292">
        <f>HYPERLINK("https://www.wikidata.org/wiki/Q16026062", "Q16026062")</f>
        <v>0</v>
      </c>
      <c r="O3292" t="s">
        <v>19965</v>
      </c>
      <c r="P3292" t="s">
        <v>20428</v>
      </c>
      <c r="Q3292" t="s">
        <v>16639</v>
      </c>
      <c r="R3292" t="s">
        <v>414</v>
      </c>
      <c r="S3292">
        <v>1491</v>
      </c>
    </row>
    <row r="3293" spans="1:19">
      <c r="A3293" t="s">
        <v>24</v>
      </c>
      <c r="B3293" t="s">
        <v>148</v>
      </c>
      <c r="C3293" t="s">
        <v>156</v>
      </c>
      <c r="D3293" t="s">
        <v>285</v>
      </c>
      <c r="E3293" t="s">
        <v>414</v>
      </c>
      <c r="F3293">
        <f>HYPERLINK("https://www.wikidata.org/wiki/Q16683508", "Q16683508")</f>
        <v>0</v>
      </c>
      <c r="G3293" t="s">
        <v>1845</v>
      </c>
      <c r="H3293" t="s">
        <v>6504</v>
      </c>
      <c r="I3293" t="s">
        <v>9457</v>
      </c>
      <c r="J3293" t="s">
        <v>12536</v>
      </c>
      <c r="K3293" t="s">
        <v>16948</v>
      </c>
      <c r="L3293">
        <f>HYPERLINK("https://www2.assemblee-nationale.fr/sycomore/fiche/(num_dept)/5122", "5122")</f>
        <v>0</v>
      </c>
      <c r="M3293">
        <f>HYPERLINK("https://www.senat.fr/senateur-3eme-republique/maupoil_henri0356r4.html", "maupoil_henri0356r4")</f>
        <v>0</v>
      </c>
      <c r="N3293">
        <f>HYPERLINK("https://www.wikidata.org/wiki/Q3131615", "Q3131615")</f>
        <v>0</v>
      </c>
      <c r="O3293" t="s">
        <v>19994</v>
      </c>
      <c r="P3293" t="s">
        <v>20428</v>
      </c>
      <c r="Q3293" t="s">
        <v>16639</v>
      </c>
      <c r="R3293" t="s">
        <v>414</v>
      </c>
      <c r="S3293">
        <v>1491</v>
      </c>
    </row>
    <row r="3294" spans="1:19">
      <c r="A3294" t="s">
        <v>24</v>
      </c>
      <c r="B3294" t="s">
        <v>148</v>
      </c>
      <c r="C3294" t="s">
        <v>156</v>
      </c>
      <c r="D3294" t="s">
        <v>285</v>
      </c>
      <c r="E3294" t="s">
        <v>414</v>
      </c>
      <c r="F3294">
        <f>HYPERLINK("https://www.wikidata.org/wiki/Q16683508", "Q16683508")</f>
        <v>0</v>
      </c>
      <c r="G3294" t="s">
        <v>2116</v>
      </c>
      <c r="H3294" t="s">
        <v>6737</v>
      </c>
      <c r="I3294" t="s">
        <v>9457</v>
      </c>
      <c r="J3294" t="s">
        <v>12780</v>
      </c>
      <c r="K3294" t="s">
        <v>17197</v>
      </c>
      <c r="L3294">
        <f>HYPERLINK("https://www2.assemblee-nationale.fr/sycomore/fiche/(num_dept)/5154", "5154")</f>
        <v>0</v>
      </c>
      <c r="N3294">
        <f>HYPERLINK("https://www.wikidata.org/wiki/Q3131626", "Q3131626")</f>
        <v>0</v>
      </c>
      <c r="O3294" t="s">
        <v>20048</v>
      </c>
      <c r="P3294" t="s">
        <v>20441</v>
      </c>
      <c r="Q3294" t="s">
        <v>16639</v>
      </c>
      <c r="R3294" t="s">
        <v>414</v>
      </c>
      <c r="S3294">
        <v>1491</v>
      </c>
    </row>
    <row r="3295" spans="1:19">
      <c r="A3295" t="s">
        <v>24</v>
      </c>
      <c r="B3295" t="s">
        <v>148</v>
      </c>
      <c r="C3295" t="s">
        <v>156</v>
      </c>
      <c r="D3295" t="s">
        <v>285</v>
      </c>
      <c r="E3295" t="s">
        <v>414</v>
      </c>
      <c r="F3295">
        <f>HYPERLINK("https://www.wikidata.org/wiki/Q16683508", "Q16683508")</f>
        <v>0</v>
      </c>
      <c r="G3295" t="s">
        <v>2253</v>
      </c>
      <c r="H3295" t="s">
        <v>6858</v>
      </c>
      <c r="I3295" t="s">
        <v>6200</v>
      </c>
      <c r="J3295" t="s">
        <v>12911</v>
      </c>
      <c r="K3295" t="s">
        <v>17323</v>
      </c>
      <c r="L3295">
        <f>HYPERLINK("https://www2.assemblee-nationale.fr/sycomore/fiche/(num_dept)/5157", "5157")</f>
        <v>0</v>
      </c>
      <c r="M3295">
        <f>HYPERLINK("https://www.senat.fr/senateur-3eme-republique/medecin_jean0127r3.html", "medecin_jean0127r3")</f>
        <v>0</v>
      </c>
      <c r="N3295">
        <f>HYPERLINK("https://www.wikidata.org/wiki/Q3173654", "Q3173654")</f>
        <v>0</v>
      </c>
      <c r="O3295" t="s">
        <v>20024</v>
      </c>
      <c r="P3295" t="s">
        <v>20431</v>
      </c>
      <c r="Q3295" t="s">
        <v>16639</v>
      </c>
      <c r="R3295" t="s">
        <v>414</v>
      </c>
      <c r="S3295">
        <v>1491</v>
      </c>
    </row>
    <row r="3296" spans="1:19">
      <c r="A3296" t="s">
        <v>24</v>
      </c>
      <c r="B3296" t="s">
        <v>148</v>
      </c>
      <c r="C3296" t="s">
        <v>156</v>
      </c>
      <c r="D3296" t="s">
        <v>285</v>
      </c>
      <c r="E3296" t="s">
        <v>414</v>
      </c>
      <c r="F3296">
        <f>HYPERLINK("https://www.wikidata.org/wiki/Q16683508", "Q16683508")</f>
        <v>0</v>
      </c>
      <c r="G3296" t="s">
        <v>2254</v>
      </c>
      <c r="H3296" t="s">
        <v>6859</v>
      </c>
      <c r="I3296" t="s">
        <v>10137</v>
      </c>
      <c r="J3296" t="s">
        <v>12912</v>
      </c>
      <c r="K3296" t="s">
        <v>17324</v>
      </c>
      <c r="L3296">
        <f>HYPERLINK("https://www2.assemblee-nationale.fr/sycomore/fiche/(num_dept)/5173", "5173")</f>
        <v>0</v>
      </c>
      <c r="N3296">
        <f>HYPERLINK("https://www.wikidata.org/wiki/Q3122000", "Q3122000")</f>
        <v>0</v>
      </c>
      <c r="O3296" t="s">
        <v>19984</v>
      </c>
      <c r="P3296" t="s">
        <v>20431</v>
      </c>
      <c r="Q3296" t="s">
        <v>16639</v>
      </c>
      <c r="R3296" t="s">
        <v>414</v>
      </c>
      <c r="S3296">
        <v>1491</v>
      </c>
    </row>
    <row r="3297" spans="1:19">
      <c r="A3297" t="s">
        <v>24</v>
      </c>
      <c r="B3297" t="s">
        <v>148</v>
      </c>
      <c r="C3297" t="s">
        <v>156</v>
      </c>
      <c r="D3297" t="s">
        <v>285</v>
      </c>
      <c r="E3297" t="s">
        <v>414</v>
      </c>
      <c r="F3297">
        <f>HYPERLINK("https://www.wikidata.org/wiki/Q16683508", "Q16683508")</f>
        <v>0</v>
      </c>
      <c r="G3297" t="s">
        <v>1962</v>
      </c>
      <c r="H3297" t="s">
        <v>6603</v>
      </c>
      <c r="I3297" t="s">
        <v>6175</v>
      </c>
      <c r="J3297" t="s">
        <v>11971</v>
      </c>
      <c r="K3297" t="s">
        <v>17055</v>
      </c>
      <c r="L3297">
        <f>HYPERLINK("https://www2.assemblee-nationale.fr/sycomore/fiche/(num_dept)/5180", "5180")</f>
        <v>0</v>
      </c>
      <c r="N3297">
        <f>HYPERLINK("https://www.wikidata.org/wiki/Q3103250", "Q3103250")</f>
        <v>0</v>
      </c>
      <c r="O3297" t="s">
        <v>20031</v>
      </c>
      <c r="P3297" t="s">
        <v>20428</v>
      </c>
      <c r="Q3297" t="s">
        <v>16639</v>
      </c>
      <c r="R3297" t="s">
        <v>414</v>
      </c>
      <c r="S3297">
        <v>1491</v>
      </c>
    </row>
    <row r="3298" spans="1:19">
      <c r="A3298" t="s">
        <v>24</v>
      </c>
      <c r="B3298" t="s">
        <v>148</v>
      </c>
      <c r="C3298" t="s">
        <v>156</v>
      </c>
      <c r="D3298" t="s">
        <v>285</v>
      </c>
      <c r="E3298" t="s">
        <v>414</v>
      </c>
      <c r="F3298">
        <f>HYPERLINK("https://www.wikidata.org/wiki/Q16683508", "Q16683508")</f>
        <v>0</v>
      </c>
      <c r="G3298" t="s">
        <v>1693</v>
      </c>
      <c r="H3298" t="s">
        <v>6239</v>
      </c>
      <c r="I3298" t="s">
        <v>5528</v>
      </c>
      <c r="J3298" t="s">
        <v>12397</v>
      </c>
      <c r="K3298" t="s">
        <v>16805</v>
      </c>
      <c r="L3298">
        <f>HYPERLINK("https://www2.assemblee-nationale.fr/sycomore/fiche/(num_dept)/5241", "5241")</f>
        <v>0</v>
      </c>
      <c r="N3298">
        <f>HYPERLINK("https://www.wikidata.org/wiki/Q1879449", "Q1879449")</f>
        <v>0</v>
      </c>
      <c r="O3298" t="s">
        <v>19978</v>
      </c>
      <c r="P3298" t="s">
        <v>20428</v>
      </c>
      <c r="Q3298" t="s">
        <v>16639</v>
      </c>
      <c r="R3298" t="s">
        <v>414</v>
      </c>
      <c r="S3298">
        <v>1491</v>
      </c>
    </row>
    <row r="3299" spans="1:19">
      <c r="A3299" t="s">
        <v>24</v>
      </c>
      <c r="B3299" t="s">
        <v>148</v>
      </c>
      <c r="C3299" t="s">
        <v>156</v>
      </c>
      <c r="D3299" t="s">
        <v>285</v>
      </c>
      <c r="E3299" t="s">
        <v>414</v>
      </c>
      <c r="F3299">
        <f>HYPERLINK("https://www.wikidata.org/wiki/Q16683508", "Q16683508")</f>
        <v>0</v>
      </c>
      <c r="G3299" t="s">
        <v>2120</v>
      </c>
      <c r="H3299" t="s">
        <v>6740</v>
      </c>
      <c r="I3299" t="s">
        <v>6200</v>
      </c>
      <c r="J3299" t="s">
        <v>12784</v>
      </c>
      <c r="K3299" t="s">
        <v>17200</v>
      </c>
      <c r="L3299">
        <f>HYPERLINK("https://www2.assemblee-nationale.fr/sycomore/fiche/(num_dept)/5310", "5310")</f>
        <v>0</v>
      </c>
      <c r="N3299">
        <f>HYPERLINK("https://www.wikidata.org/wiki/Q845559", "Q845559")</f>
        <v>0</v>
      </c>
      <c r="O3299" t="s">
        <v>19960</v>
      </c>
      <c r="P3299" t="s">
        <v>20428</v>
      </c>
      <c r="Q3299" t="s">
        <v>16639</v>
      </c>
      <c r="R3299" t="s">
        <v>414</v>
      </c>
      <c r="S3299">
        <v>1491</v>
      </c>
    </row>
    <row r="3300" spans="1:19">
      <c r="A3300" t="s">
        <v>24</v>
      </c>
      <c r="B3300" t="s">
        <v>148</v>
      </c>
      <c r="C3300" t="s">
        <v>156</v>
      </c>
      <c r="D3300" t="s">
        <v>285</v>
      </c>
      <c r="E3300" t="s">
        <v>414</v>
      </c>
      <c r="F3300">
        <f>HYPERLINK("https://www.wikidata.org/wiki/Q16683508", "Q16683508")</f>
        <v>0</v>
      </c>
      <c r="G3300" t="s">
        <v>1006</v>
      </c>
      <c r="H3300" t="s">
        <v>5757</v>
      </c>
      <c r="I3300" t="s">
        <v>9388</v>
      </c>
      <c r="J3300" t="s">
        <v>11743</v>
      </c>
      <c r="K3300" t="s">
        <v>16147</v>
      </c>
      <c r="L3300">
        <f>HYPERLINK("https://www2.assemblee-nationale.fr/sycomore/fiche/(num_dept)/5311", "5311")</f>
        <v>0</v>
      </c>
      <c r="N3300">
        <f>HYPERLINK("https://www.wikidata.org/wiki/Q3371849", "Q3371849")</f>
        <v>0</v>
      </c>
      <c r="O3300" t="s">
        <v>20006</v>
      </c>
      <c r="P3300" t="s">
        <v>20404</v>
      </c>
      <c r="Q3300" t="s">
        <v>16639</v>
      </c>
      <c r="R3300" t="s">
        <v>16147</v>
      </c>
      <c r="S3300">
        <v>108</v>
      </c>
    </row>
    <row r="3301" spans="1:19">
      <c r="A3301" t="s">
        <v>24</v>
      </c>
      <c r="B3301" t="s">
        <v>148</v>
      </c>
      <c r="C3301" t="s">
        <v>156</v>
      </c>
      <c r="D3301" t="s">
        <v>285</v>
      </c>
      <c r="E3301" t="s">
        <v>414</v>
      </c>
      <c r="F3301">
        <f>HYPERLINK("https://www.wikidata.org/wiki/Q16683508", "Q16683508")</f>
        <v>0</v>
      </c>
      <c r="G3301" t="s">
        <v>2205</v>
      </c>
      <c r="H3301" t="s">
        <v>6815</v>
      </c>
      <c r="I3301" t="s">
        <v>9449</v>
      </c>
      <c r="J3301" t="s">
        <v>12866</v>
      </c>
      <c r="K3301" t="s">
        <v>17279</v>
      </c>
      <c r="L3301">
        <f>HYPERLINK("https://www2.assemblee-nationale.fr/sycomore/fiche/(num_dept)/5314", "5314")</f>
        <v>0</v>
      </c>
      <c r="N3301">
        <f>HYPERLINK("https://www.wikidata.org/wiki/Q3188792", "Q3188792")</f>
        <v>0</v>
      </c>
      <c r="O3301" t="s">
        <v>19971</v>
      </c>
      <c r="P3301" t="s">
        <v>20428</v>
      </c>
      <c r="Q3301" t="s">
        <v>16639</v>
      </c>
      <c r="R3301" t="s">
        <v>414</v>
      </c>
      <c r="S3301">
        <v>1491</v>
      </c>
    </row>
    <row r="3302" spans="1:19">
      <c r="A3302" t="s">
        <v>24</v>
      </c>
      <c r="B3302" t="s">
        <v>148</v>
      </c>
      <c r="C3302" t="s">
        <v>156</v>
      </c>
      <c r="D3302" t="s">
        <v>285</v>
      </c>
      <c r="E3302" t="s">
        <v>414</v>
      </c>
      <c r="F3302">
        <f>HYPERLINK("https://www.wikidata.org/wiki/Q16683508", "Q16683508")</f>
        <v>0</v>
      </c>
      <c r="G3302" t="s">
        <v>2121</v>
      </c>
      <c r="H3302" t="s">
        <v>6741</v>
      </c>
      <c r="I3302" t="s">
        <v>9449</v>
      </c>
      <c r="J3302" t="s">
        <v>12785</v>
      </c>
      <c r="K3302" t="s">
        <v>17201</v>
      </c>
      <c r="L3302">
        <f>HYPERLINK("https://www2.assemblee-nationale.fr/sycomore/fiche/(num_dept)/5316", "5316")</f>
        <v>0</v>
      </c>
      <c r="N3302">
        <f>HYPERLINK("https://www.wikidata.org/wiki/Q2564543", "Q2564543")</f>
        <v>0</v>
      </c>
      <c r="O3302" t="s">
        <v>20044</v>
      </c>
      <c r="P3302" t="s">
        <v>20404</v>
      </c>
      <c r="Q3302" t="s">
        <v>16639</v>
      </c>
      <c r="R3302" t="s">
        <v>414</v>
      </c>
      <c r="S3302">
        <v>1491</v>
      </c>
    </row>
    <row r="3303" spans="1:19">
      <c r="A3303" t="s">
        <v>24</v>
      </c>
      <c r="B3303" t="s">
        <v>148</v>
      </c>
      <c r="C3303" t="s">
        <v>156</v>
      </c>
      <c r="D3303" t="s">
        <v>285</v>
      </c>
      <c r="E3303" t="s">
        <v>414</v>
      </c>
      <c r="F3303">
        <f>HYPERLINK("https://www.wikidata.org/wiki/Q16683508", "Q16683508")</f>
        <v>0</v>
      </c>
      <c r="G3303" t="s">
        <v>1549</v>
      </c>
      <c r="H3303" t="s">
        <v>6241</v>
      </c>
      <c r="I3303" t="s">
        <v>6200</v>
      </c>
      <c r="J3303" t="s">
        <v>12264</v>
      </c>
      <c r="K3303" t="s">
        <v>16671</v>
      </c>
      <c r="L3303">
        <f>HYPERLINK("https://www2.assemblee-nationale.fr/sycomore/fiche/(num_dept)/5329", "5329")</f>
        <v>0</v>
      </c>
      <c r="N3303">
        <f>HYPERLINK("https://www.wikidata.org/wiki/Q3173564", "Q3173564")</f>
        <v>0</v>
      </c>
      <c r="O3303" t="s">
        <v>19967</v>
      </c>
      <c r="P3303" t="s">
        <v>20420</v>
      </c>
      <c r="Q3303" t="s">
        <v>16639</v>
      </c>
      <c r="R3303" t="s">
        <v>414</v>
      </c>
      <c r="S3303">
        <v>1491</v>
      </c>
    </row>
    <row r="3304" spans="1:19">
      <c r="A3304" t="s">
        <v>24</v>
      </c>
      <c r="B3304" t="s">
        <v>148</v>
      </c>
      <c r="C3304" t="s">
        <v>156</v>
      </c>
      <c r="D3304" t="s">
        <v>285</v>
      </c>
      <c r="E3304" t="s">
        <v>414</v>
      </c>
      <c r="F3304">
        <f>HYPERLINK("https://www.wikidata.org/wiki/Q16683508", "Q16683508")</f>
        <v>0</v>
      </c>
      <c r="G3304" t="s">
        <v>2122</v>
      </c>
      <c r="H3304" t="s">
        <v>6742</v>
      </c>
      <c r="I3304" t="s">
        <v>6175</v>
      </c>
      <c r="J3304" t="s">
        <v>12786</v>
      </c>
      <c r="K3304" t="s">
        <v>17202</v>
      </c>
      <c r="L3304">
        <f>HYPERLINK("https://www2.assemblee-nationale.fr/sycomore/fiche/(num_dept)/5350", "5350")</f>
        <v>0</v>
      </c>
      <c r="N3304">
        <f>HYPERLINK("https://www.wikidata.org/wiki/Q3103220", "Q3103220")</f>
        <v>0</v>
      </c>
      <c r="O3304" t="s">
        <v>20015</v>
      </c>
      <c r="P3304" t="s">
        <v>20404</v>
      </c>
      <c r="Q3304" t="s">
        <v>16639</v>
      </c>
      <c r="R3304" t="s">
        <v>414</v>
      </c>
      <c r="S3304">
        <v>1491</v>
      </c>
    </row>
    <row r="3305" spans="1:19">
      <c r="A3305" t="s">
        <v>24</v>
      </c>
      <c r="B3305" t="s">
        <v>148</v>
      </c>
      <c r="C3305" t="s">
        <v>156</v>
      </c>
      <c r="D3305" t="s">
        <v>285</v>
      </c>
      <c r="E3305" t="s">
        <v>414</v>
      </c>
      <c r="F3305">
        <f>HYPERLINK("https://www.wikidata.org/wiki/Q16683508", "Q16683508")</f>
        <v>0</v>
      </c>
      <c r="G3305" t="s">
        <v>736</v>
      </c>
      <c r="H3305" t="s">
        <v>5494</v>
      </c>
      <c r="I3305" t="s">
        <v>9501</v>
      </c>
      <c r="J3305" t="s">
        <v>11485</v>
      </c>
      <c r="K3305" t="s">
        <v>15887</v>
      </c>
      <c r="L3305">
        <f>HYPERLINK("https://www2.assemblee-nationale.fr/sycomore/fiche/(num_dept)/5363", "5363")</f>
        <v>0</v>
      </c>
      <c r="N3305">
        <f>HYPERLINK("https://www.wikidata.org/wiki/Q3142134", "Q3142134")</f>
        <v>0</v>
      </c>
      <c r="O3305" t="s">
        <v>20023</v>
      </c>
      <c r="P3305" t="s">
        <v>20414</v>
      </c>
      <c r="Q3305" t="s">
        <v>16639</v>
      </c>
      <c r="R3305" t="s">
        <v>414</v>
      </c>
      <c r="S3305">
        <v>1491</v>
      </c>
    </row>
    <row r="3306" spans="1:19">
      <c r="A3306" t="s">
        <v>24</v>
      </c>
      <c r="B3306" t="s">
        <v>148</v>
      </c>
      <c r="C3306" t="s">
        <v>156</v>
      </c>
      <c r="D3306" t="s">
        <v>285</v>
      </c>
      <c r="E3306" t="s">
        <v>414</v>
      </c>
      <c r="F3306">
        <f>HYPERLINK("https://www.wikidata.org/wiki/Q16683508", "Q16683508")</f>
        <v>0</v>
      </c>
      <c r="G3306" t="s">
        <v>1851</v>
      </c>
      <c r="H3306" t="s">
        <v>6510</v>
      </c>
      <c r="I3306" t="s">
        <v>9971</v>
      </c>
      <c r="J3306" t="s">
        <v>12542</v>
      </c>
      <c r="K3306" t="s">
        <v>16954</v>
      </c>
      <c r="L3306">
        <f>HYPERLINK("https://www2.assemblee-nationale.fr/sycomore/fiche/(num_dept)/5388", "5388")</f>
        <v>0</v>
      </c>
      <c r="N3306">
        <f>HYPERLINK("https://www.wikidata.org/wiki/Q3173588", "Q3173588")</f>
        <v>0</v>
      </c>
      <c r="O3306" t="s">
        <v>19956</v>
      </c>
      <c r="P3306" t="s">
        <v>20431</v>
      </c>
      <c r="Q3306" t="s">
        <v>16639</v>
      </c>
      <c r="R3306" t="s">
        <v>414</v>
      </c>
      <c r="S3306">
        <v>1491</v>
      </c>
    </row>
    <row r="3307" spans="1:19">
      <c r="A3307" t="s">
        <v>24</v>
      </c>
      <c r="B3307" t="s">
        <v>148</v>
      </c>
      <c r="C3307" t="s">
        <v>156</v>
      </c>
      <c r="D3307" t="s">
        <v>285</v>
      </c>
      <c r="E3307" t="s">
        <v>414</v>
      </c>
      <c r="F3307">
        <f>HYPERLINK("https://www.wikidata.org/wiki/Q16683508", "Q16683508")</f>
        <v>0</v>
      </c>
      <c r="G3307" t="s">
        <v>1553</v>
      </c>
      <c r="H3307" t="s">
        <v>6244</v>
      </c>
      <c r="I3307" t="s">
        <v>9437</v>
      </c>
      <c r="J3307" t="s">
        <v>12267</v>
      </c>
      <c r="K3307" t="s">
        <v>16675</v>
      </c>
      <c r="L3307">
        <f>HYPERLINK("https://www2.assemblee-nationale.fr/sycomore/fiche/(num_dept)/5425", "5425")</f>
        <v>0</v>
      </c>
      <c r="N3307">
        <f>HYPERLINK("https://www.wikidata.org/wiki/Q3588669", "Q3588669")</f>
        <v>0</v>
      </c>
      <c r="O3307" t="s">
        <v>20000</v>
      </c>
      <c r="P3307" t="s">
        <v>20401</v>
      </c>
      <c r="Q3307" t="s">
        <v>16639</v>
      </c>
      <c r="R3307" t="s">
        <v>414</v>
      </c>
      <c r="S3307">
        <v>1491</v>
      </c>
    </row>
    <row r="3308" spans="1:19">
      <c r="A3308" t="s">
        <v>24</v>
      </c>
      <c r="B3308" t="s">
        <v>148</v>
      </c>
      <c r="C3308" t="s">
        <v>156</v>
      </c>
      <c r="D3308" t="s">
        <v>285</v>
      </c>
      <c r="E3308" t="s">
        <v>414</v>
      </c>
      <c r="F3308">
        <f>HYPERLINK("https://www.wikidata.org/wiki/Q16683508", "Q16683508")</f>
        <v>0</v>
      </c>
      <c r="G3308" t="s">
        <v>1965</v>
      </c>
      <c r="H3308" t="s">
        <v>6605</v>
      </c>
      <c r="I3308" t="s">
        <v>10020</v>
      </c>
      <c r="J3308" t="s">
        <v>12647</v>
      </c>
      <c r="K3308" t="s">
        <v>17046</v>
      </c>
      <c r="L3308">
        <f>HYPERLINK("https://www2.assemblee-nationale.fr/sycomore/fiche/(num_dept)/5462", "5462")</f>
        <v>0</v>
      </c>
      <c r="N3308">
        <f>HYPERLINK("https://www.wikidata.org/wiki/Q3271673", "Q3271673")</f>
        <v>0</v>
      </c>
      <c r="O3308" t="s">
        <v>19973</v>
      </c>
      <c r="P3308" t="s">
        <v>20437</v>
      </c>
      <c r="Q3308" t="s">
        <v>16639</v>
      </c>
      <c r="R3308" t="s">
        <v>414</v>
      </c>
      <c r="S3308">
        <v>1491</v>
      </c>
    </row>
    <row r="3309" spans="1:19">
      <c r="A3309" t="s">
        <v>24</v>
      </c>
      <c r="B3309" t="s">
        <v>148</v>
      </c>
      <c r="C3309" t="s">
        <v>156</v>
      </c>
      <c r="D3309" t="s">
        <v>285</v>
      </c>
      <c r="E3309" t="s">
        <v>414</v>
      </c>
      <c r="F3309">
        <f>HYPERLINK("https://www.wikidata.org/wiki/Q16683508", "Q16683508")</f>
        <v>0</v>
      </c>
      <c r="G3309" t="s">
        <v>2255</v>
      </c>
      <c r="H3309" t="s">
        <v>6054</v>
      </c>
      <c r="I3309" t="s">
        <v>10138</v>
      </c>
      <c r="J3309" t="s">
        <v>12913</v>
      </c>
      <c r="K3309" t="s">
        <v>17325</v>
      </c>
      <c r="L3309">
        <f>HYPERLINK("https://www2.assemblee-nationale.fr/sycomore/fiche/(num_dept)/5465", "5465")</f>
        <v>0</v>
      </c>
      <c r="N3309">
        <f>HYPERLINK("https://www.wikidata.org/wiki/Q16026164", "Q16026164")</f>
        <v>0</v>
      </c>
      <c r="O3309" t="s">
        <v>19970</v>
      </c>
      <c r="P3309" t="s">
        <v>20434</v>
      </c>
      <c r="Q3309" t="s">
        <v>16639</v>
      </c>
      <c r="R3309" t="s">
        <v>414</v>
      </c>
      <c r="S3309">
        <v>1491</v>
      </c>
    </row>
    <row r="3310" spans="1:19">
      <c r="A3310" t="s">
        <v>24</v>
      </c>
      <c r="B3310" t="s">
        <v>148</v>
      </c>
      <c r="C3310" t="s">
        <v>156</v>
      </c>
      <c r="D3310" t="s">
        <v>285</v>
      </c>
      <c r="E3310" t="s">
        <v>414</v>
      </c>
      <c r="F3310">
        <f>HYPERLINK("https://www.wikidata.org/wiki/Q16683508", "Q16683508")</f>
        <v>0</v>
      </c>
      <c r="G3310" t="s">
        <v>2221</v>
      </c>
      <c r="H3310" t="s">
        <v>6830</v>
      </c>
      <c r="I3310" t="s">
        <v>6200</v>
      </c>
      <c r="J3310" t="s">
        <v>12882</v>
      </c>
      <c r="K3310" t="s">
        <v>17294</v>
      </c>
      <c r="L3310">
        <f>HYPERLINK("https://www2.assemblee-nationale.fr/sycomore/fiche/(num_dept)/5552", "5552")</f>
        <v>0</v>
      </c>
      <c r="N3310">
        <f>HYPERLINK("https://www.wikidata.org/wiki/Q530195", "Q530195")</f>
        <v>0</v>
      </c>
      <c r="O3310" t="s">
        <v>19967</v>
      </c>
      <c r="P3310" t="s">
        <v>20435</v>
      </c>
      <c r="Q3310" t="s">
        <v>16639</v>
      </c>
      <c r="R3310" t="s">
        <v>414</v>
      </c>
      <c r="S3310">
        <v>1491</v>
      </c>
    </row>
    <row r="3311" spans="1:19">
      <c r="A3311" t="s">
        <v>24</v>
      </c>
      <c r="B3311" t="s">
        <v>148</v>
      </c>
      <c r="C3311" t="s">
        <v>156</v>
      </c>
      <c r="D3311" t="s">
        <v>285</v>
      </c>
      <c r="E3311" t="s">
        <v>414</v>
      </c>
      <c r="F3311">
        <f>HYPERLINK("https://www.wikidata.org/wiki/Q16683508", "Q16683508")</f>
        <v>0</v>
      </c>
      <c r="G3311" t="s">
        <v>1857</v>
      </c>
      <c r="H3311" t="s">
        <v>6513</v>
      </c>
      <c r="I3311" t="s">
        <v>5630</v>
      </c>
      <c r="J3311" t="s">
        <v>12547</v>
      </c>
      <c r="K3311" t="s">
        <v>16958</v>
      </c>
      <c r="L3311">
        <f>HYPERLINK("https://www2.assemblee-nationale.fr/sycomore/fiche/(num_dept)/5569", "5569")</f>
        <v>0</v>
      </c>
      <c r="N3311">
        <f>HYPERLINK("https://www.wikidata.org/wiki/Q2899637", "Q2899637")</f>
        <v>0</v>
      </c>
      <c r="O3311" t="s">
        <v>20027</v>
      </c>
      <c r="P3311" t="s">
        <v>20428</v>
      </c>
      <c r="Q3311" t="s">
        <v>16639</v>
      </c>
      <c r="R3311" t="s">
        <v>21441</v>
      </c>
      <c r="S3311">
        <v>935</v>
      </c>
    </row>
    <row r="3312" spans="1:19">
      <c r="A3312" t="s">
        <v>24</v>
      </c>
      <c r="B3312" t="s">
        <v>148</v>
      </c>
      <c r="C3312" t="s">
        <v>156</v>
      </c>
      <c r="D3312" t="s">
        <v>285</v>
      </c>
      <c r="E3312" t="s">
        <v>414</v>
      </c>
      <c r="F3312">
        <f>HYPERLINK("https://www.wikidata.org/wiki/Q16683508", "Q16683508")</f>
        <v>0</v>
      </c>
      <c r="G3312" t="s">
        <v>2127</v>
      </c>
      <c r="H3312" t="s">
        <v>6746</v>
      </c>
      <c r="I3312" t="s">
        <v>9457</v>
      </c>
      <c r="J3312" t="s">
        <v>12791</v>
      </c>
      <c r="K3312" t="s">
        <v>17207</v>
      </c>
      <c r="L3312">
        <f>HYPERLINK("https://www2.assemblee-nationale.fr/sycomore/fiche/(num_dept)/5576", "5576")</f>
        <v>0</v>
      </c>
      <c r="N3312">
        <f>HYPERLINK("https://www.wikidata.org/wiki/Q16025602", "Q16025602")</f>
        <v>0</v>
      </c>
      <c r="O3312" t="s">
        <v>20050</v>
      </c>
      <c r="P3312" t="s">
        <v>20409</v>
      </c>
      <c r="Q3312" t="s">
        <v>16639</v>
      </c>
      <c r="R3312" t="s">
        <v>414</v>
      </c>
      <c r="S3312">
        <v>1491</v>
      </c>
    </row>
    <row r="3313" spans="1:19">
      <c r="A3313" t="s">
        <v>24</v>
      </c>
      <c r="B3313" t="s">
        <v>148</v>
      </c>
      <c r="C3313" t="s">
        <v>156</v>
      </c>
      <c r="D3313" t="s">
        <v>285</v>
      </c>
      <c r="E3313" t="s">
        <v>414</v>
      </c>
      <c r="F3313">
        <f>HYPERLINK("https://www.wikidata.org/wiki/Q16683508", "Q16683508")</f>
        <v>0</v>
      </c>
      <c r="G3313" t="s">
        <v>1858</v>
      </c>
      <c r="H3313" t="s">
        <v>6514</v>
      </c>
      <c r="I3313" t="s">
        <v>6175</v>
      </c>
      <c r="J3313" t="s">
        <v>12548</v>
      </c>
      <c r="K3313" t="s">
        <v>16959</v>
      </c>
      <c r="L3313">
        <f>HYPERLINK("https://www2.assemblee-nationale.fr/sycomore/fiche/(num_dept)/5581", "5581")</f>
        <v>0</v>
      </c>
      <c r="N3313">
        <f>HYPERLINK("https://www.wikidata.org/wiki/Q3103266", "Q3103266")</f>
        <v>0</v>
      </c>
      <c r="O3313" t="s">
        <v>19994</v>
      </c>
      <c r="P3313" t="s">
        <v>20404</v>
      </c>
      <c r="Q3313" t="s">
        <v>16639</v>
      </c>
      <c r="R3313" t="s">
        <v>414</v>
      </c>
      <c r="S3313">
        <v>1491</v>
      </c>
    </row>
    <row r="3314" spans="1:19">
      <c r="A3314" t="s">
        <v>24</v>
      </c>
      <c r="B3314" t="s">
        <v>148</v>
      </c>
      <c r="C3314" t="s">
        <v>156</v>
      </c>
      <c r="D3314" t="s">
        <v>285</v>
      </c>
      <c r="E3314" t="s">
        <v>414</v>
      </c>
      <c r="F3314">
        <f>HYPERLINK("https://www.wikidata.org/wiki/Q16683508", "Q16683508")</f>
        <v>0</v>
      </c>
      <c r="G3314" t="s">
        <v>1562</v>
      </c>
      <c r="H3314" t="s">
        <v>6253</v>
      </c>
      <c r="I3314" t="s">
        <v>9458</v>
      </c>
      <c r="J3314" t="s">
        <v>12275</v>
      </c>
      <c r="K3314" t="s">
        <v>16683</v>
      </c>
      <c r="L3314">
        <f>HYPERLINK("https://www2.assemblee-nationale.fr/sycomore/fiche/(num_dept)/5590", "5590")</f>
        <v>0</v>
      </c>
      <c r="N3314">
        <f>HYPERLINK("https://www.wikidata.org/wiki/Q2835374", "Q2835374")</f>
        <v>0</v>
      </c>
      <c r="O3314" t="s">
        <v>20048</v>
      </c>
      <c r="P3314" t="s">
        <v>20414</v>
      </c>
      <c r="Q3314" t="s">
        <v>16639</v>
      </c>
      <c r="R3314" t="s">
        <v>414</v>
      </c>
      <c r="S3314">
        <v>1491</v>
      </c>
    </row>
    <row r="3315" spans="1:19">
      <c r="A3315" t="s">
        <v>24</v>
      </c>
      <c r="B3315" t="s">
        <v>148</v>
      </c>
      <c r="C3315" t="s">
        <v>156</v>
      </c>
      <c r="D3315" t="s">
        <v>285</v>
      </c>
      <c r="E3315" t="s">
        <v>414</v>
      </c>
      <c r="F3315">
        <f>HYPERLINK("https://www.wikidata.org/wiki/Q16683508", "Q16683508")</f>
        <v>0</v>
      </c>
      <c r="G3315" t="s">
        <v>2237</v>
      </c>
      <c r="H3315" t="s">
        <v>6254</v>
      </c>
      <c r="I3315" t="s">
        <v>9445</v>
      </c>
      <c r="J3315" t="s">
        <v>12898</v>
      </c>
      <c r="K3315" t="s">
        <v>17309</v>
      </c>
      <c r="L3315">
        <f>HYPERLINK("https://www2.assemblee-nationale.fr/sycomore/fiche/(num_dept)/5626", "5626")</f>
        <v>0</v>
      </c>
      <c r="N3315">
        <f>HYPERLINK("https://www.wikidata.org/wiki/Q13077207", "Q13077207")</f>
        <v>0</v>
      </c>
      <c r="O3315" t="s">
        <v>19969</v>
      </c>
      <c r="P3315" t="s">
        <v>20438</v>
      </c>
      <c r="Q3315" t="s">
        <v>16639</v>
      </c>
      <c r="R3315" t="s">
        <v>17309</v>
      </c>
      <c r="S3315">
        <v>633</v>
      </c>
    </row>
    <row r="3316" spans="1:19">
      <c r="A3316" t="s">
        <v>24</v>
      </c>
      <c r="B3316" t="s">
        <v>148</v>
      </c>
      <c r="C3316" t="s">
        <v>156</v>
      </c>
      <c r="D3316" t="s">
        <v>285</v>
      </c>
      <c r="E3316" t="s">
        <v>414</v>
      </c>
      <c r="F3316">
        <f>HYPERLINK("https://www.wikidata.org/wiki/Q16683508", "Q16683508")</f>
        <v>0</v>
      </c>
      <c r="G3316" t="s">
        <v>1860</v>
      </c>
      <c r="H3316" t="s">
        <v>6516</v>
      </c>
      <c r="I3316" t="s">
        <v>9407</v>
      </c>
      <c r="J3316" t="s">
        <v>12550</v>
      </c>
      <c r="K3316" t="s">
        <v>16961</v>
      </c>
      <c r="L3316">
        <f>HYPERLINK("https://www2.assemblee-nationale.fr/sycomore/fiche/(num_dept)/5646", "5646")</f>
        <v>0</v>
      </c>
      <c r="M3316">
        <f>HYPERLINK("https://www.senat.fr/senateur-3eme-republique/paganon_joseph1203r3.html", "paganon_joseph1203r3")</f>
        <v>0</v>
      </c>
      <c r="N3316">
        <f>HYPERLINK("https://www.wikidata.org/wiki/Q3185441", "Q3185441")</f>
        <v>0</v>
      </c>
      <c r="O3316" t="s">
        <v>20006</v>
      </c>
      <c r="P3316" t="s">
        <v>20428</v>
      </c>
      <c r="Q3316" t="s">
        <v>16639</v>
      </c>
      <c r="R3316" t="s">
        <v>414</v>
      </c>
      <c r="S3316">
        <v>1491</v>
      </c>
    </row>
    <row r="3317" spans="1:19">
      <c r="A3317" t="s">
        <v>24</v>
      </c>
      <c r="B3317" t="s">
        <v>148</v>
      </c>
      <c r="C3317" t="s">
        <v>156</v>
      </c>
      <c r="D3317" t="s">
        <v>285</v>
      </c>
      <c r="E3317" t="s">
        <v>414</v>
      </c>
      <c r="F3317">
        <f>HYPERLINK("https://www.wikidata.org/wiki/Q16683508", "Q16683508")</f>
        <v>0</v>
      </c>
      <c r="G3317" t="s">
        <v>1017</v>
      </c>
      <c r="H3317" t="s">
        <v>5767</v>
      </c>
      <c r="I3317" t="s">
        <v>9388</v>
      </c>
      <c r="J3317" t="s">
        <v>11754</v>
      </c>
      <c r="K3317" t="s">
        <v>16157</v>
      </c>
      <c r="L3317">
        <f>HYPERLINK("https://www2.assemblee-nationale.fr/sycomore/fiche/(num_dept)/5653", "5653")</f>
        <v>0</v>
      </c>
      <c r="N3317">
        <f>HYPERLINK("https://www.wikidata.org/wiki/Q315434", "Q315434")</f>
        <v>0</v>
      </c>
      <c r="O3317" t="s">
        <v>19986</v>
      </c>
      <c r="P3317" t="s">
        <v>20440</v>
      </c>
      <c r="Q3317" t="s">
        <v>16639</v>
      </c>
      <c r="R3317" t="s">
        <v>16157</v>
      </c>
      <c r="S3317">
        <v>546</v>
      </c>
    </row>
    <row r="3318" spans="1:19">
      <c r="A3318" t="s">
        <v>24</v>
      </c>
      <c r="B3318" t="s">
        <v>148</v>
      </c>
      <c r="C3318" t="s">
        <v>156</v>
      </c>
      <c r="D3318" t="s">
        <v>285</v>
      </c>
      <c r="E3318" t="s">
        <v>414</v>
      </c>
      <c r="F3318">
        <f>HYPERLINK("https://www.wikidata.org/wiki/Q16683508", "Q16683508")</f>
        <v>0</v>
      </c>
      <c r="G3318" t="s">
        <v>1861</v>
      </c>
      <c r="H3318" t="s">
        <v>6517</v>
      </c>
      <c r="I3318" t="s">
        <v>7642</v>
      </c>
      <c r="J3318" t="s">
        <v>11903</v>
      </c>
      <c r="K3318" t="s">
        <v>16962</v>
      </c>
      <c r="L3318">
        <f>HYPERLINK("https://www2.assemblee-nationale.fr/sycomore/fiche/(num_dept)/5662", "5662")</f>
        <v>0</v>
      </c>
      <c r="M3318">
        <f>HYPERLINK("https://www.senat.fr/senateur-3eme-republique/palmade_maurice0409r3.html", "palmade_maurice0409r3")</f>
        <v>0</v>
      </c>
      <c r="N3318">
        <f>HYPERLINK("https://www.wikidata.org/wiki/Q3301240", "Q3301240")</f>
        <v>0</v>
      </c>
      <c r="O3318" t="s">
        <v>20037</v>
      </c>
      <c r="P3318" t="s">
        <v>20428</v>
      </c>
      <c r="Q3318" t="s">
        <v>16639</v>
      </c>
      <c r="R3318" t="s">
        <v>414</v>
      </c>
      <c r="S3318">
        <v>1491</v>
      </c>
    </row>
    <row r="3319" spans="1:19">
      <c r="A3319" t="s">
        <v>24</v>
      </c>
      <c r="B3319" t="s">
        <v>148</v>
      </c>
      <c r="C3319" t="s">
        <v>156</v>
      </c>
      <c r="D3319" t="s">
        <v>285</v>
      </c>
      <c r="E3319" t="s">
        <v>414</v>
      </c>
      <c r="F3319">
        <f>HYPERLINK("https://www.wikidata.org/wiki/Q16683508", "Q16683508")</f>
        <v>0</v>
      </c>
      <c r="G3319" t="s">
        <v>1966</v>
      </c>
      <c r="H3319" t="s">
        <v>6606</v>
      </c>
      <c r="I3319" t="s">
        <v>10021</v>
      </c>
      <c r="J3319" t="s">
        <v>12648</v>
      </c>
      <c r="K3319" t="s">
        <v>17057</v>
      </c>
      <c r="L3319">
        <f>HYPERLINK("https://www2.assemblee-nationale.fr/sycomore/fiche/(num_dept)/5697", "5697")</f>
        <v>0</v>
      </c>
      <c r="N3319">
        <f>HYPERLINK("https://www.wikidata.org/wiki/Q3579986", "Q3579986")</f>
        <v>0</v>
      </c>
      <c r="O3319" t="s">
        <v>20031</v>
      </c>
      <c r="P3319" t="s">
        <v>20428</v>
      </c>
      <c r="Q3319" t="s">
        <v>16639</v>
      </c>
      <c r="R3319" t="s">
        <v>414</v>
      </c>
      <c r="S3319">
        <v>1491</v>
      </c>
    </row>
    <row r="3320" spans="1:19">
      <c r="A3320" t="s">
        <v>24</v>
      </c>
      <c r="B3320" t="s">
        <v>148</v>
      </c>
      <c r="C3320" t="s">
        <v>156</v>
      </c>
      <c r="D3320" t="s">
        <v>285</v>
      </c>
      <c r="E3320" t="s">
        <v>414</v>
      </c>
      <c r="F3320">
        <f>HYPERLINK("https://www.wikidata.org/wiki/Q16683508", "Q16683508")</f>
        <v>0</v>
      </c>
      <c r="G3320" t="s">
        <v>1019</v>
      </c>
      <c r="H3320" t="s">
        <v>5769</v>
      </c>
      <c r="I3320" t="s">
        <v>6478</v>
      </c>
      <c r="J3320" t="s">
        <v>11756</v>
      </c>
      <c r="K3320" t="s">
        <v>16158</v>
      </c>
      <c r="L3320">
        <f>HYPERLINK("https://www2.assemblee-nationale.fr/sycomore/fiche/(num_dept)/5706", "5706")</f>
        <v>0</v>
      </c>
      <c r="N3320">
        <f>HYPERLINK("https://www.wikidata.org/wiki/Q3132997", "Q3132997")</f>
        <v>0</v>
      </c>
      <c r="O3320" t="s">
        <v>19969</v>
      </c>
      <c r="P3320" t="s">
        <v>20401</v>
      </c>
      <c r="Q3320" t="s">
        <v>16639</v>
      </c>
      <c r="R3320" t="s">
        <v>414</v>
      </c>
      <c r="S3320">
        <v>1491</v>
      </c>
    </row>
    <row r="3321" spans="1:19">
      <c r="A3321" t="s">
        <v>24</v>
      </c>
      <c r="B3321" t="s">
        <v>148</v>
      </c>
      <c r="C3321" t="s">
        <v>156</v>
      </c>
      <c r="D3321" t="s">
        <v>285</v>
      </c>
      <c r="E3321" t="s">
        <v>414</v>
      </c>
      <c r="F3321">
        <f>HYPERLINK("https://www.wikidata.org/wiki/Q16683508", "Q16683508")</f>
        <v>0</v>
      </c>
      <c r="G3321" t="s">
        <v>1967</v>
      </c>
      <c r="H3321" t="s">
        <v>6607</v>
      </c>
      <c r="I3321" t="s">
        <v>9692</v>
      </c>
      <c r="J3321" t="s">
        <v>12649</v>
      </c>
      <c r="K3321" t="s">
        <v>17058</v>
      </c>
      <c r="L3321">
        <f>HYPERLINK("https://www2.assemblee-nationale.fr/sycomore/fiche/(num_dept)/5707", "5707")</f>
        <v>0</v>
      </c>
      <c r="N3321">
        <f>HYPERLINK("https://www.wikidata.org/wiki/Q2569191", "Q2569191")</f>
        <v>0</v>
      </c>
      <c r="O3321" t="s">
        <v>19976</v>
      </c>
      <c r="P3321" t="s">
        <v>20431</v>
      </c>
      <c r="Q3321" t="s">
        <v>16639</v>
      </c>
      <c r="R3321" t="s">
        <v>414</v>
      </c>
      <c r="S3321">
        <v>1491</v>
      </c>
    </row>
    <row r="3322" spans="1:19">
      <c r="A3322" t="s">
        <v>24</v>
      </c>
      <c r="B3322" t="s">
        <v>148</v>
      </c>
      <c r="C3322" t="s">
        <v>156</v>
      </c>
      <c r="D3322" t="s">
        <v>285</v>
      </c>
      <c r="E3322" t="s">
        <v>414</v>
      </c>
      <c r="F3322">
        <f>HYPERLINK("https://www.wikidata.org/wiki/Q16683508", "Q16683508")</f>
        <v>0</v>
      </c>
      <c r="G3322" t="s">
        <v>1863</v>
      </c>
      <c r="H3322" t="s">
        <v>6519</v>
      </c>
      <c r="I3322" t="s">
        <v>6584</v>
      </c>
      <c r="J3322" t="s">
        <v>12551</v>
      </c>
      <c r="K3322" t="s">
        <v>16964</v>
      </c>
      <c r="L3322">
        <f>HYPERLINK("https://www2.assemblee-nationale.fr/sycomore/fiche/(num_dept)/5726", "5726")</f>
        <v>0</v>
      </c>
      <c r="N3322">
        <f>HYPERLINK("https://www.wikidata.org/wiki/Q2831455", "Q2831455")</f>
        <v>0</v>
      </c>
      <c r="O3322" t="s">
        <v>20005</v>
      </c>
      <c r="P3322" t="s">
        <v>20404</v>
      </c>
      <c r="Q3322" t="s">
        <v>16639</v>
      </c>
      <c r="R3322" t="s">
        <v>414</v>
      </c>
      <c r="S3322">
        <v>1491</v>
      </c>
    </row>
    <row r="3323" spans="1:19">
      <c r="A3323" t="s">
        <v>24</v>
      </c>
      <c r="B3323" t="s">
        <v>148</v>
      </c>
      <c r="C3323" t="s">
        <v>156</v>
      </c>
      <c r="D3323" t="s">
        <v>285</v>
      </c>
      <c r="E3323" t="s">
        <v>414</v>
      </c>
      <c r="F3323">
        <f>HYPERLINK("https://www.wikidata.org/wiki/Q16683508", "Q16683508")</f>
        <v>0</v>
      </c>
      <c r="G3323" t="s">
        <v>1968</v>
      </c>
      <c r="H3323" t="s">
        <v>6608</v>
      </c>
      <c r="I3323" t="s">
        <v>6166</v>
      </c>
      <c r="J3323" t="s">
        <v>12650</v>
      </c>
      <c r="K3323" t="s">
        <v>17059</v>
      </c>
      <c r="L3323">
        <f>HYPERLINK("https://www2.assemblee-nationale.fr/sycomore/fiche/(num_dept)/5753", "5753")</f>
        <v>0</v>
      </c>
      <c r="N3323">
        <f>HYPERLINK("https://www.wikidata.org/wiki/Q3085524", "Q3085524")</f>
        <v>0</v>
      </c>
      <c r="O3323" t="s">
        <v>19965</v>
      </c>
      <c r="P3323" t="s">
        <v>20437</v>
      </c>
      <c r="Q3323" t="s">
        <v>16639</v>
      </c>
      <c r="R3323" t="s">
        <v>414</v>
      </c>
      <c r="S3323">
        <v>1491</v>
      </c>
    </row>
    <row r="3324" spans="1:19">
      <c r="A3324" t="s">
        <v>24</v>
      </c>
      <c r="B3324" t="s">
        <v>148</v>
      </c>
      <c r="C3324" t="s">
        <v>156</v>
      </c>
      <c r="D3324" t="s">
        <v>285</v>
      </c>
      <c r="E3324" t="s">
        <v>414</v>
      </c>
      <c r="F3324">
        <f>HYPERLINK("https://www.wikidata.org/wiki/Q16683508", "Q16683508")</f>
        <v>0</v>
      </c>
      <c r="G3324" t="s">
        <v>1869</v>
      </c>
      <c r="H3324" t="s">
        <v>6525</v>
      </c>
      <c r="I3324" t="s">
        <v>6175</v>
      </c>
      <c r="J3324" t="s">
        <v>12557</v>
      </c>
      <c r="K3324" t="s">
        <v>16970</v>
      </c>
      <c r="L3324">
        <f>HYPERLINK("https://www2.assemblee-nationale.fr/sycomore/fiche/(num_dept)/5799", "5799")</f>
        <v>0</v>
      </c>
      <c r="M3324">
        <f>HYPERLINK("https://www.senat.fr/senateur-3eme-republique/pernot_georges0335r4.html", "pernot_georges0335r4")</f>
        <v>0</v>
      </c>
      <c r="N3324">
        <f>HYPERLINK("https://www.wikidata.org/wiki/Q2670356", "Q2670356")</f>
        <v>0</v>
      </c>
      <c r="O3324" t="s">
        <v>19973</v>
      </c>
      <c r="P3324" t="s">
        <v>20437</v>
      </c>
      <c r="Q3324" t="s">
        <v>16639</v>
      </c>
      <c r="R3324" t="s">
        <v>414</v>
      </c>
      <c r="S3324">
        <v>1491</v>
      </c>
    </row>
    <row r="3325" spans="1:19">
      <c r="A3325" t="s">
        <v>24</v>
      </c>
      <c r="B3325" t="s">
        <v>148</v>
      </c>
      <c r="C3325" t="s">
        <v>156</v>
      </c>
      <c r="D3325" t="s">
        <v>285</v>
      </c>
      <c r="E3325" t="s">
        <v>414</v>
      </c>
      <c r="F3325">
        <f>HYPERLINK("https://www.wikidata.org/wiki/Q16683508", "Q16683508")</f>
        <v>0</v>
      </c>
      <c r="G3325" t="s">
        <v>2135</v>
      </c>
      <c r="H3325" t="s">
        <v>6753</v>
      </c>
      <c r="I3325" t="s">
        <v>6584</v>
      </c>
      <c r="J3325" t="s">
        <v>12799</v>
      </c>
      <c r="K3325" t="s">
        <v>16895</v>
      </c>
      <c r="L3325">
        <f>HYPERLINK("https://www2.assemblee-nationale.fr/sycomore/fiche/(num_dept)/5813", "5813")</f>
        <v>0</v>
      </c>
      <c r="N3325">
        <f>HYPERLINK("https://www.wikidata.org/wiki/Q2831460", "Q2831460")</f>
        <v>0</v>
      </c>
      <c r="O3325" t="s">
        <v>20006</v>
      </c>
      <c r="P3325" t="s">
        <v>20428</v>
      </c>
      <c r="Q3325" t="s">
        <v>16639</v>
      </c>
      <c r="R3325" t="s">
        <v>414</v>
      </c>
      <c r="S3325">
        <v>1491</v>
      </c>
    </row>
    <row r="3326" spans="1:19">
      <c r="A3326" t="s">
        <v>24</v>
      </c>
      <c r="B3326" t="s">
        <v>148</v>
      </c>
      <c r="C3326" t="s">
        <v>156</v>
      </c>
      <c r="D3326" t="s">
        <v>285</v>
      </c>
      <c r="E3326" t="s">
        <v>414</v>
      </c>
      <c r="F3326">
        <f>HYPERLINK("https://www.wikidata.org/wiki/Q16683508", "Q16683508")</f>
        <v>0</v>
      </c>
      <c r="G3326" t="s">
        <v>2136</v>
      </c>
      <c r="H3326" t="s">
        <v>6754</v>
      </c>
      <c r="I3326" t="s">
        <v>10024</v>
      </c>
      <c r="J3326" t="s">
        <v>12800</v>
      </c>
      <c r="K3326" t="s">
        <v>17215</v>
      </c>
      <c r="L3326">
        <f>HYPERLINK("https://www2.assemblee-nationale.fr/sycomore/fiche/(num_dept)/5838", "5838")</f>
        <v>0</v>
      </c>
      <c r="N3326">
        <f>HYPERLINK("https://www.wikidata.org/wiki/Q3588694", "Q3588694")</f>
        <v>0</v>
      </c>
      <c r="O3326" t="s">
        <v>20050</v>
      </c>
      <c r="P3326" t="s">
        <v>20441</v>
      </c>
      <c r="Q3326" t="s">
        <v>16639</v>
      </c>
      <c r="R3326" t="s">
        <v>414</v>
      </c>
      <c r="S3326">
        <v>1491</v>
      </c>
    </row>
    <row r="3327" spans="1:19">
      <c r="A3327" t="s">
        <v>24</v>
      </c>
      <c r="B3327" t="s">
        <v>148</v>
      </c>
      <c r="C3327" t="s">
        <v>156</v>
      </c>
      <c r="D3327" t="s">
        <v>285</v>
      </c>
      <c r="E3327" t="s">
        <v>414</v>
      </c>
      <c r="F3327">
        <f>HYPERLINK("https://www.wikidata.org/wiki/Q16683508", "Q16683508")</f>
        <v>0</v>
      </c>
      <c r="G3327" t="s">
        <v>1923</v>
      </c>
      <c r="H3327" t="s">
        <v>6570</v>
      </c>
      <c r="I3327" t="s">
        <v>7642</v>
      </c>
      <c r="J3327" t="s">
        <v>12608</v>
      </c>
      <c r="K3327" t="s">
        <v>17019</v>
      </c>
      <c r="L3327">
        <f>HYPERLINK("https://www2.assemblee-nationale.fr/sycomore/fiche/(num_dept)/5854", "5854")</f>
        <v>0</v>
      </c>
      <c r="N3327">
        <f>HYPERLINK("https://www.wikidata.org/wiki/Q3301257", "Q3301257")</f>
        <v>0</v>
      </c>
      <c r="O3327" t="s">
        <v>19981</v>
      </c>
      <c r="P3327" t="s">
        <v>20438</v>
      </c>
      <c r="Q3327" t="s">
        <v>16639</v>
      </c>
      <c r="R3327" t="s">
        <v>414</v>
      </c>
      <c r="S3327">
        <v>1491</v>
      </c>
    </row>
    <row r="3328" spans="1:19">
      <c r="A3328" t="s">
        <v>24</v>
      </c>
      <c r="B3328" t="s">
        <v>148</v>
      </c>
      <c r="C3328" t="s">
        <v>156</v>
      </c>
      <c r="D3328" t="s">
        <v>285</v>
      </c>
      <c r="E3328" t="s">
        <v>414</v>
      </c>
      <c r="F3328">
        <f>HYPERLINK("https://www.wikidata.org/wiki/Q16683508", "Q16683508")</f>
        <v>0</v>
      </c>
      <c r="G3328" t="s">
        <v>2137</v>
      </c>
      <c r="H3328" t="s">
        <v>6014</v>
      </c>
      <c r="I3328" t="s">
        <v>10092</v>
      </c>
      <c r="J3328" t="s">
        <v>12801</v>
      </c>
      <c r="K3328" t="s">
        <v>17216</v>
      </c>
      <c r="L3328">
        <f>HYPERLINK("https://www2.assemblee-nationale.fr/sycomore/fiche/(num_dept)/5876", "5876")</f>
        <v>0</v>
      </c>
      <c r="N3328">
        <f>HYPERLINK("https://www.wikidata.org/wiki/Q3057133", "Q3057133")</f>
        <v>0</v>
      </c>
      <c r="O3328" t="s">
        <v>19961</v>
      </c>
      <c r="P3328" t="s">
        <v>20441</v>
      </c>
      <c r="Q3328" t="s">
        <v>16639</v>
      </c>
      <c r="R3328" t="s">
        <v>414</v>
      </c>
      <c r="S3328">
        <v>1491</v>
      </c>
    </row>
    <row r="3329" spans="1:19">
      <c r="A3329" t="s">
        <v>24</v>
      </c>
      <c r="B3329" t="s">
        <v>148</v>
      </c>
      <c r="C3329" t="s">
        <v>156</v>
      </c>
      <c r="D3329" t="s">
        <v>285</v>
      </c>
      <c r="E3329" t="s">
        <v>414</v>
      </c>
      <c r="F3329">
        <f>HYPERLINK("https://www.wikidata.org/wiki/Q16683508", "Q16683508")</f>
        <v>0</v>
      </c>
      <c r="G3329" t="s">
        <v>1027</v>
      </c>
      <c r="H3329" t="s">
        <v>5777</v>
      </c>
      <c r="I3329" t="s">
        <v>9506</v>
      </c>
      <c r="J3329" t="s">
        <v>11764</v>
      </c>
      <c r="K3329" t="s">
        <v>16165</v>
      </c>
      <c r="L3329">
        <f>HYPERLINK("https://www2.assemblee-nationale.fr/sycomore/fiche/(num_dept)/5898", "5898")</f>
        <v>0</v>
      </c>
      <c r="N3329">
        <f>HYPERLINK("https://www.wikidata.org/wiki/Q16026338", "Q16026338")</f>
        <v>0</v>
      </c>
      <c r="O3329" t="s">
        <v>20017</v>
      </c>
      <c r="P3329" t="s">
        <v>20428</v>
      </c>
      <c r="Q3329" t="s">
        <v>16639</v>
      </c>
      <c r="R3329" t="s">
        <v>414</v>
      </c>
      <c r="S3329">
        <v>1491</v>
      </c>
    </row>
    <row r="3330" spans="1:19">
      <c r="A3330" t="s">
        <v>24</v>
      </c>
      <c r="B3330" t="s">
        <v>148</v>
      </c>
      <c r="C3330" t="s">
        <v>156</v>
      </c>
      <c r="D3330" t="s">
        <v>285</v>
      </c>
      <c r="E3330" t="s">
        <v>414</v>
      </c>
      <c r="F3330">
        <f>HYPERLINK("https://www.wikidata.org/wiki/Q16683508", "Q16683508")</f>
        <v>0</v>
      </c>
      <c r="G3330" t="s">
        <v>2256</v>
      </c>
      <c r="H3330" t="s">
        <v>6860</v>
      </c>
      <c r="I3330" t="s">
        <v>10139</v>
      </c>
      <c r="J3330" t="s">
        <v>12914</v>
      </c>
      <c r="K3330" t="s">
        <v>17326</v>
      </c>
      <c r="L3330">
        <f>HYPERLINK("https://www2.assemblee-nationale.fr/sycomore/fiche/(num_dept)/5917", "5917")</f>
        <v>0</v>
      </c>
      <c r="N3330">
        <f>HYPERLINK("https://www.wikidata.org/wiki/Q3060100", "Q3060100")</f>
        <v>0</v>
      </c>
      <c r="O3330" t="s">
        <v>19990</v>
      </c>
      <c r="P3330" t="s">
        <v>20420</v>
      </c>
      <c r="Q3330" t="s">
        <v>16639</v>
      </c>
      <c r="R3330" t="s">
        <v>414</v>
      </c>
      <c r="S3330">
        <v>1491</v>
      </c>
    </row>
    <row r="3331" spans="1:19">
      <c r="A3331" t="s">
        <v>24</v>
      </c>
      <c r="B3331" t="s">
        <v>148</v>
      </c>
      <c r="C3331" t="s">
        <v>156</v>
      </c>
      <c r="D3331" t="s">
        <v>285</v>
      </c>
      <c r="E3331" t="s">
        <v>414</v>
      </c>
      <c r="F3331">
        <f>HYPERLINK("https://www.wikidata.org/wiki/Q16683508", "Q16683508")</f>
        <v>0</v>
      </c>
      <c r="G3331" t="s">
        <v>1873</v>
      </c>
      <c r="H3331" t="s">
        <v>6528</v>
      </c>
      <c r="I3331" t="s">
        <v>6166</v>
      </c>
      <c r="J3331" t="s">
        <v>12561</v>
      </c>
      <c r="K3331" t="s">
        <v>16973</v>
      </c>
      <c r="L3331">
        <f>HYPERLINK("https://www2.assemblee-nationale.fr/sycomore/fiche/(num_dept)/5924", "5924")</f>
        <v>0</v>
      </c>
      <c r="N3331">
        <f>HYPERLINK("https://www.wikidata.org/wiki/Q3085590", "Q3085590")</f>
        <v>0</v>
      </c>
      <c r="O3331" t="s">
        <v>19955</v>
      </c>
      <c r="P3331" t="s">
        <v>20412</v>
      </c>
      <c r="Q3331" t="s">
        <v>16639</v>
      </c>
      <c r="R3331" t="s">
        <v>414</v>
      </c>
      <c r="S3331">
        <v>1491</v>
      </c>
    </row>
    <row r="3332" spans="1:19">
      <c r="A3332" t="s">
        <v>24</v>
      </c>
      <c r="B3332" t="s">
        <v>148</v>
      </c>
      <c r="C3332" t="s">
        <v>156</v>
      </c>
      <c r="D3332" t="s">
        <v>285</v>
      </c>
      <c r="E3332" t="s">
        <v>414</v>
      </c>
      <c r="F3332">
        <f>HYPERLINK("https://www.wikidata.org/wiki/Q16683508", "Q16683508")</f>
        <v>0</v>
      </c>
      <c r="G3332" t="s">
        <v>2141</v>
      </c>
      <c r="H3332" t="s">
        <v>6016</v>
      </c>
      <c r="I3332" t="s">
        <v>9506</v>
      </c>
      <c r="J3332" t="s">
        <v>12805</v>
      </c>
      <c r="K3332" t="s">
        <v>17220</v>
      </c>
      <c r="L3332">
        <f>HYPERLINK("https://www2.assemblee-nationale.fr/sycomore/fiche/(num_dept)/5966", "5966")</f>
        <v>0</v>
      </c>
      <c r="N3332">
        <f>HYPERLINK("https://www.wikidata.org/wiki/Q2935039", "Q2935039")</f>
        <v>0</v>
      </c>
      <c r="O3332" t="s">
        <v>19999</v>
      </c>
      <c r="P3332" t="s">
        <v>20404</v>
      </c>
      <c r="Q3332" t="s">
        <v>16639</v>
      </c>
      <c r="R3332" t="s">
        <v>414</v>
      </c>
      <c r="S3332">
        <v>1491</v>
      </c>
    </row>
    <row r="3333" spans="1:19">
      <c r="A3333" t="s">
        <v>24</v>
      </c>
      <c r="B3333" t="s">
        <v>148</v>
      </c>
      <c r="C3333" t="s">
        <v>156</v>
      </c>
      <c r="D3333" t="s">
        <v>285</v>
      </c>
      <c r="E3333" t="s">
        <v>414</v>
      </c>
      <c r="F3333">
        <f>HYPERLINK("https://www.wikidata.org/wiki/Q16683508", "Q16683508")</f>
        <v>0</v>
      </c>
      <c r="G3333" t="s">
        <v>2143</v>
      </c>
      <c r="H3333" t="s">
        <v>6759</v>
      </c>
      <c r="I3333" t="s">
        <v>7642</v>
      </c>
      <c r="J3333" t="s">
        <v>12807</v>
      </c>
      <c r="K3333" t="s">
        <v>17222</v>
      </c>
      <c r="L3333">
        <f>HYPERLINK("https://www2.assemblee-nationale.fr/sycomore/fiche/(num_dept)/6014", "6014")</f>
        <v>0</v>
      </c>
      <c r="N3333">
        <f>HYPERLINK("https://www.wikidata.org/wiki/Q13085399", "Q13085399")</f>
        <v>0</v>
      </c>
      <c r="O3333" t="s">
        <v>8449</v>
      </c>
      <c r="P3333" t="s">
        <v>20428</v>
      </c>
      <c r="Q3333" t="s">
        <v>16639</v>
      </c>
      <c r="R3333" t="s">
        <v>414</v>
      </c>
      <c r="S3333">
        <v>1491</v>
      </c>
    </row>
    <row r="3334" spans="1:19">
      <c r="A3334" t="s">
        <v>24</v>
      </c>
      <c r="B3334" t="s">
        <v>148</v>
      </c>
      <c r="C3334" t="s">
        <v>156</v>
      </c>
      <c r="D3334" t="s">
        <v>285</v>
      </c>
      <c r="E3334" t="s">
        <v>414</v>
      </c>
      <c r="F3334">
        <f>HYPERLINK("https://www.wikidata.org/wiki/Q16683508", "Q16683508")</f>
        <v>0</v>
      </c>
      <c r="G3334" t="s">
        <v>1969</v>
      </c>
      <c r="H3334" t="s">
        <v>6609</v>
      </c>
      <c r="I3334" t="s">
        <v>10022</v>
      </c>
      <c r="J3334" t="s">
        <v>12651</v>
      </c>
      <c r="K3334" t="s">
        <v>17060</v>
      </c>
      <c r="L3334">
        <f>HYPERLINK("https://www2.assemblee-nationale.fr/sycomore/fiche/(num_dept)/6025", "6025")</f>
        <v>0</v>
      </c>
      <c r="N3334">
        <f>HYPERLINK("https://www.wikidata.org/wiki/Q2935114", "Q2935114")</f>
        <v>0</v>
      </c>
      <c r="O3334" t="s">
        <v>19955</v>
      </c>
      <c r="P3334" t="s">
        <v>20412</v>
      </c>
      <c r="Q3334" t="s">
        <v>16639</v>
      </c>
      <c r="R3334" t="s">
        <v>414</v>
      </c>
      <c r="S3334">
        <v>1491</v>
      </c>
    </row>
    <row r="3335" spans="1:19">
      <c r="A3335" t="s">
        <v>24</v>
      </c>
      <c r="B3335" t="s">
        <v>148</v>
      </c>
      <c r="C3335" t="s">
        <v>156</v>
      </c>
      <c r="D3335" t="s">
        <v>285</v>
      </c>
      <c r="E3335" t="s">
        <v>414</v>
      </c>
      <c r="F3335">
        <f>HYPERLINK("https://www.wikidata.org/wiki/Q16683508", "Q16683508")</f>
        <v>0</v>
      </c>
      <c r="G3335" t="s">
        <v>1194</v>
      </c>
      <c r="H3335" t="s">
        <v>5924</v>
      </c>
      <c r="I3335" t="s">
        <v>9483</v>
      </c>
      <c r="J3335" t="s">
        <v>11927</v>
      </c>
      <c r="K3335" t="s">
        <v>16328</v>
      </c>
      <c r="L3335">
        <f>HYPERLINK("https://www2.assemblee-nationale.fr/sycomore/fiche/(num_dept)/6039", "6039")</f>
        <v>0</v>
      </c>
      <c r="N3335">
        <f>HYPERLINK("https://www.wikidata.org/wiki/Q3557551", "Q3557551")</f>
        <v>0</v>
      </c>
      <c r="O3335" t="s">
        <v>19972</v>
      </c>
      <c r="P3335" t="s">
        <v>20414</v>
      </c>
      <c r="Q3335" t="s">
        <v>16639</v>
      </c>
      <c r="R3335" t="s">
        <v>414</v>
      </c>
      <c r="S3335">
        <v>1491</v>
      </c>
    </row>
    <row r="3336" spans="1:19">
      <c r="A3336" t="s">
        <v>24</v>
      </c>
      <c r="B3336" t="s">
        <v>148</v>
      </c>
      <c r="C3336" t="s">
        <v>156</v>
      </c>
      <c r="D3336" t="s">
        <v>285</v>
      </c>
      <c r="E3336" t="s">
        <v>414</v>
      </c>
      <c r="F3336">
        <f>HYPERLINK("https://www.wikidata.org/wiki/Q16683508", "Q16683508")</f>
        <v>0</v>
      </c>
      <c r="G3336" t="s">
        <v>2257</v>
      </c>
      <c r="H3336" t="s">
        <v>6271</v>
      </c>
      <c r="I3336" t="s">
        <v>10140</v>
      </c>
      <c r="J3336" t="s">
        <v>12915</v>
      </c>
      <c r="K3336" t="s">
        <v>16010</v>
      </c>
      <c r="L3336">
        <f>HYPERLINK("https://www2.assemblee-nationale.fr/sycomore/fiche/(num_dept)/6067", "6067")</f>
        <v>0</v>
      </c>
      <c r="N3336">
        <f>HYPERLINK("https://www.wikidata.org/wiki/Q16026444", "Q16026444")</f>
        <v>0</v>
      </c>
      <c r="O3336" t="s">
        <v>20022</v>
      </c>
      <c r="P3336" t="s">
        <v>20428</v>
      </c>
      <c r="Q3336" t="s">
        <v>16639</v>
      </c>
      <c r="R3336" t="s">
        <v>16010</v>
      </c>
      <c r="S3336">
        <v>602</v>
      </c>
    </row>
    <row r="3337" spans="1:19">
      <c r="A3337" t="s">
        <v>24</v>
      </c>
      <c r="B3337" t="s">
        <v>148</v>
      </c>
      <c r="C3337" t="s">
        <v>156</v>
      </c>
      <c r="D3337" t="s">
        <v>285</v>
      </c>
      <c r="E3337" t="s">
        <v>414</v>
      </c>
      <c r="F3337">
        <f>HYPERLINK("https://www.wikidata.org/wiki/Q16683508", "Q16683508")</f>
        <v>0</v>
      </c>
      <c r="G3337" t="s">
        <v>1581</v>
      </c>
      <c r="H3337" t="s">
        <v>6271</v>
      </c>
      <c r="I3337" t="s">
        <v>6495</v>
      </c>
      <c r="J3337" t="s">
        <v>12293</v>
      </c>
      <c r="K3337" t="s">
        <v>16700</v>
      </c>
      <c r="L3337">
        <f>HYPERLINK("https://www2.assemblee-nationale.fr/sycomore/fiche/(num_dept)/6068", "6068")</f>
        <v>0</v>
      </c>
      <c r="N3337">
        <f>HYPERLINK("https://www.wikidata.org/wiki/Q3263043", "Q3263043")</f>
        <v>0</v>
      </c>
      <c r="O3337" t="s">
        <v>19969</v>
      </c>
      <c r="P3337" t="s">
        <v>20438</v>
      </c>
      <c r="Q3337" t="s">
        <v>16639</v>
      </c>
      <c r="R3337" t="s">
        <v>414</v>
      </c>
      <c r="S3337">
        <v>1491</v>
      </c>
    </row>
    <row r="3338" spans="1:19">
      <c r="A3338" t="s">
        <v>24</v>
      </c>
      <c r="B3338" t="s">
        <v>148</v>
      </c>
      <c r="C3338" t="s">
        <v>156</v>
      </c>
      <c r="D3338" t="s">
        <v>285</v>
      </c>
      <c r="E3338" t="s">
        <v>414</v>
      </c>
      <c r="F3338">
        <f>HYPERLINK("https://www.wikidata.org/wiki/Q16683508", "Q16683508")</f>
        <v>0</v>
      </c>
      <c r="G3338" t="s">
        <v>2209</v>
      </c>
      <c r="H3338" t="s">
        <v>5532</v>
      </c>
      <c r="I3338" t="s">
        <v>10117</v>
      </c>
      <c r="J3338" t="s">
        <v>12870</v>
      </c>
      <c r="K3338" t="s">
        <v>17282</v>
      </c>
      <c r="L3338">
        <f>HYPERLINK("https://www2.assemblee-nationale.fr/sycomore/fiche/(num_dept)/6123", "6123")</f>
        <v>0</v>
      </c>
      <c r="N3338">
        <f>HYPERLINK("https://www.wikidata.org/wiki/Q3102871", "Q3102871")</f>
        <v>0</v>
      </c>
      <c r="O3338" t="s">
        <v>19957</v>
      </c>
      <c r="P3338" t="s">
        <v>20414</v>
      </c>
      <c r="Q3338" t="s">
        <v>16639</v>
      </c>
      <c r="R3338" t="s">
        <v>414</v>
      </c>
      <c r="S3338">
        <v>1491</v>
      </c>
    </row>
    <row r="3339" spans="1:19">
      <c r="A3339" t="s">
        <v>24</v>
      </c>
      <c r="B3339" t="s">
        <v>148</v>
      </c>
      <c r="C3339" t="s">
        <v>156</v>
      </c>
      <c r="D3339" t="s">
        <v>285</v>
      </c>
      <c r="E3339" t="s">
        <v>414</v>
      </c>
      <c r="F3339">
        <f>HYPERLINK("https://www.wikidata.org/wiki/Q16683508", "Q16683508")</f>
        <v>0</v>
      </c>
      <c r="G3339" t="s">
        <v>1674</v>
      </c>
      <c r="H3339" t="s">
        <v>6354</v>
      </c>
      <c r="I3339" t="s">
        <v>9878</v>
      </c>
      <c r="J3339" t="s">
        <v>12380</v>
      </c>
      <c r="K3339" t="s">
        <v>16788</v>
      </c>
      <c r="L3339">
        <f>HYPERLINK("https://www2.assemblee-nationale.fr/sycomore/fiche/(num_dept)/6166", "6166")</f>
        <v>0</v>
      </c>
      <c r="M3339">
        <f>HYPERLINK("https://www.senat.fr/senateur-3eme-republique/roux_freissineng_pierre1827r3.html", "roux_freissineng_pierre1827r3")</f>
        <v>0</v>
      </c>
      <c r="N3339">
        <f>HYPERLINK("https://www.wikidata.org/wiki/Q3386881", "Q3386881")</f>
        <v>0</v>
      </c>
      <c r="O3339" t="s">
        <v>20000</v>
      </c>
      <c r="P3339" t="s">
        <v>20401</v>
      </c>
      <c r="Q3339" t="s">
        <v>16639</v>
      </c>
      <c r="R3339" t="s">
        <v>21442</v>
      </c>
      <c r="S3339">
        <v>632</v>
      </c>
    </row>
    <row r="3340" spans="1:19">
      <c r="A3340" t="s">
        <v>24</v>
      </c>
      <c r="B3340" t="s">
        <v>148</v>
      </c>
      <c r="C3340" t="s">
        <v>156</v>
      </c>
      <c r="D3340" t="s">
        <v>285</v>
      </c>
      <c r="E3340" t="s">
        <v>414</v>
      </c>
      <c r="F3340">
        <f>HYPERLINK("https://www.wikidata.org/wiki/Q16683508", "Q16683508")</f>
        <v>0</v>
      </c>
      <c r="G3340" t="s">
        <v>2149</v>
      </c>
      <c r="H3340" t="s">
        <v>6763</v>
      </c>
      <c r="I3340" t="s">
        <v>9499</v>
      </c>
      <c r="J3340" t="s">
        <v>12813</v>
      </c>
      <c r="K3340" t="s">
        <v>17228</v>
      </c>
      <c r="L3340">
        <f>HYPERLINK("https://www2.assemblee-nationale.fr/sycomore/fiche/(num_dept)/6184", "6184")</f>
        <v>0</v>
      </c>
      <c r="N3340">
        <f>HYPERLINK("https://www.wikidata.org/wiki/Q950845", "Q950845")</f>
        <v>0</v>
      </c>
      <c r="O3340" t="s">
        <v>20017</v>
      </c>
      <c r="P3340" t="s">
        <v>20428</v>
      </c>
      <c r="Q3340" t="s">
        <v>16639</v>
      </c>
      <c r="R3340" t="s">
        <v>414</v>
      </c>
      <c r="S3340">
        <v>1491</v>
      </c>
    </row>
    <row r="3341" spans="1:19">
      <c r="A3341" t="s">
        <v>24</v>
      </c>
      <c r="B3341" t="s">
        <v>148</v>
      </c>
      <c r="C3341" t="s">
        <v>156</v>
      </c>
      <c r="D3341" t="s">
        <v>285</v>
      </c>
      <c r="E3341" t="s">
        <v>414</v>
      </c>
      <c r="F3341">
        <f>HYPERLINK("https://www.wikidata.org/wiki/Q16683508", "Q16683508")</f>
        <v>0</v>
      </c>
      <c r="G3341" t="s">
        <v>2152</v>
      </c>
      <c r="H3341" t="s">
        <v>6766</v>
      </c>
      <c r="I3341" t="s">
        <v>10100</v>
      </c>
      <c r="J3341" t="s">
        <v>12816</v>
      </c>
      <c r="K3341" t="s">
        <v>17231</v>
      </c>
      <c r="L3341">
        <f>HYPERLINK("https://www2.assemblee-nationale.fr/sycomore/fiche/(num_dept)/6200", "6200")</f>
        <v>0</v>
      </c>
      <c r="N3341">
        <f>HYPERLINK("https://www.wikidata.org/wiki/Q1233694", "Q1233694")</f>
        <v>0</v>
      </c>
      <c r="O3341" t="s">
        <v>19990</v>
      </c>
      <c r="P3341" t="s">
        <v>20434</v>
      </c>
      <c r="Q3341" t="s">
        <v>16639</v>
      </c>
      <c r="R3341" t="s">
        <v>414</v>
      </c>
      <c r="S3341">
        <v>1491</v>
      </c>
    </row>
    <row r="3342" spans="1:19">
      <c r="A3342" t="s">
        <v>24</v>
      </c>
      <c r="B3342" t="s">
        <v>148</v>
      </c>
      <c r="C3342" t="s">
        <v>156</v>
      </c>
      <c r="D3342" t="s">
        <v>285</v>
      </c>
      <c r="E3342" t="s">
        <v>414</v>
      </c>
      <c r="F3342">
        <f>HYPERLINK("https://www.wikidata.org/wiki/Q16683508", "Q16683508")</f>
        <v>0</v>
      </c>
      <c r="G3342" t="s">
        <v>1880</v>
      </c>
      <c r="H3342" t="s">
        <v>6533</v>
      </c>
      <c r="I3342" t="s">
        <v>9980</v>
      </c>
      <c r="J3342" t="s">
        <v>12567</v>
      </c>
      <c r="K3342" t="s">
        <v>16980</v>
      </c>
      <c r="L3342">
        <f>HYPERLINK("https://www2.assemblee-nationale.fr/sycomore/fiche/(num_dept)/6217", "6217")</f>
        <v>0</v>
      </c>
      <c r="N3342">
        <f>HYPERLINK("https://www.wikidata.org/wiki/Q3557652", "Q3557652")</f>
        <v>0</v>
      </c>
      <c r="O3342" t="s">
        <v>19968</v>
      </c>
      <c r="P3342" t="s">
        <v>20414</v>
      </c>
      <c r="Q3342" t="s">
        <v>16639</v>
      </c>
      <c r="R3342" t="s">
        <v>16980</v>
      </c>
      <c r="S3342">
        <v>459</v>
      </c>
    </row>
    <row r="3343" spans="1:19">
      <c r="A3343" t="s">
        <v>24</v>
      </c>
      <c r="B3343" t="s">
        <v>148</v>
      </c>
      <c r="C3343" t="s">
        <v>156</v>
      </c>
      <c r="D3343" t="s">
        <v>285</v>
      </c>
      <c r="E3343" t="s">
        <v>414</v>
      </c>
      <c r="F3343">
        <f>HYPERLINK("https://www.wikidata.org/wiki/Q16683508", "Q16683508")</f>
        <v>0</v>
      </c>
      <c r="G3343" t="s">
        <v>2153</v>
      </c>
      <c r="H3343" t="s">
        <v>6767</v>
      </c>
      <c r="I3343" t="s">
        <v>7308</v>
      </c>
      <c r="J3343" t="s">
        <v>12817</v>
      </c>
      <c r="K3343" t="s">
        <v>17232</v>
      </c>
      <c r="L3343">
        <f>HYPERLINK("https://www2.assemblee-nationale.fr/sycomore/fiche/(num_dept)/6245", "6245")</f>
        <v>0</v>
      </c>
      <c r="N3343">
        <f>HYPERLINK("https://www.wikidata.org/wiki/Q1400172", "Q1400172")</f>
        <v>0</v>
      </c>
      <c r="O3343" t="s">
        <v>20013</v>
      </c>
      <c r="P3343" t="s">
        <v>20404</v>
      </c>
      <c r="Q3343" t="s">
        <v>16639</v>
      </c>
      <c r="R3343" t="s">
        <v>414</v>
      </c>
      <c r="S3343">
        <v>1491</v>
      </c>
    </row>
    <row r="3344" spans="1:19">
      <c r="A3344" t="s">
        <v>24</v>
      </c>
      <c r="B3344" t="s">
        <v>148</v>
      </c>
      <c r="C3344" t="s">
        <v>156</v>
      </c>
      <c r="D3344" t="s">
        <v>285</v>
      </c>
      <c r="E3344" t="s">
        <v>414</v>
      </c>
      <c r="F3344">
        <f>HYPERLINK("https://www.wikidata.org/wiki/Q16683508", "Q16683508")</f>
        <v>0</v>
      </c>
      <c r="G3344" t="s">
        <v>2214</v>
      </c>
      <c r="H3344" t="s">
        <v>6823</v>
      </c>
      <c r="I3344" t="s">
        <v>9455</v>
      </c>
      <c r="J3344" t="s">
        <v>12875</v>
      </c>
      <c r="K3344" t="s">
        <v>17287</v>
      </c>
      <c r="L3344">
        <f>HYPERLINK("https://www2.assemblee-nationale.fr/sycomore/fiche/(num_dept)/6247", "6247")</f>
        <v>0</v>
      </c>
      <c r="N3344">
        <f>HYPERLINK("https://www.wikidata.org/wiki/Q12949554", "Q12949554")</f>
        <v>0</v>
      </c>
      <c r="O3344" t="s">
        <v>7411</v>
      </c>
      <c r="P3344" t="s">
        <v>20404</v>
      </c>
      <c r="Q3344" t="s">
        <v>16639</v>
      </c>
      <c r="R3344" t="s">
        <v>414</v>
      </c>
      <c r="S3344">
        <v>1491</v>
      </c>
    </row>
    <row r="3345" spans="1:19">
      <c r="A3345" t="s">
        <v>24</v>
      </c>
      <c r="B3345" t="s">
        <v>148</v>
      </c>
      <c r="C3345" t="s">
        <v>156</v>
      </c>
      <c r="D3345" t="s">
        <v>285</v>
      </c>
      <c r="E3345" t="s">
        <v>414</v>
      </c>
      <c r="F3345">
        <f>HYPERLINK("https://www.wikidata.org/wiki/Q16683508", "Q16683508")</f>
        <v>0</v>
      </c>
      <c r="G3345" t="s">
        <v>2231</v>
      </c>
      <c r="H3345" t="s">
        <v>6840</v>
      </c>
      <c r="I3345" t="s">
        <v>9667</v>
      </c>
      <c r="J3345" t="s">
        <v>12892</v>
      </c>
      <c r="K3345" t="s">
        <v>17303</v>
      </c>
      <c r="L3345">
        <f>HYPERLINK("https://www2.assemblee-nationale.fr/sycomore/fiche/(num_dept)/6256", "6256")</f>
        <v>0</v>
      </c>
      <c r="N3345">
        <f>HYPERLINK("https://www.wikidata.org/wiki/Q16026475", "Q16026475")</f>
        <v>0</v>
      </c>
      <c r="O3345" t="s">
        <v>19991</v>
      </c>
      <c r="P3345" t="s">
        <v>20404</v>
      </c>
      <c r="Q3345" t="s">
        <v>16639</v>
      </c>
      <c r="R3345" t="s">
        <v>414</v>
      </c>
      <c r="S3345">
        <v>1491</v>
      </c>
    </row>
    <row r="3346" spans="1:19">
      <c r="A3346" t="s">
        <v>24</v>
      </c>
      <c r="B3346" t="s">
        <v>148</v>
      </c>
      <c r="C3346" t="s">
        <v>156</v>
      </c>
      <c r="D3346" t="s">
        <v>285</v>
      </c>
      <c r="E3346" t="s">
        <v>414</v>
      </c>
      <c r="F3346">
        <f>HYPERLINK("https://www.wikidata.org/wiki/Q16683508", "Q16683508")</f>
        <v>0</v>
      </c>
      <c r="G3346" t="s">
        <v>2155</v>
      </c>
      <c r="H3346" t="s">
        <v>6769</v>
      </c>
      <c r="I3346" t="s">
        <v>6175</v>
      </c>
      <c r="J3346" t="s">
        <v>12819</v>
      </c>
      <c r="K3346" t="s">
        <v>17234</v>
      </c>
      <c r="L3346">
        <f>HYPERLINK("https://www2.assemblee-nationale.fr/sycomore/fiche/(num_dept)/6328", "6328")</f>
        <v>0</v>
      </c>
      <c r="N3346">
        <f>HYPERLINK("https://www.wikidata.org/wiki/Q3103471", "Q3103471")</f>
        <v>0</v>
      </c>
      <c r="O3346" t="s">
        <v>19969</v>
      </c>
      <c r="P3346" t="s">
        <v>20420</v>
      </c>
      <c r="Q3346" t="s">
        <v>16639</v>
      </c>
      <c r="R3346" t="s">
        <v>414</v>
      </c>
      <c r="S3346">
        <v>1491</v>
      </c>
    </row>
    <row r="3347" spans="1:19">
      <c r="A3347" t="s">
        <v>24</v>
      </c>
      <c r="B3347" t="s">
        <v>148</v>
      </c>
      <c r="C3347" t="s">
        <v>156</v>
      </c>
      <c r="D3347" t="s">
        <v>285</v>
      </c>
      <c r="E3347" t="s">
        <v>414</v>
      </c>
      <c r="F3347">
        <f>HYPERLINK("https://www.wikidata.org/wiki/Q16683508", "Q16683508")</f>
        <v>0</v>
      </c>
      <c r="G3347" t="s">
        <v>1882</v>
      </c>
      <c r="H3347" t="s">
        <v>6535</v>
      </c>
      <c r="I3347" t="s">
        <v>9483</v>
      </c>
      <c r="J3347" t="s">
        <v>12569</v>
      </c>
      <c r="K3347" t="s">
        <v>15891</v>
      </c>
      <c r="L3347">
        <f>HYPERLINK("https://www2.assemblee-nationale.fr/sycomore/fiche/(num_dept)/6339", "6339")</f>
        <v>0</v>
      </c>
      <c r="N3347">
        <f>HYPERLINK("https://www.wikidata.org/wiki/Q16026490", "Q16026490")</f>
        <v>0</v>
      </c>
      <c r="O3347" t="s">
        <v>20030</v>
      </c>
      <c r="P3347" t="s">
        <v>20438</v>
      </c>
      <c r="Q3347" t="s">
        <v>16639</v>
      </c>
      <c r="R3347" t="s">
        <v>15891</v>
      </c>
      <c r="S3347">
        <v>601</v>
      </c>
    </row>
    <row r="3348" spans="1:19">
      <c r="A3348" t="s">
        <v>24</v>
      </c>
      <c r="B3348" t="s">
        <v>148</v>
      </c>
      <c r="C3348" t="s">
        <v>156</v>
      </c>
      <c r="D3348" t="s">
        <v>285</v>
      </c>
      <c r="E3348" t="s">
        <v>414</v>
      </c>
      <c r="F3348">
        <f>HYPERLINK("https://www.wikidata.org/wiki/Q16683508", "Q16683508")</f>
        <v>0</v>
      </c>
      <c r="G3348" t="s">
        <v>1594</v>
      </c>
      <c r="H3348" t="s">
        <v>6284</v>
      </c>
      <c r="I3348" t="s">
        <v>6759</v>
      </c>
      <c r="J3348" t="s">
        <v>12302</v>
      </c>
      <c r="K3348" t="s">
        <v>16712</v>
      </c>
      <c r="L3348">
        <f>HYPERLINK("https://www2.assemblee-nationale.fr/sycomore/fiche/(num_dept)/6358", "6358")</f>
        <v>0</v>
      </c>
      <c r="N3348">
        <f>HYPERLINK("https://www.wikidata.org/wiki/Q15981", "Q15981")</f>
        <v>0</v>
      </c>
      <c r="O3348" t="s">
        <v>20050</v>
      </c>
      <c r="P3348" t="s">
        <v>20441</v>
      </c>
      <c r="Q3348" t="s">
        <v>16639</v>
      </c>
      <c r="R3348" t="s">
        <v>414</v>
      </c>
      <c r="S3348">
        <v>1491</v>
      </c>
    </row>
    <row r="3349" spans="1:19">
      <c r="A3349" t="s">
        <v>24</v>
      </c>
      <c r="B3349" t="s">
        <v>148</v>
      </c>
      <c r="C3349" t="s">
        <v>156</v>
      </c>
      <c r="D3349" t="s">
        <v>285</v>
      </c>
      <c r="E3349" t="s">
        <v>414</v>
      </c>
      <c r="F3349">
        <f>HYPERLINK("https://www.wikidata.org/wiki/Q16683508", "Q16683508")</f>
        <v>0</v>
      </c>
      <c r="G3349" t="s">
        <v>1883</v>
      </c>
      <c r="H3349" t="s">
        <v>6536</v>
      </c>
      <c r="I3349" t="s">
        <v>9981</v>
      </c>
      <c r="J3349" t="s">
        <v>12570</v>
      </c>
      <c r="K3349" t="s">
        <v>16982</v>
      </c>
      <c r="L3349">
        <f>HYPERLINK("https://www2.assemblee-nationale.fr/sycomore/fiche/(num_dept)/6364", "6364")</f>
        <v>0</v>
      </c>
      <c r="M3349">
        <f>HYPERLINK("https://www.senat.fr/senateur-3eme-republique/sclafer_james0169r4.html", "sclafer_james0169r4")</f>
        <v>0</v>
      </c>
      <c r="N3349">
        <f>HYPERLINK("https://www.wikidata.org/wiki/Q3161394", "Q3161394")</f>
        <v>0</v>
      </c>
      <c r="O3349" t="s">
        <v>20037</v>
      </c>
      <c r="P3349" t="s">
        <v>20428</v>
      </c>
      <c r="Q3349" t="s">
        <v>16639</v>
      </c>
      <c r="R3349" t="s">
        <v>414</v>
      </c>
      <c r="S3349">
        <v>1491</v>
      </c>
    </row>
    <row r="3350" spans="1:19">
      <c r="A3350" t="s">
        <v>24</v>
      </c>
      <c r="B3350" t="s">
        <v>148</v>
      </c>
      <c r="C3350" t="s">
        <v>156</v>
      </c>
      <c r="D3350" t="s">
        <v>285</v>
      </c>
      <c r="E3350" t="s">
        <v>414</v>
      </c>
      <c r="F3350">
        <f>HYPERLINK("https://www.wikidata.org/wiki/Q16683508", "Q16683508")</f>
        <v>0</v>
      </c>
      <c r="G3350" t="s">
        <v>1885</v>
      </c>
      <c r="H3350" t="s">
        <v>6538</v>
      </c>
      <c r="I3350" t="s">
        <v>6584</v>
      </c>
      <c r="J3350" t="s">
        <v>12572</v>
      </c>
      <c r="K3350" t="s">
        <v>16984</v>
      </c>
      <c r="L3350">
        <f>HYPERLINK("https://www2.assemblee-nationale.fr/sycomore/fiche/(num_dept)/6395", "6395")</f>
        <v>0</v>
      </c>
      <c r="N3350">
        <f>HYPERLINK("https://www.wikidata.org/wiki/Q8334416", "Q8334416")</f>
        <v>0</v>
      </c>
      <c r="O3350" t="s">
        <v>19997</v>
      </c>
      <c r="P3350" t="s">
        <v>20404</v>
      </c>
      <c r="Q3350" t="s">
        <v>16639</v>
      </c>
      <c r="R3350" t="s">
        <v>414</v>
      </c>
      <c r="S3350">
        <v>1491</v>
      </c>
    </row>
    <row r="3351" spans="1:19">
      <c r="A3351" t="s">
        <v>24</v>
      </c>
      <c r="B3351" t="s">
        <v>148</v>
      </c>
      <c r="C3351" t="s">
        <v>156</v>
      </c>
      <c r="D3351" t="s">
        <v>285</v>
      </c>
      <c r="E3351" t="s">
        <v>414</v>
      </c>
      <c r="F3351">
        <f>HYPERLINK("https://www.wikidata.org/wiki/Q16683508", "Q16683508")</f>
        <v>0</v>
      </c>
      <c r="G3351" t="s">
        <v>1598</v>
      </c>
      <c r="H3351" t="s">
        <v>6288</v>
      </c>
      <c r="I3351" t="s">
        <v>6759</v>
      </c>
      <c r="J3351" t="s">
        <v>12306</v>
      </c>
      <c r="K3351" t="s">
        <v>16716</v>
      </c>
      <c r="L3351">
        <f>HYPERLINK("https://www2.assemblee-nationale.fr/sycomore/fiche/(num_dept)/6396", "6396")</f>
        <v>0</v>
      </c>
      <c r="N3351">
        <f>HYPERLINK("https://www.wikidata.org/wiki/Q3436380", "Q3436380")</f>
        <v>0</v>
      </c>
      <c r="O3351" t="s">
        <v>20050</v>
      </c>
      <c r="P3351" t="s">
        <v>20437</v>
      </c>
      <c r="Q3351" t="s">
        <v>16639</v>
      </c>
      <c r="R3351" t="s">
        <v>414</v>
      </c>
      <c r="S3351">
        <v>1491</v>
      </c>
    </row>
    <row r="3352" spans="1:19">
      <c r="A3352" t="s">
        <v>24</v>
      </c>
      <c r="B3352" t="s">
        <v>148</v>
      </c>
      <c r="C3352" t="s">
        <v>156</v>
      </c>
      <c r="D3352" t="s">
        <v>285</v>
      </c>
      <c r="E3352" t="s">
        <v>414</v>
      </c>
      <c r="F3352">
        <f>HYPERLINK("https://www.wikidata.org/wiki/Q16683508", "Q16683508")</f>
        <v>0</v>
      </c>
      <c r="G3352" t="s">
        <v>1971</v>
      </c>
      <c r="H3352" t="s">
        <v>6611</v>
      </c>
      <c r="I3352" t="s">
        <v>9856</v>
      </c>
      <c r="J3352" t="s">
        <v>12334</v>
      </c>
      <c r="K3352" t="s">
        <v>17062</v>
      </c>
      <c r="L3352">
        <f>HYPERLINK("https://www2.assemblee-nationale.fr/sycomore/fiche/(num_dept)/6404", "6404")</f>
        <v>0</v>
      </c>
      <c r="N3352">
        <f>HYPERLINK("https://www.wikidata.org/wiki/Q3086294", "Q3086294")</f>
        <v>0</v>
      </c>
      <c r="O3352" t="s">
        <v>19980</v>
      </c>
      <c r="P3352" t="s">
        <v>20437</v>
      </c>
      <c r="Q3352" t="s">
        <v>16639</v>
      </c>
      <c r="R3352" t="s">
        <v>414</v>
      </c>
      <c r="S3352">
        <v>1491</v>
      </c>
    </row>
    <row r="3353" spans="1:19">
      <c r="A3353" t="s">
        <v>24</v>
      </c>
      <c r="B3353" t="s">
        <v>148</v>
      </c>
      <c r="C3353" t="s">
        <v>156</v>
      </c>
      <c r="D3353" t="s">
        <v>285</v>
      </c>
      <c r="E3353" t="s">
        <v>414</v>
      </c>
      <c r="F3353">
        <f>HYPERLINK("https://www.wikidata.org/wiki/Q16683508", "Q16683508")</f>
        <v>0</v>
      </c>
      <c r="G3353" t="s">
        <v>2156</v>
      </c>
      <c r="H3353" t="s">
        <v>6770</v>
      </c>
      <c r="I3353" t="s">
        <v>9385</v>
      </c>
      <c r="J3353" t="s">
        <v>12820</v>
      </c>
      <c r="K3353" t="s">
        <v>17235</v>
      </c>
      <c r="L3353">
        <f>HYPERLINK("https://www2.assemblee-nationale.fr/sycomore/fiche/(num_dept)/6406", "6406")</f>
        <v>0</v>
      </c>
      <c r="N3353">
        <f>HYPERLINK("https://www.wikidata.org/wiki/Q2960033", "Q2960033")</f>
        <v>0</v>
      </c>
      <c r="O3353" t="s">
        <v>20004</v>
      </c>
      <c r="P3353" t="s">
        <v>20440</v>
      </c>
      <c r="Q3353" t="s">
        <v>16639</v>
      </c>
      <c r="R3353" t="s">
        <v>414</v>
      </c>
      <c r="S3353">
        <v>1491</v>
      </c>
    </row>
    <row r="3354" spans="1:19">
      <c r="A3354" t="s">
        <v>24</v>
      </c>
      <c r="B3354" t="s">
        <v>148</v>
      </c>
      <c r="C3354" t="s">
        <v>156</v>
      </c>
      <c r="D3354" t="s">
        <v>285</v>
      </c>
      <c r="E3354" t="s">
        <v>414</v>
      </c>
      <c r="F3354">
        <f>HYPERLINK("https://www.wikidata.org/wiki/Q16683508", "Q16683508")</f>
        <v>0</v>
      </c>
      <c r="G3354" t="s">
        <v>1606</v>
      </c>
      <c r="H3354" t="s">
        <v>6294</v>
      </c>
      <c r="I3354" t="s">
        <v>9855</v>
      </c>
      <c r="J3354" t="s">
        <v>11665</v>
      </c>
      <c r="K3354" t="s">
        <v>16723</v>
      </c>
      <c r="L3354">
        <f>HYPERLINK("https://www2.assemblee-nationale.fr/sycomore/fiche/(num_dept)/6547", "6547")</f>
        <v>0</v>
      </c>
      <c r="N3354">
        <f>HYPERLINK("https://www.wikidata.org/wiki/Q2898489", "Q2898489")</f>
        <v>0</v>
      </c>
      <c r="O3354" t="s">
        <v>19985</v>
      </c>
      <c r="P3354" t="s">
        <v>20414</v>
      </c>
      <c r="Q3354" t="s">
        <v>16639</v>
      </c>
      <c r="R3354" t="s">
        <v>414</v>
      </c>
      <c r="S3354">
        <v>1491</v>
      </c>
    </row>
    <row r="3355" spans="1:19">
      <c r="A3355" t="s">
        <v>24</v>
      </c>
      <c r="B3355" t="s">
        <v>148</v>
      </c>
      <c r="C3355" t="s">
        <v>156</v>
      </c>
      <c r="D3355" t="s">
        <v>285</v>
      </c>
      <c r="E3355" t="s">
        <v>414</v>
      </c>
      <c r="F3355">
        <f>HYPERLINK("https://www.wikidata.org/wiki/Q16683508", "Q16683508")</f>
        <v>0</v>
      </c>
      <c r="G3355" t="s">
        <v>794</v>
      </c>
      <c r="H3355" t="s">
        <v>5551</v>
      </c>
      <c r="I3355" t="s">
        <v>6495</v>
      </c>
      <c r="J3355" t="s">
        <v>11541</v>
      </c>
      <c r="K3355" t="s">
        <v>15945</v>
      </c>
      <c r="L3355">
        <f>HYPERLINK("https://www2.assemblee-nationale.fr/sycomore/fiche/(num_dept)/6551", "6551")</f>
        <v>0</v>
      </c>
      <c r="M3355">
        <f>HYPERLINK("https://www.senat.fr/senateur-3eme-republique/quesnel_louis1575r3.html", "quesnel_louis1575r3")</f>
        <v>0</v>
      </c>
      <c r="N3355">
        <f>HYPERLINK("https://www.wikidata.org/wiki/Q3262977", "Q3262977")</f>
        <v>0</v>
      </c>
      <c r="O3355" t="s">
        <v>19978</v>
      </c>
      <c r="P3355" t="s">
        <v>20412</v>
      </c>
      <c r="Q3355" t="s">
        <v>16639</v>
      </c>
      <c r="R3355" t="s">
        <v>414</v>
      </c>
      <c r="S3355">
        <v>1491</v>
      </c>
    </row>
    <row r="3356" spans="1:19">
      <c r="A3356" t="s">
        <v>24</v>
      </c>
      <c r="B3356" t="s">
        <v>148</v>
      </c>
      <c r="C3356" t="s">
        <v>156</v>
      </c>
      <c r="D3356" t="s">
        <v>285</v>
      </c>
      <c r="E3356" t="s">
        <v>414</v>
      </c>
      <c r="F3356">
        <f>HYPERLINK("https://www.wikidata.org/wiki/Q16683508", "Q16683508")</f>
        <v>0</v>
      </c>
      <c r="G3356" t="s">
        <v>1304</v>
      </c>
      <c r="H3356" t="s">
        <v>6025</v>
      </c>
      <c r="I3356" t="s">
        <v>9457</v>
      </c>
      <c r="J3356" t="s">
        <v>12034</v>
      </c>
      <c r="K3356" t="s">
        <v>16435</v>
      </c>
      <c r="L3356">
        <f>HYPERLINK("https://www2.assemblee-nationale.fr/sycomore/fiche/(num_dept)/6554", "6554")</f>
        <v>0</v>
      </c>
      <c r="M3356">
        <f>HYPERLINK("https://www.senat.fr/senateur-3eme-republique/queuille_henri0469r3.html", "queuille_henri0469r3")</f>
        <v>0</v>
      </c>
      <c r="N3356">
        <f>HYPERLINK("https://www.wikidata.org/wiki/Q455655", "Q455655")</f>
        <v>0</v>
      </c>
      <c r="O3356" t="s">
        <v>20020</v>
      </c>
      <c r="P3356" t="s">
        <v>20428</v>
      </c>
      <c r="Q3356" t="s">
        <v>16639</v>
      </c>
      <c r="R3356" t="s">
        <v>414</v>
      </c>
      <c r="S3356">
        <v>1491</v>
      </c>
    </row>
    <row r="3357" spans="1:19">
      <c r="A3357" t="s">
        <v>24</v>
      </c>
      <c r="B3357" t="s">
        <v>148</v>
      </c>
      <c r="C3357" t="s">
        <v>156</v>
      </c>
      <c r="D3357" t="s">
        <v>285</v>
      </c>
      <c r="E3357" t="s">
        <v>414</v>
      </c>
      <c r="F3357">
        <f>HYPERLINK("https://www.wikidata.org/wiki/Q16683508", "Q16683508")</f>
        <v>0</v>
      </c>
      <c r="G3357" t="s">
        <v>2161</v>
      </c>
      <c r="H3357" t="s">
        <v>6775</v>
      </c>
      <c r="I3357" t="s">
        <v>10101</v>
      </c>
      <c r="J3357" t="s">
        <v>12825</v>
      </c>
      <c r="K3357" t="s">
        <v>17240</v>
      </c>
      <c r="L3357">
        <f>HYPERLINK("https://www2.assemblee-nationale.fr/sycomore/fiche/(num_dept)/6610", "6610")</f>
        <v>0</v>
      </c>
      <c r="N3357">
        <f>HYPERLINK("https://www.wikidata.org/wiki/Q3060126", "Q3060126")</f>
        <v>0</v>
      </c>
      <c r="O3357" t="s">
        <v>19961</v>
      </c>
      <c r="P3357" t="s">
        <v>20428</v>
      </c>
      <c r="Q3357" t="s">
        <v>16639</v>
      </c>
      <c r="R3357" t="s">
        <v>414</v>
      </c>
      <c r="S3357">
        <v>1491</v>
      </c>
    </row>
    <row r="3358" spans="1:19">
      <c r="A3358" t="s">
        <v>24</v>
      </c>
      <c r="B3358" t="s">
        <v>148</v>
      </c>
      <c r="C3358" t="s">
        <v>156</v>
      </c>
      <c r="D3358" t="s">
        <v>285</v>
      </c>
      <c r="E3358" t="s">
        <v>414</v>
      </c>
      <c r="F3358">
        <f>HYPERLINK("https://www.wikidata.org/wiki/Q16683508", "Q16683508")</f>
        <v>0</v>
      </c>
      <c r="G3358" t="s">
        <v>2163</v>
      </c>
      <c r="H3358" t="s">
        <v>6777</v>
      </c>
      <c r="I3358" t="s">
        <v>9613</v>
      </c>
      <c r="J3358" t="s">
        <v>12827</v>
      </c>
      <c r="K3358" t="s">
        <v>17242</v>
      </c>
      <c r="L3358">
        <f>HYPERLINK("https://www2.assemblee-nationale.fr/sycomore/fiche/(num_dept)/6619", "6619")</f>
        <v>0</v>
      </c>
      <c r="N3358">
        <f>HYPERLINK("https://www.wikidata.org/wiki/Q3179710", "Q3179710")</f>
        <v>0</v>
      </c>
      <c r="O3358" t="s">
        <v>20006</v>
      </c>
      <c r="P3358" t="s">
        <v>20404</v>
      </c>
      <c r="Q3358" t="s">
        <v>16639</v>
      </c>
      <c r="R3358" t="s">
        <v>414</v>
      </c>
      <c r="S3358">
        <v>1491</v>
      </c>
    </row>
    <row r="3359" spans="1:19">
      <c r="A3359" t="s">
        <v>24</v>
      </c>
      <c r="B3359" t="s">
        <v>148</v>
      </c>
      <c r="C3359" t="s">
        <v>156</v>
      </c>
      <c r="D3359" t="s">
        <v>285</v>
      </c>
      <c r="E3359" t="s">
        <v>414</v>
      </c>
      <c r="F3359">
        <f>HYPERLINK("https://www.wikidata.org/wiki/Q16683508", "Q16683508")</f>
        <v>0</v>
      </c>
      <c r="G3359" t="s">
        <v>2258</v>
      </c>
      <c r="H3359" t="s">
        <v>6861</v>
      </c>
      <c r="I3359" t="s">
        <v>9401</v>
      </c>
      <c r="J3359" t="s">
        <v>12916</v>
      </c>
      <c r="K3359" t="s">
        <v>17327</v>
      </c>
      <c r="L3359">
        <f>HYPERLINK("https://www2.assemblee-nationale.fr/sycomore/fiche/(num_dept)/6621", "6621")</f>
        <v>0</v>
      </c>
      <c r="N3359">
        <f>HYPERLINK("https://www.wikidata.org/wiki/Q15642550", "Q15642550")</f>
        <v>0</v>
      </c>
      <c r="O3359" t="s">
        <v>19997</v>
      </c>
      <c r="P3359" t="s">
        <v>20428</v>
      </c>
      <c r="Q3359" t="s">
        <v>16639</v>
      </c>
      <c r="R3359" t="s">
        <v>414</v>
      </c>
      <c r="S3359">
        <v>1491</v>
      </c>
    </row>
    <row r="3360" spans="1:19">
      <c r="A3360" t="s">
        <v>24</v>
      </c>
      <c r="B3360" t="s">
        <v>148</v>
      </c>
      <c r="C3360" t="s">
        <v>156</v>
      </c>
      <c r="D3360" t="s">
        <v>285</v>
      </c>
      <c r="E3360" t="s">
        <v>414</v>
      </c>
      <c r="F3360">
        <f>HYPERLINK("https://www.wikidata.org/wiki/Q16683508", "Q16683508")</f>
        <v>0</v>
      </c>
      <c r="G3360" t="s">
        <v>1613</v>
      </c>
      <c r="H3360" t="s">
        <v>5559</v>
      </c>
      <c r="I3360" t="s">
        <v>6166</v>
      </c>
      <c r="J3360" t="s">
        <v>12320</v>
      </c>
      <c r="K3360" t="s">
        <v>16730</v>
      </c>
      <c r="L3360">
        <f>HYPERLINK("https://www2.assemblee-nationale.fr/sycomore/fiche/(num_dept)/6659", "6659")</f>
        <v>0</v>
      </c>
      <c r="N3360">
        <f>HYPERLINK("https://www.wikidata.org/wiki/Q3085660", "Q3085660")</f>
        <v>0</v>
      </c>
      <c r="O3360" t="s">
        <v>19962</v>
      </c>
      <c r="P3360" t="s">
        <v>20441</v>
      </c>
      <c r="Q3360" t="s">
        <v>16639</v>
      </c>
      <c r="R3360" t="s">
        <v>414</v>
      </c>
      <c r="S3360">
        <v>1491</v>
      </c>
    </row>
    <row r="3361" spans="1:19">
      <c r="A3361" t="s">
        <v>24</v>
      </c>
      <c r="B3361" t="s">
        <v>148</v>
      </c>
      <c r="C3361" t="s">
        <v>156</v>
      </c>
      <c r="D3361" t="s">
        <v>285</v>
      </c>
      <c r="E3361" t="s">
        <v>414</v>
      </c>
      <c r="F3361">
        <f>HYPERLINK("https://www.wikidata.org/wiki/Q16683508", "Q16683508")</f>
        <v>0</v>
      </c>
      <c r="G3361" t="s">
        <v>2164</v>
      </c>
      <c r="H3361" t="s">
        <v>6778</v>
      </c>
      <c r="I3361" t="s">
        <v>10102</v>
      </c>
      <c r="J3361" t="s">
        <v>12828</v>
      </c>
      <c r="K3361" t="s">
        <v>17243</v>
      </c>
      <c r="L3361">
        <f>HYPERLINK("https://www2.assemblee-nationale.fr/sycomore/fiche/(num_dept)/6669", "6669")</f>
        <v>0</v>
      </c>
      <c r="N3361">
        <f>HYPERLINK("https://www.wikidata.org/wiki/Q3168121", "Q3168121")</f>
        <v>0</v>
      </c>
      <c r="O3361" t="s">
        <v>20034</v>
      </c>
      <c r="P3361" t="s">
        <v>20434</v>
      </c>
      <c r="Q3361" t="s">
        <v>16639</v>
      </c>
      <c r="R3361" t="s">
        <v>414</v>
      </c>
      <c r="S3361">
        <v>1491</v>
      </c>
    </row>
    <row r="3362" spans="1:19">
      <c r="A3362" t="s">
        <v>24</v>
      </c>
      <c r="B3362" t="s">
        <v>148</v>
      </c>
      <c r="C3362" t="s">
        <v>156</v>
      </c>
      <c r="D3362" t="s">
        <v>285</v>
      </c>
      <c r="E3362" t="s">
        <v>414</v>
      </c>
      <c r="F3362">
        <f>HYPERLINK("https://www.wikidata.org/wiki/Q16683508", "Q16683508")</f>
        <v>0</v>
      </c>
      <c r="G3362" t="s">
        <v>1307</v>
      </c>
      <c r="H3362" t="s">
        <v>6028</v>
      </c>
      <c r="I3362" t="s">
        <v>9742</v>
      </c>
      <c r="J3362" t="s">
        <v>12037</v>
      </c>
      <c r="K3362" t="s">
        <v>16438</v>
      </c>
      <c r="L3362">
        <f>HYPERLINK("https://www2.assemblee-nationale.fr/sycomore/fiche/(num_dept)/6676", "6676")</f>
        <v>0</v>
      </c>
      <c r="N3362">
        <f>HYPERLINK("https://www.wikidata.org/wiki/Q3386778", "Q3386778")</f>
        <v>0</v>
      </c>
      <c r="O3362" t="s">
        <v>20042</v>
      </c>
      <c r="P3362" t="s">
        <v>20436</v>
      </c>
      <c r="Q3362" t="s">
        <v>16639</v>
      </c>
      <c r="R3362" t="s">
        <v>16438</v>
      </c>
      <c r="S3362">
        <v>1065</v>
      </c>
    </row>
    <row r="3363" spans="1:19">
      <c r="A3363" t="s">
        <v>24</v>
      </c>
      <c r="B3363" t="s">
        <v>148</v>
      </c>
      <c r="C3363" t="s">
        <v>156</v>
      </c>
      <c r="D3363" t="s">
        <v>285</v>
      </c>
      <c r="E3363" t="s">
        <v>414</v>
      </c>
      <c r="F3363">
        <f>HYPERLINK("https://www.wikidata.org/wiki/Q16683508", "Q16683508")</f>
        <v>0</v>
      </c>
      <c r="G3363" t="s">
        <v>1616</v>
      </c>
      <c r="H3363" t="s">
        <v>6301</v>
      </c>
      <c r="I3363" t="s">
        <v>9388</v>
      </c>
      <c r="J3363" t="s">
        <v>12323</v>
      </c>
      <c r="K3363" t="s">
        <v>16733</v>
      </c>
      <c r="L3363">
        <f>HYPERLINK("https://www2.assemblee-nationale.fr/sycomore/fiche/(num_dept)/6710", "6710")</f>
        <v>0</v>
      </c>
      <c r="N3363">
        <f>HYPERLINK("https://www.wikidata.org/wiki/Q161076", "Q161076")</f>
        <v>0</v>
      </c>
      <c r="O3363" t="s">
        <v>19969</v>
      </c>
      <c r="P3363" t="s">
        <v>20438</v>
      </c>
      <c r="Q3363" t="s">
        <v>16639</v>
      </c>
      <c r="R3363" t="s">
        <v>414</v>
      </c>
      <c r="S3363">
        <v>1491</v>
      </c>
    </row>
    <row r="3364" spans="1:19">
      <c r="A3364" t="s">
        <v>24</v>
      </c>
      <c r="B3364" t="s">
        <v>148</v>
      </c>
      <c r="C3364" t="s">
        <v>156</v>
      </c>
      <c r="D3364" t="s">
        <v>285</v>
      </c>
      <c r="E3364" t="s">
        <v>414</v>
      </c>
      <c r="F3364">
        <f>HYPERLINK("https://www.wikidata.org/wiki/Q16683508", "Q16683508")</f>
        <v>0</v>
      </c>
      <c r="G3364" t="s">
        <v>2166</v>
      </c>
      <c r="H3364" t="s">
        <v>6780</v>
      </c>
      <c r="I3364" t="s">
        <v>5394</v>
      </c>
      <c r="J3364" t="s">
        <v>12830</v>
      </c>
      <c r="K3364" t="s">
        <v>17245</v>
      </c>
      <c r="L3364">
        <f>HYPERLINK("https://www2.assemblee-nationale.fr/sycomore/fiche/(num_dept)/6742", "6742")</f>
        <v>0</v>
      </c>
      <c r="N3364">
        <f>HYPERLINK("https://www.wikidata.org/wiki/Q3592354", "Q3592354")</f>
        <v>0</v>
      </c>
      <c r="O3364" t="s">
        <v>19959</v>
      </c>
      <c r="P3364" t="s">
        <v>20401</v>
      </c>
      <c r="Q3364" t="s">
        <v>16639</v>
      </c>
      <c r="R3364" t="s">
        <v>17245</v>
      </c>
      <c r="S3364">
        <v>821</v>
      </c>
    </row>
    <row r="3365" spans="1:19">
      <c r="A3365" t="s">
        <v>24</v>
      </c>
      <c r="B3365" t="s">
        <v>148</v>
      </c>
      <c r="C3365" t="s">
        <v>156</v>
      </c>
      <c r="D3365" t="s">
        <v>285</v>
      </c>
      <c r="E3365" t="s">
        <v>414</v>
      </c>
      <c r="F3365">
        <f>HYPERLINK("https://www.wikidata.org/wiki/Q16683508", "Q16683508")</f>
        <v>0</v>
      </c>
      <c r="G3365" t="s">
        <v>2169</v>
      </c>
      <c r="H3365" t="s">
        <v>6783</v>
      </c>
      <c r="I3365" t="s">
        <v>10104</v>
      </c>
      <c r="J3365" t="s">
        <v>12833</v>
      </c>
      <c r="K3365" t="s">
        <v>17247</v>
      </c>
      <c r="L3365">
        <f>HYPERLINK("https://www2.assemblee-nationale.fr/sycomore/fiche/(num_dept)/6760", "6760")</f>
        <v>0</v>
      </c>
      <c r="N3365">
        <f>HYPERLINK("https://www.wikidata.org/wiki/Q2935058", "Q2935058")</f>
        <v>0</v>
      </c>
      <c r="O3365" t="s">
        <v>19979</v>
      </c>
      <c r="P3365" t="s">
        <v>20404</v>
      </c>
      <c r="Q3365" t="s">
        <v>16639</v>
      </c>
      <c r="R3365" t="s">
        <v>414</v>
      </c>
      <c r="S3365">
        <v>1491</v>
      </c>
    </row>
    <row r="3366" spans="1:19">
      <c r="A3366" t="s">
        <v>24</v>
      </c>
      <c r="B3366" t="s">
        <v>148</v>
      </c>
      <c r="C3366" t="s">
        <v>156</v>
      </c>
      <c r="D3366" t="s">
        <v>285</v>
      </c>
      <c r="E3366" t="s">
        <v>414</v>
      </c>
      <c r="F3366">
        <f>HYPERLINK("https://www.wikidata.org/wiki/Q16683508", "Q16683508")</f>
        <v>0</v>
      </c>
      <c r="G3366" t="s">
        <v>1132</v>
      </c>
      <c r="H3366" t="s">
        <v>5800</v>
      </c>
      <c r="I3366" t="s">
        <v>9388</v>
      </c>
      <c r="J3366" t="s">
        <v>11866</v>
      </c>
      <c r="K3366" t="s">
        <v>16268</v>
      </c>
      <c r="L3366">
        <f>HYPERLINK("https://www2.assemblee-nationale.fr/sycomore/fiche/(num_dept)/6845", "6845")</f>
        <v>0</v>
      </c>
      <c r="N3366">
        <f>HYPERLINK("https://www.wikidata.org/wiki/Q3372205", "Q3372205")</f>
        <v>0</v>
      </c>
      <c r="O3366" t="s">
        <v>20011</v>
      </c>
      <c r="P3366" t="s">
        <v>20441</v>
      </c>
      <c r="Q3366" t="s">
        <v>16639</v>
      </c>
      <c r="R3366" t="s">
        <v>414</v>
      </c>
      <c r="S3366">
        <v>1491</v>
      </c>
    </row>
    <row r="3367" spans="1:19">
      <c r="A3367" t="s">
        <v>24</v>
      </c>
      <c r="B3367" t="s">
        <v>148</v>
      </c>
      <c r="C3367" t="s">
        <v>156</v>
      </c>
      <c r="D3367" t="s">
        <v>285</v>
      </c>
      <c r="E3367" t="s">
        <v>414</v>
      </c>
      <c r="F3367">
        <f>HYPERLINK("https://www.wikidata.org/wiki/Q16683508", "Q16683508")</f>
        <v>0</v>
      </c>
      <c r="G3367" t="s">
        <v>2200</v>
      </c>
      <c r="H3367" t="s">
        <v>6810</v>
      </c>
      <c r="I3367" t="s">
        <v>9523</v>
      </c>
      <c r="J3367" t="s">
        <v>12862</v>
      </c>
      <c r="K3367" t="s">
        <v>17274</v>
      </c>
      <c r="L3367">
        <f>HYPERLINK("https://www2.assemblee-nationale.fr/sycomore/fiche/(num_dept)/6914", "6914")</f>
        <v>0</v>
      </c>
      <c r="N3367">
        <f>HYPERLINK("https://www.wikidata.org/wiki/Q3289422", "Q3289422")</f>
        <v>0</v>
      </c>
      <c r="O3367" t="s">
        <v>20049</v>
      </c>
      <c r="P3367" t="s">
        <v>20443</v>
      </c>
      <c r="Q3367" t="s">
        <v>16639</v>
      </c>
      <c r="R3367" t="s">
        <v>414</v>
      </c>
      <c r="S3367">
        <v>1491</v>
      </c>
    </row>
    <row r="3368" spans="1:19">
      <c r="A3368" t="s">
        <v>24</v>
      </c>
      <c r="B3368" t="s">
        <v>148</v>
      </c>
      <c r="C3368" t="s">
        <v>156</v>
      </c>
      <c r="D3368" t="s">
        <v>285</v>
      </c>
      <c r="E3368" t="s">
        <v>414</v>
      </c>
      <c r="F3368">
        <f>HYPERLINK("https://www.wikidata.org/wiki/Q16683508", "Q16683508")</f>
        <v>0</v>
      </c>
      <c r="G3368" t="s">
        <v>1627</v>
      </c>
      <c r="H3368" t="s">
        <v>6312</v>
      </c>
      <c r="I3368" t="s">
        <v>6860</v>
      </c>
      <c r="J3368" t="s">
        <v>12334</v>
      </c>
      <c r="K3368" t="s">
        <v>16743</v>
      </c>
      <c r="L3368">
        <f>HYPERLINK("https://www2.assemblee-nationale.fr/sycomore/fiche/(num_dept)/6941", "6941")</f>
        <v>0</v>
      </c>
      <c r="N3368">
        <f>HYPERLINK("https://www.wikidata.org/wiki/Q3387066", "Q3387066")</f>
        <v>0</v>
      </c>
      <c r="O3368" t="s">
        <v>19969</v>
      </c>
      <c r="P3368" t="s">
        <v>20414</v>
      </c>
      <c r="Q3368" t="s">
        <v>16639</v>
      </c>
      <c r="R3368" t="s">
        <v>414</v>
      </c>
      <c r="S3368">
        <v>1491</v>
      </c>
    </row>
    <row r="3369" spans="1:19">
      <c r="A3369" t="s">
        <v>24</v>
      </c>
      <c r="B3369" t="s">
        <v>148</v>
      </c>
      <c r="C3369" t="s">
        <v>156</v>
      </c>
      <c r="D3369" t="s">
        <v>285</v>
      </c>
      <c r="E3369" t="s">
        <v>414</v>
      </c>
      <c r="F3369">
        <f>HYPERLINK("https://www.wikidata.org/wiki/Q16683508", "Q16683508")</f>
        <v>0</v>
      </c>
      <c r="G3369" t="s">
        <v>1206</v>
      </c>
      <c r="H3369" t="s">
        <v>5934</v>
      </c>
      <c r="I3369" t="s">
        <v>6585</v>
      </c>
      <c r="J3369" t="s">
        <v>11939</v>
      </c>
      <c r="K3369" t="s">
        <v>16340</v>
      </c>
      <c r="L3369">
        <f>HYPERLINK("https://www2.assemblee-nationale.fr/sycomore/fiche/(num_dept)/6953", "6953")</f>
        <v>0</v>
      </c>
      <c r="N3369">
        <f>HYPERLINK("https://www.wikidata.org/wiki/Q346648", "Q346648")</f>
        <v>0</v>
      </c>
      <c r="O3369" t="s">
        <v>20040</v>
      </c>
      <c r="P3369" t="s">
        <v>20438</v>
      </c>
      <c r="Q3369" t="s">
        <v>16639</v>
      </c>
      <c r="R3369" t="s">
        <v>414</v>
      </c>
      <c r="S3369">
        <v>1491</v>
      </c>
    </row>
    <row r="3370" spans="1:19">
      <c r="A3370" t="s">
        <v>24</v>
      </c>
      <c r="B3370" t="s">
        <v>148</v>
      </c>
      <c r="C3370" t="s">
        <v>156</v>
      </c>
      <c r="D3370" t="s">
        <v>285</v>
      </c>
      <c r="E3370" t="s">
        <v>414</v>
      </c>
      <c r="F3370">
        <f>HYPERLINK("https://www.wikidata.org/wiki/Q16683508", "Q16683508")</f>
        <v>0</v>
      </c>
      <c r="G3370" t="s">
        <v>1898</v>
      </c>
      <c r="H3370" t="s">
        <v>6548</v>
      </c>
      <c r="I3370" t="s">
        <v>9457</v>
      </c>
      <c r="J3370" t="s">
        <v>12585</v>
      </c>
      <c r="K3370" t="s">
        <v>16997</v>
      </c>
      <c r="L3370">
        <f>HYPERLINK("https://www2.assemblee-nationale.fr/sycomore/fiche/(num_dept)/6960", "6960")</f>
        <v>0</v>
      </c>
      <c r="M3370">
        <f>HYPERLINK("https://www.senat.fr/senateur-3eme-republique/tasso_henri0331r3.html", "tasso_henri0331r3")</f>
        <v>0</v>
      </c>
      <c r="N3370">
        <f>HYPERLINK("https://www.wikidata.org/wiki/Q3132056", "Q3132056")</f>
        <v>0</v>
      </c>
      <c r="O3370" t="s">
        <v>19990</v>
      </c>
      <c r="P3370" t="s">
        <v>20404</v>
      </c>
      <c r="Q3370" t="s">
        <v>16639</v>
      </c>
      <c r="R3370" t="s">
        <v>414</v>
      </c>
      <c r="S3370">
        <v>1491</v>
      </c>
    </row>
    <row r="3371" spans="1:19">
      <c r="A3371" t="s">
        <v>24</v>
      </c>
      <c r="B3371" t="s">
        <v>148</v>
      </c>
      <c r="C3371" t="s">
        <v>156</v>
      </c>
      <c r="D3371" t="s">
        <v>285</v>
      </c>
      <c r="E3371" t="s">
        <v>414</v>
      </c>
      <c r="F3371">
        <f>HYPERLINK("https://www.wikidata.org/wiki/Q16683508", "Q16683508")</f>
        <v>0</v>
      </c>
      <c r="G3371" t="s">
        <v>1974</v>
      </c>
      <c r="H3371" t="s">
        <v>5870</v>
      </c>
      <c r="I3371" t="s">
        <v>10024</v>
      </c>
      <c r="J3371" t="s">
        <v>12655</v>
      </c>
      <c r="K3371" t="s">
        <v>17065</v>
      </c>
      <c r="L3371">
        <f>HYPERLINK("https://www2.assemblee-nationale.fr/sycomore/fiche/(num_dept)/6965", "6965")</f>
        <v>0</v>
      </c>
      <c r="N3371">
        <f>HYPERLINK("https://www.wikidata.org/wiki/Q3588766", "Q3588766")</f>
        <v>0</v>
      </c>
      <c r="O3371" t="s">
        <v>20021</v>
      </c>
      <c r="P3371" t="s">
        <v>20420</v>
      </c>
      <c r="Q3371" t="s">
        <v>16639</v>
      </c>
      <c r="R3371" t="s">
        <v>414</v>
      </c>
      <c r="S3371">
        <v>1491</v>
      </c>
    </row>
    <row r="3372" spans="1:19">
      <c r="A3372" t="s">
        <v>24</v>
      </c>
      <c r="B3372" t="s">
        <v>148</v>
      </c>
      <c r="C3372" t="s">
        <v>156</v>
      </c>
      <c r="D3372" t="s">
        <v>285</v>
      </c>
      <c r="E3372" t="s">
        <v>414</v>
      </c>
      <c r="F3372">
        <f>HYPERLINK("https://www.wikidata.org/wiki/Q16683508", "Q16683508")</f>
        <v>0</v>
      </c>
      <c r="G3372" t="s">
        <v>2176</v>
      </c>
      <c r="H3372" t="s">
        <v>6790</v>
      </c>
      <c r="I3372" t="s">
        <v>10106</v>
      </c>
      <c r="J3372" t="s">
        <v>12839</v>
      </c>
      <c r="K3372" t="s">
        <v>17252</v>
      </c>
      <c r="L3372">
        <f>HYPERLINK("https://www2.assemblee-nationale.fr/sycomore/fiche/(num_dept)/7021", "7021")</f>
        <v>0</v>
      </c>
      <c r="M3372">
        <f>HYPERLINK("https://www.senat.fr/senateur-3eme-republique/thibault_albert1243r3.html", "thibault_albert1243r3")</f>
        <v>0</v>
      </c>
      <c r="N3372">
        <f>HYPERLINK("https://www.wikidata.org/wiki/Q2831577", "Q2831577")</f>
        <v>0</v>
      </c>
      <c r="O3372" t="s">
        <v>19956</v>
      </c>
      <c r="P3372" t="s">
        <v>20420</v>
      </c>
      <c r="Q3372" t="s">
        <v>16639</v>
      </c>
      <c r="R3372" t="s">
        <v>21437</v>
      </c>
      <c r="S3372">
        <v>1369</v>
      </c>
    </row>
    <row r="3373" spans="1:19">
      <c r="A3373" t="s">
        <v>24</v>
      </c>
      <c r="B3373" t="s">
        <v>148</v>
      </c>
      <c r="C3373" t="s">
        <v>156</v>
      </c>
      <c r="D3373" t="s">
        <v>285</v>
      </c>
      <c r="E3373" t="s">
        <v>414</v>
      </c>
      <c r="F3373">
        <f>HYPERLINK("https://www.wikidata.org/wiki/Q16683508", "Q16683508")</f>
        <v>0</v>
      </c>
      <c r="G3373" t="s">
        <v>1902</v>
      </c>
      <c r="H3373" t="s">
        <v>5807</v>
      </c>
      <c r="I3373" t="s">
        <v>9992</v>
      </c>
      <c r="J3373" t="s">
        <v>12589</v>
      </c>
      <c r="K3373" t="s">
        <v>17000</v>
      </c>
      <c r="L3373">
        <f>HYPERLINK("https://www2.assemblee-nationale.fr/sycomore/fiche/(num_dept)/7039", "7039")</f>
        <v>0</v>
      </c>
      <c r="N3373">
        <f>HYPERLINK("https://www.wikidata.org/wiki/Q3155329", "Q3155329")</f>
        <v>0</v>
      </c>
      <c r="O3373" t="s">
        <v>19999</v>
      </c>
      <c r="P3373" t="s">
        <v>20404</v>
      </c>
      <c r="Q3373" t="s">
        <v>16639</v>
      </c>
      <c r="R3373" t="s">
        <v>414</v>
      </c>
      <c r="S3373">
        <v>1491</v>
      </c>
    </row>
    <row r="3374" spans="1:19">
      <c r="A3374" t="s">
        <v>24</v>
      </c>
      <c r="B3374" t="s">
        <v>148</v>
      </c>
      <c r="C3374" t="s">
        <v>156</v>
      </c>
      <c r="D3374" t="s">
        <v>285</v>
      </c>
      <c r="E3374" t="s">
        <v>414</v>
      </c>
      <c r="F3374">
        <f>HYPERLINK("https://www.wikidata.org/wiki/Q16683508", "Q16683508")</f>
        <v>0</v>
      </c>
      <c r="G3374" t="s">
        <v>2177</v>
      </c>
      <c r="H3374" t="s">
        <v>6367</v>
      </c>
      <c r="I3374" t="s">
        <v>9606</v>
      </c>
      <c r="J3374" t="s">
        <v>12840</v>
      </c>
      <c r="K3374" t="s">
        <v>17253</v>
      </c>
      <c r="L3374">
        <f>HYPERLINK("https://www2.assemblee-nationale.fr/sycomore/fiche/(num_dept)/7049", "7049")</f>
        <v>0</v>
      </c>
      <c r="N3374">
        <f>HYPERLINK("https://www.wikidata.org/wiki/Q3167841", "Q3167841")</f>
        <v>0</v>
      </c>
      <c r="O3374" t="s">
        <v>19994</v>
      </c>
      <c r="P3374" t="s">
        <v>20404</v>
      </c>
      <c r="Q3374" t="s">
        <v>16639</v>
      </c>
      <c r="R3374" t="s">
        <v>414</v>
      </c>
      <c r="S3374">
        <v>1491</v>
      </c>
    </row>
    <row r="3375" spans="1:19">
      <c r="A3375" t="s">
        <v>24</v>
      </c>
      <c r="B3375" t="s">
        <v>148</v>
      </c>
      <c r="C3375" t="s">
        <v>156</v>
      </c>
      <c r="D3375" t="s">
        <v>285</v>
      </c>
      <c r="E3375" t="s">
        <v>414</v>
      </c>
      <c r="F3375">
        <f>HYPERLINK("https://www.wikidata.org/wiki/Q16683508", "Q16683508")</f>
        <v>0</v>
      </c>
      <c r="G3375" t="s">
        <v>2204</v>
      </c>
      <c r="H3375" t="s">
        <v>6814</v>
      </c>
      <c r="I3375" t="s">
        <v>10115</v>
      </c>
      <c r="J3375" t="s">
        <v>11274</v>
      </c>
      <c r="K3375" t="s">
        <v>17278</v>
      </c>
      <c r="L3375">
        <f>HYPERLINK("https://www2.assemblee-nationale.fr/sycomore/fiche/(num_dept)/7070", "7070")</f>
        <v>0</v>
      </c>
      <c r="M3375">
        <f>HYPERLINK("https://www.senat.fr/senateur-3eme-republique/thureau_dangin_jean1599r3.html", "thureau_dangin_jean1599r3")</f>
        <v>0</v>
      </c>
      <c r="N3375">
        <f>HYPERLINK("https://www.wikidata.org/wiki/Q3174798", "Q3174798")</f>
        <v>0</v>
      </c>
      <c r="O3375" t="s">
        <v>19978</v>
      </c>
      <c r="P3375" t="s">
        <v>20412</v>
      </c>
      <c r="Q3375" t="s">
        <v>16639</v>
      </c>
      <c r="R3375" t="s">
        <v>407</v>
      </c>
      <c r="S3375">
        <v>1267</v>
      </c>
    </row>
    <row r="3376" spans="1:19">
      <c r="A3376" t="s">
        <v>24</v>
      </c>
      <c r="B3376" t="s">
        <v>148</v>
      </c>
      <c r="C3376" t="s">
        <v>156</v>
      </c>
      <c r="D3376" t="s">
        <v>285</v>
      </c>
      <c r="E3376" t="s">
        <v>414</v>
      </c>
      <c r="F3376">
        <f>HYPERLINK("https://www.wikidata.org/wiki/Q16683508", "Q16683508")</f>
        <v>0</v>
      </c>
      <c r="G3376" t="s">
        <v>1634</v>
      </c>
      <c r="H3376" t="s">
        <v>6319</v>
      </c>
      <c r="I3376" t="s">
        <v>9865</v>
      </c>
      <c r="J3376" t="s">
        <v>12341</v>
      </c>
      <c r="K3376" t="s">
        <v>16724</v>
      </c>
      <c r="L3376">
        <f>HYPERLINK("https://www2.assemblee-nationale.fr/sycomore/fiche/(num_dept)/7080", "7080")</f>
        <v>0</v>
      </c>
      <c r="N3376">
        <f>HYPERLINK("https://www.wikidata.org/wiki/Q3175732", "Q3175732")</f>
        <v>0</v>
      </c>
      <c r="O3376" t="s">
        <v>19972</v>
      </c>
      <c r="P3376" t="s">
        <v>20437</v>
      </c>
      <c r="Q3376" t="s">
        <v>16639</v>
      </c>
      <c r="R3376" t="s">
        <v>414</v>
      </c>
      <c r="S3376">
        <v>1491</v>
      </c>
    </row>
    <row r="3377" spans="1:19">
      <c r="A3377" t="s">
        <v>24</v>
      </c>
      <c r="B3377" t="s">
        <v>148</v>
      </c>
      <c r="C3377" t="s">
        <v>156</v>
      </c>
      <c r="D3377" t="s">
        <v>285</v>
      </c>
      <c r="E3377" t="s">
        <v>414</v>
      </c>
      <c r="F3377">
        <f>HYPERLINK("https://www.wikidata.org/wiki/Q16683508", "Q16683508")</f>
        <v>0</v>
      </c>
      <c r="G3377" t="s">
        <v>2259</v>
      </c>
      <c r="H3377" t="s">
        <v>6862</v>
      </c>
      <c r="I3377" t="s">
        <v>9457</v>
      </c>
      <c r="J3377" t="s">
        <v>12917</v>
      </c>
      <c r="K3377" t="s">
        <v>17328</v>
      </c>
      <c r="L3377">
        <f>HYPERLINK("https://www2.assemblee-nationale.fr/sycomore/fiche/(num_dept)/7104", "7104")</f>
        <v>0</v>
      </c>
      <c r="N3377">
        <f>HYPERLINK("https://www.wikidata.org/wiki/Q1381683", "Q1381683")</f>
        <v>0</v>
      </c>
      <c r="O3377" t="s">
        <v>20024</v>
      </c>
      <c r="P3377" t="s">
        <v>20434</v>
      </c>
      <c r="Q3377" t="s">
        <v>16639</v>
      </c>
      <c r="R3377" t="s">
        <v>414</v>
      </c>
      <c r="S3377">
        <v>1491</v>
      </c>
    </row>
    <row r="3378" spans="1:19">
      <c r="A3378" t="s">
        <v>24</v>
      </c>
      <c r="B3378" t="s">
        <v>148</v>
      </c>
      <c r="C3378" t="s">
        <v>156</v>
      </c>
      <c r="D3378" t="s">
        <v>285</v>
      </c>
      <c r="E3378" t="s">
        <v>414</v>
      </c>
      <c r="F3378">
        <f>HYPERLINK("https://www.wikidata.org/wiki/Q16683508", "Q16683508")</f>
        <v>0</v>
      </c>
      <c r="G3378" t="s">
        <v>1637</v>
      </c>
      <c r="H3378" t="s">
        <v>6322</v>
      </c>
      <c r="I3378" t="s">
        <v>9867</v>
      </c>
      <c r="J3378" t="s">
        <v>12344</v>
      </c>
      <c r="K3378" t="s">
        <v>16751</v>
      </c>
      <c r="L3378">
        <f>HYPERLINK("https://www2.assemblee-nationale.fr/sycomore/fiche/(num_dept)/7128", "7128")</f>
        <v>0</v>
      </c>
      <c r="N3378">
        <f>HYPERLINK("https://www.wikidata.org/wiki/Q2828093", "Q2828093")</f>
        <v>0</v>
      </c>
      <c r="O3378" t="s">
        <v>19982</v>
      </c>
      <c r="P3378" t="s">
        <v>20401</v>
      </c>
      <c r="Q3378" t="s">
        <v>16639</v>
      </c>
      <c r="R3378" t="s">
        <v>414</v>
      </c>
      <c r="S3378">
        <v>1491</v>
      </c>
    </row>
    <row r="3379" spans="1:19">
      <c r="A3379" t="s">
        <v>24</v>
      </c>
      <c r="B3379" t="s">
        <v>148</v>
      </c>
      <c r="C3379" t="s">
        <v>156</v>
      </c>
      <c r="D3379" t="s">
        <v>285</v>
      </c>
      <c r="E3379" t="s">
        <v>414</v>
      </c>
      <c r="F3379">
        <f>HYPERLINK("https://www.wikidata.org/wiki/Q16683508", "Q16683508")</f>
        <v>0</v>
      </c>
      <c r="G3379" t="s">
        <v>1905</v>
      </c>
      <c r="H3379" t="s">
        <v>6554</v>
      </c>
      <c r="I3379" t="s">
        <v>9994</v>
      </c>
      <c r="J3379" t="s">
        <v>12592</v>
      </c>
      <c r="K3379" t="s">
        <v>17003</v>
      </c>
      <c r="L3379">
        <f>HYPERLINK("https://www2.assemblee-nationale.fr/sycomore/fiche/(num_dept)/7144", "7144")</f>
        <v>0</v>
      </c>
      <c r="N3379">
        <f>HYPERLINK("https://www.wikidata.org/wiki/Q3387181", "Q3387181")</f>
        <v>0</v>
      </c>
      <c r="O3379" t="s">
        <v>20011</v>
      </c>
      <c r="P3379" t="s">
        <v>20441</v>
      </c>
      <c r="Q3379" t="s">
        <v>16639</v>
      </c>
      <c r="R3379" t="s">
        <v>414</v>
      </c>
      <c r="S3379">
        <v>1491</v>
      </c>
    </row>
    <row r="3380" spans="1:19">
      <c r="A3380" t="s">
        <v>24</v>
      </c>
      <c r="B3380" t="s">
        <v>148</v>
      </c>
      <c r="C3380" t="s">
        <v>156</v>
      </c>
      <c r="D3380" t="s">
        <v>285</v>
      </c>
      <c r="E3380" t="s">
        <v>414</v>
      </c>
      <c r="F3380">
        <f>HYPERLINK("https://www.wikidata.org/wiki/Q16683508", "Q16683508")</f>
        <v>0</v>
      </c>
      <c r="G3380" t="s">
        <v>1316</v>
      </c>
      <c r="H3380" t="s">
        <v>6036</v>
      </c>
      <c r="I3380" t="s">
        <v>9746</v>
      </c>
      <c r="J3380" t="s">
        <v>12046</v>
      </c>
      <c r="K3380" t="s">
        <v>16446</v>
      </c>
      <c r="L3380">
        <f>HYPERLINK("https://www2.assemblee-nationale.fr/sycomore/fiche/(num_dept)/7210", "7210")</f>
        <v>0</v>
      </c>
      <c r="N3380">
        <f>HYPERLINK("https://www.wikidata.org/wiki/Q1247638", "Q1247638")</f>
        <v>0</v>
      </c>
      <c r="O3380" t="s">
        <v>20005</v>
      </c>
      <c r="P3380" t="s">
        <v>20436</v>
      </c>
      <c r="Q3380" t="s">
        <v>16639</v>
      </c>
      <c r="R3380" t="s">
        <v>414</v>
      </c>
      <c r="S3380">
        <v>1491</v>
      </c>
    </row>
    <row r="3381" spans="1:19">
      <c r="A3381" t="s">
        <v>24</v>
      </c>
      <c r="B3381" t="s">
        <v>148</v>
      </c>
      <c r="C3381" t="s">
        <v>156</v>
      </c>
      <c r="D3381" t="s">
        <v>285</v>
      </c>
      <c r="E3381" t="s">
        <v>414</v>
      </c>
      <c r="F3381">
        <f>HYPERLINK("https://www.wikidata.org/wiki/Q16683508", "Q16683508")</f>
        <v>0</v>
      </c>
      <c r="G3381" t="s">
        <v>1640</v>
      </c>
      <c r="H3381" t="s">
        <v>6325</v>
      </c>
      <c r="I3381" t="s">
        <v>6860</v>
      </c>
      <c r="J3381" t="s">
        <v>12347</v>
      </c>
      <c r="K3381" t="s">
        <v>16754</v>
      </c>
      <c r="L3381">
        <f>HYPERLINK("https://www2.assemblee-nationale.fr/sycomore/fiche/(num_dept)/7282", "7282")</f>
        <v>0</v>
      </c>
      <c r="N3381">
        <f>HYPERLINK("https://www.wikidata.org/wiki/Q3387228", "Q3387228")</f>
        <v>0</v>
      </c>
      <c r="O3381" t="s">
        <v>19991</v>
      </c>
      <c r="P3381" t="s">
        <v>20414</v>
      </c>
      <c r="Q3381" t="s">
        <v>16639</v>
      </c>
      <c r="R3381" t="s">
        <v>414</v>
      </c>
      <c r="S3381">
        <v>1491</v>
      </c>
    </row>
    <row r="3382" spans="1:19">
      <c r="A3382" t="s">
        <v>24</v>
      </c>
      <c r="B3382" t="s">
        <v>148</v>
      </c>
      <c r="C3382" t="s">
        <v>156</v>
      </c>
      <c r="D3382" t="s">
        <v>285</v>
      </c>
      <c r="E3382" t="s">
        <v>414</v>
      </c>
      <c r="F3382">
        <f>HYPERLINK("https://www.wikidata.org/wiki/Q16683508", "Q16683508")</f>
        <v>0</v>
      </c>
      <c r="G3382" t="s">
        <v>1641</v>
      </c>
      <c r="H3382" t="s">
        <v>6326</v>
      </c>
      <c r="I3382" t="s">
        <v>9868</v>
      </c>
      <c r="J3382" t="s">
        <v>12348</v>
      </c>
      <c r="K3382" t="s">
        <v>16755</v>
      </c>
      <c r="L3382">
        <f>HYPERLINK("https://www2.assemblee-nationale.fr/sycomore/fiche/(num_dept)/7283", "7283")</f>
        <v>0</v>
      </c>
      <c r="N3382">
        <f>HYPERLINK("https://www.wikidata.org/wiki/Q2291608", "Q2291608")</f>
        <v>0</v>
      </c>
      <c r="O3382" t="s">
        <v>19991</v>
      </c>
      <c r="P3382" t="s">
        <v>20420</v>
      </c>
      <c r="Q3382" t="s">
        <v>16639</v>
      </c>
      <c r="R3382" t="s">
        <v>414</v>
      </c>
      <c r="S3382">
        <v>1491</v>
      </c>
    </row>
    <row r="3383" spans="1:19">
      <c r="A3383" t="s">
        <v>24</v>
      </c>
      <c r="B3383" t="s">
        <v>148</v>
      </c>
      <c r="C3383" t="s">
        <v>156</v>
      </c>
      <c r="D3383" t="s">
        <v>285</v>
      </c>
      <c r="E3383" t="s">
        <v>414</v>
      </c>
      <c r="F3383">
        <f>HYPERLINK("https://www.wikidata.org/wiki/Q16683508", "Q16683508")</f>
        <v>0</v>
      </c>
      <c r="G3383" t="s">
        <v>1208</v>
      </c>
      <c r="H3383" t="s">
        <v>5936</v>
      </c>
      <c r="I3383" t="s">
        <v>6200</v>
      </c>
      <c r="J3383" t="s">
        <v>11940</v>
      </c>
      <c r="K3383" t="s">
        <v>16342</v>
      </c>
      <c r="L3383">
        <f>HYPERLINK("https://www2.assemblee-nationale.fr/sycomore/fiche/(num_dept)/7299", "7299")</f>
        <v>0</v>
      </c>
      <c r="N3383">
        <f>HYPERLINK("https://www.wikidata.org/wiki/Q2624477", "Q2624477")</f>
        <v>0</v>
      </c>
      <c r="O3383" t="s">
        <v>19970</v>
      </c>
      <c r="P3383" t="s">
        <v>20414</v>
      </c>
      <c r="Q3383" t="s">
        <v>16639</v>
      </c>
      <c r="R3383" t="s">
        <v>414</v>
      </c>
      <c r="S3383">
        <v>1491</v>
      </c>
    </row>
    <row r="3384" spans="1:19">
      <c r="A3384" t="s">
        <v>24</v>
      </c>
      <c r="B3384" t="s">
        <v>148</v>
      </c>
      <c r="C3384" t="s">
        <v>156</v>
      </c>
      <c r="D3384" t="s">
        <v>285</v>
      </c>
      <c r="E3384" t="s">
        <v>414</v>
      </c>
      <c r="F3384">
        <f>HYPERLINK("https://www.wikidata.org/wiki/Q16683508", "Q16683508")</f>
        <v>0</v>
      </c>
      <c r="G3384" t="s">
        <v>2260</v>
      </c>
      <c r="H3384" t="s">
        <v>6863</v>
      </c>
      <c r="I3384" t="s">
        <v>10141</v>
      </c>
      <c r="J3384" t="s">
        <v>12918</v>
      </c>
      <c r="K3384" t="s">
        <v>17329</v>
      </c>
      <c r="L3384">
        <f>HYPERLINK("https://www2.assemblee-nationale.fr/sycomore/fiche/(num_dept)/7303", "7303")</f>
        <v>0</v>
      </c>
      <c r="N3384">
        <f>HYPERLINK("https://www.wikidata.org/wiki/Q3289462", "Q3289462")</f>
        <v>0</v>
      </c>
      <c r="O3384" t="s">
        <v>19977</v>
      </c>
      <c r="P3384" t="s">
        <v>20404</v>
      </c>
      <c r="Q3384" t="s">
        <v>16639</v>
      </c>
      <c r="R3384" t="s">
        <v>414</v>
      </c>
      <c r="S3384">
        <v>1491</v>
      </c>
    </row>
    <row r="3385" spans="1:19">
      <c r="A3385" t="s">
        <v>24</v>
      </c>
      <c r="B3385" t="s">
        <v>148</v>
      </c>
      <c r="C3385" t="s">
        <v>156</v>
      </c>
      <c r="D3385" t="s">
        <v>285</v>
      </c>
      <c r="E3385" t="s">
        <v>414</v>
      </c>
      <c r="F3385">
        <f>HYPERLINK("https://www.wikidata.org/wiki/Q16683508", "Q16683508")</f>
        <v>0</v>
      </c>
      <c r="G3385" t="s">
        <v>2261</v>
      </c>
      <c r="H3385" t="s">
        <v>6330</v>
      </c>
      <c r="I3385" t="s">
        <v>6860</v>
      </c>
      <c r="J3385" t="s">
        <v>12919</v>
      </c>
      <c r="K3385" t="s">
        <v>17330</v>
      </c>
      <c r="L3385">
        <f>HYPERLINK("https://www2.assemblee-nationale.fr/sycomore/fiche/(num_dept)/7331", "7331")</f>
        <v>0</v>
      </c>
      <c r="N3385">
        <f>HYPERLINK("https://www.wikidata.org/wiki/Q16026597", "Q16026597")</f>
        <v>0</v>
      </c>
      <c r="O3385" t="s">
        <v>20019</v>
      </c>
      <c r="P3385" t="s">
        <v>20440</v>
      </c>
      <c r="Q3385" t="s">
        <v>16639</v>
      </c>
      <c r="R3385" t="s">
        <v>414</v>
      </c>
      <c r="S3385">
        <v>1491</v>
      </c>
    </row>
    <row r="3386" spans="1:19">
      <c r="A3386" t="s">
        <v>24</v>
      </c>
      <c r="B3386" t="s">
        <v>148</v>
      </c>
      <c r="C3386" t="s">
        <v>156</v>
      </c>
      <c r="D3386" t="s">
        <v>285</v>
      </c>
      <c r="E3386" t="s">
        <v>414</v>
      </c>
      <c r="F3386">
        <f>HYPERLINK("https://www.wikidata.org/wiki/Q16683508", "Q16683508")</f>
        <v>0</v>
      </c>
      <c r="G3386" t="s">
        <v>1908</v>
      </c>
      <c r="H3386" t="s">
        <v>6330</v>
      </c>
      <c r="I3386" t="s">
        <v>9407</v>
      </c>
      <c r="J3386" t="s">
        <v>12594</v>
      </c>
      <c r="K3386" t="s">
        <v>17006</v>
      </c>
      <c r="L3386">
        <f>HYPERLINK("https://www2.assemblee-nationale.fr/sycomore/fiche/(num_dept)/7332", "7332")</f>
        <v>0</v>
      </c>
      <c r="N3386">
        <f>HYPERLINK("https://www.wikidata.org/wiki/Q1708140", "Q1708140")</f>
        <v>0</v>
      </c>
      <c r="O3386" t="s">
        <v>19990</v>
      </c>
      <c r="P3386" t="s">
        <v>20438</v>
      </c>
      <c r="Q3386" t="s">
        <v>16639</v>
      </c>
      <c r="R3386" t="s">
        <v>17006</v>
      </c>
      <c r="S3386">
        <v>1435</v>
      </c>
    </row>
    <row r="3387" spans="1:19">
      <c r="A3387" t="s">
        <v>24</v>
      </c>
      <c r="B3387" t="s">
        <v>148</v>
      </c>
      <c r="C3387" t="s">
        <v>156</v>
      </c>
      <c r="D3387" t="s">
        <v>285</v>
      </c>
      <c r="E3387" t="s">
        <v>414</v>
      </c>
      <c r="F3387">
        <f>HYPERLINK("https://www.wikidata.org/wiki/Q16683508", "Q16683508")</f>
        <v>0</v>
      </c>
      <c r="G3387" t="s">
        <v>1066</v>
      </c>
      <c r="H3387" t="s">
        <v>5812</v>
      </c>
      <c r="I3387" t="s">
        <v>9652</v>
      </c>
      <c r="J3387" t="s">
        <v>11803</v>
      </c>
      <c r="K3387" t="s">
        <v>16203</v>
      </c>
      <c r="L3387">
        <f>HYPERLINK("https://www2.assemblee-nationale.fr/sycomore/fiche/(num_dept)/7333", "7333")</f>
        <v>0</v>
      </c>
      <c r="M3387">
        <f>HYPERLINK("https://www.senat.fr/senateur-3eme-republique/vincent_emile0534r3.html", "vincent_emile0534r3")</f>
        <v>0</v>
      </c>
      <c r="N3387">
        <f>HYPERLINK("https://www.wikidata.org/wiki/Q3588785", "Q3588785")</f>
        <v>0</v>
      </c>
      <c r="O3387" t="s">
        <v>20002</v>
      </c>
      <c r="P3387" t="s">
        <v>20401</v>
      </c>
      <c r="Q3387" t="s">
        <v>16639</v>
      </c>
      <c r="R3387" t="s">
        <v>21340</v>
      </c>
      <c r="S3387">
        <v>1386</v>
      </c>
    </row>
    <row r="3388" spans="1:19">
      <c r="A3388" t="s">
        <v>24</v>
      </c>
      <c r="B3388" t="s">
        <v>148</v>
      </c>
      <c r="C3388" t="s">
        <v>156</v>
      </c>
      <c r="D3388" t="s">
        <v>285</v>
      </c>
      <c r="E3388" t="s">
        <v>414</v>
      </c>
      <c r="F3388">
        <f>HYPERLINK("https://www.wikidata.org/wiki/Q16683508", "Q16683508")</f>
        <v>0</v>
      </c>
      <c r="G3388" t="s">
        <v>1975</v>
      </c>
      <c r="H3388" t="s">
        <v>6613</v>
      </c>
      <c r="I3388" t="s">
        <v>9449</v>
      </c>
      <c r="J3388" t="s">
        <v>12656</v>
      </c>
      <c r="K3388" t="s">
        <v>17066</v>
      </c>
      <c r="L3388">
        <f>HYPERLINK("https://www2.assemblee-nationale.fr/sycomore/fiche/(num_dept)/7336", "7336")</f>
        <v>0</v>
      </c>
      <c r="M3388">
        <f>HYPERLINK("https://www.senat.fr/senateur-3eme-republique/wolff_jules0712r3.html", "wolff_jules0712r3")</f>
        <v>0</v>
      </c>
      <c r="N3388">
        <f>HYPERLINK("https://www.wikidata.org/wiki/Q3188969", "Q3188969")</f>
        <v>0</v>
      </c>
      <c r="O3388" t="s">
        <v>20050</v>
      </c>
      <c r="P3388" t="s">
        <v>20414</v>
      </c>
      <c r="Q3388" t="s">
        <v>16639</v>
      </c>
      <c r="R3388" t="s">
        <v>21443</v>
      </c>
      <c r="S3388">
        <v>264</v>
      </c>
    </row>
    <row r="3389" spans="1:19">
      <c r="A3389" t="s">
        <v>24</v>
      </c>
      <c r="B3389" t="s">
        <v>148</v>
      </c>
      <c r="C3389" t="s">
        <v>156</v>
      </c>
      <c r="D3389" t="s">
        <v>285</v>
      </c>
      <c r="E3389" t="s">
        <v>414</v>
      </c>
      <c r="F3389">
        <f>HYPERLINK("https://www.wikidata.org/wiki/Q16683508", "Q16683508")</f>
        <v>0</v>
      </c>
      <c r="G3389" t="s">
        <v>1654</v>
      </c>
      <c r="H3389" t="s">
        <v>6337</v>
      </c>
      <c r="I3389" t="s">
        <v>6200</v>
      </c>
      <c r="J3389" t="s">
        <v>12361</v>
      </c>
      <c r="K3389" t="s">
        <v>16768</v>
      </c>
      <c r="L3389">
        <f>HYPERLINK("https://www2.assemblee-nationale.fr/sycomore/fiche/(num_dept)/7563", "7563")</f>
        <v>0</v>
      </c>
      <c r="N3389">
        <f>HYPERLINK("https://www.wikidata.org/wiki/Q3173069", "Q3173069")</f>
        <v>0</v>
      </c>
      <c r="O3389" t="s">
        <v>20023</v>
      </c>
      <c r="P3389" t="s">
        <v>20420</v>
      </c>
      <c r="Q3389" t="s">
        <v>16639</v>
      </c>
      <c r="R3389" t="s">
        <v>414</v>
      </c>
      <c r="S3389">
        <v>1491</v>
      </c>
    </row>
    <row r="3390" spans="1:19">
      <c r="A3390" t="s">
        <v>24</v>
      </c>
      <c r="B3390" t="s">
        <v>148</v>
      </c>
      <c r="C3390" t="s">
        <v>156</v>
      </c>
      <c r="D3390" t="s">
        <v>285</v>
      </c>
      <c r="E3390" t="s">
        <v>414</v>
      </c>
      <c r="F3390">
        <f>HYPERLINK("https://www.wikidata.org/wiki/Q16683508", "Q16683508")</f>
        <v>0</v>
      </c>
      <c r="G3390" t="s">
        <v>2188</v>
      </c>
      <c r="H3390" t="s">
        <v>6799</v>
      </c>
      <c r="I3390" t="s">
        <v>10109</v>
      </c>
      <c r="J3390" t="s">
        <v>12851</v>
      </c>
      <c r="K3390" t="s">
        <v>17263</v>
      </c>
      <c r="L3390">
        <f>HYPERLINK("https://www2.assemblee-nationale.fr/sycomore/fiche/(num_dept)/7609", "7609")</f>
        <v>0</v>
      </c>
      <c r="N3390">
        <f>HYPERLINK("https://www.wikidata.org/wiki/Q3185231", "Q3185231")</f>
        <v>0</v>
      </c>
      <c r="O3390" t="s">
        <v>19961</v>
      </c>
      <c r="P3390" t="s">
        <v>20438</v>
      </c>
      <c r="Q3390" t="s">
        <v>16639</v>
      </c>
      <c r="R3390" t="s">
        <v>414</v>
      </c>
      <c r="S3390">
        <v>1491</v>
      </c>
    </row>
    <row r="3391" spans="1:19">
      <c r="A3391" t="s">
        <v>24</v>
      </c>
      <c r="B3391" t="s">
        <v>148</v>
      </c>
      <c r="C3391" t="s">
        <v>156</v>
      </c>
      <c r="D3391" t="s">
        <v>285</v>
      </c>
      <c r="E3391" t="s">
        <v>414</v>
      </c>
      <c r="F3391">
        <f>HYPERLINK("https://www.wikidata.org/wiki/Q16683508", "Q16683508")</f>
        <v>0</v>
      </c>
      <c r="G3391" t="s">
        <v>2262</v>
      </c>
      <c r="H3391" t="s">
        <v>6277</v>
      </c>
      <c r="I3391" t="s">
        <v>10142</v>
      </c>
      <c r="J3391" t="s">
        <v>12920</v>
      </c>
      <c r="K3391" t="s">
        <v>16825</v>
      </c>
      <c r="L3391">
        <f>HYPERLINK("https://www2.assemblee-nationale.fr/sycomore/fiche/(num_dept)/7615", "7615")</f>
        <v>0</v>
      </c>
      <c r="N3391">
        <f>HYPERLINK("https://www.wikidata.org/wiki/Q3059683", "Q3059683")</f>
        <v>0</v>
      </c>
      <c r="O3391" t="s">
        <v>20023</v>
      </c>
      <c r="P3391" t="s">
        <v>20404</v>
      </c>
      <c r="Q3391" t="s">
        <v>16639</v>
      </c>
      <c r="R3391" t="s">
        <v>414</v>
      </c>
      <c r="S3391">
        <v>1491</v>
      </c>
    </row>
    <row r="3392" spans="1:19">
      <c r="A3392" t="s">
        <v>24</v>
      </c>
      <c r="B3392" t="s">
        <v>148</v>
      </c>
      <c r="C3392" t="s">
        <v>156</v>
      </c>
      <c r="D3392" t="s">
        <v>285</v>
      </c>
      <c r="E3392" t="s">
        <v>414</v>
      </c>
      <c r="F3392">
        <f>HYPERLINK("https://www.wikidata.org/wiki/Q16683508", "Q16683508")</f>
        <v>0</v>
      </c>
      <c r="G3392" t="s">
        <v>1660</v>
      </c>
      <c r="H3392" t="s">
        <v>6343</v>
      </c>
      <c r="I3392" t="s">
        <v>9474</v>
      </c>
      <c r="J3392" t="s">
        <v>12367</v>
      </c>
      <c r="K3392" t="s">
        <v>16774</v>
      </c>
      <c r="L3392">
        <f>HYPERLINK("https://www2.assemblee-nationale.fr/sycomore/fiche/(num_dept)/7636", "7636")</f>
        <v>0</v>
      </c>
      <c r="N3392">
        <f>HYPERLINK("https://www.wikidata.org/wiki/Q830456", "Q830456")</f>
        <v>0</v>
      </c>
      <c r="O3392" t="s">
        <v>20013</v>
      </c>
      <c r="P3392" t="s">
        <v>20404</v>
      </c>
      <c r="Q3392" t="s">
        <v>16639</v>
      </c>
      <c r="R3392" t="s">
        <v>414</v>
      </c>
      <c r="S3392">
        <v>1491</v>
      </c>
    </row>
    <row r="3393" spans="1:19">
      <c r="A3393" t="s">
        <v>24</v>
      </c>
      <c r="B3393" t="s">
        <v>148</v>
      </c>
      <c r="C3393" t="s">
        <v>156</v>
      </c>
      <c r="D3393" t="s">
        <v>285</v>
      </c>
      <c r="E3393" t="s">
        <v>414</v>
      </c>
      <c r="F3393">
        <f>HYPERLINK("https://www.wikidata.org/wiki/Q16683508", "Q16683508")</f>
        <v>0</v>
      </c>
      <c r="G3393" t="s">
        <v>1977</v>
      </c>
      <c r="H3393" t="s">
        <v>6615</v>
      </c>
      <c r="I3393" t="s">
        <v>9407</v>
      </c>
      <c r="J3393" t="s">
        <v>12658</v>
      </c>
      <c r="K3393" t="s">
        <v>17068</v>
      </c>
      <c r="L3393">
        <f>HYPERLINK("https://www2.assemblee-nationale.fr/sycomore/fiche/(num_dept)/7654", "7654")</f>
        <v>0</v>
      </c>
      <c r="N3393">
        <f>HYPERLINK("https://www.wikidata.org/wiki/Q611770", "Q611770")</f>
        <v>0</v>
      </c>
      <c r="O3393" t="s">
        <v>19985</v>
      </c>
      <c r="P3393" t="s">
        <v>20412</v>
      </c>
      <c r="Q3393" t="s">
        <v>16639</v>
      </c>
      <c r="R3393" t="s">
        <v>414</v>
      </c>
      <c r="S3393">
        <v>1491</v>
      </c>
    </row>
    <row r="3394" spans="1:19">
      <c r="A3394" t="s">
        <v>24</v>
      </c>
      <c r="B3394" t="s">
        <v>148</v>
      </c>
      <c r="C3394" t="s">
        <v>156</v>
      </c>
      <c r="D3394" t="s">
        <v>285</v>
      </c>
      <c r="E3394" t="s">
        <v>414</v>
      </c>
      <c r="F3394">
        <f>HYPERLINK("https://www.wikidata.org/wiki/Q16683508", "Q16683508")</f>
        <v>0</v>
      </c>
      <c r="G3394" t="s">
        <v>2263</v>
      </c>
      <c r="H3394" t="s">
        <v>6864</v>
      </c>
      <c r="I3394" t="s">
        <v>9457</v>
      </c>
      <c r="J3394" t="s">
        <v>12921</v>
      </c>
      <c r="K3394" t="s">
        <v>17331</v>
      </c>
      <c r="L3394">
        <f>HYPERLINK("https://www2.assemblee-nationale.fr/sycomore/fiche/(num_dept)/7672", "7672")</f>
        <v>0</v>
      </c>
      <c r="M3394">
        <f>HYPERLINK("https://www.senat.fr/senateur-3eme-republique/leculier_henri0454r3.html", "leculier_henri0454r3")</f>
        <v>0</v>
      </c>
      <c r="N3394">
        <f>HYPERLINK("https://www.wikidata.org/wiki/Q3131527", "Q3131527")</f>
        <v>0</v>
      </c>
      <c r="O3394" t="s">
        <v>20041</v>
      </c>
      <c r="P3394" t="s">
        <v>20428</v>
      </c>
      <c r="Q3394" t="s">
        <v>16639</v>
      </c>
      <c r="R3394" t="s">
        <v>414</v>
      </c>
      <c r="S3394">
        <v>1491</v>
      </c>
    </row>
    <row r="3395" spans="1:19">
      <c r="A3395" t="s">
        <v>24</v>
      </c>
      <c r="B3395" t="s">
        <v>148</v>
      </c>
      <c r="C3395" t="s">
        <v>156</v>
      </c>
      <c r="D3395" t="s">
        <v>285</v>
      </c>
      <c r="E3395" t="s">
        <v>414</v>
      </c>
      <c r="F3395">
        <f>HYPERLINK("https://www.wikidata.org/wiki/Q16683508", "Q16683508")</f>
        <v>0</v>
      </c>
      <c r="G3395" t="s">
        <v>848</v>
      </c>
      <c r="H3395" t="s">
        <v>5605</v>
      </c>
      <c r="I3395" t="s">
        <v>9553</v>
      </c>
      <c r="J3395" t="s">
        <v>11594</v>
      </c>
      <c r="K3395" t="s">
        <v>15996</v>
      </c>
      <c r="L3395">
        <f>HYPERLINK("https://www2.assemblee-nationale.fr/sycomore/fiche/(num_dept)/7683", "7683")</f>
        <v>0</v>
      </c>
      <c r="M3395">
        <f>HYPERLINK("https://www.senat.fr/senateur-3eme-republique/lefas_alexandre0535r3.html", "lefas_alexandre0535r3")</f>
        <v>0</v>
      </c>
      <c r="N3395">
        <f>HYPERLINK("https://www.wikidata.org/wiki/Q2833822", "Q2833822")</f>
        <v>0</v>
      </c>
      <c r="O3395" t="s">
        <v>19998</v>
      </c>
      <c r="P3395" t="s">
        <v>20414</v>
      </c>
      <c r="Q3395" t="s">
        <v>16639</v>
      </c>
      <c r="R3395" t="s">
        <v>21444</v>
      </c>
      <c r="S3395">
        <v>278</v>
      </c>
    </row>
    <row r="3396" spans="1:19">
      <c r="A3396" t="s">
        <v>24</v>
      </c>
      <c r="B3396" t="s">
        <v>148</v>
      </c>
      <c r="C3396" t="s">
        <v>156</v>
      </c>
      <c r="D3396" t="s">
        <v>285</v>
      </c>
      <c r="E3396" t="s">
        <v>414</v>
      </c>
      <c r="F3396">
        <f>HYPERLINK("https://www.wikidata.org/wiki/Q16683508", "Q16683508")</f>
        <v>0</v>
      </c>
      <c r="G3396" t="s">
        <v>1919</v>
      </c>
      <c r="H3396" t="s">
        <v>6567</v>
      </c>
      <c r="I3396" t="s">
        <v>6175</v>
      </c>
      <c r="J3396" t="s">
        <v>12604</v>
      </c>
      <c r="K3396" t="s">
        <v>17016</v>
      </c>
      <c r="L3396">
        <f>HYPERLINK("https://www2.assemblee-nationale.fr/sycomore/fiche/(num_dept)/7838", "7838")</f>
        <v>0</v>
      </c>
      <c r="N3396">
        <f>HYPERLINK("https://www.wikidata.org/wiki/Q3103129", "Q3103129")</f>
        <v>0</v>
      </c>
      <c r="O3396" t="s">
        <v>20022</v>
      </c>
      <c r="P3396" t="s">
        <v>20428</v>
      </c>
      <c r="Q3396" t="s">
        <v>16639</v>
      </c>
      <c r="R3396" t="s">
        <v>414</v>
      </c>
      <c r="S3396">
        <v>1491</v>
      </c>
    </row>
    <row r="3397" spans="1:19">
      <c r="A3397" t="s">
        <v>24</v>
      </c>
      <c r="B3397" t="s">
        <v>148</v>
      </c>
      <c r="C3397" t="s">
        <v>156</v>
      </c>
      <c r="D3397" t="s">
        <v>285</v>
      </c>
      <c r="E3397" t="s">
        <v>414</v>
      </c>
      <c r="F3397">
        <f>HYPERLINK("https://www.wikidata.org/wiki/Q16683508", "Q16683508")</f>
        <v>0</v>
      </c>
      <c r="G3397" t="s">
        <v>857</v>
      </c>
      <c r="H3397" t="s">
        <v>5613</v>
      </c>
      <c r="I3397" t="s">
        <v>6175</v>
      </c>
      <c r="J3397" t="s">
        <v>11603</v>
      </c>
      <c r="K3397" t="s">
        <v>16005</v>
      </c>
      <c r="L3397">
        <f>HYPERLINK("https://www2.assemblee-nationale.fr/sycomore/fiche/(num_dept)/7840", "7840")</f>
        <v>0</v>
      </c>
      <c r="N3397">
        <f>HYPERLINK("https://www.wikidata.org/wiki/Q728806", "Q728806")</f>
        <v>0</v>
      </c>
      <c r="O3397" t="s">
        <v>20043</v>
      </c>
      <c r="P3397" t="s">
        <v>20409</v>
      </c>
      <c r="Q3397" t="s">
        <v>16639</v>
      </c>
      <c r="R3397" t="s">
        <v>16005</v>
      </c>
      <c r="S3397">
        <v>489</v>
      </c>
    </row>
    <row r="3398" spans="1:19">
      <c r="A3398" t="s">
        <v>24</v>
      </c>
      <c r="B3398" t="s">
        <v>148</v>
      </c>
      <c r="C3398" t="s">
        <v>156</v>
      </c>
      <c r="D3398" t="s">
        <v>285</v>
      </c>
      <c r="E3398" t="s">
        <v>414</v>
      </c>
      <c r="F3398">
        <f>HYPERLINK("https://www.wikidata.org/wiki/Q16683508", "Q16683508")</f>
        <v>0</v>
      </c>
      <c r="G3398" t="s">
        <v>2194</v>
      </c>
      <c r="H3398" t="s">
        <v>6805</v>
      </c>
      <c r="I3398" t="s">
        <v>9457</v>
      </c>
      <c r="J3398" t="s">
        <v>12857</v>
      </c>
      <c r="K3398" t="s">
        <v>17269</v>
      </c>
      <c r="L3398">
        <f>HYPERLINK("https://www2.assemblee-nationale.fr/sycomore/fiche/(num_dept)/7853", "7853")</f>
        <v>0</v>
      </c>
      <c r="N3398">
        <f>HYPERLINK("https://www.wikidata.org/wiki/Q3131493", "Q3131493")</f>
        <v>0</v>
      </c>
      <c r="O3398" t="s">
        <v>19970</v>
      </c>
      <c r="P3398" t="s">
        <v>20401</v>
      </c>
      <c r="Q3398" t="s">
        <v>16639</v>
      </c>
      <c r="R3398" t="s">
        <v>414</v>
      </c>
      <c r="S3398">
        <v>1491</v>
      </c>
    </row>
    <row r="3399" spans="1:19">
      <c r="A3399" t="s">
        <v>24</v>
      </c>
      <c r="B3399" t="s">
        <v>148</v>
      </c>
      <c r="C3399" t="s">
        <v>156</v>
      </c>
      <c r="D3399" t="s">
        <v>285</v>
      </c>
      <c r="E3399" t="s">
        <v>414</v>
      </c>
      <c r="F3399">
        <f>HYPERLINK("https://www.wikidata.org/wiki/Q16683508", "Q16683508")</f>
        <v>0</v>
      </c>
      <c r="G3399" t="s">
        <v>1978</v>
      </c>
      <c r="H3399" t="s">
        <v>6616</v>
      </c>
      <c r="I3399" t="s">
        <v>6200</v>
      </c>
      <c r="J3399" t="s">
        <v>12659</v>
      </c>
      <c r="K3399" t="s">
        <v>17069</v>
      </c>
      <c r="L3399">
        <f>HYPERLINK("https://www2.assemblee-nationale.fr/sycomore/fiche/(num_dept)/7868", "7868")</f>
        <v>0</v>
      </c>
      <c r="M3399">
        <f>HYPERLINK("https://www.senat.fr/senateur-3eme-republique/lissar_jean1061r3.html", "lissar_jean1061r3")</f>
        <v>0</v>
      </c>
      <c r="N3399">
        <f>HYPERLINK("https://www.wikidata.org/wiki/Q3173228", "Q3173228")</f>
        <v>0</v>
      </c>
      <c r="O3399" t="s">
        <v>19970</v>
      </c>
      <c r="P3399" t="s">
        <v>20414</v>
      </c>
      <c r="Q3399" t="s">
        <v>16639</v>
      </c>
      <c r="R3399" t="s">
        <v>21445</v>
      </c>
      <c r="S3399">
        <v>994</v>
      </c>
    </row>
    <row r="3400" spans="1:19">
      <c r="A3400" t="s">
        <v>24</v>
      </c>
      <c r="B3400" t="s">
        <v>148</v>
      </c>
      <c r="C3400" t="s">
        <v>156</v>
      </c>
      <c r="D3400" t="s">
        <v>285</v>
      </c>
      <c r="E3400" t="s">
        <v>414</v>
      </c>
      <c r="F3400">
        <f>HYPERLINK("https://www.wikidata.org/wiki/Q16683508", "Q16683508")</f>
        <v>0</v>
      </c>
      <c r="G3400" t="s">
        <v>1920</v>
      </c>
      <c r="H3400" t="s">
        <v>6051</v>
      </c>
      <c r="I3400" t="s">
        <v>10000</v>
      </c>
      <c r="J3400" t="s">
        <v>12605</v>
      </c>
      <c r="K3400" t="s">
        <v>17017</v>
      </c>
      <c r="L3400">
        <f>HYPERLINK("https://www2.assemblee-nationale.fr/sycomore/fiche/(num_dept)/7889", "7889")</f>
        <v>0</v>
      </c>
      <c r="N3400">
        <f>HYPERLINK("https://www.wikidata.org/wiki/Q3526668", "Q3526668")</f>
        <v>0</v>
      </c>
      <c r="O3400" t="s">
        <v>20037</v>
      </c>
      <c r="P3400" t="s">
        <v>20428</v>
      </c>
      <c r="Q3400" t="s">
        <v>16639</v>
      </c>
      <c r="R3400" t="s">
        <v>414</v>
      </c>
      <c r="S3400">
        <v>1491</v>
      </c>
    </row>
    <row r="3401" spans="1:19">
      <c r="A3401" t="s">
        <v>24</v>
      </c>
      <c r="B3401" t="s">
        <v>148</v>
      </c>
      <c r="C3401" t="s">
        <v>156</v>
      </c>
      <c r="D3401" t="s">
        <v>285</v>
      </c>
      <c r="E3401" t="s">
        <v>414</v>
      </c>
      <c r="F3401">
        <f>HYPERLINK("https://www.wikidata.org/wiki/Q16683508", "Q16683508")</f>
        <v>0</v>
      </c>
      <c r="G3401" t="s">
        <v>1333</v>
      </c>
      <c r="H3401" t="s">
        <v>5402</v>
      </c>
      <c r="I3401" t="s">
        <v>9754</v>
      </c>
      <c r="J3401" t="s">
        <v>12060</v>
      </c>
      <c r="K3401" t="s">
        <v>16462</v>
      </c>
      <c r="L3401">
        <f>HYPERLINK("https://www2.assemblee-nationale.fr/sycomore/fiche/(num_dept)/10839", "10839")</f>
        <v>0</v>
      </c>
      <c r="N3401">
        <f>HYPERLINK("https://www.wikidata.org/wiki/Q471296", "Q471296")</f>
        <v>0</v>
      </c>
      <c r="O3401" t="s">
        <v>20034</v>
      </c>
      <c r="P3401" t="s">
        <v>20412</v>
      </c>
      <c r="Q3401" t="s">
        <v>16639</v>
      </c>
      <c r="R3401" t="s">
        <v>414</v>
      </c>
      <c r="S3401">
        <v>1491</v>
      </c>
    </row>
    <row r="3402" spans="1:19">
      <c r="A3402" t="s">
        <v>24</v>
      </c>
      <c r="B3402" t="s">
        <v>148</v>
      </c>
      <c r="C3402" t="s">
        <v>156</v>
      </c>
      <c r="D3402" t="s">
        <v>285</v>
      </c>
      <c r="E3402" t="s">
        <v>414</v>
      </c>
      <c r="F3402">
        <f>HYPERLINK("https://www.wikidata.org/wiki/Q16683508", "Q16683508")</f>
        <v>0</v>
      </c>
      <c r="G3402" t="s">
        <v>2195</v>
      </c>
      <c r="H3402" t="s">
        <v>6806</v>
      </c>
      <c r="I3402" t="s">
        <v>6584</v>
      </c>
      <c r="J3402" t="s">
        <v>12858</v>
      </c>
      <c r="K3402" t="s">
        <v>16325</v>
      </c>
      <c r="L3402">
        <f>HYPERLINK("https://www2.assemblee-nationale.fr/sycomore/fiche/(num_dept)/19493", "19493")</f>
        <v>0</v>
      </c>
      <c r="N3402">
        <f>HYPERLINK("https://www.wikidata.org/wiki/Q2831506", "Q2831506")</f>
        <v>0</v>
      </c>
      <c r="O3402" t="s">
        <v>19979</v>
      </c>
      <c r="P3402" t="s">
        <v>20404</v>
      </c>
      <c r="Q3402" t="s">
        <v>16639</v>
      </c>
      <c r="R3402" t="s">
        <v>414</v>
      </c>
      <c r="S3402">
        <v>1491</v>
      </c>
    </row>
    <row r="3403" spans="1:19">
      <c r="A3403" t="s">
        <v>24</v>
      </c>
      <c r="B3403" t="s">
        <v>148</v>
      </c>
      <c r="C3403" t="s">
        <v>156</v>
      </c>
      <c r="D3403" t="s">
        <v>285</v>
      </c>
      <c r="E3403" t="s">
        <v>414</v>
      </c>
      <c r="F3403">
        <f>HYPERLINK("https://www.wikidata.org/wiki/Q16683508", "Q16683508")</f>
        <v>0</v>
      </c>
      <c r="G3403" t="s">
        <v>2195</v>
      </c>
      <c r="H3403" t="s">
        <v>6806</v>
      </c>
      <c r="I3403" t="s">
        <v>6584</v>
      </c>
      <c r="J3403" t="s">
        <v>12858</v>
      </c>
      <c r="K3403" t="s">
        <v>16325</v>
      </c>
      <c r="L3403">
        <f>HYPERLINK("https://www2.assemblee-nationale.fr/sycomore/fiche/(num_dept)/19493", "19493")</f>
        <v>0</v>
      </c>
      <c r="N3403">
        <f>HYPERLINK("https://www.wikidata.org/wiki/Q2831506", "Q2831506")</f>
        <v>0</v>
      </c>
      <c r="O3403" t="s">
        <v>19979</v>
      </c>
      <c r="P3403" t="s">
        <v>20404</v>
      </c>
      <c r="Q3403" t="s">
        <v>16639</v>
      </c>
      <c r="R3403" t="s">
        <v>414</v>
      </c>
      <c r="S3403">
        <v>1491</v>
      </c>
    </row>
    <row r="3404" spans="1:19">
      <c r="A3404" t="s">
        <v>24</v>
      </c>
      <c r="B3404" t="s">
        <v>148</v>
      </c>
      <c r="C3404" t="s">
        <v>156</v>
      </c>
      <c r="D3404" t="s">
        <v>285</v>
      </c>
      <c r="E3404" t="s">
        <v>414</v>
      </c>
      <c r="F3404">
        <f>HYPERLINK("https://www.wikidata.org/wiki/Q16683508", "Q16683508")</f>
        <v>0</v>
      </c>
      <c r="G3404" t="s">
        <v>1145</v>
      </c>
      <c r="H3404" t="s">
        <v>5880</v>
      </c>
      <c r="I3404" t="s">
        <v>5528</v>
      </c>
      <c r="J3404" t="s">
        <v>11879</v>
      </c>
      <c r="K3404" t="s">
        <v>16281</v>
      </c>
      <c r="L3404">
        <f>HYPERLINK("https://www2.assemblee-nationale.fr/sycomore/fiche/(num_dept)/24", "24")</f>
        <v>0</v>
      </c>
      <c r="N3404">
        <f>HYPERLINK("https://www.wikidata.org/wiki/Q2370802", "Q2370802")</f>
        <v>0</v>
      </c>
      <c r="O3404" t="s">
        <v>19968</v>
      </c>
      <c r="P3404" t="s">
        <v>20401</v>
      </c>
      <c r="Q3404" t="s">
        <v>16199</v>
      </c>
      <c r="R3404" t="s">
        <v>414</v>
      </c>
      <c r="S3404">
        <v>1484</v>
      </c>
    </row>
    <row r="3405" spans="1:19">
      <c r="A3405" t="s">
        <v>24</v>
      </c>
      <c r="B3405" t="s">
        <v>148</v>
      </c>
      <c r="C3405" t="s">
        <v>156</v>
      </c>
      <c r="D3405" t="s">
        <v>285</v>
      </c>
      <c r="E3405" t="s">
        <v>414</v>
      </c>
      <c r="F3405">
        <f>HYPERLINK("https://www.wikidata.org/wiki/Q16683508", "Q16683508")</f>
        <v>0</v>
      </c>
      <c r="G3405" t="s">
        <v>1979</v>
      </c>
      <c r="H3405" t="s">
        <v>6617</v>
      </c>
      <c r="I3405" t="s">
        <v>10026</v>
      </c>
      <c r="J3405" t="s">
        <v>12660</v>
      </c>
      <c r="K3405" t="s">
        <v>17070</v>
      </c>
      <c r="L3405">
        <f>HYPERLINK("https://www2.assemblee-nationale.fr/sycomore/fiche/(num_dept)/74", "74")</f>
        <v>0</v>
      </c>
      <c r="N3405">
        <f>HYPERLINK("https://www.wikidata.org/wiki/Q3063540", "Q3063540")</f>
        <v>0</v>
      </c>
      <c r="O3405" t="s">
        <v>19990</v>
      </c>
      <c r="P3405" t="s">
        <v>20404</v>
      </c>
      <c r="Q3405" t="s">
        <v>16199</v>
      </c>
      <c r="R3405" t="s">
        <v>414</v>
      </c>
      <c r="S3405">
        <v>1484</v>
      </c>
    </row>
    <row r="3406" spans="1:19">
      <c r="A3406" t="s">
        <v>24</v>
      </c>
      <c r="B3406" t="s">
        <v>148</v>
      </c>
      <c r="C3406" t="s">
        <v>156</v>
      </c>
      <c r="D3406" t="s">
        <v>285</v>
      </c>
      <c r="E3406" t="s">
        <v>414</v>
      </c>
      <c r="F3406">
        <f>HYPERLINK("https://www.wikidata.org/wiki/Q16683508", "Q16683508")</f>
        <v>0</v>
      </c>
      <c r="G3406" t="s">
        <v>1981</v>
      </c>
      <c r="H3406" t="s">
        <v>6619</v>
      </c>
      <c r="I3406" t="s">
        <v>9474</v>
      </c>
      <c r="J3406" t="s">
        <v>12661</v>
      </c>
      <c r="K3406" t="s">
        <v>17072</v>
      </c>
      <c r="L3406">
        <f>HYPERLINK("https://www2.assemblee-nationale.fr/sycomore/fiche/(num_dept)/107", "107")</f>
        <v>0</v>
      </c>
      <c r="M3406">
        <f>HYPERLINK("https://www.senat.fr/senateur-3eme-republique/amat_jean0098r3.html", "amat_jean0098r3")</f>
        <v>0</v>
      </c>
      <c r="N3406">
        <f>HYPERLINK("https://www.wikidata.org/wiki/Q3163825", "Q3163825")</f>
        <v>0</v>
      </c>
      <c r="O3406" t="s">
        <v>20016</v>
      </c>
      <c r="P3406" t="s">
        <v>20428</v>
      </c>
      <c r="Q3406" t="s">
        <v>16199</v>
      </c>
      <c r="R3406" t="s">
        <v>414</v>
      </c>
      <c r="S3406">
        <v>1484</v>
      </c>
    </row>
    <row r="3407" spans="1:19">
      <c r="A3407" t="s">
        <v>24</v>
      </c>
      <c r="B3407" t="s">
        <v>148</v>
      </c>
      <c r="C3407" t="s">
        <v>156</v>
      </c>
      <c r="D3407" t="s">
        <v>285</v>
      </c>
      <c r="E3407" t="s">
        <v>414</v>
      </c>
      <c r="F3407">
        <f>HYPERLINK("https://www.wikidata.org/wiki/Q16683508", "Q16683508")</f>
        <v>0</v>
      </c>
      <c r="G3407" t="s">
        <v>2224</v>
      </c>
      <c r="H3407" t="s">
        <v>6833</v>
      </c>
      <c r="I3407" t="s">
        <v>8093</v>
      </c>
      <c r="J3407" t="s">
        <v>12885</v>
      </c>
      <c r="K3407" t="s">
        <v>17297</v>
      </c>
      <c r="L3407">
        <f>HYPERLINK("https://www2.assemblee-nationale.fr/sycomore/fiche/(num_dept)/108", "108")</f>
        <v>0</v>
      </c>
      <c r="N3407">
        <f>HYPERLINK("https://www.wikidata.org/wiki/Q3535642", "Q3535642")</f>
        <v>0</v>
      </c>
      <c r="O3407" t="s">
        <v>19990</v>
      </c>
      <c r="P3407" t="s">
        <v>20404</v>
      </c>
      <c r="Q3407" t="s">
        <v>16199</v>
      </c>
      <c r="R3407" t="s">
        <v>414</v>
      </c>
      <c r="S3407">
        <v>1484</v>
      </c>
    </row>
    <row r="3408" spans="1:19">
      <c r="A3408" t="s">
        <v>24</v>
      </c>
      <c r="B3408" t="s">
        <v>148</v>
      </c>
      <c r="C3408" t="s">
        <v>156</v>
      </c>
      <c r="D3408" t="s">
        <v>285</v>
      </c>
      <c r="E3408" t="s">
        <v>414</v>
      </c>
      <c r="F3408">
        <f>HYPERLINK("https://www.wikidata.org/wiki/Q16683508", "Q16683508")</f>
        <v>0</v>
      </c>
      <c r="G3408" t="s">
        <v>1342</v>
      </c>
      <c r="H3408" t="s">
        <v>6060</v>
      </c>
      <c r="I3408" t="s">
        <v>9760</v>
      </c>
      <c r="J3408" t="s">
        <v>12069</v>
      </c>
      <c r="K3408" t="s">
        <v>16471</v>
      </c>
      <c r="L3408">
        <f>HYPERLINK("https://www2.assemblee-nationale.fr/sycomore/fiche/(num_dept)/135", "135")</f>
        <v>0</v>
      </c>
      <c r="N3408">
        <f>HYPERLINK("https://www.wikidata.org/wiki/Q3102188", "Q3102188")</f>
        <v>0</v>
      </c>
      <c r="O3408" t="s">
        <v>19986</v>
      </c>
      <c r="P3408" t="s">
        <v>20428</v>
      </c>
      <c r="Q3408" t="s">
        <v>16199</v>
      </c>
      <c r="R3408" t="s">
        <v>414</v>
      </c>
      <c r="S3408">
        <v>1484</v>
      </c>
    </row>
    <row r="3409" spans="1:19">
      <c r="A3409" t="s">
        <v>24</v>
      </c>
      <c r="B3409" t="s">
        <v>148</v>
      </c>
      <c r="C3409" t="s">
        <v>156</v>
      </c>
      <c r="D3409" t="s">
        <v>285</v>
      </c>
      <c r="E3409" t="s">
        <v>414</v>
      </c>
      <c r="F3409">
        <f>HYPERLINK("https://www.wikidata.org/wiki/Q16683508", "Q16683508")</f>
        <v>0</v>
      </c>
      <c r="G3409" t="s">
        <v>860</v>
      </c>
      <c r="H3409" t="s">
        <v>5616</v>
      </c>
      <c r="I3409" t="s">
        <v>6585</v>
      </c>
      <c r="J3409" t="s">
        <v>11606</v>
      </c>
      <c r="K3409" t="s">
        <v>16008</v>
      </c>
      <c r="L3409">
        <f>HYPERLINK("https://www2.assemblee-nationale.fr/sycomore/fiche/(num_dept)/136", "136")</f>
        <v>0</v>
      </c>
      <c r="N3409">
        <f>HYPERLINK("https://www.wikidata.org/wiki/Q2847958", "Q2847958")</f>
        <v>0</v>
      </c>
      <c r="O3409" t="s">
        <v>20037</v>
      </c>
      <c r="P3409" t="s">
        <v>20428</v>
      </c>
      <c r="Q3409" t="s">
        <v>16199</v>
      </c>
      <c r="R3409" t="s">
        <v>414</v>
      </c>
      <c r="S3409">
        <v>1484</v>
      </c>
    </row>
    <row r="3410" spans="1:19">
      <c r="A3410" t="s">
        <v>24</v>
      </c>
      <c r="B3410" t="s">
        <v>148</v>
      </c>
      <c r="C3410" t="s">
        <v>156</v>
      </c>
      <c r="D3410" t="s">
        <v>285</v>
      </c>
      <c r="E3410" t="s">
        <v>414</v>
      </c>
      <c r="F3410">
        <f>HYPERLINK("https://www.wikidata.org/wiki/Q16683508", "Q16683508")</f>
        <v>0</v>
      </c>
      <c r="G3410" t="s">
        <v>1985</v>
      </c>
      <c r="H3410" t="s">
        <v>6623</v>
      </c>
      <c r="I3410" t="s">
        <v>9500</v>
      </c>
      <c r="J3410" t="s">
        <v>12520</v>
      </c>
      <c r="K3410" t="s">
        <v>17076</v>
      </c>
      <c r="L3410">
        <f>HYPERLINK("https://www2.assemblee-nationale.fr/sycomore/fiche/(num_dept)/228", "228")</f>
        <v>0</v>
      </c>
      <c r="N3410">
        <f>HYPERLINK("https://www.wikidata.org/wiki/Q3419119", "Q3419119")</f>
        <v>0</v>
      </c>
      <c r="O3410" t="s">
        <v>19989</v>
      </c>
      <c r="P3410" t="s">
        <v>20428</v>
      </c>
      <c r="Q3410" t="s">
        <v>16199</v>
      </c>
      <c r="R3410" t="s">
        <v>414</v>
      </c>
      <c r="S3410">
        <v>1484</v>
      </c>
    </row>
    <row r="3411" spans="1:19">
      <c r="A3411" t="s">
        <v>24</v>
      </c>
      <c r="B3411" t="s">
        <v>148</v>
      </c>
      <c r="C3411" t="s">
        <v>156</v>
      </c>
      <c r="D3411" t="s">
        <v>285</v>
      </c>
      <c r="E3411" t="s">
        <v>414</v>
      </c>
      <c r="F3411">
        <f>HYPERLINK("https://www.wikidata.org/wiki/Q16683508", "Q16683508")</f>
        <v>0</v>
      </c>
      <c r="G3411" t="s">
        <v>2264</v>
      </c>
      <c r="H3411" t="s">
        <v>6865</v>
      </c>
      <c r="I3411" t="s">
        <v>10143</v>
      </c>
      <c r="J3411" t="s">
        <v>12922</v>
      </c>
      <c r="K3411" t="s">
        <v>17332</v>
      </c>
      <c r="L3411">
        <f>HYPERLINK("https://www2.assemblee-nationale.fr/sycomore/fiche/(num_dept)/232", "232")</f>
        <v>0</v>
      </c>
      <c r="N3411">
        <f>HYPERLINK("https://www.wikidata.org/wiki/Q3261122", "Q3261122")</f>
        <v>0</v>
      </c>
      <c r="O3411" t="s">
        <v>19972</v>
      </c>
      <c r="P3411" t="s">
        <v>20401</v>
      </c>
      <c r="Q3411" t="s">
        <v>16199</v>
      </c>
      <c r="R3411" t="s">
        <v>414</v>
      </c>
      <c r="S3411">
        <v>1484</v>
      </c>
    </row>
    <row r="3412" spans="1:19">
      <c r="A3412" t="s">
        <v>24</v>
      </c>
      <c r="B3412" t="s">
        <v>148</v>
      </c>
      <c r="C3412" t="s">
        <v>156</v>
      </c>
      <c r="D3412" t="s">
        <v>285</v>
      </c>
      <c r="E3412" t="s">
        <v>414</v>
      </c>
      <c r="F3412">
        <f>HYPERLINK("https://www.wikidata.org/wiki/Q16683508", "Q16683508")</f>
        <v>0</v>
      </c>
      <c r="G3412" t="s">
        <v>1703</v>
      </c>
      <c r="H3412" t="s">
        <v>6379</v>
      </c>
      <c r="I3412" t="s">
        <v>9898</v>
      </c>
      <c r="J3412" t="s">
        <v>12406</v>
      </c>
      <c r="K3412" t="s">
        <v>16814</v>
      </c>
      <c r="L3412">
        <f>HYPERLINK("https://www2.assemblee-nationale.fr/sycomore/fiche/(num_dept)/258", "258")</f>
        <v>0</v>
      </c>
      <c r="N3412">
        <f>HYPERLINK("https://www.wikidata.org/wiki/Q2958432", "Q2958432")</f>
        <v>0</v>
      </c>
      <c r="O3412" t="s">
        <v>19969</v>
      </c>
      <c r="P3412" t="s">
        <v>20442</v>
      </c>
      <c r="Q3412" t="s">
        <v>16199</v>
      </c>
      <c r="R3412" t="s">
        <v>414</v>
      </c>
      <c r="S3412">
        <v>1484</v>
      </c>
    </row>
    <row r="3413" spans="1:19">
      <c r="A3413" t="s">
        <v>24</v>
      </c>
      <c r="B3413" t="s">
        <v>148</v>
      </c>
      <c r="C3413" t="s">
        <v>156</v>
      </c>
      <c r="D3413" t="s">
        <v>285</v>
      </c>
      <c r="E3413" t="s">
        <v>414</v>
      </c>
      <c r="F3413">
        <f>HYPERLINK("https://www.wikidata.org/wiki/Q16683508", "Q16683508")</f>
        <v>0</v>
      </c>
      <c r="G3413" t="s">
        <v>2265</v>
      </c>
      <c r="H3413" t="s">
        <v>5844</v>
      </c>
      <c r="I3413" t="s">
        <v>9376</v>
      </c>
      <c r="J3413" t="s">
        <v>12923</v>
      </c>
      <c r="K3413" t="s">
        <v>17333</v>
      </c>
      <c r="L3413">
        <f>HYPERLINK("https://www2.assemblee-nationale.fr/sycomore/fiche/(num_dept)/264", "264")</f>
        <v>0</v>
      </c>
      <c r="N3413">
        <f>HYPERLINK("https://www.wikidata.org/wiki/Q15973392", "Q15973392")</f>
        <v>0</v>
      </c>
      <c r="O3413" t="s">
        <v>20045</v>
      </c>
      <c r="P3413" t="s">
        <v>20428</v>
      </c>
      <c r="Q3413" t="s">
        <v>16199</v>
      </c>
      <c r="R3413" t="s">
        <v>414</v>
      </c>
      <c r="S3413">
        <v>1484</v>
      </c>
    </row>
    <row r="3414" spans="1:19">
      <c r="A3414" t="s">
        <v>24</v>
      </c>
      <c r="B3414" t="s">
        <v>148</v>
      </c>
      <c r="C3414" t="s">
        <v>156</v>
      </c>
      <c r="D3414" t="s">
        <v>285</v>
      </c>
      <c r="E3414" t="s">
        <v>414</v>
      </c>
      <c r="F3414">
        <f>HYPERLINK("https://www.wikidata.org/wiki/Q16683508", "Q16683508")</f>
        <v>0</v>
      </c>
      <c r="G3414" t="s">
        <v>2266</v>
      </c>
      <c r="H3414" t="s">
        <v>6866</v>
      </c>
      <c r="I3414" t="s">
        <v>10144</v>
      </c>
      <c r="J3414" t="s">
        <v>12924</v>
      </c>
      <c r="K3414" t="s">
        <v>17334</v>
      </c>
      <c r="L3414">
        <f>HYPERLINK("https://www2.assemblee-nationale.fr/sycomore/fiche/(num_dept)/273", "273")</f>
        <v>0</v>
      </c>
      <c r="N3414">
        <f>HYPERLINK("https://www.wikidata.org/wiki/Q7120642", "Q7120642")</f>
        <v>0</v>
      </c>
      <c r="O3414" t="s">
        <v>20032</v>
      </c>
      <c r="P3414" t="s">
        <v>20409</v>
      </c>
      <c r="Q3414" t="s">
        <v>16199</v>
      </c>
      <c r="R3414" t="s">
        <v>414</v>
      </c>
      <c r="S3414">
        <v>1484</v>
      </c>
    </row>
    <row r="3415" spans="1:19">
      <c r="A3415" t="s">
        <v>24</v>
      </c>
      <c r="B3415" t="s">
        <v>148</v>
      </c>
      <c r="C3415" t="s">
        <v>156</v>
      </c>
      <c r="D3415" t="s">
        <v>285</v>
      </c>
      <c r="E3415" t="s">
        <v>414</v>
      </c>
      <c r="F3415">
        <f>HYPERLINK("https://www.wikidata.org/wiki/Q16683508", "Q16683508")</f>
        <v>0</v>
      </c>
      <c r="G3415" t="s">
        <v>2267</v>
      </c>
      <c r="H3415" t="s">
        <v>6867</v>
      </c>
      <c r="I3415" t="s">
        <v>9388</v>
      </c>
      <c r="J3415" t="s">
        <v>12925</v>
      </c>
      <c r="K3415" t="s">
        <v>17335</v>
      </c>
      <c r="L3415">
        <f>HYPERLINK("https://www2.assemblee-nationale.fr/sycomore/fiche/(num_dept)/322", "322")</f>
        <v>0</v>
      </c>
      <c r="N3415">
        <f>HYPERLINK("https://www.wikidata.org/wiki/Q3370541", "Q3370541")</f>
        <v>0</v>
      </c>
      <c r="O3415" t="s">
        <v>19968</v>
      </c>
      <c r="P3415" t="s">
        <v>20412</v>
      </c>
      <c r="Q3415" t="s">
        <v>16199</v>
      </c>
      <c r="R3415" t="s">
        <v>414</v>
      </c>
      <c r="S3415">
        <v>1484</v>
      </c>
    </row>
    <row r="3416" spans="1:19">
      <c r="A3416" t="s">
        <v>24</v>
      </c>
      <c r="B3416" t="s">
        <v>148</v>
      </c>
      <c r="C3416" t="s">
        <v>156</v>
      </c>
      <c r="D3416" t="s">
        <v>285</v>
      </c>
      <c r="E3416" t="s">
        <v>414</v>
      </c>
      <c r="F3416">
        <f>HYPERLINK("https://www.wikidata.org/wiki/Q16683508", "Q16683508")</f>
        <v>0</v>
      </c>
      <c r="G3416" t="s">
        <v>1989</v>
      </c>
      <c r="H3416" t="s">
        <v>6627</v>
      </c>
      <c r="I3416" t="s">
        <v>10033</v>
      </c>
      <c r="J3416" t="s">
        <v>12668</v>
      </c>
      <c r="K3416" t="s">
        <v>17080</v>
      </c>
      <c r="L3416">
        <f>HYPERLINK("https://www2.assemblee-nationale.fr/sycomore/fiche/(num_dept)/354", "354")</f>
        <v>0</v>
      </c>
      <c r="N3416">
        <f>HYPERLINK("https://www.wikidata.org/wiki/Q3119652", "Q3119652")</f>
        <v>0</v>
      </c>
      <c r="O3416" t="s">
        <v>19976</v>
      </c>
      <c r="P3416" t="s">
        <v>20438</v>
      </c>
      <c r="Q3416" t="s">
        <v>16199</v>
      </c>
      <c r="R3416" t="s">
        <v>414</v>
      </c>
      <c r="S3416">
        <v>1484</v>
      </c>
    </row>
    <row r="3417" spans="1:19">
      <c r="A3417" t="s">
        <v>24</v>
      </c>
      <c r="B3417" t="s">
        <v>148</v>
      </c>
      <c r="C3417" t="s">
        <v>156</v>
      </c>
      <c r="D3417" t="s">
        <v>285</v>
      </c>
      <c r="E3417" t="s">
        <v>414</v>
      </c>
      <c r="F3417">
        <f>HYPERLINK("https://www.wikidata.org/wiki/Q16683508", "Q16683508")</f>
        <v>0</v>
      </c>
      <c r="G3417" t="s">
        <v>2268</v>
      </c>
      <c r="H3417" t="s">
        <v>6868</v>
      </c>
      <c r="I3417" t="s">
        <v>9535</v>
      </c>
      <c r="J3417" t="s">
        <v>12926</v>
      </c>
      <c r="K3417" t="s">
        <v>17336</v>
      </c>
      <c r="L3417">
        <f>HYPERLINK("https://www2.assemblee-nationale.fr/sycomore/fiche/(num_dept)/385", "385")</f>
        <v>0</v>
      </c>
      <c r="N3417">
        <f>HYPERLINK("https://www.wikidata.org/wiki/Q15973487", "Q15973487")</f>
        <v>0</v>
      </c>
      <c r="O3417" t="s">
        <v>19965</v>
      </c>
      <c r="P3417" t="s">
        <v>20428</v>
      </c>
      <c r="Q3417" t="s">
        <v>16199</v>
      </c>
      <c r="R3417" t="s">
        <v>414</v>
      </c>
      <c r="S3417">
        <v>1484</v>
      </c>
    </row>
    <row r="3418" spans="1:19">
      <c r="A3418" t="s">
        <v>24</v>
      </c>
      <c r="B3418" t="s">
        <v>148</v>
      </c>
      <c r="C3418" t="s">
        <v>156</v>
      </c>
      <c r="D3418" t="s">
        <v>285</v>
      </c>
      <c r="E3418" t="s">
        <v>414</v>
      </c>
      <c r="F3418">
        <f>HYPERLINK("https://www.wikidata.org/wiki/Q16683508", "Q16683508")</f>
        <v>0</v>
      </c>
      <c r="G3418" t="s">
        <v>2269</v>
      </c>
      <c r="H3418" t="s">
        <v>6076</v>
      </c>
      <c r="I3418" t="s">
        <v>10145</v>
      </c>
      <c r="J3418" t="s">
        <v>12927</v>
      </c>
      <c r="K3418" t="s">
        <v>17337</v>
      </c>
      <c r="L3418">
        <f>HYPERLINK("https://www2.assemblee-nationale.fr/sycomore/fiche/(num_dept)/446", "446")</f>
        <v>0</v>
      </c>
      <c r="N3418">
        <f>HYPERLINK("https://www.wikidata.org/wiki/Q3102240", "Q3102240")</f>
        <v>0</v>
      </c>
      <c r="O3418" t="s">
        <v>19969</v>
      </c>
      <c r="P3418" t="s">
        <v>20404</v>
      </c>
      <c r="Q3418" t="s">
        <v>16199</v>
      </c>
      <c r="R3418" t="s">
        <v>414</v>
      </c>
      <c r="S3418">
        <v>1484</v>
      </c>
    </row>
    <row r="3419" spans="1:19">
      <c r="A3419" t="s">
        <v>24</v>
      </c>
      <c r="B3419" t="s">
        <v>148</v>
      </c>
      <c r="C3419" t="s">
        <v>156</v>
      </c>
      <c r="D3419" t="s">
        <v>285</v>
      </c>
      <c r="E3419" t="s">
        <v>414</v>
      </c>
      <c r="F3419">
        <f>HYPERLINK("https://www.wikidata.org/wiki/Q16683508", "Q16683508")</f>
        <v>0</v>
      </c>
      <c r="G3419" t="s">
        <v>2270</v>
      </c>
      <c r="H3419" t="s">
        <v>6869</v>
      </c>
      <c r="I3419" t="s">
        <v>10146</v>
      </c>
      <c r="J3419" t="s">
        <v>12928</v>
      </c>
      <c r="K3419" t="s">
        <v>17334</v>
      </c>
      <c r="L3419">
        <f>HYPERLINK("https://www2.assemblee-nationale.fr/sycomore/fiche/(num_dept)/463", "463")</f>
        <v>0</v>
      </c>
      <c r="N3419">
        <f>HYPERLINK("https://www.wikidata.org/wiki/Q2834957", "Q2834957")</f>
        <v>0</v>
      </c>
      <c r="O3419" t="s">
        <v>20012</v>
      </c>
      <c r="P3419" t="s">
        <v>20404</v>
      </c>
      <c r="Q3419" t="s">
        <v>16199</v>
      </c>
      <c r="R3419" t="s">
        <v>414</v>
      </c>
      <c r="S3419">
        <v>1484</v>
      </c>
    </row>
    <row r="3420" spans="1:19">
      <c r="A3420" t="s">
        <v>24</v>
      </c>
      <c r="B3420" t="s">
        <v>148</v>
      </c>
      <c r="C3420" t="s">
        <v>156</v>
      </c>
      <c r="D3420" t="s">
        <v>285</v>
      </c>
      <c r="E3420" t="s">
        <v>414</v>
      </c>
      <c r="F3420">
        <f>HYPERLINK("https://www.wikidata.org/wiki/Q16683508", "Q16683508")</f>
        <v>0</v>
      </c>
      <c r="G3420" t="s">
        <v>1361</v>
      </c>
      <c r="H3420" t="s">
        <v>6078</v>
      </c>
      <c r="I3420" t="s">
        <v>9769</v>
      </c>
      <c r="J3420" t="s">
        <v>12087</v>
      </c>
      <c r="K3420" t="s">
        <v>16490</v>
      </c>
      <c r="L3420">
        <f>HYPERLINK("https://www2.assemblee-nationale.fr/sycomore/fiche/(num_dept)/477", "477")</f>
        <v>0</v>
      </c>
      <c r="N3420">
        <f>HYPERLINK("https://www.wikidata.org/wiki/Q3557147", "Q3557147")</f>
        <v>0</v>
      </c>
      <c r="O3420" t="s">
        <v>19994</v>
      </c>
      <c r="P3420" t="s">
        <v>20401</v>
      </c>
      <c r="Q3420" t="s">
        <v>16199</v>
      </c>
      <c r="R3420" t="s">
        <v>414</v>
      </c>
      <c r="S3420">
        <v>1484</v>
      </c>
    </row>
    <row r="3421" spans="1:19">
      <c r="A3421" t="s">
        <v>24</v>
      </c>
      <c r="B3421" t="s">
        <v>148</v>
      </c>
      <c r="C3421" t="s">
        <v>156</v>
      </c>
      <c r="D3421" t="s">
        <v>285</v>
      </c>
      <c r="E3421" t="s">
        <v>414</v>
      </c>
      <c r="F3421">
        <f>HYPERLINK("https://www.wikidata.org/wiki/Q16683508", "Q16683508")</f>
        <v>0</v>
      </c>
      <c r="G3421" t="s">
        <v>2271</v>
      </c>
      <c r="H3421" t="s">
        <v>6870</v>
      </c>
      <c r="I3421" t="s">
        <v>5528</v>
      </c>
      <c r="J3421" t="s">
        <v>12929</v>
      </c>
      <c r="K3421" t="s">
        <v>17338</v>
      </c>
      <c r="L3421">
        <f>HYPERLINK("https://www2.assemblee-nationale.fr/sycomore/fiche/(num_dept)/513", "513")</f>
        <v>0</v>
      </c>
      <c r="N3421">
        <f>HYPERLINK("https://www.wikidata.org/wiki/Q15973583", "Q15973583")</f>
        <v>0</v>
      </c>
      <c r="O3421" t="s">
        <v>7411</v>
      </c>
      <c r="P3421" t="s">
        <v>20404</v>
      </c>
      <c r="Q3421" t="s">
        <v>16199</v>
      </c>
      <c r="R3421" t="s">
        <v>414</v>
      </c>
      <c r="S3421">
        <v>1484</v>
      </c>
    </row>
    <row r="3422" spans="1:19">
      <c r="A3422" t="s">
        <v>24</v>
      </c>
      <c r="B3422" t="s">
        <v>148</v>
      </c>
      <c r="C3422" t="s">
        <v>156</v>
      </c>
      <c r="D3422" t="s">
        <v>285</v>
      </c>
      <c r="E3422" t="s">
        <v>414</v>
      </c>
      <c r="F3422">
        <f>HYPERLINK("https://www.wikidata.org/wiki/Q16683508", "Q16683508")</f>
        <v>0</v>
      </c>
      <c r="G3422" t="s">
        <v>2272</v>
      </c>
      <c r="H3422" t="s">
        <v>6871</v>
      </c>
      <c r="I3422" t="s">
        <v>6585</v>
      </c>
      <c r="J3422" t="s">
        <v>12930</v>
      </c>
      <c r="K3422" t="s">
        <v>17339</v>
      </c>
      <c r="L3422">
        <f>HYPERLINK("https://www2.assemblee-nationale.fr/sycomore/fiche/(num_dept)/532", "532")</f>
        <v>0</v>
      </c>
      <c r="N3422">
        <f>HYPERLINK("https://www.wikidata.org/wiki/Q2847242", "Q2847242")</f>
        <v>0</v>
      </c>
      <c r="O3422" t="s">
        <v>20030</v>
      </c>
      <c r="P3422" t="s">
        <v>20412</v>
      </c>
      <c r="Q3422" t="s">
        <v>16199</v>
      </c>
      <c r="R3422" t="s">
        <v>414</v>
      </c>
      <c r="S3422">
        <v>1484</v>
      </c>
    </row>
    <row r="3423" spans="1:19">
      <c r="A3423" t="s">
        <v>24</v>
      </c>
      <c r="B3423" t="s">
        <v>148</v>
      </c>
      <c r="C3423" t="s">
        <v>156</v>
      </c>
      <c r="D3423" t="s">
        <v>285</v>
      </c>
      <c r="E3423" t="s">
        <v>414</v>
      </c>
      <c r="F3423">
        <f>HYPERLINK("https://www.wikidata.org/wiki/Q16683508", "Q16683508")</f>
        <v>0</v>
      </c>
      <c r="G3423" t="s">
        <v>2273</v>
      </c>
      <c r="H3423" t="s">
        <v>6872</v>
      </c>
      <c r="I3423" t="s">
        <v>10147</v>
      </c>
      <c r="J3423" t="s">
        <v>12931</v>
      </c>
      <c r="K3423" t="s">
        <v>17340</v>
      </c>
      <c r="L3423">
        <f>HYPERLINK("https://www2.assemblee-nationale.fr/sycomore/fiche/(num_dept)/567", "567")</f>
        <v>0</v>
      </c>
      <c r="N3423">
        <f>HYPERLINK("https://www.wikidata.org/wiki/Q2958648", "Q2958648")</f>
        <v>0</v>
      </c>
      <c r="O3423" t="s">
        <v>19996</v>
      </c>
      <c r="P3423" t="s">
        <v>20428</v>
      </c>
      <c r="Q3423" t="s">
        <v>16199</v>
      </c>
      <c r="R3423" t="s">
        <v>414</v>
      </c>
      <c r="S3423">
        <v>1484</v>
      </c>
    </row>
    <row r="3424" spans="1:19">
      <c r="A3424" t="s">
        <v>24</v>
      </c>
      <c r="B3424" t="s">
        <v>148</v>
      </c>
      <c r="C3424" t="s">
        <v>156</v>
      </c>
      <c r="D3424" t="s">
        <v>285</v>
      </c>
      <c r="E3424" t="s">
        <v>414</v>
      </c>
      <c r="F3424">
        <f>HYPERLINK("https://www.wikidata.org/wiki/Q16683508", "Q16683508")</f>
        <v>0</v>
      </c>
      <c r="G3424" t="s">
        <v>2230</v>
      </c>
      <c r="H3424" t="s">
        <v>6839</v>
      </c>
      <c r="I3424" t="s">
        <v>10126</v>
      </c>
      <c r="J3424" t="s">
        <v>12891</v>
      </c>
      <c r="K3424" t="s">
        <v>15943</v>
      </c>
      <c r="L3424">
        <f>HYPERLINK("https://www2.assemblee-nationale.fr/sycomore/fiche/(num_dept)/597", "597")</f>
        <v>0</v>
      </c>
      <c r="N3424">
        <f>HYPERLINK("https://www.wikidata.org/wiki/Q3098912", "Q3098912")</f>
        <v>0</v>
      </c>
      <c r="O3424" t="s">
        <v>19968</v>
      </c>
      <c r="P3424" t="s">
        <v>20404</v>
      </c>
      <c r="Q3424" t="s">
        <v>16199</v>
      </c>
      <c r="R3424" t="s">
        <v>414</v>
      </c>
      <c r="S3424">
        <v>1484</v>
      </c>
    </row>
    <row r="3425" spans="1:19">
      <c r="A3425" t="s">
        <v>24</v>
      </c>
      <c r="B3425" t="s">
        <v>148</v>
      </c>
      <c r="C3425" t="s">
        <v>156</v>
      </c>
      <c r="D3425" t="s">
        <v>285</v>
      </c>
      <c r="E3425" t="s">
        <v>414</v>
      </c>
      <c r="F3425">
        <f>HYPERLINK("https://www.wikidata.org/wiki/Q16683508", "Q16683508")</f>
        <v>0</v>
      </c>
      <c r="G3425" t="s">
        <v>2213</v>
      </c>
      <c r="H3425" t="s">
        <v>6822</v>
      </c>
      <c r="I3425" t="s">
        <v>10119</v>
      </c>
      <c r="J3425" t="s">
        <v>12874</v>
      </c>
      <c r="K3425" t="s">
        <v>17286</v>
      </c>
      <c r="L3425">
        <f>HYPERLINK("https://www2.assemblee-nationale.fr/sycomore/fiche/(num_dept)/657", "657")</f>
        <v>0</v>
      </c>
      <c r="N3425">
        <f>HYPERLINK("https://www.wikidata.org/wiki/Q8308813", "Q8308813")</f>
        <v>0</v>
      </c>
      <c r="O3425" t="s">
        <v>19971</v>
      </c>
      <c r="P3425" t="s">
        <v>20436</v>
      </c>
      <c r="Q3425" t="s">
        <v>16199</v>
      </c>
      <c r="R3425" t="s">
        <v>414</v>
      </c>
      <c r="S3425">
        <v>1484</v>
      </c>
    </row>
    <row r="3426" spans="1:19">
      <c r="A3426" t="s">
        <v>24</v>
      </c>
      <c r="B3426" t="s">
        <v>148</v>
      </c>
      <c r="C3426" t="s">
        <v>156</v>
      </c>
      <c r="D3426" t="s">
        <v>285</v>
      </c>
      <c r="E3426" t="s">
        <v>414</v>
      </c>
      <c r="F3426">
        <f>HYPERLINK("https://www.wikidata.org/wiki/Q16683508", "Q16683508")</f>
        <v>0</v>
      </c>
      <c r="G3426" t="s">
        <v>2001</v>
      </c>
      <c r="H3426" t="s">
        <v>6636</v>
      </c>
      <c r="I3426" t="s">
        <v>9470</v>
      </c>
      <c r="J3426" t="s">
        <v>12680</v>
      </c>
      <c r="K3426" t="s">
        <v>17090</v>
      </c>
      <c r="L3426">
        <f>HYPERLINK("https://www2.assemblee-nationale.fr/sycomore/fiche/(num_dept)/672", "672")</f>
        <v>0</v>
      </c>
      <c r="N3426">
        <f>HYPERLINK("https://www.wikidata.org/wiki/Q3098916", "Q3098916")</f>
        <v>0</v>
      </c>
      <c r="O3426" t="s">
        <v>19976</v>
      </c>
      <c r="P3426" t="s">
        <v>20428</v>
      </c>
      <c r="Q3426" t="s">
        <v>16199</v>
      </c>
      <c r="R3426" t="s">
        <v>17194</v>
      </c>
      <c r="S3426">
        <v>653</v>
      </c>
    </row>
    <row r="3427" spans="1:19">
      <c r="A3427" t="s">
        <v>24</v>
      </c>
      <c r="B3427" t="s">
        <v>148</v>
      </c>
      <c r="C3427" t="s">
        <v>156</v>
      </c>
      <c r="D3427" t="s">
        <v>285</v>
      </c>
      <c r="E3427" t="s">
        <v>414</v>
      </c>
      <c r="F3427">
        <f>HYPERLINK("https://www.wikidata.org/wiki/Q16683508", "Q16683508")</f>
        <v>0</v>
      </c>
      <c r="G3427" t="s">
        <v>1370</v>
      </c>
      <c r="H3427" t="s">
        <v>6085</v>
      </c>
      <c r="I3427" t="s">
        <v>9776</v>
      </c>
      <c r="J3427" t="s">
        <v>12096</v>
      </c>
      <c r="K3427" t="s">
        <v>16499</v>
      </c>
      <c r="L3427">
        <f>HYPERLINK("https://www2.assemblee-nationale.fr/sycomore/fiche/(num_dept)/707", "707")</f>
        <v>0</v>
      </c>
      <c r="N3427">
        <f>HYPERLINK("https://www.wikidata.org/wiki/Q3370622", "Q3370622")</f>
        <v>0</v>
      </c>
      <c r="O3427" t="s">
        <v>20008</v>
      </c>
      <c r="P3427" t="s">
        <v>20428</v>
      </c>
      <c r="Q3427" t="s">
        <v>16199</v>
      </c>
      <c r="R3427" t="s">
        <v>414</v>
      </c>
      <c r="S3427">
        <v>1484</v>
      </c>
    </row>
    <row r="3428" spans="1:19">
      <c r="A3428" t="s">
        <v>24</v>
      </c>
      <c r="B3428" t="s">
        <v>148</v>
      </c>
      <c r="C3428" t="s">
        <v>156</v>
      </c>
      <c r="D3428" t="s">
        <v>285</v>
      </c>
      <c r="E3428" t="s">
        <v>414</v>
      </c>
      <c r="F3428">
        <f>HYPERLINK("https://www.wikidata.org/wiki/Q16683508", "Q16683508")</f>
        <v>0</v>
      </c>
      <c r="G3428" t="s">
        <v>2002</v>
      </c>
      <c r="H3428" t="s">
        <v>6637</v>
      </c>
      <c r="I3428" t="s">
        <v>9389</v>
      </c>
      <c r="J3428" t="s">
        <v>12681</v>
      </c>
      <c r="K3428" t="s">
        <v>17091</v>
      </c>
      <c r="L3428">
        <f>HYPERLINK("https://www2.assemblee-nationale.fr/sycomore/fiche/(num_dept)/711", "711")</f>
        <v>0</v>
      </c>
      <c r="N3428">
        <f>HYPERLINK("https://www.wikidata.org/wiki/Q3588388", "Q3588388")</f>
        <v>0</v>
      </c>
      <c r="O3428" t="s">
        <v>20050</v>
      </c>
      <c r="P3428" t="s">
        <v>20409</v>
      </c>
      <c r="Q3428" t="s">
        <v>16199</v>
      </c>
      <c r="R3428" t="s">
        <v>414</v>
      </c>
      <c r="S3428">
        <v>1484</v>
      </c>
    </row>
    <row r="3429" spans="1:19">
      <c r="A3429" t="s">
        <v>24</v>
      </c>
      <c r="B3429" t="s">
        <v>148</v>
      </c>
      <c r="C3429" t="s">
        <v>156</v>
      </c>
      <c r="D3429" t="s">
        <v>285</v>
      </c>
      <c r="E3429" t="s">
        <v>414</v>
      </c>
      <c r="F3429">
        <f>HYPERLINK("https://www.wikidata.org/wiki/Q16683508", "Q16683508")</f>
        <v>0</v>
      </c>
      <c r="G3429" t="s">
        <v>2003</v>
      </c>
      <c r="H3429" t="s">
        <v>6638</v>
      </c>
      <c r="I3429" t="s">
        <v>9385</v>
      </c>
      <c r="J3429" t="s">
        <v>12682</v>
      </c>
      <c r="K3429" t="s">
        <v>17092</v>
      </c>
      <c r="L3429">
        <f>HYPERLINK("https://www2.assemblee-nationale.fr/sycomore/fiche/(num_dept)/727", "727")</f>
        <v>0</v>
      </c>
      <c r="N3429">
        <f>HYPERLINK("https://www.wikidata.org/wiki/Q43364", "Q43364")</f>
        <v>0</v>
      </c>
      <c r="O3429" t="s">
        <v>20014</v>
      </c>
      <c r="P3429" t="s">
        <v>20440</v>
      </c>
      <c r="Q3429" t="s">
        <v>16199</v>
      </c>
      <c r="R3429" t="s">
        <v>414</v>
      </c>
      <c r="S3429">
        <v>1484</v>
      </c>
    </row>
    <row r="3430" spans="1:19">
      <c r="A3430" t="s">
        <v>24</v>
      </c>
      <c r="B3430" t="s">
        <v>148</v>
      </c>
      <c r="C3430" t="s">
        <v>156</v>
      </c>
      <c r="D3430" t="s">
        <v>285</v>
      </c>
      <c r="E3430" t="s">
        <v>414</v>
      </c>
      <c r="F3430">
        <f>HYPERLINK("https://www.wikidata.org/wiki/Q16683508", "Q16683508")</f>
        <v>0</v>
      </c>
      <c r="G3430" t="s">
        <v>2004</v>
      </c>
      <c r="H3430" t="s">
        <v>6639</v>
      </c>
      <c r="I3430" t="s">
        <v>10039</v>
      </c>
      <c r="J3430" t="s">
        <v>12683</v>
      </c>
      <c r="K3430" t="s">
        <v>17093</v>
      </c>
      <c r="L3430">
        <f>HYPERLINK("https://www2.assemblee-nationale.fr/sycomore/fiche/(num_dept)/751", "751")</f>
        <v>0</v>
      </c>
      <c r="N3430">
        <f>HYPERLINK("https://www.wikidata.org/wiki/Q15973705", "Q15973705")</f>
        <v>0</v>
      </c>
      <c r="O3430" t="s">
        <v>20039</v>
      </c>
      <c r="P3430" t="s">
        <v>20404</v>
      </c>
      <c r="Q3430" t="s">
        <v>16199</v>
      </c>
      <c r="R3430" t="s">
        <v>414</v>
      </c>
      <c r="S3430">
        <v>1484</v>
      </c>
    </row>
    <row r="3431" spans="1:19">
      <c r="A3431" t="s">
        <v>24</v>
      </c>
      <c r="B3431" t="s">
        <v>148</v>
      </c>
      <c r="C3431" t="s">
        <v>156</v>
      </c>
      <c r="D3431" t="s">
        <v>285</v>
      </c>
      <c r="E3431" t="s">
        <v>414</v>
      </c>
      <c r="F3431">
        <f>HYPERLINK("https://www.wikidata.org/wiki/Q16683508", "Q16683508")</f>
        <v>0</v>
      </c>
      <c r="G3431" t="s">
        <v>2274</v>
      </c>
      <c r="H3431" t="s">
        <v>6873</v>
      </c>
      <c r="I3431" t="s">
        <v>10148</v>
      </c>
      <c r="J3431" t="s">
        <v>12932</v>
      </c>
      <c r="K3431" t="s">
        <v>17341</v>
      </c>
      <c r="L3431">
        <f>HYPERLINK("https://www2.assemblee-nationale.fr/sycomore/fiche/(num_dept)/753", "753")</f>
        <v>0</v>
      </c>
      <c r="N3431">
        <f>HYPERLINK("https://www.wikidata.org/wiki/Q3425843", "Q3425843")</f>
        <v>0</v>
      </c>
      <c r="O3431" t="s">
        <v>19974</v>
      </c>
      <c r="P3431" t="s">
        <v>20431</v>
      </c>
      <c r="Q3431" t="s">
        <v>16199</v>
      </c>
      <c r="R3431" t="s">
        <v>414</v>
      </c>
      <c r="S3431">
        <v>1484</v>
      </c>
    </row>
    <row r="3432" spans="1:19">
      <c r="A3432" t="s">
        <v>24</v>
      </c>
      <c r="B3432" t="s">
        <v>148</v>
      </c>
      <c r="C3432" t="s">
        <v>156</v>
      </c>
      <c r="D3432" t="s">
        <v>285</v>
      </c>
      <c r="E3432" t="s">
        <v>414</v>
      </c>
      <c r="F3432">
        <f>HYPERLINK("https://www.wikidata.org/wiki/Q16683508", "Q16683508")</f>
        <v>0</v>
      </c>
      <c r="G3432" t="s">
        <v>2005</v>
      </c>
      <c r="H3432" t="s">
        <v>6640</v>
      </c>
      <c r="I3432" t="s">
        <v>9455</v>
      </c>
      <c r="J3432" t="s">
        <v>12684</v>
      </c>
      <c r="K3432" t="s">
        <v>17094</v>
      </c>
      <c r="L3432">
        <f>HYPERLINK("https://www2.assemblee-nationale.fr/sycomore/fiche/(num_dept)/755", "755")</f>
        <v>0</v>
      </c>
      <c r="N3432">
        <f>HYPERLINK("https://www.wikidata.org/wiki/Q3265377", "Q3265377")</f>
        <v>0</v>
      </c>
      <c r="O3432" t="s">
        <v>19969</v>
      </c>
      <c r="P3432" t="s">
        <v>20431</v>
      </c>
      <c r="Q3432" t="s">
        <v>16199</v>
      </c>
      <c r="R3432" t="s">
        <v>414</v>
      </c>
      <c r="S3432">
        <v>1484</v>
      </c>
    </row>
    <row r="3433" spans="1:19">
      <c r="A3433" t="s">
        <v>24</v>
      </c>
      <c r="B3433" t="s">
        <v>148</v>
      </c>
      <c r="C3433" t="s">
        <v>156</v>
      </c>
      <c r="D3433" t="s">
        <v>285</v>
      </c>
      <c r="E3433" t="s">
        <v>414</v>
      </c>
      <c r="F3433">
        <f>HYPERLINK("https://www.wikidata.org/wiki/Q16683508", "Q16683508")</f>
        <v>0</v>
      </c>
      <c r="G3433" t="s">
        <v>2275</v>
      </c>
      <c r="H3433" t="s">
        <v>6874</v>
      </c>
      <c r="I3433" t="s">
        <v>10149</v>
      </c>
      <c r="J3433" t="s">
        <v>12933</v>
      </c>
      <c r="K3433" t="s">
        <v>17342</v>
      </c>
      <c r="L3433">
        <f>HYPERLINK("https://www2.assemblee-nationale.fr/sycomore/fiche/(num_dept)/761", "761")</f>
        <v>0</v>
      </c>
      <c r="N3433">
        <f>HYPERLINK("https://www.wikidata.org/wiki/Q3378916", "Q3378916")</f>
        <v>0</v>
      </c>
      <c r="O3433" t="s">
        <v>19993</v>
      </c>
      <c r="P3433" t="s">
        <v>20409</v>
      </c>
      <c r="Q3433" t="s">
        <v>16199</v>
      </c>
      <c r="R3433" t="s">
        <v>16438</v>
      </c>
      <c r="S3433">
        <v>1058</v>
      </c>
    </row>
    <row r="3434" spans="1:19">
      <c r="A3434" t="s">
        <v>24</v>
      </c>
      <c r="B3434" t="s">
        <v>148</v>
      </c>
      <c r="C3434" t="s">
        <v>156</v>
      </c>
      <c r="D3434" t="s">
        <v>285</v>
      </c>
      <c r="E3434" t="s">
        <v>414</v>
      </c>
      <c r="F3434">
        <f>HYPERLINK("https://www.wikidata.org/wiki/Q16683508", "Q16683508")</f>
        <v>0</v>
      </c>
      <c r="G3434" t="s">
        <v>1377</v>
      </c>
      <c r="H3434" t="s">
        <v>6089</v>
      </c>
      <c r="I3434" t="s">
        <v>9506</v>
      </c>
      <c r="J3434" t="s">
        <v>12103</v>
      </c>
      <c r="K3434" t="s">
        <v>16505</v>
      </c>
      <c r="L3434">
        <f>HYPERLINK("https://www2.assemblee-nationale.fr/sycomore/fiche/(num_dept)/802", "802")</f>
        <v>0</v>
      </c>
      <c r="N3434">
        <f>HYPERLINK("https://www.wikidata.org/wiki/Q2934858", "Q2934858")</f>
        <v>0</v>
      </c>
      <c r="O3434" t="s">
        <v>20049</v>
      </c>
      <c r="P3434" t="s">
        <v>20443</v>
      </c>
      <c r="Q3434" t="s">
        <v>16199</v>
      </c>
      <c r="R3434" t="s">
        <v>414</v>
      </c>
      <c r="S3434">
        <v>1484</v>
      </c>
    </row>
    <row r="3435" spans="1:19">
      <c r="A3435" t="s">
        <v>24</v>
      </c>
      <c r="B3435" t="s">
        <v>148</v>
      </c>
      <c r="C3435" t="s">
        <v>156</v>
      </c>
      <c r="D3435" t="s">
        <v>285</v>
      </c>
      <c r="E3435" t="s">
        <v>414</v>
      </c>
      <c r="F3435">
        <f>HYPERLINK("https://www.wikidata.org/wiki/Q16683508", "Q16683508")</f>
        <v>0</v>
      </c>
      <c r="G3435" t="s">
        <v>2198</v>
      </c>
      <c r="H3435" t="s">
        <v>6808</v>
      </c>
      <c r="I3435" t="s">
        <v>10113</v>
      </c>
      <c r="J3435" t="s">
        <v>12860</v>
      </c>
      <c r="K3435" t="s">
        <v>17272</v>
      </c>
      <c r="L3435">
        <f>HYPERLINK("https://www2.assemblee-nationale.fr/sycomore/fiche/(num_dept)/840", "840")</f>
        <v>0</v>
      </c>
      <c r="N3435">
        <f>HYPERLINK("https://www.wikidata.org/wiki/Q2828004", "Q2828004")</f>
        <v>0</v>
      </c>
      <c r="O3435" t="s">
        <v>19969</v>
      </c>
      <c r="P3435" t="s">
        <v>20431</v>
      </c>
      <c r="Q3435" t="s">
        <v>16199</v>
      </c>
      <c r="R3435" t="s">
        <v>414</v>
      </c>
      <c r="S3435">
        <v>1484</v>
      </c>
    </row>
    <row r="3436" spans="1:19">
      <c r="A3436" t="s">
        <v>24</v>
      </c>
      <c r="B3436" t="s">
        <v>148</v>
      </c>
      <c r="C3436" t="s">
        <v>156</v>
      </c>
      <c r="D3436" t="s">
        <v>285</v>
      </c>
      <c r="E3436" t="s">
        <v>414</v>
      </c>
      <c r="F3436">
        <f>HYPERLINK("https://www.wikidata.org/wiki/Q16683508", "Q16683508")</f>
        <v>0</v>
      </c>
      <c r="G3436" t="s">
        <v>2006</v>
      </c>
      <c r="H3436" t="s">
        <v>5296</v>
      </c>
      <c r="I3436" t="s">
        <v>9507</v>
      </c>
      <c r="J3436" t="s">
        <v>12685</v>
      </c>
      <c r="K3436" t="s">
        <v>16911</v>
      </c>
      <c r="L3436">
        <f>HYPERLINK("https://www2.assemblee-nationale.fr/sycomore/fiche/(num_dept)/852", "852")</f>
        <v>0</v>
      </c>
      <c r="N3436">
        <f>HYPERLINK("https://www.wikidata.org/wiki/Q3407763", "Q3407763")</f>
        <v>0</v>
      </c>
      <c r="O3436" t="s">
        <v>19986</v>
      </c>
      <c r="P3436" t="s">
        <v>20401</v>
      </c>
      <c r="Q3436" t="s">
        <v>16199</v>
      </c>
      <c r="R3436" t="s">
        <v>414</v>
      </c>
      <c r="S3436">
        <v>1484</v>
      </c>
    </row>
    <row r="3437" spans="1:19">
      <c r="A3437" t="s">
        <v>24</v>
      </c>
      <c r="B3437" t="s">
        <v>148</v>
      </c>
      <c r="C3437" t="s">
        <v>156</v>
      </c>
      <c r="D3437" t="s">
        <v>285</v>
      </c>
      <c r="E3437" t="s">
        <v>414</v>
      </c>
      <c r="F3437">
        <f>HYPERLINK("https://www.wikidata.org/wiki/Q16683508", "Q16683508")</f>
        <v>0</v>
      </c>
      <c r="G3437" t="s">
        <v>2276</v>
      </c>
      <c r="H3437" t="s">
        <v>6875</v>
      </c>
      <c r="I3437" t="s">
        <v>10150</v>
      </c>
      <c r="J3437" t="s">
        <v>12934</v>
      </c>
      <c r="K3437" t="s">
        <v>17343</v>
      </c>
      <c r="L3437">
        <f>HYPERLINK("https://www2.assemblee-nationale.fr/sycomore/fiche/(num_dept)/864", "864")</f>
        <v>0</v>
      </c>
      <c r="N3437">
        <f>HYPERLINK("https://www.wikidata.org/wiki/Q15973765", "Q15973765")</f>
        <v>0</v>
      </c>
      <c r="O3437" t="s">
        <v>20015</v>
      </c>
      <c r="P3437" t="s">
        <v>20409</v>
      </c>
      <c r="Q3437" t="s">
        <v>16199</v>
      </c>
      <c r="R3437" t="s">
        <v>414</v>
      </c>
      <c r="S3437">
        <v>1484</v>
      </c>
    </row>
    <row r="3438" spans="1:19">
      <c r="A3438" t="s">
        <v>24</v>
      </c>
      <c r="B3438" t="s">
        <v>148</v>
      </c>
      <c r="C3438" t="s">
        <v>156</v>
      </c>
      <c r="D3438" t="s">
        <v>285</v>
      </c>
      <c r="E3438" t="s">
        <v>414</v>
      </c>
      <c r="F3438">
        <f>HYPERLINK("https://www.wikidata.org/wiki/Q16683508", "Q16683508")</f>
        <v>0</v>
      </c>
      <c r="G3438" t="s">
        <v>2277</v>
      </c>
      <c r="H3438" t="s">
        <v>6876</v>
      </c>
      <c r="I3438" t="s">
        <v>10151</v>
      </c>
      <c r="J3438" t="s">
        <v>12935</v>
      </c>
      <c r="K3438" t="s">
        <v>17344</v>
      </c>
      <c r="L3438">
        <f>HYPERLINK("https://www2.assemblee-nationale.fr/sycomore/fiche/(num_dept)/935", "935")</f>
        <v>0</v>
      </c>
      <c r="N3438">
        <f>HYPERLINK("https://www.wikidata.org/wiki/Q15970487", "Q15970487")</f>
        <v>0</v>
      </c>
      <c r="O3438" t="s">
        <v>19969</v>
      </c>
      <c r="P3438" t="s">
        <v>20428</v>
      </c>
      <c r="Q3438" t="s">
        <v>16199</v>
      </c>
      <c r="R3438" t="s">
        <v>414</v>
      </c>
      <c r="S3438">
        <v>1484</v>
      </c>
    </row>
    <row r="3439" spans="1:19">
      <c r="A3439" t="s">
        <v>24</v>
      </c>
      <c r="B3439" t="s">
        <v>148</v>
      </c>
      <c r="C3439" t="s">
        <v>156</v>
      </c>
      <c r="D3439" t="s">
        <v>285</v>
      </c>
      <c r="E3439" t="s">
        <v>414</v>
      </c>
      <c r="F3439">
        <f>HYPERLINK("https://www.wikidata.org/wiki/Q16683508", "Q16683508")</f>
        <v>0</v>
      </c>
      <c r="G3439" t="s">
        <v>876</v>
      </c>
      <c r="H3439" t="s">
        <v>5632</v>
      </c>
      <c r="I3439" t="s">
        <v>6175</v>
      </c>
      <c r="J3439" t="s">
        <v>11622</v>
      </c>
      <c r="K3439" t="s">
        <v>16024</v>
      </c>
      <c r="L3439">
        <f>HYPERLINK("https://www2.assemblee-nationale.fr/sycomore/fiche/(num_dept)/938", "938")</f>
        <v>0</v>
      </c>
      <c r="N3439">
        <f>HYPERLINK("https://www.wikidata.org/wiki/Q3102326", "Q3102326")</f>
        <v>0</v>
      </c>
      <c r="O3439" t="s">
        <v>19976</v>
      </c>
      <c r="P3439" t="s">
        <v>20414</v>
      </c>
      <c r="Q3439" t="s">
        <v>16199</v>
      </c>
      <c r="R3439" t="s">
        <v>414</v>
      </c>
      <c r="S3439">
        <v>1484</v>
      </c>
    </row>
    <row r="3440" spans="1:19">
      <c r="A3440" t="s">
        <v>24</v>
      </c>
      <c r="B3440" t="s">
        <v>148</v>
      </c>
      <c r="C3440" t="s">
        <v>156</v>
      </c>
      <c r="D3440" t="s">
        <v>285</v>
      </c>
      <c r="E3440" t="s">
        <v>414</v>
      </c>
      <c r="F3440">
        <f>HYPERLINK("https://www.wikidata.org/wiki/Q16683508", "Q16683508")</f>
        <v>0</v>
      </c>
      <c r="G3440" t="s">
        <v>2010</v>
      </c>
      <c r="H3440" t="s">
        <v>6644</v>
      </c>
      <c r="I3440" t="s">
        <v>10042</v>
      </c>
      <c r="J3440" t="s">
        <v>12688</v>
      </c>
      <c r="K3440" t="s">
        <v>17098</v>
      </c>
      <c r="L3440">
        <f>HYPERLINK("https://www2.assemblee-nationale.fr/sycomore/fiche/(num_dept)/1011", "1011")</f>
        <v>0</v>
      </c>
      <c r="N3440">
        <f>HYPERLINK("https://www.wikidata.org/wiki/Q3102335", "Q3102335")</f>
        <v>0</v>
      </c>
      <c r="O3440" t="s">
        <v>19969</v>
      </c>
      <c r="P3440" t="s">
        <v>20401</v>
      </c>
      <c r="Q3440" t="s">
        <v>16199</v>
      </c>
      <c r="R3440" t="s">
        <v>414</v>
      </c>
      <c r="S3440">
        <v>1484</v>
      </c>
    </row>
    <row r="3441" spans="1:19">
      <c r="A3441" t="s">
        <v>24</v>
      </c>
      <c r="B3441" t="s">
        <v>148</v>
      </c>
      <c r="C3441" t="s">
        <v>156</v>
      </c>
      <c r="D3441" t="s">
        <v>285</v>
      </c>
      <c r="E3441" t="s">
        <v>414</v>
      </c>
      <c r="F3441">
        <f>HYPERLINK("https://www.wikidata.org/wiki/Q16683508", "Q16683508")</f>
        <v>0</v>
      </c>
      <c r="G3441" t="s">
        <v>1728</v>
      </c>
      <c r="H3441" t="s">
        <v>6402</v>
      </c>
      <c r="I3441" t="s">
        <v>9476</v>
      </c>
      <c r="J3441" t="s">
        <v>12429</v>
      </c>
      <c r="K3441" t="s">
        <v>16837</v>
      </c>
      <c r="L3441">
        <f>HYPERLINK("https://www2.assemblee-nationale.fr/sycomore/fiche/(num_dept)/1019", "1019")</f>
        <v>0</v>
      </c>
      <c r="N3441">
        <f>HYPERLINK("https://www.wikidata.org/wiki/Q3425895", "Q3425895")</f>
        <v>0</v>
      </c>
      <c r="O3441" t="s">
        <v>19999</v>
      </c>
      <c r="P3441" t="s">
        <v>20404</v>
      </c>
      <c r="Q3441" t="s">
        <v>16199</v>
      </c>
      <c r="R3441" t="s">
        <v>414</v>
      </c>
      <c r="S3441">
        <v>1484</v>
      </c>
    </row>
    <row r="3442" spans="1:19">
      <c r="A3442" t="s">
        <v>24</v>
      </c>
      <c r="B3442" t="s">
        <v>148</v>
      </c>
      <c r="C3442" t="s">
        <v>156</v>
      </c>
      <c r="D3442" t="s">
        <v>285</v>
      </c>
      <c r="E3442" t="s">
        <v>414</v>
      </c>
      <c r="F3442">
        <f>HYPERLINK("https://www.wikidata.org/wiki/Q16683508", "Q16683508")</f>
        <v>0</v>
      </c>
      <c r="G3442" t="s">
        <v>2011</v>
      </c>
      <c r="H3442" t="s">
        <v>6645</v>
      </c>
      <c r="I3442" t="s">
        <v>10043</v>
      </c>
      <c r="J3442" t="s">
        <v>12689</v>
      </c>
      <c r="K3442" t="s">
        <v>17099</v>
      </c>
      <c r="L3442">
        <f>HYPERLINK("https://www2.assemblee-nationale.fr/sycomore/fiche/(num_dept)/1027", "1027")</f>
        <v>0</v>
      </c>
      <c r="N3442">
        <f>HYPERLINK("https://www.wikidata.org/wiki/Q3184657", "Q3184657")</f>
        <v>0</v>
      </c>
      <c r="O3442" t="s">
        <v>19984</v>
      </c>
      <c r="P3442" t="s">
        <v>20439</v>
      </c>
      <c r="Q3442" t="s">
        <v>16199</v>
      </c>
      <c r="R3442" t="s">
        <v>414</v>
      </c>
      <c r="S3442">
        <v>1484</v>
      </c>
    </row>
    <row r="3443" spans="1:19">
      <c r="A3443" t="s">
        <v>24</v>
      </c>
      <c r="B3443" t="s">
        <v>148</v>
      </c>
      <c r="C3443" t="s">
        <v>156</v>
      </c>
      <c r="D3443" t="s">
        <v>285</v>
      </c>
      <c r="E3443" t="s">
        <v>414</v>
      </c>
      <c r="F3443">
        <f>HYPERLINK("https://www.wikidata.org/wiki/Q16683508", "Q16683508")</f>
        <v>0</v>
      </c>
      <c r="G3443" t="s">
        <v>2233</v>
      </c>
      <c r="H3443" t="s">
        <v>6842</v>
      </c>
      <c r="I3443" t="s">
        <v>9457</v>
      </c>
      <c r="J3443" t="s">
        <v>12894</v>
      </c>
      <c r="K3443" t="s">
        <v>17305</v>
      </c>
      <c r="L3443">
        <f>HYPERLINK("https://www2.assemblee-nationale.fr/sycomore/fiche/(num_dept)/1054", "1054")</f>
        <v>0</v>
      </c>
      <c r="N3443">
        <f>HYPERLINK("https://www.wikidata.org/wiki/Q3130720", "Q3130720")</f>
        <v>0</v>
      </c>
      <c r="O3443" t="s">
        <v>19994</v>
      </c>
      <c r="P3443" t="s">
        <v>20404</v>
      </c>
      <c r="Q3443" t="s">
        <v>16199</v>
      </c>
      <c r="R3443" t="s">
        <v>414</v>
      </c>
      <c r="S3443">
        <v>1484</v>
      </c>
    </row>
    <row r="3444" spans="1:19">
      <c r="A3444" t="s">
        <v>24</v>
      </c>
      <c r="B3444" t="s">
        <v>148</v>
      </c>
      <c r="C3444" t="s">
        <v>156</v>
      </c>
      <c r="D3444" t="s">
        <v>285</v>
      </c>
      <c r="E3444" t="s">
        <v>414</v>
      </c>
      <c r="F3444">
        <f>HYPERLINK("https://www.wikidata.org/wiki/Q16683508", "Q16683508")</f>
        <v>0</v>
      </c>
      <c r="G3444" t="s">
        <v>1729</v>
      </c>
      <c r="H3444" t="s">
        <v>6403</v>
      </c>
      <c r="I3444" t="s">
        <v>6175</v>
      </c>
      <c r="J3444" t="s">
        <v>12430</v>
      </c>
      <c r="K3444" t="s">
        <v>16838</v>
      </c>
      <c r="L3444">
        <f>HYPERLINK("https://www2.assemblee-nationale.fr/sycomore/fiche/(num_dept)/1063", "1063")</f>
        <v>0</v>
      </c>
      <c r="M3444">
        <f>HYPERLINK("https://www.senat.fr/senateur-3eme-republique/boully_georges1852r3.html", "boully_georges1852r3")</f>
        <v>0</v>
      </c>
      <c r="N3444">
        <f>HYPERLINK("https://www.wikidata.org/wiki/Q3102343", "Q3102343")</f>
        <v>0</v>
      </c>
      <c r="O3444" t="s">
        <v>20034</v>
      </c>
      <c r="P3444" t="s">
        <v>20439</v>
      </c>
      <c r="Q3444" t="s">
        <v>16199</v>
      </c>
      <c r="R3444" t="s">
        <v>414</v>
      </c>
      <c r="S3444">
        <v>1484</v>
      </c>
    </row>
    <row r="3445" spans="1:19">
      <c r="A3445" t="s">
        <v>24</v>
      </c>
      <c r="B3445" t="s">
        <v>148</v>
      </c>
      <c r="C3445" t="s">
        <v>156</v>
      </c>
      <c r="D3445" t="s">
        <v>285</v>
      </c>
      <c r="E3445" t="s">
        <v>414</v>
      </c>
      <c r="F3445">
        <f>HYPERLINK("https://www.wikidata.org/wiki/Q16683508", "Q16683508")</f>
        <v>0</v>
      </c>
      <c r="G3445" t="s">
        <v>2013</v>
      </c>
      <c r="H3445" t="s">
        <v>6647</v>
      </c>
      <c r="I3445" t="s">
        <v>10045</v>
      </c>
      <c r="J3445" t="s">
        <v>12691</v>
      </c>
      <c r="K3445" t="s">
        <v>17101</v>
      </c>
      <c r="L3445">
        <f>HYPERLINK("https://www2.assemblee-nationale.fr/sycomore/fiche/(num_dept)/1129", "1129")</f>
        <v>0</v>
      </c>
      <c r="N3445">
        <f>HYPERLINK("https://www.wikidata.org/wiki/Q15971895", "Q15971895")</f>
        <v>0</v>
      </c>
      <c r="O3445" t="s">
        <v>19959</v>
      </c>
      <c r="P3445" t="s">
        <v>20404</v>
      </c>
      <c r="Q3445" t="s">
        <v>16199</v>
      </c>
      <c r="R3445" t="s">
        <v>414</v>
      </c>
      <c r="S3445">
        <v>1484</v>
      </c>
    </row>
    <row r="3446" spans="1:19">
      <c r="A3446" t="s">
        <v>24</v>
      </c>
      <c r="B3446" t="s">
        <v>148</v>
      </c>
      <c r="C3446" t="s">
        <v>156</v>
      </c>
      <c r="D3446" t="s">
        <v>285</v>
      </c>
      <c r="E3446" t="s">
        <v>414</v>
      </c>
      <c r="F3446">
        <f>HYPERLINK("https://www.wikidata.org/wiki/Q16683508", "Q16683508")</f>
        <v>0</v>
      </c>
      <c r="G3446" t="s">
        <v>2278</v>
      </c>
      <c r="H3446" t="s">
        <v>6405</v>
      </c>
      <c r="I3446" t="s">
        <v>10152</v>
      </c>
      <c r="J3446" t="s">
        <v>12936</v>
      </c>
      <c r="K3446" t="s">
        <v>17345</v>
      </c>
      <c r="L3446">
        <f>HYPERLINK("https://www2.assemblee-nationale.fr/sycomore/fiche/(num_dept)/1155", "1155")</f>
        <v>0</v>
      </c>
      <c r="N3446">
        <f>HYPERLINK("https://www.wikidata.org/wiki/Q15973940", "Q15973940")</f>
        <v>0</v>
      </c>
      <c r="O3446" t="s">
        <v>19990</v>
      </c>
      <c r="P3446" t="s">
        <v>20401</v>
      </c>
      <c r="Q3446" t="s">
        <v>16199</v>
      </c>
      <c r="R3446" t="s">
        <v>414</v>
      </c>
      <c r="S3446">
        <v>1484</v>
      </c>
    </row>
    <row r="3447" spans="1:19">
      <c r="A3447" t="s">
        <v>24</v>
      </c>
      <c r="B3447" t="s">
        <v>148</v>
      </c>
      <c r="C3447" t="s">
        <v>156</v>
      </c>
      <c r="D3447" t="s">
        <v>285</v>
      </c>
      <c r="E3447" t="s">
        <v>414</v>
      </c>
      <c r="F3447">
        <f>HYPERLINK("https://www.wikidata.org/wiki/Q16683508", "Q16683508")</f>
        <v>0</v>
      </c>
      <c r="G3447" t="s">
        <v>2279</v>
      </c>
      <c r="H3447" t="s">
        <v>6877</v>
      </c>
      <c r="I3447" t="s">
        <v>10153</v>
      </c>
      <c r="J3447" t="s">
        <v>12937</v>
      </c>
      <c r="K3447" t="s">
        <v>17346</v>
      </c>
      <c r="L3447">
        <f>HYPERLINK("https://www2.assemblee-nationale.fr/sycomore/fiche/(num_dept)/1166", "1166")</f>
        <v>0</v>
      </c>
      <c r="N3447">
        <f>HYPERLINK("https://www.wikidata.org/wiki/Q3588374", "Q3588374")</f>
        <v>0</v>
      </c>
      <c r="O3447" t="s">
        <v>8449</v>
      </c>
      <c r="P3447" t="s">
        <v>20428</v>
      </c>
      <c r="Q3447" t="s">
        <v>16199</v>
      </c>
      <c r="R3447" t="s">
        <v>414</v>
      </c>
      <c r="S3447">
        <v>1484</v>
      </c>
    </row>
    <row r="3448" spans="1:19">
      <c r="A3448" t="s">
        <v>24</v>
      </c>
      <c r="B3448" t="s">
        <v>148</v>
      </c>
      <c r="C3448" t="s">
        <v>156</v>
      </c>
      <c r="D3448" t="s">
        <v>285</v>
      </c>
      <c r="E3448" t="s">
        <v>414</v>
      </c>
      <c r="F3448">
        <f>HYPERLINK("https://www.wikidata.org/wiki/Q16683508", "Q16683508")</f>
        <v>0</v>
      </c>
      <c r="G3448" t="s">
        <v>1119</v>
      </c>
      <c r="H3448" t="s">
        <v>5859</v>
      </c>
      <c r="I3448" t="s">
        <v>9669</v>
      </c>
      <c r="J3448" t="s">
        <v>11853</v>
      </c>
      <c r="K3448" t="s">
        <v>16255</v>
      </c>
      <c r="L3448">
        <f>HYPERLINK("https://www2.assemblee-nationale.fr/sycomore/fiche/(num_dept)/1167", "1167")</f>
        <v>0</v>
      </c>
      <c r="N3448">
        <f>HYPERLINK("https://www.wikidata.org/wiki/Q2833856", "Q2833856")</f>
        <v>0</v>
      </c>
      <c r="O3448" t="s">
        <v>20013</v>
      </c>
      <c r="P3448" t="s">
        <v>20404</v>
      </c>
      <c r="Q3448" t="s">
        <v>16199</v>
      </c>
      <c r="R3448" t="s">
        <v>414</v>
      </c>
      <c r="S3448">
        <v>1484</v>
      </c>
    </row>
    <row r="3449" spans="1:19">
      <c r="A3449" t="s">
        <v>24</v>
      </c>
      <c r="B3449" t="s">
        <v>148</v>
      </c>
      <c r="C3449" t="s">
        <v>156</v>
      </c>
      <c r="D3449" t="s">
        <v>285</v>
      </c>
      <c r="E3449" t="s">
        <v>414</v>
      </c>
      <c r="F3449">
        <f>HYPERLINK("https://www.wikidata.org/wiki/Q16683508", "Q16683508")</f>
        <v>0</v>
      </c>
      <c r="G3449" t="s">
        <v>2015</v>
      </c>
      <c r="H3449" t="s">
        <v>6649</v>
      </c>
      <c r="I3449" t="s">
        <v>10046</v>
      </c>
      <c r="J3449" t="s">
        <v>12693</v>
      </c>
      <c r="K3449" t="s">
        <v>17103</v>
      </c>
      <c r="L3449">
        <f>HYPERLINK("https://www2.assemblee-nationale.fr/sycomore/fiche/(num_dept)/1176", "1176")</f>
        <v>0</v>
      </c>
      <c r="N3449">
        <f>HYPERLINK("https://www.wikidata.org/wiki/Q3419133", "Q3419133")</f>
        <v>0</v>
      </c>
      <c r="O3449" t="s">
        <v>19969</v>
      </c>
      <c r="P3449" t="s">
        <v>20440</v>
      </c>
      <c r="Q3449" t="s">
        <v>16199</v>
      </c>
      <c r="R3449" t="s">
        <v>414</v>
      </c>
      <c r="S3449">
        <v>1484</v>
      </c>
    </row>
    <row r="3450" spans="1:19">
      <c r="A3450" t="s">
        <v>24</v>
      </c>
      <c r="B3450" t="s">
        <v>148</v>
      </c>
      <c r="C3450" t="s">
        <v>156</v>
      </c>
      <c r="D3450" t="s">
        <v>285</v>
      </c>
      <c r="E3450" t="s">
        <v>414</v>
      </c>
      <c r="F3450">
        <f>HYPERLINK("https://www.wikidata.org/wiki/Q16683508", "Q16683508")</f>
        <v>0</v>
      </c>
      <c r="G3450" t="s">
        <v>2016</v>
      </c>
      <c r="H3450" t="s">
        <v>6650</v>
      </c>
      <c r="I3450" t="s">
        <v>10047</v>
      </c>
      <c r="J3450" t="s">
        <v>12694</v>
      </c>
      <c r="K3450" t="s">
        <v>17104</v>
      </c>
      <c r="L3450">
        <f>HYPERLINK("https://www2.assemblee-nationale.fr/sycomore/fiche/(num_dept)/1186", "1186")</f>
        <v>0</v>
      </c>
      <c r="N3450">
        <f>HYPERLINK("https://www.wikidata.org/wiki/Q3588375", "Q3588375")</f>
        <v>0</v>
      </c>
      <c r="O3450" t="s">
        <v>19986</v>
      </c>
      <c r="P3450" t="s">
        <v>20440</v>
      </c>
      <c r="Q3450" t="s">
        <v>16199</v>
      </c>
      <c r="R3450" t="s">
        <v>414</v>
      </c>
      <c r="S3450">
        <v>1484</v>
      </c>
    </row>
    <row r="3451" spans="1:19">
      <c r="A3451" t="s">
        <v>24</v>
      </c>
      <c r="B3451" t="s">
        <v>148</v>
      </c>
      <c r="C3451" t="s">
        <v>156</v>
      </c>
      <c r="D3451" t="s">
        <v>285</v>
      </c>
      <c r="E3451" t="s">
        <v>414</v>
      </c>
      <c r="F3451">
        <f>HYPERLINK("https://www.wikidata.org/wiki/Q16683508", "Q16683508")</f>
        <v>0</v>
      </c>
      <c r="G3451" t="s">
        <v>2017</v>
      </c>
      <c r="H3451" t="s">
        <v>6651</v>
      </c>
      <c r="I3451" t="s">
        <v>9442</v>
      </c>
      <c r="J3451" t="s">
        <v>12688</v>
      </c>
      <c r="K3451" t="s">
        <v>17030</v>
      </c>
      <c r="L3451">
        <f>HYPERLINK("https://www2.assemblee-nationale.fr/sycomore/fiche/(num_dept)/1187", "1187")</f>
        <v>0</v>
      </c>
      <c r="N3451">
        <f>HYPERLINK("https://www.wikidata.org/wiki/Q3056865", "Q3056865")</f>
        <v>0</v>
      </c>
      <c r="O3451" t="s">
        <v>20023</v>
      </c>
      <c r="P3451" t="s">
        <v>20409</v>
      </c>
      <c r="Q3451" t="s">
        <v>16199</v>
      </c>
      <c r="R3451" t="s">
        <v>414</v>
      </c>
      <c r="S3451">
        <v>1484</v>
      </c>
    </row>
    <row r="3452" spans="1:19">
      <c r="A3452" t="s">
        <v>24</v>
      </c>
      <c r="B3452" t="s">
        <v>148</v>
      </c>
      <c r="C3452" t="s">
        <v>156</v>
      </c>
      <c r="D3452" t="s">
        <v>285</v>
      </c>
      <c r="E3452" t="s">
        <v>414</v>
      </c>
      <c r="F3452">
        <f>HYPERLINK("https://www.wikidata.org/wiki/Q16683508", "Q16683508")</f>
        <v>0</v>
      </c>
      <c r="G3452" t="s">
        <v>1733</v>
      </c>
      <c r="H3452" t="s">
        <v>6406</v>
      </c>
      <c r="I3452" t="s">
        <v>9915</v>
      </c>
      <c r="J3452" t="s">
        <v>12434</v>
      </c>
      <c r="K3452" t="s">
        <v>16842</v>
      </c>
      <c r="L3452">
        <f>HYPERLINK("https://www2.assemblee-nationale.fr/sycomore/fiche/(num_dept)/1191", "1191")</f>
        <v>0</v>
      </c>
      <c r="N3452">
        <f>HYPERLINK("https://www.wikidata.org/wiki/Q15972150", "Q15972150")</f>
        <v>0</v>
      </c>
      <c r="O3452" t="s">
        <v>20042</v>
      </c>
      <c r="P3452" t="s">
        <v>20440</v>
      </c>
      <c r="Q3452" t="s">
        <v>16199</v>
      </c>
      <c r="R3452" t="s">
        <v>414</v>
      </c>
      <c r="S3452">
        <v>1484</v>
      </c>
    </row>
    <row r="3453" spans="1:19">
      <c r="A3453" t="s">
        <v>24</v>
      </c>
      <c r="B3453" t="s">
        <v>148</v>
      </c>
      <c r="C3453" t="s">
        <v>156</v>
      </c>
      <c r="D3453" t="s">
        <v>285</v>
      </c>
      <c r="E3453" t="s">
        <v>414</v>
      </c>
      <c r="F3453">
        <f>HYPERLINK("https://www.wikidata.org/wiki/Q16683508", "Q16683508")</f>
        <v>0</v>
      </c>
      <c r="G3453" t="s">
        <v>2018</v>
      </c>
      <c r="H3453" t="s">
        <v>6652</v>
      </c>
      <c r="I3453" t="s">
        <v>10048</v>
      </c>
      <c r="J3453" t="s">
        <v>12695</v>
      </c>
      <c r="K3453" t="s">
        <v>17105</v>
      </c>
      <c r="L3453">
        <f>HYPERLINK("https://www2.assemblee-nationale.fr/sycomore/fiche/(num_dept)/1200", "1200")</f>
        <v>0</v>
      </c>
      <c r="M3453">
        <f>HYPERLINK("https://www.senat.fr/senateur-3eme-republique/breton_andre0447r3.html", "breton_andre0447r3")</f>
        <v>0</v>
      </c>
      <c r="N3453">
        <f>HYPERLINK("https://www.wikidata.org/wiki/Q2847379", "Q2847379")</f>
        <v>0</v>
      </c>
      <c r="O3453" t="s">
        <v>19996</v>
      </c>
      <c r="P3453" t="s">
        <v>20439</v>
      </c>
      <c r="Q3453" t="s">
        <v>16199</v>
      </c>
      <c r="R3453" t="s">
        <v>414</v>
      </c>
      <c r="S3453">
        <v>1484</v>
      </c>
    </row>
    <row r="3454" spans="1:19">
      <c r="A3454" t="s">
        <v>24</v>
      </c>
      <c r="B3454" t="s">
        <v>148</v>
      </c>
      <c r="C3454" t="s">
        <v>156</v>
      </c>
      <c r="D3454" t="s">
        <v>285</v>
      </c>
      <c r="E3454" t="s">
        <v>414</v>
      </c>
      <c r="F3454">
        <f>HYPERLINK("https://www.wikidata.org/wiki/Q16683508", "Q16683508")</f>
        <v>0</v>
      </c>
      <c r="G3454" t="s">
        <v>2019</v>
      </c>
      <c r="H3454" t="s">
        <v>6653</v>
      </c>
      <c r="I3454" t="s">
        <v>10049</v>
      </c>
      <c r="J3454" t="s">
        <v>12696</v>
      </c>
      <c r="K3454" t="s">
        <v>17106</v>
      </c>
      <c r="L3454">
        <f>HYPERLINK("https://www2.assemblee-nationale.fr/sycomore/fiche/(num_dept)/1225", "1225")</f>
        <v>0</v>
      </c>
      <c r="N3454">
        <f>HYPERLINK("https://www.wikidata.org/wiki/Q15998936", "Q15998936")</f>
        <v>0</v>
      </c>
      <c r="O3454" t="s">
        <v>20000</v>
      </c>
      <c r="P3454" t="s">
        <v>20438</v>
      </c>
      <c r="Q3454" t="s">
        <v>16199</v>
      </c>
      <c r="R3454" t="s">
        <v>414</v>
      </c>
      <c r="S3454">
        <v>1484</v>
      </c>
    </row>
    <row r="3455" spans="1:19">
      <c r="A3455" t="s">
        <v>24</v>
      </c>
      <c r="B3455" t="s">
        <v>148</v>
      </c>
      <c r="C3455" t="s">
        <v>156</v>
      </c>
      <c r="D3455" t="s">
        <v>285</v>
      </c>
      <c r="E3455" t="s">
        <v>414</v>
      </c>
      <c r="F3455">
        <f>HYPERLINK("https://www.wikidata.org/wiki/Q16683508", "Q16683508")</f>
        <v>0</v>
      </c>
      <c r="G3455" t="s">
        <v>1391</v>
      </c>
      <c r="H3455" t="s">
        <v>6102</v>
      </c>
      <c r="I3455" t="s">
        <v>9787</v>
      </c>
      <c r="J3455" t="s">
        <v>12117</v>
      </c>
      <c r="K3455" t="s">
        <v>16518</v>
      </c>
      <c r="L3455">
        <f>HYPERLINK("https://www2.assemblee-nationale.fr/sycomore/fiche/(num_dept)/1252", "1252")</f>
        <v>0</v>
      </c>
      <c r="M3455">
        <f>HYPERLINK("https://www.senat.fr/senateur-3eme-republique/brogly_medard1116r3.html", "brogly_medard1116r3")</f>
        <v>0</v>
      </c>
      <c r="N3455">
        <f>HYPERLINK("https://www.wikidata.org/wiki/Q118855", "Q118855")</f>
        <v>0</v>
      </c>
      <c r="O3455" t="s">
        <v>20049</v>
      </c>
      <c r="P3455" t="s">
        <v>20443</v>
      </c>
      <c r="Q3455" t="s">
        <v>16199</v>
      </c>
      <c r="R3455" t="s">
        <v>21446</v>
      </c>
      <c r="S3455">
        <v>1373</v>
      </c>
    </row>
    <row r="3456" spans="1:19">
      <c r="A3456" t="s">
        <v>24</v>
      </c>
      <c r="B3456" t="s">
        <v>148</v>
      </c>
      <c r="C3456" t="s">
        <v>156</v>
      </c>
      <c r="D3456" t="s">
        <v>285</v>
      </c>
      <c r="E3456" t="s">
        <v>414</v>
      </c>
      <c r="F3456">
        <f>HYPERLINK("https://www.wikidata.org/wiki/Q16683508", "Q16683508")</f>
        <v>0</v>
      </c>
      <c r="G3456" t="s">
        <v>1232</v>
      </c>
      <c r="H3456" t="s">
        <v>5957</v>
      </c>
      <c r="I3456" t="s">
        <v>9717</v>
      </c>
      <c r="J3456" t="s">
        <v>11964</v>
      </c>
      <c r="K3456" t="s">
        <v>16366</v>
      </c>
      <c r="L3456">
        <f>HYPERLINK("https://www2.assemblee-nationale.fr/sycomore/fiche/(num_dept)/1304", "1304")</f>
        <v>0</v>
      </c>
      <c r="N3456">
        <f>HYPERLINK("https://www.wikidata.org/wiki/Q3511108", "Q3511108")</f>
        <v>0</v>
      </c>
      <c r="O3456" t="s">
        <v>20006</v>
      </c>
      <c r="P3456" t="s">
        <v>20404</v>
      </c>
      <c r="Q3456" t="s">
        <v>16199</v>
      </c>
      <c r="R3456" t="s">
        <v>414</v>
      </c>
      <c r="S3456">
        <v>1484</v>
      </c>
    </row>
    <row r="3457" spans="1:19">
      <c r="A3457" t="s">
        <v>24</v>
      </c>
      <c r="B3457" t="s">
        <v>148</v>
      </c>
      <c r="C3457" t="s">
        <v>156</v>
      </c>
      <c r="D3457" t="s">
        <v>285</v>
      </c>
      <c r="E3457" t="s">
        <v>414</v>
      </c>
      <c r="F3457">
        <f>HYPERLINK("https://www.wikidata.org/wiki/Q16683508", "Q16683508")</f>
        <v>0</v>
      </c>
      <c r="G3457" t="s">
        <v>2280</v>
      </c>
      <c r="H3457" t="s">
        <v>6878</v>
      </c>
      <c r="I3457" t="s">
        <v>10154</v>
      </c>
      <c r="J3457" t="s">
        <v>12612</v>
      </c>
      <c r="K3457" t="s">
        <v>16518</v>
      </c>
      <c r="L3457">
        <f>HYPERLINK("https://www2.assemblee-nationale.fr/sycomore/fiche/(num_dept)/1322", "1322")</f>
        <v>0</v>
      </c>
      <c r="N3457">
        <f>HYPERLINK("https://www.wikidata.org/wiki/Q551771", "Q551771")</f>
        <v>0</v>
      </c>
      <c r="O3457" t="s">
        <v>20049</v>
      </c>
      <c r="P3457" t="s">
        <v>20431</v>
      </c>
      <c r="Q3457" t="s">
        <v>16199</v>
      </c>
      <c r="R3457" t="s">
        <v>414</v>
      </c>
      <c r="S3457">
        <v>1484</v>
      </c>
    </row>
    <row r="3458" spans="1:19">
      <c r="A3458" t="s">
        <v>24</v>
      </c>
      <c r="B3458" t="s">
        <v>148</v>
      </c>
      <c r="C3458" t="s">
        <v>156</v>
      </c>
      <c r="D3458" t="s">
        <v>285</v>
      </c>
      <c r="E3458" t="s">
        <v>414</v>
      </c>
      <c r="F3458">
        <f>HYPERLINK("https://www.wikidata.org/wiki/Q16683508", "Q16683508")</f>
        <v>0</v>
      </c>
      <c r="G3458" t="s">
        <v>2281</v>
      </c>
      <c r="H3458" t="s">
        <v>6879</v>
      </c>
      <c r="I3458" t="s">
        <v>10155</v>
      </c>
      <c r="J3458" t="s">
        <v>12938</v>
      </c>
      <c r="K3458" t="s">
        <v>17347</v>
      </c>
      <c r="L3458">
        <f>HYPERLINK("https://www2.assemblee-nationale.fr/sycomore/fiche/(num_dept)/1337", "1337")</f>
        <v>0</v>
      </c>
      <c r="N3458">
        <f>HYPERLINK("https://www.wikidata.org/wiki/Q3098936", "Q3098936")</f>
        <v>0</v>
      </c>
      <c r="O3458" t="s">
        <v>19987</v>
      </c>
      <c r="P3458" t="s">
        <v>20404</v>
      </c>
      <c r="Q3458" t="s">
        <v>16199</v>
      </c>
      <c r="R3458" t="s">
        <v>414</v>
      </c>
      <c r="S3458">
        <v>1484</v>
      </c>
    </row>
    <row r="3459" spans="1:19">
      <c r="A3459" t="s">
        <v>24</v>
      </c>
      <c r="B3459" t="s">
        <v>148</v>
      </c>
      <c r="C3459" t="s">
        <v>156</v>
      </c>
      <c r="D3459" t="s">
        <v>285</v>
      </c>
      <c r="E3459" t="s">
        <v>414</v>
      </c>
      <c r="F3459">
        <f>HYPERLINK("https://www.wikidata.org/wiki/Q16683508", "Q16683508")</f>
        <v>0</v>
      </c>
      <c r="G3459" t="s">
        <v>2282</v>
      </c>
      <c r="H3459" t="s">
        <v>6880</v>
      </c>
      <c r="I3459" t="s">
        <v>10156</v>
      </c>
      <c r="J3459" t="s">
        <v>12939</v>
      </c>
      <c r="K3459" t="s">
        <v>15815</v>
      </c>
      <c r="L3459">
        <f>HYPERLINK("https://www2.assemblee-nationale.fr/sycomore/fiche/(num_dept)/1402", "1402")</f>
        <v>0</v>
      </c>
      <c r="N3459">
        <f>HYPERLINK("https://www.wikidata.org/wiki/Q15974119", "Q15974119")</f>
        <v>0</v>
      </c>
      <c r="O3459" t="s">
        <v>20013</v>
      </c>
      <c r="P3459" t="s">
        <v>20404</v>
      </c>
      <c r="Q3459" t="s">
        <v>16199</v>
      </c>
      <c r="R3459" t="s">
        <v>15815</v>
      </c>
      <c r="S3459">
        <v>546</v>
      </c>
    </row>
    <row r="3460" spans="1:19">
      <c r="A3460" t="s">
        <v>24</v>
      </c>
      <c r="B3460" t="s">
        <v>148</v>
      </c>
      <c r="C3460" t="s">
        <v>156</v>
      </c>
      <c r="D3460" t="s">
        <v>285</v>
      </c>
      <c r="E3460" t="s">
        <v>414</v>
      </c>
      <c r="F3460">
        <f>HYPERLINK("https://www.wikidata.org/wiki/Q16683508", "Q16683508")</f>
        <v>0</v>
      </c>
      <c r="G3460" t="s">
        <v>2283</v>
      </c>
      <c r="H3460" t="s">
        <v>6881</v>
      </c>
      <c r="I3460" t="s">
        <v>10157</v>
      </c>
      <c r="J3460" t="s">
        <v>12940</v>
      </c>
      <c r="K3460" t="s">
        <v>16114</v>
      </c>
      <c r="L3460">
        <f>HYPERLINK("https://www2.assemblee-nationale.fr/sycomore/fiche/(num_dept)/1414", "1414")</f>
        <v>0</v>
      </c>
      <c r="N3460">
        <f>HYPERLINK("https://www.wikidata.org/wiki/Q15974168", "Q15974168")</f>
        <v>0</v>
      </c>
      <c r="O3460" t="s">
        <v>19968</v>
      </c>
      <c r="P3460" t="s">
        <v>20412</v>
      </c>
      <c r="Q3460" t="s">
        <v>16199</v>
      </c>
      <c r="R3460" t="s">
        <v>414</v>
      </c>
      <c r="S3460">
        <v>1484</v>
      </c>
    </row>
    <row r="3461" spans="1:19">
      <c r="A3461" t="s">
        <v>24</v>
      </c>
      <c r="B3461" t="s">
        <v>148</v>
      </c>
      <c r="C3461" t="s">
        <v>156</v>
      </c>
      <c r="D3461" t="s">
        <v>285</v>
      </c>
      <c r="E3461" t="s">
        <v>414</v>
      </c>
      <c r="F3461">
        <f>HYPERLINK("https://www.wikidata.org/wiki/Q16683508", "Q16683508")</f>
        <v>0</v>
      </c>
      <c r="G3461" t="s">
        <v>2284</v>
      </c>
      <c r="H3461" t="s">
        <v>6661</v>
      </c>
      <c r="I3461" t="s">
        <v>9530</v>
      </c>
      <c r="J3461" t="s">
        <v>12941</v>
      </c>
      <c r="K3461" t="s">
        <v>17348</v>
      </c>
      <c r="L3461">
        <f>HYPERLINK("https://www2.assemblee-nationale.fr/sycomore/fiche/(num_dept)/1428", "1428")</f>
        <v>0</v>
      </c>
      <c r="N3461">
        <f>HYPERLINK("https://www.wikidata.org/wiki/Q3288762", "Q3288762")</f>
        <v>0</v>
      </c>
      <c r="O3461" t="s">
        <v>19969</v>
      </c>
      <c r="P3461" t="s">
        <v>20424</v>
      </c>
      <c r="Q3461" t="s">
        <v>16199</v>
      </c>
      <c r="R3461" t="s">
        <v>414</v>
      </c>
      <c r="S3461">
        <v>1484</v>
      </c>
    </row>
    <row r="3462" spans="1:19">
      <c r="A3462" t="s">
        <v>24</v>
      </c>
      <c r="B3462" t="s">
        <v>148</v>
      </c>
      <c r="C3462" t="s">
        <v>156</v>
      </c>
      <c r="D3462" t="s">
        <v>285</v>
      </c>
      <c r="E3462" t="s">
        <v>414</v>
      </c>
      <c r="F3462">
        <f>HYPERLINK("https://www.wikidata.org/wiki/Q16683508", "Q16683508")</f>
        <v>0</v>
      </c>
      <c r="G3462" t="s">
        <v>2285</v>
      </c>
      <c r="H3462" t="s">
        <v>6882</v>
      </c>
      <c r="I3462" t="s">
        <v>10158</v>
      </c>
      <c r="J3462" t="s">
        <v>12942</v>
      </c>
      <c r="K3462" t="s">
        <v>17349</v>
      </c>
      <c r="L3462">
        <f>HYPERLINK("https://www2.assemblee-nationale.fr/sycomore/fiche/(num_dept)/1497", "1497")</f>
        <v>0</v>
      </c>
      <c r="N3462">
        <f>HYPERLINK("https://www.wikidata.org/wiki/Q3171156", "Q3171156")</f>
        <v>0</v>
      </c>
      <c r="O3462" t="s">
        <v>19996</v>
      </c>
      <c r="P3462" t="s">
        <v>20404</v>
      </c>
      <c r="Q3462" t="s">
        <v>16199</v>
      </c>
      <c r="R3462" t="s">
        <v>414</v>
      </c>
      <c r="S3462">
        <v>1484</v>
      </c>
    </row>
    <row r="3463" spans="1:19">
      <c r="A3463" t="s">
        <v>24</v>
      </c>
      <c r="B3463" t="s">
        <v>148</v>
      </c>
      <c r="C3463" t="s">
        <v>156</v>
      </c>
      <c r="D3463" t="s">
        <v>285</v>
      </c>
      <c r="E3463" t="s">
        <v>414</v>
      </c>
      <c r="F3463">
        <f>HYPERLINK("https://www.wikidata.org/wiki/Q16683508", "Q16683508")</f>
        <v>0</v>
      </c>
      <c r="G3463" t="s">
        <v>2030</v>
      </c>
      <c r="H3463" t="s">
        <v>6662</v>
      </c>
      <c r="I3463" t="s">
        <v>10056</v>
      </c>
      <c r="J3463" t="s">
        <v>12704</v>
      </c>
      <c r="K3463" t="s">
        <v>17116</v>
      </c>
      <c r="L3463">
        <f>HYPERLINK("https://www2.assemblee-nationale.fr/sycomore/fiche/(num_dept)/1499", "1499")</f>
        <v>0</v>
      </c>
      <c r="N3463">
        <f>HYPERLINK("https://www.wikidata.org/wiki/Q3270797", "Q3270797")</f>
        <v>0</v>
      </c>
      <c r="O3463" t="s">
        <v>20014</v>
      </c>
      <c r="P3463" t="s">
        <v>20404</v>
      </c>
      <c r="Q3463" t="s">
        <v>16199</v>
      </c>
      <c r="R3463" t="s">
        <v>414</v>
      </c>
      <c r="S3463">
        <v>1484</v>
      </c>
    </row>
    <row r="3464" spans="1:19">
      <c r="A3464" t="s">
        <v>24</v>
      </c>
      <c r="B3464" t="s">
        <v>148</v>
      </c>
      <c r="C3464" t="s">
        <v>156</v>
      </c>
      <c r="D3464" t="s">
        <v>285</v>
      </c>
      <c r="E3464" t="s">
        <v>414</v>
      </c>
      <c r="F3464">
        <f>HYPERLINK("https://www.wikidata.org/wiki/Q16683508", "Q16683508")</f>
        <v>0</v>
      </c>
      <c r="G3464" t="s">
        <v>2032</v>
      </c>
      <c r="H3464" t="s">
        <v>6664</v>
      </c>
      <c r="I3464" t="s">
        <v>6860</v>
      </c>
      <c r="J3464" t="s">
        <v>12706</v>
      </c>
      <c r="K3464" t="s">
        <v>17118</v>
      </c>
      <c r="L3464">
        <f>HYPERLINK("https://www2.assemblee-nationale.fr/sycomore/fiche/(num_dept)/1521", "1521")</f>
        <v>0</v>
      </c>
      <c r="N3464">
        <f>HYPERLINK("https://www.wikidata.org/wiki/Q1921652", "Q1921652")</f>
        <v>0</v>
      </c>
      <c r="O3464" t="s">
        <v>19976</v>
      </c>
      <c r="P3464" t="s">
        <v>20401</v>
      </c>
      <c r="Q3464" t="s">
        <v>16199</v>
      </c>
      <c r="R3464" t="s">
        <v>414</v>
      </c>
      <c r="S3464">
        <v>1484</v>
      </c>
    </row>
    <row r="3465" spans="1:19">
      <c r="A3465" t="s">
        <v>24</v>
      </c>
      <c r="B3465" t="s">
        <v>148</v>
      </c>
      <c r="C3465" t="s">
        <v>156</v>
      </c>
      <c r="D3465" t="s">
        <v>285</v>
      </c>
      <c r="E3465" t="s">
        <v>414</v>
      </c>
      <c r="F3465">
        <f>HYPERLINK("https://www.wikidata.org/wiki/Q16683508", "Q16683508")</f>
        <v>0</v>
      </c>
      <c r="G3465" t="s">
        <v>1752</v>
      </c>
      <c r="H3465" t="s">
        <v>6422</v>
      </c>
      <c r="I3465" t="s">
        <v>9931</v>
      </c>
      <c r="J3465" t="s">
        <v>12452</v>
      </c>
      <c r="K3465" t="s">
        <v>16858</v>
      </c>
      <c r="L3465">
        <f>HYPERLINK("https://www2.assemblee-nationale.fr/sycomore/fiche/(num_dept)/1546", "1546")</f>
        <v>0</v>
      </c>
      <c r="N3465">
        <f>HYPERLINK("https://www.wikidata.org/wiki/Q2853775", "Q2853775")</f>
        <v>0</v>
      </c>
      <c r="O3465" t="s">
        <v>19987</v>
      </c>
      <c r="P3465" t="s">
        <v>20436</v>
      </c>
      <c r="Q3465" t="s">
        <v>16199</v>
      </c>
      <c r="R3465" t="s">
        <v>414</v>
      </c>
      <c r="S3465">
        <v>1484</v>
      </c>
    </row>
    <row r="3466" spans="1:19">
      <c r="A3466" t="s">
        <v>24</v>
      </c>
      <c r="B3466" t="s">
        <v>148</v>
      </c>
      <c r="C3466" t="s">
        <v>156</v>
      </c>
      <c r="D3466" t="s">
        <v>285</v>
      </c>
      <c r="E3466" t="s">
        <v>414</v>
      </c>
      <c r="F3466">
        <f>HYPERLINK("https://www.wikidata.org/wiki/Q16683508", "Q16683508")</f>
        <v>0</v>
      </c>
      <c r="G3466" t="s">
        <v>2286</v>
      </c>
      <c r="H3466" t="s">
        <v>6883</v>
      </c>
      <c r="I3466" t="s">
        <v>9457</v>
      </c>
      <c r="J3466" t="s">
        <v>12943</v>
      </c>
      <c r="K3466" t="s">
        <v>17350</v>
      </c>
      <c r="L3466">
        <f>HYPERLINK("https://www2.assemblee-nationale.fr/sycomore/fiche/(num_dept)/1548", "1548")</f>
        <v>0</v>
      </c>
      <c r="N3466">
        <f>HYPERLINK("https://www.wikidata.org/wiki/Q15974239", "Q15974239")</f>
        <v>0</v>
      </c>
      <c r="O3466" t="s">
        <v>19987</v>
      </c>
      <c r="P3466" t="s">
        <v>20436</v>
      </c>
      <c r="Q3466" t="s">
        <v>16199</v>
      </c>
      <c r="R3466" t="s">
        <v>414</v>
      </c>
      <c r="S3466">
        <v>1484</v>
      </c>
    </row>
    <row r="3467" spans="1:19">
      <c r="A3467" t="s">
        <v>24</v>
      </c>
      <c r="B3467" t="s">
        <v>148</v>
      </c>
      <c r="C3467" t="s">
        <v>156</v>
      </c>
      <c r="D3467" t="s">
        <v>285</v>
      </c>
      <c r="E3467" t="s">
        <v>414</v>
      </c>
      <c r="F3467">
        <f>HYPERLINK("https://www.wikidata.org/wiki/Q16683508", "Q16683508")</f>
        <v>0</v>
      </c>
      <c r="G3467" t="s">
        <v>1406</v>
      </c>
      <c r="H3467" t="s">
        <v>6116</v>
      </c>
      <c r="I3467" t="s">
        <v>9797</v>
      </c>
      <c r="J3467" t="s">
        <v>12131</v>
      </c>
      <c r="K3467" t="s">
        <v>16533</v>
      </c>
      <c r="L3467">
        <f>HYPERLINK("https://www2.assemblee-nationale.fr/sycomore/fiche/(num_dept)/1551", "1551")</f>
        <v>0</v>
      </c>
      <c r="N3467">
        <f>HYPERLINK("https://www.wikidata.org/wiki/Q14613510", "Q14613510")</f>
        <v>0</v>
      </c>
      <c r="O3467" t="s">
        <v>20019</v>
      </c>
      <c r="P3467" t="s">
        <v>20428</v>
      </c>
      <c r="Q3467" t="s">
        <v>16199</v>
      </c>
      <c r="R3467" t="s">
        <v>414</v>
      </c>
      <c r="S3467">
        <v>1484</v>
      </c>
    </row>
    <row r="3468" spans="1:19">
      <c r="A3468" t="s">
        <v>24</v>
      </c>
      <c r="B3468" t="s">
        <v>148</v>
      </c>
      <c r="C3468" t="s">
        <v>156</v>
      </c>
      <c r="D3468" t="s">
        <v>285</v>
      </c>
      <c r="E3468" t="s">
        <v>414</v>
      </c>
      <c r="F3468">
        <f>HYPERLINK("https://www.wikidata.org/wiki/Q16683508", "Q16683508")</f>
        <v>0</v>
      </c>
      <c r="G3468" t="s">
        <v>1753</v>
      </c>
      <c r="H3468" t="s">
        <v>6423</v>
      </c>
      <c r="I3468" t="s">
        <v>7419</v>
      </c>
      <c r="J3468" t="s">
        <v>12453</v>
      </c>
      <c r="K3468" t="s">
        <v>16859</v>
      </c>
      <c r="L3468">
        <f>HYPERLINK("https://www2.assemblee-nationale.fr/sycomore/fiche/(num_dept)/1626", "1626")</f>
        <v>0</v>
      </c>
      <c r="M3468">
        <f>HYPERLINK("https://www.senat.fr/senateur-3eme-republique/de_chammard_jacques0464r3.html", "de_chammard_jacques0464r3")</f>
        <v>0</v>
      </c>
      <c r="N3468">
        <f>HYPERLINK("https://www.wikidata.org/wiki/Q3160262", "Q3160262")</f>
        <v>0</v>
      </c>
      <c r="O3468" t="s">
        <v>20020</v>
      </c>
      <c r="P3468" t="s">
        <v>20428</v>
      </c>
      <c r="Q3468" t="s">
        <v>16199</v>
      </c>
      <c r="R3468" t="s">
        <v>414</v>
      </c>
      <c r="S3468">
        <v>1484</v>
      </c>
    </row>
    <row r="3469" spans="1:19">
      <c r="A3469" t="s">
        <v>24</v>
      </c>
      <c r="B3469" t="s">
        <v>148</v>
      </c>
      <c r="C3469" t="s">
        <v>156</v>
      </c>
      <c r="D3469" t="s">
        <v>285</v>
      </c>
      <c r="E3469" t="s">
        <v>414</v>
      </c>
      <c r="F3469">
        <f>HYPERLINK("https://www.wikidata.org/wiki/Q16683508", "Q16683508")</f>
        <v>0</v>
      </c>
      <c r="G3469" t="s">
        <v>1756</v>
      </c>
      <c r="H3469" t="s">
        <v>6426</v>
      </c>
      <c r="I3469" t="s">
        <v>9933</v>
      </c>
      <c r="J3469" t="s">
        <v>12456</v>
      </c>
      <c r="K3469" t="s">
        <v>16862</v>
      </c>
      <c r="L3469">
        <f>HYPERLINK("https://www2.assemblee-nationale.fr/sycomore/fiche/(num_dept)/1698", "1698")</f>
        <v>0</v>
      </c>
      <c r="N3469">
        <f>HYPERLINK("https://www.wikidata.org/wiki/Q3166703", "Q3166703")</f>
        <v>0</v>
      </c>
      <c r="O3469" t="s">
        <v>20006</v>
      </c>
      <c r="P3469" t="s">
        <v>20409</v>
      </c>
      <c r="Q3469" t="s">
        <v>16199</v>
      </c>
      <c r="R3469" t="s">
        <v>414</v>
      </c>
      <c r="S3469">
        <v>1484</v>
      </c>
    </row>
    <row r="3470" spans="1:19">
      <c r="A3470" t="s">
        <v>24</v>
      </c>
      <c r="B3470" t="s">
        <v>148</v>
      </c>
      <c r="C3470" t="s">
        <v>156</v>
      </c>
      <c r="D3470" t="s">
        <v>285</v>
      </c>
      <c r="E3470" t="s">
        <v>414</v>
      </c>
      <c r="F3470">
        <f>HYPERLINK("https://www.wikidata.org/wiki/Q16683508", "Q16683508")</f>
        <v>0</v>
      </c>
      <c r="G3470" t="s">
        <v>2287</v>
      </c>
      <c r="H3470" t="s">
        <v>6884</v>
      </c>
      <c r="I3470" t="s">
        <v>10159</v>
      </c>
      <c r="J3470" t="s">
        <v>12944</v>
      </c>
      <c r="K3470" t="s">
        <v>17351</v>
      </c>
      <c r="L3470">
        <f>HYPERLINK("https://www2.assemblee-nationale.fr/sycomore/fiche/(num_dept)/1707", "1707")</f>
        <v>0</v>
      </c>
      <c r="N3470">
        <f>HYPERLINK("https://www.wikidata.org/wiki/Q8323085", "Q8323085")</f>
        <v>0</v>
      </c>
      <c r="O3470" t="s">
        <v>19976</v>
      </c>
      <c r="P3470" t="s">
        <v>20434</v>
      </c>
      <c r="Q3470" t="s">
        <v>16199</v>
      </c>
      <c r="R3470" t="s">
        <v>414</v>
      </c>
      <c r="S3470">
        <v>1484</v>
      </c>
    </row>
    <row r="3471" spans="1:19">
      <c r="A3471" t="s">
        <v>24</v>
      </c>
      <c r="B3471" t="s">
        <v>148</v>
      </c>
      <c r="C3471" t="s">
        <v>156</v>
      </c>
      <c r="D3471" t="s">
        <v>285</v>
      </c>
      <c r="E3471" t="s">
        <v>414</v>
      </c>
      <c r="F3471">
        <f>HYPERLINK("https://www.wikidata.org/wiki/Q16683508", "Q16683508")</f>
        <v>0</v>
      </c>
      <c r="G3471" t="s">
        <v>1409</v>
      </c>
      <c r="H3471" t="s">
        <v>6119</v>
      </c>
      <c r="I3471" t="s">
        <v>9800</v>
      </c>
      <c r="J3471" t="s">
        <v>12134</v>
      </c>
      <c r="K3471" t="s">
        <v>16536</v>
      </c>
      <c r="L3471">
        <f>HYPERLINK("https://www2.assemblee-nationale.fr/sycomore/fiche/(num_dept)/1722", "1722")</f>
        <v>0</v>
      </c>
      <c r="N3471">
        <f>HYPERLINK("https://www.wikidata.org/wiki/Q2865047", "Q2865047")</f>
        <v>0</v>
      </c>
      <c r="O3471" t="s">
        <v>20026</v>
      </c>
      <c r="P3471" t="s">
        <v>20404</v>
      </c>
      <c r="Q3471" t="s">
        <v>16199</v>
      </c>
      <c r="R3471" t="s">
        <v>414</v>
      </c>
      <c r="S3471">
        <v>1484</v>
      </c>
    </row>
    <row r="3472" spans="1:19">
      <c r="A3472" t="s">
        <v>24</v>
      </c>
      <c r="B3472" t="s">
        <v>148</v>
      </c>
      <c r="C3472" t="s">
        <v>156</v>
      </c>
      <c r="D3472" t="s">
        <v>285</v>
      </c>
      <c r="E3472" t="s">
        <v>414</v>
      </c>
      <c r="F3472">
        <f>HYPERLINK("https://www.wikidata.org/wiki/Q16683508", "Q16683508")</f>
        <v>0</v>
      </c>
      <c r="G3472" t="s">
        <v>2288</v>
      </c>
      <c r="H3472" t="s">
        <v>6885</v>
      </c>
      <c r="I3472" t="s">
        <v>10160</v>
      </c>
      <c r="J3472" t="s">
        <v>12945</v>
      </c>
      <c r="K3472" t="s">
        <v>17352</v>
      </c>
      <c r="L3472">
        <f>HYPERLINK("https://www2.assemblee-nationale.fr/sycomore/fiche/(num_dept)/1731", "1731")</f>
        <v>0</v>
      </c>
      <c r="N3472">
        <f>HYPERLINK("https://www.wikidata.org/wiki/Q3103113", "Q3103113")</f>
        <v>0</v>
      </c>
      <c r="O3472" t="s">
        <v>19989</v>
      </c>
      <c r="P3472" t="s">
        <v>20434</v>
      </c>
      <c r="Q3472" t="s">
        <v>16199</v>
      </c>
      <c r="R3472" t="s">
        <v>21447</v>
      </c>
      <c r="S3472">
        <v>193</v>
      </c>
    </row>
    <row r="3473" spans="1:19">
      <c r="A3473" t="s">
        <v>24</v>
      </c>
      <c r="B3473" t="s">
        <v>148</v>
      </c>
      <c r="C3473" t="s">
        <v>156</v>
      </c>
      <c r="D3473" t="s">
        <v>285</v>
      </c>
      <c r="E3473" t="s">
        <v>414</v>
      </c>
      <c r="F3473">
        <f>HYPERLINK("https://www.wikidata.org/wiki/Q16683508", "Q16683508")</f>
        <v>0</v>
      </c>
      <c r="G3473" t="s">
        <v>1759</v>
      </c>
      <c r="H3473" t="s">
        <v>6427</v>
      </c>
      <c r="I3473" t="s">
        <v>6175</v>
      </c>
      <c r="J3473" t="s">
        <v>12459</v>
      </c>
      <c r="K3473" t="s">
        <v>16865</v>
      </c>
      <c r="L3473">
        <f>HYPERLINK("https://www2.assemblee-nationale.fr/sycomore/fiche/(num_dept)/1737", "1737")</f>
        <v>0</v>
      </c>
      <c r="N3473">
        <f>HYPERLINK("https://www.wikidata.org/wiki/Q3102461", "Q3102461")</f>
        <v>0</v>
      </c>
      <c r="O3473" t="s">
        <v>19992</v>
      </c>
      <c r="P3473" t="s">
        <v>20428</v>
      </c>
      <c r="Q3473" t="s">
        <v>16199</v>
      </c>
      <c r="R3473" t="s">
        <v>414</v>
      </c>
      <c r="S3473">
        <v>1484</v>
      </c>
    </row>
    <row r="3474" spans="1:19">
      <c r="A3474" t="s">
        <v>24</v>
      </c>
      <c r="B3474" t="s">
        <v>148</v>
      </c>
      <c r="C3474" t="s">
        <v>156</v>
      </c>
      <c r="D3474" t="s">
        <v>285</v>
      </c>
      <c r="E3474" t="s">
        <v>414</v>
      </c>
      <c r="F3474">
        <f>HYPERLINK("https://www.wikidata.org/wiki/Q16683508", "Q16683508")</f>
        <v>0</v>
      </c>
      <c r="G3474" t="s">
        <v>2289</v>
      </c>
      <c r="H3474" t="s">
        <v>6886</v>
      </c>
      <c r="I3474" t="s">
        <v>6584</v>
      </c>
      <c r="J3474" t="s">
        <v>12946</v>
      </c>
      <c r="K3474" t="s">
        <v>17353</v>
      </c>
      <c r="L3474">
        <f>HYPERLINK("https://www2.assemblee-nationale.fr/sycomore/fiche/(num_dept)/1795", "1795")</f>
        <v>0</v>
      </c>
      <c r="N3474">
        <f>HYPERLINK("https://www.wikidata.org/wiki/Q2831044", "Q2831044")</f>
        <v>0</v>
      </c>
      <c r="O3474" t="s">
        <v>19975</v>
      </c>
      <c r="P3474" t="s">
        <v>20428</v>
      </c>
      <c r="Q3474" t="s">
        <v>16199</v>
      </c>
      <c r="R3474" t="s">
        <v>414</v>
      </c>
      <c r="S3474">
        <v>1484</v>
      </c>
    </row>
    <row r="3475" spans="1:19">
      <c r="A3475" t="s">
        <v>24</v>
      </c>
      <c r="B3475" t="s">
        <v>148</v>
      </c>
      <c r="C3475" t="s">
        <v>156</v>
      </c>
      <c r="D3475" t="s">
        <v>285</v>
      </c>
      <c r="E3475" t="s">
        <v>414</v>
      </c>
      <c r="F3475">
        <f>HYPERLINK("https://www.wikidata.org/wiki/Q16683508", "Q16683508")</f>
        <v>0</v>
      </c>
      <c r="G3475" t="s">
        <v>2035</v>
      </c>
      <c r="H3475" t="s">
        <v>6667</v>
      </c>
      <c r="I3475" t="s">
        <v>10059</v>
      </c>
      <c r="J3475" t="s">
        <v>12709</v>
      </c>
      <c r="K3475" t="s">
        <v>17120</v>
      </c>
      <c r="L3475">
        <f>HYPERLINK("https://www2.assemblee-nationale.fr/sycomore/fiche/(num_dept)/1808", "1808")</f>
        <v>0</v>
      </c>
      <c r="N3475">
        <f>HYPERLINK("https://www.wikidata.org/wiki/Q16025448", "Q16025448")</f>
        <v>0</v>
      </c>
      <c r="O3475" t="s">
        <v>20042</v>
      </c>
      <c r="P3475" t="s">
        <v>20436</v>
      </c>
      <c r="Q3475" t="s">
        <v>16199</v>
      </c>
      <c r="R3475" t="s">
        <v>414</v>
      </c>
      <c r="S3475">
        <v>1484</v>
      </c>
    </row>
    <row r="3476" spans="1:19">
      <c r="A3476" t="s">
        <v>24</v>
      </c>
      <c r="B3476" t="s">
        <v>148</v>
      </c>
      <c r="C3476" t="s">
        <v>156</v>
      </c>
      <c r="D3476" t="s">
        <v>285</v>
      </c>
      <c r="E3476" t="s">
        <v>414</v>
      </c>
      <c r="F3476">
        <f>HYPERLINK("https://www.wikidata.org/wiki/Q16683508", "Q16683508")</f>
        <v>0</v>
      </c>
      <c r="G3476" t="s">
        <v>2036</v>
      </c>
      <c r="H3476" t="s">
        <v>6668</v>
      </c>
      <c r="I3476" t="s">
        <v>10060</v>
      </c>
      <c r="J3476" t="s">
        <v>12710</v>
      </c>
      <c r="K3476" t="s">
        <v>17121</v>
      </c>
      <c r="L3476">
        <f>HYPERLINK("https://www2.assemblee-nationale.fr/sycomore/fiche/(num_dept)/1816", "1816")</f>
        <v>0</v>
      </c>
      <c r="N3476">
        <f>HYPERLINK("https://www.wikidata.org/wiki/Q2861802", "Q2861802")</f>
        <v>0</v>
      </c>
      <c r="O3476" t="s">
        <v>19965</v>
      </c>
      <c r="P3476" t="s">
        <v>20404</v>
      </c>
      <c r="Q3476" t="s">
        <v>16199</v>
      </c>
      <c r="R3476" t="s">
        <v>414</v>
      </c>
      <c r="S3476">
        <v>1484</v>
      </c>
    </row>
    <row r="3477" spans="1:19">
      <c r="A3477" t="s">
        <v>24</v>
      </c>
      <c r="B3477" t="s">
        <v>148</v>
      </c>
      <c r="C3477" t="s">
        <v>156</v>
      </c>
      <c r="D3477" t="s">
        <v>285</v>
      </c>
      <c r="E3477" t="s">
        <v>414</v>
      </c>
      <c r="F3477">
        <f>HYPERLINK("https://www.wikidata.org/wiki/Q16683508", "Q16683508")</f>
        <v>0</v>
      </c>
      <c r="G3477" t="s">
        <v>1765</v>
      </c>
      <c r="H3477" t="s">
        <v>6433</v>
      </c>
      <c r="I3477" t="s">
        <v>9606</v>
      </c>
      <c r="J3477" t="s">
        <v>12464</v>
      </c>
      <c r="K3477" t="s">
        <v>16871</v>
      </c>
      <c r="L3477">
        <f>HYPERLINK("https://www2.assemblee-nationale.fr/sycomore/fiche/(num_dept)/1829", "1829")</f>
        <v>0</v>
      </c>
      <c r="M3477">
        <f>HYPERLINK("https://www.senat.fr/senateur-3eme-republique/clamamus_jean_marie1568r3.html", "clamamus_jean_marie1568r3")</f>
        <v>0</v>
      </c>
      <c r="N3477">
        <f>HYPERLINK("https://www.wikidata.org/wiki/Q3167607", "Q3167607")</f>
        <v>0</v>
      </c>
      <c r="O3477" t="s">
        <v>19969</v>
      </c>
      <c r="P3477" t="s">
        <v>20424</v>
      </c>
      <c r="Q3477" t="s">
        <v>16199</v>
      </c>
      <c r="R3477" t="s">
        <v>21341</v>
      </c>
      <c r="S3477">
        <v>1386</v>
      </c>
    </row>
    <row r="3478" spans="1:19">
      <c r="A3478" t="s">
        <v>24</v>
      </c>
      <c r="B3478" t="s">
        <v>148</v>
      </c>
      <c r="C3478" t="s">
        <v>156</v>
      </c>
      <c r="D3478" t="s">
        <v>285</v>
      </c>
      <c r="E3478" t="s">
        <v>414</v>
      </c>
      <c r="F3478">
        <f>HYPERLINK("https://www.wikidata.org/wiki/Q16683508", "Q16683508")</f>
        <v>0</v>
      </c>
      <c r="G3478" t="s">
        <v>2290</v>
      </c>
      <c r="H3478" t="s">
        <v>6356</v>
      </c>
      <c r="I3478" t="s">
        <v>10161</v>
      </c>
      <c r="J3478" t="s">
        <v>12947</v>
      </c>
      <c r="K3478" t="s">
        <v>17354</v>
      </c>
      <c r="L3478">
        <f>HYPERLINK("https://www2.assemblee-nationale.fr/sycomore/fiche/(num_dept)/1851", "1851")</f>
        <v>0</v>
      </c>
      <c r="N3478">
        <f>HYPERLINK("https://www.wikidata.org/wiki/Q3130841", "Q3130841")</f>
        <v>0</v>
      </c>
      <c r="O3478" t="s">
        <v>20018</v>
      </c>
      <c r="P3478" t="s">
        <v>20428</v>
      </c>
      <c r="Q3478" t="s">
        <v>16199</v>
      </c>
      <c r="R3478" t="s">
        <v>414</v>
      </c>
      <c r="S3478">
        <v>1484</v>
      </c>
    </row>
    <row r="3479" spans="1:19">
      <c r="A3479" t="s">
        <v>24</v>
      </c>
      <c r="B3479" t="s">
        <v>148</v>
      </c>
      <c r="C3479" t="s">
        <v>156</v>
      </c>
      <c r="D3479" t="s">
        <v>285</v>
      </c>
      <c r="E3479" t="s">
        <v>414</v>
      </c>
      <c r="F3479">
        <f>HYPERLINK("https://www.wikidata.org/wiki/Q16683508", "Q16683508")</f>
        <v>0</v>
      </c>
      <c r="G3479" t="s">
        <v>2236</v>
      </c>
      <c r="H3479" t="s">
        <v>6844</v>
      </c>
      <c r="I3479" t="s">
        <v>10128</v>
      </c>
      <c r="J3479" t="s">
        <v>12897</v>
      </c>
      <c r="K3479" t="s">
        <v>17308</v>
      </c>
      <c r="L3479">
        <f>HYPERLINK("https://www2.assemblee-nationale.fr/sycomore/fiche/(num_dept)/1863", "1863")</f>
        <v>0</v>
      </c>
      <c r="N3479">
        <f>HYPERLINK("https://www.wikidata.org/wiki/Q16025463", "Q16025463")</f>
        <v>0</v>
      </c>
      <c r="O3479" t="s">
        <v>19987</v>
      </c>
      <c r="P3479" t="s">
        <v>20428</v>
      </c>
      <c r="Q3479" t="s">
        <v>16199</v>
      </c>
      <c r="R3479" t="s">
        <v>414</v>
      </c>
      <c r="S3479">
        <v>1484</v>
      </c>
    </row>
    <row r="3480" spans="1:19">
      <c r="A3480" t="s">
        <v>24</v>
      </c>
      <c r="B3480" t="s">
        <v>148</v>
      </c>
      <c r="C3480" t="s">
        <v>156</v>
      </c>
      <c r="D3480" t="s">
        <v>285</v>
      </c>
      <c r="E3480" t="s">
        <v>414</v>
      </c>
      <c r="F3480">
        <f>HYPERLINK("https://www.wikidata.org/wiki/Q16683508", "Q16683508")</f>
        <v>0</v>
      </c>
      <c r="G3480" t="s">
        <v>2291</v>
      </c>
      <c r="H3480" t="s">
        <v>5343</v>
      </c>
      <c r="I3480" t="s">
        <v>10162</v>
      </c>
      <c r="J3480" t="s">
        <v>12948</v>
      </c>
      <c r="K3480" t="s">
        <v>17355</v>
      </c>
      <c r="L3480">
        <f>HYPERLINK("https://www2.assemblee-nationale.fr/sycomore/fiche/(num_dept)/1866", "1866")</f>
        <v>0</v>
      </c>
      <c r="N3480">
        <f>HYPERLINK("https://www.wikidata.org/wiki/Q16025466", "Q16025466")</f>
        <v>0</v>
      </c>
      <c r="O3480" t="s">
        <v>20012</v>
      </c>
      <c r="P3480" t="s">
        <v>20401</v>
      </c>
      <c r="Q3480" t="s">
        <v>16199</v>
      </c>
      <c r="R3480" t="s">
        <v>414</v>
      </c>
      <c r="S3480">
        <v>1484</v>
      </c>
    </row>
    <row r="3481" spans="1:19">
      <c r="A3481" t="s">
        <v>24</v>
      </c>
      <c r="B3481" t="s">
        <v>148</v>
      </c>
      <c r="C3481" t="s">
        <v>156</v>
      </c>
      <c r="D3481" t="s">
        <v>285</v>
      </c>
      <c r="E3481" t="s">
        <v>414</v>
      </c>
      <c r="F3481">
        <f>HYPERLINK("https://www.wikidata.org/wiki/Q16683508", "Q16683508")</f>
        <v>0</v>
      </c>
      <c r="G3481" t="s">
        <v>2292</v>
      </c>
      <c r="H3481" t="s">
        <v>6887</v>
      </c>
      <c r="I3481" t="s">
        <v>9385</v>
      </c>
      <c r="J3481" t="s">
        <v>12949</v>
      </c>
      <c r="K3481" t="s">
        <v>17356</v>
      </c>
      <c r="L3481">
        <f>HYPERLINK("https://www2.assemblee-nationale.fr/sycomore/fiche/(num_dept)/1870", "1870")</f>
        <v>0</v>
      </c>
      <c r="N3481">
        <f>HYPERLINK("https://www.wikidata.org/wiki/Q2958746", "Q2958746")</f>
        <v>0</v>
      </c>
      <c r="O3481" t="s">
        <v>19996</v>
      </c>
      <c r="P3481" t="s">
        <v>20404</v>
      </c>
      <c r="Q3481" t="s">
        <v>16199</v>
      </c>
      <c r="R3481" t="s">
        <v>414</v>
      </c>
      <c r="S3481">
        <v>1484</v>
      </c>
    </row>
    <row r="3482" spans="1:19">
      <c r="A3482" t="s">
        <v>24</v>
      </c>
      <c r="B3482" t="s">
        <v>148</v>
      </c>
      <c r="C3482" t="s">
        <v>156</v>
      </c>
      <c r="D3482" t="s">
        <v>285</v>
      </c>
      <c r="E3482" t="s">
        <v>414</v>
      </c>
      <c r="F3482">
        <f>HYPERLINK("https://www.wikidata.org/wiki/Q16683508", "Q16683508")</f>
        <v>0</v>
      </c>
      <c r="G3482" t="s">
        <v>2293</v>
      </c>
      <c r="H3482" t="s">
        <v>6888</v>
      </c>
      <c r="I3482" t="s">
        <v>10163</v>
      </c>
      <c r="J3482" t="s">
        <v>12950</v>
      </c>
      <c r="K3482" t="s">
        <v>17357</v>
      </c>
      <c r="L3482">
        <f>HYPERLINK("https://www2.assemblee-nationale.fr/sycomore/fiche/(num_dept)/1888", "1888")</f>
        <v>0</v>
      </c>
      <c r="N3482">
        <f>HYPERLINK("https://www.wikidata.org/wiki/Q2847539", "Q2847539")</f>
        <v>0</v>
      </c>
      <c r="O3482" t="s">
        <v>19980</v>
      </c>
      <c r="P3482" t="s">
        <v>20438</v>
      </c>
      <c r="Q3482" t="s">
        <v>16199</v>
      </c>
      <c r="R3482" t="s">
        <v>414</v>
      </c>
      <c r="S3482">
        <v>1484</v>
      </c>
    </row>
    <row r="3483" spans="1:19">
      <c r="A3483" t="s">
        <v>24</v>
      </c>
      <c r="B3483" t="s">
        <v>148</v>
      </c>
      <c r="C3483" t="s">
        <v>156</v>
      </c>
      <c r="D3483" t="s">
        <v>285</v>
      </c>
      <c r="E3483" t="s">
        <v>414</v>
      </c>
      <c r="F3483">
        <f>HYPERLINK("https://www.wikidata.org/wiki/Q16683508", "Q16683508")</f>
        <v>0</v>
      </c>
      <c r="G3483" t="s">
        <v>587</v>
      </c>
      <c r="H3483" t="s">
        <v>5348</v>
      </c>
      <c r="I3483" t="s">
        <v>9436</v>
      </c>
      <c r="J3483" t="s">
        <v>11338</v>
      </c>
      <c r="K3483" t="s">
        <v>15739</v>
      </c>
      <c r="L3483">
        <f>HYPERLINK("https://www2.assemblee-nationale.fr/sycomore/fiche/(num_dept)/1934", "1934")</f>
        <v>0</v>
      </c>
      <c r="N3483">
        <f>HYPERLINK("https://www.wikidata.org/wiki/Q2825487", "Q2825487")</f>
        <v>0</v>
      </c>
      <c r="O3483" t="s">
        <v>20014</v>
      </c>
      <c r="P3483" t="s">
        <v>20436</v>
      </c>
      <c r="Q3483" t="s">
        <v>16199</v>
      </c>
      <c r="R3483" t="s">
        <v>414</v>
      </c>
      <c r="S3483">
        <v>1484</v>
      </c>
    </row>
    <row r="3484" spans="1:19">
      <c r="A3484" t="s">
        <v>24</v>
      </c>
      <c r="B3484" t="s">
        <v>148</v>
      </c>
      <c r="C3484" t="s">
        <v>156</v>
      </c>
      <c r="D3484" t="s">
        <v>285</v>
      </c>
      <c r="E3484" t="s">
        <v>414</v>
      </c>
      <c r="F3484">
        <f>HYPERLINK("https://www.wikidata.org/wiki/Q16683508", "Q16683508")</f>
        <v>0</v>
      </c>
      <c r="G3484" t="s">
        <v>2294</v>
      </c>
      <c r="H3484" t="s">
        <v>6889</v>
      </c>
      <c r="I3484" t="s">
        <v>6585</v>
      </c>
      <c r="J3484" t="s">
        <v>12951</v>
      </c>
      <c r="K3484" t="s">
        <v>17358</v>
      </c>
      <c r="L3484">
        <f>HYPERLINK("https://www2.assemblee-nationale.fr/sycomore/fiche/(num_dept)/1976", "1976")</f>
        <v>0</v>
      </c>
      <c r="N3484">
        <f>HYPERLINK("https://www.wikidata.org/wiki/Q2847553", "Q2847553")</f>
        <v>0</v>
      </c>
      <c r="O3484" t="s">
        <v>19964</v>
      </c>
      <c r="P3484" t="s">
        <v>20401</v>
      </c>
      <c r="Q3484" t="s">
        <v>16199</v>
      </c>
      <c r="R3484" t="s">
        <v>414</v>
      </c>
      <c r="S3484">
        <v>1484</v>
      </c>
    </row>
    <row r="3485" spans="1:19">
      <c r="A3485" t="s">
        <v>24</v>
      </c>
      <c r="B3485" t="s">
        <v>148</v>
      </c>
      <c r="C3485" t="s">
        <v>156</v>
      </c>
      <c r="D3485" t="s">
        <v>285</v>
      </c>
      <c r="E3485" t="s">
        <v>414</v>
      </c>
      <c r="F3485">
        <f>HYPERLINK("https://www.wikidata.org/wiki/Q16683508", "Q16683508")</f>
        <v>0</v>
      </c>
      <c r="G3485" t="s">
        <v>1933</v>
      </c>
      <c r="H3485" t="s">
        <v>6579</v>
      </c>
      <c r="I3485" t="s">
        <v>9455</v>
      </c>
      <c r="J3485" t="s">
        <v>12618</v>
      </c>
      <c r="K3485" t="s">
        <v>17029</v>
      </c>
      <c r="L3485">
        <f>HYPERLINK("https://www2.assemblee-nationale.fr/sycomore/fiche/(num_dept)/2009", "2009")</f>
        <v>0</v>
      </c>
      <c r="N3485">
        <f>HYPERLINK("https://www.wikidata.org/wiki/Q16025491", "Q16025491")</f>
        <v>0</v>
      </c>
      <c r="O3485" t="s">
        <v>19962</v>
      </c>
      <c r="P3485" t="s">
        <v>20428</v>
      </c>
      <c r="Q3485" t="s">
        <v>16199</v>
      </c>
      <c r="R3485" t="s">
        <v>414</v>
      </c>
      <c r="S3485">
        <v>1484</v>
      </c>
    </row>
    <row r="3486" spans="1:19">
      <c r="A3486" t="s">
        <v>24</v>
      </c>
      <c r="B3486" t="s">
        <v>148</v>
      </c>
      <c r="C3486" t="s">
        <v>156</v>
      </c>
      <c r="D3486" t="s">
        <v>285</v>
      </c>
      <c r="E3486" t="s">
        <v>414</v>
      </c>
      <c r="F3486">
        <f>HYPERLINK("https://www.wikidata.org/wiki/Q16683508", "Q16683508")</f>
        <v>0</v>
      </c>
      <c r="G3486" t="s">
        <v>2295</v>
      </c>
      <c r="H3486" t="s">
        <v>6890</v>
      </c>
      <c r="I3486" t="s">
        <v>9391</v>
      </c>
      <c r="J3486" t="s">
        <v>12952</v>
      </c>
      <c r="K3486" t="s">
        <v>17359</v>
      </c>
      <c r="L3486">
        <f>HYPERLINK("https://www2.assemblee-nationale.fr/sycomore/fiche/(num_dept)/2015", "2015")</f>
        <v>0</v>
      </c>
      <c r="N3486">
        <f>HYPERLINK("https://www.wikidata.org/wiki/Q16025494", "Q16025494")</f>
        <v>0</v>
      </c>
      <c r="O3486" t="s">
        <v>19994</v>
      </c>
      <c r="P3486" t="s">
        <v>20428</v>
      </c>
      <c r="Q3486" t="s">
        <v>16199</v>
      </c>
      <c r="R3486" t="s">
        <v>414</v>
      </c>
      <c r="S3486">
        <v>1484</v>
      </c>
    </row>
    <row r="3487" spans="1:19">
      <c r="A3487" t="s">
        <v>24</v>
      </c>
      <c r="B3487" t="s">
        <v>148</v>
      </c>
      <c r="C3487" t="s">
        <v>156</v>
      </c>
      <c r="D3487" t="s">
        <v>285</v>
      </c>
      <c r="E3487" t="s">
        <v>414</v>
      </c>
      <c r="F3487">
        <f>HYPERLINK("https://www.wikidata.org/wiki/Q16683508", "Q16683508")</f>
        <v>0</v>
      </c>
      <c r="G3487" t="s">
        <v>2039</v>
      </c>
      <c r="H3487" t="s">
        <v>6671</v>
      </c>
      <c r="I3487" t="s">
        <v>10062</v>
      </c>
      <c r="J3487" t="s">
        <v>12713</v>
      </c>
      <c r="K3487" t="s">
        <v>17124</v>
      </c>
      <c r="L3487">
        <f>HYPERLINK("https://www2.assemblee-nationale.fr/sycomore/fiche/(num_dept)/2028", "2028")</f>
        <v>0</v>
      </c>
      <c r="N3487">
        <f>HYPERLINK("https://www.wikidata.org/wiki/Q3370944", "Q3370944")</f>
        <v>0</v>
      </c>
      <c r="O3487" t="s">
        <v>20043</v>
      </c>
      <c r="P3487" t="s">
        <v>20428</v>
      </c>
      <c r="Q3487" t="s">
        <v>16199</v>
      </c>
      <c r="R3487" t="s">
        <v>414</v>
      </c>
      <c r="S3487">
        <v>1484</v>
      </c>
    </row>
    <row r="3488" spans="1:19">
      <c r="A3488" t="s">
        <v>24</v>
      </c>
      <c r="B3488" t="s">
        <v>148</v>
      </c>
      <c r="C3488" t="s">
        <v>156</v>
      </c>
      <c r="D3488" t="s">
        <v>285</v>
      </c>
      <c r="E3488" t="s">
        <v>414</v>
      </c>
      <c r="F3488">
        <f>HYPERLINK("https://www.wikidata.org/wiki/Q16683508", "Q16683508")</f>
        <v>0</v>
      </c>
      <c r="G3488" t="s">
        <v>2296</v>
      </c>
      <c r="H3488" t="s">
        <v>6891</v>
      </c>
      <c r="I3488" t="s">
        <v>5528</v>
      </c>
      <c r="J3488" t="s">
        <v>12953</v>
      </c>
      <c r="K3488" t="s">
        <v>17360</v>
      </c>
      <c r="L3488">
        <f>HYPERLINK("https://www2.assemblee-nationale.fr/sycomore/fiche/(num_dept)/2030", "2030")</f>
        <v>0</v>
      </c>
      <c r="N3488">
        <f>HYPERLINK("https://www.wikidata.org/wiki/Q3270844", "Q3270844")</f>
        <v>0</v>
      </c>
      <c r="O3488" t="s">
        <v>20008</v>
      </c>
      <c r="P3488" t="s">
        <v>20428</v>
      </c>
      <c r="Q3488" t="s">
        <v>16199</v>
      </c>
      <c r="R3488" t="s">
        <v>414</v>
      </c>
      <c r="S3488">
        <v>1484</v>
      </c>
    </row>
    <row r="3489" spans="1:19">
      <c r="A3489" t="s">
        <v>24</v>
      </c>
      <c r="B3489" t="s">
        <v>148</v>
      </c>
      <c r="C3489" t="s">
        <v>156</v>
      </c>
      <c r="D3489" t="s">
        <v>285</v>
      </c>
      <c r="E3489" t="s">
        <v>414</v>
      </c>
      <c r="F3489">
        <f>HYPERLINK("https://www.wikidata.org/wiki/Q16683508", "Q16683508")</f>
        <v>0</v>
      </c>
      <c r="G3489" t="s">
        <v>1421</v>
      </c>
      <c r="H3489" t="s">
        <v>6126</v>
      </c>
      <c r="I3489" t="s">
        <v>9804</v>
      </c>
      <c r="J3489" t="s">
        <v>12145</v>
      </c>
      <c r="K3489" t="s">
        <v>16547</v>
      </c>
      <c r="L3489">
        <f>HYPERLINK("https://www2.assemblee-nationale.fr/sycomore/fiche/(num_dept)/2049", "2049")</f>
        <v>0</v>
      </c>
      <c r="N3489">
        <f>HYPERLINK("https://www.wikidata.org/wiki/Q3056904", "Q3056904")</f>
        <v>0</v>
      </c>
      <c r="O3489" t="s">
        <v>20013</v>
      </c>
      <c r="P3489" t="s">
        <v>20404</v>
      </c>
      <c r="Q3489" t="s">
        <v>16199</v>
      </c>
      <c r="R3489" t="s">
        <v>414</v>
      </c>
      <c r="S3489">
        <v>1484</v>
      </c>
    </row>
    <row r="3490" spans="1:19">
      <c r="A3490" t="s">
        <v>24</v>
      </c>
      <c r="B3490" t="s">
        <v>148</v>
      </c>
      <c r="C3490" t="s">
        <v>156</v>
      </c>
      <c r="D3490" t="s">
        <v>285</v>
      </c>
      <c r="E3490" t="s">
        <v>414</v>
      </c>
      <c r="F3490">
        <f>HYPERLINK("https://www.wikidata.org/wiki/Q16683508", "Q16683508")</f>
        <v>0</v>
      </c>
      <c r="G3490" t="s">
        <v>1932</v>
      </c>
      <c r="H3490" t="s">
        <v>6578</v>
      </c>
      <c r="I3490" t="s">
        <v>9958</v>
      </c>
      <c r="J3490" t="s">
        <v>12617</v>
      </c>
      <c r="K3490" t="s">
        <v>17028</v>
      </c>
      <c r="L3490">
        <f>HYPERLINK("https://www2.assemblee-nationale.fr/sycomore/fiche/(num_dept)/2050", "2050")</f>
        <v>0</v>
      </c>
      <c r="N3490">
        <f>HYPERLINK("https://www.wikidata.org/wiki/Q16011109", "Q16011109")</f>
        <v>0</v>
      </c>
      <c r="O3490" t="s">
        <v>20013</v>
      </c>
      <c r="P3490" t="s">
        <v>20414</v>
      </c>
      <c r="Q3490" t="s">
        <v>16199</v>
      </c>
      <c r="R3490" t="s">
        <v>414</v>
      </c>
      <c r="S3490">
        <v>1484</v>
      </c>
    </row>
    <row r="3491" spans="1:19">
      <c r="A3491" t="s">
        <v>24</v>
      </c>
      <c r="B3491" t="s">
        <v>148</v>
      </c>
      <c r="C3491" t="s">
        <v>156</v>
      </c>
      <c r="D3491" t="s">
        <v>285</v>
      </c>
      <c r="E3491" t="s">
        <v>414</v>
      </c>
      <c r="F3491">
        <f>HYPERLINK("https://www.wikidata.org/wiki/Q16683508", "Q16683508")</f>
        <v>0</v>
      </c>
      <c r="G3491" t="s">
        <v>2297</v>
      </c>
      <c r="H3491" t="s">
        <v>6892</v>
      </c>
      <c r="I3491" t="s">
        <v>9388</v>
      </c>
      <c r="J3491" t="s">
        <v>12954</v>
      </c>
      <c r="K3491" t="s">
        <v>17361</v>
      </c>
      <c r="L3491">
        <f>HYPERLINK("https://www2.assemblee-nationale.fr/sycomore/fiche/(num_dept)/2072", "2072")</f>
        <v>0</v>
      </c>
      <c r="N3491">
        <f>HYPERLINK("https://www.wikidata.org/wiki/Q3370955", "Q3370955")</f>
        <v>0</v>
      </c>
      <c r="O3491" t="s">
        <v>19997</v>
      </c>
      <c r="P3491" t="s">
        <v>20428</v>
      </c>
      <c r="Q3491" t="s">
        <v>16199</v>
      </c>
      <c r="R3491" t="s">
        <v>414</v>
      </c>
      <c r="S3491">
        <v>1484</v>
      </c>
    </row>
    <row r="3492" spans="1:19">
      <c r="A3492" t="s">
        <v>24</v>
      </c>
      <c r="B3492" t="s">
        <v>148</v>
      </c>
      <c r="C3492" t="s">
        <v>156</v>
      </c>
      <c r="D3492" t="s">
        <v>285</v>
      </c>
      <c r="E3492" t="s">
        <v>414</v>
      </c>
      <c r="F3492">
        <f>HYPERLINK("https://www.wikidata.org/wiki/Q16683508", "Q16683508")</f>
        <v>0</v>
      </c>
      <c r="G3492" t="s">
        <v>2298</v>
      </c>
      <c r="H3492" t="s">
        <v>6893</v>
      </c>
      <c r="I3492" t="s">
        <v>10164</v>
      </c>
      <c r="J3492" t="s">
        <v>12955</v>
      </c>
      <c r="K3492" t="s">
        <v>17362</v>
      </c>
      <c r="L3492">
        <f>HYPERLINK("https://www2.assemblee-nationale.fr/sycomore/fiche/(num_dept)/2081", "2081")</f>
        <v>0</v>
      </c>
      <c r="N3492">
        <f>HYPERLINK("https://www.wikidata.org/wiki/Q3348821", "Q3348821")</f>
        <v>0</v>
      </c>
      <c r="O3492" t="s">
        <v>19978</v>
      </c>
      <c r="P3492" t="s">
        <v>20428</v>
      </c>
      <c r="Q3492" t="s">
        <v>16199</v>
      </c>
      <c r="R3492" t="s">
        <v>414</v>
      </c>
      <c r="S3492">
        <v>1484</v>
      </c>
    </row>
    <row r="3493" spans="1:19">
      <c r="A3493" t="s">
        <v>24</v>
      </c>
      <c r="B3493" t="s">
        <v>148</v>
      </c>
      <c r="C3493" t="s">
        <v>156</v>
      </c>
      <c r="D3493" t="s">
        <v>285</v>
      </c>
      <c r="E3493" t="s">
        <v>414</v>
      </c>
      <c r="F3493">
        <f>HYPERLINK("https://www.wikidata.org/wiki/Q16683508", "Q16683508")</f>
        <v>0</v>
      </c>
      <c r="G3493" t="s">
        <v>2041</v>
      </c>
      <c r="H3493" t="s">
        <v>6673</v>
      </c>
      <c r="I3493" t="s">
        <v>9506</v>
      </c>
      <c r="J3493" t="s">
        <v>11687</v>
      </c>
      <c r="K3493" t="s">
        <v>17125</v>
      </c>
      <c r="L3493">
        <f>HYPERLINK("https://www2.assemblee-nationale.fr/sycomore/fiche/(num_dept)/2102", "2102")</f>
        <v>0</v>
      </c>
      <c r="N3493">
        <f>HYPERLINK("https://www.wikidata.org/wiki/Q2934903", "Q2934903")</f>
        <v>0</v>
      </c>
      <c r="O3493" t="s">
        <v>20048</v>
      </c>
      <c r="P3493" t="s">
        <v>20434</v>
      </c>
      <c r="Q3493" t="s">
        <v>16199</v>
      </c>
      <c r="R3493" t="s">
        <v>414</v>
      </c>
      <c r="S3493">
        <v>1484</v>
      </c>
    </row>
    <row r="3494" spans="1:19">
      <c r="A3494" t="s">
        <v>24</v>
      </c>
      <c r="B3494" t="s">
        <v>148</v>
      </c>
      <c r="C3494" t="s">
        <v>156</v>
      </c>
      <c r="D3494" t="s">
        <v>285</v>
      </c>
      <c r="E3494" t="s">
        <v>414</v>
      </c>
      <c r="F3494">
        <f>HYPERLINK("https://www.wikidata.org/wiki/Q16683508", "Q16683508")</f>
        <v>0</v>
      </c>
      <c r="G3494" t="s">
        <v>920</v>
      </c>
      <c r="H3494" t="s">
        <v>5676</v>
      </c>
      <c r="I3494" t="s">
        <v>9385</v>
      </c>
      <c r="J3494" t="s">
        <v>11662</v>
      </c>
      <c r="K3494" t="s">
        <v>16063</v>
      </c>
      <c r="L3494">
        <f>HYPERLINK("https://www2.assemblee-nationale.fr/sycomore/fiche/(num_dept)/2124", "2124")</f>
        <v>0</v>
      </c>
      <c r="N3494">
        <f>HYPERLINK("https://www.wikidata.org/wiki/Q2958846", "Q2958846")</f>
        <v>0</v>
      </c>
      <c r="O3494" t="s">
        <v>20011</v>
      </c>
      <c r="P3494" t="s">
        <v>20401</v>
      </c>
      <c r="Q3494" t="s">
        <v>16199</v>
      </c>
      <c r="R3494" t="s">
        <v>414</v>
      </c>
      <c r="S3494">
        <v>1484</v>
      </c>
    </row>
    <row r="3495" spans="1:19">
      <c r="A3495" t="s">
        <v>24</v>
      </c>
      <c r="B3495" t="s">
        <v>148</v>
      </c>
      <c r="C3495" t="s">
        <v>156</v>
      </c>
      <c r="D3495" t="s">
        <v>285</v>
      </c>
      <c r="E3495" t="s">
        <v>414</v>
      </c>
      <c r="F3495">
        <f>HYPERLINK("https://www.wikidata.org/wiki/Q16683508", "Q16683508")</f>
        <v>0</v>
      </c>
      <c r="G3495" t="s">
        <v>599</v>
      </c>
      <c r="H3495" t="s">
        <v>5360</v>
      </c>
      <c r="I3495" t="s">
        <v>9445</v>
      </c>
      <c r="J3495" t="s">
        <v>11350</v>
      </c>
      <c r="K3495" t="s">
        <v>15751</v>
      </c>
      <c r="L3495">
        <f>HYPERLINK("https://www2.assemblee-nationale.fr/sycomore/fiche/(num_dept)/2132", "2132")</f>
        <v>0</v>
      </c>
      <c r="N3495">
        <f>HYPERLINK("https://www.wikidata.org/wiki/Q2825149", "Q2825149")</f>
        <v>0</v>
      </c>
      <c r="O3495" t="s">
        <v>19957</v>
      </c>
      <c r="P3495" t="s">
        <v>20401</v>
      </c>
      <c r="Q3495" t="s">
        <v>16199</v>
      </c>
      <c r="R3495" t="s">
        <v>414</v>
      </c>
      <c r="S3495">
        <v>1484</v>
      </c>
    </row>
    <row r="3496" spans="1:19">
      <c r="A3496" t="s">
        <v>24</v>
      </c>
      <c r="B3496" t="s">
        <v>148</v>
      </c>
      <c r="C3496" t="s">
        <v>156</v>
      </c>
      <c r="D3496" t="s">
        <v>285</v>
      </c>
      <c r="E3496" t="s">
        <v>414</v>
      </c>
      <c r="F3496">
        <f>HYPERLINK("https://www.wikidata.org/wiki/Q16683508", "Q16683508")</f>
        <v>0</v>
      </c>
      <c r="G3496" t="s">
        <v>2299</v>
      </c>
      <c r="H3496" t="s">
        <v>6894</v>
      </c>
      <c r="I3496" t="s">
        <v>10165</v>
      </c>
      <c r="J3496" t="s">
        <v>12956</v>
      </c>
      <c r="K3496" t="s">
        <v>17363</v>
      </c>
      <c r="L3496">
        <f>HYPERLINK("https://www2.assemblee-nationale.fr/sycomore/fiche/(num_dept)/2138", "2138")</f>
        <v>0</v>
      </c>
      <c r="N3496">
        <f>HYPERLINK("https://www.wikidata.org/wiki/Q2193149", "Q2193149")</f>
        <v>0</v>
      </c>
      <c r="O3496" t="s">
        <v>19972</v>
      </c>
      <c r="P3496" t="s">
        <v>20428</v>
      </c>
      <c r="Q3496" t="s">
        <v>16199</v>
      </c>
      <c r="R3496" t="s">
        <v>414</v>
      </c>
      <c r="S3496">
        <v>1484</v>
      </c>
    </row>
    <row r="3497" spans="1:19">
      <c r="A3497" t="s">
        <v>24</v>
      </c>
      <c r="B3497" t="s">
        <v>148</v>
      </c>
      <c r="C3497" t="s">
        <v>156</v>
      </c>
      <c r="D3497" t="s">
        <v>285</v>
      </c>
      <c r="E3497" t="s">
        <v>414</v>
      </c>
      <c r="F3497">
        <f>HYPERLINK("https://www.wikidata.org/wiki/Q16683508", "Q16683508")</f>
        <v>0</v>
      </c>
      <c r="G3497" t="s">
        <v>2300</v>
      </c>
      <c r="H3497" t="s">
        <v>6895</v>
      </c>
      <c r="I3497" t="s">
        <v>10166</v>
      </c>
      <c r="J3497" t="s">
        <v>12957</v>
      </c>
      <c r="K3497" t="s">
        <v>17364</v>
      </c>
      <c r="L3497">
        <f>HYPERLINK("https://www2.assemblee-nationale.fr/sycomore/fiche/(num_dept)/2144", "2144")</f>
        <v>0</v>
      </c>
      <c r="N3497">
        <f>HYPERLINK("https://www.wikidata.org/wiki/Q16025520", "Q16025520")</f>
        <v>0</v>
      </c>
      <c r="O3497" t="s">
        <v>20027</v>
      </c>
      <c r="P3497" t="s">
        <v>20428</v>
      </c>
      <c r="Q3497" t="s">
        <v>16199</v>
      </c>
      <c r="R3497" t="s">
        <v>414</v>
      </c>
      <c r="S3497">
        <v>1484</v>
      </c>
    </row>
    <row r="3498" spans="1:19">
      <c r="A3498" t="s">
        <v>24</v>
      </c>
      <c r="B3498" t="s">
        <v>148</v>
      </c>
      <c r="C3498" t="s">
        <v>156</v>
      </c>
      <c r="D3498" t="s">
        <v>285</v>
      </c>
      <c r="E3498" t="s">
        <v>414</v>
      </c>
      <c r="F3498">
        <f>HYPERLINK("https://www.wikidata.org/wiki/Q16683508", "Q16683508")</f>
        <v>0</v>
      </c>
      <c r="G3498" t="s">
        <v>1924</v>
      </c>
      <c r="H3498" t="s">
        <v>6571</v>
      </c>
      <c r="I3498" t="s">
        <v>9523</v>
      </c>
      <c r="J3498" t="s">
        <v>12609</v>
      </c>
      <c r="K3498" t="s">
        <v>17020</v>
      </c>
      <c r="L3498">
        <f>HYPERLINK("https://www2.assemblee-nationale.fr/sycomore/fiche/(num_dept)/2184", "2184")</f>
        <v>0</v>
      </c>
      <c r="N3498">
        <f>HYPERLINK("https://www.wikidata.org/wiki/Q686084", "Q686084")</f>
        <v>0</v>
      </c>
      <c r="O3498" t="s">
        <v>19969</v>
      </c>
      <c r="P3498" t="s">
        <v>20436</v>
      </c>
      <c r="Q3498" t="s">
        <v>16199</v>
      </c>
      <c r="R3498" t="s">
        <v>414</v>
      </c>
      <c r="S3498">
        <v>1484</v>
      </c>
    </row>
    <row r="3499" spans="1:19">
      <c r="A3499" t="s">
        <v>24</v>
      </c>
      <c r="B3499" t="s">
        <v>148</v>
      </c>
      <c r="C3499" t="s">
        <v>156</v>
      </c>
      <c r="D3499" t="s">
        <v>285</v>
      </c>
      <c r="E3499" t="s">
        <v>414</v>
      </c>
      <c r="F3499">
        <f>HYPERLINK("https://www.wikidata.org/wiki/Q16683508", "Q16683508")</f>
        <v>0</v>
      </c>
      <c r="G3499" t="s">
        <v>2043</v>
      </c>
      <c r="H3499" t="s">
        <v>6675</v>
      </c>
      <c r="I3499" t="s">
        <v>7911</v>
      </c>
      <c r="J3499" t="s">
        <v>12716</v>
      </c>
      <c r="K3499" t="s">
        <v>17127</v>
      </c>
      <c r="L3499">
        <f>HYPERLINK("https://www2.assemblee-nationale.fr/sycomore/fiche/(num_dept)/2197", "2197")</f>
        <v>0</v>
      </c>
      <c r="N3499">
        <f>HYPERLINK("https://www.wikidata.org/wiki/Q2364557", "Q2364557")</f>
        <v>0</v>
      </c>
      <c r="O3499" t="s">
        <v>19977</v>
      </c>
      <c r="P3499" t="s">
        <v>20404</v>
      </c>
      <c r="Q3499" t="s">
        <v>16199</v>
      </c>
      <c r="R3499" t="s">
        <v>414</v>
      </c>
      <c r="S3499">
        <v>1484</v>
      </c>
    </row>
    <row r="3500" spans="1:19">
      <c r="A3500" t="s">
        <v>24</v>
      </c>
      <c r="B3500" t="s">
        <v>148</v>
      </c>
      <c r="C3500" t="s">
        <v>156</v>
      </c>
      <c r="D3500" t="s">
        <v>285</v>
      </c>
      <c r="E3500" t="s">
        <v>414</v>
      </c>
      <c r="F3500">
        <f>HYPERLINK("https://www.wikidata.org/wiki/Q16683508", "Q16683508")</f>
        <v>0</v>
      </c>
      <c r="G3500" t="s">
        <v>2301</v>
      </c>
      <c r="H3500" t="s">
        <v>6896</v>
      </c>
      <c r="I3500" t="s">
        <v>7642</v>
      </c>
      <c r="J3500" t="s">
        <v>12958</v>
      </c>
      <c r="K3500" t="s">
        <v>17365</v>
      </c>
      <c r="L3500">
        <f>HYPERLINK("https://www2.assemblee-nationale.fr/sycomore/fiche/(num_dept)/2243", "2243")</f>
        <v>0</v>
      </c>
      <c r="N3500">
        <f>HYPERLINK("https://www.wikidata.org/wiki/Q2425057", "Q2425057")</f>
        <v>0</v>
      </c>
      <c r="O3500" t="s">
        <v>20012</v>
      </c>
      <c r="P3500" t="s">
        <v>20428</v>
      </c>
      <c r="Q3500" t="s">
        <v>16199</v>
      </c>
      <c r="R3500" t="s">
        <v>414</v>
      </c>
      <c r="S3500">
        <v>1484</v>
      </c>
    </row>
    <row r="3501" spans="1:19">
      <c r="A3501" t="s">
        <v>24</v>
      </c>
      <c r="B3501" t="s">
        <v>148</v>
      </c>
      <c r="C3501" t="s">
        <v>156</v>
      </c>
      <c r="D3501" t="s">
        <v>285</v>
      </c>
      <c r="E3501" t="s">
        <v>414</v>
      </c>
      <c r="F3501">
        <f>HYPERLINK("https://www.wikidata.org/wiki/Q16683508", "Q16683508")</f>
        <v>0</v>
      </c>
      <c r="G3501" t="s">
        <v>2046</v>
      </c>
      <c r="H3501" t="s">
        <v>6677</v>
      </c>
      <c r="I3501" t="s">
        <v>6860</v>
      </c>
      <c r="J3501" t="s">
        <v>12719</v>
      </c>
      <c r="K3501" t="s">
        <v>17130</v>
      </c>
      <c r="L3501">
        <f>HYPERLINK("https://www2.assemblee-nationale.fr/sycomore/fiche/(num_dept)/2286", "2286")</f>
        <v>0</v>
      </c>
      <c r="N3501">
        <f>HYPERLINK("https://www.wikidata.org/wiki/Q3384681", "Q3384681")</f>
        <v>0</v>
      </c>
      <c r="O3501" t="s">
        <v>20013</v>
      </c>
      <c r="P3501" t="s">
        <v>20404</v>
      </c>
      <c r="Q3501" t="s">
        <v>16199</v>
      </c>
      <c r="R3501" t="s">
        <v>414</v>
      </c>
      <c r="S3501">
        <v>1484</v>
      </c>
    </row>
    <row r="3502" spans="1:19">
      <c r="A3502" t="s">
        <v>24</v>
      </c>
      <c r="B3502" t="s">
        <v>148</v>
      </c>
      <c r="C3502" t="s">
        <v>156</v>
      </c>
      <c r="D3502" t="s">
        <v>285</v>
      </c>
      <c r="E3502" t="s">
        <v>414</v>
      </c>
      <c r="F3502">
        <f>HYPERLINK("https://www.wikidata.org/wiki/Q16683508", "Q16683508")</f>
        <v>0</v>
      </c>
      <c r="G3502" t="s">
        <v>2047</v>
      </c>
      <c r="H3502" t="s">
        <v>6678</v>
      </c>
      <c r="I3502" t="s">
        <v>7642</v>
      </c>
      <c r="J3502" t="s">
        <v>12720</v>
      </c>
      <c r="K3502" t="s">
        <v>17131</v>
      </c>
      <c r="L3502">
        <f>HYPERLINK("https://www2.assemblee-nationale.fr/sycomore/fiche/(num_dept)/2303", "2303")</f>
        <v>0</v>
      </c>
      <c r="N3502">
        <f>HYPERLINK("https://www.wikidata.org/wiki/Q3300659", "Q3300659")</f>
        <v>0</v>
      </c>
      <c r="O3502" t="s">
        <v>20013</v>
      </c>
      <c r="P3502" t="s">
        <v>20401</v>
      </c>
      <c r="Q3502" t="s">
        <v>16199</v>
      </c>
      <c r="R3502" t="s">
        <v>414</v>
      </c>
      <c r="S3502">
        <v>1484</v>
      </c>
    </row>
    <row r="3503" spans="1:19">
      <c r="A3503" t="s">
        <v>24</v>
      </c>
      <c r="B3503" t="s">
        <v>148</v>
      </c>
      <c r="C3503" t="s">
        <v>156</v>
      </c>
      <c r="D3503" t="s">
        <v>285</v>
      </c>
      <c r="E3503" t="s">
        <v>414</v>
      </c>
      <c r="F3503">
        <f>HYPERLINK("https://www.wikidata.org/wiki/Q16683508", "Q16683508")</f>
        <v>0</v>
      </c>
      <c r="G3503" t="s">
        <v>2302</v>
      </c>
      <c r="H3503" t="s">
        <v>5895</v>
      </c>
      <c r="I3503" t="s">
        <v>7642</v>
      </c>
      <c r="J3503" t="s">
        <v>12959</v>
      </c>
      <c r="K3503" t="s">
        <v>17366</v>
      </c>
      <c r="L3503">
        <f>HYPERLINK("https://www2.assemblee-nationale.fr/sycomore/fiche/(num_dept)/2324", "2324")</f>
        <v>0</v>
      </c>
      <c r="N3503">
        <f>HYPERLINK("https://www.wikidata.org/wiki/Q3300664", "Q3300664")</f>
        <v>0</v>
      </c>
      <c r="O3503" t="s">
        <v>19970</v>
      </c>
      <c r="P3503" t="s">
        <v>20434</v>
      </c>
      <c r="Q3503" t="s">
        <v>16199</v>
      </c>
      <c r="R3503" t="s">
        <v>414</v>
      </c>
      <c r="S3503">
        <v>1484</v>
      </c>
    </row>
    <row r="3504" spans="1:19">
      <c r="A3504" t="s">
        <v>24</v>
      </c>
      <c r="B3504" t="s">
        <v>148</v>
      </c>
      <c r="C3504" t="s">
        <v>156</v>
      </c>
      <c r="D3504" t="s">
        <v>285</v>
      </c>
      <c r="E3504" t="s">
        <v>414</v>
      </c>
      <c r="F3504">
        <f>HYPERLINK("https://www.wikidata.org/wiki/Q16683508", "Q16683508")</f>
        <v>0</v>
      </c>
      <c r="G3504" t="s">
        <v>2303</v>
      </c>
      <c r="H3504" t="s">
        <v>6897</v>
      </c>
      <c r="I3504" t="s">
        <v>5528</v>
      </c>
      <c r="J3504" t="s">
        <v>12960</v>
      </c>
      <c r="K3504" t="s">
        <v>17367</v>
      </c>
      <c r="L3504">
        <f>HYPERLINK("https://www2.assemblee-nationale.fr/sycomore/fiche/(num_dept)/2347", "2347")</f>
        <v>0</v>
      </c>
      <c r="N3504">
        <f>HYPERLINK("https://www.wikidata.org/wiki/Q16025562", "Q16025562")</f>
        <v>0</v>
      </c>
      <c r="O3504" t="s">
        <v>20013</v>
      </c>
      <c r="P3504" t="s">
        <v>20412</v>
      </c>
      <c r="Q3504" t="s">
        <v>16199</v>
      </c>
      <c r="R3504" t="s">
        <v>414</v>
      </c>
      <c r="S3504">
        <v>1484</v>
      </c>
    </row>
    <row r="3505" spans="1:19">
      <c r="A3505" t="s">
        <v>24</v>
      </c>
      <c r="B3505" t="s">
        <v>148</v>
      </c>
      <c r="C3505" t="s">
        <v>156</v>
      </c>
      <c r="D3505" t="s">
        <v>285</v>
      </c>
      <c r="E3505" t="s">
        <v>414</v>
      </c>
      <c r="F3505">
        <f>HYPERLINK("https://www.wikidata.org/wiki/Q16683508", "Q16683508")</f>
        <v>0</v>
      </c>
      <c r="G3505" t="s">
        <v>2304</v>
      </c>
      <c r="H3505" t="s">
        <v>5834</v>
      </c>
      <c r="I3505" t="s">
        <v>6175</v>
      </c>
      <c r="J3505" t="s">
        <v>12961</v>
      </c>
      <c r="K3505" t="s">
        <v>17368</v>
      </c>
      <c r="L3505">
        <f>HYPERLINK("https://www2.assemblee-nationale.fr/sycomore/fiche/(num_dept)/2380", "2380")</f>
        <v>0</v>
      </c>
      <c r="N3505">
        <f>HYPERLINK("https://www.wikidata.org/wiki/Q3102593", "Q3102593")</f>
        <v>0</v>
      </c>
      <c r="O3505" t="s">
        <v>19984</v>
      </c>
      <c r="P3505" t="s">
        <v>20412</v>
      </c>
      <c r="Q3505" t="s">
        <v>16199</v>
      </c>
      <c r="R3505" t="s">
        <v>414</v>
      </c>
      <c r="S3505">
        <v>1484</v>
      </c>
    </row>
    <row r="3506" spans="1:19">
      <c r="A3506" t="s">
        <v>24</v>
      </c>
      <c r="B3506" t="s">
        <v>148</v>
      </c>
      <c r="C3506" t="s">
        <v>156</v>
      </c>
      <c r="D3506" t="s">
        <v>285</v>
      </c>
      <c r="E3506" t="s">
        <v>414</v>
      </c>
      <c r="F3506">
        <f>HYPERLINK("https://www.wikidata.org/wiki/Q16683508", "Q16683508")</f>
        <v>0</v>
      </c>
      <c r="G3506" t="s">
        <v>2305</v>
      </c>
      <c r="H3506" t="s">
        <v>5373</v>
      </c>
      <c r="I3506" t="s">
        <v>10167</v>
      </c>
      <c r="J3506" t="s">
        <v>12962</v>
      </c>
      <c r="K3506" t="s">
        <v>17369</v>
      </c>
      <c r="L3506">
        <f>HYPERLINK("https://www2.assemblee-nationale.fr/sycomore/fiche/(num_dept)/2424", "2424")</f>
        <v>0</v>
      </c>
      <c r="N3506">
        <f>HYPERLINK("https://www.wikidata.org/wiki/Q3171703", "Q3171703")</f>
        <v>0</v>
      </c>
      <c r="O3506" t="s">
        <v>19971</v>
      </c>
      <c r="P3506" t="s">
        <v>20431</v>
      </c>
      <c r="Q3506" t="s">
        <v>16199</v>
      </c>
      <c r="R3506" t="s">
        <v>414</v>
      </c>
      <c r="S3506">
        <v>1484</v>
      </c>
    </row>
    <row r="3507" spans="1:19">
      <c r="A3507" t="s">
        <v>24</v>
      </c>
      <c r="B3507" t="s">
        <v>148</v>
      </c>
      <c r="C3507" t="s">
        <v>156</v>
      </c>
      <c r="D3507" t="s">
        <v>285</v>
      </c>
      <c r="E3507" t="s">
        <v>414</v>
      </c>
      <c r="F3507">
        <f>HYPERLINK("https://www.wikidata.org/wiki/Q16683508", "Q16683508")</f>
        <v>0</v>
      </c>
      <c r="G3507" t="s">
        <v>2306</v>
      </c>
      <c r="H3507" t="s">
        <v>6898</v>
      </c>
      <c r="I3507" t="s">
        <v>10168</v>
      </c>
      <c r="J3507" t="s">
        <v>12963</v>
      </c>
      <c r="K3507" t="s">
        <v>17370</v>
      </c>
      <c r="L3507">
        <f>HYPERLINK("https://www2.assemblee-nationale.fr/sycomore/fiche/(num_dept)/2428", "2428")</f>
        <v>0</v>
      </c>
      <c r="N3507">
        <f>HYPERLINK("https://www.wikidata.org/wiki/Q3261713", "Q3261713")</f>
        <v>0</v>
      </c>
      <c r="O3507" t="s">
        <v>19975</v>
      </c>
      <c r="P3507" t="s">
        <v>20436</v>
      </c>
      <c r="Q3507" t="s">
        <v>16199</v>
      </c>
      <c r="R3507" t="s">
        <v>414</v>
      </c>
      <c r="S3507">
        <v>1484</v>
      </c>
    </row>
    <row r="3508" spans="1:19">
      <c r="A3508" t="s">
        <v>24</v>
      </c>
      <c r="B3508" t="s">
        <v>148</v>
      </c>
      <c r="C3508" t="s">
        <v>156</v>
      </c>
      <c r="D3508" t="s">
        <v>285</v>
      </c>
      <c r="E3508" t="s">
        <v>414</v>
      </c>
      <c r="F3508">
        <f>HYPERLINK("https://www.wikidata.org/wiki/Q16683508", "Q16683508")</f>
        <v>0</v>
      </c>
      <c r="G3508" t="s">
        <v>2307</v>
      </c>
      <c r="H3508" t="s">
        <v>6899</v>
      </c>
      <c r="I3508" t="s">
        <v>9516</v>
      </c>
      <c r="J3508" t="s">
        <v>12964</v>
      </c>
      <c r="K3508" t="s">
        <v>17371</v>
      </c>
      <c r="L3508">
        <f>HYPERLINK("https://www2.assemblee-nationale.fr/sycomore/fiche/(num_dept)/2433", "2433")</f>
        <v>0</v>
      </c>
      <c r="N3508">
        <f>HYPERLINK("https://www.wikidata.org/wiki/Q16025577", "Q16025577")</f>
        <v>0</v>
      </c>
      <c r="O3508" t="s">
        <v>19997</v>
      </c>
      <c r="P3508" t="s">
        <v>20428</v>
      </c>
      <c r="Q3508" t="s">
        <v>16199</v>
      </c>
      <c r="R3508" t="s">
        <v>414</v>
      </c>
      <c r="S3508">
        <v>1484</v>
      </c>
    </row>
    <row r="3509" spans="1:19">
      <c r="A3509" t="s">
        <v>24</v>
      </c>
      <c r="B3509" t="s">
        <v>148</v>
      </c>
      <c r="C3509" t="s">
        <v>156</v>
      </c>
      <c r="D3509" t="s">
        <v>285</v>
      </c>
      <c r="E3509" t="s">
        <v>414</v>
      </c>
      <c r="F3509">
        <f>HYPERLINK("https://www.wikidata.org/wiki/Q16683508", "Q16683508")</f>
        <v>0</v>
      </c>
      <c r="G3509" t="s">
        <v>2308</v>
      </c>
      <c r="H3509" t="s">
        <v>6900</v>
      </c>
      <c r="I3509" t="s">
        <v>9483</v>
      </c>
      <c r="J3509" t="s">
        <v>12965</v>
      </c>
      <c r="K3509" t="s">
        <v>17372</v>
      </c>
      <c r="L3509">
        <f>HYPERLINK("https://www2.assemblee-nationale.fr/sycomore/fiche/(num_dept)/2452", "2452")</f>
        <v>0</v>
      </c>
      <c r="N3509">
        <f>HYPERLINK("https://www.wikidata.org/wiki/Q16025583", "Q16025583")</f>
        <v>0</v>
      </c>
      <c r="O3509" t="s">
        <v>20013</v>
      </c>
      <c r="P3509" t="s">
        <v>20401</v>
      </c>
      <c r="Q3509" t="s">
        <v>16199</v>
      </c>
      <c r="R3509" t="s">
        <v>414</v>
      </c>
      <c r="S3509">
        <v>1484</v>
      </c>
    </row>
    <row r="3510" spans="1:19">
      <c r="A3510" t="s">
        <v>24</v>
      </c>
      <c r="B3510" t="s">
        <v>148</v>
      </c>
      <c r="C3510" t="s">
        <v>156</v>
      </c>
      <c r="D3510" t="s">
        <v>285</v>
      </c>
      <c r="E3510" t="s">
        <v>414</v>
      </c>
      <c r="F3510">
        <f>HYPERLINK("https://www.wikidata.org/wiki/Q16683508", "Q16683508")</f>
        <v>0</v>
      </c>
      <c r="G3510" t="s">
        <v>2309</v>
      </c>
      <c r="H3510" t="s">
        <v>6851</v>
      </c>
      <c r="I3510" t="s">
        <v>7642</v>
      </c>
      <c r="J3510" t="s">
        <v>12966</v>
      </c>
      <c r="K3510" t="s">
        <v>17373</v>
      </c>
      <c r="L3510">
        <f>HYPERLINK("https://www2.assemblee-nationale.fr/sycomore/fiche/(num_dept)/2467", "2467")</f>
        <v>0</v>
      </c>
      <c r="N3510">
        <f>HYPERLINK("https://www.wikidata.org/wiki/Q3300686", "Q3300686")</f>
        <v>0</v>
      </c>
      <c r="O3510" t="s">
        <v>20013</v>
      </c>
      <c r="P3510" t="s">
        <v>20404</v>
      </c>
      <c r="Q3510" t="s">
        <v>16199</v>
      </c>
      <c r="R3510" t="s">
        <v>414</v>
      </c>
      <c r="S3510">
        <v>1484</v>
      </c>
    </row>
    <row r="3511" spans="1:19">
      <c r="A3511" t="s">
        <v>24</v>
      </c>
      <c r="B3511" t="s">
        <v>148</v>
      </c>
      <c r="C3511" t="s">
        <v>156</v>
      </c>
      <c r="D3511" t="s">
        <v>285</v>
      </c>
      <c r="E3511" t="s">
        <v>414</v>
      </c>
      <c r="F3511">
        <f>HYPERLINK("https://www.wikidata.org/wiki/Q16683508", "Q16683508")</f>
        <v>0</v>
      </c>
      <c r="G3511" t="s">
        <v>2310</v>
      </c>
      <c r="H3511" t="s">
        <v>6901</v>
      </c>
      <c r="I3511" t="s">
        <v>10169</v>
      </c>
      <c r="J3511" t="s">
        <v>12967</v>
      </c>
      <c r="K3511" t="s">
        <v>17374</v>
      </c>
      <c r="L3511">
        <f>HYPERLINK("https://www2.assemblee-nationale.fr/sycomore/fiche/(num_dept)/2487", "2487")</f>
        <v>0</v>
      </c>
      <c r="N3511">
        <f>HYPERLINK("https://www.wikidata.org/wiki/Q3503513", "Q3503513")</f>
        <v>0</v>
      </c>
      <c r="O3511" t="s">
        <v>20013</v>
      </c>
      <c r="P3511" t="s">
        <v>20424</v>
      </c>
      <c r="Q3511" t="s">
        <v>16199</v>
      </c>
      <c r="R3511" t="s">
        <v>414</v>
      </c>
      <c r="S3511">
        <v>1484</v>
      </c>
    </row>
    <row r="3512" spans="1:19">
      <c r="A3512" t="s">
        <v>24</v>
      </c>
      <c r="B3512" t="s">
        <v>148</v>
      </c>
      <c r="C3512" t="s">
        <v>156</v>
      </c>
      <c r="D3512" t="s">
        <v>285</v>
      </c>
      <c r="E3512" t="s">
        <v>414</v>
      </c>
      <c r="F3512">
        <f>HYPERLINK("https://www.wikidata.org/wiki/Q16683508", "Q16683508")</f>
        <v>0</v>
      </c>
      <c r="G3512" t="s">
        <v>2311</v>
      </c>
      <c r="H3512" t="s">
        <v>6902</v>
      </c>
      <c r="I3512" t="s">
        <v>9756</v>
      </c>
      <c r="J3512" t="s">
        <v>12968</v>
      </c>
      <c r="K3512" t="s">
        <v>17375</v>
      </c>
      <c r="L3512">
        <f>HYPERLINK("https://www2.assemblee-nationale.fr/sycomore/fiche/(num_dept)/2510", "2510")</f>
        <v>0</v>
      </c>
      <c r="N3512">
        <f>HYPERLINK("https://www.wikidata.org/wiki/Q3263438", "Q3263438")</f>
        <v>0</v>
      </c>
      <c r="O3512" t="s">
        <v>19968</v>
      </c>
      <c r="P3512" t="s">
        <v>20412</v>
      </c>
      <c r="Q3512" t="s">
        <v>16199</v>
      </c>
      <c r="R3512" t="s">
        <v>414</v>
      </c>
      <c r="S3512">
        <v>1484</v>
      </c>
    </row>
    <row r="3513" spans="1:19">
      <c r="A3513" t="s">
        <v>24</v>
      </c>
      <c r="B3513" t="s">
        <v>148</v>
      </c>
      <c r="C3513" t="s">
        <v>156</v>
      </c>
      <c r="D3513" t="s">
        <v>285</v>
      </c>
      <c r="E3513" t="s">
        <v>414</v>
      </c>
      <c r="F3513">
        <f>HYPERLINK("https://www.wikidata.org/wiki/Q16683508", "Q16683508")</f>
        <v>0</v>
      </c>
      <c r="G3513" t="s">
        <v>2055</v>
      </c>
      <c r="H3513" t="s">
        <v>6686</v>
      </c>
      <c r="I3513" t="s">
        <v>9483</v>
      </c>
      <c r="J3513" t="s">
        <v>12727</v>
      </c>
      <c r="K3513" t="s">
        <v>17137</v>
      </c>
      <c r="L3513">
        <f>HYPERLINK("https://www2.assemblee-nationale.fr/sycomore/fiche/(num_dept)/2529", "2529")</f>
        <v>0</v>
      </c>
      <c r="N3513">
        <f>HYPERLINK("https://www.wikidata.org/wiki/Q16025603", "Q16025603")</f>
        <v>0</v>
      </c>
      <c r="O3513" t="s">
        <v>20050</v>
      </c>
      <c r="P3513" t="s">
        <v>20434</v>
      </c>
      <c r="Q3513" t="s">
        <v>16199</v>
      </c>
      <c r="R3513" t="s">
        <v>414</v>
      </c>
      <c r="S3513">
        <v>1484</v>
      </c>
    </row>
    <row r="3514" spans="1:19">
      <c r="A3514" t="s">
        <v>24</v>
      </c>
      <c r="B3514" t="s">
        <v>148</v>
      </c>
      <c r="C3514" t="s">
        <v>156</v>
      </c>
      <c r="D3514" t="s">
        <v>285</v>
      </c>
      <c r="E3514" t="s">
        <v>414</v>
      </c>
      <c r="F3514">
        <f>HYPERLINK("https://www.wikidata.org/wiki/Q16683508", "Q16683508")</f>
        <v>0</v>
      </c>
      <c r="G3514" t="s">
        <v>2312</v>
      </c>
      <c r="H3514" t="s">
        <v>6903</v>
      </c>
      <c r="I3514" t="s">
        <v>9476</v>
      </c>
      <c r="J3514" t="s">
        <v>12969</v>
      </c>
      <c r="K3514" t="s">
        <v>17376</v>
      </c>
      <c r="L3514">
        <f>HYPERLINK("https://www2.assemblee-nationale.fr/sycomore/fiche/(num_dept)/2543", "2543")</f>
        <v>0</v>
      </c>
      <c r="N3514">
        <f>HYPERLINK("https://www.wikidata.org/wiki/Q3426105", "Q3426105")</f>
        <v>0</v>
      </c>
      <c r="O3514" t="s">
        <v>19969</v>
      </c>
      <c r="P3514" t="s">
        <v>20420</v>
      </c>
      <c r="Q3514" t="s">
        <v>16199</v>
      </c>
      <c r="R3514" t="s">
        <v>414</v>
      </c>
      <c r="S3514">
        <v>1484</v>
      </c>
    </row>
    <row r="3515" spans="1:19">
      <c r="A3515" t="s">
        <v>24</v>
      </c>
      <c r="B3515" t="s">
        <v>148</v>
      </c>
      <c r="C3515" t="s">
        <v>156</v>
      </c>
      <c r="D3515" t="s">
        <v>285</v>
      </c>
      <c r="E3515" t="s">
        <v>414</v>
      </c>
      <c r="F3515">
        <f>HYPERLINK("https://www.wikidata.org/wiki/Q16683508", "Q16683508")</f>
        <v>0</v>
      </c>
      <c r="G3515" t="s">
        <v>2057</v>
      </c>
      <c r="H3515" t="s">
        <v>6688</v>
      </c>
      <c r="I3515" t="s">
        <v>7642</v>
      </c>
      <c r="J3515" t="s">
        <v>12729</v>
      </c>
      <c r="K3515" t="s">
        <v>17139</v>
      </c>
      <c r="L3515">
        <f>HYPERLINK("https://www2.assemblee-nationale.fr/sycomore/fiche/(num_dept)/2558", "2558")</f>
        <v>0</v>
      </c>
      <c r="M3515">
        <f>HYPERLINK("https://www.senat.fr/senateur-3eme-republique/dormann_maurice1649r3.html", "dormann_maurice1649r3")</f>
        <v>0</v>
      </c>
      <c r="N3515">
        <f>HYPERLINK("https://www.wikidata.org/wiki/Q3300704", "Q3300704")</f>
        <v>0</v>
      </c>
      <c r="O3515" t="s">
        <v>19976</v>
      </c>
      <c r="P3515" t="s">
        <v>20431</v>
      </c>
      <c r="Q3515" t="s">
        <v>16199</v>
      </c>
      <c r="R3515" t="s">
        <v>414</v>
      </c>
      <c r="S3515">
        <v>1484</v>
      </c>
    </row>
    <row r="3516" spans="1:19">
      <c r="A3516" t="s">
        <v>24</v>
      </c>
      <c r="B3516" t="s">
        <v>148</v>
      </c>
      <c r="C3516" t="s">
        <v>156</v>
      </c>
      <c r="D3516" t="s">
        <v>285</v>
      </c>
      <c r="E3516" t="s">
        <v>414</v>
      </c>
      <c r="F3516">
        <f>HYPERLINK("https://www.wikidata.org/wiki/Q16683508", "Q16683508")</f>
        <v>0</v>
      </c>
      <c r="G3516" t="s">
        <v>2313</v>
      </c>
      <c r="H3516" t="s">
        <v>6904</v>
      </c>
      <c r="I3516" t="s">
        <v>9401</v>
      </c>
      <c r="J3516" t="s">
        <v>12970</v>
      </c>
      <c r="K3516" t="s">
        <v>17377</v>
      </c>
      <c r="L3516">
        <f>HYPERLINK("https://www2.assemblee-nationale.fr/sycomore/fiche/(num_dept)/2628", "2628")</f>
        <v>0</v>
      </c>
      <c r="N3516">
        <f>HYPERLINK("https://www.wikidata.org/wiki/Q2853883", "Q2853883")</f>
        <v>0</v>
      </c>
      <c r="O3516" t="s">
        <v>19995</v>
      </c>
      <c r="P3516" t="s">
        <v>20440</v>
      </c>
      <c r="Q3516" t="s">
        <v>16199</v>
      </c>
      <c r="R3516" t="s">
        <v>414</v>
      </c>
      <c r="S3516">
        <v>1484</v>
      </c>
    </row>
    <row r="3517" spans="1:19">
      <c r="A3517" t="s">
        <v>24</v>
      </c>
      <c r="B3517" t="s">
        <v>148</v>
      </c>
      <c r="C3517" t="s">
        <v>156</v>
      </c>
      <c r="D3517" t="s">
        <v>285</v>
      </c>
      <c r="E3517" t="s">
        <v>414</v>
      </c>
      <c r="F3517">
        <f>HYPERLINK("https://www.wikidata.org/wiki/Q16683508", "Q16683508")</f>
        <v>0</v>
      </c>
      <c r="G3517" t="s">
        <v>2314</v>
      </c>
      <c r="H3517" t="s">
        <v>6905</v>
      </c>
      <c r="I3517" t="s">
        <v>10170</v>
      </c>
      <c r="J3517" t="s">
        <v>12971</v>
      </c>
      <c r="K3517" t="s">
        <v>17378</v>
      </c>
      <c r="L3517">
        <f>HYPERLINK("https://www2.assemblee-nationale.fr/sycomore/fiche/(num_dept)/2647", "2647")</f>
        <v>0</v>
      </c>
      <c r="N3517">
        <f>HYPERLINK("https://www.wikidata.org/wiki/Q3384828", "Q3384828")</f>
        <v>0</v>
      </c>
      <c r="O3517" t="s">
        <v>20009</v>
      </c>
      <c r="P3517" t="s">
        <v>20409</v>
      </c>
      <c r="Q3517" t="s">
        <v>16199</v>
      </c>
      <c r="R3517" t="s">
        <v>414</v>
      </c>
      <c r="S3517">
        <v>1484</v>
      </c>
    </row>
    <row r="3518" spans="1:19">
      <c r="A3518" t="s">
        <v>24</v>
      </c>
      <c r="B3518" t="s">
        <v>148</v>
      </c>
      <c r="C3518" t="s">
        <v>156</v>
      </c>
      <c r="D3518" t="s">
        <v>285</v>
      </c>
      <c r="E3518" t="s">
        <v>414</v>
      </c>
      <c r="F3518">
        <f>HYPERLINK("https://www.wikidata.org/wiki/Q16683508", "Q16683508")</f>
        <v>0</v>
      </c>
      <c r="G3518" t="s">
        <v>1444</v>
      </c>
      <c r="H3518" t="s">
        <v>6145</v>
      </c>
      <c r="I3518" t="s">
        <v>9472</v>
      </c>
      <c r="J3518" t="s">
        <v>12165</v>
      </c>
      <c r="K3518" t="s">
        <v>16570</v>
      </c>
      <c r="L3518">
        <f>HYPERLINK("https://www2.assemblee-nationale.fr/sycomore/fiche/(num_dept)/2655", "2655")</f>
        <v>0</v>
      </c>
      <c r="N3518">
        <f>HYPERLINK("https://www.wikidata.org/wiki/Q3136053", "Q3136053")</f>
        <v>0</v>
      </c>
      <c r="O3518" t="s">
        <v>20016</v>
      </c>
      <c r="P3518" t="s">
        <v>20428</v>
      </c>
      <c r="Q3518" t="s">
        <v>16199</v>
      </c>
      <c r="R3518" t="s">
        <v>414</v>
      </c>
      <c r="S3518">
        <v>1484</v>
      </c>
    </row>
    <row r="3519" spans="1:19">
      <c r="A3519" t="s">
        <v>24</v>
      </c>
      <c r="B3519" t="s">
        <v>148</v>
      </c>
      <c r="C3519" t="s">
        <v>156</v>
      </c>
      <c r="D3519" t="s">
        <v>285</v>
      </c>
      <c r="E3519" t="s">
        <v>414</v>
      </c>
      <c r="F3519">
        <f>HYPERLINK("https://www.wikidata.org/wiki/Q16683508", "Q16683508")</f>
        <v>0</v>
      </c>
      <c r="G3519" t="s">
        <v>2315</v>
      </c>
      <c r="H3519" t="s">
        <v>6906</v>
      </c>
      <c r="I3519" t="s">
        <v>10171</v>
      </c>
      <c r="J3519" t="s">
        <v>12972</v>
      </c>
      <c r="K3519" t="s">
        <v>17379</v>
      </c>
      <c r="L3519">
        <f>HYPERLINK("https://www2.assemblee-nationale.fr/sycomore/fiche/(num_dept)/2708", "2708")</f>
        <v>0</v>
      </c>
      <c r="N3519">
        <f>HYPERLINK("https://www.wikidata.org/wiki/Q16025642", "Q16025642")</f>
        <v>0</v>
      </c>
      <c r="O3519" t="s">
        <v>20039</v>
      </c>
      <c r="P3519" t="s">
        <v>20401</v>
      </c>
      <c r="Q3519" t="s">
        <v>16199</v>
      </c>
      <c r="R3519" t="s">
        <v>414</v>
      </c>
      <c r="S3519">
        <v>1484</v>
      </c>
    </row>
    <row r="3520" spans="1:19">
      <c r="A3520" t="s">
        <v>24</v>
      </c>
      <c r="B3520" t="s">
        <v>148</v>
      </c>
      <c r="C3520" t="s">
        <v>156</v>
      </c>
      <c r="D3520" t="s">
        <v>285</v>
      </c>
      <c r="E3520" t="s">
        <v>414</v>
      </c>
      <c r="F3520">
        <f>HYPERLINK("https://www.wikidata.org/wiki/Q16683508", "Q16683508")</f>
        <v>0</v>
      </c>
      <c r="G3520" t="s">
        <v>2316</v>
      </c>
      <c r="H3520" t="s">
        <v>6907</v>
      </c>
      <c r="I3520" t="s">
        <v>10172</v>
      </c>
      <c r="J3520" t="s">
        <v>12973</v>
      </c>
      <c r="K3520" t="s">
        <v>17380</v>
      </c>
      <c r="L3520">
        <f>HYPERLINK("https://www2.assemblee-nationale.fr/sycomore/fiche/(num_dept)/2729", "2729")</f>
        <v>0</v>
      </c>
      <c r="N3520">
        <f>HYPERLINK("https://www.wikidata.org/wiki/Q3426146", "Q3426146")</f>
        <v>0</v>
      </c>
      <c r="O3520" t="s">
        <v>19957</v>
      </c>
      <c r="P3520" t="s">
        <v>20437</v>
      </c>
      <c r="Q3520" t="s">
        <v>16199</v>
      </c>
      <c r="R3520" t="s">
        <v>17380</v>
      </c>
      <c r="S3520">
        <v>409</v>
      </c>
    </row>
    <row r="3521" spans="1:19">
      <c r="A3521" t="s">
        <v>24</v>
      </c>
      <c r="B3521" t="s">
        <v>148</v>
      </c>
      <c r="C3521" t="s">
        <v>156</v>
      </c>
      <c r="D3521" t="s">
        <v>285</v>
      </c>
      <c r="E3521" t="s">
        <v>414</v>
      </c>
      <c r="F3521">
        <f>HYPERLINK("https://www.wikidata.org/wiki/Q16683508", "Q16683508")</f>
        <v>0</v>
      </c>
      <c r="G3521" t="s">
        <v>2317</v>
      </c>
      <c r="H3521" t="s">
        <v>6908</v>
      </c>
      <c r="I3521" t="s">
        <v>9620</v>
      </c>
      <c r="J3521" t="s">
        <v>12974</v>
      </c>
      <c r="K3521" t="s">
        <v>17381</v>
      </c>
      <c r="L3521">
        <f>HYPERLINK("https://www2.assemblee-nationale.fr/sycomore/fiche/(num_dept)/2732", "2732")</f>
        <v>0</v>
      </c>
      <c r="N3521">
        <f>HYPERLINK("https://www.wikidata.org/wiki/Q3270049", "Q3270049")</f>
        <v>0</v>
      </c>
      <c r="O3521" t="s">
        <v>20013</v>
      </c>
      <c r="P3521" t="s">
        <v>20404</v>
      </c>
      <c r="Q3521" t="s">
        <v>16199</v>
      </c>
      <c r="R3521" t="s">
        <v>414</v>
      </c>
      <c r="S3521">
        <v>1484</v>
      </c>
    </row>
    <row r="3522" spans="1:19">
      <c r="A3522" t="s">
        <v>24</v>
      </c>
      <c r="B3522" t="s">
        <v>148</v>
      </c>
      <c r="C3522" t="s">
        <v>156</v>
      </c>
      <c r="D3522" t="s">
        <v>285</v>
      </c>
      <c r="E3522" t="s">
        <v>414</v>
      </c>
      <c r="F3522">
        <f>HYPERLINK("https://www.wikidata.org/wiki/Q16683508", "Q16683508")</f>
        <v>0</v>
      </c>
      <c r="G3522" t="s">
        <v>2318</v>
      </c>
      <c r="H3522" t="s">
        <v>6909</v>
      </c>
      <c r="I3522" t="s">
        <v>10173</v>
      </c>
      <c r="J3522" t="s">
        <v>12975</v>
      </c>
      <c r="K3522" t="s">
        <v>17382</v>
      </c>
      <c r="L3522">
        <f>HYPERLINK("https://www2.assemblee-nationale.fr/sycomore/fiche/(num_dept)/2733", "2733")</f>
        <v>0</v>
      </c>
      <c r="N3522">
        <f>HYPERLINK("https://www.wikidata.org/wiki/Q2861831", "Q2861831")</f>
        <v>0</v>
      </c>
      <c r="O3522" t="s">
        <v>19989</v>
      </c>
      <c r="P3522" t="s">
        <v>20428</v>
      </c>
      <c r="Q3522" t="s">
        <v>16199</v>
      </c>
      <c r="R3522" t="s">
        <v>414</v>
      </c>
      <c r="S3522">
        <v>1484</v>
      </c>
    </row>
    <row r="3523" spans="1:19">
      <c r="A3523" t="s">
        <v>24</v>
      </c>
      <c r="B3523" t="s">
        <v>148</v>
      </c>
      <c r="C3523" t="s">
        <v>156</v>
      </c>
      <c r="D3523" t="s">
        <v>285</v>
      </c>
      <c r="E3523" t="s">
        <v>414</v>
      </c>
      <c r="F3523">
        <f>HYPERLINK("https://www.wikidata.org/wiki/Q16683508", "Q16683508")</f>
        <v>0</v>
      </c>
      <c r="G3523" t="s">
        <v>1788</v>
      </c>
      <c r="H3523" t="s">
        <v>5388</v>
      </c>
      <c r="I3523" t="s">
        <v>9535</v>
      </c>
      <c r="J3523" t="s">
        <v>12484</v>
      </c>
      <c r="K3523" t="s">
        <v>16893</v>
      </c>
      <c r="L3523">
        <f>HYPERLINK("https://www2.assemblee-nationale.fr/sycomore/fiche/(num_dept)/2759", "2759")</f>
        <v>0</v>
      </c>
      <c r="N3523">
        <f>HYPERLINK("https://www.wikidata.org/wiki/Q3189483", "Q3189483")</f>
        <v>0</v>
      </c>
      <c r="O3523" t="s">
        <v>19973</v>
      </c>
      <c r="P3523" t="s">
        <v>20428</v>
      </c>
      <c r="Q3523" t="s">
        <v>16199</v>
      </c>
      <c r="R3523" t="s">
        <v>414</v>
      </c>
      <c r="S3523">
        <v>1484</v>
      </c>
    </row>
    <row r="3524" spans="1:19">
      <c r="A3524" t="s">
        <v>24</v>
      </c>
      <c r="B3524" t="s">
        <v>148</v>
      </c>
      <c r="C3524" t="s">
        <v>156</v>
      </c>
      <c r="D3524" t="s">
        <v>285</v>
      </c>
      <c r="E3524" t="s">
        <v>414</v>
      </c>
      <c r="F3524">
        <f>HYPERLINK("https://www.wikidata.org/wiki/Q16683508", "Q16683508")</f>
        <v>0</v>
      </c>
      <c r="G3524" t="s">
        <v>2319</v>
      </c>
      <c r="H3524" t="s">
        <v>6910</v>
      </c>
      <c r="I3524" t="s">
        <v>9385</v>
      </c>
      <c r="J3524" t="s">
        <v>393</v>
      </c>
      <c r="K3524" t="s">
        <v>17383</v>
      </c>
      <c r="L3524">
        <f>HYPERLINK("https://www2.assemblee-nationale.fr/sycomore/fiche/(num_dept)/2822", "2822")</f>
        <v>0</v>
      </c>
      <c r="N3524">
        <f>HYPERLINK("https://www.wikidata.org/wiki/Q2959014", "Q2959014")</f>
        <v>0</v>
      </c>
      <c r="O3524" t="s">
        <v>20048</v>
      </c>
      <c r="P3524" t="s">
        <v>20443</v>
      </c>
      <c r="Q3524" t="s">
        <v>16199</v>
      </c>
      <c r="R3524" t="s">
        <v>414</v>
      </c>
      <c r="S3524">
        <v>1484</v>
      </c>
    </row>
    <row r="3525" spans="1:19">
      <c r="A3525" t="s">
        <v>24</v>
      </c>
      <c r="B3525" t="s">
        <v>148</v>
      </c>
      <c r="C3525" t="s">
        <v>156</v>
      </c>
      <c r="D3525" t="s">
        <v>285</v>
      </c>
      <c r="E3525" t="s">
        <v>414</v>
      </c>
      <c r="F3525">
        <f>HYPERLINK("https://www.wikidata.org/wiki/Q16683508", "Q16683508")</f>
        <v>0</v>
      </c>
      <c r="G3525" t="s">
        <v>1453</v>
      </c>
      <c r="H3525" t="s">
        <v>6153</v>
      </c>
      <c r="I3525" t="s">
        <v>9414</v>
      </c>
      <c r="J3525" t="s">
        <v>11701</v>
      </c>
      <c r="K3525" t="s">
        <v>16578</v>
      </c>
      <c r="L3525">
        <f>HYPERLINK("https://www2.assemblee-nationale.fr/sycomore/fiche/(num_dept)/2865", "2865")</f>
        <v>0</v>
      </c>
      <c r="N3525">
        <f>HYPERLINK("https://www.wikidata.org/wiki/Q16025676", "Q16025676")</f>
        <v>0</v>
      </c>
      <c r="O3525" t="s">
        <v>19969</v>
      </c>
      <c r="P3525" t="s">
        <v>20438</v>
      </c>
      <c r="Q3525" t="s">
        <v>16199</v>
      </c>
      <c r="R3525" t="s">
        <v>414</v>
      </c>
      <c r="S3525">
        <v>1484</v>
      </c>
    </row>
    <row r="3526" spans="1:19">
      <c r="A3526" t="s">
        <v>24</v>
      </c>
      <c r="B3526" t="s">
        <v>148</v>
      </c>
      <c r="C3526" t="s">
        <v>156</v>
      </c>
      <c r="D3526" t="s">
        <v>285</v>
      </c>
      <c r="E3526" t="s">
        <v>414</v>
      </c>
      <c r="F3526">
        <f>HYPERLINK("https://www.wikidata.org/wiki/Q16683508", "Q16683508")</f>
        <v>0</v>
      </c>
      <c r="G3526" t="s">
        <v>1454</v>
      </c>
      <c r="H3526" t="s">
        <v>6154</v>
      </c>
      <c r="I3526" t="s">
        <v>9500</v>
      </c>
      <c r="J3526" t="s">
        <v>12173</v>
      </c>
      <c r="K3526" t="s">
        <v>16579</v>
      </c>
      <c r="L3526">
        <f>HYPERLINK("https://www2.assemblee-nationale.fr/sycomore/fiche/(num_dept)/2870", "2870")</f>
        <v>0</v>
      </c>
      <c r="N3526">
        <f>HYPERLINK("https://www.wikidata.org/wiki/Q16025678", "Q16025678")</f>
        <v>0</v>
      </c>
      <c r="O3526" t="s">
        <v>19968</v>
      </c>
      <c r="P3526" t="s">
        <v>20404</v>
      </c>
      <c r="Q3526" t="s">
        <v>16199</v>
      </c>
      <c r="R3526" t="s">
        <v>414</v>
      </c>
      <c r="S3526">
        <v>1484</v>
      </c>
    </row>
    <row r="3527" spans="1:19">
      <c r="A3527" t="s">
        <v>24</v>
      </c>
      <c r="B3527" t="s">
        <v>148</v>
      </c>
      <c r="C3527" t="s">
        <v>156</v>
      </c>
      <c r="D3527" t="s">
        <v>285</v>
      </c>
      <c r="E3527" t="s">
        <v>414</v>
      </c>
      <c r="F3527">
        <f>HYPERLINK("https://www.wikidata.org/wiki/Q16683508", "Q16683508")</f>
        <v>0</v>
      </c>
      <c r="G3527" t="s">
        <v>1455</v>
      </c>
      <c r="H3527" t="s">
        <v>6155</v>
      </c>
      <c r="I3527" t="s">
        <v>6200</v>
      </c>
      <c r="J3527" t="s">
        <v>12174</v>
      </c>
      <c r="K3527" t="s">
        <v>16580</v>
      </c>
      <c r="L3527">
        <f>HYPERLINK("https://www2.assemblee-nationale.fr/sycomore/fiche/(num_dept)/2884", "2884")</f>
        <v>0</v>
      </c>
      <c r="M3527">
        <f>HYPERLINK("https://www.senat.fr/senateur-3eme-republique/fabry_jean0685r3.html", "fabry_jean0685r3")</f>
        <v>0</v>
      </c>
      <c r="N3527">
        <f>HYPERLINK("https://www.wikidata.org/wiki/Q3171965", "Q3171965")</f>
        <v>0</v>
      </c>
      <c r="O3527" t="s">
        <v>19969</v>
      </c>
      <c r="P3527" t="s">
        <v>20438</v>
      </c>
      <c r="Q3527" t="s">
        <v>16199</v>
      </c>
      <c r="R3527" t="s">
        <v>414</v>
      </c>
      <c r="S3527">
        <v>1484</v>
      </c>
    </row>
    <row r="3528" spans="1:19">
      <c r="A3528" t="s">
        <v>24</v>
      </c>
      <c r="B3528" t="s">
        <v>148</v>
      </c>
      <c r="C3528" t="s">
        <v>156</v>
      </c>
      <c r="D3528" t="s">
        <v>285</v>
      </c>
      <c r="E3528" t="s">
        <v>414</v>
      </c>
      <c r="F3528">
        <f>HYPERLINK("https://www.wikidata.org/wiki/Q16683508", "Q16683508")</f>
        <v>0</v>
      </c>
      <c r="G3528" t="s">
        <v>2320</v>
      </c>
      <c r="H3528" t="s">
        <v>6911</v>
      </c>
      <c r="I3528" t="s">
        <v>9554</v>
      </c>
      <c r="J3528" t="s">
        <v>12976</v>
      </c>
      <c r="K3528" t="s">
        <v>17384</v>
      </c>
      <c r="L3528">
        <f>HYPERLINK("https://www2.assemblee-nationale.fr/sycomore/fiche/(num_dept)/2916", "2916")</f>
        <v>0</v>
      </c>
      <c r="N3528">
        <f>HYPERLINK("https://www.wikidata.org/wiki/Q3302557", "Q3302557")</f>
        <v>0</v>
      </c>
      <c r="O3528" t="s">
        <v>19985</v>
      </c>
      <c r="P3528" t="s">
        <v>20438</v>
      </c>
      <c r="Q3528" t="s">
        <v>16199</v>
      </c>
      <c r="R3528" t="s">
        <v>414</v>
      </c>
      <c r="S3528">
        <v>1484</v>
      </c>
    </row>
    <row r="3529" spans="1:19">
      <c r="A3529" t="s">
        <v>24</v>
      </c>
      <c r="B3529" t="s">
        <v>148</v>
      </c>
      <c r="C3529" t="s">
        <v>156</v>
      </c>
      <c r="D3529" t="s">
        <v>285</v>
      </c>
      <c r="E3529" t="s">
        <v>414</v>
      </c>
      <c r="F3529">
        <f>HYPERLINK("https://www.wikidata.org/wiki/Q16683508", "Q16683508")</f>
        <v>0</v>
      </c>
      <c r="G3529" t="s">
        <v>638</v>
      </c>
      <c r="H3529" t="s">
        <v>5397</v>
      </c>
      <c r="I3529" t="s">
        <v>9389</v>
      </c>
      <c r="J3529" t="s">
        <v>11388</v>
      </c>
      <c r="K3529" t="s">
        <v>15790</v>
      </c>
      <c r="L3529">
        <f>HYPERLINK("https://www2.assemblee-nationale.fr/sycomore/fiche/(num_dept)/2924", "2924")</f>
        <v>0</v>
      </c>
      <c r="N3529">
        <f>HYPERLINK("https://www.wikidata.org/wiki/Q8316772", "Q8316772")</f>
        <v>0</v>
      </c>
      <c r="O3529" t="s">
        <v>20008</v>
      </c>
      <c r="P3529" t="s">
        <v>20439</v>
      </c>
      <c r="Q3529" t="s">
        <v>16199</v>
      </c>
      <c r="R3529" t="s">
        <v>414</v>
      </c>
      <c r="S3529">
        <v>1484</v>
      </c>
    </row>
    <row r="3530" spans="1:19">
      <c r="A3530" t="s">
        <v>24</v>
      </c>
      <c r="B3530" t="s">
        <v>148</v>
      </c>
      <c r="C3530" t="s">
        <v>156</v>
      </c>
      <c r="D3530" t="s">
        <v>285</v>
      </c>
      <c r="E3530" t="s">
        <v>414</v>
      </c>
      <c r="F3530">
        <f>HYPERLINK("https://www.wikidata.org/wiki/Q16683508", "Q16683508")</f>
        <v>0</v>
      </c>
      <c r="G3530" t="s">
        <v>1950</v>
      </c>
      <c r="H3530" t="s">
        <v>6593</v>
      </c>
      <c r="I3530" t="s">
        <v>6495</v>
      </c>
      <c r="J3530" t="s">
        <v>12634</v>
      </c>
      <c r="K3530" t="s">
        <v>17043</v>
      </c>
      <c r="L3530">
        <f>HYPERLINK("https://www2.assemblee-nationale.fr/sycomore/fiche/(num_dept)/2944", "2944")</f>
        <v>0</v>
      </c>
      <c r="N3530">
        <f>HYPERLINK("https://www.wikidata.org/wiki/Q16025686", "Q16025686")</f>
        <v>0</v>
      </c>
      <c r="O3530" t="s">
        <v>20031</v>
      </c>
      <c r="P3530" t="s">
        <v>20428</v>
      </c>
      <c r="Q3530" t="s">
        <v>16199</v>
      </c>
      <c r="R3530" t="s">
        <v>414</v>
      </c>
      <c r="S3530">
        <v>1484</v>
      </c>
    </row>
    <row r="3531" spans="1:19">
      <c r="A3531" t="s">
        <v>24</v>
      </c>
      <c r="B3531" t="s">
        <v>148</v>
      </c>
      <c r="C3531" t="s">
        <v>156</v>
      </c>
      <c r="D3531" t="s">
        <v>285</v>
      </c>
      <c r="E3531" t="s">
        <v>414</v>
      </c>
      <c r="F3531">
        <f>HYPERLINK("https://www.wikidata.org/wiki/Q16683508", "Q16683508")</f>
        <v>0</v>
      </c>
      <c r="G3531" t="s">
        <v>2321</v>
      </c>
      <c r="H3531" t="s">
        <v>5399</v>
      </c>
      <c r="I3531" t="s">
        <v>9476</v>
      </c>
      <c r="J3531" t="s">
        <v>12977</v>
      </c>
      <c r="K3531" t="s">
        <v>17385</v>
      </c>
      <c r="L3531">
        <f>HYPERLINK("https://www2.assemblee-nationale.fr/sycomore/fiche/(num_dept)/2946", "2946")</f>
        <v>0</v>
      </c>
      <c r="N3531">
        <f>HYPERLINK("https://www.wikidata.org/wiki/Q3426183", "Q3426183")</f>
        <v>0</v>
      </c>
      <c r="O3531" t="s">
        <v>20024</v>
      </c>
      <c r="P3531" t="s">
        <v>20431</v>
      </c>
      <c r="Q3531" t="s">
        <v>16199</v>
      </c>
      <c r="R3531" t="s">
        <v>414</v>
      </c>
      <c r="S3531">
        <v>1484</v>
      </c>
    </row>
    <row r="3532" spans="1:19">
      <c r="A3532" t="s">
        <v>24</v>
      </c>
      <c r="B3532" t="s">
        <v>148</v>
      </c>
      <c r="C3532" t="s">
        <v>156</v>
      </c>
      <c r="D3532" t="s">
        <v>285</v>
      </c>
      <c r="E3532" t="s">
        <v>414</v>
      </c>
      <c r="F3532">
        <f>HYPERLINK("https://www.wikidata.org/wiki/Q16683508", "Q16683508")</f>
        <v>0</v>
      </c>
      <c r="G3532" t="s">
        <v>1458</v>
      </c>
      <c r="H3532" t="s">
        <v>6158</v>
      </c>
      <c r="I3532" t="s">
        <v>6200</v>
      </c>
      <c r="J3532" t="s">
        <v>12177</v>
      </c>
      <c r="K3532" t="s">
        <v>16583</v>
      </c>
      <c r="L3532">
        <f>HYPERLINK("https://www2.assemblee-nationale.fr/sycomore/fiche/(num_dept)/2954", "2954")</f>
        <v>0</v>
      </c>
      <c r="N3532">
        <f>HYPERLINK("https://www.wikidata.org/wiki/Q3172165", "Q3172165")</f>
        <v>0</v>
      </c>
      <c r="O3532" t="s">
        <v>7411</v>
      </c>
      <c r="P3532" t="s">
        <v>20404</v>
      </c>
      <c r="Q3532" t="s">
        <v>16199</v>
      </c>
      <c r="R3532" t="s">
        <v>414</v>
      </c>
      <c r="S3532">
        <v>1484</v>
      </c>
    </row>
    <row r="3533" spans="1:19">
      <c r="A3533" t="s">
        <v>24</v>
      </c>
      <c r="B3533" t="s">
        <v>148</v>
      </c>
      <c r="C3533" t="s">
        <v>156</v>
      </c>
      <c r="D3533" t="s">
        <v>285</v>
      </c>
      <c r="E3533" t="s">
        <v>414</v>
      </c>
      <c r="F3533">
        <f>HYPERLINK("https://www.wikidata.org/wiki/Q16683508", "Q16683508")</f>
        <v>0</v>
      </c>
      <c r="G3533" t="s">
        <v>1951</v>
      </c>
      <c r="H3533" t="s">
        <v>6594</v>
      </c>
      <c r="I3533" t="s">
        <v>9692</v>
      </c>
      <c r="J3533" t="s">
        <v>12635</v>
      </c>
      <c r="K3533" t="s">
        <v>17044</v>
      </c>
      <c r="L3533">
        <f>HYPERLINK("https://www2.assemblee-nationale.fr/sycomore/fiche/(num_dept)/2960", "2960")</f>
        <v>0</v>
      </c>
      <c r="N3533">
        <f>HYPERLINK("https://www.wikidata.org/wiki/Q3420866", "Q3420866")</f>
        <v>0</v>
      </c>
      <c r="O3533" t="s">
        <v>20025</v>
      </c>
      <c r="P3533" t="s">
        <v>20428</v>
      </c>
      <c r="Q3533" t="s">
        <v>16199</v>
      </c>
      <c r="R3533" t="s">
        <v>414</v>
      </c>
      <c r="S3533">
        <v>1484</v>
      </c>
    </row>
    <row r="3534" spans="1:19">
      <c r="A3534" t="s">
        <v>24</v>
      </c>
      <c r="B3534" t="s">
        <v>148</v>
      </c>
      <c r="C3534" t="s">
        <v>156</v>
      </c>
      <c r="D3534" t="s">
        <v>285</v>
      </c>
      <c r="E3534" t="s">
        <v>414</v>
      </c>
      <c r="F3534">
        <f>HYPERLINK("https://www.wikidata.org/wiki/Q16683508", "Q16683508")</f>
        <v>0</v>
      </c>
      <c r="G3534" t="s">
        <v>2067</v>
      </c>
      <c r="H3534" t="s">
        <v>6159</v>
      </c>
      <c r="I3534" t="s">
        <v>9506</v>
      </c>
      <c r="J3534" t="s">
        <v>12738</v>
      </c>
      <c r="K3534" t="s">
        <v>17149</v>
      </c>
      <c r="L3534">
        <f>HYPERLINK("https://www2.assemblee-nationale.fr/sycomore/fiche/(num_dept)/2965", "2965")</f>
        <v>0</v>
      </c>
      <c r="M3534">
        <f>HYPERLINK("https://www.senat.fr/senateur-3eme-republique/ferrand_camille0621r3.html", "ferrand_camille0621r3")</f>
        <v>0</v>
      </c>
      <c r="N3534">
        <f>HYPERLINK("https://www.wikidata.org/wiki/Q2934926", "Q2934926")</f>
        <v>0</v>
      </c>
      <c r="O3534" t="s">
        <v>19979</v>
      </c>
      <c r="P3534" t="s">
        <v>20428</v>
      </c>
      <c r="Q3534" t="s">
        <v>16199</v>
      </c>
      <c r="R3534" t="s">
        <v>414</v>
      </c>
      <c r="S3534">
        <v>1484</v>
      </c>
    </row>
    <row r="3535" spans="1:19">
      <c r="A3535" t="s">
        <v>24</v>
      </c>
      <c r="B3535" t="s">
        <v>148</v>
      </c>
      <c r="C3535" t="s">
        <v>156</v>
      </c>
      <c r="D3535" t="s">
        <v>285</v>
      </c>
      <c r="E3535" t="s">
        <v>414</v>
      </c>
      <c r="F3535">
        <f>HYPERLINK("https://www.wikidata.org/wiki/Q16683508", "Q16683508")</f>
        <v>0</v>
      </c>
      <c r="G3535" t="s">
        <v>1461</v>
      </c>
      <c r="H3535" t="s">
        <v>6161</v>
      </c>
      <c r="I3535" t="s">
        <v>9817</v>
      </c>
      <c r="J3535" t="s">
        <v>12180</v>
      </c>
      <c r="K3535" t="s">
        <v>16586</v>
      </c>
      <c r="L3535">
        <f>HYPERLINK("https://www2.assemblee-nationale.fr/sycomore/fiche/(num_dept)/2976", "2976")</f>
        <v>0</v>
      </c>
      <c r="N3535">
        <f>HYPERLINK("https://www.wikidata.org/wiki/Q3132776", "Q3132776")</f>
        <v>0</v>
      </c>
      <c r="O3535" t="s">
        <v>20030</v>
      </c>
      <c r="P3535" t="s">
        <v>20435</v>
      </c>
      <c r="Q3535" t="s">
        <v>16199</v>
      </c>
      <c r="R3535" t="s">
        <v>16586</v>
      </c>
      <c r="S3535">
        <v>411</v>
      </c>
    </row>
    <row r="3536" spans="1:19">
      <c r="A3536" t="s">
        <v>24</v>
      </c>
      <c r="B3536" t="s">
        <v>148</v>
      </c>
      <c r="C3536" t="s">
        <v>156</v>
      </c>
      <c r="D3536" t="s">
        <v>285</v>
      </c>
      <c r="E3536" t="s">
        <v>414</v>
      </c>
      <c r="F3536">
        <f>HYPERLINK("https://www.wikidata.org/wiki/Q16683508", "Q16683508")</f>
        <v>0</v>
      </c>
      <c r="G3536" t="s">
        <v>1797</v>
      </c>
      <c r="H3536" t="s">
        <v>6462</v>
      </c>
      <c r="I3536" t="s">
        <v>6585</v>
      </c>
      <c r="J3536" t="s">
        <v>12492</v>
      </c>
      <c r="K3536" t="s">
        <v>16902</v>
      </c>
      <c r="L3536">
        <f>HYPERLINK("https://www2.assemblee-nationale.fr/sycomore/fiche/(num_dept)/2995", "2995")</f>
        <v>0</v>
      </c>
      <c r="N3536">
        <f>HYPERLINK("https://www.wikidata.org/wiki/Q2847791", "Q2847791")</f>
        <v>0</v>
      </c>
      <c r="O3536" t="s">
        <v>19965</v>
      </c>
      <c r="P3536" t="s">
        <v>20404</v>
      </c>
      <c r="Q3536" t="s">
        <v>16199</v>
      </c>
      <c r="R3536" t="s">
        <v>414</v>
      </c>
      <c r="S3536">
        <v>1484</v>
      </c>
    </row>
    <row r="3537" spans="1:19">
      <c r="A3537" t="s">
        <v>24</v>
      </c>
      <c r="B3537" t="s">
        <v>148</v>
      </c>
      <c r="C3537" t="s">
        <v>156</v>
      </c>
      <c r="D3537" t="s">
        <v>285</v>
      </c>
      <c r="E3537" t="s">
        <v>414</v>
      </c>
      <c r="F3537">
        <f>HYPERLINK("https://www.wikidata.org/wiki/Q16683508", "Q16683508")</f>
        <v>0</v>
      </c>
      <c r="G3537" t="s">
        <v>1798</v>
      </c>
      <c r="H3537" t="s">
        <v>6463</v>
      </c>
      <c r="I3537" t="s">
        <v>9954</v>
      </c>
      <c r="J3537" t="s">
        <v>12493</v>
      </c>
      <c r="K3537" t="s">
        <v>16903</v>
      </c>
      <c r="L3537">
        <f>HYPERLINK("https://www2.assemblee-nationale.fr/sycomore/fiche/(num_dept)/2997", "2997")</f>
        <v>0</v>
      </c>
      <c r="N3537">
        <f>HYPERLINK("https://www.wikidata.org/wiki/Q2864433", "Q2864433")</f>
        <v>0</v>
      </c>
      <c r="O3537" t="s">
        <v>20032</v>
      </c>
      <c r="P3537" t="s">
        <v>20404</v>
      </c>
      <c r="Q3537" t="s">
        <v>16199</v>
      </c>
      <c r="R3537" t="s">
        <v>414</v>
      </c>
      <c r="S3537">
        <v>1484</v>
      </c>
    </row>
    <row r="3538" spans="1:19">
      <c r="A3538" t="s">
        <v>24</v>
      </c>
      <c r="B3538" t="s">
        <v>148</v>
      </c>
      <c r="C3538" t="s">
        <v>156</v>
      </c>
      <c r="D3538" t="s">
        <v>285</v>
      </c>
      <c r="E3538" t="s">
        <v>414</v>
      </c>
      <c r="F3538">
        <f>HYPERLINK("https://www.wikidata.org/wiki/Q16683508", "Q16683508")</f>
        <v>0</v>
      </c>
      <c r="G3538" t="s">
        <v>1799</v>
      </c>
      <c r="H3538" t="s">
        <v>6464</v>
      </c>
      <c r="I3538" t="s">
        <v>9606</v>
      </c>
      <c r="J3538" t="s">
        <v>12494</v>
      </c>
      <c r="K3538" t="s">
        <v>16904</v>
      </c>
      <c r="L3538">
        <f>HYPERLINK("https://www2.assemblee-nationale.fr/sycomore/fiche/(num_dept)/3010", "3010")</f>
        <v>0</v>
      </c>
      <c r="N3538">
        <f>HYPERLINK("https://www.wikidata.org/wiki/Q16025701", "Q16025701")</f>
        <v>0</v>
      </c>
      <c r="O3538" t="s">
        <v>19965</v>
      </c>
      <c r="P3538" t="s">
        <v>20428</v>
      </c>
      <c r="Q3538" t="s">
        <v>16199</v>
      </c>
      <c r="R3538" t="s">
        <v>414</v>
      </c>
      <c r="S3538">
        <v>1484</v>
      </c>
    </row>
    <row r="3539" spans="1:19">
      <c r="A3539" t="s">
        <v>24</v>
      </c>
      <c r="B3539" t="s">
        <v>148</v>
      </c>
      <c r="C3539" t="s">
        <v>156</v>
      </c>
      <c r="D3539" t="s">
        <v>285</v>
      </c>
      <c r="E3539" t="s">
        <v>414</v>
      </c>
      <c r="F3539">
        <f>HYPERLINK("https://www.wikidata.org/wiki/Q16683508", "Q16683508")</f>
        <v>0</v>
      </c>
      <c r="G3539" t="s">
        <v>1671</v>
      </c>
      <c r="H3539" t="s">
        <v>6351</v>
      </c>
      <c r="I3539" t="s">
        <v>9457</v>
      </c>
      <c r="J3539" t="s">
        <v>12377</v>
      </c>
      <c r="K3539" t="s">
        <v>16785</v>
      </c>
      <c r="L3539">
        <f>HYPERLINK("https://www2.assemblee-nationale.fr/sycomore/fiche/(num_dept)/3012", "3012")</f>
        <v>0</v>
      </c>
      <c r="N3539">
        <f>HYPERLINK("https://www.wikidata.org/wiki/Q3131081", "Q3131081")</f>
        <v>0</v>
      </c>
      <c r="O3539" t="s">
        <v>20000</v>
      </c>
      <c r="P3539" t="s">
        <v>20440</v>
      </c>
      <c r="Q3539" t="s">
        <v>16199</v>
      </c>
      <c r="R3539" t="s">
        <v>414</v>
      </c>
      <c r="S3539">
        <v>1484</v>
      </c>
    </row>
    <row r="3540" spans="1:19">
      <c r="A3540" t="s">
        <v>24</v>
      </c>
      <c r="B3540" t="s">
        <v>148</v>
      </c>
      <c r="C3540" t="s">
        <v>156</v>
      </c>
      <c r="D3540" t="s">
        <v>285</v>
      </c>
      <c r="E3540" t="s">
        <v>414</v>
      </c>
      <c r="F3540">
        <f>HYPERLINK("https://www.wikidata.org/wiki/Q16683508", "Q16683508")</f>
        <v>0</v>
      </c>
      <c r="G3540" t="s">
        <v>1800</v>
      </c>
      <c r="H3540" t="s">
        <v>6465</v>
      </c>
      <c r="I3540" t="s">
        <v>6478</v>
      </c>
      <c r="J3540" t="s">
        <v>12495</v>
      </c>
      <c r="K3540" t="s">
        <v>16905</v>
      </c>
      <c r="L3540">
        <f>HYPERLINK("https://www2.assemblee-nationale.fr/sycomore/fiche/(num_dept)/3048", "3048")</f>
        <v>0</v>
      </c>
      <c r="N3540">
        <f>HYPERLINK("https://www.wikidata.org/wiki/Q12948763", "Q12948763")</f>
        <v>0</v>
      </c>
      <c r="O3540" t="s">
        <v>19966</v>
      </c>
      <c r="P3540" t="s">
        <v>20404</v>
      </c>
      <c r="Q3540" t="s">
        <v>16199</v>
      </c>
      <c r="R3540" t="s">
        <v>414</v>
      </c>
      <c r="S3540">
        <v>1484</v>
      </c>
    </row>
    <row r="3541" spans="1:19">
      <c r="A3541" t="s">
        <v>24</v>
      </c>
      <c r="B3541" t="s">
        <v>148</v>
      </c>
      <c r="C3541" t="s">
        <v>156</v>
      </c>
      <c r="D3541" t="s">
        <v>285</v>
      </c>
      <c r="E3541" t="s">
        <v>414</v>
      </c>
      <c r="F3541">
        <f>HYPERLINK("https://www.wikidata.org/wiki/Q16683508", "Q16683508")</f>
        <v>0</v>
      </c>
      <c r="G3541" t="s">
        <v>2068</v>
      </c>
      <c r="H3541" t="s">
        <v>6695</v>
      </c>
      <c r="I3541" t="s">
        <v>6584</v>
      </c>
      <c r="J3541" t="s">
        <v>12739</v>
      </c>
      <c r="K3541" t="s">
        <v>17150</v>
      </c>
      <c r="L3541">
        <f>HYPERLINK("https://www2.assemblee-nationale.fr/sycomore/fiche/(num_dept)/3051", "3051")</f>
        <v>0</v>
      </c>
      <c r="N3541">
        <f>HYPERLINK("https://www.wikidata.org/wiki/Q2637928", "Q2637928")</f>
        <v>0</v>
      </c>
      <c r="O3541" t="s">
        <v>19992</v>
      </c>
      <c r="P3541" t="s">
        <v>20439</v>
      </c>
      <c r="Q3541" t="s">
        <v>16199</v>
      </c>
      <c r="R3541" t="s">
        <v>414</v>
      </c>
      <c r="S3541">
        <v>1484</v>
      </c>
    </row>
    <row r="3542" spans="1:19">
      <c r="A3542" t="s">
        <v>24</v>
      </c>
      <c r="B3542" t="s">
        <v>148</v>
      </c>
      <c r="C3542" t="s">
        <v>156</v>
      </c>
      <c r="D3542" t="s">
        <v>285</v>
      </c>
      <c r="E3542" t="s">
        <v>414</v>
      </c>
      <c r="F3542">
        <f>HYPERLINK("https://www.wikidata.org/wiki/Q16683508", "Q16683508")</f>
        <v>0</v>
      </c>
      <c r="G3542" t="s">
        <v>1254</v>
      </c>
      <c r="H3542" t="s">
        <v>5978</v>
      </c>
      <c r="I3542" t="s">
        <v>6860</v>
      </c>
      <c r="J3542" t="s">
        <v>11984</v>
      </c>
      <c r="K3542" t="s">
        <v>16387</v>
      </c>
      <c r="L3542">
        <f>HYPERLINK("https://www2.assemblee-nationale.fr/sycomore/fiche/(num_dept)/3057", "3057")</f>
        <v>0</v>
      </c>
      <c r="N3542">
        <f>HYPERLINK("https://www.wikidata.org/wiki/Q3385030", "Q3385030")</f>
        <v>0</v>
      </c>
      <c r="O3542" t="s">
        <v>20025</v>
      </c>
      <c r="P3542" t="s">
        <v>20440</v>
      </c>
      <c r="Q3542" t="s">
        <v>16199</v>
      </c>
      <c r="R3542" t="s">
        <v>414</v>
      </c>
      <c r="S3542">
        <v>1484</v>
      </c>
    </row>
    <row r="3543" spans="1:19">
      <c r="A3543" t="s">
        <v>24</v>
      </c>
      <c r="B3543" t="s">
        <v>148</v>
      </c>
      <c r="C3543" t="s">
        <v>156</v>
      </c>
      <c r="D3543" t="s">
        <v>285</v>
      </c>
      <c r="E3543" t="s">
        <v>414</v>
      </c>
      <c r="F3543">
        <f>HYPERLINK("https://www.wikidata.org/wiki/Q16683508", "Q16683508")</f>
        <v>0</v>
      </c>
      <c r="G3543" t="s">
        <v>649</v>
      </c>
      <c r="H3543" t="s">
        <v>5408</v>
      </c>
      <c r="I3543" t="s">
        <v>9457</v>
      </c>
      <c r="J3543" t="s">
        <v>11399</v>
      </c>
      <c r="K3543" t="s">
        <v>15801</v>
      </c>
      <c r="L3543">
        <f>HYPERLINK("https://www2.assemblee-nationale.fr/sycomore/fiche/(num_dept)/3078", "3078")</f>
        <v>0</v>
      </c>
      <c r="N3543">
        <f>HYPERLINK("https://www.wikidata.org/wiki/Q8342835", "Q8342835")</f>
        <v>0</v>
      </c>
      <c r="O3543" t="s">
        <v>19975</v>
      </c>
      <c r="P3543" t="s">
        <v>20414</v>
      </c>
      <c r="Q3543" t="s">
        <v>16199</v>
      </c>
      <c r="R3543" t="s">
        <v>414</v>
      </c>
      <c r="S3543">
        <v>1484</v>
      </c>
    </row>
    <row r="3544" spans="1:19">
      <c r="A3544" t="s">
        <v>24</v>
      </c>
      <c r="B3544" t="s">
        <v>148</v>
      </c>
      <c r="C3544" t="s">
        <v>156</v>
      </c>
      <c r="D3544" t="s">
        <v>285</v>
      </c>
      <c r="E3544" t="s">
        <v>414</v>
      </c>
      <c r="F3544">
        <f>HYPERLINK("https://www.wikidata.org/wiki/Q16683508", "Q16683508")</f>
        <v>0</v>
      </c>
      <c r="G3544" t="s">
        <v>2322</v>
      </c>
      <c r="H3544" t="s">
        <v>6912</v>
      </c>
      <c r="I3544" t="s">
        <v>6175</v>
      </c>
      <c r="J3544" t="s">
        <v>12978</v>
      </c>
      <c r="K3544" t="s">
        <v>17386</v>
      </c>
      <c r="L3544">
        <f>HYPERLINK("https://www2.assemblee-nationale.fr/sycomore/fiche/(num_dept)/3079", "3079")</f>
        <v>0</v>
      </c>
      <c r="N3544">
        <f>HYPERLINK("https://www.wikidata.org/wiki/Q16025720", "Q16025720")</f>
        <v>0</v>
      </c>
      <c r="O3544" t="s">
        <v>19997</v>
      </c>
      <c r="P3544" t="s">
        <v>20428</v>
      </c>
      <c r="Q3544" t="s">
        <v>16199</v>
      </c>
      <c r="R3544" t="s">
        <v>414</v>
      </c>
      <c r="S3544">
        <v>1484</v>
      </c>
    </row>
    <row r="3545" spans="1:19">
      <c r="A3545" t="s">
        <v>24</v>
      </c>
      <c r="B3545" t="s">
        <v>148</v>
      </c>
      <c r="C3545" t="s">
        <v>156</v>
      </c>
      <c r="D3545" t="s">
        <v>285</v>
      </c>
      <c r="E3545" t="s">
        <v>414</v>
      </c>
      <c r="F3545">
        <f>HYPERLINK("https://www.wikidata.org/wiki/Q16683508", "Q16683508")</f>
        <v>0</v>
      </c>
      <c r="G3545" t="s">
        <v>2069</v>
      </c>
      <c r="H3545" t="s">
        <v>6696</v>
      </c>
      <c r="I3545" t="s">
        <v>7642</v>
      </c>
      <c r="J3545" t="s">
        <v>12740</v>
      </c>
      <c r="K3545" t="s">
        <v>17151</v>
      </c>
      <c r="L3545">
        <f>HYPERLINK("https://www2.assemblee-nationale.fr/sycomore/fiche/(num_dept)/3082", "3082")</f>
        <v>0</v>
      </c>
      <c r="N3545">
        <f>HYPERLINK("https://www.wikidata.org/wiki/Q3300788", "Q3300788")</f>
        <v>0</v>
      </c>
      <c r="O3545" t="s">
        <v>19969</v>
      </c>
      <c r="P3545" t="s">
        <v>20409</v>
      </c>
      <c r="Q3545" t="s">
        <v>16199</v>
      </c>
      <c r="R3545" t="s">
        <v>414</v>
      </c>
      <c r="S3545">
        <v>1484</v>
      </c>
    </row>
    <row r="3546" spans="1:19">
      <c r="A3546" t="s">
        <v>24</v>
      </c>
      <c r="B3546" t="s">
        <v>148</v>
      </c>
      <c r="C3546" t="s">
        <v>156</v>
      </c>
      <c r="D3546" t="s">
        <v>285</v>
      </c>
      <c r="E3546" t="s">
        <v>414</v>
      </c>
      <c r="F3546">
        <f>HYPERLINK("https://www.wikidata.org/wiki/Q16683508", "Q16683508")</f>
        <v>0</v>
      </c>
      <c r="G3546" t="s">
        <v>2323</v>
      </c>
      <c r="H3546" t="s">
        <v>6913</v>
      </c>
      <c r="I3546" t="s">
        <v>6495</v>
      </c>
      <c r="J3546" t="s">
        <v>12979</v>
      </c>
      <c r="K3546" t="s">
        <v>17387</v>
      </c>
      <c r="L3546">
        <f>HYPERLINK("https://www2.assemblee-nationale.fr/sycomore/fiche/(num_dept)/3090", "3090")</f>
        <v>0</v>
      </c>
      <c r="N3546">
        <f>HYPERLINK("https://www.wikidata.org/wiki/Q13080932", "Q13080932")</f>
        <v>0</v>
      </c>
      <c r="O3546" t="s">
        <v>19969</v>
      </c>
      <c r="P3546" t="s">
        <v>20438</v>
      </c>
      <c r="Q3546" t="s">
        <v>16199</v>
      </c>
      <c r="R3546" t="s">
        <v>414</v>
      </c>
      <c r="S3546">
        <v>1484</v>
      </c>
    </row>
    <row r="3547" spans="1:19">
      <c r="A3547" t="s">
        <v>24</v>
      </c>
      <c r="B3547" t="s">
        <v>148</v>
      </c>
      <c r="C3547" t="s">
        <v>156</v>
      </c>
      <c r="D3547" t="s">
        <v>285</v>
      </c>
      <c r="E3547" t="s">
        <v>414</v>
      </c>
      <c r="F3547">
        <f>HYPERLINK("https://www.wikidata.org/wiki/Q16683508", "Q16683508")</f>
        <v>0</v>
      </c>
      <c r="G3547" t="s">
        <v>960</v>
      </c>
      <c r="H3547" t="s">
        <v>5712</v>
      </c>
      <c r="I3547" t="s">
        <v>9457</v>
      </c>
      <c r="J3547" t="s">
        <v>11570</v>
      </c>
      <c r="K3547" t="s">
        <v>16102</v>
      </c>
      <c r="L3547">
        <f>HYPERLINK("https://www2.assemblee-nationale.fr/sycomore/fiche/(num_dept)/3134", "3134")</f>
        <v>0</v>
      </c>
      <c r="N3547">
        <f>HYPERLINK("https://www.wikidata.org/wiki/Q3132784", "Q3132784")</f>
        <v>0</v>
      </c>
      <c r="O3547" t="s">
        <v>19976</v>
      </c>
      <c r="P3547" t="s">
        <v>20409</v>
      </c>
      <c r="Q3547" t="s">
        <v>16199</v>
      </c>
      <c r="R3547" t="s">
        <v>414</v>
      </c>
      <c r="S3547">
        <v>1484</v>
      </c>
    </row>
    <row r="3548" spans="1:19">
      <c r="A3548" t="s">
        <v>24</v>
      </c>
      <c r="B3548" t="s">
        <v>148</v>
      </c>
      <c r="C3548" t="s">
        <v>156</v>
      </c>
      <c r="D3548" t="s">
        <v>285</v>
      </c>
      <c r="E3548" t="s">
        <v>414</v>
      </c>
      <c r="F3548">
        <f>HYPERLINK("https://www.wikidata.org/wiki/Q16683508", "Q16683508")</f>
        <v>0</v>
      </c>
      <c r="G3548" t="s">
        <v>1468</v>
      </c>
      <c r="H3548" t="s">
        <v>6167</v>
      </c>
      <c r="I3548" t="s">
        <v>9385</v>
      </c>
      <c r="J3548" t="s">
        <v>12187</v>
      </c>
      <c r="K3548" t="s">
        <v>16593</v>
      </c>
      <c r="L3548">
        <f>HYPERLINK("https://www2.assemblee-nationale.fr/sycomore/fiche/(num_dept)/3153", "3153")</f>
        <v>0</v>
      </c>
      <c r="N3548">
        <f>HYPERLINK("https://www.wikidata.org/wiki/Q2959129", "Q2959129")</f>
        <v>0</v>
      </c>
      <c r="O3548" t="s">
        <v>20048</v>
      </c>
      <c r="P3548" t="s">
        <v>20412</v>
      </c>
      <c r="Q3548" t="s">
        <v>16199</v>
      </c>
      <c r="R3548" t="s">
        <v>414</v>
      </c>
      <c r="S3548">
        <v>1484</v>
      </c>
    </row>
    <row r="3549" spans="1:19">
      <c r="A3549" t="s">
        <v>24</v>
      </c>
      <c r="B3549" t="s">
        <v>148</v>
      </c>
      <c r="C3549" t="s">
        <v>156</v>
      </c>
      <c r="D3549" t="s">
        <v>285</v>
      </c>
      <c r="E3549" t="s">
        <v>414</v>
      </c>
      <c r="F3549">
        <f>HYPERLINK("https://www.wikidata.org/wiki/Q16683508", "Q16683508")</f>
        <v>0</v>
      </c>
      <c r="G3549" t="s">
        <v>2324</v>
      </c>
      <c r="H3549" t="s">
        <v>6914</v>
      </c>
      <c r="I3549" t="s">
        <v>9375</v>
      </c>
      <c r="J3549" t="s">
        <v>12980</v>
      </c>
      <c r="K3549" t="s">
        <v>17388</v>
      </c>
      <c r="L3549">
        <f>HYPERLINK("https://www2.assemblee-nationale.fr/sycomore/fiche/(num_dept)/3161", "3161")</f>
        <v>0</v>
      </c>
      <c r="N3549">
        <f>HYPERLINK("https://www.wikidata.org/wiki/Q3579856", "Q3579856")</f>
        <v>0</v>
      </c>
      <c r="O3549" t="s">
        <v>19991</v>
      </c>
      <c r="P3549" t="s">
        <v>20404</v>
      </c>
      <c r="Q3549" t="s">
        <v>16199</v>
      </c>
      <c r="R3549" t="s">
        <v>414</v>
      </c>
      <c r="S3549">
        <v>1484</v>
      </c>
    </row>
    <row r="3550" spans="1:19">
      <c r="A3550" t="s">
        <v>24</v>
      </c>
      <c r="B3550" t="s">
        <v>148</v>
      </c>
      <c r="C3550" t="s">
        <v>156</v>
      </c>
      <c r="D3550" t="s">
        <v>285</v>
      </c>
      <c r="E3550" t="s">
        <v>414</v>
      </c>
      <c r="F3550">
        <f>HYPERLINK("https://www.wikidata.org/wiki/Q16683508", "Q16683508")</f>
        <v>0</v>
      </c>
      <c r="G3550" t="s">
        <v>1955</v>
      </c>
      <c r="H3550" t="s">
        <v>6597</v>
      </c>
      <c r="I3550" t="s">
        <v>10016</v>
      </c>
      <c r="J3550" t="s">
        <v>12638</v>
      </c>
      <c r="K3550" t="s">
        <v>17048</v>
      </c>
      <c r="L3550">
        <f>HYPERLINK("https://www2.assemblee-nationale.fr/sycomore/fiche/(num_dept)/3166", "3166")</f>
        <v>0</v>
      </c>
      <c r="N3550">
        <f>HYPERLINK("https://www.wikidata.org/wiki/Q1109027", "Q1109027")</f>
        <v>0</v>
      </c>
      <c r="O3550" t="s">
        <v>20036</v>
      </c>
      <c r="P3550" t="s">
        <v>20404</v>
      </c>
      <c r="Q3550" t="s">
        <v>16199</v>
      </c>
      <c r="R3550" t="s">
        <v>414</v>
      </c>
      <c r="S3550">
        <v>1484</v>
      </c>
    </row>
    <row r="3551" spans="1:19">
      <c r="A3551" t="s">
        <v>24</v>
      </c>
      <c r="B3551" t="s">
        <v>148</v>
      </c>
      <c r="C3551" t="s">
        <v>156</v>
      </c>
      <c r="D3551" t="s">
        <v>285</v>
      </c>
      <c r="E3551" t="s">
        <v>414</v>
      </c>
      <c r="F3551">
        <f>HYPERLINK("https://www.wikidata.org/wiki/Q16683508", "Q16683508")</f>
        <v>0</v>
      </c>
      <c r="G3551" t="s">
        <v>655</v>
      </c>
      <c r="H3551" t="s">
        <v>5414</v>
      </c>
      <c r="I3551" t="s">
        <v>9407</v>
      </c>
      <c r="J3551" t="s">
        <v>11405</v>
      </c>
      <c r="K3551" t="s">
        <v>15807</v>
      </c>
      <c r="L3551">
        <f>HYPERLINK("https://www2.assemblee-nationale.fr/sycomore/fiche/(num_dept)/3247", "3247")</f>
        <v>0</v>
      </c>
      <c r="N3551">
        <f>HYPERLINK("https://www.wikidata.org/wiki/Q3184989", "Q3184989")</f>
        <v>0</v>
      </c>
      <c r="O3551" t="s">
        <v>19970</v>
      </c>
      <c r="P3551" t="s">
        <v>20428</v>
      </c>
      <c r="Q3551" t="s">
        <v>16199</v>
      </c>
      <c r="R3551" t="s">
        <v>414</v>
      </c>
      <c r="S3551">
        <v>1484</v>
      </c>
    </row>
    <row r="3552" spans="1:19">
      <c r="A3552" t="s">
        <v>24</v>
      </c>
      <c r="B3552" t="s">
        <v>148</v>
      </c>
      <c r="C3552" t="s">
        <v>156</v>
      </c>
      <c r="D3552" t="s">
        <v>285</v>
      </c>
      <c r="E3552" t="s">
        <v>414</v>
      </c>
      <c r="F3552">
        <f>HYPERLINK("https://www.wikidata.org/wiki/Q16683508", "Q16683508")</f>
        <v>0</v>
      </c>
      <c r="G3552" t="s">
        <v>1804</v>
      </c>
      <c r="H3552" t="s">
        <v>6469</v>
      </c>
      <c r="I3552" t="s">
        <v>9955</v>
      </c>
      <c r="J3552" t="s">
        <v>12499</v>
      </c>
      <c r="K3552" t="s">
        <v>16909</v>
      </c>
      <c r="L3552">
        <f>HYPERLINK("https://www2.assemblee-nationale.fr/sycomore/fiche/(num_dept)/3250", "3250")</f>
        <v>0</v>
      </c>
      <c r="N3552">
        <f>HYPERLINK("https://www.wikidata.org/wiki/Q3172213", "Q3172213")</f>
        <v>0</v>
      </c>
      <c r="O3552" t="s">
        <v>19969</v>
      </c>
      <c r="P3552" t="s">
        <v>20442</v>
      </c>
      <c r="Q3552" t="s">
        <v>16199</v>
      </c>
      <c r="R3552" t="s">
        <v>414</v>
      </c>
      <c r="S3552">
        <v>1484</v>
      </c>
    </row>
    <row r="3553" spans="1:19">
      <c r="A3553" t="s">
        <v>24</v>
      </c>
      <c r="B3553" t="s">
        <v>148</v>
      </c>
      <c r="C3553" t="s">
        <v>156</v>
      </c>
      <c r="D3553" t="s">
        <v>285</v>
      </c>
      <c r="E3553" t="s">
        <v>414</v>
      </c>
      <c r="F3553">
        <f>HYPERLINK("https://www.wikidata.org/wiki/Q16683508", "Q16683508")</f>
        <v>0</v>
      </c>
      <c r="G3553" t="s">
        <v>1922</v>
      </c>
      <c r="H3553" t="s">
        <v>6569</v>
      </c>
      <c r="I3553" t="s">
        <v>6495</v>
      </c>
      <c r="J3553" t="s">
        <v>12607</v>
      </c>
      <c r="K3553" t="s">
        <v>16162</v>
      </c>
      <c r="L3553">
        <f>HYPERLINK("https://www2.assemblee-nationale.fr/sycomore/fiche/(num_dept)/3255", "3255")</f>
        <v>0</v>
      </c>
      <c r="N3553">
        <f>HYPERLINK("https://www.wikidata.org/wiki/Q3262002", "Q3262002")</f>
        <v>0</v>
      </c>
      <c r="O3553" t="s">
        <v>20033</v>
      </c>
      <c r="P3553" t="s">
        <v>20404</v>
      </c>
      <c r="Q3553" t="s">
        <v>16199</v>
      </c>
      <c r="R3553" t="s">
        <v>414</v>
      </c>
      <c r="S3553">
        <v>1484</v>
      </c>
    </row>
    <row r="3554" spans="1:19">
      <c r="A3554" t="s">
        <v>24</v>
      </c>
      <c r="B3554" t="s">
        <v>148</v>
      </c>
      <c r="C3554" t="s">
        <v>156</v>
      </c>
      <c r="D3554" t="s">
        <v>285</v>
      </c>
      <c r="E3554" t="s">
        <v>414</v>
      </c>
      <c r="F3554">
        <f>HYPERLINK("https://www.wikidata.org/wiki/Q16683508", "Q16683508")</f>
        <v>0</v>
      </c>
      <c r="G3554" t="s">
        <v>2325</v>
      </c>
      <c r="H3554" t="s">
        <v>6915</v>
      </c>
      <c r="I3554" t="s">
        <v>6495</v>
      </c>
      <c r="J3554" t="s">
        <v>12981</v>
      </c>
      <c r="K3554" t="s">
        <v>17389</v>
      </c>
      <c r="L3554">
        <f>HYPERLINK("https://www2.assemblee-nationale.fr/sycomore/fiche/(num_dept)/3329", "3329")</f>
        <v>0</v>
      </c>
      <c r="N3554">
        <f>HYPERLINK("https://www.wikidata.org/wiki/Q16025758", "Q16025758")</f>
        <v>0</v>
      </c>
      <c r="O3554" t="s">
        <v>19969</v>
      </c>
      <c r="P3554" t="s">
        <v>20442</v>
      </c>
      <c r="Q3554" t="s">
        <v>16199</v>
      </c>
      <c r="R3554" t="s">
        <v>414</v>
      </c>
      <c r="S3554">
        <v>1484</v>
      </c>
    </row>
    <row r="3555" spans="1:19">
      <c r="A3555" t="s">
        <v>24</v>
      </c>
      <c r="B3555" t="s">
        <v>148</v>
      </c>
      <c r="C3555" t="s">
        <v>156</v>
      </c>
      <c r="D3555" t="s">
        <v>285</v>
      </c>
      <c r="E3555" t="s">
        <v>414</v>
      </c>
      <c r="F3555">
        <f>HYPERLINK("https://www.wikidata.org/wiki/Q16683508", "Q16683508")</f>
        <v>0</v>
      </c>
      <c r="G3555" t="s">
        <v>2326</v>
      </c>
      <c r="H3555" t="s">
        <v>6916</v>
      </c>
      <c r="I3555" t="s">
        <v>9446</v>
      </c>
      <c r="J3555" t="s">
        <v>12842</v>
      </c>
      <c r="K3555" t="s">
        <v>17390</v>
      </c>
      <c r="L3555">
        <f>HYPERLINK("https://www2.assemblee-nationale.fr/sycomore/fiche/(num_dept)/3346", "3346")</f>
        <v>0</v>
      </c>
      <c r="N3555">
        <f>HYPERLINK("https://www.wikidata.org/wiki/Q3069167", "Q3069167")</f>
        <v>0</v>
      </c>
      <c r="O3555" t="s">
        <v>8449</v>
      </c>
      <c r="P3555" t="s">
        <v>20428</v>
      </c>
      <c r="Q3555" t="s">
        <v>16199</v>
      </c>
      <c r="R3555" t="s">
        <v>414</v>
      </c>
      <c r="S3555">
        <v>1484</v>
      </c>
    </row>
    <row r="3556" spans="1:19">
      <c r="A3556" t="s">
        <v>24</v>
      </c>
      <c r="B3556" t="s">
        <v>148</v>
      </c>
      <c r="C3556" t="s">
        <v>156</v>
      </c>
      <c r="D3556" t="s">
        <v>285</v>
      </c>
      <c r="E3556" t="s">
        <v>414</v>
      </c>
      <c r="F3556">
        <f>HYPERLINK("https://www.wikidata.org/wiki/Q16683508", "Q16683508")</f>
        <v>0</v>
      </c>
      <c r="G3556" t="s">
        <v>2327</v>
      </c>
      <c r="H3556" t="s">
        <v>5856</v>
      </c>
      <c r="I3556" t="s">
        <v>9500</v>
      </c>
      <c r="J3556" t="s">
        <v>12982</v>
      </c>
      <c r="K3556" t="s">
        <v>17391</v>
      </c>
      <c r="L3556">
        <f>HYPERLINK("https://www2.assemblee-nationale.fr/sycomore/fiche/(num_dept)/3431", "3431")</f>
        <v>0</v>
      </c>
      <c r="N3556">
        <f>HYPERLINK("https://www.wikidata.org/wiki/Q16025777", "Q16025777")</f>
        <v>0</v>
      </c>
      <c r="O3556" t="s">
        <v>20041</v>
      </c>
      <c r="P3556" t="s">
        <v>20428</v>
      </c>
      <c r="Q3556" t="s">
        <v>16199</v>
      </c>
      <c r="R3556" t="s">
        <v>414</v>
      </c>
      <c r="S3556">
        <v>1484</v>
      </c>
    </row>
    <row r="3557" spans="1:19">
      <c r="A3557" t="s">
        <v>24</v>
      </c>
      <c r="B3557" t="s">
        <v>148</v>
      </c>
      <c r="C3557" t="s">
        <v>156</v>
      </c>
      <c r="D3557" t="s">
        <v>285</v>
      </c>
      <c r="E3557" t="s">
        <v>414</v>
      </c>
      <c r="F3557">
        <f>HYPERLINK("https://www.wikidata.org/wiki/Q16683508", "Q16683508")</f>
        <v>0</v>
      </c>
      <c r="G3557" t="s">
        <v>2076</v>
      </c>
      <c r="H3557" t="s">
        <v>5424</v>
      </c>
      <c r="I3557" t="s">
        <v>9749</v>
      </c>
      <c r="J3557" t="s">
        <v>12747</v>
      </c>
      <c r="K3557" t="s">
        <v>17158</v>
      </c>
      <c r="L3557">
        <f>HYPERLINK("https://www2.assemblee-nationale.fr/sycomore/fiche/(num_dept)/3499", "3499")</f>
        <v>0</v>
      </c>
      <c r="N3557">
        <f>HYPERLINK("https://www.wikidata.org/wiki/Q3220006", "Q3220006")</f>
        <v>0</v>
      </c>
      <c r="O3557" t="s">
        <v>19965</v>
      </c>
      <c r="P3557" t="s">
        <v>20404</v>
      </c>
      <c r="Q3557" t="s">
        <v>16199</v>
      </c>
      <c r="R3557" t="s">
        <v>414</v>
      </c>
      <c r="S3557">
        <v>1484</v>
      </c>
    </row>
    <row r="3558" spans="1:19">
      <c r="A3558" t="s">
        <v>24</v>
      </c>
      <c r="B3558" t="s">
        <v>148</v>
      </c>
      <c r="C3558" t="s">
        <v>156</v>
      </c>
      <c r="D3558" t="s">
        <v>285</v>
      </c>
      <c r="E3558" t="s">
        <v>414</v>
      </c>
      <c r="F3558">
        <f>HYPERLINK("https://www.wikidata.org/wiki/Q16683508", "Q16683508")</f>
        <v>0</v>
      </c>
      <c r="G3558" t="s">
        <v>1809</v>
      </c>
      <c r="H3558" t="s">
        <v>6474</v>
      </c>
      <c r="I3558" t="s">
        <v>6200</v>
      </c>
      <c r="J3558" t="s">
        <v>12504</v>
      </c>
      <c r="K3558" t="s">
        <v>16914</v>
      </c>
      <c r="L3558">
        <f>HYPERLINK("https://www2.assemblee-nationale.fr/sycomore/fiche/(num_dept)/3531", "3531")</f>
        <v>0</v>
      </c>
      <c r="N3558">
        <f>HYPERLINK("https://www.wikidata.org/wiki/Q3172356", "Q3172356")</f>
        <v>0</v>
      </c>
      <c r="O3558" t="s">
        <v>19969</v>
      </c>
      <c r="P3558" t="s">
        <v>20401</v>
      </c>
      <c r="Q3558" t="s">
        <v>16199</v>
      </c>
      <c r="R3558" t="s">
        <v>414</v>
      </c>
      <c r="S3558">
        <v>1484</v>
      </c>
    </row>
    <row r="3559" spans="1:19">
      <c r="A3559" t="s">
        <v>24</v>
      </c>
      <c r="B3559" t="s">
        <v>148</v>
      </c>
      <c r="C3559" t="s">
        <v>156</v>
      </c>
      <c r="D3559" t="s">
        <v>285</v>
      </c>
      <c r="E3559" t="s">
        <v>414</v>
      </c>
      <c r="F3559">
        <f>HYPERLINK("https://www.wikidata.org/wiki/Q16683508", "Q16683508")</f>
        <v>0</v>
      </c>
      <c r="G3559" t="s">
        <v>1959</v>
      </c>
      <c r="H3559" t="s">
        <v>6600</v>
      </c>
      <c r="I3559" t="s">
        <v>9465</v>
      </c>
      <c r="J3559" t="s">
        <v>12642</v>
      </c>
      <c r="K3559" t="s">
        <v>17052</v>
      </c>
      <c r="L3559">
        <f>HYPERLINK("https://www2.assemblee-nationale.fr/sycomore/fiche/(num_dept)/3536", "3536")</f>
        <v>0</v>
      </c>
      <c r="N3559">
        <f>HYPERLINK("https://www.wikidata.org/wiki/Q15971701", "Q15971701")</f>
        <v>0</v>
      </c>
      <c r="O3559" t="s">
        <v>20028</v>
      </c>
      <c r="P3559" t="s">
        <v>20428</v>
      </c>
      <c r="Q3559" t="s">
        <v>16199</v>
      </c>
      <c r="R3559" t="s">
        <v>414</v>
      </c>
      <c r="S3559">
        <v>1484</v>
      </c>
    </row>
    <row r="3560" spans="1:19">
      <c r="A3560" t="s">
        <v>24</v>
      </c>
      <c r="B3560" t="s">
        <v>148</v>
      </c>
      <c r="C3560" t="s">
        <v>156</v>
      </c>
      <c r="D3560" t="s">
        <v>285</v>
      </c>
      <c r="E3560" t="s">
        <v>414</v>
      </c>
      <c r="F3560">
        <f>HYPERLINK("https://www.wikidata.org/wiki/Q16683508", "Q16683508")</f>
        <v>0</v>
      </c>
      <c r="G3560" t="s">
        <v>2081</v>
      </c>
      <c r="H3560" t="s">
        <v>6707</v>
      </c>
      <c r="I3560" t="s">
        <v>9552</v>
      </c>
      <c r="J3560" t="s">
        <v>12752</v>
      </c>
      <c r="K3560" t="s">
        <v>17163</v>
      </c>
      <c r="L3560">
        <f>HYPERLINK("https://www2.assemblee-nationale.fr/sycomore/fiche/(num_dept)/3558", "3558")</f>
        <v>0</v>
      </c>
      <c r="N3560">
        <f>HYPERLINK("https://www.wikidata.org/wiki/Q2871211", "Q2871211")</f>
        <v>0</v>
      </c>
      <c r="O3560" t="s">
        <v>19969</v>
      </c>
      <c r="P3560" t="s">
        <v>20428</v>
      </c>
      <c r="Q3560" t="s">
        <v>16199</v>
      </c>
      <c r="R3560" t="s">
        <v>414</v>
      </c>
      <c r="S3560">
        <v>1484</v>
      </c>
    </row>
    <row r="3561" spans="1:19">
      <c r="A3561" t="s">
        <v>24</v>
      </c>
      <c r="B3561" t="s">
        <v>148</v>
      </c>
      <c r="C3561" t="s">
        <v>156</v>
      </c>
      <c r="D3561" t="s">
        <v>285</v>
      </c>
      <c r="E3561" t="s">
        <v>414</v>
      </c>
      <c r="F3561">
        <f>HYPERLINK("https://www.wikidata.org/wiki/Q16683508", "Q16683508")</f>
        <v>0</v>
      </c>
      <c r="G3561" t="s">
        <v>2328</v>
      </c>
      <c r="H3561" t="s">
        <v>6917</v>
      </c>
      <c r="I3561" t="s">
        <v>10174</v>
      </c>
      <c r="J3561" t="s">
        <v>12983</v>
      </c>
      <c r="K3561" t="s">
        <v>17392</v>
      </c>
      <c r="L3561">
        <f>HYPERLINK("https://www2.assemblee-nationale.fr/sycomore/fiche/(num_dept)/3564", "3564")</f>
        <v>0</v>
      </c>
      <c r="N3561">
        <f>HYPERLINK("https://www.wikidata.org/wiki/Q16025810", "Q16025810")</f>
        <v>0</v>
      </c>
      <c r="O3561" t="s">
        <v>19969</v>
      </c>
      <c r="P3561" t="s">
        <v>20404</v>
      </c>
      <c r="Q3561" t="s">
        <v>16199</v>
      </c>
      <c r="R3561" t="s">
        <v>414</v>
      </c>
      <c r="S3561">
        <v>1484</v>
      </c>
    </row>
    <row r="3562" spans="1:19">
      <c r="A3562" t="s">
        <v>24</v>
      </c>
      <c r="B3562" t="s">
        <v>148</v>
      </c>
      <c r="C3562" t="s">
        <v>156</v>
      </c>
      <c r="D3562" t="s">
        <v>285</v>
      </c>
      <c r="E3562" t="s">
        <v>414</v>
      </c>
      <c r="F3562">
        <f>HYPERLINK("https://www.wikidata.org/wiki/Q16683508", "Q16683508")</f>
        <v>0</v>
      </c>
      <c r="G3562" t="s">
        <v>2207</v>
      </c>
      <c r="H3562" t="s">
        <v>6817</v>
      </c>
      <c r="I3562" t="s">
        <v>9442</v>
      </c>
      <c r="J3562" t="s">
        <v>12868</v>
      </c>
      <c r="K3562" t="s">
        <v>17280</v>
      </c>
      <c r="L3562">
        <f>HYPERLINK("https://www2.assemblee-nationale.fr/sycomore/fiche/(num_dept)/3582", "3582")</f>
        <v>0</v>
      </c>
      <c r="N3562">
        <f>HYPERLINK("https://www.wikidata.org/wiki/Q16025811", "Q16025811")</f>
        <v>0</v>
      </c>
      <c r="O3562" t="s">
        <v>19981</v>
      </c>
      <c r="P3562" t="s">
        <v>20409</v>
      </c>
      <c r="Q3562" t="s">
        <v>16199</v>
      </c>
      <c r="R3562" t="s">
        <v>414</v>
      </c>
      <c r="S3562">
        <v>1484</v>
      </c>
    </row>
    <row r="3563" spans="1:19">
      <c r="A3563" t="s">
        <v>24</v>
      </c>
      <c r="B3563" t="s">
        <v>148</v>
      </c>
      <c r="C3563" t="s">
        <v>156</v>
      </c>
      <c r="D3563" t="s">
        <v>285</v>
      </c>
      <c r="E3563" t="s">
        <v>414</v>
      </c>
      <c r="F3563">
        <f>HYPERLINK("https://www.wikidata.org/wiki/Q16683508", "Q16683508")</f>
        <v>0</v>
      </c>
      <c r="G3563" t="s">
        <v>2329</v>
      </c>
      <c r="H3563" t="s">
        <v>6918</v>
      </c>
      <c r="I3563" t="s">
        <v>6585</v>
      </c>
      <c r="J3563" t="s">
        <v>12171</v>
      </c>
      <c r="K3563" t="s">
        <v>17393</v>
      </c>
      <c r="L3563">
        <f>HYPERLINK("https://www2.assemblee-nationale.fr/sycomore/fiche/(num_dept)/3592", "3592")</f>
        <v>0</v>
      </c>
      <c r="N3563">
        <f>HYPERLINK("https://www.wikidata.org/wiki/Q2847884", "Q2847884")</f>
        <v>0</v>
      </c>
      <c r="O3563" t="s">
        <v>19969</v>
      </c>
      <c r="P3563" t="s">
        <v>20428</v>
      </c>
      <c r="Q3563" t="s">
        <v>16199</v>
      </c>
      <c r="R3563" t="s">
        <v>414</v>
      </c>
      <c r="S3563">
        <v>1484</v>
      </c>
    </row>
    <row r="3564" spans="1:19">
      <c r="A3564" t="s">
        <v>24</v>
      </c>
      <c r="B3564" t="s">
        <v>148</v>
      </c>
      <c r="C3564" t="s">
        <v>156</v>
      </c>
      <c r="D3564" t="s">
        <v>285</v>
      </c>
      <c r="E3564" t="s">
        <v>414</v>
      </c>
      <c r="F3564">
        <f>HYPERLINK("https://www.wikidata.org/wiki/Q16683508", "Q16683508")</f>
        <v>0</v>
      </c>
      <c r="G3564" t="s">
        <v>2082</v>
      </c>
      <c r="H3564" t="s">
        <v>6475</v>
      </c>
      <c r="I3564" t="s">
        <v>10074</v>
      </c>
      <c r="J3564" t="s">
        <v>12753</v>
      </c>
      <c r="K3564" t="s">
        <v>17164</v>
      </c>
      <c r="L3564">
        <f>HYPERLINK("https://www2.assemblee-nationale.fr/sycomore/fiche/(num_dept)/3598", "3598")</f>
        <v>0</v>
      </c>
      <c r="N3564">
        <f>HYPERLINK("https://www.wikidata.org/wiki/Q2864451", "Q2864451")</f>
        <v>0</v>
      </c>
      <c r="O3564" t="s">
        <v>20041</v>
      </c>
      <c r="P3564" t="s">
        <v>20404</v>
      </c>
      <c r="Q3564" t="s">
        <v>16199</v>
      </c>
      <c r="R3564" t="s">
        <v>414</v>
      </c>
      <c r="S3564">
        <v>1484</v>
      </c>
    </row>
    <row r="3565" spans="1:19">
      <c r="A3565" t="s">
        <v>24</v>
      </c>
      <c r="B3565" t="s">
        <v>148</v>
      </c>
      <c r="C3565" t="s">
        <v>156</v>
      </c>
      <c r="D3565" t="s">
        <v>285</v>
      </c>
      <c r="E3565" t="s">
        <v>414</v>
      </c>
      <c r="F3565">
        <f>HYPERLINK("https://www.wikidata.org/wiki/Q16683508", "Q16683508")</f>
        <v>0</v>
      </c>
      <c r="G3565" t="s">
        <v>1810</v>
      </c>
      <c r="H3565" t="s">
        <v>6475</v>
      </c>
      <c r="I3565" t="s">
        <v>6495</v>
      </c>
      <c r="J3565" t="s">
        <v>12328</v>
      </c>
      <c r="K3565" t="s">
        <v>16915</v>
      </c>
      <c r="L3565">
        <f>HYPERLINK("https://www2.assemblee-nationale.fr/sycomore/fiche/(num_dept)/3600", "3600")</f>
        <v>0</v>
      </c>
      <c r="N3565">
        <f>HYPERLINK("https://www.wikidata.org/wiki/Q3262089", "Q3262089")</f>
        <v>0</v>
      </c>
      <c r="O3565" t="s">
        <v>20047</v>
      </c>
      <c r="P3565" t="s">
        <v>20404</v>
      </c>
      <c r="Q3565" t="s">
        <v>16199</v>
      </c>
      <c r="R3565" t="s">
        <v>21439</v>
      </c>
      <c r="S3565">
        <v>1363</v>
      </c>
    </row>
    <row r="3566" spans="1:19">
      <c r="A3566" t="s">
        <v>24</v>
      </c>
      <c r="B3566" t="s">
        <v>148</v>
      </c>
      <c r="C3566" t="s">
        <v>156</v>
      </c>
      <c r="D3566" t="s">
        <v>285</v>
      </c>
      <c r="E3566" t="s">
        <v>414</v>
      </c>
      <c r="F3566">
        <f>HYPERLINK("https://www.wikidata.org/wiki/Q16683508", "Q16683508")</f>
        <v>0</v>
      </c>
      <c r="G3566" t="s">
        <v>671</v>
      </c>
      <c r="H3566" t="s">
        <v>5430</v>
      </c>
      <c r="I3566" t="s">
        <v>9457</v>
      </c>
      <c r="J3566" t="s">
        <v>11421</v>
      </c>
      <c r="K3566" t="s">
        <v>15822</v>
      </c>
      <c r="L3566">
        <f>HYPERLINK("https://www2.assemblee-nationale.fr/sycomore/fiche/(num_dept)/3605", "3605")</f>
        <v>0</v>
      </c>
      <c r="N3566">
        <f>HYPERLINK("https://www.wikidata.org/wiki/Q3130359", "Q3130359")</f>
        <v>0</v>
      </c>
      <c r="O3566" t="s">
        <v>20013</v>
      </c>
      <c r="P3566" t="s">
        <v>20414</v>
      </c>
      <c r="Q3566" t="s">
        <v>16199</v>
      </c>
      <c r="R3566" t="s">
        <v>414</v>
      </c>
      <c r="S3566">
        <v>1484</v>
      </c>
    </row>
    <row r="3567" spans="1:19">
      <c r="A3567" t="s">
        <v>24</v>
      </c>
      <c r="B3567" t="s">
        <v>148</v>
      </c>
      <c r="C3567" t="s">
        <v>156</v>
      </c>
      <c r="D3567" t="s">
        <v>285</v>
      </c>
      <c r="E3567" t="s">
        <v>414</v>
      </c>
      <c r="F3567">
        <f>HYPERLINK("https://www.wikidata.org/wiki/Q16683508", "Q16683508")</f>
        <v>0</v>
      </c>
      <c r="G3567" t="s">
        <v>1179</v>
      </c>
      <c r="H3567" t="s">
        <v>5910</v>
      </c>
      <c r="I3567" t="s">
        <v>9388</v>
      </c>
      <c r="J3567" t="s">
        <v>11912</v>
      </c>
      <c r="K3567" t="s">
        <v>16314</v>
      </c>
      <c r="L3567">
        <f>HYPERLINK("https://www2.assemblee-nationale.fr/sycomore/fiche/(num_dept)/3611", "3611")</f>
        <v>0</v>
      </c>
      <c r="N3567">
        <f>HYPERLINK("https://www.wikidata.org/wiki/Q8344003", "Q8344003")</f>
        <v>0</v>
      </c>
      <c r="O3567" t="s">
        <v>20002</v>
      </c>
      <c r="P3567" t="s">
        <v>20428</v>
      </c>
      <c r="Q3567" t="s">
        <v>16199</v>
      </c>
      <c r="R3567" t="s">
        <v>414</v>
      </c>
      <c r="S3567">
        <v>1484</v>
      </c>
    </row>
    <row r="3568" spans="1:19">
      <c r="A3568" t="s">
        <v>24</v>
      </c>
      <c r="B3568" t="s">
        <v>148</v>
      </c>
      <c r="C3568" t="s">
        <v>156</v>
      </c>
      <c r="D3568" t="s">
        <v>285</v>
      </c>
      <c r="E3568" t="s">
        <v>414</v>
      </c>
      <c r="F3568">
        <f>HYPERLINK("https://www.wikidata.org/wiki/Q16683508", "Q16683508")</f>
        <v>0</v>
      </c>
      <c r="G3568" t="s">
        <v>2330</v>
      </c>
      <c r="H3568" t="s">
        <v>6919</v>
      </c>
      <c r="I3568" t="s">
        <v>9606</v>
      </c>
      <c r="J3568" t="s">
        <v>12984</v>
      </c>
      <c r="K3568" t="s">
        <v>17394</v>
      </c>
      <c r="L3568">
        <f>HYPERLINK("https://www2.assemblee-nationale.fr/sycomore/fiche/(num_dept)/3616", "3616")</f>
        <v>0</v>
      </c>
      <c r="N3568">
        <f>HYPERLINK("https://www.wikidata.org/wiki/Q3172412", "Q3172412")</f>
        <v>0</v>
      </c>
      <c r="O3568" t="s">
        <v>20000</v>
      </c>
      <c r="P3568" t="s">
        <v>20401</v>
      </c>
      <c r="Q3568" t="s">
        <v>16199</v>
      </c>
      <c r="R3568" t="s">
        <v>414</v>
      </c>
      <c r="S3568">
        <v>1484</v>
      </c>
    </row>
    <row r="3569" spans="1:19">
      <c r="A3569" t="s">
        <v>24</v>
      </c>
      <c r="B3569" t="s">
        <v>148</v>
      </c>
      <c r="C3569" t="s">
        <v>156</v>
      </c>
      <c r="D3569" t="s">
        <v>285</v>
      </c>
      <c r="E3569" t="s">
        <v>414</v>
      </c>
      <c r="F3569">
        <f>HYPERLINK("https://www.wikidata.org/wiki/Q16683508", "Q16683508")</f>
        <v>0</v>
      </c>
      <c r="G3569" t="s">
        <v>2085</v>
      </c>
      <c r="H3569" t="s">
        <v>6710</v>
      </c>
      <c r="I3569" t="s">
        <v>9457</v>
      </c>
      <c r="J3569" t="s">
        <v>12756</v>
      </c>
      <c r="K3569" t="s">
        <v>17167</v>
      </c>
      <c r="L3569">
        <f>HYPERLINK("https://www2.assemblee-nationale.fr/sycomore/fiche/(num_dept)/3635", "3635")</f>
        <v>0</v>
      </c>
      <c r="N3569">
        <f>HYPERLINK("https://www.wikidata.org/wiki/Q3131234", "Q3131234")</f>
        <v>0</v>
      </c>
      <c r="O3569" t="s">
        <v>20015</v>
      </c>
      <c r="P3569" t="s">
        <v>20428</v>
      </c>
      <c r="Q3569" t="s">
        <v>16199</v>
      </c>
      <c r="R3569" t="s">
        <v>414</v>
      </c>
      <c r="S3569">
        <v>1484</v>
      </c>
    </row>
    <row r="3570" spans="1:19">
      <c r="A3570" t="s">
        <v>24</v>
      </c>
      <c r="B3570" t="s">
        <v>148</v>
      </c>
      <c r="C3570" t="s">
        <v>156</v>
      </c>
      <c r="D3570" t="s">
        <v>285</v>
      </c>
      <c r="E3570" t="s">
        <v>414</v>
      </c>
      <c r="F3570">
        <f>HYPERLINK("https://www.wikidata.org/wiki/Q16683508", "Q16683508")</f>
        <v>0</v>
      </c>
      <c r="G3570" t="s">
        <v>2331</v>
      </c>
      <c r="H3570" t="s">
        <v>6712</v>
      </c>
      <c r="I3570" t="s">
        <v>6495</v>
      </c>
      <c r="J3570" t="s">
        <v>12985</v>
      </c>
      <c r="K3570" t="s">
        <v>17395</v>
      </c>
      <c r="L3570">
        <f>HYPERLINK("https://www2.assemblee-nationale.fr/sycomore/fiche/(num_dept)/3684", "3684")</f>
        <v>0</v>
      </c>
      <c r="N3570">
        <f>HYPERLINK("https://www.wikidata.org/wiki/Q3262111", "Q3262111")</f>
        <v>0</v>
      </c>
      <c r="O3570" t="s">
        <v>20017</v>
      </c>
      <c r="P3570" t="s">
        <v>20435</v>
      </c>
      <c r="Q3570" t="s">
        <v>16199</v>
      </c>
      <c r="R3570" t="s">
        <v>414</v>
      </c>
      <c r="S3570">
        <v>1484</v>
      </c>
    </row>
    <row r="3571" spans="1:19">
      <c r="A3571" t="s">
        <v>24</v>
      </c>
      <c r="B3571" t="s">
        <v>148</v>
      </c>
      <c r="C3571" t="s">
        <v>156</v>
      </c>
      <c r="D3571" t="s">
        <v>285</v>
      </c>
      <c r="E3571" t="s">
        <v>414</v>
      </c>
      <c r="F3571">
        <f>HYPERLINK("https://www.wikidata.org/wiki/Q16683508", "Q16683508")</f>
        <v>0</v>
      </c>
      <c r="G3571" t="s">
        <v>2203</v>
      </c>
      <c r="H3571" t="s">
        <v>6813</v>
      </c>
      <c r="I3571" t="s">
        <v>6166</v>
      </c>
      <c r="J3571" t="s">
        <v>12865</v>
      </c>
      <c r="K3571" t="s">
        <v>17277</v>
      </c>
      <c r="L3571">
        <f>HYPERLINK("https://www2.assemblee-nationale.fr/sycomore/fiche/(num_dept)/3751", "3751")</f>
        <v>0</v>
      </c>
      <c r="N3571">
        <f>HYPERLINK("https://www.wikidata.org/wiki/Q3083328", "Q3083328")</f>
        <v>0</v>
      </c>
      <c r="O3571" t="s">
        <v>20009</v>
      </c>
      <c r="P3571" t="s">
        <v>20420</v>
      </c>
      <c r="Q3571" t="s">
        <v>16199</v>
      </c>
      <c r="R3571" t="s">
        <v>414</v>
      </c>
      <c r="S3571">
        <v>1484</v>
      </c>
    </row>
    <row r="3572" spans="1:19">
      <c r="A3572" t="s">
        <v>24</v>
      </c>
      <c r="B3572" t="s">
        <v>148</v>
      </c>
      <c r="C3572" t="s">
        <v>156</v>
      </c>
      <c r="D3572" t="s">
        <v>285</v>
      </c>
      <c r="E3572" t="s">
        <v>414</v>
      </c>
      <c r="F3572">
        <f>HYPERLINK("https://www.wikidata.org/wiki/Q16683508", "Q16683508")</f>
        <v>0</v>
      </c>
      <c r="G3572" t="s">
        <v>2332</v>
      </c>
      <c r="H3572" t="s">
        <v>6920</v>
      </c>
      <c r="I3572" t="s">
        <v>7265</v>
      </c>
      <c r="J3572" t="s">
        <v>12986</v>
      </c>
      <c r="K3572" t="s">
        <v>17396</v>
      </c>
      <c r="L3572">
        <f>HYPERLINK("https://www2.assemblee-nationale.fr/sycomore/fiche/(num_dept)/3798", "3798")</f>
        <v>0</v>
      </c>
      <c r="N3572">
        <f>HYPERLINK("https://www.wikidata.org/wiki/Q527116", "Q527116")</f>
        <v>0</v>
      </c>
      <c r="O3572" t="s">
        <v>19987</v>
      </c>
      <c r="P3572" t="s">
        <v>20414</v>
      </c>
      <c r="Q3572" t="s">
        <v>16199</v>
      </c>
      <c r="R3572" t="s">
        <v>414</v>
      </c>
      <c r="S3572">
        <v>1484</v>
      </c>
    </row>
    <row r="3573" spans="1:19">
      <c r="A3573" t="s">
        <v>24</v>
      </c>
      <c r="B3573" t="s">
        <v>148</v>
      </c>
      <c r="C3573" t="s">
        <v>156</v>
      </c>
      <c r="D3573" t="s">
        <v>285</v>
      </c>
      <c r="E3573" t="s">
        <v>414</v>
      </c>
      <c r="F3573">
        <f>HYPERLINK("https://www.wikidata.org/wiki/Q16683508", "Q16683508")</f>
        <v>0</v>
      </c>
      <c r="G3573" t="s">
        <v>1814</v>
      </c>
      <c r="H3573" t="s">
        <v>6479</v>
      </c>
      <c r="I3573" t="s">
        <v>9523</v>
      </c>
      <c r="J3573" t="s">
        <v>12508</v>
      </c>
      <c r="K3573" t="s">
        <v>16919</v>
      </c>
      <c r="L3573">
        <f>HYPERLINK("https://www2.assemblee-nationale.fr/sycomore/fiche/(num_dept)/3804", "3804")</f>
        <v>0</v>
      </c>
      <c r="N3573">
        <f>HYPERLINK("https://www.wikidata.org/wiki/Q339436", "Q339436")</f>
        <v>0</v>
      </c>
      <c r="O3573" t="s">
        <v>19969</v>
      </c>
      <c r="P3573" t="s">
        <v>20438</v>
      </c>
      <c r="Q3573" t="s">
        <v>16199</v>
      </c>
      <c r="R3573" t="s">
        <v>414</v>
      </c>
      <c r="S3573">
        <v>1484</v>
      </c>
    </row>
    <row r="3574" spans="1:19">
      <c r="A3574" t="s">
        <v>24</v>
      </c>
      <c r="B3574" t="s">
        <v>148</v>
      </c>
      <c r="C3574" t="s">
        <v>156</v>
      </c>
      <c r="D3574" t="s">
        <v>285</v>
      </c>
      <c r="E3574" t="s">
        <v>414</v>
      </c>
      <c r="F3574">
        <f>HYPERLINK("https://www.wikidata.org/wiki/Q16683508", "Q16683508")</f>
        <v>0</v>
      </c>
      <c r="G3574" t="s">
        <v>1817</v>
      </c>
      <c r="H3574" t="s">
        <v>6481</v>
      </c>
      <c r="I3574" t="s">
        <v>6860</v>
      </c>
      <c r="J3574" t="s">
        <v>12511</v>
      </c>
      <c r="K3574" t="s">
        <v>16001</v>
      </c>
      <c r="L3574">
        <f>HYPERLINK("https://www2.assemblee-nationale.fr/sycomore/fiche/(num_dept)/3904", "3904")</f>
        <v>0</v>
      </c>
      <c r="N3574">
        <f>HYPERLINK("https://www.wikidata.org/wiki/Q3385472", "Q3385472")</f>
        <v>0</v>
      </c>
      <c r="O3574" t="s">
        <v>19982</v>
      </c>
      <c r="P3574" t="s">
        <v>20428</v>
      </c>
      <c r="Q3574" t="s">
        <v>16199</v>
      </c>
      <c r="R3574" t="s">
        <v>414</v>
      </c>
      <c r="S3574">
        <v>1484</v>
      </c>
    </row>
    <row r="3575" spans="1:19">
      <c r="A3575" t="s">
        <v>24</v>
      </c>
      <c r="B3575" t="s">
        <v>148</v>
      </c>
      <c r="C3575" t="s">
        <v>156</v>
      </c>
      <c r="D3575" t="s">
        <v>285</v>
      </c>
      <c r="E3575" t="s">
        <v>414</v>
      </c>
      <c r="F3575">
        <f>HYPERLINK("https://www.wikidata.org/wiki/Q16683508", "Q16683508")</f>
        <v>0</v>
      </c>
      <c r="G3575" t="s">
        <v>2333</v>
      </c>
      <c r="H3575" t="s">
        <v>6921</v>
      </c>
      <c r="I3575" t="s">
        <v>9569</v>
      </c>
      <c r="J3575" t="s">
        <v>12987</v>
      </c>
      <c r="K3575" t="s">
        <v>17397</v>
      </c>
      <c r="L3575">
        <f>HYPERLINK("https://www2.assemblee-nationale.fr/sycomore/fiche/(num_dept)/3914", "3914")</f>
        <v>0</v>
      </c>
      <c r="N3575">
        <f>HYPERLINK("https://www.wikidata.org/wiki/Q3265547", "Q3265547")</f>
        <v>0</v>
      </c>
      <c r="O3575" t="s">
        <v>20006</v>
      </c>
      <c r="P3575" t="s">
        <v>20404</v>
      </c>
      <c r="Q3575" t="s">
        <v>16199</v>
      </c>
      <c r="R3575" t="s">
        <v>414</v>
      </c>
      <c r="S3575">
        <v>1484</v>
      </c>
    </row>
    <row r="3576" spans="1:19">
      <c r="A3576" t="s">
        <v>24</v>
      </c>
      <c r="B3576" t="s">
        <v>148</v>
      </c>
      <c r="C3576" t="s">
        <v>156</v>
      </c>
      <c r="D3576" t="s">
        <v>285</v>
      </c>
      <c r="E3576" t="s">
        <v>414</v>
      </c>
      <c r="F3576">
        <f>HYPERLINK("https://www.wikidata.org/wiki/Q16683508", "Q16683508")</f>
        <v>0</v>
      </c>
      <c r="G3576" t="s">
        <v>2093</v>
      </c>
      <c r="H3576" t="s">
        <v>6717</v>
      </c>
      <c r="I3576" t="s">
        <v>10079</v>
      </c>
      <c r="J3576" t="s">
        <v>12762</v>
      </c>
      <c r="K3576" t="s">
        <v>17175</v>
      </c>
      <c r="L3576">
        <f>HYPERLINK("https://www2.assemblee-nationale.fr/sycomore/fiche/(num_dept)/3919", "3919")</f>
        <v>0</v>
      </c>
      <c r="N3576">
        <f>HYPERLINK("https://www.wikidata.org/wiki/Q3302161", "Q3302161")</f>
        <v>0</v>
      </c>
      <c r="O3576" t="s">
        <v>19975</v>
      </c>
      <c r="P3576" t="s">
        <v>20404</v>
      </c>
      <c r="Q3576" t="s">
        <v>16199</v>
      </c>
      <c r="R3576" t="s">
        <v>414</v>
      </c>
      <c r="S3576">
        <v>1484</v>
      </c>
    </row>
    <row r="3577" spans="1:19">
      <c r="A3577" t="s">
        <v>24</v>
      </c>
      <c r="B3577" t="s">
        <v>148</v>
      </c>
      <c r="C3577" t="s">
        <v>156</v>
      </c>
      <c r="D3577" t="s">
        <v>285</v>
      </c>
      <c r="E3577" t="s">
        <v>414</v>
      </c>
      <c r="F3577">
        <f>HYPERLINK("https://www.wikidata.org/wiki/Q16683508", "Q16683508")</f>
        <v>0</v>
      </c>
      <c r="G3577" t="s">
        <v>1262</v>
      </c>
      <c r="H3577" t="s">
        <v>5986</v>
      </c>
      <c r="I3577" t="s">
        <v>6584</v>
      </c>
      <c r="J3577" t="s">
        <v>11992</v>
      </c>
      <c r="K3577" t="s">
        <v>16395</v>
      </c>
      <c r="L3577">
        <f>HYPERLINK("https://www2.assemblee-nationale.fr/sycomore/fiche/(num_dept)/3932", "3932")</f>
        <v>0</v>
      </c>
      <c r="N3577">
        <f>HYPERLINK("https://www.wikidata.org/wiki/Q16011383", "Q16011383")</f>
        <v>0</v>
      </c>
      <c r="O3577" t="s">
        <v>20013</v>
      </c>
      <c r="P3577" t="s">
        <v>20404</v>
      </c>
      <c r="Q3577" t="s">
        <v>16199</v>
      </c>
      <c r="R3577" t="s">
        <v>414</v>
      </c>
      <c r="S3577">
        <v>1484</v>
      </c>
    </row>
    <row r="3578" spans="1:19">
      <c r="A3578" t="s">
        <v>24</v>
      </c>
      <c r="B3578" t="s">
        <v>148</v>
      </c>
      <c r="C3578" t="s">
        <v>156</v>
      </c>
      <c r="D3578" t="s">
        <v>285</v>
      </c>
      <c r="E3578" t="s">
        <v>414</v>
      </c>
      <c r="F3578">
        <f>HYPERLINK("https://www.wikidata.org/wiki/Q16683508", "Q16683508")</f>
        <v>0</v>
      </c>
      <c r="G3578" t="s">
        <v>2334</v>
      </c>
      <c r="H3578" t="s">
        <v>6922</v>
      </c>
      <c r="I3578" t="s">
        <v>9552</v>
      </c>
      <c r="J3578" t="s">
        <v>12988</v>
      </c>
      <c r="K3578" t="s">
        <v>17398</v>
      </c>
      <c r="L3578">
        <f>HYPERLINK("https://www2.assemblee-nationale.fr/sycomore/fiche/(num_dept)/3957", "3957")</f>
        <v>0</v>
      </c>
      <c r="N3578">
        <f>HYPERLINK("https://www.wikidata.org/wiki/Q16529500", "Q16529500")</f>
        <v>0</v>
      </c>
      <c r="O3578" t="s">
        <v>20002</v>
      </c>
      <c r="P3578" t="s">
        <v>20401</v>
      </c>
      <c r="Q3578" t="s">
        <v>16199</v>
      </c>
      <c r="R3578" t="s">
        <v>414</v>
      </c>
      <c r="S3578">
        <v>1484</v>
      </c>
    </row>
    <row r="3579" spans="1:19">
      <c r="A3579" t="s">
        <v>24</v>
      </c>
      <c r="B3579" t="s">
        <v>148</v>
      </c>
      <c r="C3579" t="s">
        <v>156</v>
      </c>
      <c r="D3579" t="s">
        <v>285</v>
      </c>
      <c r="E3579" t="s">
        <v>414</v>
      </c>
      <c r="F3579">
        <f>HYPERLINK("https://www.wikidata.org/wiki/Q16683508", "Q16683508")</f>
        <v>0</v>
      </c>
      <c r="G3579" t="s">
        <v>689</v>
      </c>
      <c r="H3579" t="s">
        <v>5447</v>
      </c>
      <c r="I3579" t="s">
        <v>9388</v>
      </c>
      <c r="J3579" t="s">
        <v>11439</v>
      </c>
      <c r="K3579" t="s">
        <v>15840</v>
      </c>
      <c r="L3579">
        <f>HYPERLINK("https://www2.assemblee-nationale.fr/sycomore/fiche/(num_dept)/3970", "3970")</f>
        <v>0</v>
      </c>
      <c r="M3579">
        <f>HYPERLINK("https://www.senat.fr/senateur-3eme-republique/jacquier_paul1310r3.html", "jacquier_paul1310r3")</f>
        <v>0</v>
      </c>
      <c r="N3579">
        <f>HYPERLINK("https://www.wikidata.org/wiki/Q3371508", "Q3371508")</f>
        <v>0</v>
      </c>
      <c r="O3579" t="s">
        <v>20018</v>
      </c>
      <c r="P3579" t="s">
        <v>20428</v>
      </c>
      <c r="Q3579" t="s">
        <v>16199</v>
      </c>
      <c r="R3579" t="s">
        <v>21448</v>
      </c>
      <c r="S3579">
        <v>1284</v>
      </c>
    </row>
    <row r="3580" spans="1:19">
      <c r="A3580" t="s">
        <v>24</v>
      </c>
      <c r="B3580" t="s">
        <v>148</v>
      </c>
      <c r="C3580" t="s">
        <v>156</v>
      </c>
      <c r="D3580" t="s">
        <v>285</v>
      </c>
      <c r="E3580" t="s">
        <v>414</v>
      </c>
      <c r="F3580">
        <f>HYPERLINK("https://www.wikidata.org/wiki/Q16683508", "Q16683508")</f>
        <v>0</v>
      </c>
      <c r="G3580" t="s">
        <v>2222</v>
      </c>
      <c r="H3580" t="s">
        <v>6831</v>
      </c>
      <c r="I3580" t="s">
        <v>6759</v>
      </c>
      <c r="J3580" t="s">
        <v>12883</v>
      </c>
      <c r="K3580" t="s">
        <v>17295</v>
      </c>
      <c r="L3580">
        <f>HYPERLINK("https://www2.assemblee-nationale.fr/sycomore/fiche/(num_dept)/4001", "4001")</f>
        <v>0</v>
      </c>
      <c r="N3580">
        <f>HYPERLINK("https://www.wikidata.org/wiki/Q16025867", "Q16025867")</f>
        <v>0</v>
      </c>
      <c r="O3580" t="s">
        <v>19969</v>
      </c>
      <c r="P3580" t="s">
        <v>20404</v>
      </c>
      <c r="Q3580" t="s">
        <v>16199</v>
      </c>
      <c r="R3580" t="s">
        <v>414</v>
      </c>
      <c r="S3580">
        <v>1484</v>
      </c>
    </row>
    <row r="3581" spans="1:19">
      <c r="A3581" t="s">
        <v>24</v>
      </c>
      <c r="B3581" t="s">
        <v>148</v>
      </c>
      <c r="C3581" t="s">
        <v>156</v>
      </c>
      <c r="D3581" t="s">
        <v>285</v>
      </c>
      <c r="E3581" t="s">
        <v>414</v>
      </c>
      <c r="F3581">
        <f>HYPERLINK("https://www.wikidata.org/wiki/Q16683508", "Q16683508")</f>
        <v>0</v>
      </c>
      <c r="G3581" t="s">
        <v>2335</v>
      </c>
      <c r="H3581" t="s">
        <v>6923</v>
      </c>
      <c r="I3581" t="s">
        <v>6759</v>
      </c>
      <c r="J3581" t="s">
        <v>12989</v>
      </c>
      <c r="K3581" t="s">
        <v>17399</v>
      </c>
      <c r="L3581">
        <f>HYPERLINK("https://www2.assemblee-nationale.fr/sycomore/fiche/(num_dept)/4002", "4002")</f>
        <v>0</v>
      </c>
      <c r="N3581">
        <f>HYPERLINK("https://www.wikidata.org/wiki/Q3435526", "Q3435526")</f>
        <v>0</v>
      </c>
      <c r="O3581" t="s">
        <v>20002</v>
      </c>
      <c r="P3581" t="s">
        <v>20404</v>
      </c>
      <c r="Q3581" t="s">
        <v>16199</v>
      </c>
      <c r="R3581" t="s">
        <v>414</v>
      </c>
      <c r="S3581">
        <v>1484</v>
      </c>
    </row>
    <row r="3582" spans="1:19">
      <c r="A3582" t="s">
        <v>24</v>
      </c>
      <c r="B3582" t="s">
        <v>148</v>
      </c>
      <c r="C3582" t="s">
        <v>156</v>
      </c>
      <c r="D3582" t="s">
        <v>285</v>
      </c>
      <c r="E3582" t="s">
        <v>414</v>
      </c>
      <c r="F3582">
        <f>HYPERLINK("https://www.wikidata.org/wiki/Q16683508", "Q16683508")</f>
        <v>0</v>
      </c>
      <c r="G3582" t="s">
        <v>2095</v>
      </c>
      <c r="H3582" t="s">
        <v>6719</v>
      </c>
      <c r="I3582" t="s">
        <v>10080</v>
      </c>
      <c r="J3582" t="s">
        <v>12764</v>
      </c>
      <c r="K3582" t="s">
        <v>17177</v>
      </c>
      <c r="L3582">
        <f>HYPERLINK("https://www2.assemblee-nationale.fr/sycomore/fiche/(num_dept)/4009", "4009")</f>
        <v>0</v>
      </c>
      <c r="N3582">
        <f>HYPERLINK("https://www.wikidata.org/wiki/Q3163678", "Q3163678")</f>
        <v>0</v>
      </c>
      <c r="O3582" t="s">
        <v>20020</v>
      </c>
      <c r="P3582" t="s">
        <v>20428</v>
      </c>
      <c r="Q3582" t="s">
        <v>16199</v>
      </c>
      <c r="R3582" t="s">
        <v>414</v>
      </c>
      <c r="S3582">
        <v>1484</v>
      </c>
    </row>
    <row r="3583" spans="1:19">
      <c r="A3583" t="s">
        <v>24</v>
      </c>
      <c r="B3583" t="s">
        <v>148</v>
      </c>
      <c r="C3583" t="s">
        <v>156</v>
      </c>
      <c r="D3583" t="s">
        <v>285</v>
      </c>
      <c r="E3583" t="s">
        <v>414</v>
      </c>
      <c r="F3583">
        <f>HYPERLINK("https://www.wikidata.org/wiki/Q16683508", "Q16683508")</f>
        <v>0</v>
      </c>
      <c r="G3583" t="s">
        <v>1679</v>
      </c>
      <c r="H3583" t="s">
        <v>6200</v>
      </c>
      <c r="I3583" t="s">
        <v>9881</v>
      </c>
      <c r="J3583" t="s">
        <v>12384</v>
      </c>
      <c r="K3583" t="s">
        <v>16793</v>
      </c>
      <c r="L3583">
        <f>HYPERLINK("https://www2.assemblee-nationale.fr/sycomore/fiche/(num_dept)/4017", "4017")</f>
        <v>0</v>
      </c>
      <c r="N3583">
        <f>HYPERLINK("https://www.wikidata.org/wiki/Q3424912", "Q3424912")</f>
        <v>0</v>
      </c>
      <c r="O3583" t="s">
        <v>20043</v>
      </c>
      <c r="P3583" t="s">
        <v>20424</v>
      </c>
      <c r="Q3583" t="s">
        <v>16199</v>
      </c>
      <c r="R3583" t="s">
        <v>414</v>
      </c>
      <c r="S3583">
        <v>1484</v>
      </c>
    </row>
    <row r="3584" spans="1:19">
      <c r="A3584" t="s">
        <v>24</v>
      </c>
      <c r="B3584" t="s">
        <v>148</v>
      </c>
      <c r="C3584" t="s">
        <v>156</v>
      </c>
      <c r="D3584" t="s">
        <v>285</v>
      </c>
      <c r="E3584" t="s">
        <v>414</v>
      </c>
      <c r="F3584">
        <f>HYPERLINK("https://www.wikidata.org/wiki/Q16683508", "Q16683508")</f>
        <v>0</v>
      </c>
      <c r="G3584" t="s">
        <v>1505</v>
      </c>
      <c r="H3584" t="s">
        <v>6202</v>
      </c>
      <c r="I3584" t="s">
        <v>6585</v>
      </c>
      <c r="J3584" t="s">
        <v>12223</v>
      </c>
      <c r="K3584" t="s">
        <v>16628</v>
      </c>
      <c r="L3584">
        <f>HYPERLINK("https://www2.assemblee-nationale.fr/sycomore/fiche/(num_dept)/4038", "4038")</f>
        <v>0</v>
      </c>
      <c r="M3584">
        <f>HYPERLINK("https://www.senat.fr/senateur-3eme-republique/join_lambert_andre0759r3.html", "join_lambert_andre0759r3")</f>
        <v>0</v>
      </c>
      <c r="N3584">
        <f>HYPERLINK("https://www.wikidata.org/wiki/Q2847994", "Q2847994")</f>
        <v>0</v>
      </c>
      <c r="O3584" t="s">
        <v>19992</v>
      </c>
      <c r="P3584" t="s">
        <v>20414</v>
      </c>
      <c r="Q3584" t="s">
        <v>16199</v>
      </c>
      <c r="R3584" t="s">
        <v>414</v>
      </c>
      <c r="S3584">
        <v>1484</v>
      </c>
    </row>
    <row r="3585" spans="1:19">
      <c r="A3585" t="s">
        <v>24</v>
      </c>
      <c r="B3585" t="s">
        <v>148</v>
      </c>
      <c r="C3585" t="s">
        <v>156</v>
      </c>
      <c r="D3585" t="s">
        <v>285</v>
      </c>
      <c r="E3585" t="s">
        <v>414</v>
      </c>
      <c r="F3585">
        <f>HYPERLINK("https://www.wikidata.org/wiki/Q16683508", "Q16683508")</f>
        <v>0</v>
      </c>
      <c r="G3585" t="s">
        <v>1084</v>
      </c>
      <c r="H3585" t="s">
        <v>5827</v>
      </c>
      <c r="I3585" t="s">
        <v>7419</v>
      </c>
      <c r="J3585" t="s">
        <v>11820</v>
      </c>
      <c r="K3585" t="s">
        <v>16221</v>
      </c>
      <c r="L3585">
        <f>HYPERLINK("https://www2.assemblee-nationale.fr/sycomore/fiche/(num_dept)/4090", "4090")</f>
        <v>0</v>
      </c>
      <c r="M3585">
        <f>HYPERLINK("https://www.senat.fr/senateur-3eme-republique/de_juigne_jacques1286r3.html", "de_juigne_jacques1286r3")</f>
        <v>0</v>
      </c>
      <c r="N3585">
        <f>HYPERLINK("https://www.wikidata.org/wiki/Q3158160", "Q3158160")</f>
        <v>0</v>
      </c>
      <c r="O3585" t="s">
        <v>20023</v>
      </c>
      <c r="P3585" t="s">
        <v>20420</v>
      </c>
      <c r="Q3585" t="s">
        <v>16199</v>
      </c>
      <c r="R3585" t="s">
        <v>414</v>
      </c>
      <c r="S3585">
        <v>1484</v>
      </c>
    </row>
    <row r="3586" spans="1:19">
      <c r="A3586" t="s">
        <v>24</v>
      </c>
      <c r="B3586" t="s">
        <v>148</v>
      </c>
      <c r="C3586" t="s">
        <v>156</v>
      </c>
      <c r="D3586" t="s">
        <v>285</v>
      </c>
      <c r="E3586" t="s">
        <v>414</v>
      </c>
      <c r="F3586">
        <f>HYPERLINK("https://www.wikidata.org/wiki/Q16683508", "Q16683508")</f>
        <v>0</v>
      </c>
      <c r="G3586" t="s">
        <v>2216</v>
      </c>
      <c r="H3586" t="s">
        <v>6825</v>
      </c>
      <c r="I3586" t="s">
        <v>10121</v>
      </c>
      <c r="J3586" t="s">
        <v>12877</v>
      </c>
      <c r="K3586" t="s">
        <v>17289</v>
      </c>
      <c r="L3586">
        <f>HYPERLINK("https://www2.assemblee-nationale.fr/sycomore/fiche/(num_dept)/4134", "4134")</f>
        <v>0</v>
      </c>
      <c r="N3586">
        <f>HYPERLINK("https://www.wikidata.org/wiki/Q3357532", "Q3357532")</f>
        <v>0</v>
      </c>
      <c r="O3586" t="s">
        <v>19964</v>
      </c>
      <c r="P3586" t="s">
        <v>20435</v>
      </c>
      <c r="Q3586" t="s">
        <v>16199</v>
      </c>
      <c r="R3586" t="s">
        <v>414</v>
      </c>
      <c r="S3586">
        <v>1484</v>
      </c>
    </row>
    <row r="3587" spans="1:19">
      <c r="A3587" t="s">
        <v>24</v>
      </c>
      <c r="B3587" t="s">
        <v>148</v>
      </c>
      <c r="C3587" t="s">
        <v>156</v>
      </c>
      <c r="D3587" t="s">
        <v>285</v>
      </c>
      <c r="E3587" t="s">
        <v>414</v>
      </c>
      <c r="F3587">
        <f>HYPERLINK("https://www.wikidata.org/wiki/Q16683508", "Q16683508")</f>
        <v>0</v>
      </c>
      <c r="G3587" t="s">
        <v>2336</v>
      </c>
      <c r="H3587" t="s">
        <v>6924</v>
      </c>
      <c r="I3587" t="s">
        <v>9692</v>
      </c>
      <c r="J3587" t="s">
        <v>12990</v>
      </c>
      <c r="K3587" t="s">
        <v>17400</v>
      </c>
      <c r="L3587">
        <f>HYPERLINK("https://www2.assemblee-nationale.fr/sycomore/fiche/(num_dept)/4219", "4219")</f>
        <v>0</v>
      </c>
      <c r="N3587">
        <f>HYPERLINK("https://www.wikidata.org/wiki/Q2416396", "Q2416396")</f>
        <v>0</v>
      </c>
      <c r="O3587" t="s">
        <v>20005</v>
      </c>
      <c r="P3587" t="s">
        <v>20438</v>
      </c>
      <c r="Q3587" t="s">
        <v>16199</v>
      </c>
      <c r="R3587" t="s">
        <v>414</v>
      </c>
      <c r="S3587">
        <v>1484</v>
      </c>
    </row>
    <row r="3588" spans="1:19">
      <c r="A3588" t="s">
        <v>24</v>
      </c>
      <c r="B3588" t="s">
        <v>148</v>
      </c>
      <c r="C3588" t="s">
        <v>156</v>
      </c>
      <c r="D3588" t="s">
        <v>285</v>
      </c>
      <c r="E3588" t="s">
        <v>414</v>
      </c>
      <c r="F3588">
        <f>HYPERLINK("https://www.wikidata.org/wiki/Q16683508", "Q16683508")</f>
        <v>0</v>
      </c>
      <c r="G3588" t="s">
        <v>2337</v>
      </c>
      <c r="H3588" t="s">
        <v>6925</v>
      </c>
      <c r="I3588" t="s">
        <v>9458</v>
      </c>
      <c r="J3588" t="s">
        <v>12991</v>
      </c>
      <c r="K3588" t="s">
        <v>17401</v>
      </c>
      <c r="L3588">
        <f>HYPERLINK("https://www2.assemblee-nationale.fr/sycomore/fiche/(num_dept)/4234", "4234")</f>
        <v>0</v>
      </c>
      <c r="N3588">
        <f>HYPERLINK("https://www.wikidata.org/wiki/Q16025915", "Q16025915")</f>
        <v>0</v>
      </c>
      <c r="O3588" t="s">
        <v>20013</v>
      </c>
      <c r="P3588" t="s">
        <v>20428</v>
      </c>
      <c r="Q3588" t="s">
        <v>16199</v>
      </c>
      <c r="R3588" t="s">
        <v>414</v>
      </c>
      <c r="S3588">
        <v>1484</v>
      </c>
    </row>
    <row r="3589" spans="1:19">
      <c r="A3589" t="s">
        <v>24</v>
      </c>
      <c r="B3589" t="s">
        <v>148</v>
      </c>
      <c r="C3589" t="s">
        <v>156</v>
      </c>
      <c r="D3589" t="s">
        <v>285</v>
      </c>
      <c r="E3589" t="s">
        <v>414</v>
      </c>
      <c r="F3589">
        <f>HYPERLINK("https://www.wikidata.org/wiki/Q16683508", "Q16683508")</f>
        <v>0</v>
      </c>
      <c r="G3589" t="s">
        <v>2338</v>
      </c>
      <c r="H3589" t="s">
        <v>6926</v>
      </c>
      <c r="I3589" t="s">
        <v>9408</v>
      </c>
      <c r="J3589" t="s">
        <v>12992</v>
      </c>
      <c r="K3589" t="s">
        <v>17402</v>
      </c>
      <c r="L3589">
        <f>HYPERLINK("https://www2.assemblee-nationale.fr/sycomore/fiche/(num_dept)/4268", "4268")</f>
        <v>0</v>
      </c>
      <c r="N3589">
        <f>HYPERLINK("https://www.wikidata.org/wiki/Q3270494", "Q3270494")</f>
        <v>0</v>
      </c>
      <c r="O3589" t="s">
        <v>20013</v>
      </c>
      <c r="P3589" t="s">
        <v>20404</v>
      </c>
      <c r="Q3589" t="s">
        <v>16199</v>
      </c>
      <c r="R3589" t="s">
        <v>414</v>
      </c>
      <c r="S3589">
        <v>1484</v>
      </c>
    </row>
    <row r="3590" spans="1:19">
      <c r="A3590" t="s">
        <v>24</v>
      </c>
      <c r="B3590" t="s">
        <v>148</v>
      </c>
      <c r="C3590" t="s">
        <v>156</v>
      </c>
      <c r="D3590" t="s">
        <v>285</v>
      </c>
      <c r="E3590" t="s">
        <v>414</v>
      </c>
      <c r="F3590">
        <f>HYPERLINK("https://www.wikidata.org/wiki/Q16683508", "Q16683508")</f>
        <v>0</v>
      </c>
      <c r="G3590" t="s">
        <v>2339</v>
      </c>
      <c r="H3590" t="s">
        <v>6927</v>
      </c>
      <c r="I3590" t="s">
        <v>10175</v>
      </c>
      <c r="J3590" t="s">
        <v>12993</v>
      </c>
      <c r="K3590" t="s">
        <v>17403</v>
      </c>
      <c r="L3590">
        <f>HYPERLINK("https://www2.assemblee-nationale.fr/sycomore/fiche/(num_dept)/4290", "4290")</f>
        <v>0</v>
      </c>
      <c r="N3590">
        <f>HYPERLINK("https://www.wikidata.org/wiki/Q16025928", "Q16025928")</f>
        <v>0</v>
      </c>
      <c r="O3590" t="s">
        <v>20012</v>
      </c>
      <c r="P3590" t="s">
        <v>20428</v>
      </c>
      <c r="Q3590" t="s">
        <v>16199</v>
      </c>
      <c r="R3590" t="s">
        <v>414</v>
      </c>
      <c r="S3590">
        <v>1484</v>
      </c>
    </row>
    <row r="3591" spans="1:19">
      <c r="A3591" t="s">
        <v>24</v>
      </c>
      <c r="B3591" t="s">
        <v>148</v>
      </c>
      <c r="C3591" t="s">
        <v>156</v>
      </c>
      <c r="D3591" t="s">
        <v>285</v>
      </c>
      <c r="E3591" t="s">
        <v>414</v>
      </c>
      <c r="F3591">
        <f>HYPERLINK("https://www.wikidata.org/wiki/Q16683508", "Q16683508")</f>
        <v>0</v>
      </c>
      <c r="G3591" t="s">
        <v>1512</v>
      </c>
      <c r="H3591" t="s">
        <v>5734</v>
      </c>
      <c r="I3591" t="s">
        <v>9455</v>
      </c>
      <c r="J3591" t="s">
        <v>12229</v>
      </c>
      <c r="K3591" t="s">
        <v>16635</v>
      </c>
      <c r="L3591">
        <f>HYPERLINK("https://www2.assemblee-nationale.fr/sycomore/fiche/(num_dept)/4318", "4318")</f>
        <v>0</v>
      </c>
      <c r="N3591">
        <f>HYPERLINK("https://www.wikidata.org/wiki/Q3265583", "Q3265583")</f>
        <v>0</v>
      </c>
      <c r="O3591" t="s">
        <v>19999</v>
      </c>
      <c r="P3591" t="s">
        <v>20428</v>
      </c>
      <c r="Q3591" t="s">
        <v>16199</v>
      </c>
      <c r="R3591" t="s">
        <v>414</v>
      </c>
      <c r="S3591">
        <v>1484</v>
      </c>
    </row>
    <row r="3592" spans="1:19">
      <c r="A3592" t="s">
        <v>24</v>
      </c>
      <c r="B3592" t="s">
        <v>148</v>
      </c>
      <c r="C3592" t="s">
        <v>156</v>
      </c>
      <c r="D3592" t="s">
        <v>285</v>
      </c>
      <c r="E3592" t="s">
        <v>414</v>
      </c>
      <c r="F3592">
        <f>HYPERLINK("https://www.wikidata.org/wiki/Q16683508", "Q16683508")</f>
        <v>0</v>
      </c>
      <c r="G3592" t="s">
        <v>2340</v>
      </c>
      <c r="H3592" t="s">
        <v>5467</v>
      </c>
      <c r="I3592" t="s">
        <v>9407</v>
      </c>
      <c r="J3592" t="s">
        <v>12994</v>
      </c>
      <c r="K3592" t="s">
        <v>17404</v>
      </c>
      <c r="L3592">
        <f>HYPERLINK("https://www2.assemblee-nationale.fr/sycomore/fiche/(num_dept)/4338", "4338")</f>
        <v>0</v>
      </c>
      <c r="N3592">
        <f>HYPERLINK("https://www.wikidata.org/wiki/Q328240", "Q328240")</f>
        <v>0</v>
      </c>
      <c r="O3592" t="s">
        <v>20009</v>
      </c>
      <c r="P3592" t="s">
        <v>20438</v>
      </c>
      <c r="Q3592" t="s">
        <v>16199</v>
      </c>
      <c r="R3592" t="s">
        <v>414</v>
      </c>
      <c r="S3592">
        <v>1484</v>
      </c>
    </row>
    <row r="3593" spans="1:19">
      <c r="A3593" t="s">
        <v>24</v>
      </c>
      <c r="B3593" t="s">
        <v>148</v>
      </c>
      <c r="C3593" t="s">
        <v>156</v>
      </c>
      <c r="D3593" t="s">
        <v>285</v>
      </c>
      <c r="E3593" t="s">
        <v>414</v>
      </c>
      <c r="F3593">
        <f>HYPERLINK("https://www.wikidata.org/wiki/Q16683508", "Q16683508")</f>
        <v>0</v>
      </c>
      <c r="G3593" t="s">
        <v>2341</v>
      </c>
      <c r="H3593" t="s">
        <v>6928</v>
      </c>
      <c r="I3593" t="s">
        <v>10176</v>
      </c>
      <c r="J3593" t="s">
        <v>11665</v>
      </c>
      <c r="K3593" t="s">
        <v>17405</v>
      </c>
      <c r="L3593">
        <f>HYPERLINK("https://www2.assemblee-nationale.fr/sycomore/fiche/(num_dept)/4382", "4382")</f>
        <v>0</v>
      </c>
      <c r="N3593">
        <f>HYPERLINK("https://www.wikidata.org/wiki/Q3103034", "Q3103034")</f>
        <v>0</v>
      </c>
      <c r="O3593" t="s">
        <v>19987</v>
      </c>
      <c r="P3593" t="s">
        <v>20436</v>
      </c>
      <c r="Q3593" t="s">
        <v>16199</v>
      </c>
      <c r="R3593" t="s">
        <v>414</v>
      </c>
      <c r="S3593">
        <v>1484</v>
      </c>
    </row>
    <row r="3594" spans="1:19">
      <c r="A3594" t="s">
        <v>24</v>
      </c>
      <c r="B3594" t="s">
        <v>148</v>
      </c>
      <c r="C3594" t="s">
        <v>156</v>
      </c>
      <c r="D3594" t="s">
        <v>285</v>
      </c>
      <c r="E3594" t="s">
        <v>414</v>
      </c>
      <c r="F3594">
        <f>HYPERLINK("https://www.wikidata.org/wiki/Q16683508", "Q16683508")</f>
        <v>0</v>
      </c>
      <c r="G3594" t="s">
        <v>2101</v>
      </c>
      <c r="H3594" t="s">
        <v>6724</v>
      </c>
      <c r="I3594" t="s">
        <v>9474</v>
      </c>
      <c r="J3594" t="s">
        <v>12768</v>
      </c>
      <c r="K3594" t="s">
        <v>17183</v>
      </c>
      <c r="L3594">
        <f>HYPERLINK("https://www2.assemblee-nationale.fr/sycomore/fiche/(num_dept)/4396", "4396")</f>
        <v>0</v>
      </c>
      <c r="N3594">
        <f>HYPERLINK("https://www.wikidata.org/wiki/Q3164206", "Q3164206")</f>
        <v>0</v>
      </c>
      <c r="O3594" t="s">
        <v>20020</v>
      </c>
      <c r="P3594" t="s">
        <v>20428</v>
      </c>
      <c r="Q3594" t="s">
        <v>16199</v>
      </c>
      <c r="R3594" t="s">
        <v>414</v>
      </c>
      <c r="S3594">
        <v>1484</v>
      </c>
    </row>
    <row r="3595" spans="1:19">
      <c r="A3595" t="s">
        <v>24</v>
      </c>
      <c r="B3595" t="s">
        <v>148</v>
      </c>
      <c r="C3595" t="s">
        <v>156</v>
      </c>
      <c r="D3595" t="s">
        <v>285</v>
      </c>
      <c r="E3595" t="s">
        <v>414</v>
      </c>
      <c r="F3595">
        <f>HYPERLINK("https://www.wikidata.org/wiki/Q16683508", "Q16683508")</f>
        <v>0</v>
      </c>
      <c r="G3595" t="s">
        <v>2102</v>
      </c>
      <c r="H3595" t="s">
        <v>6725</v>
      </c>
      <c r="I3595" t="s">
        <v>6585</v>
      </c>
      <c r="J3595" t="s">
        <v>12769</v>
      </c>
      <c r="K3595" t="s">
        <v>17184</v>
      </c>
      <c r="L3595">
        <f>HYPERLINK("https://www2.assemblee-nationale.fr/sycomore/fiche/(num_dept)/4808", "4808")</f>
        <v>0</v>
      </c>
      <c r="N3595">
        <f>HYPERLINK("https://www.wikidata.org/wiki/Q2848176", "Q2848176")</f>
        <v>0</v>
      </c>
      <c r="O3595" t="s">
        <v>19964</v>
      </c>
      <c r="P3595" t="s">
        <v>20428</v>
      </c>
      <c r="Q3595" t="s">
        <v>16199</v>
      </c>
      <c r="R3595" t="s">
        <v>414</v>
      </c>
      <c r="S3595">
        <v>1484</v>
      </c>
    </row>
    <row r="3596" spans="1:19">
      <c r="A3596" t="s">
        <v>24</v>
      </c>
      <c r="B3596" t="s">
        <v>148</v>
      </c>
      <c r="C3596" t="s">
        <v>156</v>
      </c>
      <c r="D3596" t="s">
        <v>285</v>
      </c>
      <c r="E3596" t="s">
        <v>414</v>
      </c>
      <c r="F3596">
        <f>HYPERLINK("https://www.wikidata.org/wiki/Q16683508", "Q16683508")</f>
        <v>0</v>
      </c>
      <c r="G3596" t="s">
        <v>2103</v>
      </c>
      <c r="H3596" t="s">
        <v>6726</v>
      </c>
      <c r="I3596" t="s">
        <v>10081</v>
      </c>
      <c r="J3596" t="s">
        <v>12186</v>
      </c>
      <c r="K3596" t="s">
        <v>17185</v>
      </c>
      <c r="L3596">
        <f>HYPERLINK("https://www2.assemblee-nationale.fr/sycomore/fiche/(num_dept)/4821", "4821")</f>
        <v>0</v>
      </c>
      <c r="N3596">
        <f>HYPERLINK("https://www.wikidata.org/wiki/Q16026614", "Q16026614")</f>
        <v>0</v>
      </c>
      <c r="O3596" t="s">
        <v>19968</v>
      </c>
      <c r="P3596" t="s">
        <v>20404</v>
      </c>
      <c r="Q3596" t="s">
        <v>16199</v>
      </c>
      <c r="R3596" t="s">
        <v>414</v>
      </c>
      <c r="S3596">
        <v>1484</v>
      </c>
    </row>
    <row r="3597" spans="1:19">
      <c r="A3597" t="s">
        <v>24</v>
      </c>
      <c r="B3597" t="s">
        <v>148</v>
      </c>
      <c r="C3597" t="s">
        <v>156</v>
      </c>
      <c r="D3597" t="s">
        <v>285</v>
      </c>
      <c r="E3597" t="s">
        <v>414</v>
      </c>
      <c r="F3597">
        <f>HYPERLINK("https://www.wikidata.org/wiki/Q16683508", "Q16683508")</f>
        <v>0</v>
      </c>
      <c r="G3597" t="s">
        <v>2342</v>
      </c>
      <c r="H3597" t="s">
        <v>6929</v>
      </c>
      <c r="I3597" t="s">
        <v>10177</v>
      </c>
      <c r="J3597" t="s">
        <v>12995</v>
      </c>
      <c r="K3597" t="s">
        <v>17406</v>
      </c>
      <c r="L3597">
        <f>HYPERLINK("https://www2.assemblee-nationale.fr/sycomore/fiche/(num_dept)/4839", "4839")</f>
        <v>0</v>
      </c>
      <c r="N3597">
        <f>HYPERLINK("https://www.wikidata.org/wiki/Q3160364", "Q3160364")</f>
        <v>0</v>
      </c>
      <c r="O3597" t="s">
        <v>19978</v>
      </c>
      <c r="P3597" t="s">
        <v>20414</v>
      </c>
      <c r="Q3597" t="s">
        <v>16199</v>
      </c>
      <c r="R3597" t="s">
        <v>414</v>
      </c>
      <c r="S3597">
        <v>1484</v>
      </c>
    </row>
    <row r="3598" spans="1:19">
      <c r="A3598" t="s">
        <v>24</v>
      </c>
      <c r="B3598" t="s">
        <v>148</v>
      </c>
      <c r="C3598" t="s">
        <v>156</v>
      </c>
      <c r="D3598" t="s">
        <v>285</v>
      </c>
      <c r="E3598" t="s">
        <v>414</v>
      </c>
      <c r="F3598">
        <f>HYPERLINK("https://www.wikidata.org/wiki/Q16683508", "Q16683508")</f>
        <v>0</v>
      </c>
      <c r="G3598" t="s">
        <v>2343</v>
      </c>
      <c r="H3598" t="s">
        <v>6930</v>
      </c>
      <c r="I3598" t="s">
        <v>9605</v>
      </c>
      <c r="J3598" t="s">
        <v>12996</v>
      </c>
      <c r="K3598" t="s">
        <v>17284</v>
      </c>
      <c r="L3598">
        <f>HYPERLINK("https://www2.assemblee-nationale.fr/sycomore/fiche/(num_dept)/4855", "4855")</f>
        <v>0</v>
      </c>
      <c r="N3598">
        <f>HYPERLINK("https://www.wikidata.org/wiki/Q3190468", "Q3190468")</f>
        <v>0</v>
      </c>
      <c r="O3598" t="s">
        <v>19987</v>
      </c>
      <c r="P3598" t="s">
        <v>20436</v>
      </c>
      <c r="Q3598" t="s">
        <v>16199</v>
      </c>
      <c r="R3598" t="s">
        <v>414</v>
      </c>
      <c r="S3598">
        <v>1484</v>
      </c>
    </row>
    <row r="3599" spans="1:19">
      <c r="A3599" t="s">
        <v>24</v>
      </c>
      <c r="B3599" t="s">
        <v>148</v>
      </c>
      <c r="C3599" t="s">
        <v>156</v>
      </c>
      <c r="D3599" t="s">
        <v>285</v>
      </c>
      <c r="E3599" t="s">
        <v>414</v>
      </c>
      <c r="F3599">
        <f>HYPERLINK("https://www.wikidata.org/wiki/Q16683508", "Q16683508")</f>
        <v>0</v>
      </c>
      <c r="G3599" t="s">
        <v>2344</v>
      </c>
      <c r="H3599" t="s">
        <v>6931</v>
      </c>
      <c r="I3599" t="s">
        <v>10178</v>
      </c>
      <c r="J3599" t="s">
        <v>12997</v>
      </c>
      <c r="K3599" t="s">
        <v>17407</v>
      </c>
      <c r="L3599">
        <f>HYPERLINK("https://www2.assemblee-nationale.fr/sycomore/fiche/(num_dept)/4862", "4862")</f>
        <v>0</v>
      </c>
      <c r="N3599">
        <f>HYPERLINK("https://www.wikidata.org/wiki/Q3134673", "Q3134673")</f>
        <v>0</v>
      </c>
      <c r="O3599" t="s">
        <v>19998</v>
      </c>
      <c r="P3599" t="s">
        <v>20438</v>
      </c>
      <c r="Q3599" t="s">
        <v>16199</v>
      </c>
      <c r="R3599" t="s">
        <v>414</v>
      </c>
      <c r="S3599">
        <v>1484</v>
      </c>
    </row>
    <row r="3600" spans="1:19">
      <c r="A3600" t="s">
        <v>24</v>
      </c>
      <c r="B3600" t="s">
        <v>148</v>
      </c>
      <c r="C3600" t="s">
        <v>156</v>
      </c>
      <c r="D3600" t="s">
        <v>285</v>
      </c>
      <c r="E3600" t="s">
        <v>414</v>
      </c>
      <c r="F3600">
        <f>HYPERLINK("https://www.wikidata.org/wiki/Q16683508", "Q16683508")</f>
        <v>0</v>
      </c>
      <c r="G3600" t="s">
        <v>1519</v>
      </c>
      <c r="H3600" t="s">
        <v>6215</v>
      </c>
      <c r="I3600" t="s">
        <v>9827</v>
      </c>
      <c r="J3600" t="s">
        <v>12236</v>
      </c>
      <c r="K3600" t="s">
        <v>16642</v>
      </c>
      <c r="L3600">
        <f>HYPERLINK("https://www2.assemblee-nationale.fr/sycomore/fiche/(num_dept)/4877", "4877")</f>
        <v>0</v>
      </c>
      <c r="N3600">
        <f>HYPERLINK("https://www.wikidata.org/wiki/Q2835322", "Q2835322")</f>
        <v>0</v>
      </c>
      <c r="O3600" t="s">
        <v>19968</v>
      </c>
      <c r="P3600" t="s">
        <v>20404</v>
      </c>
      <c r="Q3600" t="s">
        <v>16199</v>
      </c>
      <c r="R3600" t="s">
        <v>414</v>
      </c>
      <c r="S3600">
        <v>1484</v>
      </c>
    </row>
    <row r="3601" spans="1:19">
      <c r="A3601" t="s">
        <v>24</v>
      </c>
      <c r="B3601" t="s">
        <v>148</v>
      </c>
      <c r="C3601" t="s">
        <v>156</v>
      </c>
      <c r="D3601" t="s">
        <v>285</v>
      </c>
      <c r="E3601" t="s">
        <v>414</v>
      </c>
      <c r="F3601">
        <f>HYPERLINK("https://www.wikidata.org/wiki/Q16683508", "Q16683508")</f>
        <v>0</v>
      </c>
      <c r="G3601" t="s">
        <v>2345</v>
      </c>
      <c r="H3601" t="s">
        <v>6932</v>
      </c>
      <c r="I3601" t="s">
        <v>10179</v>
      </c>
      <c r="J3601" t="s">
        <v>12998</v>
      </c>
      <c r="K3601" t="s">
        <v>17408</v>
      </c>
      <c r="L3601">
        <f>HYPERLINK("https://www2.assemblee-nationale.fr/sycomore/fiche/(num_dept)/4891", "4891")</f>
        <v>0</v>
      </c>
      <c r="N3601">
        <f>HYPERLINK("https://www.wikidata.org/wiki/Q16026024", "Q16026024")</f>
        <v>0</v>
      </c>
      <c r="O3601" t="s">
        <v>20003</v>
      </c>
      <c r="P3601" t="s">
        <v>20428</v>
      </c>
      <c r="Q3601" t="s">
        <v>16199</v>
      </c>
      <c r="R3601" t="s">
        <v>414</v>
      </c>
      <c r="S3601">
        <v>1484</v>
      </c>
    </row>
    <row r="3602" spans="1:19">
      <c r="A3602" t="s">
        <v>24</v>
      </c>
      <c r="B3602" t="s">
        <v>148</v>
      </c>
      <c r="C3602" t="s">
        <v>156</v>
      </c>
      <c r="D3602" t="s">
        <v>285</v>
      </c>
      <c r="E3602" t="s">
        <v>414</v>
      </c>
      <c r="F3602">
        <f>HYPERLINK("https://www.wikidata.org/wiki/Q16683508", "Q16683508")</f>
        <v>0</v>
      </c>
      <c r="G3602" t="s">
        <v>2346</v>
      </c>
      <c r="H3602" t="s">
        <v>6933</v>
      </c>
      <c r="I3602" t="s">
        <v>10180</v>
      </c>
      <c r="J3602" t="s">
        <v>12999</v>
      </c>
      <c r="K3602" t="s">
        <v>17409</v>
      </c>
      <c r="L3602">
        <f>HYPERLINK("https://www2.assemblee-nationale.fr/sycomore/fiche/(num_dept)/4925", "4925")</f>
        <v>0</v>
      </c>
      <c r="N3602">
        <f>HYPERLINK("https://www.wikidata.org/wiki/Q3131553", "Q3131553")</f>
        <v>0</v>
      </c>
      <c r="O3602" t="s">
        <v>20031</v>
      </c>
      <c r="P3602" t="s">
        <v>20431</v>
      </c>
      <c r="Q3602" t="s">
        <v>16199</v>
      </c>
      <c r="R3602" t="s">
        <v>414</v>
      </c>
      <c r="S3602">
        <v>1484</v>
      </c>
    </row>
    <row r="3603" spans="1:19">
      <c r="A3603" t="s">
        <v>24</v>
      </c>
      <c r="B3603" t="s">
        <v>148</v>
      </c>
      <c r="C3603" t="s">
        <v>156</v>
      </c>
      <c r="D3603" t="s">
        <v>285</v>
      </c>
      <c r="E3603" t="s">
        <v>414</v>
      </c>
      <c r="F3603">
        <f>HYPERLINK("https://www.wikidata.org/wiki/Q16683508", "Q16683508")</f>
        <v>0</v>
      </c>
      <c r="G3603" t="s">
        <v>2106</v>
      </c>
      <c r="H3603" t="s">
        <v>6729</v>
      </c>
      <c r="I3603" t="s">
        <v>10083</v>
      </c>
      <c r="J3603" t="s">
        <v>12771</v>
      </c>
      <c r="K3603" t="s">
        <v>17188</v>
      </c>
      <c r="L3603">
        <f>HYPERLINK("https://www2.assemblee-nationale.fr/sycomore/fiche/(num_dept)/4929", "4929")</f>
        <v>0</v>
      </c>
      <c r="N3603">
        <f>HYPERLINK("https://www.wikidata.org/wiki/Q3371756", "Q3371756")</f>
        <v>0</v>
      </c>
      <c r="O3603" t="s">
        <v>19969</v>
      </c>
      <c r="P3603" t="s">
        <v>20431</v>
      </c>
      <c r="Q3603" t="s">
        <v>16199</v>
      </c>
      <c r="R3603" t="s">
        <v>414</v>
      </c>
      <c r="S3603">
        <v>1484</v>
      </c>
    </row>
    <row r="3604" spans="1:19">
      <c r="A3604" t="s">
        <v>24</v>
      </c>
      <c r="B3604" t="s">
        <v>148</v>
      </c>
      <c r="C3604" t="s">
        <v>156</v>
      </c>
      <c r="D3604" t="s">
        <v>285</v>
      </c>
      <c r="E3604" t="s">
        <v>414</v>
      </c>
      <c r="F3604">
        <f>HYPERLINK("https://www.wikidata.org/wiki/Q16683508", "Q16683508")</f>
        <v>0</v>
      </c>
      <c r="G3604" t="s">
        <v>2347</v>
      </c>
      <c r="H3604" t="s">
        <v>6934</v>
      </c>
      <c r="I3604" t="s">
        <v>10181</v>
      </c>
      <c r="J3604" t="s">
        <v>13000</v>
      </c>
      <c r="K3604" t="s">
        <v>17410</v>
      </c>
      <c r="L3604">
        <f>HYPERLINK("https://www2.assemblee-nationale.fr/sycomore/fiche/(num_dept)/4938", "4938")</f>
        <v>0</v>
      </c>
      <c r="N3604">
        <f>HYPERLINK("https://www.wikidata.org/wiki/Q3057065", "Q3057065")</f>
        <v>0</v>
      </c>
      <c r="O3604" t="s">
        <v>19962</v>
      </c>
      <c r="P3604" t="s">
        <v>20428</v>
      </c>
      <c r="Q3604" t="s">
        <v>16199</v>
      </c>
      <c r="R3604" t="s">
        <v>414</v>
      </c>
      <c r="S3604">
        <v>1484</v>
      </c>
    </row>
    <row r="3605" spans="1:19">
      <c r="A3605" t="s">
        <v>24</v>
      </c>
      <c r="B3605" t="s">
        <v>148</v>
      </c>
      <c r="C3605" t="s">
        <v>156</v>
      </c>
      <c r="D3605" t="s">
        <v>285</v>
      </c>
      <c r="E3605" t="s">
        <v>414</v>
      </c>
      <c r="F3605">
        <f>HYPERLINK("https://www.wikidata.org/wiki/Q16683508", "Q16683508")</f>
        <v>0</v>
      </c>
      <c r="G3605" t="s">
        <v>1526</v>
      </c>
      <c r="H3605" t="s">
        <v>6221</v>
      </c>
      <c r="I3605" t="s">
        <v>6175</v>
      </c>
      <c r="J3605" t="s">
        <v>12243</v>
      </c>
      <c r="K3605" t="s">
        <v>16649</v>
      </c>
      <c r="L3605">
        <f>HYPERLINK("https://www2.assemblee-nationale.fr/sycomore/fiche/(num_dept)/4952", "4952")</f>
        <v>0</v>
      </c>
      <c r="N3605">
        <f>HYPERLINK("https://www.wikidata.org/wiki/Q669893", "Q669893")</f>
        <v>0</v>
      </c>
      <c r="O3605" t="s">
        <v>19987</v>
      </c>
      <c r="P3605" t="s">
        <v>20420</v>
      </c>
      <c r="Q3605" t="s">
        <v>16199</v>
      </c>
      <c r="R3605" t="s">
        <v>414</v>
      </c>
      <c r="S3605">
        <v>1484</v>
      </c>
    </row>
    <row r="3606" spans="1:19">
      <c r="A3606" t="s">
        <v>24</v>
      </c>
      <c r="B3606" t="s">
        <v>148</v>
      </c>
      <c r="C3606" t="s">
        <v>156</v>
      </c>
      <c r="D3606" t="s">
        <v>285</v>
      </c>
      <c r="E3606" t="s">
        <v>414</v>
      </c>
      <c r="F3606">
        <f>HYPERLINK("https://www.wikidata.org/wiki/Q16683508", "Q16683508")</f>
        <v>0</v>
      </c>
      <c r="G3606" t="s">
        <v>2107</v>
      </c>
      <c r="H3606" t="s">
        <v>6730</v>
      </c>
      <c r="I3606" t="s">
        <v>7265</v>
      </c>
      <c r="J3606" t="s">
        <v>12772</v>
      </c>
      <c r="K3606" t="s">
        <v>17189</v>
      </c>
      <c r="L3606">
        <f>HYPERLINK("https://www2.assemblee-nationale.fr/sycomore/fiche/(num_dept)/4982", "4982")</f>
        <v>0</v>
      </c>
      <c r="N3606">
        <f>HYPERLINK("https://www.wikidata.org/wiki/Q3380310", "Q3380310")</f>
        <v>0</v>
      </c>
      <c r="O3606" t="s">
        <v>20005</v>
      </c>
      <c r="P3606" t="s">
        <v>20428</v>
      </c>
      <c r="Q3606" t="s">
        <v>16199</v>
      </c>
      <c r="R3606" t="s">
        <v>17189</v>
      </c>
      <c r="S3606">
        <v>1131</v>
      </c>
    </row>
    <row r="3607" spans="1:19">
      <c r="A3607" t="s">
        <v>24</v>
      </c>
      <c r="B3607" t="s">
        <v>148</v>
      </c>
      <c r="C3607" t="s">
        <v>156</v>
      </c>
      <c r="D3607" t="s">
        <v>285</v>
      </c>
      <c r="E3607" t="s">
        <v>414</v>
      </c>
      <c r="F3607">
        <f>HYPERLINK("https://www.wikidata.org/wiki/Q16683508", "Q16683508")</f>
        <v>0</v>
      </c>
      <c r="G3607" t="s">
        <v>723</v>
      </c>
      <c r="H3607" t="s">
        <v>5481</v>
      </c>
      <c r="I3607" t="s">
        <v>9458</v>
      </c>
      <c r="J3607" t="s">
        <v>11472</v>
      </c>
      <c r="K3607" t="s">
        <v>15874</v>
      </c>
      <c r="L3607">
        <f>HYPERLINK("https://www2.assemblee-nationale.fr/sycomore/fiche/(num_dept)/4991", "4991")</f>
        <v>0</v>
      </c>
      <c r="N3607">
        <f>HYPERLINK("https://www.wikidata.org/wiki/Q2835305", "Q2835305")</f>
        <v>0</v>
      </c>
      <c r="O3607" t="s">
        <v>20025</v>
      </c>
      <c r="P3607" t="s">
        <v>20428</v>
      </c>
      <c r="Q3607" t="s">
        <v>16199</v>
      </c>
      <c r="R3607" t="s">
        <v>414</v>
      </c>
      <c r="S3607">
        <v>1484</v>
      </c>
    </row>
    <row r="3608" spans="1:19">
      <c r="A3608" t="s">
        <v>24</v>
      </c>
      <c r="B3608" t="s">
        <v>148</v>
      </c>
      <c r="C3608" t="s">
        <v>156</v>
      </c>
      <c r="D3608" t="s">
        <v>285</v>
      </c>
      <c r="E3608" t="s">
        <v>414</v>
      </c>
      <c r="F3608">
        <f>HYPERLINK("https://www.wikidata.org/wiki/Q16683508", "Q16683508")</f>
        <v>0</v>
      </c>
      <c r="G3608" t="s">
        <v>2109</v>
      </c>
      <c r="H3608" t="s">
        <v>6732</v>
      </c>
      <c r="I3608" t="s">
        <v>10084</v>
      </c>
      <c r="J3608" t="s">
        <v>12774</v>
      </c>
      <c r="K3608" t="s">
        <v>17191</v>
      </c>
      <c r="L3608">
        <f>HYPERLINK("https://www2.assemblee-nationale.fr/sycomore/fiche/(num_dept)/5025", "5025")</f>
        <v>0</v>
      </c>
      <c r="N3608">
        <f>HYPERLINK("https://www.wikidata.org/wiki/Q16026052", "Q16026052")</f>
        <v>0</v>
      </c>
      <c r="O3608" t="s">
        <v>19969</v>
      </c>
      <c r="P3608" t="s">
        <v>20404</v>
      </c>
      <c r="Q3608" t="s">
        <v>16199</v>
      </c>
      <c r="R3608" t="s">
        <v>414</v>
      </c>
      <c r="S3608">
        <v>1484</v>
      </c>
    </row>
    <row r="3609" spans="1:19">
      <c r="A3609" t="s">
        <v>24</v>
      </c>
      <c r="B3609" t="s">
        <v>148</v>
      </c>
      <c r="C3609" t="s">
        <v>156</v>
      </c>
      <c r="D3609" t="s">
        <v>285</v>
      </c>
      <c r="E3609" t="s">
        <v>414</v>
      </c>
      <c r="F3609">
        <f>HYPERLINK("https://www.wikidata.org/wiki/Q16683508", "Q16683508")</f>
        <v>0</v>
      </c>
      <c r="G3609" t="s">
        <v>2348</v>
      </c>
      <c r="H3609" t="s">
        <v>6935</v>
      </c>
      <c r="I3609" t="s">
        <v>10182</v>
      </c>
      <c r="J3609" t="s">
        <v>13001</v>
      </c>
      <c r="K3609" t="s">
        <v>17411</v>
      </c>
      <c r="L3609">
        <f>HYPERLINK("https://www2.assemblee-nationale.fr/sycomore/fiche/(num_dept)/5031", "5031")</f>
        <v>0</v>
      </c>
      <c r="N3609">
        <f>HYPERLINK("https://www.wikidata.org/wiki/Q3262644", "Q3262644")</f>
        <v>0</v>
      </c>
      <c r="O3609" t="s">
        <v>20018</v>
      </c>
      <c r="P3609" t="s">
        <v>20441</v>
      </c>
      <c r="Q3609" t="s">
        <v>16199</v>
      </c>
      <c r="R3609" t="s">
        <v>414</v>
      </c>
      <c r="S3609">
        <v>1484</v>
      </c>
    </row>
    <row r="3610" spans="1:19">
      <c r="A3610" t="s">
        <v>24</v>
      </c>
      <c r="B3610" t="s">
        <v>148</v>
      </c>
      <c r="C3610" t="s">
        <v>156</v>
      </c>
      <c r="D3610" t="s">
        <v>285</v>
      </c>
      <c r="E3610" t="s">
        <v>414</v>
      </c>
      <c r="F3610">
        <f>HYPERLINK("https://www.wikidata.org/wiki/Q16683508", "Q16683508")</f>
        <v>0</v>
      </c>
      <c r="G3610" t="s">
        <v>2349</v>
      </c>
      <c r="H3610" t="s">
        <v>6501</v>
      </c>
      <c r="I3610" t="s">
        <v>9470</v>
      </c>
      <c r="J3610" t="s">
        <v>13002</v>
      </c>
      <c r="K3610" t="s">
        <v>17412</v>
      </c>
      <c r="L3610">
        <f>HYPERLINK("https://www2.assemblee-nationale.fr/sycomore/fiche/(num_dept)/5037", "5037")</f>
        <v>0</v>
      </c>
      <c r="N3610">
        <f>HYPERLINK("https://www.wikidata.org/wiki/Q3099074", "Q3099074")</f>
        <v>0</v>
      </c>
      <c r="O3610" t="s">
        <v>20043</v>
      </c>
      <c r="P3610" t="s">
        <v>20428</v>
      </c>
      <c r="Q3610" t="s">
        <v>16199</v>
      </c>
      <c r="R3610" t="s">
        <v>414</v>
      </c>
      <c r="S3610">
        <v>1484</v>
      </c>
    </row>
    <row r="3611" spans="1:19">
      <c r="A3611" t="s">
        <v>24</v>
      </c>
      <c r="B3611" t="s">
        <v>148</v>
      </c>
      <c r="C3611" t="s">
        <v>156</v>
      </c>
      <c r="D3611" t="s">
        <v>285</v>
      </c>
      <c r="E3611" t="s">
        <v>414</v>
      </c>
      <c r="F3611">
        <f>HYPERLINK("https://www.wikidata.org/wiki/Q16683508", "Q16683508")</f>
        <v>0</v>
      </c>
      <c r="G3611" t="s">
        <v>2350</v>
      </c>
      <c r="H3611" t="s">
        <v>6936</v>
      </c>
      <c r="I3611" t="s">
        <v>5528</v>
      </c>
      <c r="J3611" t="s">
        <v>13003</v>
      </c>
      <c r="K3611" t="s">
        <v>17413</v>
      </c>
      <c r="L3611">
        <f>HYPERLINK("https://www2.assemblee-nationale.fr/sycomore/fiche/(num_dept)/5049", "5049")</f>
        <v>0</v>
      </c>
      <c r="N3611">
        <f>HYPERLINK("https://www.wikidata.org/wiki/Q1255723", "Q1255723")</f>
        <v>0</v>
      </c>
      <c r="O3611" t="s">
        <v>19969</v>
      </c>
      <c r="P3611" t="s">
        <v>20428</v>
      </c>
      <c r="Q3611" t="s">
        <v>16199</v>
      </c>
      <c r="R3611" t="s">
        <v>414</v>
      </c>
      <c r="S3611">
        <v>1484</v>
      </c>
    </row>
    <row r="3612" spans="1:19">
      <c r="A3612" t="s">
        <v>24</v>
      </c>
      <c r="B3612" t="s">
        <v>148</v>
      </c>
      <c r="C3612" t="s">
        <v>156</v>
      </c>
      <c r="D3612" t="s">
        <v>285</v>
      </c>
      <c r="E3612" t="s">
        <v>414</v>
      </c>
      <c r="F3612">
        <f>HYPERLINK("https://www.wikidata.org/wiki/Q16683508", "Q16683508")</f>
        <v>0</v>
      </c>
      <c r="G3612" t="s">
        <v>2112</v>
      </c>
      <c r="H3612" t="s">
        <v>5750</v>
      </c>
      <c r="I3612" t="s">
        <v>10086</v>
      </c>
      <c r="J3612" t="s">
        <v>12777</v>
      </c>
      <c r="K3612" t="s">
        <v>16362</v>
      </c>
      <c r="L3612">
        <f>HYPERLINK("https://www2.assemblee-nationale.fr/sycomore/fiche/(num_dept)/5073", "5073")</f>
        <v>0</v>
      </c>
      <c r="N3612">
        <f>HYPERLINK("https://www.wikidata.org/wiki/Q3588650", "Q3588650")</f>
        <v>0</v>
      </c>
      <c r="O3612" t="s">
        <v>20005</v>
      </c>
      <c r="P3612" t="s">
        <v>20428</v>
      </c>
      <c r="Q3612" t="s">
        <v>16199</v>
      </c>
      <c r="R3612" t="s">
        <v>414</v>
      </c>
      <c r="S3612">
        <v>1484</v>
      </c>
    </row>
    <row r="3613" spans="1:19">
      <c r="A3613" t="s">
        <v>24</v>
      </c>
      <c r="B3613" t="s">
        <v>148</v>
      </c>
      <c r="C3613" t="s">
        <v>156</v>
      </c>
      <c r="D3613" t="s">
        <v>285</v>
      </c>
      <c r="E3613" t="s">
        <v>414</v>
      </c>
      <c r="F3613">
        <f>HYPERLINK("https://www.wikidata.org/wiki/Q16683508", "Q16683508")</f>
        <v>0</v>
      </c>
      <c r="G3613" t="s">
        <v>1531</v>
      </c>
      <c r="H3613" t="s">
        <v>6226</v>
      </c>
      <c r="I3613" t="s">
        <v>9472</v>
      </c>
      <c r="J3613" t="s">
        <v>12248</v>
      </c>
      <c r="K3613" t="s">
        <v>16653</v>
      </c>
      <c r="L3613">
        <f>HYPERLINK("https://www2.assemblee-nationale.fr/sycomore/fiche/(num_dept)/5082", "5082")</f>
        <v>0</v>
      </c>
      <c r="N3613">
        <f>HYPERLINK("https://www.wikidata.org/wiki/Q3188665", "Q3188665")</f>
        <v>0</v>
      </c>
      <c r="O3613" t="s">
        <v>20011</v>
      </c>
      <c r="P3613" t="s">
        <v>20404</v>
      </c>
      <c r="Q3613" t="s">
        <v>16199</v>
      </c>
      <c r="R3613" t="s">
        <v>414</v>
      </c>
      <c r="S3613">
        <v>1484</v>
      </c>
    </row>
    <row r="3614" spans="1:19">
      <c r="A3614" t="s">
        <v>24</v>
      </c>
      <c r="B3614" t="s">
        <v>148</v>
      </c>
      <c r="C3614" t="s">
        <v>156</v>
      </c>
      <c r="D3614" t="s">
        <v>285</v>
      </c>
      <c r="E3614" t="s">
        <v>414</v>
      </c>
      <c r="F3614">
        <f>HYPERLINK("https://www.wikidata.org/wiki/Q16683508", "Q16683508")</f>
        <v>0</v>
      </c>
      <c r="G3614" t="s">
        <v>2351</v>
      </c>
      <c r="H3614" t="s">
        <v>5751</v>
      </c>
      <c r="I3614" t="s">
        <v>6759</v>
      </c>
      <c r="J3614" t="s">
        <v>13004</v>
      </c>
      <c r="K3614" t="s">
        <v>17414</v>
      </c>
      <c r="L3614">
        <f>HYPERLINK("https://www2.assemblee-nationale.fr/sycomore/fiche/(num_dept)/5113", "5113")</f>
        <v>0</v>
      </c>
      <c r="N3614">
        <f>HYPERLINK("https://www.wikidata.org/wiki/Q3435878", "Q3435878")</f>
        <v>0</v>
      </c>
      <c r="O3614" t="s">
        <v>20039</v>
      </c>
      <c r="P3614" t="s">
        <v>20404</v>
      </c>
      <c r="Q3614" t="s">
        <v>16199</v>
      </c>
      <c r="R3614" t="s">
        <v>414</v>
      </c>
      <c r="S3614">
        <v>1484</v>
      </c>
    </row>
    <row r="3615" spans="1:19">
      <c r="A3615" t="s">
        <v>24</v>
      </c>
      <c r="B3615" t="s">
        <v>148</v>
      </c>
      <c r="C3615" t="s">
        <v>156</v>
      </c>
      <c r="D3615" t="s">
        <v>285</v>
      </c>
      <c r="E3615" t="s">
        <v>414</v>
      </c>
      <c r="F3615">
        <f>HYPERLINK("https://www.wikidata.org/wiki/Q16683508", "Q16683508")</f>
        <v>0</v>
      </c>
      <c r="G3615" t="s">
        <v>2352</v>
      </c>
      <c r="H3615" t="s">
        <v>6937</v>
      </c>
      <c r="I3615" t="s">
        <v>6860</v>
      </c>
      <c r="J3615" t="s">
        <v>13005</v>
      </c>
      <c r="K3615" t="s">
        <v>17415</v>
      </c>
      <c r="L3615">
        <f>HYPERLINK("https://www2.assemblee-nationale.fr/sycomore/fiche/(num_dept)/5143", "5143")</f>
        <v>0</v>
      </c>
      <c r="N3615">
        <f>HYPERLINK("https://www.wikidata.org/wiki/Q3386234", "Q3386234")</f>
        <v>0</v>
      </c>
      <c r="O3615" t="s">
        <v>20011</v>
      </c>
      <c r="P3615" t="s">
        <v>20428</v>
      </c>
      <c r="Q3615" t="s">
        <v>16199</v>
      </c>
      <c r="R3615" t="s">
        <v>414</v>
      </c>
      <c r="S3615">
        <v>1484</v>
      </c>
    </row>
    <row r="3616" spans="1:19">
      <c r="A3616" t="s">
        <v>24</v>
      </c>
      <c r="B3616" t="s">
        <v>148</v>
      </c>
      <c r="C3616" t="s">
        <v>156</v>
      </c>
      <c r="D3616" t="s">
        <v>285</v>
      </c>
      <c r="E3616" t="s">
        <v>414</v>
      </c>
      <c r="F3616">
        <f>HYPERLINK("https://www.wikidata.org/wiki/Q16683508", "Q16683508")</f>
        <v>0</v>
      </c>
      <c r="G3616" t="s">
        <v>1539</v>
      </c>
      <c r="H3616" t="s">
        <v>6233</v>
      </c>
      <c r="I3616" t="s">
        <v>6175</v>
      </c>
      <c r="J3616" t="s">
        <v>11729</v>
      </c>
      <c r="K3616" t="s">
        <v>16661</v>
      </c>
      <c r="L3616">
        <f>HYPERLINK("https://www2.assemblee-nationale.fr/sycomore/fiche/(num_dept)/5146", "5146")</f>
        <v>0</v>
      </c>
      <c r="N3616">
        <f>HYPERLINK("https://www.wikidata.org/wiki/Q3103182", "Q3103182")</f>
        <v>0</v>
      </c>
      <c r="O3616" t="s">
        <v>20007</v>
      </c>
      <c r="P3616" t="s">
        <v>20401</v>
      </c>
      <c r="Q3616" t="s">
        <v>16199</v>
      </c>
      <c r="R3616" t="s">
        <v>414</v>
      </c>
      <c r="S3616">
        <v>1484</v>
      </c>
    </row>
    <row r="3617" spans="1:19">
      <c r="A3617" t="s">
        <v>24</v>
      </c>
      <c r="B3617" t="s">
        <v>148</v>
      </c>
      <c r="C3617" t="s">
        <v>156</v>
      </c>
      <c r="D3617" t="s">
        <v>285</v>
      </c>
      <c r="E3617" t="s">
        <v>414</v>
      </c>
      <c r="F3617">
        <f>HYPERLINK("https://www.wikidata.org/wiki/Q16683508", "Q16683508")</f>
        <v>0</v>
      </c>
      <c r="G3617" t="s">
        <v>2353</v>
      </c>
      <c r="H3617" t="s">
        <v>6938</v>
      </c>
      <c r="I3617" t="s">
        <v>9457</v>
      </c>
      <c r="J3617" t="s">
        <v>13006</v>
      </c>
      <c r="K3617" t="s">
        <v>17416</v>
      </c>
      <c r="L3617">
        <f>HYPERLINK("https://www2.assemblee-nationale.fr/sycomore/fiche/(num_dept)/5158", "5158")</f>
        <v>0</v>
      </c>
      <c r="N3617">
        <f>HYPERLINK("https://www.wikidata.org/wiki/Q12948758", "Q12948758")</f>
        <v>0</v>
      </c>
      <c r="O3617" t="s">
        <v>20010</v>
      </c>
      <c r="P3617" t="s">
        <v>20428</v>
      </c>
      <c r="Q3617" t="s">
        <v>16199</v>
      </c>
      <c r="R3617" t="s">
        <v>414</v>
      </c>
      <c r="S3617">
        <v>1484</v>
      </c>
    </row>
    <row r="3618" spans="1:19">
      <c r="A3618" t="s">
        <v>24</v>
      </c>
      <c r="B3618" t="s">
        <v>148</v>
      </c>
      <c r="C3618" t="s">
        <v>156</v>
      </c>
      <c r="D3618" t="s">
        <v>285</v>
      </c>
      <c r="E3618" t="s">
        <v>414</v>
      </c>
      <c r="F3618">
        <f>HYPERLINK("https://www.wikidata.org/wiki/Q16683508", "Q16683508")</f>
        <v>0</v>
      </c>
      <c r="G3618" t="s">
        <v>2354</v>
      </c>
      <c r="H3618" t="s">
        <v>6939</v>
      </c>
      <c r="I3618" t="s">
        <v>6860</v>
      </c>
      <c r="J3618" t="s">
        <v>13007</v>
      </c>
      <c r="K3618" t="s">
        <v>17417</v>
      </c>
      <c r="L3618">
        <f>HYPERLINK("https://www2.assemblee-nationale.fr/sycomore/fiche/(num_dept)/5176", "5176")</f>
        <v>0</v>
      </c>
      <c r="N3618">
        <f>HYPERLINK("https://www.wikidata.org/wiki/Q314265", "Q314265")</f>
        <v>0</v>
      </c>
      <c r="O3618" t="s">
        <v>19992</v>
      </c>
      <c r="P3618" t="s">
        <v>20428</v>
      </c>
      <c r="Q3618" t="s">
        <v>16199</v>
      </c>
      <c r="R3618" t="s">
        <v>414</v>
      </c>
      <c r="S3618">
        <v>1484</v>
      </c>
    </row>
    <row r="3619" spans="1:19">
      <c r="A3619" t="s">
        <v>24</v>
      </c>
      <c r="B3619" t="s">
        <v>148</v>
      </c>
      <c r="C3619" t="s">
        <v>156</v>
      </c>
      <c r="D3619" t="s">
        <v>285</v>
      </c>
      <c r="E3619" t="s">
        <v>414</v>
      </c>
      <c r="F3619">
        <f>HYPERLINK("https://www.wikidata.org/wiki/Q16683508", "Q16683508")</f>
        <v>0</v>
      </c>
      <c r="G3619" t="s">
        <v>1846</v>
      </c>
      <c r="H3619" t="s">
        <v>6505</v>
      </c>
      <c r="I3619" t="s">
        <v>9601</v>
      </c>
      <c r="J3619" t="s">
        <v>12537</v>
      </c>
      <c r="K3619" t="s">
        <v>16949</v>
      </c>
      <c r="L3619">
        <f>HYPERLINK("https://www2.assemblee-nationale.fr/sycomore/fiche/(num_dept)/5202", "5202")</f>
        <v>0</v>
      </c>
      <c r="N3619">
        <f>HYPERLINK("https://www.wikidata.org/wiki/Q3081593", "Q3081593")</f>
        <v>0</v>
      </c>
      <c r="O3619" t="s">
        <v>20023</v>
      </c>
      <c r="P3619" t="s">
        <v>20438</v>
      </c>
      <c r="Q3619" t="s">
        <v>16199</v>
      </c>
      <c r="R3619" t="s">
        <v>414</v>
      </c>
      <c r="S3619">
        <v>1484</v>
      </c>
    </row>
    <row r="3620" spans="1:19">
      <c r="A3620" t="s">
        <v>24</v>
      </c>
      <c r="B3620" t="s">
        <v>148</v>
      </c>
      <c r="C3620" t="s">
        <v>156</v>
      </c>
      <c r="D3620" t="s">
        <v>285</v>
      </c>
      <c r="E3620" t="s">
        <v>414</v>
      </c>
      <c r="F3620">
        <f>HYPERLINK("https://www.wikidata.org/wiki/Q16683508", "Q16683508")</f>
        <v>0</v>
      </c>
      <c r="G3620" t="s">
        <v>2355</v>
      </c>
      <c r="H3620" t="s">
        <v>6940</v>
      </c>
      <c r="I3620" t="s">
        <v>10183</v>
      </c>
      <c r="J3620" t="s">
        <v>13008</v>
      </c>
      <c r="K3620" t="s">
        <v>17418</v>
      </c>
      <c r="L3620">
        <f>HYPERLINK("https://www2.assemblee-nationale.fr/sycomore/fiche/(num_dept)/5225", "5225")</f>
        <v>0</v>
      </c>
      <c r="N3620">
        <f>HYPERLINK("https://www.wikidata.org/wiki/Q3103251", "Q3103251")</f>
        <v>0</v>
      </c>
      <c r="O3620" t="s">
        <v>19978</v>
      </c>
      <c r="P3620" t="s">
        <v>20428</v>
      </c>
      <c r="Q3620" t="s">
        <v>16199</v>
      </c>
      <c r="R3620" t="s">
        <v>414</v>
      </c>
      <c r="S3620">
        <v>1484</v>
      </c>
    </row>
    <row r="3621" spans="1:19">
      <c r="A3621" t="s">
        <v>24</v>
      </c>
      <c r="B3621" t="s">
        <v>148</v>
      </c>
      <c r="C3621" t="s">
        <v>156</v>
      </c>
      <c r="D3621" t="s">
        <v>285</v>
      </c>
      <c r="E3621" t="s">
        <v>414</v>
      </c>
      <c r="F3621">
        <f>HYPERLINK("https://www.wikidata.org/wiki/Q16683508", "Q16683508")</f>
        <v>0</v>
      </c>
      <c r="G3621" t="s">
        <v>2356</v>
      </c>
      <c r="H3621" t="s">
        <v>6941</v>
      </c>
      <c r="I3621" t="s">
        <v>9950</v>
      </c>
      <c r="J3621" t="s">
        <v>13009</v>
      </c>
      <c r="K3621" t="s">
        <v>17419</v>
      </c>
      <c r="L3621">
        <f>HYPERLINK("https://www2.assemblee-nationale.fr/sycomore/fiche/(num_dept)/5257", "5257")</f>
        <v>0</v>
      </c>
      <c r="N3621">
        <f>HYPERLINK("https://www.wikidata.org/wiki/Q2871621", "Q2871621")</f>
        <v>0</v>
      </c>
      <c r="O3621" t="s">
        <v>19993</v>
      </c>
      <c r="P3621" t="s">
        <v>20414</v>
      </c>
      <c r="Q3621" t="s">
        <v>16199</v>
      </c>
      <c r="R3621" t="s">
        <v>414</v>
      </c>
      <c r="S3621">
        <v>1484</v>
      </c>
    </row>
    <row r="3622" spans="1:19">
      <c r="A3622" t="s">
        <v>24</v>
      </c>
      <c r="B3622" t="s">
        <v>148</v>
      </c>
      <c r="C3622" t="s">
        <v>156</v>
      </c>
      <c r="D3622" t="s">
        <v>285</v>
      </c>
      <c r="E3622" t="s">
        <v>414</v>
      </c>
      <c r="F3622">
        <f>HYPERLINK("https://www.wikidata.org/wiki/Q16683508", "Q16683508")</f>
        <v>0</v>
      </c>
      <c r="G3622" t="s">
        <v>2357</v>
      </c>
      <c r="H3622" t="s">
        <v>6941</v>
      </c>
      <c r="I3622" t="s">
        <v>6860</v>
      </c>
      <c r="J3622" t="s">
        <v>12683</v>
      </c>
      <c r="K3622" t="s">
        <v>16342</v>
      </c>
      <c r="L3622">
        <f>HYPERLINK("https://www2.assemblee-nationale.fr/sycomore/fiche/(num_dept)/5265", "5265")</f>
        <v>0</v>
      </c>
      <c r="M3622">
        <f>HYPERLINK("https://www.senat.fr/senateur-3eme-republique/michel_pierre0568r3.html", "michel_pierre0568r3")</f>
        <v>0</v>
      </c>
      <c r="N3622">
        <f>HYPERLINK("https://www.wikidata.org/wiki/Q3386275", "Q3386275")</f>
        <v>0</v>
      </c>
      <c r="O3622" t="s">
        <v>19964</v>
      </c>
      <c r="P3622" t="s">
        <v>20401</v>
      </c>
      <c r="Q3622" t="s">
        <v>16199</v>
      </c>
      <c r="R3622" t="s">
        <v>414</v>
      </c>
      <c r="S3622">
        <v>1484</v>
      </c>
    </row>
    <row r="3623" spans="1:19">
      <c r="A3623" t="s">
        <v>24</v>
      </c>
      <c r="B3623" t="s">
        <v>148</v>
      </c>
      <c r="C3623" t="s">
        <v>156</v>
      </c>
      <c r="D3623" t="s">
        <v>285</v>
      </c>
      <c r="E3623" t="s">
        <v>414</v>
      </c>
      <c r="F3623">
        <f>HYPERLINK("https://www.wikidata.org/wiki/Q16683508", "Q16683508")</f>
        <v>0</v>
      </c>
      <c r="G3623" t="s">
        <v>2358</v>
      </c>
      <c r="H3623" t="s">
        <v>6942</v>
      </c>
      <c r="I3623" t="s">
        <v>9455</v>
      </c>
      <c r="J3623" t="s">
        <v>13010</v>
      </c>
      <c r="K3623" t="s">
        <v>17420</v>
      </c>
      <c r="L3623">
        <f>HYPERLINK("https://www2.assemblee-nationale.fr/sycomore/fiche/(num_dept)/5270", "5270")</f>
        <v>0</v>
      </c>
      <c r="N3623">
        <f>HYPERLINK("https://www.wikidata.org/wiki/Q3265639", "Q3265639")</f>
        <v>0</v>
      </c>
      <c r="O3623" t="s">
        <v>19976</v>
      </c>
      <c r="P3623" t="s">
        <v>20424</v>
      </c>
      <c r="Q3623" t="s">
        <v>16199</v>
      </c>
      <c r="R3623" t="s">
        <v>414</v>
      </c>
      <c r="S3623">
        <v>1484</v>
      </c>
    </row>
    <row r="3624" spans="1:19">
      <c r="A3624" t="s">
        <v>24</v>
      </c>
      <c r="B3624" t="s">
        <v>148</v>
      </c>
      <c r="C3624" t="s">
        <v>156</v>
      </c>
      <c r="D3624" t="s">
        <v>285</v>
      </c>
      <c r="E3624" t="s">
        <v>414</v>
      </c>
      <c r="F3624">
        <f>HYPERLINK("https://www.wikidata.org/wiki/Q16683508", "Q16683508")</f>
        <v>0</v>
      </c>
      <c r="G3624" t="s">
        <v>1673</v>
      </c>
      <c r="H3624" t="s">
        <v>6353</v>
      </c>
      <c r="I3624" t="s">
        <v>9602</v>
      </c>
      <c r="J3624" t="s">
        <v>12379</v>
      </c>
      <c r="K3624" t="s">
        <v>16787</v>
      </c>
      <c r="L3624">
        <f>HYPERLINK("https://www2.assemblee-nationale.fr/sycomore/fiche/(num_dept)/5271", "5271")</f>
        <v>0</v>
      </c>
      <c r="N3624">
        <f>HYPERLINK("https://www.wikidata.org/wiki/Q3047928", "Q3047928")</f>
        <v>0</v>
      </c>
      <c r="O3624" t="s">
        <v>20040</v>
      </c>
      <c r="P3624" t="s">
        <v>20428</v>
      </c>
      <c r="Q3624" t="s">
        <v>16199</v>
      </c>
      <c r="R3624" t="s">
        <v>414</v>
      </c>
      <c r="S3624">
        <v>1484</v>
      </c>
    </row>
    <row r="3625" spans="1:19">
      <c r="A3625" t="s">
        <v>24</v>
      </c>
      <c r="B3625" t="s">
        <v>148</v>
      </c>
      <c r="C3625" t="s">
        <v>156</v>
      </c>
      <c r="D3625" t="s">
        <v>285</v>
      </c>
      <c r="E3625" t="s">
        <v>414</v>
      </c>
      <c r="F3625">
        <f>HYPERLINK("https://www.wikidata.org/wiki/Q16683508", "Q16683508")</f>
        <v>0</v>
      </c>
      <c r="G3625" t="s">
        <v>2359</v>
      </c>
      <c r="H3625" t="s">
        <v>6943</v>
      </c>
      <c r="I3625" t="s">
        <v>10184</v>
      </c>
      <c r="J3625" t="s">
        <v>13011</v>
      </c>
      <c r="K3625" t="s">
        <v>17421</v>
      </c>
      <c r="L3625">
        <f>HYPERLINK("https://www2.assemblee-nationale.fr/sycomore/fiche/(num_dept)/5325", "5325")</f>
        <v>0</v>
      </c>
      <c r="N3625">
        <f>HYPERLINK("https://www.wikidata.org/wiki/Q3288517", "Q3288517")</f>
        <v>0</v>
      </c>
      <c r="O3625" t="s">
        <v>20010</v>
      </c>
      <c r="P3625" t="s">
        <v>20439</v>
      </c>
      <c r="Q3625" t="s">
        <v>16199</v>
      </c>
      <c r="R3625" t="s">
        <v>17421</v>
      </c>
      <c r="S3625">
        <v>869</v>
      </c>
    </row>
    <row r="3626" spans="1:19">
      <c r="A3626" t="s">
        <v>24</v>
      </c>
      <c r="B3626" t="s">
        <v>148</v>
      </c>
      <c r="C3626" t="s">
        <v>156</v>
      </c>
      <c r="D3626" t="s">
        <v>285</v>
      </c>
      <c r="E3626" t="s">
        <v>414</v>
      </c>
      <c r="F3626">
        <f>HYPERLINK("https://www.wikidata.org/wiki/Q16683508", "Q16683508")</f>
        <v>0</v>
      </c>
      <c r="G3626" t="s">
        <v>1850</v>
      </c>
      <c r="H3626" t="s">
        <v>6509</v>
      </c>
      <c r="I3626" t="s">
        <v>9970</v>
      </c>
      <c r="J3626" t="s">
        <v>12541</v>
      </c>
      <c r="K3626" t="s">
        <v>16953</v>
      </c>
      <c r="L3626">
        <f>HYPERLINK("https://www2.assemblee-nationale.fr/sycomore/fiche/(num_dept)/5334", "5334")</f>
        <v>0</v>
      </c>
      <c r="N3626">
        <f>HYPERLINK("https://www.wikidata.org/wiki/Q3579966", "Q3579966")</f>
        <v>0</v>
      </c>
      <c r="O3626" t="s">
        <v>20050</v>
      </c>
      <c r="P3626" t="s">
        <v>20438</v>
      </c>
      <c r="Q3626" t="s">
        <v>16199</v>
      </c>
      <c r="R3626" t="s">
        <v>414</v>
      </c>
      <c r="S3626">
        <v>1484</v>
      </c>
    </row>
    <row r="3627" spans="1:19">
      <c r="A3627" t="s">
        <v>24</v>
      </c>
      <c r="B3627" t="s">
        <v>148</v>
      </c>
      <c r="C3627" t="s">
        <v>156</v>
      </c>
      <c r="D3627" t="s">
        <v>285</v>
      </c>
      <c r="E3627" t="s">
        <v>414</v>
      </c>
      <c r="F3627">
        <f>HYPERLINK("https://www.wikidata.org/wiki/Q16683508", "Q16683508")</f>
        <v>0</v>
      </c>
      <c r="G3627" t="s">
        <v>2360</v>
      </c>
      <c r="H3627" t="s">
        <v>6944</v>
      </c>
      <c r="I3627" t="s">
        <v>10185</v>
      </c>
      <c r="J3627" t="s">
        <v>13012</v>
      </c>
      <c r="K3627" t="s">
        <v>17422</v>
      </c>
      <c r="L3627">
        <f>HYPERLINK("https://www2.assemblee-nationale.fr/sycomore/fiche/(num_dept)/5346", "5346")</f>
        <v>0</v>
      </c>
      <c r="N3627">
        <f>HYPERLINK("https://www.wikidata.org/wiki/Q13080941", "Q13080941")</f>
        <v>0</v>
      </c>
      <c r="O3627" t="s">
        <v>19969</v>
      </c>
      <c r="P3627" t="s">
        <v>20424</v>
      </c>
      <c r="Q3627" t="s">
        <v>16199</v>
      </c>
      <c r="R3627" t="s">
        <v>414</v>
      </c>
      <c r="S3627">
        <v>1484</v>
      </c>
    </row>
    <row r="3628" spans="1:19">
      <c r="A3628" t="s">
        <v>24</v>
      </c>
      <c r="B3628" t="s">
        <v>148</v>
      </c>
      <c r="C3628" t="s">
        <v>156</v>
      </c>
      <c r="D3628" t="s">
        <v>285</v>
      </c>
      <c r="E3628" t="s">
        <v>414</v>
      </c>
      <c r="F3628">
        <f>HYPERLINK("https://www.wikidata.org/wiki/Q16683508", "Q16683508")</f>
        <v>0</v>
      </c>
      <c r="G3628" t="s">
        <v>2361</v>
      </c>
      <c r="H3628" t="s">
        <v>6945</v>
      </c>
      <c r="I3628" t="s">
        <v>9470</v>
      </c>
      <c r="J3628" t="s">
        <v>13013</v>
      </c>
      <c r="K3628" t="s">
        <v>17423</v>
      </c>
      <c r="L3628">
        <f>HYPERLINK("https://www2.assemblee-nationale.fr/sycomore/fiche/(num_dept)/5348", "5348")</f>
        <v>0</v>
      </c>
      <c r="N3628">
        <f>HYPERLINK("https://www.wikidata.org/wiki/Q443841", "Q443841")</f>
        <v>0</v>
      </c>
      <c r="O3628" t="s">
        <v>20029</v>
      </c>
      <c r="P3628" t="s">
        <v>20428</v>
      </c>
      <c r="Q3628" t="s">
        <v>16199</v>
      </c>
      <c r="R3628" t="s">
        <v>414</v>
      </c>
      <c r="S3628">
        <v>1484</v>
      </c>
    </row>
    <row r="3629" spans="1:19">
      <c r="A3629" t="s">
        <v>24</v>
      </c>
      <c r="B3629" t="s">
        <v>148</v>
      </c>
      <c r="C3629" t="s">
        <v>156</v>
      </c>
      <c r="D3629" t="s">
        <v>285</v>
      </c>
      <c r="E3629" t="s">
        <v>414</v>
      </c>
      <c r="F3629">
        <f>HYPERLINK("https://www.wikidata.org/wiki/Q16683508", "Q16683508")</f>
        <v>0</v>
      </c>
      <c r="G3629" t="s">
        <v>2362</v>
      </c>
      <c r="H3629" t="s">
        <v>6946</v>
      </c>
      <c r="I3629" t="s">
        <v>10186</v>
      </c>
      <c r="J3629" t="s">
        <v>13014</v>
      </c>
      <c r="K3629" t="s">
        <v>17329</v>
      </c>
      <c r="L3629">
        <f>HYPERLINK("https://www2.assemblee-nationale.fr/sycomore/fiche/(num_dept)/5362", "5362")</f>
        <v>0</v>
      </c>
      <c r="N3629">
        <f>HYPERLINK("https://www.wikidata.org/wiki/Q16026125", "Q16026125")</f>
        <v>0</v>
      </c>
      <c r="O3629" t="s">
        <v>19969</v>
      </c>
      <c r="P3629" t="s">
        <v>20436</v>
      </c>
      <c r="Q3629" t="s">
        <v>16199</v>
      </c>
      <c r="R3629" t="s">
        <v>414</v>
      </c>
      <c r="S3629">
        <v>1484</v>
      </c>
    </row>
    <row r="3630" spans="1:19">
      <c r="A3630" t="s">
        <v>24</v>
      </c>
      <c r="B3630" t="s">
        <v>148</v>
      </c>
      <c r="C3630" t="s">
        <v>156</v>
      </c>
      <c r="D3630" t="s">
        <v>285</v>
      </c>
      <c r="E3630" t="s">
        <v>414</v>
      </c>
      <c r="F3630">
        <f>HYPERLINK("https://www.wikidata.org/wiki/Q16683508", "Q16683508")</f>
        <v>0</v>
      </c>
      <c r="G3630" t="s">
        <v>738</v>
      </c>
      <c r="H3630" t="s">
        <v>5496</v>
      </c>
      <c r="I3630" t="s">
        <v>9503</v>
      </c>
      <c r="J3630" t="s">
        <v>11487</v>
      </c>
      <c r="K3630" t="s">
        <v>15889</v>
      </c>
      <c r="L3630">
        <f>HYPERLINK("https://www2.assemblee-nationale.fr/sycomore/fiche/(num_dept)/5394", "5394")</f>
        <v>0</v>
      </c>
      <c r="M3630">
        <f>HYPERLINK("https://www.senat.fr/senateur-3eme-republique/de_monzie_anatole0605r3.html", "de_monzie_anatole0605r3")</f>
        <v>0</v>
      </c>
      <c r="N3630">
        <f>HYPERLINK("https://www.wikidata.org/wiki/Q2845619", "Q2845619")</f>
        <v>0</v>
      </c>
      <c r="O3630" t="s">
        <v>19974</v>
      </c>
      <c r="P3630" t="s">
        <v>20439</v>
      </c>
      <c r="Q3630" t="s">
        <v>16199</v>
      </c>
      <c r="R3630" t="s">
        <v>414</v>
      </c>
      <c r="S3630">
        <v>1484</v>
      </c>
    </row>
    <row r="3631" spans="1:19">
      <c r="A3631" t="s">
        <v>24</v>
      </c>
      <c r="B3631" t="s">
        <v>148</v>
      </c>
      <c r="C3631" t="s">
        <v>156</v>
      </c>
      <c r="D3631" t="s">
        <v>285</v>
      </c>
      <c r="E3631" t="s">
        <v>414</v>
      </c>
      <c r="F3631">
        <f>HYPERLINK("https://www.wikidata.org/wiki/Q16683508", "Q16683508")</f>
        <v>0</v>
      </c>
      <c r="G3631" t="s">
        <v>1278</v>
      </c>
      <c r="H3631" t="s">
        <v>5760</v>
      </c>
      <c r="I3631" t="s">
        <v>9376</v>
      </c>
      <c r="J3631" t="s">
        <v>12008</v>
      </c>
      <c r="K3631" t="s">
        <v>16411</v>
      </c>
      <c r="L3631">
        <f>HYPERLINK("https://www2.assemblee-nationale.fr/sycomore/fiche/(num_dept)/5421", "5421")</f>
        <v>0</v>
      </c>
      <c r="N3631">
        <f>HYPERLINK("https://www.wikidata.org/wiki/Q3068631", "Q3068631")</f>
        <v>0</v>
      </c>
      <c r="O3631" t="s">
        <v>20008</v>
      </c>
      <c r="P3631" t="s">
        <v>20404</v>
      </c>
      <c r="Q3631" t="s">
        <v>16199</v>
      </c>
      <c r="R3631" t="s">
        <v>414</v>
      </c>
      <c r="S3631">
        <v>1484</v>
      </c>
    </row>
    <row r="3632" spans="1:19">
      <c r="A3632" t="s">
        <v>24</v>
      </c>
      <c r="B3632" t="s">
        <v>148</v>
      </c>
      <c r="C3632" t="s">
        <v>156</v>
      </c>
      <c r="D3632" t="s">
        <v>285</v>
      </c>
      <c r="E3632" t="s">
        <v>414</v>
      </c>
      <c r="F3632">
        <f>HYPERLINK("https://www.wikidata.org/wiki/Q16683508", "Q16683508")</f>
        <v>0</v>
      </c>
      <c r="G3632" t="s">
        <v>2363</v>
      </c>
      <c r="H3632" t="s">
        <v>6947</v>
      </c>
      <c r="I3632" t="s">
        <v>6860</v>
      </c>
      <c r="J3632" t="s">
        <v>13015</v>
      </c>
      <c r="K3632" t="s">
        <v>17424</v>
      </c>
      <c r="L3632">
        <f>HYPERLINK("https://www2.assemblee-nationale.fr/sycomore/fiche/(num_dept)/5435", "5435")</f>
        <v>0</v>
      </c>
      <c r="N3632">
        <f>HYPERLINK("https://www.wikidata.org/wiki/Q15407395", "Q15407395")</f>
        <v>0</v>
      </c>
      <c r="O3632" t="s">
        <v>20026</v>
      </c>
      <c r="P3632" t="s">
        <v>20428</v>
      </c>
      <c r="Q3632" t="s">
        <v>16199</v>
      </c>
      <c r="R3632" t="s">
        <v>414</v>
      </c>
      <c r="S3632">
        <v>1484</v>
      </c>
    </row>
    <row r="3633" spans="1:19">
      <c r="A3633" t="s">
        <v>24</v>
      </c>
      <c r="B3633" t="s">
        <v>148</v>
      </c>
      <c r="C3633" t="s">
        <v>156</v>
      </c>
      <c r="D3633" t="s">
        <v>285</v>
      </c>
      <c r="E3633" t="s">
        <v>414</v>
      </c>
      <c r="F3633">
        <f>HYPERLINK("https://www.wikidata.org/wiki/Q16683508", "Q16683508")</f>
        <v>0</v>
      </c>
      <c r="G3633" t="s">
        <v>2124</v>
      </c>
      <c r="H3633" t="s">
        <v>6744</v>
      </c>
      <c r="I3633" t="s">
        <v>9638</v>
      </c>
      <c r="J3633" t="s">
        <v>12788</v>
      </c>
      <c r="K3633" t="s">
        <v>17204</v>
      </c>
      <c r="L3633">
        <f>HYPERLINK("https://www2.assemblee-nationale.fr/sycomore/fiche/(num_dept)/5454", "5454")</f>
        <v>0</v>
      </c>
      <c r="N3633">
        <f>HYPERLINK("https://www.wikidata.org/wiki/Q87121", "Q87121")</f>
        <v>0</v>
      </c>
      <c r="O3633" t="s">
        <v>20048</v>
      </c>
      <c r="P3633" t="s">
        <v>20434</v>
      </c>
      <c r="Q3633" t="s">
        <v>16199</v>
      </c>
      <c r="R3633" t="s">
        <v>414</v>
      </c>
      <c r="S3633">
        <v>1484</v>
      </c>
    </row>
    <row r="3634" spans="1:19">
      <c r="A3634" t="s">
        <v>24</v>
      </c>
      <c r="B3634" t="s">
        <v>148</v>
      </c>
      <c r="C3634" t="s">
        <v>156</v>
      </c>
      <c r="D3634" t="s">
        <v>285</v>
      </c>
      <c r="E3634" t="s">
        <v>414</v>
      </c>
      <c r="F3634">
        <f>HYPERLINK("https://www.wikidata.org/wiki/Q16683508", "Q16683508")</f>
        <v>0</v>
      </c>
      <c r="G3634" t="s">
        <v>1336</v>
      </c>
      <c r="H3634" t="s">
        <v>6054</v>
      </c>
      <c r="I3634" t="s">
        <v>9593</v>
      </c>
      <c r="J3634" t="s">
        <v>12063</v>
      </c>
      <c r="K3634" t="s">
        <v>16465</v>
      </c>
      <c r="L3634">
        <f>HYPERLINK("https://www2.assemblee-nationale.fr/sycomore/fiche/(num_dept)/5466", "5466")</f>
        <v>0</v>
      </c>
      <c r="N3634">
        <f>HYPERLINK("https://www.wikidata.org/wiki/Q3293837", "Q3293837")</f>
        <v>0</v>
      </c>
      <c r="O3634" t="s">
        <v>20044</v>
      </c>
      <c r="P3634" t="s">
        <v>20404</v>
      </c>
      <c r="Q3634" t="s">
        <v>16199</v>
      </c>
      <c r="R3634" t="s">
        <v>414</v>
      </c>
      <c r="S3634">
        <v>1484</v>
      </c>
    </row>
    <row r="3635" spans="1:19">
      <c r="A3635" t="s">
        <v>24</v>
      </c>
      <c r="B3635" t="s">
        <v>148</v>
      </c>
      <c r="C3635" t="s">
        <v>156</v>
      </c>
      <c r="D3635" t="s">
        <v>285</v>
      </c>
      <c r="E3635" t="s">
        <v>414</v>
      </c>
      <c r="F3635">
        <f>HYPERLINK("https://www.wikidata.org/wiki/Q16683508", "Q16683508")</f>
        <v>0</v>
      </c>
      <c r="G3635" t="s">
        <v>2234</v>
      </c>
      <c r="H3635" t="s">
        <v>6843</v>
      </c>
      <c r="I3635" t="s">
        <v>6584</v>
      </c>
      <c r="J3635" t="s">
        <v>12895</v>
      </c>
      <c r="K3635" t="s">
        <v>17306</v>
      </c>
      <c r="L3635">
        <f>HYPERLINK("https://www2.assemblee-nationale.fr/sycomore/fiche/(num_dept)/5511", "5511")</f>
        <v>0</v>
      </c>
      <c r="N3635">
        <f>HYPERLINK("https://www.wikidata.org/wiki/Q13077217", "Q13077217")</f>
        <v>0</v>
      </c>
      <c r="O3635" t="s">
        <v>20026</v>
      </c>
      <c r="P3635" t="s">
        <v>20431</v>
      </c>
      <c r="Q3635" t="s">
        <v>16199</v>
      </c>
      <c r="R3635" t="s">
        <v>414</v>
      </c>
      <c r="S3635">
        <v>1484</v>
      </c>
    </row>
    <row r="3636" spans="1:19">
      <c r="A3636" t="s">
        <v>24</v>
      </c>
      <c r="B3636" t="s">
        <v>148</v>
      </c>
      <c r="C3636" t="s">
        <v>156</v>
      </c>
      <c r="D3636" t="s">
        <v>285</v>
      </c>
      <c r="E3636" t="s">
        <v>414</v>
      </c>
      <c r="F3636">
        <f>HYPERLINK("https://www.wikidata.org/wiki/Q16683508", "Q16683508")</f>
        <v>0</v>
      </c>
      <c r="G3636" t="s">
        <v>1855</v>
      </c>
      <c r="H3636" t="s">
        <v>5503</v>
      </c>
      <c r="I3636" t="s">
        <v>6495</v>
      </c>
      <c r="J3636" t="s">
        <v>11675</v>
      </c>
      <c r="K3636" t="s">
        <v>16956</v>
      </c>
      <c r="L3636">
        <f>HYPERLINK("https://www2.assemblee-nationale.fr/sycomore/fiche/(num_dept)/5549", "5549")</f>
        <v>0</v>
      </c>
      <c r="N3636">
        <f>HYPERLINK("https://www.wikidata.org/wiki/Q3262798", "Q3262798")</f>
        <v>0</v>
      </c>
      <c r="O3636" t="s">
        <v>20013</v>
      </c>
      <c r="P3636" t="s">
        <v>20437</v>
      </c>
      <c r="Q3636" t="s">
        <v>16199</v>
      </c>
      <c r="R3636" t="s">
        <v>414</v>
      </c>
      <c r="S3636">
        <v>1484</v>
      </c>
    </row>
    <row r="3637" spans="1:19">
      <c r="A3637" t="s">
        <v>24</v>
      </c>
      <c r="B3637" t="s">
        <v>148</v>
      </c>
      <c r="C3637" t="s">
        <v>156</v>
      </c>
      <c r="D3637" t="s">
        <v>285</v>
      </c>
      <c r="E3637" t="s">
        <v>414</v>
      </c>
      <c r="F3637">
        <f>HYPERLINK("https://www.wikidata.org/wiki/Q16683508", "Q16683508")</f>
        <v>0</v>
      </c>
      <c r="G3637" t="s">
        <v>1859</v>
      </c>
      <c r="H3637" t="s">
        <v>6515</v>
      </c>
      <c r="I3637" t="s">
        <v>9391</v>
      </c>
      <c r="J3637" t="s">
        <v>12549</v>
      </c>
      <c r="K3637" t="s">
        <v>16960</v>
      </c>
      <c r="L3637">
        <f>HYPERLINK("https://www2.assemblee-nationale.fr/sycomore/fiche/(num_dept)/5599", "5599")</f>
        <v>0</v>
      </c>
      <c r="N3637">
        <f>HYPERLINK("https://www.wikidata.org/wiki/Q2977904", "Q2977904")</f>
        <v>0</v>
      </c>
      <c r="O3637" t="s">
        <v>20006</v>
      </c>
      <c r="P3637" t="s">
        <v>20428</v>
      </c>
      <c r="Q3637" t="s">
        <v>16199</v>
      </c>
      <c r="R3637" t="s">
        <v>414</v>
      </c>
      <c r="S3637">
        <v>1484</v>
      </c>
    </row>
    <row r="3638" spans="1:19">
      <c r="A3638" t="s">
        <v>24</v>
      </c>
      <c r="B3638" t="s">
        <v>148</v>
      </c>
      <c r="C3638" t="s">
        <v>156</v>
      </c>
      <c r="D3638" t="s">
        <v>285</v>
      </c>
      <c r="E3638" t="s">
        <v>414</v>
      </c>
      <c r="F3638">
        <f>HYPERLINK("https://www.wikidata.org/wiki/Q16683508", "Q16683508")</f>
        <v>0</v>
      </c>
      <c r="G3638" t="s">
        <v>1287</v>
      </c>
      <c r="H3638" t="s">
        <v>6009</v>
      </c>
      <c r="I3638" t="s">
        <v>9442</v>
      </c>
      <c r="J3638" t="s">
        <v>12017</v>
      </c>
      <c r="K3638" t="s">
        <v>16420</v>
      </c>
      <c r="L3638">
        <f>HYPERLINK("https://www2.assemblee-nationale.fr/sycomore/fiche/(num_dept)/5636", "5636")</f>
        <v>0</v>
      </c>
      <c r="N3638">
        <f>HYPERLINK("https://www.wikidata.org/wiki/Q3057112", "Q3057112")</f>
        <v>0</v>
      </c>
      <c r="O3638" t="s">
        <v>20038</v>
      </c>
      <c r="P3638" t="s">
        <v>20401</v>
      </c>
      <c r="Q3638" t="s">
        <v>16199</v>
      </c>
      <c r="R3638" t="s">
        <v>414</v>
      </c>
      <c r="S3638">
        <v>1484</v>
      </c>
    </row>
    <row r="3639" spans="1:19">
      <c r="A3639" t="s">
        <v>24</v>
      </c>
      <c r="B3639" t="s">
        <v>148</v>
      </c>
      <c r="C3639" t="s">
        <v>156</v>
      </c>
      <c r="D3639" t="s">
        <v>285</v>
      </c>
      <c r="E3639" t="s">
        <v>414</v>
      </c>
      <c r="F3639">
        <f>HYPERLINK("https://www.wikidata.org/wiki/Q16683508", "Q16683508")</f>
        <v>0</v>
      </c>
      <c r="G3639" t="s">
        <v>2226</v>
      </c>
      <c r="H3639" t="s">
        <v>6835</v>
      </c>
      <c r="I3639" t="s">
        <v>9407</v>
      </c>
      <c r="J3639" t="s">
        <v>12887</v>
      </c>
      <c r="K3639" t="s">
        <v>17299</v>
      </c>
      <c r="L3639">
        <f>HYPERLINK("https://www2.assemblee-nationale.fr/sycomore/fiche/(num_dept)/5679", "5679")</f>
        <v>0</v>
      </c>
      <c r="M3639">
        <f>HYPERLINK("https://www.senat.fr/senateur-3eme-republique/parayre_joseph1092r3.html", "parayre_joseph1092r3")</f>
        <v>0</v>
      </c>
      <c r="N3639">
        <f>HYPERLINK("https://www.wikidata.org/wiki/Q3185447", "Q3185447")</f>
        <v>0</v>
      </c>
      <c r="O3639" t="s">
        <v>20001</v>
      </c>
      <c r="P3639" t="s">
        <v>20404</v>
      </c>
      <c r="Q3639" t="s">
        <v>16199</v>
      </c>
      <c r="R3639" t="s">
        <v>414</v>
      </c>
      <c r="S3639">
        <v>1484</v>
      </c>
    </row>
    <row r="3640" spans="1:19">
      <c r="A3640" t="s">
        <v>24</v>
      </c>
      <c r="B3640" t="s">
        <v>148</v>
      </c>
      <c r="C3640" t="s">
        <v>156</v>
      </c>
      <c r="D3640" t="s">
        <v>285</v>
      </c>
      <c r="E3640" t="s">
        <v>414</v>
      </c>
      <c r="F3640">
        <f>HYPERLINK("https://www.wikidata.org/wiki/Q16683508", "Q16683508")</f>
        <v>0</v>
      </c>
      <c r="G3640" t="s">
        <v>2228</v>
      </c>
      <c r="H3640" t="s">
        <v>6837</v>
      </c>
      <c r="I3640" t="s">
        <v>6941</v>
      </c>
      <c r="J3640" t="s">
        <v>12889</v>
      </c>
      <c r="K3640" t="s">
        <v>17301</v>
      </c>
      <c r="L3640">
        <f>HYPERLINK("https://www2.assemblee-nationale.fr/sycomore/fiche/(num_dept)/5683", "5683")</f>
        <v>0</v>
      </c>
      <c r="N3640">
        <f>HYPERLINK("https://www.wikidata.org/wiki/Q16004087", "Q16004087")</f>
        <v>0</v>
      </c>
      <c r="O3640" t="s">
        <v>20000</v>
      </c>
      <c r="P3640" t="s">
        <v>20414</v>
      </c>
      <c r="Q3640" t="s">
        <v>16199</v>
      </c>
      <c r="R3640" t="s">
        <v>414</v>
      </c>
      <c r="S3640">
        <v>1484</v>
      </c>
    </row>
    <row r="3641" spans="1:19">
      <c r="A3641" t="s">
        <v>24</v>
      </c>
      <c r="B3641" t="s">
        <v>148</v>
      </c>
      <c r="C3641" t="s">
        <v>156</v>
      </c>
      <c r="D3641" t="s">
        <v>285</v>
      </c>
      <c r="E3641" t="s">
        <v>414</v>
      </c>
      <c r="F3641">
        <f>HYPERLINK("https://www.wikidata.org/wiki/Q16683508", "Q16683508")</f>
        <v>0</v>
      </c>
      <c r="G3641" t="s">
        <v>2364</v>
      </c>
      <c r="H3641" t="s">
        <v>6948</v>
      </c>
      <c r="I3641" t="s">
        <v>6585</v>
      </c>
      <c r="J3641" t="s">
        <v>13016</v>
      </c>
      <c r="K3641" t="s">
        <v>17425</v>
      </c>
      <c r="L3641">
        <f>HYPERLINK("https://www2.assemblee-nationale.fr/sycomore/fiche/(num_dept)/5686", "5686")</f>
        <v>0</v>
      </c>
      <c r="N3641">
        <f>HYPERLINK("https://www.wikidata.org/wiki/Q2848395", "Q2848395")</f>
        <v>0</v>
      </c>
      <c r="O3641" t="s">
        <v>20013</v>
      </c>
      <c r="P3641" t="s">
        <v>20414</v>
      </c>
      <c r="Q3641" t="s">
        <v>16199</v>
      </c>
      <c r="R3641" t="s">
        <v>414</v>
      </c>
      <c r="S3641">
        <v>1484</v>
      </c>
    </row>
    <row r="3642" spans="1:19">
      <c r="A3642" t="s">
        <v>24</v>
      </c>
      <c r="B3642" t="s">
        <v>148</v>
      </c>
      <c r="C3642" t="s">
        <v>156</v>
      </c>
      <c r="D3642" t="s">
        <v>285</v>
      </c>
      <c r="E3642" t="s">
        <v>414</v>
      </c>
      <c r="F3642">
        <f>HYPERLINK("https://www.wikidata.org/wiki/Q16683508", "Q16683508")</f>
        <v>0</v>
      </c>
      <c r="G3642" t="s">
        <v>2131</v>
      </c>
      <c r="H3642" t="s">
        <v>6750</v>
      </c>
      <c r="I3642" t="s">
        <v>10090</v>
      </c>
      <c r="J3642" t="s">
        <v>12795</v>
      </c>
      <c r="K3642" t="s">
        <v>17211</v>
      </c>
      <c r="L3642">
        <f>HYPERLINK("https://www2.assemblee-nationale.fr/sycomore/fiche/(num_dept)/5708", "5708")</f>
        <v>0</v>
      </c>
      <c r="N3642">
        <f>HYPERLINK("https://www.wikidata.org/wiki/Q8306122", "Q8306122")</f>
        <v>0</v>
      </c>
      <c r="O3642" t="s">
        <v>19976</v>
      </c>
      <c r="P3642" t="s">
        <v>20438</v>
      </c>
      <c r="Q3642" t="s">
        <v>16199</v>
      </c>
      <c r="R3642" t="s">
        <v>414</v>
      </c>
      <c r="S3642">
        <v>1484</v>
      </c>
    </row>
    <row r="3643" spans="1:19">
      <c r="A3643" t="s">
        <v>24</v>
      </c>
      <c r="B3643" t="s">
        <v>148</v>
      </c>
      <c r="C3643" t="s">
        <v>156</v>
      </c>
      <c r="D3643" t="s">
        <v>285</v>
      </c>
      <c r="E3643" t="s">
        <v>414</v>
      </c>
      <c r="F3643">
        <f>HYPERLINK("https://www.wikidata.org/wiki/Q16683508", "Q16683508")</f>
        <v>0</v>
      </c>
      <c r="G3643" t="s">
        <v>1864</v>
      </c>
      <c r="H3643" t="s">
        <v>6520</v>
      </c>
      <c r="I3643" t="s">
        <v>6200</v>
      </c>
      <c r="J3643" t="s">
        <v>12552</v>
      </c>
      <c r="K3643" t="s">
        <v>16965</v>
      </c>
      <c r="L3643">
        <f>HYPERLINK("https://www2.assemblee-nationale.fr/sycomore/fiche/(num_dept)/5736", "5736")</f>
        <v>0</v>
      </c>
      <c r="M3643">
        <f>HYPERLINK("https://www.senat.fr/senateur-3eme-republique/payra_jean1091r3.html", "payra_jean1091r3")</f>
        <v>0</v>
      </c>
      <c r="N3643">
        <f>HYPERLINK("https://www.wikidata.org/wiki/Q3173886", "Q3173886")</f>
        <v>0</v>
      </c>
      <c r="O3643" t="s">
        <v>20001</v>
      </c>
      <c r="P3643" t="s">
        <v>20404</v>
      </c>
      <c r="Q3643" t="s">
        <v>16199</v>
      </c>
      <c r="R3643" t="s">
        <v>21449</v>
      </c>
      <c r="S3643">
        <v>1348</v>
      </c>
    </row>
    <row r="3644" spans="1:19">
      <c r="A3644" t="s">
        <v>24</v>
      </c>
      <c r="B3644" t="s">
        <v>148</v>
      </c>
      <c r="C3644" t="s">
        <v>156</v>
      </c>
      <c r="D3644" t="s">
        <v>285</v>
      </c>
      <c r="E3644" t="s">
        <v>414</v>
      </c>
      <c r="F3644">
        <f>HYPERLINK("https://www.wikidata.org/wiki/Q16683508", "Q16683508")</f>
        <v>0</v>
      </c>
      <c r="G3644" t="s">
        <v>2133</v>
      </c>
      <c r="H3644" t="s">
        <v>6751</v>
      </c>
      <c r="I3644" t="s">
        <v>9385</v>
      </c>
      <c r="J3644" t="s">
        <v>12797</v>
      </c>
      <c r="K3644" t="s">
        <v>17213</v>
      </c>
      <c r="L3644">
        <f>HYPERLINK("https://www2.assemblee-nationale.fr/sycomore/fiche/(num_dept)/5744", "5744")</f>
        <v>0</v>
      </c>
      <c r="N3644">
        <f>HYPERLINK("https://www.wikidata.org/wiki/Q2960054", "Q2960054")</f>
        <v>0</v>
      </c>
      <c r="O3644" t="s">
        <v>19969</v>
      </c>
      <c r="P3644" t="s">
        <v>20438</v>
      </c>
      <c r="Q3644" t="s">
        <v>16199</v>
      </c>
      <c r="R3644" t="s">
        <v>414</v>
      </c>
      <c r="S3644">
        <v>1484</v>
      </c>
    </row>
    <row r="3645" spans="1:19">
      <c r="A3645" t="s">
        <v>24</v>
      </c>
      <c r="B3645" t="s">
        <v>148</v>
      </c>
      <c r="C3645" t="s">
        <v>156</v>
      </c>
      <c r="D3645" t="s">
        <v>285</v>
      </c>
      <c r="E3645" t="s">
        <v>414</v>
      </c>
      <c r="F3645">
        <f>HYPERLINK("https://www.wikidata.org/wiki/Q16683508", "Q16683508")</f>
        <v>0</v>
      </c>
      <c r="G3645" t="s">
        <v>2365</v>
      </c>
      <c r="H3645" t="s">
        <v>6949</v>
      </c>
      <c r="I3645" t="s">
        <v>10187</v>
      </c>
      <c r="J3645" t="s">
        <v>12377</v>
      </c>
      <c r="K3645" t="s">
        <v>17426</v>
      </c>
      <c r="L3645">
        <f>HYPERLINK("https://www2.assemblee-nationale.fr/sycomore/fiche/(num_dept)/5762", "5762")</f>
        <v>0</v>
      </c>
      <c r="N3645">
        <f>HYPERLINK("https://www.wikidata.org/wiki/Q3271258", "Q3271258")</f>
        <v>0</v>
      </c>
      <c r="O3645" t="s">
        <v>19958</v>
      </c>
      <c r="P3645" t="s">
        <v>20438</v>
      </c>
      <c r="Q3645" t="s">
        <v>16199</v>
      </c>
      <c r="R3645" t="s">
        <v>414</v>
      </c>
      <c r="S3645">
        <v>1484</v>
      </c>
    </row>
    <row r="3646" spans="1:19">
      <c r="A3646" t="s">
        <v>24</v>
      </c>
      <c r="B3646" t="s">
        <v>148</v>
      </c>
      <c r="C3646" t="s">
        <v>156</v>
      </c>
      <c r="D3646" t="s">
        <v>285</v>
      </c>
      <c r="E3646" t="s">
        <v>414</v>
      </c>
      <c r="F3646">
        <f>HYPERLINK("https://www.wikidata.org/wiki/Q16683508", "Q16683508")</f>
        <v>0</v>
      </c>
      <c r="G3646" t="s">
        <v>2134</v>
      </c>
      <c r="H3646" t="s">
        <v>6752</v>
      </c>
      <c r="I3646" t="s">
        <v>9506</v>
      </c>
      <c r="J3646" t="s">
        <v>12798</v>
      </c>
      <c r="K3646" t="s">
        <v>17214</v>
      </c>
      <c r="L3646">
        <f>HYPERLINK("https://www2.assemblee-nationale.fr/sycomore/fiche/(num_dept)/5784", "5784")</f>
        <v>0</v>
      </c>
      <c r="N3646">
        <f>HYPERLINK("https://www.wikidata.org/wiki/Q2935032", "Q2935032")</f>
        <v>0</v>
      </c>
      <c r="O3646" t="s">
        <v>20022</v>
      </c>
      <c r="P3646" t="s">
        <v>20428</v>
      </c>
      <c r="Q3646" t="s">
        <v>16199</v>
      </c>
      <c r="R3646" t="s">
        <v>414</v>
      </c>
      <c r="S3646">
        <v>1484</v>
      </c>
    </row>
    <row r="3647" spans="1:19">
      <c r="A3647" t="s">
        <v>24</v>
      </c>
      <c r="B3647" t="s">
        <v>148</v>
      </c>
      <c r="C3647" t="s">
        <v>156</v>
      </c>
      <c r="D3647" t="s">
        <v>285</v>
      </c>
      <c r="E3647" t="s">
        <v>414</v>
      </c>
      <c r="F3647">
        <f>HYPERLINK("https://www.wikidata.org/wiki/Q16683508", "Q16683508")</f>
        <v>0</v>
      </c>
      <c r="G3647" t="s">
        <v>2366</v>
      </c>
      <c r="H3647" t="s">
        <v>6950</v>
      </c>
      <c r="I3647" t="s">
        <v>7911</v>
      </c>
      <c r="J3647" t="s">
        <v>13017</v>
      </c>
      <c r="K3647" t="s">
        <v>17427</v>
      </c>
      <c r="L3647">
        <f>HYPERLINK("https://www2.assemblee-nationale.fr/sycomore/fiche/(num_dept)/5785", "5785")</f>
        <v>0</v>
      </c>
      <c r="N3647">
        <f>HYPERLINK("https://www.wikidata.org/wiki/Q480164", "Q480164")</f>
        <v>0</v>
      </c>
      <c r="O3647" t="s">
        <v>19976</v>
      </c>
      <c r="P3647" t="s">
        <v>20424</v>
      </c>
      <c r="Q3647" t="s">
        <v>16199</v>
      </c>
      <c r="R3647" t="s">
        <v>414</v>
      </c>
      <c r="S3647">
        <v>1484</v>
      </c>
    </row>
    <row r="3648" spans="1:19">
      <c r="A3648" t="s">
        <v>24</v>
      </c>
      <c r="B3648" t="s">
        <v>148</v>
      </c>
      <c r="C3648" t="s">
        <v>156</v>
      </c>
      <c r="D3648" t="s">
        <v>285</v>
      </c>
      <c r="E3648" t="s">
        <v>414</v>
      </c>
      <c r="F3648">
        <f>HYPERLINK("https://www.wikidata.org/wiki/Q16683508", "Q16683508")</f>
        <v>0</v>
      </c>
      <c r="G3648" t="s">
        <v>2367</v>
      </c>
      <c r="H3648" t="s">
        <v>6951</v>
      </c>
      <c r="I3648" t="s">
        <v>9389</v>
      </c>
      <c r="J3648" t="s">
        <v>13018</v>
      </c>
      <c r="K3648" t="s">
        <v>17428</v>
      </c>
      <c r="L3648">
        <f>HYPERLINK("https://www2.assemblee-nationale.fr/sycomore/fiche/(num_dept)/5792", "5792")</f>
        <v>0</v>
      </c>
      <c r="N3648">
        <f>HYPERLINK("https://www.wikidata.org/wiki/Q3588709", "Q3588709")</f>
        <v>0</v>
      </c>
      <c r="O3648" t="s">
        <v>20032</v>
      </c>
      <c r="P3648" t="s">
        <v>20442</v>
      </c>
      <c r="Q3648" t="s">
        <v>16199</v>
      </c>
      <c r="R3648" t="s">
        <v>414</v>
      </c>
      <c r="S3648">
        <v>1484</v>
      </c>
    </row>
    <row r="3649" spans="1:19">
      <c r="A3649" t="s">
        <v>24</v>
      </c>
      <c r="B3649" t="s">
        <v>148</v>
      </c>
      <c r="C3649" t="s">
        <v>156</v>
      </c>
      <c r="D3649" t="s">
        <v>285</v>
      </c>
      <c r="E3649" t="s">
        <v>414</v>
      </c>
      <c r="F3649">
        <f>HYPERLINK("https://www.wikidata.org/wiki/Q16683508", "Q16683508")</f>
        <v>0</v>
      </c>
      <c r="G3649" t="s">
        <v>1116</v>
      </c>
      <c r="H3649" t="s">
        <v>5775</v>
      </c>
      <c r="I3649" t="s">
        <v>6860</v>
      </c>
      <c r="J3649" t="s">
        <v>11850</v>
      </c>
      <c r="K3649" t="s">
        <v>16252</v>
      </c>
      <c r="L3649">
        <f>HYPERLINK("https://www2.assemblee-nationale.fr/sycomore/fiche/(num_dept)/5808", "5808")</f>
        <v>0</v>
      </c>
      <c r="N3649">
        <f>HYPERLINK("https://www.wikidata.org/wiki/Q3386559", "Q3386559")</f>
        <v>0</v>
      </c>
      <c r="O3649" t="s">
        <v>20034</v>
      </c>
      <c r="P3649" t="s">
        <v>20412</v>
      </c>
      <c r="Q3649" t="s">
        <v>16199</v>
      </c>
      <c r="R3649" t="s">
        <v>414</v>
      </c>
      <c r="S3649">
        <v>1484</v>
      </c>
    </row>
    <row r="3650" spans="1:19">
      <c r="A3650" t="s">
        <v>24</v>
      </c>
      <c r="B3650" t="s">
        <v>148</v>
      </c>
      <c r="C3650" t="s">
        <v>156</v>
      </c>
      <c r="D3650" t="s">
        <v>285</v>
      </c>
      <c r="E3650" t="s">
        <v>414</v>
      </c>
      <c r="F3650">
        <f>HYPERLINK("https://www.wikidata.org/wiki/Q16683508", "Q16683508")</f>
        <v>0</v>
      </c>
      <c r="G3650" t="s">
        <v>2368</v>
      </c>
      <c r="H3650" t="s">
        <v>6952</v>
      </c>
      <c r="I3650" t="s">
        <v>10188</v>
      </c>
      <c r="J3650" t="s">
        <v>13019</v>
      </c>
      <c r="K3650" t="s">
        <v>17429</v>
      </c>
      <c r="L3650">
        <f>HYPERLINK("https://www2.assemblee-nationale.fr/sycomore/fiche/(num_dept)/5809", "5809")</f>
        <v>0</v>
      </c>
      <c r="N3650">
        <f>HYPERLINK("https://www.wikidata.org/wiki/Q3588690", "Q3588690")</f>
        <v>0</v>
      </c>
      <c r="O3650" t="s">
        <v>19980</v>
      </c>
      <c r="P3650" t="s">
        <v>20428</v>
      </c>
      <c r="Q3650" t="s">
        <v>16199</v>
      </c>
      <c r="R3650" t="s">
        <v>414</v>
      </c>
      <c r="S3650">
        <v>1484</v>
      </c>
    </row>
    <row r="3651" spans="1:19">
      <c r="A3651" t="s">
        <v>24</v>
      </c>
      <c r="B3651" t="s">
        <v>148</v>
      </c>
      <c r="C3651" t="s">
        <v>156</v>
      </c>
      <c r="D3651" t="s">
        <v>285</v>
      </c>
      <c r="E3651" t="s">
        <v>414</v>
      </c>
      <c r="F3651">
        <f>HYPERLINK("https://www.wikidata.org/wiki/Q16683508", "Q16683508")</f>
        <v>0</v>
      </c>
      <c r="G3651" t="s">
        <v>2369</v>
      </c>
      <c r="H3651" t="s">
        <v>6753</v>
      </c>
      <c r="I3651" t="s">
        <v>9388</v>
      </c>
      <c r="J3651" t="s">
        <v>13020</v>
      </c>
      <c r="K3651" t="s">
        <v>17430</v>
      </c>
      <c r="L3651">
        <f>HYPERLINK("https://www2.assemblee-nationale.fr/sycomore/fiche/(num_dept)/5818", "5818")</f>
        <v>0</v>
      </c>
      <c r="N3651">
        <f>HYPERLINK("https://www.wikidata.org/wiki/Q3371987", "Q3371987")</f>
        <v>0</v>
      </c>
      <c r="O3651" t="s">
        <v>19969</v>
      </c>
      <c r="P3651" t="s">
        <v>20436</v>
      </c>
      <c r="Q3651" t="s">
        <v>16199</v>
      </c>
      <c r="R3651" t="s">
        <v>414</v>
      </c>
      <c r="S3651">
        <v>1484</v>
      </c>
    </row>
    <row r="3652" spans="1:19">
      <c r="A3652" t="s">
        <v>24</v>
      </c>
      <c r="B3652" t="s">
        <v>148</v>
      </c>
      <c r="C3652" t="s">
        <v>156</v>
      </c>
      <c r="D3652" t="s">
        <v>285</v>
      </c>
      <c r="E3652" t="s">
        <v>414</v>
      </c>
      <c r="F3652">
        <f>HYPERLINK("https://www.wikidata.org/wiki/Q16683508", "Q16683508")</f>
        <v>0</v>
      </c>
      <c r="G3652" t="s">
        <v>2370</v>
      </c>
      <c r="H3652" t="s">
        <v>6953</v>
      </c>
      <c r="I3652" t="s">
        <v>6200</v>
      </c>
      <c r="J3652" t="s">
        <v>13021</v>
      </c>
      <c r="K3652" t="s">
        <v>17431</v>
      </c>
      <c r="L3652">
        <f>HYPERLINK("https://www2.assemblee-nationale.fr/sycomore/fiche/(num_dept)/5825", "5825")</f>
        <v>0</v>
      </c>
      <c r="N3652">
        <f>HYPERLINK("https://www.wikidata.org/wiki/Q3173921", "Q3173921")</f>
        <v>0</v>
      </c>
      <c r="O3652" t="s">
        <v>20011</v>
      </c>
      <c r="P3652" t="s">
        <v>20428</v>
      </c>
      <c r="Q3652" t="s">
        <v>16199</v>
      </c>
      <c r="R3652" t="s">
        <v>414</v>
      </c>
      <c r="S3652">
        <v>1484</v>
      </c>
    </row>
    <row r="3653" spans="1:19">
      <c r="A3653" t="s">
        <v>24</v>
      </c>
      <c r="B3653" t="s">
        <v>148</v>
      </c>
      <c r="C3653" t="s">
        <v>156</v>
      </c>
      <c r="D3653" t="s">
        <v>285</v>
      </c>
      <c r="E3653" t="s">
        <v>414</v>
      </c>
      <c r="F3653">
        <f>HYPERLINK("https://www.wikidata.org/wiki/Q16683508", "Q16683508")</f>
        <v>0</v>
      </c>
      <c r="G3653" t="s">
        <v>2138</v>
      </c>
      <c r="H3653" t="s">
        <v>6755</v>
      </c>
      <c r="I3653" t="s">
        <v>9612</v>
      </c>
      <c r="J3653" t="s">
        <v>12802</v>
      </c>
      <c r="K3653" t="s">
        <v>17217</v>
      </c>
      <c r="L3653">
        <f>HYPERLINK("https://www2.assemblee-nationale.fr/sycomore/fiche/(num_dept)/5894", "5894")</f>
        <v>0</v>
      </c>
      <c r="N3653">
        <f>HYPERLINK("https://www.wikidata.org/wiki/Q3090114", "Q3090114")</f>
        <v>0</v>
      </c>
      <c r="O3653" t="s">
        <v>19969</v>
      </c>
      <c r="P3653" t="s">
        <v>20401</v>
      </c>
      <c r="Q3653" t="s">
        <v>16199</v>
      </c>
      <c r="R3653" t="s">
        <v>414</v>
      </c>
      <c r="S3653">
        <v>1484</v>
      </c>
    </row>
    <row r="3654" spans="1:19">
      <c r="A3654" t="s">
        <v>24</v>
      </c>
      <c r="B3654" t="s">
        <v>148</v>
      </c>
      <c r="C3654" t="s">
        <v>156</v>
      </c>
      <c r="D3654" t="s">
        <v>285</v>
      </c>
      <c r="E3654" t="s">
        <v>414</v>
      </c>
      <c r="F3654">
        <f>HYPERLINK("https://www.wikidata.org/wiki/Q16683508", "Q16683508")</f>
        <v>0</v>
      </c>
      <c r="G3654" t="s">
        <v>2140</v>
      </c>
      <c r="H3654" t="s">
        <v>6757</v>
      </c>
      <c r="I3654" t="s">
        <v>10094</v>
      </c>
      <c r="J3654" t="s">
        <v>12804</v>
      </c>
      <c r="K3654" t="s">
        <v>17219</v>
      </c>
      <c r="L3654">
        <f>HYPERLINK("https://www2.assemblee-nationale.fr/sycomore/fiche/(num_dept)/5940", "5940")</f>
        <v>0</v>
      </c>
      <c r="N3654">
        <f>HYPERLINK("https://www.wikidata.org/wiki/Q3592333", "Q3592333")</f>
        <v>0</v>
      </c>
      <c r="O3654" t="s">
        <v>19998</v>
      </c>
      <c r="P3654" t="s">
        <v>20441</v>
      </c>
      <c r="Q3654" t="s">
        <v>16199</v>
      </c>
      <c r="R3654" t="s">
        <v>414</v>
      </c>
      <c r="S3654">
        <v>1484</v>
      </c>
    </row>
    <row r="3655" spans="1:19">
      <c r="A3655" t="s">
        <v>24</v>
      </c>
      <c r="B3655" t="s">
        <v>148</v>
      </c>
      <c r="C3655" t="s">
        <v>156</v>
      </c>
      <c r="D3655" t="s">
        <v>285</v>
      </c>
      <c r="E3655" t="s">
        <v>414</v>
      </c>
      <c r="F3655">
        <f>HYPERLINK("https://www.wikidata.org/wiki/Q16683508", "Q16683508")</f>
        <v>0</v>
      </c>
      <c r="G3655" t="s">
        <v>2371</v>
      </c>
      <c r="H3655" t="s">
        <v>6954</v>
      </c>
      <c r="I3655" t="s">
        <v>6200</v>
      </c>
      <c r="J3655" t="s">
        <v>13022</v>
      </c>
      <c r="K3655" t="s">
        <v>17432</v>
      </c>
      <c r="L3655">
        <f>HYPERLINK("https://www2.assemblee-nationale.fr/sycomore/fiche/(num_dept)/5955", "5955")</f>
        <v>0</v>
      </c>
      <c r="N3655">
        <f>HYPERLINK("https://www.wikidata.org/wiki/Q13080905", "Q13080905")</f>
        <v>0</v>
      </c>
      <c r="O3655" t="s">
        <v>19969</v>
      </c>
      <c r="P3655" t="s">
        <v>20428</v>
      </c>
      <c r="Q3655" t="s">
        <v>16199</v>
      </c>
      <c r="R3655" t="s">
        <v>414</v>
      </c>
      <c r="S3655">
        <v>1484</v>
      </c>
    </row>
    <row r="3656" spans="1:19">
      <c r="A3656" t="s">
        <v>24</v>
      </c>
      <c r="B3656" t="s">
        <v>148</v>
      </c>
      <c r="C3656" t="s">
        <v>156</v>
      </c>
      <c r="D3656" t="s">
        <v>285</v>
      </c>
      <c r="E3656" t="s">
        <v>414</v>
      </c>
      <c r="F3656">
        <f>HYPERLINK("https://www.wikidata.org/wiki/Q16683508", "Q16683508")</f>
        <v>0</v>
      </c>
      <c r="G3656" t="s">
        <v>2372</v>
      </c>
      <c r="H3656" t="s">
        <v>6955</v>
      </c>
      <c r="I3656" t="s">
        <v>9476</v>
      </c>
      <c r="J3656" t="s">
        <v>13023</v>
      </c>
      <c r="K3656" t="s">
        <v>17433</v>
      </c>
      <c r="L3656">
        <f>HYPERLINK("https://www2.assemblee-nationale.fr/sycomore/fiche/(num_dept)/5976", "5976")</f>
        <v>0</v>
      </c>
      <c r="N3656">
        <f>HYPERLINK("https://www.wikidata.org/wiki/Q3426754", "Q3426754")</f>
        <v>0</v>
      </c>
      <c r="O3656" t="s">
        <v>8449</v>
      </c>
      <c r="P3656" t="s">
        <v>20442</v>
      </c>
      <c r="Q3656" t="s">
        <v>16199</v>
      </c>
      <c r="R3656" t="s">
        <v>414</v>
      </c>
      <c r="S3656">
        <v>1484</v>
      </c>
    </row>
    <row r="3657" spans="1:19">
      <c r="A3657" t="s">
        <v>24</v>
      </c>
      <c r="B3657" t="s">
        <v>148</v>
      </c>
      <c r="C3657" t="s">
        <v>156</v>
      </c>
      <c r="D3657" t="s">
        <v>285</v>
      </c>
      <c r="E3657" t="s">
        <v>414</v>
      </c>
      <c r="F3657">
        <f>HYPERLINK("https://www.wikidata.org/wiki/Q16683508", "Q16683508")</f>
        <v>0</v>
      </c>
      <c r="G3657" t="s">
        <v>762</v>
      </c>
      <c r="H3657" t="s">
        <v>5520</v>
      </c>
      <c r="I3657" t="s">
        <v>9514</v>
      </c>
      <c r="J3657" t="s">
        <v>11507</v>
      </c>
      <c r="K3657" t="s">
        <v>15913</v>
      </c>
      <c r="L3657">
        <f>HYPERLINK("https://www2.assemblee-nationale.fr/sycomore/fiche/(num_dept)/5981", "5981")</f>
        <v>0</v>
      </c>
      <c r="M3657">
        <f>HYPERLINK("https://www.senat.fr/senateur-3eme-republique/plichon_jean1422r3.html", "plichon_jean1422r3")</f>
        <v>0</v>
      </c>
      <c r="N3657">
        <f>HYPERLINK("https://www.wikidata.org/wiki/Q3174051", "Q3174051")</f>
        <v>0</v>
      </c>
      <c r="O3657" t="s">
        <v>20013</v>
      </c>
      <c r="P3657" t="s">
        <v>20437</v>
      </c>
      <c r="Q3657" t="s">
        <v>16199</v>
      </c>
      <c r="R3657" t="s">
        <v>414</v>
      </c>
      <c r="S3657">
        <v>1484</v>
      </c>
    </row>
    <row r="3658" spans="1:19">
      <c r="A3658" t="s">
        <v>24</v>
      </c>
      <c r="B3658" t="s">
        <v>148</v>
      </c>
      <c r="C3658" t="s">
        <v>156</v>
      </c>
      <c r="D3658" t="s">
        <v>285</v>
      </c>
      <c r="E3658" t="s">
        <v>414</v>
      </c>
      <c r="F3658">
        <f>HYPERLINK("https://www.wikidata.org/wiki/Q16683508", "Q16683508")</f>
        <v>0</v>
      </c>
      <c r="G3658" t="s">
        <v>2142</v>
      </c>
      <c r="H3658" t="s">
        <v>6758</v>
      </c>
      <c r="I3658" t="s">
        <v>9449</v>
      </c>
      <c r="J3658" t="s">
        <v>12806</v>
      </c>
      <c r="K3658" t="s">
        <v>17221</v>
      </c>
      <c r="L3658">
        <f>HYPERLINK("https://www2.assemblee-nationale.fr/sycomore/fiche/(num_dept)/5992", "5992")</f>
        <v>0</v>
      </c>
      <c r="N3658">
        <f>HYPERLINK("https://www.wikidata.org/wiki/Q3188852", "Q3188852")</f>
        <v>0</v>
      </c>
      <c r="O3658" t="s">
        <v>20002</v>
      </c>
      <c r="P3658" t="s">
        <v>20401</v>
      </c>
      <c r="Q3658" t="s">
        <v>16199</v>
      </c>
      <c r="R3658" t="s">
        <v>414</v>
      </c>
      <c r="S3658">
        <v>1484</v>
      </c>
    </row>
    <row r="3659" spans="1:19">
      <c r="A3659" t="s">
        <v>24</v>
      </c>
      <c r="B3659" t="s">
        <v>148</v>
      </c>
      <c r="C3659" t="s">
        <v>156</v>
      </c>
      <c r="D3659" t="s">
        <v>285</v>
      </c>
      <c r="E3659" t="s">
        <v>414</v>
      </c>
      <c r="F3659">
        <f>HYPERLINK("https://www.wikidata.org/wiki/Q16683508", "Q16683508")</f>
        <v>0</v>
      </c>
      <c r="G3659" t="s">
        <v>2373</v>
      </c>
      <c r="H3659" t="s">
        <v>5525</v>
      </c>
      <c r="I3659" t="s">
        <v>10189</v>
      </c>
      <c r="J3659" t="s">
        <v>13024</v>
      </c>
      <c r="K3659" t="s">
        <v>17396</v>
      </c>
      <c r="L3659">
        <f>HYPERLINK("https://www2.assemblee-nationale.fr/sycomore/fiche/(num_dept)/6032", "6032")</f>
        <v>0</v>
      </c>
      <c r="N3659">
        <f>HYPERLINK("https://www.wikidata.org/wiki/Q3271304", "Q3271304")</f>
        <v>0</v>
      </c>
      <c r="O3659" t="s">
        <v>19977</v>
      </c>
      <c r="P3659" t="s">
        <v>20404</v>
      </c>
      <c r="Q3659" t="s">
        <v>16199</v>
      </c>
      <c r="R3659" t="s">
        <v>414</v>
      </c>
      <c r="S3659">
        <v>1484</v>
      </c>
    </row>
    <row r="3660" spans="1:19">
      <c r="A3660" t="s">
        <v>24</v>
      </c>
      <c r="B3660" t="s">
        <v>148</v>
      </c>
      <c r="C3660" t="s">
        <v>156</v>
      </c>
      <c r="D3660" t="s">
        <v>285</v>
      </c>
      <c r="E3660" t="s">
        <v>414</v>
      </c>
      <c r="F3660">
        <f>HYPERLINK("https://www.wikidata.org/wiki/Q16683508", "Q16683508")</f>
        <v>0</v>
      </c>
      <c r="G3660" t="s">
        <v>1580</v>
      </c>
      <c r="H3660" t="s">
        <v>6270</v>
      </c>
      <c r="I3660" t="s">
        <v>9846</v>
      </c>
      <c r="J3660" t="s">
        <v>11466</v>
      </c>
      <c r="K3660" t="s">
        <v>16699</v>
      </c>
      <c r="L3660">
        <f>HYPERLINK("https://www2.assemblee-nationale.fr/sycomore/fiche/(num_dept)/6046", "6046")</f>
        <v>0</v>
      </c>
      <c r="N3660">
        <f>HYPERLINK("https://www.wikidata.org/wiki/Q16026438", "Q16026438")</f>
        <v>0</v>
      </c>
      <c r="O3660" t="s">
        <v>7411</v>
      </c>
      <c r="P3660" t="s">
        <v>20409</v>
      </c>
      <c r="Q3660" t="s">
        <v>16199</v>
      </c>
      <c r="R3660" t="s">
        <v>414</v>
      </c>
      <c r="S3660">
        <v>1484</v>
      </c>
    </row>
    <row r="3661" spans="1:19">
      <c r="A3661" t="s">
        <v>24</v>
      </c>
      <c r="B3661" t="s">
        <v>148</v>
      </c>
      <c r="C3661" t="s">
        <v>156</v>
      </c>
      <c r="D3661" t="s">
        <v>285</v>
      </c>
      <c r="E3661" t="s">
        <v>414</v>
      </c>
      <c r="F3661">
        <f>HYPERLINK("https://www.wikidata.org/wiki/Q16683508", "Q16683508")</f>
        <v>0</v>
      </c>
      <c r="G3661" t="s">
        <v>2374</v>
      </c>
      <c r="H3661" t="s">
        <v>6956</v>
      </c>
      <c r="I3661" t="s">
        <v>10190</v>
      </c>
      <c r="J3661" t="s">
        <v>13025</v>
      </c>
      <c r="K3661" t="s">
        <v>17434</v>
      </c>
      <c r="L3661">
        <f>HYPERLINK("https://www2.assemblee-nationale.fr/sycomore/fiche/(num_dept)/6058", "6058")</f>
        <v>0</v>
      </c>
      <c r="N3661">
        <f>HYPERLINK("https://www.wikidata.org/wiki/Q3302427", "Q3302427")</f>
        <v>0</v>
      </c>
      <c r="O3661" t="s">
        <v>20034</v>
      </c>
      <c r="P3661" t="s">
        <v>20404</v>
      </c>
      <c r="Q3661" t="s">
        <v>16199</v>
      </c>
      <c r="R3661" t="s">
        <v>414</v>
      </c>
      <c r="S3661">
        <v>1484</v>
      </c>
    </row>
    <row r="3662" spans="1:19">
      <c r="A3662" t="s">
        <v>24</v>
      </c>
      <c r="B3662" t="s">
        <v>148</v>
      </c>
      <c r="C3662" t="s">
        <v>156</v>
      </c>
      <c r="D3662" t="s">
        <v>285</v>
      </c>
      <c r="E3662" t="s">
        <v>414</v>
      </c>
      <c r="F3662">
        <f>HYPERLINK("https://www.wikidata.org/wiki/Q16683508", "Q16683508")</f>
        <v>0</v>
      </c>
      <c r="G3662" t="s">
        <v>1970</v>
      </c>
      <c r="H3662" t="s">
        <v>6610</v>
      </c>
      <c r="I3662" t="s">
        <v>6495</v>
      </c>
      <c r="J3662" t="s">
        <v>12652</v>
      </c>
      <c r="K3662" t="s">
        <v>17061</v>
      </c>
      <c r="L3662">
        <f>HYPERLINK("https://www2.assemblee-nationale.fr/sycomore/fiche/(num_dept)/6065", "6065")</f>
        <v>0</v>
      </c>
      <c r="N3662">
        <f>HYPERLINK("https://www.wikidata.org/wiki/Q18535214", "Q18535214")</f>
        <v>0</v>
      </c>
      <c r="O3662" t="s">
        <v>19980</v>
      </c>
      <c r="P3662" t="s">
        <v>20441</v>
      </c>
      <c r="Q3662" t="s">
        <v>16199</v>
      </c>
      <c r="R3662" t="s">
        <v>414</v>
      </c>
      <c r="S3662">
        <v>1484</v>
      </c>
    </row>
    <row r="3663" spans="1:19">
      <c r="A3663" t="s">
        <v>24</v>
      </c>
      <c r="B3663" t="s">
        <v>148</v>
      </c>
      <c r="C3663" t="s">
        <v>156</v>
      </c>
      <c r="D3663" t="s">
        <v>285</v>
      </c>
      <c r="E3663" t="s">
        <v>414</v>
      </c>
      <c r="F3663">
        <f>HYPERLINK("https://www.wikidata.org/wiki/Q16683508", "Q16683508")</f>
        <v>0</v>
      </c>
      <c r="G3663" t="s">
        <v>2375</v>
      </c>
      <c r="H3663" t="s">
        <v>6610</v>
      </c>
      <c r="I3663" t="s">
        <v>10191</v>
      </c>
      <c r="J3663" t="s">
        <v>13026</v>
      </c>
      <c r="K3663" t="s">
        <v>17435</v>
      </c>
      <c r="L3663">
        <f>HYPERLINK("https://www2.assemblee-nationale.fr/sycomore/fiche/(num_dept)/6066", "6066")</f>
        <v>0</v>
      </c>
      <c r="N3663">
        <f>HYPERLINK("https://www.wikidata.org/wiki/Q9296356", "Q9296356")</f>
        <v>0</v>
      </c>
      <c r="O3663" t="s">
        <v>19965</v>
      </c>
      <c r="P3663" t="s">
        <v>20428</v>
      </c>
      <c r="Q3663" t="s">
        <v>16199</v>
      </c>
      <c r="R3663" t="s">
        <v>414</v>
      </c>
      <c r="S3663">
        <v>1484</v>
      </c>
    </row>
    <row r="3664" spans="1:19">
      <c r="A3664" t="s">
        <v>24</v>
      </c>
      <c r="B3664" t="s">
        <v>148</v>
      </c>
      <c r="C3664" t="s">
        <v>156</v>
      </c>
      <c r="D3664" t="s">
        <v>285</v>
      </c>
      <c r="E3664" t="s">
        <v>414</v>
      </c>
      <c r="F3664">
        <f>HYPERLINK("https://www.wikidata.org/wiki/Q16683508", "Q16683508")</f>
        <v>0</v>
      </c>
      <c r="G3664" t="s">
        <v>2376</v>
      </c>
      <c r="H3664" t="s">
        <v>6957</v>
      </c>
      <c r="I3664" t="s">
        <v>10192</v>
      </c>
      <c r="J3664" t="s">
        <v>13027</v>
      </c>
      <c r="K3664" t="s">
        <v>17436</v>
      </c>
      <c r="L3664">
        <f>HYPERLINK("https://www2.assemblee-nationale.fr/sycomore/fiche/(num_dept)/6072", "6072")</f>
        <v>0</v>
      </c>
      <c r="N3664">
        <f>HYPERLINK("https://www.wikidata.org/wiki/Q3526687", "Q3526687")</f>
        <v>0</v>
      </c>
      <c r="O3664" t="s">
        <v>19956</v>
      </c>
      <c r="P3664" t="s">
        <v>20428</v>
      </c>
      <c r="Q3664" t="s">
        <v>16199</v>
      </c>
      <c r="R3664" t="s">
        <v>414</v>
      </c>
      <c r="S3664">
        <v>1484</v>
      </c>
    </row>
    <row r="3665" spans="1:19">
      <c r="A3665" t="s">
        <v>24</v>
      </c>
      <c r="B3665" t="s">
        <v>148</v>
      </c>
      <c r="C3665" t="s">
        <v>156</v>
      </c>
      <c r="D3665" t="s">
        <v>285</v>
      </c>
      <c r="E3665" t="s">
        <v>414</v>
      </c>
      <c r="F3665">
        <f>HYPERLINK("https://www.wikidata.org/wiki/Q16683508", "Q16683508")</f>
        <v>0</v>
      </c>
      <c r="G3665" t="s">
        <v>2145</v>
      </c>
      <c r="H3665" t="s">
        <v>6760</v>
      </c>
      <c r="I3665" t="s">
        <v>9407</v>
      </c>
      <c r="J3665" t="s">
        <v>12809</v>
      </c>
      <c r="K3665" t="s">
        <v>17224</v>
      </c>
      <c r="L3665">
        <f>HYPERLINK("https://www2.assemblee-nationale.fr/sycomore/fiche/(num_dept)/6093", "6093")</f>
        <v>0</v>
      </c>
      <c r="N3665">
        <f>HYPERLINK("https://www.wikidata.org/wiki/Q1400234", "Q1400234")</f>
        <v>0</v>
      </c>
      <c r="O3665" t="s">
        <v>20049</v>
      </c>
      <c r="P3665" t="s">
        <v>20443</v>
      </c>
      <c r="Q3665" t="s">
        <v>16199</v>
      </c>
      <c r="R3665" t="s">
        <v>414</v>
      </c>
      <c r="S3665">
        <v>1484</v>
      </c>
    </row>
    <row r="3666" spans="1:19">
      <c r="A3666" t="s">
        <v>24</v>
      </c>
      <c r="B3666" t="s">
        <v>148</v>
      </c>
      <c r="C3666" t="s">
        <v>156</v>
      </c>
      <c r="D3666" t="s">
        <v>285</v>
      </c>
      <c r="E3666" t="s">
        <v>414</v>
      </c>
      <c r="F3666">
        <f>HYPERLINK("https://www.wikidata.org/wiki/Q16683508", "Q16683508")</f>
        <v>0</v>
      </c>
      <c r="G3666" t="s">
        <v>1585</v>
      </c>
      <c r="H3666" t="s">
        <v>6275</v>
      </c>
      <c r="I3666" t="s">
        <v>9423</v>
      </c>
      <c r="J3666" t="s">
        <v>12296</v>
      </c>
      <c r="K3666" t="s">
        <v>16704</v>
      </c>
      <c r="L3666">
        <f>HYPERLINK("https://www2.assemblee-nationale.fr/sycomore/fiche/(num_dept)/6104", "6104")</f>
        <v>0</v>
      </c>
      <c r="M3666">
        <f>HYPERLINK("https://www.senat.fr/senateur-3eme-republique/des_rotours_guillaume1419r3.html", "des_rotours_guillaume1419r3")</f>
        <v>0</v>
      </c>
      <c r="N3666">
        <f>HYPERLINK("https://www.wikidata.org/wiki/Q3120480", "Q3120480")</f>
        <v>0</v>
      </c>
      <c r="O3666" t="s">
        <v>20013</v>
      </c>
      <c r="P3666" t="s">
        <v>20412</v>
      </c>
      <c r="Q3666" t="s">
        <v>16199</v>
      </c>
      <c r="R3666" t="s">
        <v>21450</v>
      </c>
      <c r="S3666">
        <v>1262</v>
      </c>
    </row>
    <row r="3667" spans="1:19">
      <c r="A3667" t="s">
        <v>24</v>
      </c>
      <c r="B3667" t="s">
        <v>148</v>
      </c>
      <c r="C3667" t="s">
        <v>156</v>
      </c>
      <c r="D3667" t="s">
        <v>285</v>
      </c>
      <c r="E3667" t="s">
        <v>414</v>
      </c>
      <c r="F3667">
        <f>HYPERLINK("https://www.wikidata.org/wiki/Q16683508", "Q16683508")</f>
        <v>0</v>
      </c>
      <c r="G3667" t="s">
        <v>772</v>
      </c>
      <c r="H3667" t="s">
        <v>5530</v>
      </c>
      <c r="I3667" t="s">
        <v>5445</v>
      </c>
      <c r="J3667" t="s">
        <v>11519</v>
      </c>
      <c r="K3667" t="s">
        <v>15923</v>
      </c>
      <c r="L3667">
        <f>HYPERLINK("https://www2.assemblee-nationale.fr/sycomore/fiche/(num_dept)/6116", "6116")</f>
        <v>0</v>
      </c>
      <c r="N3667">
        <f>HYPERLINK("https://www.wikidata.org/wiki/Q29767", "Q29767")</f>
        <v>0</v>
      </c>
      <c r="O3667" t="s">
        <v>20014</v>
      </c>
      <c r="P3667" t="s">
        <v>20404</v>
      </c>
      <c r="Q3667" t="s">
        <v>16199</v>
      </c>
      <c r="R3667" t="s">
        <v>414</v>
      </c>
      <c r="S3667">
        <v>1484</v>
      </c>
    </row>
    <row r="3668" spans="1:19">
      <c r="A3668" t="s">
        <v>24</v>
      </c>
      <c r="B3668" t="s">
        <v>148</v>
      </c>
      <c r="C3668" t="s">
        <v>156</v>
      </c>
      <c r="D3668" t="s">
        <v>285</v>
      </c>
      <c r="E3668" t="s">
        <v>414</v>
      </c>
      <c r="F3668">
        <f>HYPERLINK("https://www.wikidata.org/wiki/Q16683508", "Q16683508")</f>
        <v>0</v>
      </c>
      <c r="G3668" t="s">
        <v>2146</v>
      </c>
      <c r="H3668" t="s">
        <v>6761</v>
      </c>
      <c r="I3668" t="s">
        <v>10096</v>
      </c>
      <c r="J3668" t="s">
        <v>12810</v>
      </c>
      <c r="K3668" t="s">
        <v>17225</v>
      </c>
      <c r="L3668">
        <f>HYPERLINK("https://www2.assemblee-nationale.fr/sycomore/fiche/(num_dept)/6127", "6127")</f>
        <v>0</v>
      </c>
      <c r="N3668">
        <f>HYPERLINK("https://www.wikidata.org/wiki/Q3060155", "Q3060155")</f>
        <v>0</v>
      </c>
      <c r="O3668" t="s">
        <v>20047</v>
      </c>
      <c r="P3668" t="s">
        <v>20428</v>
      </c>
      <c r="Q3668" t="s">
        <v>16199</v>
      </c>
      <c r="R3668" t="s">
        <v>414</v>
      </c>
      <c r="S3668">
        <v>1484</v>
      </c>
    </row>
    <row r="3669" spans="1:19">
      <c r="A3669" t="s">
        <v>24</v>
      </c>
      <c r="B3669" t="s">
        <v>148</v>
      </c>
      <c r="C3669" t="s">
        <v>156</v>
      </c>
      <c r="D3669" t="s">
        <v>285</v>
      </c>
      <c r="E3669" t="s">
        <v>414</v>
      </c>
      <c r="F3669">
        <f>HYPERLINK("https://www.wikidata.org/wiki/Q16683508", "Q16683508")</f>
        <v>0</v>
      </c>
      <c r="G3669" t="s">
        <v>2377</v>
      </c>
      <c r="H3669" t="s">
        <v>6958</v>
      </c>
      <c r="I3669" t="s">
        <v>9407</v>
      </c>
      <c r="J3669" t="s">
        <v>13028</v>
      </c>
      <c r="K3669" t="s">
        <v>17437</v>
      </c>
      <c r="L3669">
        <f>HYPERLINK("https://www2.assemblee-nationale.fr/sycomore/fiche/(num_dept)/6133", "6133")</f>
        <v>0</v>
      </c>
      <c r="N3669">
        <f>HYPERLINK("https://www.wikidata.org/wiki/Q3185587", "Q3185587")</f>
        <v>0</v>
      </c>
      <c r="O3669" t="s">
        <v>20001</v>
      </c>
      <c r="P3669" t="s">
        <v>20404</v>
      </c>
      <c r="Q3669" t="s">
        <v>16199</v>
      </c>
      <c r="R3669" t="s">
        <v>414</v>
      </c>
      <c r="S3669">
        <v>1484</v>
      </c>
    </row>
    <row r="3670" spans="1:19">
      <c r="A3670" t="s">
        <v>24</v>
      </c>
      <c r="B3670" t="s">
        <v>148</v>
      </c>
      <c r="C3670" t="s">
        <v>156</v>
      </c>
      <c r="D3670" t="s">
        <v>285</v>
      </c>
      <c r="E3670" t="s">
        <v>414</v>
      </c>
      <c r="F3670">
        <f>HYPERLINK("https://www.wikidata.org/wiki/Q16683508", "Q16683508")</f>
        <v>0</v>
      </c>
      <c r="G3670" t="s">
        <v>2378</v>
      </c>
      <c r="H3670" t="s">
        <v>5781</v>
      </c>
      <c r="I3670" t="s">
        <v>10193</v>
      </c>
      <c r="J3670" t="s">
        <v>13029</v>
      </c>
      <c r="K3670" t="s">
        <v>17438</v>
      </c>
      <c r="L3670">
        <f>HYPERLINK("https://www2.assemblee-nationale.fr/sycomore/fiche/(num_dept)/6169", "6169")</f>
        <v>0</v>
      </c>
      <c r="N3670">
        <f>HYPERLINK("https://www.wikidata.org/wiki/Q3165370", "Q3165370")</f>
        <v>0</v>
      </c>
      <c r="O3670" t="s">
        <v>19987</v>
      </c>
      <c r="P3670" t="s">
        <v>20428</v>
      </c>
      <c r="Q3670" t="s">
        <v>16199</v>
      </c>
      <c r="R3670" t="s">
        <v>414</v>
      </c>
      <c r="S3670">
        <v>1484</v>
      </c>
    </row>
    <row r="3671" spans="1:19">
      <c r="A3671" t="s">
        <v>24</v>
      </c>
      <c r="B3671" t="s">
        <v>148</v>
      </c>
      <c r="C3671" t="s">
        <v>156</v>
      </c>
      <c r="D3671" t="s">
        <v>285</v>
      </c>
      <c r="E3671" t="s">
        <v>414</v>
      </c>
      <c r="F3671">
        <f>HYPERLINK("https://www.wikidata.org/wiki/Q16683508", "Q16683508")</f>
        <v>0</v>
      </c>
      <c r="G3671" t="s">
        <v>2148</v>
      </c>
      <c r="H3671" t="s">
        <v>5781</v>
      </c>
      <c r="I3671" t="s">
        <v>10098</v>
      </c>
      <c r="J3671" t="s">
        <v>12812</v>
      </c>
      <c r="K3671" t="s">
        <v>17227</v>
      </c>
      <c r="L3671">
        <f>HYPERLINK("https://www2.assemblee-nationale.fr/sycomore/fiche/(num_dept)/6170", "6170")</f>
        <v>0</v>
      </c>
      <c r="M3671">
        <f>HYPERLINK("https://www.senat.fr/senateur-3eme-republique/roy_eugene1007r3.html", "roy_eugene1007r3")</f>
        <v>0</v>
      </c>
      <c r="N3671">
        <f>HYPERLINK("https://www.wikidata.org/wiki/Q3060160", "Q3060160")</f>
        <v>0</v>
      </c>
      <c r="O3671" t="s">
        <v>20005</v>
      </c>
      <c r="P3671" t="s">
        <v>20428</v>
      </c>
      <c r="Q3671" t="s">
        <v>16199</v>
      </c>
      <c r="R3671" t="s">
        <v>414</v>
      </c>
      <c r="S3671">
        <v>1484</v>
      </c>
    </row>
    <row r="3672" spans="1:19">
      <c r="A3672" t="s">
        <v>24</v>
      </c>
      <c r="B3672" t="s">
        <v>148</v>
      </c>
      <c r="C3672" t="s">
        <v>156</v>
      </c>
      <c r="D3672" t="s">
        <v>285</v>
      </c>
      <c r="E3672" t="s">
        <v>414</v>
      </c>
      <c r="F3672">
        <f>HYPERLINK("https://www.wikidata.org/wiki/Q16683508", "Q16683508")</f>
        <v>0</v>
      </c>
      <c r="G3672" t="s">
        <v>2150</v>
      </c>
      <c r="H3672" t="s">
        <v>6764</v>
      </c>
      <c r="I3672" t="s">
        <v>10099</v>
      </c>
      <c r="J3672" t="s">
        <v>12814</v>
      </c>
      <c r="K3672" t="s">
        <v>17229</v>
      </c>
      <c r="L3672">
        <f>HYPERLINK("https://www2.assemblee-nationale.fr/sycomore/fiche/(num_dept)/6185", "6185")</f>
        <v>0</v>
      </c>
      <c r="N3672">
        <f>HYPERLINK("https://www.wikidata.org/wiki/Q3426863", "Q3426863")</f>
        <v>0</v>
      </c>
      <c r="O3672" t="s">
        <v>19973</v>
      </c>
      <c r="P3672" t="s">
        <v>20404</v>
      </c>
      <c r="Q3672" t="s">
        <v>16199</v>
      </c>
      <c r="R3672" t="s">
        <v>414</v>
      </c>
      <c r="S3672">
        <v>1484</v>
      </c>
    </row>
    <row r="3673" spans="1:19">
      <c r="A3673" t="s">
        <v>24</v>
      </c>
      <c r="B3673" t="s">
        <v>148</v>
      </c>
      <c r="C3673" t="s">
        <v>156</v>
      </c>
      <c r="D3673" t="s">
        <v>285</v>
      </c>
      <c r="E3673" t="s">
        <v>414</v>
      </c>
      <c r="F3673">
        <f>HYPERLINK("https://www.wikidata.org/wiki/Q16683508", "Q16683508")</f>
        <v>0</v>
      </c>
      <c r="G3673" t="s">
        <v>2154</v>
      </c>
      <c r="H3673" t="s">
        <v>6768</v>
      </c>
      <c r="I3673" t="s">
        <v>9401</v>
      </c>
      <c r="J3673" t="s">
        <v>12818</v>
      </c>
      <c r="K3673" t="s">
        <v>17233</v>
      </c>
      <c r="L3673">
        <f>HYPERLINK("https://www2.assemblee-nationale.fr/sycomore/fiche/(num_dept)/6253", "6253")</f>
        <v>0</v>
      </c>
      <c r="N3673">
        <f>HYPERLINK("https://www.wikidata.org/wiki/Q2856706", "Q2856706")</f>
        <v>0</v>
      </c>
      <c r="O3673" t="s">
        <v>19965</v>
      </c>
      <c r="P3673" t="s">
        <v>20437</v>
      </c>
      <c r="Q3673" t="s">
        <v>16199</v>
      </c>
      <c r="R3673" t="s">
        <v>414</v>
      </c>
      <c r="S3673">
        <v>1484</v>
      </c>
    </row>
    <row r="3674" spans="1:19">
      <c r="A3674" t="s">
        <v>24</v>
      </c>
      <c r="B3674" t="s">
        <v>148</v>
      </c>
      <c r="C3674" t="s">
        <v>156</v>
      </c>
      <c r="D3674" t="s">
        <v>285</v>
      </c>
      <c r="E3674" t="s">
        <v>414</v>
      </c>
      <c r="F3674">
        <f>HYPERLINK("https://www.wikidata.org/wiki/Q16683508", "Q16683508")</f>
        <v>0</v>
      </c>
      <c r="G3674" t="s">
        <v>1881</v>
      </c>
      <c r="H3674" t="s">
        <v>6534</v>
      </c>
      <c r="I3674" t="s">
        <v>9458</v>
      </c>
      <c r="J3674" t="s">
        <v>12568</v>
      </c>
      <c r="K3674" t="s">
        <v>16981</v>
      </c>
      <c r="L3674">
        <f>HYPERLINK("https://www2.assemblee-nationale.fr/sycomore/fiche/(num_dept)/6259", "6259")</f>
        <v>0</v>
      </c>
      <c r="M3674">
        <f>HYPERLINK("https://www.senat.fr/senateur-3eme-republique/salmon_alfred0977r3.html", "salmon_alfred0977r3")</f>
        <v>0</v>
      </c>
      <c r="N3674">
        <f>HYPERLINK("https://www.wikidata.org/wiki/Q2835437", "Q2835437")</f>
        <v>0</v>
      </c>
      <c r="O3674" t="s">
        <v>19968</v>
      </c>
      <c r="P3674" t="s">
        <v>20412</v>
      </c>
      <c r="Q3674" t="s">
        <v>16199</v>
      </c>
      <c r="R3674" t="s">
        <v>21451</v>
      </c>
      <c r="S3674">
        <v>557</v>
      </c>
    </row>
    <row r="3675" spans="1:19">
      <c r="A3675" t="s">
        <v>24</v>
      </c>
      <c r="B3675" t="s">
        <v>148</v>
      </c>
      <c r="C3675" t="s">
        <v>156</v>
      </c>
      <c r="D3675" t="s">
        <v>285</v>
      </c>
      <c r="E3675" t="s">
        <v>414</v>
      </c>
      <c r="F3675">
        <f>HYPERLINK("https://www.wikidata.org/wiki/Q16683508", "Q16683508")</f>
        <v>0</v>
      </c>
      <c r="G3675" t="s">
        <v>1687</v>
      </c>
      <c r="H3675" t="s">
        <v>5785</v>
      </c>
      <c r="I3675" t="s">
        <v>9887</v>
      </c>
      <c r="J3675" t="s">
        <v>12391</v>
      </c>
      <c r="K3675" t="s">
        <v>16800</v>
      </c>
      <c r="L3675">
        <f>HYPERLINK("https://www2.assemblee-nationale.fr/sycomore/fiche/(num_dept)/6343", "6343")</f>
        <v>0</v>
      </c>
      <c r="N3675">
        <f>HYPERLINK("https://www.wikidata.org/wiki/Q3161589", "Q3161589")</f>
        <v>0</v>
      </c>
      <c r="O3675" t="s">
        <v>19989</v>
      </c>
      <c r="P3675" t="s">
        <v>20428</v>
      </c>
      <c r="Q3675" t="s">
        <v>16199</v>
      </c>
      <c r="R3675" t="s">
        <v>414</v>
      </c>
      <c r="S3675">
        <v>1484</v>
      </c>
    </row>
    <row r="3676" spans="1:19">
      <c r="A3676" t="s">
        <v>24</v>
      </c>
      <c r="B3676" t="s">
        <v>148</v>
      </c>
      <c r="C3676" t="s">
        <v>156</v>
      </c>
      <c r="D3676" t="s">
        <v>285</v>
      </c>
      <c r="E3676" t="s">
        <v>414</v>
      </c>
      <c r="F3676">
        <f>HYPERLINK("https://www.wikidata.org/wiki/Q16683508", "Q16683508")</f>
        <v>0</v>
      </c>
      <c r="G3676" t="s">
        <v>2379</v>
      </c>
      <c r="H3676" t="s">
        <v>6959</v>
      </c>
      <c r="I3676" t="s">
        <v>9389</v>
      </c>
      <c r="J3676" t="s">
        <v>13030</v>
      </c>
      <c r="K3676" t="s">
        <v>17439</v>
      </c>
      <c r="L3676">
        <f>HYPERLINK("https://www2.assemblee-nationale.fr/sycomore/fiche/(num_dept)/6375", "6375")</f>
        <v>0</v>
      </c>
      <c r="N3676">
        <f>HYPERLINK("https://www.wikidata.org/wiki/Q16026493", "Q16026493")</f>
        <v>0</v>
      </c>
      <c r="O3676" t="s">
        <v>20007</v>
      </c>
      <c r="P3676" t="s">
        <v>20428</v>
      </c>
      <c r="Q3676" t="s">
        <v>16199</v>
      </c>
      <c r="R3676" t="s">
        <v>414</v>
      </c>
      <c r="S3676">
        <v>1484</v>
      </c>
    </row>
    <row r="3677" spans="1:19">
      <c r="A3677" t="s">
        <v>24</v>
      </c>
      <c r="B3677" t="s">
        <v>148</v>
      </c>
      <c r="C3677" t="s">
        <v>156</v>
      </c>
      <c r="D3677" t="s">
        <v>285</v>
      </c>
      <c r="E3677" t="s">
        <v>414</v>
      </c>
      <c r="F3677">
        <f>HYPERLINK("https://www.wikidata.org/wiki/Q16683508", "Q16683508")</f>
        <v>0</v>
      </c>
      <c r="G3677" t="s">
        <v>2380</v>
      </c>
      <c r="H3677" t="s">
        <v>6960</v>
      </c>
      <c r="I3677" t="s">
        <v>6495</v>
      </c>
      <c r="J3677" t="s">
        <v>13031</v>
      </c>
      <c r="K3677" t="s">
        <v>17440</v>
      </c>
      <c r="L3677">
        <f>HYPERLINK("https://www2.assemblee-nationale.fr/sycomore/fiche/(num_dept)/6377", "6377")</f>
        <v>0</v>
      </c>
      <c r="N3677">
        <f>HYPERLINK("https://www.wikidata.org/wiki/Q2389449", "Q2389449")</f>
        <v>0</v>
      </c>
      <c r="O3677" t="s">
        <v>19969</v>
      </c>
      <c r="P3677" t="s">
        <v>20442</v>
      </c>
      <c r="Q3677" t="s">
        <v>16199</v>
      </c>
      <c r="R3677" t="s">
        <v>414</v>
      </c>
      <c r="S3677">
        <v>1484</v>
      </c>
    </row>
    <row r="3678" spans="1:19">
      <c r="A3678" t="s">
        <v>24</v>
      </c>
      <c r="B3678" t="s">
        <v>148</v>
      </c>
      <c r="C3678" t="s">
        <v>156</v>
      </c>
      <c r="D3678" t="s">
        <v>285</v>
      </c>
      <c r="E3678" t="s">
        <v>414</v>
      </c>
      <c r="F3678">
        <f>HYPERLINK("https://www.wikidata.org/wiki/Q16683508", "Q16683508")</f>
        <v>0</v>
      </c>
      <c r="G3678" t="s">
        <v>1595</v>
      </c>
      <c r="H3678" t="s">
        <v>6285</v>
      </c>
      <c r="I3678" t="s">
        <v>6367</v>
      </c>
      <c r="J3678" t="s">
        <v>12303</v>
      </c>
      <c r="K3678" t="s">
        <v>16713</v>
      </c>
      <c r="L3678">
        <f>HYPERLINK("https://www2.assemblee-nationale.fr/sycomore/fiche/(num_dept)/6378", "6378")</f>
        <v>0</v>
      </c>
      <c r="N3678">
        <f>HYPERLINK("https://www.wikidata.org/wiki/Q3525560", "Q3525560")</f>
        <v>0</v>
      </c>
      <c r="O3678" t="s">
        <v>20048</v>
      </c>
      <c r="P3678" t="s">
        <v>20441</v>
      </c>
      <c r="Q3678" t="s">
        <v>16199</v>
      </c>
      <c r="R3678" t="s">
        <v>414</v>
      </c>
      <c r="S3678">
        <v>1484</v>
      </c>
    </row>
    <row r="3679" spans="1:19">
      <c r="A3679" t="s">
        <v>24</v>
      </c>
      <c r="B3679" t="s">
        <v>148</v>
      </c>
      <c r="C3679" t="s">
        <v>156</v>
      </c>
      <c r="D3679" t="s">
        <v>285</v>
      </c>
      <c r="E3679" t="s">
        <v>414</v>
      </c>
      <c r="F3679">
        <f>HYPERLINK("https://www.wikidata.org/wiki/Q16683508", "Q16683508")</f>
        <v>0</v>
      </c>
      <c r="G3679" t="s">
        <v>1597</v>
      </c>
      <c r="H3679" t="s">
        <v>6287</v>
      </c>
      <c r="I3679" t="s">
        <v>6200</v>
      </c>
      <c r="J3679" t="s">
        <v>12305</v>
      </c>
      <c r="K3679" t="s">
        <v>16715</v>
      </c>
      <c r="L3679">
        <f>HYPERLINK("https://www2.assemblee-nationale.fr/sycomore/fiche/(num_dept)/6381", "6381")</f>
        <v>0</v>
      </c>
      <c r="N3679">
        <f>HYPERLINK("https://www.wikidata.org/wiki/Q16798560", "Q16798560")</f>
        <v>0</v>
      </c>
      <c r="O3679" t="s">
        <v>20003</v>
      </c>
      <c r="P3679" t="s">
        <v>20428</v>
      </c>
      <c r="Q3679" t="s">
        <v>16199</v>
      </c>
      <c r="R3679" t="s">
        <v>414</v>
      </c>
      <c r="S3679">
        <v>1484</v>
      </c>
    </row>
    <row r="3680" spans="1:19">
      <c r="A3680" t="s">
        <v>24</v>
      </c>
      <c r="B3680" t="s">
        <v>148</v>
      </c>
      <c r="C3680" t="s">
        <v>156</v>
      </c>
      <c r="D3680" t="s">
        <v>285</v>
      </c>
      <c r="E3680" t="s">
        <v>414</v>
      </c>
      <c r="F3680">
        <f>HYPERLINK("https://www.wikidata.org/wiki/Q16683508", "Q16683508")</f>
        <v>0</v>
      </c>
      <c r="G3680" t="s">
        <v>1600</v>
      </c>
      <c r="H3680" t="s">
        <v>6289</v>
      </c>
      <c r="I3680" t="s">
        <v>9470</v>
      </c>
      <c r="J3680" t="s">
        <v>12308</v>
      </c>
      <c r="K3680" t="s">
        <v>16212</v>
      </c>
      <c r="L3680">
        <f>HYPERLINK("https://www2.assemblee-nationale.fr/sycomore/fiche/(num_dept)/6403", "6403")</f>
        <v>0</v>
      </c>
      <c r="N3680">
        <f>HYPERLINK("https://www.wikidata.org/wiki/Q3099119", "Q3099119")</f>
        <v>0</v>
      </c>
      <c r="O3680" t="s">
        <v>20025</v>
      </c>
      <c r="P3680" t="s">
        <v>20428</v>
      </c>
      <c r="Q3680" t="s">
        <v>16199</v>
      </c>
      <c r="R3680" t="s">
        <v>414</v>
      </c>
      <c r="S3680">
        <v>1484</v>
      </c>
    </row>
    <row r="3681" spans="1:19">
      <c r="A3681" t="s">
        <v>24</v>
      </c>
      <c r="B3681" t="s">
        <v>148</v>
      </c>
      <c r="C3681" t="s">
        <v>156</v>
      </c>
      <c r="D3681" t="s">
        <v>285</v>
      </c>
      <c r="E3681" t="s">
        <v>414</v>
      </c>
      <c r="F3681">
        <f>HYPERLINK("https://www.wikidata.org/wiki/Q16683508", "Q16683508")</f>
        <v>0</v>
      </c>
      <c r="G3681" t="s">
        <v>1300</v>
      </c>
      <c r="H3681" t="s">
        <v>6021</v>
      </c>
      <c r="I3681" t="s">
        <v>9739</v>
      </c>
      <c r="J3681" t="s">
        <v>12030</v>
      </c>
      <c r="K3681" t="s">
        <v>16431</v>
      </c>
      <c r="L3681">
        <f>HYPERLINK("https://www2.assemblee-nationale.fr/sycomore/fiche/(num_dept)/6414", "6414")</f>
        <v>0</v>
      </c>
      <c r="N3681">
        <f>HYPERLINK("https://www.wikidata.org/wiki/Q3372024", "Q3372024")</f>
        <v>0</v>
      </c>
      <c r="O3681" t="s">
        <v>19969</v>
      </c>
      <c r="P3681" t="s">
        <v>20431</v>
      </c>
      <c r="Q3681" t="s">
        <v>16199</v>
      </c>
      <c r="R3681" t="s">
        <v>414</v>
      </c>
      <c r="S3681">
        <v>1484</v>
      </c>
    </row>
    <row r="3682" spans="1:19">
      <c r="A3682" t="s">
        <v>24</v>
      </c>
      <c r="B3682" t="s">
        <v>148</v>
      </c>
      <c r="C3682" t="s">
        <v>156</v>
      </c>
      <c r="D3682" t="s">
        <v>285</v>
      </c>
      <c r="E3682" t="s">
        <v>414</v>
      </c>
      <c r="F3682">
        <f>HYPERLINK("https://www.wikidata.org/wiki/Q16683508", "Q16683508")</f>
        <v>0</v>
      </c>
      <c r="G3682" t="s">
        <v>2381</v>
      </c>
      <c r="H3682" t="s">
        <v>6961</v>
      </c>
      <c r="I3682" t="s">
        <v>6175</v>
      </c>
      <c r="J3682" t="s">
        <v>13032</v>
      </c>
      <c r="K3682" t="s">
        <v>17441</v>
      </c>
      <c r="L3682">
        <f>HYPERLINK("https://www2.assemblee-nationale.fr/sycomore/fiche/(num_dept)/6442", "6442")</f>
        <v>0</v>
      </c>
      <c r="N3682">
        <f>HYPERLINK("https://www.wikidata.org/wiki/Q3103359", "Q3103359")</f>
        <v>0</v>
      </c>
      <c r="O3682" t="s">
        <v>20032</v>
      </c>
      <c r="P3682" t="s">
        <v>20428</v>
      </c>
      <c r="Q3682" t="s">
        <v>16199</v>
      </c>
      <c r="R3682" t="s">
        <v>414</v>
      </c>
      <c r="S3682">
        <v>1484</v>
      </c>
    </row>
    <row r="3683" spans="1:19">
      <c r="A3683" t="s">
        <v>24</v>
      </c>
      <c r="B3683" t="s">
        <v>148</v>
      </c>
      <c r="C3683" t="s">
        <v>156</v>
      </c>
      <c r="D3683" t="s">
        <v>285</v>
      </c>
      <c r="E3683" t="s">
        <v>414</v>
      </c>
      <c r="F3683">
        <f>HYPERLINK("https://www.wikidata.org/wiki/Q16683508", "Q16683508")</f>
        <v>0</v>
      </c>
      <c r="G3683" t="s">
        <v>2382</v>
      </c>
      <c r="H3683" t="s">
        <v>6962</v>
      </c>
      <c r="I3683" t="s">
        <v>6860</v>
      </c>
      <c r="J3683" t="s">
        <v>13033</v>
      </c>
      <c r="K3683" t="s">
        <v>17442</v>
      </c>
      <c r="L3683">
        <f>HYPERLINK("https://www2.assemblee-nationale.fr/sycomore/fiche/(num_dept)/6443", "6443")</f>
        <v>0</v>
      </c>
      <c r="N3683">
        <f>HYPERLINK("https://www.wikidata.org/wiki/Q3386654", "Q3386654")</f>
        <v>0</v>
      </c>
      <c r="O3683" t="s">
        <v>20011</v>
      </c>
      <c r="P3683" t="s">
        <v>20428</v>
      </c>
      <c r="Q3683" t="s">
        <v>16199</v>
      </c>
      <c r="R3683" t="s">
        <v>414</v>
      </c>
      <c r="S3683">
        <v>1484</v>
      </c>
    </row>
    <row r="3684" spans="1:19">
      <c r="A3684" t="s">
        <v>24</v>
      </c>
      <c r="B3684" t="s">
        <v>148</v>
      </c>
      <c r="C3684" t="s">
        <v>156</v>
      </c>
      <c r="D3684" t="s">
        <v>285</v>
      </c>
      <c r="E3684" t="s">
        <v>414</v>
      </c>
      <c r="F3684">
        <f>HYPERLINK("https://www.wikidata.org/wiki/Q16683508", "Q16683508")</f>
        <v>0</v>
      </c>
      <c r="G3684" t="s">
        <v>2383</v>
      </c>
      <c r="H3684" t="s">
        <v>6963</v>
      </c>
      <c r="I3684" t="s">
        <v>10194</v>
      </c>
      <c r="J3684" t="s">
        <v>13034</v>
      </c>
      <c r="K3684" t="s">
        <v>17443</v>
      </c>
      <c r="L3684">
        <f>HYPERLINK("https://www2.assemblee-nationale.fr/sycomore/fiche/(num_dept)/6445", "6445")</f>
        <v>0</v>
      </c>
      <c r="N3684">
        <f>HYPERLINK("https://www.wikidata.org/wiki/Q3175816", "Q3175816")</f>
        <v>0</v>
      </c>
      <c r="O3684" t="s">
        <v>20032</v>
      </c>
      <c r="P3684" t="s">
        <v>20438</v>
      </c>
      <c r="Q3684" t="s">
        <v>16199</v>
      </c>
      <c r="R3684" t="s">
        <v>414</v>
      </c>
      <c r="S3684">
        <v>1484</v>
      </c>
    </row>
    <row r="3685" spans="1:19">
      <c r="A3685" t="s">
        <v>24</v>
      </c>
      <c r="B3685" t="s">
        <v>148</v>
      </c>
      <c r="C3685" t="s">
        <v>156</v>
      </c>
      <c r="D3685" t="s">
        <v>285</v>
      </c>
      <c r="E3685" t="s">
        <v>414</v>
      </c>
      <c r="F3685">
        <f>HYPERLINK("https://www.wikidata.org/wiki/Q16683508", "Q16683508")</f>
        <v>0</v>
      </c>
      <c r="G3685" t="s">
        <v>1302</v>
      </c>
      <c r="H3685" t="s">
        <v>6023</v>
      </c>
      <c r="I3685" t="s">
        <v>9375</v>
      </c>
      <c r="J3685" t="s">
        <v>12032</v>
      </c>
      <c r="K3685" t="s">
        <v>16433</v>
      </c>
      <c r="L3685">
        <f>HYPERLINK("https://www2.assemblee-nationale.fr/sycomore/fiche/(num_dept)/6467", "6467")</f>
        <v>0</v>
      </c>
      <c r="N3685">
        <f>HYPERLINK("https://www.wikidata.org/wiki/Q16026362", "Q16026362")</f>
        <v>0</v>
      </c>
      <c r="O3685" t="s">
        <v>20037</v>
      </c>
      <c r="P3685" t="s">
        <v>20439</v>
      </c>
      <c r="Q3685" t="s">
        <v>16199</v>
      </c>
      <c r="R3685" t="s">
        <v>414</v>
      </c>
      <c r="S3685">
        <v>1484</v>
      </c>
    </row>
    <row r="3686" spans="1:19">
      <c r="A3686" t="s">
        <v>24</v>
      </c>
      <c r="B3686" t="s">
        <v>148</v>
      </c>
      <c r="C3686" t="s">
        <v>156</v>
      </c>
      <c r="D3686" t="s">
        <v>285</v>
      </c>
      <c r="E3686" t="s">
        <v>414</v>
      </c>
      <c r="F3686">
        <f>HYPERLINK("https://www.wikidata.org/wiki/Q16683508", "Q16683508")</f>
        <v>0</v>
      </c>
      <c r="G3686" t="s">
        <v>2384</v>
      </c>
      <c r="H3686" t="s">
        <v>6964</v>
      </c>
      <c r="I3686" t="s">
        <v>9391</v>
      </c>
      <c r="J3686" t="s">
        <v>13035</v>
      </c>
      <c r="K3686" t="s">
        <v>17444</v>
      </c>
      <c r="L3686">
        <f>HYPERLINK("https://www2.assemblee-nationale.fr/sycomore/fiche/(num_dept)/6476", "6476")</f>
        <v>0</v>
      </c>
      <c r="N3686">
        <f>HYPERLINK("https://www.wikidata.org/wiki/Q2977994", "Q2977994")</f>
        <v>0</v>
      </c>
      <c r="O3686" t="s">
        <v>20005</v>
      </c>
      <c r="P3686" t="s">
        <v>20409</v>
      </c>
      <c r="Q3686" t="s">
        <v>16199</v>
      </c>
      <c r="R3686" t="s">
        <v>414</v>
      </c>
      <c r="S3686">
        <v>1484</v>
      </c>
    </row>
    <row r="3687" spans="1:19">
      <c r="A3687" t="s">
        <v>24</v>
      </c>
      <c r="B3687" t="s">
        <v>148</v>
      </c>
      <c r="C3687" t="s">
        <v>156</v>
      </c>
      <c r="D3687" t="s">
        <v>285</v>
      </c>
      <c r="E3687" t="s">
        <v>414</v>
      </c>
      <c r="F3687">
        <f>HYPERLINK("https://www.wikidata.org/wiki/Q16683508", "Q16683508")</f>
        <v>0</v>
      </c>
      <c r="G3687" t="s">
        <v>2385</v>
      </c>
      <c r="H3687" t="s">
        <v>6965</v>
      </c>
      <c r="I3687" t="s">
        <v>6303</v>
      </c>
      <c r="J3687" t="s">
        <v>13036</v>
      </c>
      <c r="K3687" t="s">
        <v>17445</v>
      </c>
      <c r="L3687">
        <f>HYPERLINK("https://www2.assemblee-nationale.fr/sycomore/fiche/(num_dept)/6491", "6491")</f>
        <v>0</v>
      </c>
      <c r="N3687">
        <f>HYPERLINK("https://www.wikidata.org/wiki/Q3431137", "Q3431137")</f>
        <v>0</v>
      </c>
      <c r="O3687" t="s">
        <v>20009</v>
      </c>
      <c r="P3687" t="s">
        <v>20434</v>
      </c>
      <c r="Q3687" t="s">
        <v>16199</v>
      </c>
      <c r="R3687" t="s">
        <v>414</v>
      </c>
      <c r="S3687">
        <v>1484</v>
      </c>
    </row>
    <row r="3688" spans="1:19">
      <c r="A3688" t="s">
        <v>24</v>
      </c>
      <c r="B3688" t="s">
        <v>148</v>
      </c>
      <c r="C3688" t="s">
        <v>156</v>
      </c>
      <c r="D3688" t="s">
        <v>285</v>
      </c>
      <c r="E3688" t="s">
        <v>414</v>
      </c>
      <c r="F3688">
        <f>HYPERLINK("https://www.wikidata.org/wiki/Q16683508", "Q16683508")</f>
        <v>0</v>
      </c>
      <c r="G3688" t="s">
        <v>2386</v>
      </c>
      <c r="H3688" t="s">
        <v>6966</v>
      </c>
      <c r="I3688" t="s">
        <v>6585</v>
      </c>
      <c r="J3688" t="s">
        <v>13037</v>
      </c>
      <c r="K3688" t="s">
        <v>17446</v>
      </c>
      <c r="L3688">
        <f>HYPERLINK("https://www2.assemblee-nationale.fr/sycomore/fiche/(num_dept)/6502", "6502")</f>
        <v>0</v>
      </c>
      <c r="N3688">
        <f>HYPERLINK("https://www.wikidata.org/wiki/Q2848477", "Q2848477")</f>
        <v>0</v>
      </c>
      <c r="O3688" t="s">
        <v>19988</v>
      </c>
      <c r="P3688" t="s">
        <v>20436</v>
      </c>
      <c r="Q3688" t="s">
        <v>16199</v>
      </c>
      <c r="R3688" t="s">
        <v>414</v>
      </c>
      <c r="S3688">
        <v>1484</v>
      </c>
    </row>
    <row r="3689" spans="1:19">
      <c r="A3689" t="s">
        <v>24</v>
      </c>
      <c r="B3689" t="s">
        <v>148</v>
      </c>
      <c r="C3689" t="s">
        <v>156</v>
      </c>
      <c r="D3689" t="s">
        <v>285</v>
      </c>
      <c r="E3689" t="s">
        <v>414</v>
      </c>
      <c r="F3689">
        <f>HYPERLINK("https://www.wikidata.org/wiki/Q16683508", "Q16683508")</f>
        <v>0</v>
      </c>
      <c r="G3689" t="s">
        <v>1604</v>
      </c>
      <c r="H3689" t="s">
        <v>6024</v>
      </c>
      <c r="I3689" t="s">
        <v>9854</v>
      </c>
      <c r="J3689" t="s">
        <v>12312</v>
      </c>
      <c r="K3689" t="s">
        <v>16721</v>
      </c>
      <c r="L3689">
        <f>HYPERLINK("https://www2.assemblee-nationale.fr/sycomore/fiche/(num_dept)/6518", "6518")</f>
        <v>0</v>
      </c>
      <c r="N3689">
        <f>HYPERLINK("https://www.wikidata.org/wiki/Q3262960", "Q3262960")</f>
        <v>0</v>
      </c>
      <c r="O3689" t="s">
        <v>20008</v>
      </c>
      <c r="P3689" t="s">
        <v>20428</v>
      </c>
      <c r="Q3689" t="s">
        <v>16199</v>
      </c>
      <c r="R3689" t="s">
        <v>414</v>
      </c>
      <c r="S3689">
        <v>1484</v>
      </c>
    </row>
    <row r="3690" spans="1:19">
      <c r="A3690" t="s">
        <v>24</v>
      </c>
      <c r="B3690" t="s">
        <v>148</v>
      </c>
      <c r="C3690" t="s">
        <v>156</v>
      </c>
      <c r="D3690" t="s">
        <v>285</v>
      </c>
      <c r="E3690" t="s">
        <v>414</v>
      </c>
      <c r="F3690">
        <f>HYPERLINK("https://www.wikidata.org/wiki/Q16683508", "Q16683508")</f>
        <v>0</v>
      </c>
      <c r="G3690" t="s">
        <v>2160</v>
      </c>
      <c r="H3690" t="s">
        <v>6774</v>
      </c>
      <c r="I3690" t="s">
        <v>9388</v>
      </c>
      <c r="J3690" t="s">
        <v>12824</v>
      </c>
      <c r="K3690" t="s">
        <v>17239</v>
      </c>
      <c r="L3690">
        <f>HYPERLINK("https://www2.assemblee-nationale.fr/sycomore/fiche/(num_dept)/6588", "6588")</f>
        <v>0</v>
      </c>
      <c r="N3690">
        <f>HYPERLINK("https://www.wikidata.org/wiki/Q328235", "Q328235")</f>
        <v>0</v>
      </c>
      <c r="O3690" t="s">
        <v>19967</v>
      </c>
      <c r="P3690" t="s">
        <v>20436</v>
      </c>
      <c r="Q3690" t="s">
        <v>16199</v>
      </c>
      <c r="R3690" t="s">
        <v>414</v>
      </c>
      <c r="S3690">
        <v>1484</v>
      </c>
    </row>
    <row r="3691" spans="1:19">
      <c r="A3691" t="s">
        <v>24</v>
      </c>
      <c r="B3691" t="s">
        <v>148</v>
      </c>
      <c r="C3691" t="s">
        <v>156</v>
      </c>
      <c r="D3691" t="s">
        <v>285</v>
      </c>
      <c r="E3691" t="s">
        <v>414</v>
      </c>
      <c r="F3691">
        <f>HYPERLINK("https://www.wikidata.org/wiki/Q16683508", "Q16683508")</f>
        <v>0</v>
      </c>
      <c r="G3691" t="s">
        <v>1607</v>
      </c>
      <c r="H3691" t="s">
        <v>5793</v>
      </c>
      <c r="I3691" t="s">
        <v>9856</v>
      </c>
      <c r="J3691" t="s">
        <v>12314</v>
      </c>
      <c r="K3691" t="s">
        <v>16724</v>
      </c>
      <c r="L3691">
        <f>HYPERLINK("https://www2.assemblee-nationale.fr/sycomore/fiche/(num_dept)/6594", "6594")</f>
        <v>0</v>
      </c>
      <c r="N3691">
        <f>HYPERLINK("https://www.wikidata.org/wiki/Q3086299", "Q3086299")</f>
        <v>0</v>
      </c>
      <c r="O3691" t="s">
        <v>20014</v>
      </c>
      <c r="P3691" t="s">
        <v>20435</v>
      </c>
      <c r="Q3691" t="s">
        <v>16199</v>
      </c>
      <c r="R3691" t="s">
        <v>414</v>
      </c>
      <c r="S3691">
        <v>1484</v>
      </c>
    </row>
    <row r="3692" spans="1:19">
      <c r="A3692" t="s">
        <v>24</v>
      </c>
      <c r="B3692" t="s">
        <v>148</v>
      </c>
      <c r="C3692" t="s">
        <v>156</v>
      </c>
      <c r="D3692" t="s">
        <v>285</v>
      </c>
      <c r="E3692" t="s">
        <v>414</v>
      </c>
      <c r="F3692">
        <f>HYPERLINK("https://www.wikidata.org/wiki/Q16683508", "Q16683508")</f>
        <v>0</v>
      </c>
      <c r="G3692" t="s">
        <v>2387</v>
      </c>
      <c r="H3692" t="s">
        <v>6967</v>
      </c>
      <c r="I3692" t="s">
        <v>9453</v>
      </c>
      <c r="J3692" t="s">
        <v>13038</v>
      </c>
      <c r="K3692" t="s">
        <v>17447</v>
      </c>
      <c r="L3692">
        <f>HYPERLINK("https://www2.assemblee-nationale.fr/sycomore/fiche/(num_dept)/6595", "6595")</f>
        <v>0</v>
      </c>
      <c r="N3692">
        <f>HYPERLINK("https://www.wikidata.org/wiki/Q2865300", "Q2865300")</f>
        <v>0</v>
      </c>
      <c r="O3692" t="s">
        <v>20013</v>
      </c>
      <c r="P3692" t="s">
        <v>20424</v>
      </c>
      <c r="Q3692" t="s">
        <v>16199</v>
      </c>
      <c r="R3692" t="s">
        <v>414</v>
      </c>
      <c r="S3692">
        <v>1484</v>
      </c>
    </row>
    <row r="3693" spans="1:19">
      <c r="A3693" t="s">
        <v>24</v>
      </c>
      <c r="B3693" t="s">
        <v>148</v>
      </c>
      <c r="C3693" t="s">
        <v>156</v>
      </c>
      <c r="D3693" t="s">
        <v>285</v>
      </c>
      <c r="E3693" t="s">
        <v>414</v>
      </c>
      <c r="F3693">
        <f>HYPERLINK("https://www.wikidata.org/wiki/Q16683508", "Q16683508")</f>
        <v>0</v>
      </c>
      <c r="G3693" t="s">
        <v>2162</v>
      </c>
      <c r="H3693" t="s">
        <v>6776</v>
      </c>
      <c r="I3693" t="s">
        <v>9553</v>
      </c>
      <c r="J3693" t="s">
        <v>12826</v>
      </c>
      <c r="K3693" t="s">
        <v>17241</v>
      </c>
      <c r="L3693">
        <f>HYPERLINK("https://www2.assemblee-nationale.fr/sycomore/fiche/(num_dept)/6618", "6618")</f>
        <v>0</v>
      </c>
      <c r="N3693">
        <f>HYPERLINK("https://www.wikidata.org/wiki/Q2833992", "Q2833992")</f>
        <v>0</v>
      </c>
      <c r="O3693" t="s">
        <v>20019</v>
      </c>
      <c r="P3693" t="s">
        <v>20404</v>
      </c>
      <c r="Q3693" t="s">
        <v>16199</v>
      </c>
      <c r="R3693" t="s">
        <v>414</v>
      </c>
      <c r="S3693">
        <v>1484</v>
      </c>
    </row>
    <row r="3694" spans="1:19">
      <c r="A3694" t="s">
        <v>24</v>
      </c>
      <c r="B3694" t="s">
        <v>148</v>
      </c>
      <c r="C3694" t="s">
        <v>156</v>
      </c>
      <c r="D3694" t="s">
        <v>285</v>
      </c>
      <c r="E3694" t="s">
        <v>414</v>
      </c>
      <c r="F3694">
        <f>HYPERLINK("https://www.wikidata.org/wiki/Q16683508", "Q16683508")</f>
        <v>0</v>
      </c>
      <c r="G3694" t="s">
        <v>1612</v>
      </c>
      <c r="H3694" t="s">
        <v>6298</v>
      </c>
      <c r="I3694" t="s">
        <v>9385</v>
      </c>
      <c r="J3694" t="s">
        <v>12319</v>
      </c>
      <c r="K3694" t="s">
        <v>16729</v>
      </c>
      <c r="L3694">
        <f>HYPERLINK("https://www2.assemblee-nationale.fr/sycomore/fiche/(num_dept)/6656", "6656")</f>
        <v>0</v>
      </c>
      <c r="M3694">
        <f>HYPERLINK("https://www.senat.fr/senateur-3eme-republique/reibel_charles1672r3.html", "reibel_charles1672r3")</f>
        <v>0</v>
      </c>
      <c r="N3694">
        <f>HYPERLINK("https://www.wikidata.org/wiki/Q2960097", "Q2960097")</f>
        <v>0</v>
      </c>
      <c r="O3694" t="s">
        <v>19976</v>
      </c>
      <c r="P3694" t="s">
        <v>20409</v>
      </c>
      <c r="Q3694" t="s">
        <v>16199</v>
      </c>
      <c r="R3694" t="s">
        <v>414</v>
      </c>
      <c r="S3694">
        <v>1484</v>
      </c>
    </row>
    <row r="3695" spans="1:19">
      <c r="A3695" t="s">
        <v>24</v>
      </c>
      <c r="B3695" t="s">
        <v>148</v>
      </c>
      <c r="C3695" t="s">
        <v>156</v>
      </c>
      <c r="D3695" t="s">
        <v>285</v>
      </c>
      <c r="E3695" t="s">
        <v>414</v>
      </c>
      <c r="F3695">
        <f>HYPERLINK("https://www.wikidata.org/wiki/Q16683508", "Q16683508")</f>
        <v>0</v>
      </c>
      <c r="G3695" t="s">
        <v>1890</v>
      </c>
      <c r="H3695" t="s">
        <v>6301</v>
      </c>
      <c r="I3695" t="s">
        <v>9987</v>
      </c>
      <c r="J3695" t="s">
        <v>12577</v>
      </c>
      <c r="K3695" t="s">
        <v>16989</v>
      </c>
      <c r="L3695">
        <f>HYPERLINK("https://www2.assemblee-nationale.fr/sycomore/fiche/(num_dept)/6708", "6708")</f>
        <v>0</v>
      </c>
      <c r="N3695">
        <f>HYPERLINK("https://www.wikidata.org/wiki/Q21155030", "Q21155030")</f>
        <v>0</v>
      </c>
      <c r="O3695" t="s">
        <v>20042</v>
      </c>
      <c r="P3695" t="s">
        <v>20404</v>
      </c>
      <c r="Q3695" t="s">
        <v>16199</v>
      </c>
      <c r="R3695" t="s">
        <v>414</v>
      </c>
      <c r="S3695">
        <v>1484</v>
      </c>
    </row>
    <row r="3696" spans="1:19">
      <c r="A3696" t="s">
        <v>24</v>
      </c>
      <c r="B3696" t="s">
        <v>148</v>
      </c>
      <c r="C3696" t="s">
        <v>156</v>
      </c>
      <c r="D3696" t="s">
        <v>285</v>
      </c>
      <c r="E3696" t="s">
        <v>414</v>
      </c>
      <c r="F3696">
        <f>HYPERLINK("https://www.wikidata.org/wiki/Q16683508", "Q16683508")</f>
        <v>0</v>
      </c>
      <c r="G3696" t="s">
        <v>2388</v>
      </c>
      <c r="H3696" t="s">
        <v>6303</v>
      </c>
      <c r="I3696" t="s">
        <v>9388</v>
      </c>
      <c r="J3696" t="s">
        <v>13039</v>
      </c>
      <c r="K3696" t="s">
        <v>17448</v>
      </c>
      <c r="L3696">
        <f>HYPERLINK("https://www2.assemblee-nationale.fr/sycomore/fiche/(num_dept)/6738", "6738")</f>
        <v>0</v>
      </c>
      <c r="N3696">
        <f>HYPERLINK("https://www.wikidata.org/wiki/Q3372095", "Q3372095")</f>
        <v>0</v>
      </c>
      <c r="O3696" t="s">
        <v>19965</v>
      </c>
      <c r="P3696" t="s">
        <v>20428</v>
      </c>
      <c r="Q3696" t="s">
        <v>16199</v>
      </c>
      <c r="R3696" t="s">
        <v>414</v>
      </c>
      <c r="S3696">
        <v>1484</v>
      </c>
    </row>
    <row r="3697" spans="1:19">
      <c r="A3697" t="s">
        <v>24</v>
      </c>
      <c r="B3697" t="s">
        <v>148</v>
      </c>
      <c r="C3697" t="s">
        <v>156</v>
      </c>
      <c r="D3697" t="s">
        <v>285</v>
      </c>
      <c r="E3697" t="s">
        <v>414</v>
      </c>
      <c r="F3697">
        <f>HYPERLINK("https://www.wikidata.org/wiki/Q16683508", "Q16683508")</f>
        <v>0</v>
      </c>
      <c r="G3697" t="s">
        <v>1892</v>
      </c>
      <c r="H3697" t="s">
        <v>6303</v>
      </c>
      <c r="I3697" t="s">
        <v>9476</v>
      </c>
      <c r="J3697" t="s">
        <v>12579</v>
      </c>
      <c r="K3697" t="s">
        <v>16991</v>
      </c>
      <c r="L3697">
        <f>HYPERLINK("https://www2.assemblee-nationale.fr/sycomore/fiche/(num_dept)/6740", "6740")</f>
        <v>0</v>
      </c>
      <c r="N3697">
        <f>HYPERLINK("https://www.wikidata.org/wiki/Q3426819", "Q3426819")</f>
        <v>0</v>
      </c>
      <c r="O3697" t="s">
        <v>20021</v>
      </c>
      <c r="P3697" t="s">
        <v>20428</v>
      </c>
      <c r="Q3697" t="s">
        <v>16199</v>
      </c>
      <c r="R3697" t="s">
        <v>414</v>
      </c>
      <c r="S3697">
        <v>1484</v>
      </c>
    </row>
    <row r="3698" spans="1:19">
      <c r="A3698" t="s">
        <v>24</v>
      </c>
      <c r="B3698" t="s">
        <v>148</v>
      </c>
      <c r="C3698" t="s">
        <v>156</v>
      </c>
      <c r="D3698" t="s">
        <v>285</v>
      </c>
      <c r="E3698" t="s">
        <v>414</v>
      </c>
      <c r="F3698">
        <f>HYPERLINK("https://www.wikidata.org/wiki/Q16683508", "Q16683508")</f>
        <v>0</v>
      </c>
      <c r="G3698" t="s">
        <v>1893</v>
      </c>
      <c r="H3698" t="s">
        <v>6543</v>
      </c>
      <c r="I3698" t="s">
        <v>6200</v>
      </c>
      <c r="J3698" t="s">
        <v>12580</v>
      </c>
      <c r="K3698" t="s">
        <v>16992</v>
      </c>
      <c r="L3698">
        <f>HYPERLINK("https://www2.assemblee-nationale.fr/sycomore/fiche/(num_dept)/6759", "6759")</f>
        <v>0</v>
      </c>
      <c r="N3698">
        <f>HYPERLINK("https://www.wikidata.org/wiki/Q16026424", "Q16026424")</f>
        <v>0</v>
      </c>
      <c r="O3698" t="s">
        <v>20016</v>
      </c>
      <c r="P3698" t="s">
        <v>20439</v>
      </c>
      <c r="Q3698" t="s">
        <v>16199</v>
      </c>
      <c r="R3698" t="s">
        <v>16992</v>
      </c>
      <c r="S3698">
        <v>304</v>
      </c>
    </row>
    <row r="3699" spans="1:19">
      <c r="A3699" t="s">
        <v>24</v>
      </c>
      <c r="B3699" t="s">
        <v>148</v>
      </c>
      <c r="C3699" t="s">
        <v>156</v>
      </c>
      <c r="D3699" t="s">
        <v>285</v>
      </c>
      <c r="E3699" t="s">
        <v>414</v>
      </c>
      <c r="F3699">
        <f>HYPERLINK("https://www.wikidata.org/wiki/Q16683508", "Q16683508")</f>
        <v>0</v>
      </c>
      <c r="G3699" t="s">
        <v>1620</v>
      </c>
      <c r="H3699" t="s">
        <v>6305</v>
      </c>
      <c r="I3699" t="s">
        <v>9862</v>
      </c>
      <c r="J3699" t="s">
        <v>12327</v>
      </c>
      <c r="K3699" t="s">
        <v>16737</v>
      </c>
      <c r="L3699">
        <f>HYPERLINK("https://www2.assemblee-nationale.fr/sycomore/fiche/(num_dept)/6770", "6770")</f>
        <v>0</v>
      </c>
      <c r="M3699">
        <f>HYPERLINK("https://www.senat.fr/senateur-3eme-republique/rillard_de_verneuil_henri0040r3.html", "rillard_de_verneuil_henri0040r3")</f>
        <v>0</v>
      </c>
      <c r="N3699">
        <f>HYPERLINK("https://www.wikidata.org/wiki/Q3131913", "Q3131913")</f>
        <v>0</v>
      </c>
      <c r="O3699" t="s">
        <v>20015</v>
      </c>
      <c r="P3699" t="s">
        <v>20437</v>
      </c>
      <c r="Q3699" t="s">
        <v>16199</v>
      </c>
      <c r="R3699" t="s">
        <v>20637</v>
      </c>
      <c r="S3699">
        <v>728</v>
      </c>
    </row>
    <row r="3700" spans="1:19">
      <c r="A3700" t="s">
        <v>24</v>
      </c>
      <c r="B3700" t="s">
        <v>148</v>
      </c>
      <c r="C3700" t="s">
        <v>156</v>
      </c>
      <c r="D3700" t="s">
        <v>285</v>
      </c>
      <c r="E3700" t="s">
        <v>414</v>
      </c>
      <c r="F3700">
        <f>HYPERLINK("https://www.wikidata.org/wiki/Q16683508", "Q16683508")</f>
        <v>0</v>
      </c>
      <c r="G3700" t="s">
        <v>2389</v>
      </c>
      <c r="H3700" t="s">
        <v>6544</v>
      </c>
      <c r="I3700" t="s">
        <v>10195</v>
      </c>
      <c r="J3700" t="s">
        <v>13040</v>
      </c>
      <c r="K3700" t="s">
        <v>17449</v>
      </c>
      <c r="L3700">
        <f>HYPERLINK("https://www2.assemblee-nationale.fr/sycomore/fiche/(num_dept)/6773", "6773")</f>
        <v>0</v>
      </c>
      <c r="N3700">
        <f>HYPERLINK("https://www.wikidata.org/wiki/Q16026428", "Q16026428")</f>
        <v>0</v>
      </c>
      <c r="O3700" t="s">
        <v>19982</v>
      </c>
      <c r="P3700" t="s">
        <v>20434</v>
      </c>
      <c r="Q3700" t="s">
        <v>16199</v>
      </c>
      <c r="R3700" t="s">
        <v>414</v>
      </c>
      <c r="S3700">
        <v>1484</v>
      </c>
    </row>
    <row r="3701" spans="1:19">
      <c r="A3701" t="s">
        <v>24</v>
      </c>
      <c r="B3701" t="s">
        <v>148</v>
      </c>
      <c r="C3701" t="s">
        <v>156</v>
      </c>
      <c r="D3701" t="s">
        <v>285</v>
      </c>
      <c r="E3701" t="s">
        <v>414</v>
      </c>
      <c r="F3701">
        <f>HYPERLINK("https://www.wikidata.org/wiki/Q16683508", "Q16683508")</f>
        <v>0</v>
      </c>
      <c r="G3701" t="s">
        <v>1894</v>
      </c>
      <c r="H3701" t="s">
        <v>6544</v>
      </c>
      <c r="I3701" t="s">
        <v>9988</v>
      </c>
      <c r="J3701" t="s">
        <v>12581</v>
      </c>
      <c r="K3701" t="s">
        <v>16993</v>
      </c>
      <c r="L3701">
        <f>HYPERLINK("https://www2.assemblee-nationale.fr/sycomore/fiche/(num_dept)/6774", "6774")</f>
        <v>0</v>
      </c>
      <c r="N3701">
        <f>HYPERLINK("https://www.wikidata.org/wiki/Q3069028", "Q3069028")</f>
        <v>0</v>
      </c>
      <c r="O3701" t="s">
        <v>19978</v>
      </c>
      <c r="P3701" t="s">
        <v>20428</v>
      </c>
      <c r="Q3701" t="s">
        <v>16199</v>
      </c>
      <c r="R3701" t="s">
        <v>414</v>
      </c>
      <c r="S3701">
        <v>1484</v>
      </c>
    </row>
    <row r="3702" spans="1:19">
      <c r="A3702" t="s">
        <v>24</v>
      </c>
      <c r="B3702" t="s">
        <v>148</v>
      </c>
      <c r="C3702" t="s">
        <v>156</v>
      </c>
      <c r="D3702" t="s">
        <v>285</v>
      </c>
      <c r="E3702" t="s">
        <v>414</v>
      </c>
      <c r="F3702">
        <f>HYPERLINK("https://www.wikidata.org/wiki/Q16683508", "Q16683508")</f>
        <v>0</v>
      </c>
      <c r="G3702" t="s">
        <v>2390</v>
      </c>
      <c r="H3702" t="s">
        <v>6968</v>
      </c>
      <c r="I3702" t="s">
        <v>10196</v>
      </c>
      <c r="J3702" t="s">
        <v>13041</v>
      </c>
      <c r="K3702" t="s">
        <v>17450</v>
      </c>
      <c r="L3702">
        <f>HYPERLINK("https://www2.assemblee-nationale.fr/sycomore/fiche/(num_dept)/6799", "6799")</f>
        <v>0</v>
      </c>
      <c r="N3702">
        <f>HYPERLINK("https://www.wikidata.org/wiki/Q3372101", "Q3372101")</f>
        <v>0</v>
      </c>
      <c r="O3702" t="s">
        <v>19999</v>
      </c>
      <c r="P3702" t="s">
        <v>20404</v>
      </c>
      <c r="Q3702" t="s">
        <v>16199</v>
      </c>
      <c r="R3702" t="s">
        <v>414</v>
      </c>
      <c r="S3702">
        <v>1484</v>
      </c>
    </row>
    <row r="3703" spans="1:19">
      <c r="A3703" t="s">
        <v>24</v>
      </c>
      <c r="B3703" t="s">
        <v>148</v>
      </c>
      <c r="C3703" t="s">
        <v>156</v>
      </c>
      <c r="D3703" t="s">
        <v>285</v>
      </c>
      <c r="E3703" t="s">
        <v>414</v>
      </c>
      <c r="F3703">
        <f>HYPERLINK("https://www.wikidata.org/wiki/Q16683508", "Q16683508")</f>
        <v>0</v>
      </c>
      <c r="G3703" t="s">
        <v>2391</v>
      </c>
      <c r="H3703" t="s">
        <v>6969</v>
      </c>
      <c r="I3703" t="s">
        <v>5528</v>
      </c>
      <c r="J3703" t="s">
        <v>13042</v>
      </c>
      <c r="K3703" t="s">
        <v>17451</v>
      </c>
      <c r="L3703">
        <f>HYPERLINK("https://www2.assemblee-nationale.fr/sycomore/fiche/(num_dept)/6840", "6840")</f>
        <v>0</v>
      </c>
      <c r="N3703">
        <f>HYPERLINK("https://www.wikidata.org/wiki/Q1466655", "Q1466655")</f>
        <v>0</v>
      </c>
      <c r="O3703" t="s">
        <v>20014</v>
      </c>
      <c r="P3703" t="s">
        <v>20404</v>
      </c>
      <c r="Q3703" t="s">
        <v>16199</v>
      </c>
      <c r="R3703" t="s">
        <v>414</v>
      </c>
      <c r="S3703">
        <v>1484</v>
      </c>
    </row>
    <row r="3704" spans="1:19">
      <c r="A3704" t="s">
        <v>24</v>
      </c>
      <c r="B3704" t="s">
        <v>148</v>
      </c>
      <c r="C3704" t="s">
        <v>156</v>
      </c>
      <c r="D3704" t="s">
        <v>285</v>
      </c>
      <c r="E3704" t="s">
        <v>414</v>
      </c>
      <c r="F3704">
        <f>HYPERLINK("https://www.wikidata.org/wiki/Q16683508", "Q16683508")</f>
        <v>0</v>
      </c>
      <c r="G3704" t="s">
        <v>2211</v>
      </c>
      <c r="H3704" t="s">
        <v>6820</v>
      </c>
      <c r="I3704" t="s">
        <v>9470</v>
      </c>
      <c r="J3704" t="s">
        <v>12872</v>
      </c>
      <c r="K3704" t="s">
        <v>17284</v>
      </c>
      <c r="L3704">
        <f>HYPERLINK("https://www2.assemblee-nationale.fr/sycomore/fiche/(num_dept)/6853", "6853")</f>
        <v>0</v>
      </c>
      <c r="N3704">
        <f>HYPERLINK("https://www.wikidata.org/wiki/Q16026508", "Q16026508")</f>
        <v>0</v>
      </c>
      <c r="O3704" t="s">
        <v>20010</v>
      </c>
      <c r="P3704" t="s">
        <v>20436</v>
      </c>
      <c r="Q3704" t="s">
        <v>16199</v>
      </c>
      <c r="R3704" t="s">
        <v>414</v>
      </c>
      <c r="S3704">
        <v>1484</v>
      </c>
    </row>
    <row r="3705" spans="1:19">
      <c r="A3705" t="s">
        <v>24</v>
      </c>
      <c r="B3705" t="s">
        <v>148</v>
      </c>
      <c r="C3705" t="s">
        <v>156</v>
      </c>
      <c r="D3705" t="s">
        <v>285</v>
      </c>
      <c r="E3705" t="s">
        <v>414</v>
      </c>
      <c r="F3705">
        <f>HYPERLINK("https://www.wikidata.org/wiki/Q16683508", "Q16683508")</f>
        <v>0</v>
      </c>
      <c r="G3705" t="s">
        <v>1055</v>
      </c>
      <c r="H3705" t="s">
        <v>5801</v>
      </c>
      <c r="I3705" t="s">
        <v>9503</v>
      </c>
      <c r="J3705" t="s">
        <v>11792</v>
      </c>
      <c r="K3705" t="s">
        <v>16193</v>
      </c>
      <c r="L3705">
        <f>HYPERLINK("https://www2.assemblee-nationale.fr/sycomore/fiche/(num_dept)/6863", "6863")</f>
        <v>0</v>
      </c>
      <c r="N3705">
        <f>HYPERLINK("https://www.wikidata.org/wiki/Q16026512", "Q16026512")</f>
        <v>0</v>
      </c>
      <c r="O3705" t="s">
        <v>19990</v>
      </c>
      <c r="P3705" t="s">
        <v>20404</v>
      </c>
      <c r="Q3705" t="s">
        <v>16199</v>
      </c>
      <c r="R3705" t="s">
        <v>414</v>
      </c>
      <c r="S3705">
        <v>1484</v>
      </c>
    </row>
    <row r="3706" spans="1:19">
      <c r="A3706" t="s">
        <v>24</v>
      </c>
      <c r="B3706" t="s">
        <v>148</v>
      </c>
      <c r="C3706" t="s">
        <v>156</v>
      </c>
      <c r="D3706" t="s">
        <v>285</v>
      </c>
      <c r="E3706" t="s">
        <v>414</v>
      </c>
      <c r="F3706">
        <f>HYPERLINK("https://www.wikidata.org/wiki/Q16683508", "Q16683508")</f>
        <v>0</v>
      </c>
      <c r="G3706" t="s">
        <v>1626</v>
      </c>
      <c r="H3706" t="s">
        <v>6311</v>
      </c>
      <c r="I3706" t="s">
        <v>9375</v>
      </c>
      <c r="J3706" t="s">
        <v>12333</v>
      </c>
      <c r="K3706" t="s">
        <v>16742</v>
      </c>
      <c r="L3706">
        <f>HYPERLINK("https://www2.assemblee-nationale.fr/sycomore/fiche/(num_dept)/6883", "6883")</f>
        <v>0</v>
      </c>
      <c r="N3706">
        <f>HYPERLINK("https://www.wikidata.org/wiki/Q16026518", "Q16026518")</f>
        <v>0</v>
      </c>
      <c r="O3706" t="s">
        <v>19969</v>
      </c>
      <c r="P3706" t="s">
        <v>20414</v>
      </c>
      <c r="Q3706" t="s">
        <v>16199</v>
      </c>
      <c r="R3706" t="s">
        <v>414</v>
      </c>
      <c r="S3706">
        <v>1484</v>
      </c>
    </row>
    <row r="3707" spans="1:19">
      <c r="A3707" t="s">
        <v>24</v>
      </c>
      <c r="B3707" t="s">
        <v>148</v>
      </c>
      <c r="C3707" t="s">
        <v>156</v>
      </c>
      <c r="D3707" t="s">
        <v>285</v>
      </c>
      <c r="E3707" t="s">
        <v>414</v>
      </c>
      <c r="F3707">
        <f>HYPERLINK("https://www.wikidata.org/wiki/Q16683508", "Q16683508")</f>
        <v>0</v>
      </c>
      <c r="G3707" t="s">
        <v>1897</v>
      </c>
      <c r="H3707" t="s">
        <v>6547</v>
      </c>
      <c r="I3707" t="s">
        <v>9385</v>
      </c>
      <c r="J3707" t="s">
        <v>12584</v>
      </c>
      <c r="K3707" t="s">
        <v>16996</v>
      </c>
      <c r="L3707">
        <f>HYPERLINK("https://www2.assemblee-nationale.fr/sycomore/fiche/(num_dept)/6897", "6897")</f>
        <v>0</v>
      </c>
      <c r="N3707">
        <f>HYPERLINK("https://www.wikidata.org/wiki/Q2960255", "Q2960255")</f>
        <v>0</v>
      </c>
      <c r="O3707" t="s">
        <v>20020</v>
      </c>
      <c r="P3707" t="s">
        <v>20404</v>
      </c>
      <c r="Q3707" t="s">
        <v>16199</v>
      </c>
      <c r="R3707" t="s">
        <v>414</v>
      </c>
      <c r="S3707">
        <v>1484</v>
      </c>
    </row>
    <row r="3708" spans="1:19">
      <c r="A3708" t="s">
        <v>24</v>
      </c>
      <c r="B3708" t="s">
        <v>148</v>
      </c>
      <c r="C3708" t="s">
        <v>156</v>
      </c>
      <c r="D3708" t="s">
        <v>285</v>
      </c>
      <c r="E3708" t="s">
        <v>414</v>
      </c>
      <c r="F3708">
        <f>HYPERLINK("https://www.wikidata.org/wiki/Q16683508", "Q16683508")</f>
        <v>0</v>
      </c>
      <c r="G3708" t="s">
        <v>1312</v>
      </c>
      <c r="H3708" t="s">
        <v>6033</v>
      </c>
      <c r="I3708" t="s">
        <v>7419</v>
      </c>
      <c r="J3708" t="s">
        <v>12042</v>
      </c>
      <c r="K3708" t="s">
        <v>16443</v>
      </c>
      <c r="L3708">
        <f>HYPERLINK("https://www2.assemblee-nationale.fr/sycomore/fiche/(num_dept)/6907", "6907")</f>
        <v>0</v>
      </c>
      <c r="N3708">
        <f>HYPERLINK("https://www.wikidata.org/wiki/Q1243761", "Q1243761")</f>
        <v>0</v>
      </c>
      <c r="O3708" t="s">
        <v>20033</v>
      </c>
      <c r="P3708" t="s">
        <v>20409</v>
      </c>
      <c r="Q3708" t="s">
        <v>16199</v>
      </c>
      <c r="R3708" t="s">
        <v>414</v>
      </c>
      <c r="S3708">
        <v>1484</v>
      </c>
    </row>
    <row r="3709" spans="1:19">
      <c r="A3709" t="s">
        <v>24</v>
      </c>
      <c r="B3709" t="s">
        <v>148</v>
      </c>
      <c r="C3709" t="s">
        <v>156</v>
      </c>
      <c r="D3709" t="s">
        <v>285</v>
      </c>
      <c r="E3709" t="s">
        <v>414</v>
      </c>
      <c r="F3709">
        <f>HYPERLINK("https://www.wikidata.org/wiki/Q16683508", "Q16683508")</f>
        <v>0</v>
      </c>
      <c r="G3709" t="s">
        <v>2392</v>
      </c>
      <c r="H3709" t="s">
        <v>6970</v>
      </c>
      <c r="I3709" t="s">
        <v>9692</v>
      </c>
      <c r="J3709" t="s">
        <v>13043</v>
      </c>
      <c r="K3709" t="s">
        <v>17452</v>
      </c>
      <c r="L3709">
        <f>HYPERLINK("https://www2.assemblee-nationale.fr/sycomore/fiche/(num_dept)/6926", "6926")</f>
        <v>0</v>
      </c>
      <c r="N3709">
        <f>HYPERLINK("https://www.wikidata.org/wiki/Q3421158", "Q3421158")</f>
        <v>0</v>
      </c>
      <c r="O3709" t="s">
        <v>19969</v>
      </c>
      <c r="P3709" t="s">
        <v>20440</v>
      </c>
      <c r="Q3709" t="s">
        <v>16199</v>
      </c>
      <c r="R3709" t="s">
        <v>414</v>
      </c>
      <c r="S3709">
        <v>1484</v>
      </c>
    </row>
    <row r="3710" spans="1:19">
      <c r="A3710" t="s">
        <v>24</v>
      </c>
      <c r="B3710" t="s">
        <v>148</v>
      </c>
      <c r="C3710" t="s">
        <v>156</v>
      </c>
      <c r="D3710" t="s">
        <v>285</v>
      </c>
      <c r="E3710" t="s">
        <v>414</v>
      </c>
      <c r="F3710">
        <f>HYPERLINK("https://www.wikidata.org/wiki/Q16683508", "Q16683508")</f>
        <v>0</v>
      </c>
      <c r="G3710" t="s">
        <v>1973</v>
      </c>
      <c r="H3710" t="s">
        <v>6034</v>
      </c>
      <c r="I3710" t="s">
        <v>7642</v>
      </c>
      <c r="J3710" t="s">
        <v>12654</v>
      </c>
      <c r="K3710" t="s">
        <v>17064</v>
      </c>
      <c r="L3710">
        <f>HYPERLINK("https://www2.assemblee-nationale.fr/sycomore/fiche/(num_dept)/6938", "6938")</f>
        <v>0</v>
      </c>
      <c r="N3710">
        <f>HYPERLINK("https://www.wikidata.org/wiki/Q16026529", "Q16026529")</f>
        <v>0</v>
      </c>
      <c r="O3710" t="s">
        <v>19968</v>
      </c>
      <c r="P3710" t="s">
        <v>20437</v>
      </c>
      <c r="Q3710" t="s">
        <v>16199</v>
      </c>
      <c r="R3710" t="s">
        <v>414</v>
      </c>
      <c r="S3710">
        <v>1484</v>
      </c>
    </row>
    <row r="3711" spans="1:19">
      <c r="A3711" t="s">
        <v>24</v>
      </c>
      <c r="B3711" t="s">
        <v>148</v>
      </c>
      <c r="C3711" t="s">
        <v>156</v>
      </c>
      <c r="D3711" t="s">
        <v>285</v>
      </c>
      <c r="E3711" t="s">
        <v>414</v>
      </c>
      <c r="F3711">
        <f>HYPERLINK("https://www.wikidata.org/wiki/Q16683508", "Q16683508")</f>
        <v>0</v>
      </c>
      <c r="G3711" t="s">
        <v>2173</v>
      </c>
      <c r="H3711" t="s">
        <v>6787</v>
      </c>
      <c r="I3711" t="s">
        <v>10105</v>
      </c>
      <c r="J3711" t="s">
        <v>12837</v>
      </c>
      <c r="K3711" t="s">
        <v>17250</v>
      </c>
      <c r="L3711">
        <f>HYPERLINK("https://www2.assemblee-nationale.fr/sycomore/fiche/(num_dept)/6962", "6962")</f>
        <v>0</v>
      </c>
      <c r="N3711">
        <f>HYPERLINK("https://www.wikidata.org/wiki/Q3241970", "Q3241970")</f>
        <v>0</v>
      </c>
      <c r="O3711" t="s">
        <v>19969</v>
      </c>
      <c r="P3711" t="s">
        <v>20438</v>
      </c>
      <c r="Q3711" t="s">
        <v>16199</v>
      </c>
      <c r="R3711" t="s">
        <v>414</v>
      </c>
      <c r="S3711">
        <v>1484</v>
      </c>
    </row>
    <row r="3712" spans="1:19">
      <c r="A3712" t="s">
        <v>24</v>
      </c>
      <c r="B3712" t="s">
        <v>148</v>
      </c>
      <c r="C3712" t="s">
        <v>156</v>
      </c>
      <c r="D3712" t="s">
        <v>285</v>
      </c>
      <c r="E3712" t="s">
        <v>414</v>
      </c>
      <c r="F3712">
        <f>HYPERLINK("https://www.wikidata.org/wiki/Q16683508", "Q16683508")</f>
        <v>0</v>
      </c>
      <c r="G3712" t="s">
        <v>2175</v>
      </c>
      <c r="H3712" t="s">
        <v>6789</v>
      </c>
      <c r="I3712" t="s">
        <v>6166</v>
      </c>
      <c r="J3712" t="s">
        <v>12339</v>
      </c>
      <c r="K3712" t="s">
        <v>17251</v>
      </c>
      <c r="L3712">
        <f>HYPERLINK("https://www2.assemblee-nationale.fr/sycomore/fiche/(num_dept)/6999", "6999")</f>
        <v>0</v>
      </c>
      <c r="N3712">
        <f>HYPERLINK("https://www.wikidata.org/wiki/Q3086325", "Q3086325")</f>
        <v>0</v>
      </c>
      <c r="O3712" t="s">
        <v>20026</v>
      </c>
      <c r="P3712" t="s">
        <v>20428</v>
      </c>
      <c r="Q3712" t="s">
        <v>16199</v>
      </c>
      <c r="R3712" t="s">
        <v>414</v>
      </c>
      <c r="S3712">
        <v>1484</v>
      </c>
    </row>
    <row r="3713" spans="1:19">
      <c r="A3713" t="s">
        <v>24</v>
      </c>
      <c r="B3713" t="s">
        <v>148</v>
      </c>
      <c r="C3713" t="s">
        <v>156</v>
      </c>
      <c r="D3713" t="s">
        <v>285</v>
      </c>
      <c r="E3713" t="s">
        <v>414</v>
      </c>
      <c r="F3713">
        <f>HYPERLINK("https://www.wikidata.org/wiki/Q16683508", "Q16683508")</f>
        <v>0</v>
      </c>
      <c r="G3713" t="s">
        <v>2223</v>
      </c>
      <c r="H3713" t="s">
        <v>6832</v>
      </c>
      <c r="I3713" t="s">
        <v>10125</v>
      </c>
      <c r="J3713" t="s">
        <v>12884</v>
      </c>
      <c r="K3713" t="s">
        <v>17296</v>
      </c>
      <c r="L3713">
        <f>HYPERLINK("https://www2.assemblee-nationale.fr/sycomore/fiche/(num_dept)/7011", "7011")</f>
        <v>0</v>
      </c>
      <c r="N3713">
        <f>HYPERLINK("https://www.wikidata.org/wiki/Q3271353", "Q3271353")</f>
        <v>0</v>
      </c>
      <c r="O3713" t="s">
        <v>19998</v>
      </c>
      <c r="P3713" t="s">
        <v>20434</v>
      </c>
      <c r="Q3713" t="s">
        <v>16199</v>
      </c>
      <c r="R3713" t="s">
        <v>414</v>
      </c>
      <c r="S3713">
        <v>1484</v>
      </c>
    </row>
    <row r="3714" spans="1:19">
      <c r="A3714" t="s">
        <v>24</v>
      </c>
      <c r="B3714" t="s">
        <v>148</v>
      </c>
      <c r="C3714" t="s">
        <v>156</v>
      </c>
      <c r="D3714" t="s">
        <v>285</v>
      </c>
      <c r="E3714" t="s">
        <v>414</v>
      </c>
      <c r="F3714">
        <f>HYPERLINK("https://www.wikidata.org/wiki/Q16683508", "Q16683508")</f>
        <v>0</v>
      </c>
      <c r="G3714" t="s">
        <v>818</v>
      </c>
      <c r="H3714" t="s">
        <v>5575</v>
      </c>
      <c r="I3714" t="s">
        <v>9470</v>
      </c>
      <c r="J3714" t="s">
        <v>11565</v>
      </c>
      <c r="K3714" t="s">
        <v>15969</v>
      </c>
      <c r="L3714">
        <f>HYPERLINK("https://www2.assemblee-nationale.fr/sycomore/fiche/(num_dept)/7055", "7055")</f>
        <v>0</v>
      </c>
      <c r="N3714">
        <f>HYPERLINK("https://www.wikidata.org/wiki/Q2246519", "Q2246519")</f>
        <v>0</v>
      </c>
      <c r="O3714" t="s">
        <v>20000</v>
      </c>
      <c r="P3714" t="s">
        <v>20401</v>
      </c>
      <c r="Q3714" t="s">
        <v>16199</v>
      </c>
      <c r="R3714" t="s">
        <v>15969</v>
      </c>
      <c r="S3714">
        <v>6</v>
      </c>
    </row>
    <row r="3715" spans="1:19">
      <c r="A3715" t="s">
        <v>24</v>
      </c>
      <c r="B3715" t="s">
        <v>148</v>
      </c>
      <c r="C3715" t="s">
        <v>156</v>
      </c>
      <c r="D3715" t="s">
        <v>285</v>
      </c>
      <c r="E3715" t="s">
        <v>414</v>
      </c>
      <c r="F3715">
        <f>HYPERLINK("https://www.wikidata.org/wiki/Q16683508", "Q16683508")</f>
        <v>0</v>
      </c>
      <c r="G3715" t="s">
        <v>2393</v>
      </c>
      <c r="H3715" t="s">
        <v>6971</v>
      </c>
      <c r="I3715" t="s">
        <v>7642</v>
      </c>
      <c r="J3715" t="s">
        <v>13044</v>
      </c>
      <c r="K3715" t="s">
        <v>17453</v>
      </c>
      <c r="L3715">
        <f>HYPERLINK("https://www2.assemblee-nationale.fr/sycomore/fiche/(num_dept)/7063", "7063")</f>
        <v>0</v>
      </c>
      <c r="N3715">
        <f>HYPERLINK("https://www.wikidata.org/wiki/Q345408", "Q345408")</f>
        <v>0</v>
      </c>
      <c r="O3715" t="s">
        <v>19969</v>
      </c>
      <c r="P3715" t="s">
        <v>20424</v>
      </c>
      <c r="Q3715" t="s">
        <v>16199</v>
      </c>
      <c r="R3715" t="s">
        <v>414</v>
      </c>
      <c r="S3715">
        <v>1484</v>
      </c>
    </row>
    <row r="3716" spans="1:19">
      <c r="A3716" t="s">
        <v>24</v>
      </c>
      <c r="B3716" t="s">
        <v>148</v>
      </c>
      <c r="C3716" t="s">
        <v>156</v>
      </c>
      <c r="D3716" t="s">
        <v>285</v>
      </c>
      <c r="E3716" t="s">
        <v>414</v>
      </c>
      <c r="F3716">
        <f>HYPERLINK("https://www.wikidata.org/wiki/Q16683508", "Q16683508")</f>
        <v>0</v>
      </c>
      <c r="G3716" t="s">
        <v>2394</v>
      </c>
      <c r="H3716" t="s">
        <v>6972</v>
      </c>
      <c r="I3716" t="s">
        <v>9407</v>
      </c>
      <c r="J3716" t="s">
        <v>13045</v>
      </c>
      <c r="K3716" t="s">
        <v>17454</v>
      </c>
      <c r="L3716">
        <f>HYPERLINK("https://www2.assemblee-nationale.fr/sycomore/fiche/(num_dept)/7075", "7075")</f>
        <v>0</v>
      </c>
      <c r="N3716">
        <f>HYPERLINK("https://www.wikidata.org/wiki/Q16026558", "Q16026558")</f>
        <v>0</v>
      </c>
      <c r="O3716" t="s">
        <v>19968</v>
      </c>
      <c r="P3716" t="s">
        <v>20412</v>
      </c>
      <c r="Q3716" t="s">
        <v>16199</v>
      </c>
      <c r="R3716" t="s">
        <v>414</v>
      </c>
      <c r="S3716">
        <v>1484</v>
      </c>
    </row>
    <row r="3717" spans="1:19">
      <c r="A3717" t="s">
        <v>24</v>
      </c>
      <c r="B3717" t="s">
        <v>148</v>
      </c>
      <c r="C3717" t="s">
        <v>156</v>
      </c>
      <c r="D3717" t="s">
        <v>285</v>
      </c>
      <c r="E3717" t="s">
        <v>414</v>
      </c>
      <c r="F3717">
        <f>HYPERLINK("https://www.wikidata.org/wiki/Q16683508", "Q16683508")</f>
        <v>0</v>
      </c>
      <c r="G3717" t="s">
        <v>2208</v>
      </c>
      <c r="H3717" t="s">
        <v>6818</v>
      </c>
      <c r="I3717" t="s">
        <v>10116</v>
      </c>
      <c r="J3717" t="s">
        <v>12869</v>
      </c>
      <c r="K3717" t="s">
        <v>17281</v>
      </c>
      <c r="L3717">
        <f>HYPERLINK("https://www2.assemblee-nationale.fr/sycomore/fiche/(num_dept)/7100", "7100")</f>
        <v>0</v>
      </c>
      <c r="N3717">
        <f>HYPERLINK("https://www.wikidata.org/wiki/Q15971824", "Q15971824")</f>
        <v>0</v>
      </c>
      <c r="O3717" t="s">
        <v>20012</v>
      </c>
      <c r="P3717" t="s">
        <v>20436</v>
      </c>
      <c r="Q3717" t="s">
        <v>16199</v>
      </c>
      <c r="R3717" t="s">
        <v>414</v>
      </c>
      <c r="S3717">
        <v>1484</v>
      </c>
    </row>
    <row r="3718" spans="1:19">
      <c r="A3718" t="s">
        <v>24</v>
      </c>
      <c r="B3718" t="s">
        <v>148</v>
      </c>
      <c r="C3718" t="s">
        <v>156</v>
      </c>
      <c r="D3718" t="s">
        <v>285</v>
      </c>
      <c r="E3718" t="s">
        <v>414</v>
      </c>
      <c r="F3718">
        <f>HYPERLINK("https://www.wikidata.org/wiki/Q16683508", "Q16683508")</f>
        <v>0</v>
      </c>
      <c r="G3718" t="s">
        <v>2395</v>
      </c>
      <c r="H3718" t="s">
        <v>6973</v>
      </c>
      <c r="I3718" t="s">
        <v>10197</v>
      </c>
      <c r="J3718" t="s">
        <v>12858</v>
      </c>
      <c r="K3718" t="s">
        <v>17455</v>
      </c>
      <c r="L3718">
        <f>HYPERLINK("https://www2.assemblee-nationale.fr/sycomore/fiche/(num_dept)/7101", "7101")</f>
        <v>0</v>
      </c>
      <c r="M3718">
        <f>HYPERLINK("https://www.senat.fr/senateur-3eme-republique/revillon_michel0022r3.html", "revillon_michel0022r3")</f>
        <v>0</v>
      </c>
      <c r="N3718">
        <f>HYPERLINK("https://www.wikidata.org/wiki/Q3292824", "Q3292824")</f>
        <v>0</v>
      </c>
      <c r="O3718" t="s">
        <v>19986</v>
      </c>
      <c r="P3718" t="s">
        <v>20428</v>
      </c>
      <c r="Q3718" t="s">
        <v>16199</v>
      </c>
      <c r="R3718" t="s">
        <v>414</v>
      </c>
      <c r="S3718">
        <v>1484</v>
      </c>
    </row>
    <row r="3719" spans="1:19">
      <c r="A3719" t="s">
        <v>24</v>
      </c>
      <c r="B3719" t="s">
        <v>148</v>
      </c>
      <c r="C3719" t="s">
        <v>156</v>
      </c>
      <c r="D3719" t="s">
        <v>285</v>
      </c>
      <c r="E3719" t="s">
        <v>414</v>
      </c>
      <c r="F3719">
        <f>HYPERLINK("https://www.wikidata.org/wiki/Q16683508", "Q16683508")</f>
        <v>0</v>
      </c>
      <c r="G3719" t="s">
        <v>1907</v>
      </c>
      <c r="H3719" t="s">
        <v>6556</v>
      </c>
      <c r="I3719" t="s">
        <v>9457</v>
      </c>
      <c r="J3719" t="s">
        <v>12593</v>
      </c>
      <c r="K3719" t="s">
        <v>17005</v>
      </c>
      <c r="L3719">
        <f>HYPERLINK("https://www2.assemblee-nationale.fr/sycomore/fiche/(num_dept)/7150", "7150")</f>
        <v>0</v>
      </c>
      <c r="N3719">
        <f>HYPERLINK("https://www.wikidata.org/wiki/Q3132090", "Q3132090")</f>
        <v>0</v>
      </c>
      <c r="O3719" t="s">
        <v>19971</v>
      </c>
      <c r="P3719" t="s">
        <v>20439</v>
      </c>
      <c r="Q3719" t="s">
        <v>16199</v>
      </c>
      <c r="R3719" t="s">
        <v>414</v>
      </c>
      <c r="S3719">
        <v>1484</v>
      </c>
    </row>
    <row r="3720" spans="1:19">
      <c r="A3720" t="s">
        <v>24</v>
      </c>
      <c r="B3720" t="s">
        <v>148</v>
      </c>
      <c r="C3720" t="s">
        <v>156</v>
      </c>
      <c r="D3720" t="s">
        <v>285</v>
      </c>
      <c r="E3720" t="s">
        <v>414</v>
      </c>
      <c r="F3720">
        <f>HYPERLINK("https://www.wikidata.org/wiki/Q16683508", "Q16683508")</f>
        <v>0</v>
      </c>
      <c r="G3720" t="s">
        <v>2179</v>
      </c>
      <c r="H3720" t="s">
        <v>6792</v>
      </c>
      <c r="I3720" t="s">
        <v>10107</v>
      </c>
      <c r="J3720" t="s">
        <v>12842</v>
      </c>
      <c r="K3720" t="s">
        <v>17255</v>
      </c>
      <c r="L3720">
        <f>HYPERLINK("https://www2.assemblee-nationale.fr/sycomore/fiche/(num_dept)/7156", "7156")</f>
        <v>0</v>
      </c>
      <c r="N3720">
        <f>HYPERLINK("https://www.wikidata.org/wiki/Q15972017", "Q15972017")</f>
        <v>0</v>
      </c>
      <c r="O3720" t="s">
        <v>20015</v>
      </c>
      <c r="P3720" t="s">
        <v>20404</v>
      </c>
      <c r="Q3720" t="s">
        <v>16199</v>
      </c>
      <c r="R3720" t="s">
        <v>17255</v>
      </c>
      <c r="S3720">
        <v>480</v>
      </c>
    </row>
    <row r="3721" spans="1:19">
      <c r="A3721" t="s">
        <v>24</v>
      </c>
      <c r="B3721" t="s">
        <v>148</v>
      </c>
      <c r="C3721" t="s">
        <v>156</v>
      </c>
      <c r="D3721" t="s">
        <v>285</v>
      </c>
      <c r="E3721" t="s">
        <v>414</v>
      </c>
      <c r="F3721">
        <f>HYPERLINK("https://www.wikidata.org/wiki/Q16683508", "Q16683508")</f>
        <v>0</v>
      </c>
      <c r="G3721" t="s">
        <v>2396</v>
      </c>
      <c r="H3721" t="s">
        <v>6974</v>
      </c>
      <c r="I3721" t="s">
        <v>10198</v>
      </c>
      <c r="J3721" t="s">
        <v>13046</v>
      </c>
      <c r="K3721" t="s">
        <v>17456</v>
      </c>
      <c r="L3721">
        <f>HYPERLINK("https://www2.assemblee-nationale.fr/sycomore/fiche/(num_dept)/7186", "7186")</f>
        <v>0</v>
      </c>
      <c r="N3721">
        <f>HYPERLINK("https://www.wikidata.org/wiki/Q1806417", "Q1806417")</f>
        <v>0</v>
      </c>
      <c r="O3721" t="s">
        <v>20045</v>
      </c>
      <c r="P3721" t="s">
        <v>20401</v>
      </c>
      <c r="Q3721" t="s">
        <v>16199</v>
      </c>
      <c r="R3721" t="s">
        <v>17456</v>
      </c>
      <c r="S3721">
        <v>450</v>
      </c>
    </row>
    <row r="3722" spans="1:19">
      <c r="A3722" t="s">
        <v>24</v>
      </c>
      <c r="B3722" t="s">
        <v>148</v>
      </c>
      <c r="C3722" t="s">
        <v>156</v>
      </c>
      <c r="D3722" t="s">
        <v>285</v>
      </c>
      <c r="E3722" t="s">
        <v>414</v>
      </c>
      <c r="F3722">
        <f>HYPERLINK("https://www.wikidata.org/wiki/Q16683508", "Q16683508")</f>
        <v>0</v>
      </c>
      <c r="G3722" t="s">
        <v>2397</v>
      </c>
      <c r="H3722" t="s">
        <v>6975</v>
      </c>
      <c r="I3722" t="s">
        <v>7642</v>
      </c>
      <c r="J3722" t="s">
        <v>13047</v>
      </c>
      <c r="K3722" t="s">
        <v>17457</v>
      </c>
      <c r="L3722">
        <f>HYPERLINK("https://www2.assemblee-nationale.fr/sycomore/fiche/(num_dept)/7284", "7284")</f>
        <v>0</v>
      </c>
      <c r="N3722">
        <f>HYPERLINK("https://www.wikidata.org/wiki/Q3301510", "Q3301510")</f>
        <v>0</v>
      </c>
      <c r="O3722" t="s">
        <v>19959</v>
      </c>
      <c r="P3722" t="s">
        <v>20404</v>
      </c>
      <c r="Q3722" t="s">
        <v>16199</v>
      </c>
      <c r="R3722" t="s">
        <v>414</v>
      </c>
      <c r="S3722">
        <v>1484</v>
      </c>
    </row>
    <row r="3723" spans="1:19">
      <c r="A3723" t="s">
        <v>24</v>
      </c>
      <c r="B3723" t="s">
        <v>148</v>
      </c>
      <c r="C3723" t="s">
        <v>156</v>
      </c>
      <c r="D3723" t="s">
        <v>285</v>
      </c>
      <c r="E3723" t="s">
        <v>414</v>
      </c>
      <c r="F3723">
        <f>HYPERLINK("https://www.wikidata.org/wiki/Q16683508", "Q16683508")</f>
        <v>0</v>
      </c>
      <c r="G3723" t="s">
        <v>2398</v>
      </c>
      <c r="H3723" t="s">
        <v>6976</v>
      </c>
      <c r="I3723" t="s">
        <v>6860</v>
      </c>
      <c r="J3723" t="s">
        <v>13048</v>
      </c>
      <c r="K3723" t="s">
        <v>17458</v>
      </c>
      <c r="L3723">
        <f>HYPERLINK("https://www2.assemblee-nationale.fr/sycomore/fiche/(num_dept)/7285", "7285")</f>
        <v>0</v>
      </c>
      <c r="N3723">
        <f>HYPERLINK("https://www.wikidata.org/wiki/Q3387321", "Q3387321")</f>
        <v>0</v>
      </c>
      <c r="O3723" t="s">
        <v>19959</v>
      </c>
      <c r="P3723" t="s">
        <v>20439</v>
      </c>
      <c r="Q3723" t="s">
        <v>16199</v>
      </c>
      <c r="R3723" t="s">
        <v>414</v>
      </c>
      <c r="S3723">
        <v>1484</v>
      </c>
    </row>
    <row r="3724" spans="1:19">
      <c r="A3724" t="s">
        <v>24</v>
      </c>
      <c r="B3724" t="s">
        <v>148</v>
      </c>
      <c r="C3724" t="s">
        <v>156</v>
      </c>
      <c r="D3724" t="s">
        <v>285</v>
      </c>
      <c r="E3724" t="s">
        <v>414</v>
      </c>
      <c r="F3724">
        <f>HYPERLINK("https://www.wikidata.org/wiki/Q16683508", "Q16683508")</f>
        <v>0</v>
      </c>
      <c r="G3724" t="s">
        <v>2399</v>
      </c>
      <c r="H3724" t="s">
        <v>6330</v>
      </c>
      <c r="I3724" t="s">
        <v>9692</v>
      </c>
      <c r="J3724" t="s">
        <v>13049</v>
      </c>
      <c r="K3724" t="s">
        <v>17459</v>
      </c>
      <c r="L3724">
        <f>HYPERLINK("https://www2.assemblee-nationale.fr/sycomore/fiche/(num_dept)/7286", "7286")</f>
        <v>0</v>
      </c>
      <c r="N3724">
        <f>HYPERLINK("https://www.wikidata.org/wiki/Q1603251", "Q1603251")</f>
        <v>0</v>
      </c>
      <c r="O3724" t="s">
        <v>19990</v>
      </c>
      <c r="P3724" t="s">
        <v>20404</v>
      </c>
      <c r="Q3724" t="s">
        <v>16199</v>
      </c>
      <c r="R3724" t="s">
        <v>414</v>
      </c>
      <c r="S3724">
        <v>1484</v>
      </c>
    </row>
    <row r="3725" spans="1:19">
      <c r="A3725" t="s">
        <v>24</v>
      </c>
      <c r="B3725" t="s">
        <v>148</v>
      </c>
      <c r="C3725" t="s">
        <v>156</v>
      </c>
      <c r="D3725" t="s">
        <v>285</v>
      </c>
      <c r="E3725" t="s">
        <v>414</v>
      </c>
      <c r="F3725">
        <f>HYPERLINK("https://www.wikidata.org/wiki/Q16683508", "Q16683508")</f>
        <v>0</v>
      </c>
      <c r="G3725" t="s">
        <v>2400</v>
      </c>
      <c r="H3725" t="s">
        <v>6977</v>
      </c>
      <c r="I3725" t="s">
        <v>6200</v>
      </c>
      <c r="J3725" t="s">
        <v>13050</v>
      </c>
      <c r="K3725" t="s">
        <v>17460</v>
      </c>
      <c r="L3725">
        <f>HYPERLINK("https://www2.assemblee-nationale.fr/sycomore/fiche/(num_dept)/7291", "7291")</f>
        <v>0</v>
      </c>
      <c r="N3725">
        <f>HYPERLINK("https://www.wikidata.org/wiki/Q713487", "Q713487")</f>
        <v>0</v>
      </c>
      <c r="O3725" t="s">
        <v>19958</v>
      </c>
      <c r="P3725" t="s">
        <v>20428</v>
      </c>
      <c r="Q3725" t="s">
        <v>16199</v>
      </c>
      <c r="R3725" t="s">
        <v>414</v>
      </c>
      <c r="S3725">
        <v>1484</v>
      </c>
    </row>
    <row r="3726" spans="1:19">
      <c r="A3726" t="s">
        <v>24</v>
      </c>
      <c r="B3726" t="s">
        <v>148</v>
      </c>
      <c r="C3726" t="s">
        <v>156</v>
      </c>
      <c r="D3726" t="s">
        <v>285</v>
      </c>
      <c r="E3726" t="s">
        <v>414</v>
      </c>
      <c r="F3726">
        <f>HYPERLINK("https://www.wikidata.org/wiki/Q16683508", "Q16683508")</f>
        <v>0</v>
      </c>
      <c r="G3726" t="s">
        <v>2401</v>
      </c>
      <c r="H3726" t="s">
        <v>6978</v>
      </c>
      <c r="I3726" t="s">
        <v>10199</v>
      </c>
      <c r="J3726" t="s">
        <v>13051</v>
      </c>
      <c r="K3726" t="s">
        <v>17461</v>
      </c>
      <c r="L3726">
        <f>HYPERLINK("https://www2.assemblee-nationale.fr/sycomore/fiche/(num_dept)/7293", "7293")</f>
        <v>0</v>
      </c>
      <c r="N3726">
        <f>HYPERLINK("https://www.wikidata.org/wiki/Q2833055", "Q2833055")</f>
        <v>0</v>
      </c>
      <c r="O3726" t="s">
        <v>20050</v>
      </c>
      <c r="P3726" t="s">
        <v>20435</v>
      </c>
      <c r="Q3726" t="s">
        <v>16199</v>
      </c>
      <c r="R3726" t="s">
        <v>414</v>
      </c>
      <c r="S3726">
        <v>1484</v>
      </c>
    </row>
    <row r="3727" spans="1:19">
      <c r="A3727" t="s">
        <v>24</v>
      </c>
      <c r="B3727" t="s">
        <v>148</v>
      </c>
      <c r="C3727" t="s">
        <v>156</v>
      </c>
      <c r="D3727" t="s">
        <v>285</v>
      </c>
      <c r="E3727" t="s">
        <v>414</v>
      </c>
      <c r="F3727">
        <f>HYPERLINK("https://www.wikidata.org/wiki/Q16683508", "Q16683508")</f>
        <v>0</v>
      </c>
      <c r="G3727" t="s">
        <v>2180</v>
      </c>
      <c r="H3727" t="s">
        <v>6793</v>
      </c>
      <c r="I3727" t="s">
        <v>6200</v>
      </c>
      <c r="J3727" t="s">
        <v>12843</v>
      </c>
      <c r="K3727" t="s">
        <v>16197</v>
      </c>
      <c r="L3727">
        <f>HYPERLINK("https://www2.assemblee-nationale.fr/sycomore/fiche/(num_dept)/7295", "7295")</f>
        <v>0</v>
      </c>
      <c r="N3727">
        <f>HYPERLINK("https://www.wikidata.org/wiki/Q3174977", "Q3174977")</f>
        <v>0</v>
      </c>
      <c r="O3727" t="s">
        <v>19989</v>
      </c>
      <c r="P3727" t="s">
        <v>20404</v>
      </c>
      <c r="Q3727" t="s">
        <v>16199</v>
      </c>
      <c r="R3727" t="s">
        <v>414</v>
      </c>
      <c r="S3727">
        <v>1484</v>
      </c>
    </row>
    <row r="3728" spans="1:19">
      <c r="A3728" t="s">
        <v>24</v>
      </c>
      <c r="B3728" t="s">
        <v>148</v>
      </c>
      <c r="C3728" t="s">
        <v>156</v>
      </c>
      <c r="D3728" t="s">
        <v>285</v>
      </c>
      <c r="E3728" t="s">
        <v>414</v>
      </c>
      <c r="F3728">
        <f>HYPERLINK("https://www.wikidata.org/wiki/Q16683508", "Q16683508")</f>
        <v>0</v>
      </c>
      <c r="G3728" t="s">
        <v>1642</v>
      </c>
      <c r="H3728" t="s">
        <v>5815</v>
      </c>
      <c r="I3728" t="s">
        <v>6941</v>
      </c>
      <c r="J3728" t="s">
        <v>12349</v>
      </c>
      <c r="K3728" t="s">
        <v>16756</v>
      </c>
      <c r="L3728">
        <f>HYPERLINK("https://www2.assemblee-nationale.fr/sycomore/fiche/(num_dept)/7300", "7300")</f>
        <v>0</v>
      </c>
      <c r="N3728">
        <f>HYPERLINK("https://www.wikidata.org/wiki/Q3311115", "Q3311115")</f>
        <v>0</v>
      </c>
      <c r="O3728" t="s">
        <v>20048</v>
      </c>
      <c r="P3728" t="s">
        <v>20443</v>
      </c>
      <c r="Q3728" t="s">
        <v>16199</v>
      </c>
      <c r="R3728" t="s">
        <v>414</v>
      </c>
      <c r="S3728">
        <v>1484</v>
      </c>
    </row>
    <row r="3729" spans="1:19">
      <c r="A3729" t="s">
        <v>24</v>
      </c>
      <c r="B3729" t="s">
        <v>148</v>
      </c>
      <c r="C3729" t="s">
        <v>156</v>
      </c>
      <c r="D3729" t="s">
        <v>285</v>
      </c>
      <c r="E3729" t="s">
        <v>414</v>
      </c>
      <c r="F3729">
        <f>HYPERLINK("https://www.wikidata.org/wiki/Q16683508", "Q16683508")</f>
        <v>0</v>
      </c>
      <c r="G3729" t="s">
        <v>2402</v>
      </c>
      <c r="H3729" t="s">
        <v>6979</v>
      </c>
      <c r="I3729" t="s">
        <v>9458</v>
      </c>
      <c r="J3729" t="s">
        <v>13052</v>
      </c>
      <c r="K3729" t="s">
        <v>17462</v>
      </c>
      <c r="L3729">
        <f>HYPERLINK("https://www2.assemblee-nationale.fr/sycomore/fiche/(num_dept)/7301", "7301")</f>
        <v>0</v>
      </c>
      <c r="N3729">
        <f>HYPERLINK("https://www.wikidata.org/wiki/Q8317532", "Q8317532")</f>
        <v>0</v>
      </c>
      <c r="O3729" t="s">
        <v>20049</v>
      </c>
      <c r="P3729" t="s">
        <v>20431</v>
      </c>
      <c r="Q3729" t="s">
        <v>16199</v>
      </c>
      <c r="R3729" t="s">
        <v>414</v>
      </c>
      <c r="S3729">
        <v>1484</v>
      </c>
    </row>
    <row r="3730" spans="1:19">
      <c r="A3730" t="s">
        <v>24</v>
      </c>
      <c r="B3730" t="s">
        <v>148</v>
      </c>
      <c r="C3730" t="s">
        <v>156</v>
      </c>
      <c r="D3730" t="s">
        <v>285</v>
      </c>
      <c r="E3730" t="s">
        <v>414</v>
      </c>
      <c r="F3730">
        <f>HYPERLINK("https://www.wikidata.org/wiki/Q16683508", "Q16683508")</f>
        <v>0</v>
      </c>
      <c r="G3730" t="s">
        <v>1317</v>
      </c>
      <c r="H3730" t="s">
        <v>6037</v>
      </c>
      <c r="I3730" t="s">
        <v>9747</v>
      </c>
      <c r="J3730" t="s">
        <v>12047</v>
      </c>
      <c r="K3730" t="s">
        <v>16447</v>
      </c>
      <c r="L3730">
        <f>HYPERLINK("https://www2.assemblee-nationale.fr/sycomore/fiche/(num_dept)/7304", "7304")</f>
        <v>0</v>
      </c>
      <c r="N3730">
        <f>HYPERLINK("https://www.wikidata.org/wiki/Q3460596", "Q3460596")</f>
        <v>0</v>
      </c>
      <c r="O3730" t="s">
        <v>19977</v>
      </c>
      <c r="P3730" t="s">
        <v>20404</v>
      </c>
      <c r="Q3730" t="s">
        <v>16199</v>
      </c>
      <c r="R3730" t="s">
        <v>414</v>
      </c>
      <c r="S3730">
        <v>1484</v>
      </c>
    </row>
    <row r="3731" spans="1:19">
      <c r="A3731" t="s">
        <v>24</v>
      </c>
      <c r="B3731" t="s">
        <v>148</v>
      </c>
      <c r="C3731" t="s">
        <v>156</v>
      </c>
      <c r="D3731" t="s">
        <v>285</v>
      </c>
      <c r="E3731" t="s">
        <v>414</v>
      </c>
      <c r="F3731">
        <f>HYPERLINK("https://www.wikidata.org/wiki/Q16683508", "Q16683508")</f>
        <v>0</v>
      </c>
      <c r="G3731" t="s">
        <v>2181</v>
      </c>
      <c r="H3731" t="s">
        <v>6794</v>
      </c>
      <c r="I3731" t="s">
        <v>9458</v>
      </c>
      <c r="J3731" t="s">
        <v>12844</v>
      </c>
      <c r="K3731" t="s">
        <v>17256</v>
      </c>
      <c r="L3731">
        <f>HYPERLINK("https://www2.assemblee-nationale.fr/sycomore/fiche/(num_dept)/7334", "7334")</f>
        <v>0</v>
      </c>
      <c r="N3731">
        <f>HYPERLINK("https://www.wikidata.org/wiki/Q16026589", "Q16026589")</f>
        <v>0</v>
      </c>
      <c r="O3731" t="s">
        <v>19997</v>
      </c>
      <c r="P3731" t="s">
        <v>20428</v>
      </c>
      <c r="Q3731" t="s">
        <v>16199</v>
      </c>
      <c r="R3731" t="s">
        <v>414</v>
      </c>
      <c r="S3731">
        <v>1484</v>
      </c>
    </row>
    <row r="3732" spans="1:19">
      <c r="A3732" t="s">
        <v>24</v>
      </c>
      <c r="B3732" t="s">
        <v>148</v>
      </c>
      <c r="C3732" t="s">
        <v>156</v>
      </c>
      <c r="D3732" t="s">
        <v>285</v>
      </c>
      <c r="E3732" t="s">
        <v>414</v>
      </c>
      <c r="F3732">
        <f>HYPERLINK("https://www.wikidata.org/wiki/Q16683508", "Q16683508")</f>
        <v>0</v>
      </c>
      <c r="G3732" t="s">
        <v>1209</v>
      </c>
      <c r="H3732" t="s">
        <v>5937</v>
      </c>
      <c r="I3732" t="s">
        <v>6166</v>
      </c>
      <c r="J3732" t="s">
        <v>11941</v>
      </c>
      <c r="K3732" t="s">
        <v>16343</v>
      </c>
      <c r="L3732">
        <f>HYPERLINK("https://www2.assemblee-nationale.fr/sycomore/fiche/(num_dept)/7335", "7335")</f>
        <v>0</v>
      </c>
      <c r="M3732">
        <f>HYPERLINK("https://www.senat.fr/senateur-3eme-republique/de_wendel_francois0946r3.html", "de_wendel_francois0946r3")</f>
        <v>0</v>
      </c>
      <c r="N3732">
        <f>HYPERLINK("https://www.wikidata.org/wiki/Q3086338", "Q3086338")</f>
        <v>0</v>
      </c>
      <c r="O3732" t="s">
        <v>20007</v>
      </c>
      <c r="P3732" t="s">
        <v>20414</v>
      </c>
      <c r="Q3732" t="s">
        <v>16199</v>
      </c>
      <c r="R3732" t="s">
        <v>21452</v>
      </c>
      <c r="S3732">
        <v>264</v>
      </c>
    </row>
    <row r="3733" spans="1:19">
      <c r="A3733" t="s">
        <v>24</v>
      </c>
      <c r="B3733" t="s">
        <v>148</v>
      </c>
      <c r="C3733" t="s">
        <v>156</v>
      </c>
      <c r="D3733" t="s">
        <v>285</v>
      </c>
      <c r="E3733" t="s">
        <v>414</v>
      </c>
      <c r="F3733">
        <f>HYPERLINK("https://www.wikidata.org/wiki/Q16683508", "Q16683508")</f>
        <v>0</v>
      </c>
      <c r="G3733" t="s">
        <v>2197</v>
      </c>
      <c r="H3733" t="s">
        <v>5812</v>
      </c>
      <c r="I3733" t="s">
        <v>10112</v>
      </c>
      <c r="J3733" t="s">
        <v>12859</v>
      </c>
      <c r="K3733" t="s">
        <v>17271</v>
      </c>
      <c r="L3733">
        <f>HYPERLINK("https://www2.assemblee-nationale.fr/sycomore/fiche/(num_dept)/7337", "7337")</f>
        <v>0</v>
      </c>
      <c r="N3733">
        <f>HYPERLINK("https://www.wikidata.org/wiki/Q16026615", "Q16026615")</f>
        <v>0</v>
      </c>
      <c r="O3733" t="s">
        <v>20013</v>
      </c>
      <c r="P3733" t="s">
        <v>20412</v>
      </c>
      <c r="Q3733" t="s">
        <v>16199</v>
      </c>
      <c r="R3733" t="s">
        <v>414</v>
      </c>
      <c r="S3733">
        <v>1484</v>
      </c>
    </row>
    <row r="3734" spans="1:19">
      <c r="A3734" t="s">
        <v>24</v>
      </c>
      <c r="B3734" t="s">
        <v>148</v>
      </c>
      <c r="C3734" t="s">
        <v>156</v>
      </c>
      <c r="D3734" t="s">
        <v>285</v>
      </c>
      <c r="E3734" t="s">
        <v>414</v>
      </c>
      <c r="F3734">
        <f>HYPERLINK("https://www.wikidata.org/wiki/Q16683508", "Q16683508")</f>
        <v>0</v>
      </c>
      <c r="G3734" t="s">
        <v>2182</v>
      </c>
      <c r="H3734" t="s">
        <v>5812</v>
      </c>
      <c r="I3734" t="s">
        <v>10108</v>
      </c>
      <c r="J3734" t="s">
        <v>12845</v>
      </c>
      <c r="K3734" t="s">
        <v>17257</v>
      </c>
      <c r="L3734">
        <f>HYPERLINK("https://www2.assemblee-nationale.fr/sycomore/fiche/(num_dept)/7338", "7338")</f>
        <v>0</v>
      </c>
      <c r="N3734">
        <f>HYPERLINK("https://www.wikidata.org/wiki/Q15971879", "Q15971879")</f>
        <v>0</v>
      </c>
      <c r="O3734" t="s">
        <v>19968</v>
      </c>
      <c r="P3734" t="s">
        <v>20440</v>
      </c>
      <c r="Q3734" t="s">
        <v>16199</v>
      </c>
      <c r="R3734" t="s">
        <v>414</v>
      </c>
      <c r="S3734">
        <v>1484</v>
      </c>
    </row>
    <row r="3735" spans="1:19">
      <c r="A3735" t="s">
        <v>24</v>
      </c>
      <c r="B3735" t="s">
        <v>148</v>
      </c>
      <c r="C3735" t="s">
        <v>156</v>
      </c>
      <c r="D3735" t="s">
        <v>285</v>
      </c>
      <c r="E3735" t="s">
        <v>414</v>
      </c>
      <c r="F3735">
        <f>HYPERLINK("https://www.wikidata.org/wiki/Q16683508", "Q16683508")</f>
        <v>0</v>
      </c>
      <c r="G3735" t="s">
        <v>1909</v>
      </c>
      <c r="H3735" t="s">
        <v>6557</v>
      </c>
      <c r="I3735" t="s">
        <v>6175</v>
      </c>
      <c r="J3735" t="s">
        <v>12595</v>
      </c>
      <c r="K3735" t="s">
        <v>17007</v>
      </c>
      <c r="L3735">
        <f>HYPERLINK("https://www2.assemblee-nationale.fr/sycomore/fiche/(num_dept)/7339", "7339")</f>
        <v>0</v>
      </c>
      <c r="N3735">
        <f>HYPERLINK("https://www.wikidata.org/wiki/Q111836", "Q111836")</f>
        <v>0</v>
      </c>
      <c r="O3735" t="s">
        <v>20048</v>
      </c>
      <c r="P3735" t="s">
        <v>20404</v>
      </c>
      <c r="Q3735" t="s">
        <v>16199</v>
      </c>
      <c r="R3735" t="s">
        <v>414</v>
      </c>
      <c r="S3735">
        <v>1484</v>
      </c>
    </row>
    <row r="3736" spans="1:19">
      <c r="A3736" t="s">
        <v>24</v>
      </c>
      <c r="B3736" t="s">
        <v>148</v>
      </c>
      <c r="C3736" t="s">
        <v>156</v>
      </c>
      <c r="D3736" t="s">
        <v>285</v>
      </c>
      <c r="E3736" t="s">
        <v>414</v>
      </c>
      <c r="F3736">
        <f>HYPERLINK("https://www.wikidata.org/wiki/Q16683508", "Q16683508")</f>
        <v>0</v>
      </c>
      <c r="G3736" t="s">
        <v>2183</v>
      </c>
      <c r="H3736" t="s">
        <v>6795</v>
      </c>
      <c r="I3736" t="s">
        <v>9533</v>
      </c>
      <c r="J3736" t="s">
        <v>12846</v>
      </c>
      <c r="K3736" t="s">
        <v>17258</v>
      </c>
      <c r="L3736">
        <f>HYPERLINK("https://www2.assemblee-nationale.fr/sycomore/fiche/(num_dept)/7340", "7340")</f>
        <v>0</v>
      </c>
      <c r="N3736">
        <f>HYPERLINK("https://www.wikidata.org/wiki/Q15987639", "Q15987639")</f>
        <v>0</v>
      </c>
      <c r="O3736" t="s">
        <v>20036</v>
      </c>
      <c r="P3736" t="s">
        <v>20440</v>
      </c>
      <c r="Q3736" t="s">
        <v>16199</v>
      </c>
      <c r="R3736" t="s">
        <v>414</v>
      </c>
      <c r="S3736">
        <v>1484</v>
      </c>
    </row>
    <row r="3737" spans="1:19">
      <c r="A3737" t="s">
        <v>24</v>
      </c>
      <c r="B3737" t="s">
        <v>148</v>
      </c>
      <c r="C3737" t="s">
        <v>156</v>
      </c>
      <c r="D3737" t="s">
        <v>285</v>
      </c>
      <c r="E3737" t="s">
        <v>414</v>
      </c>
      <c r="F3737">
        <f>HYPERLINK("https://www.wikidata.org/wiki/Q16683508", "Q16683508")</f>
        <v>0</v>
      </c>
      <c r="G3737" t="s">
        <v>824</v>
      </c>
      <c r="H3737" t="s">
        <v>5581</v>
      </c>
      <c r="I3737" t="s">
        <v>5349</v>
      </c>
      <c r="J3737" t="s">
        <v>11571</v>
      </c>
      <c r="K3737" t="s">
        <v>15947</v>
      </c>
      <c r="L3737">
        <f>HYPERLINK("https://www2.assemblee-nationale.fr/sycomore/fiche/(num_dept)/7341", "7341")</f>
        <v>0</v>
      </c>
      <c r="N3737">
        <f>HYPERLINK("https://www.wikidata.org/wiki/Q2994900", "Q2994900")</f>
        <v>0</v>
      </c>
      <c r="O3737" t="s">
        <v>20017</v>
      </c>
      <c r="P3737" t="s">
        <v>20438</v>
      </c>
      <c r="Q3737" t="s">
        <v>16199</v>
      </c>
      <c r="R3737" t="s">
        <v>15947</v>
      </c>
      <c r="S3737">
        <v>342</v>
      </c>
    </row>
    <row r="3738" spans="1:19">
      <c r="A3738" t="s">
        <v>24</v>
      </c>
      <c r="B3738" t="s">
        <v>148</v>
      </c>
      <c r="C3738" t="s">
        <v>156</v>
      </c>
      <c r="D3738" t="s">
        <v>285</v>
      </c>
      <c r="E3738" t="s">
        <v>414</v>
      </c>
      <c r="F3738">
        <f>HYPERLINK("https://www.wikidata.org/wiki/Q16683508", "Q16683508")</f>
        <v>0</v>
      </c>
      <c r="G3738" t="s">
        <v>2187</v>
      </c>
      <c r="H3738" t="s">
        <v>6798</v>
      </c>
      <c r="I3738" t="s">
        <v>6200</v>
      </c>
      <c r="J3738" t="s">
        <v>12850</v>
      </c>
      <c r="K3738" t="s">
        <v>17262</v>
      </c>
      <c r="L3738">
        <f>HYPERLINK("https://www2.assemblee-nationale.fr/sycomore/fiche/(num_dept)/7529", "7529")</f>
        <v>0</v>
      </c>
      <c r="N3738">
        <f>HYPERLINK("https://www.wikidata.org/wiki/Q3173048", "Q3173048")</f>
        <v>0</v>
      </c>
      <c r="O3738" t="s">
        <v>19994</v>
      </c>
      <c r="P3738" t="s">
        <v>20404</v>
      </c>
      <c r="Q3738" t="s">
        <v>16199</v>
      </c>
      <c r="R3738" t="s">
        <v>414</v>
      </c>
      <c r="S3738">
        <v>1484</v>
      </c>
    </row>
    <row r="3739" spans="1:19">
      <c r="A3739" t="s">
        <v>24</v>
      </c>
      <c r="B3739" t="s">
        <v>148</v>
      </c>
      <c r="C3739" t="s">
        <v>156</v>
      </c>
      <c r="D3739" t="s">
        <v>285</v>
      </c>
      <c r="E3739" t="s">
        <v>414</v>
      </c>
      <c r="F3739">
        <f>HYPERLINK("https://www.wikidata.org/wiki/Q16683508", "Q16683508")</f>
        <v>0</v>
      </c>
      <c r="G3739" t="s">
        <v>2403</v>
      </c>
      <c r="H3739" t="s">
        <v>5594</v>
      </c>
      <c r="I3739" t="s">
        <v>9875</v>
      </c>
      <c r="J3739" t="s">
        <v>13053</v>
      </c>
      <c r="K3739" t="s">
        <v>17463</v>
      </c>
      <c r="L3739">
        <f>HYPERLINK("https://www2.assemblee-nationale.fr/sycomore/fiche/(num_dept)/7539", "7539")</f>
        <v>0</v>
      </c>
      <c r="N3739">
        <f>HYPERLINK("https://www.wikidata.org/wiki/Q2831320", "Q2831320")</f>
        <v>0</v>
      </c>
      <c r="O3739" t="s">
        <v>20011</v>
      </c>
      <c r="P3739" t="s">
        <v>20428</v>
      </c>
      <c r="Q3739" t="s">
        <v>16199</v>
      </c>
      <c r="R3739" t="s">
        <v>414</v>
      </c>
      <c r="S3739">
        <v>1484</v>
      </c>
    </row>
    <row r="3740" spans="1:19">
      <c r="A3740" t="s">
        <v>24</v>
      </c>
      <c r="B3740" t="s">
        <v>148</v>
      </c>
      <c r="C3740" t="s">
        <v>156</v>
      </c>
      <c r="D3740" t="s">
        <v>285</v>
      </c>
      <c r="E3740" t="s">
        <v>414</v>
      </c>
      <c r="F3740">
        <f>HYPERLINK("https://www.wikidata.org/wiki/Q16683508", "Q16683508")</f>
        <v>0</v>
      </c>
      <c r="G3740" t="s">
        <v>1682</v>
      </c>
      <c r="H3740" t="s">
        <v>6361</v>
      </c>
      <c r="I3740" t="s">
        <v>9883</v>
      </c>
      <c r="J3740" t="s">
        <v>12386</v>
      </c>
      <c r="K3740" t="s">
        <v>16796</v>
      </c>
      <c r="L3740">
        <f>HYPERLINK("https://www2.assemblee-nationale.fr/sycomore/fiche/(num_dept)/7559", "7559")</f>
        <v>0</v>
      </c>
      <c r="N3740">
        <f>HYPERLINK("https://www.wikidata.org/wiki/Q13080919", "Q13080919")</f>
        <v>0</v>
      </c>
      <c r="O3740" t="s">
        <v>19969</v>
      </c>
      <c r="P3740" t="s">
        <v>20414</v>
      </c>
      <c r="Q3740" t="s">
        <v>16199</v>
      </c>
      <c r="R3740" t="s">
        <v>16796</v>
      </c>
      <c r="S3740">
        <v>1402</v>
      </c>
    </row>
    <row r="3741" spans="1:19">
      <c r="A3741" t="s">
        <v>24</v>
      </c>
      <c r="B3741" t="s">
        <v>148</v>
      </c>
      <c r="C3741" t="s">
        <v>156</v>
      </c>
      <c r="D3741" t="s">
        <v>285</v>
      </c>
      <c r="E3741" t="s">
        <v>414</v>
      </c>
      <c r="F3741">
        <f>HYPERLINK("https://www.wikidata.org/wiki/Q16683508", "Q16683508")</f>
        <v>0</v>
      </c>
      <c r="G3741" t="s">
        <v>2404</v>
      </c>
      <c r="H3741" t="s">
        <v>6980</v>
      </c>
      <c r="I3741" t="s">
        <v>10123</v>
      </c>
      <c r="J3741" t="s">
        <v>13054</v>
      </c>
      <c r="K3741" t="s">
        <v>17464</v>
      </c>
      <c r="L3741">
        <f>HYPERLINK("https://www2.assemblee-nationale.fr/sycomore/fiche/(num_dept)/7579", "7579")</f>
        <v>0</v>
      </c>
      <c r="N3741">
        <f>HYPERLINK("https://www.wikidata.org/wiki/Q3573773", "Q3573773")</f>
        <v>0</v>
      </c>
      <c r="O3741" t="s">
        <v>19964</v>
      </c>
      <c r="P3741" t="s">
        <v>20428</v>
      </c>
      <c r="Q3741" t="s">
        <v>16199</v>
      </c>
      <c r="R3741" t="s">
        <v>414</v>
      </c>
      <c r="S3741">
        <v>1484</v>
      </c>
    </row>
    <row r="3742" spans="1:19">
      <c r="A3742" t="s">
        <v>24</v>
      </c>
      <c r="B3742" t="s">
        <v>148</v>
      </c>
      <c r="C3742" t="s">
        <v>156</v>
      </c>
      <c r="D3742" t="s">
        <v>285</v>
      </c>
      <c r="E3742" t="s">
        <v>414</v>
      </c>
      <c r="F3742">
        <f>HYPERLINK("https://www.wikidata.org/wiki/Q16683508", "Q16683508")</f>
        <v>0</v>
      </c>
      <c r="G3742" t="s">
        <v>1656</v>
      </c>
      <c r="H3742" t="s">
        <v>6339</v>
      </c>
      <c r="I3742" t="s">
        <v>9874</v>
      </c>
      <c r="J3742" t="s">
        <v>12363</v>
      </c>
      <c r="K3742" t="s">
        <v>16770</v>
      </c>
      <c r="L3742">
        <f>HYPERLINK("https://www2.assemblee-nationale.fr/sycomore/fiche/(num_dept)/7600", "7600")</f>
        <v>0</v>
      </c>
      <c r="N3742">
        <f>HYPERLINK("https://www.wikidata.org/wiki/Q3132907", "Q3132907")</f>
        <v>0</v>
      </c>
      <c r="O3742" t="s">
        <v>19992</v>
      </c>
      <c r="P3742" t="s">
        <v>20437</v>
      </c>
      <c r="Q3742" t="s">
        <v>16199</v>
      </c>
      <c r="R3742" t="s">
        <v>16770</v>
      </c>
      <c r="S3742">
        <v>787</v>
      </c>
    </row>
    <row r="3743" spans="1:19">
      <c r="A3743" t="s">
        <v>24</v>
      </c>
      <c r="B3743" t="s">
        <v>148</v>
      </c>
      <c r="C3743" t="s">
        <v>156</v>
      </c>
      <c r="D3743" t="s">
        <v>285</v>
      </c>
      <c r="E3743" t="s">
        <v>414</v>
      </c>
      <c r="F3743">
        <f>HYPERLINK("https://www.wikidata.org/wiki/Q16683508", "Q16683508")</f>
        <v>0</v>
      </c>
      <c r="G3743" t="s">
        <v>1976</v>
      </c>
      <c r="H3743" t="s">
        <v>6614</v>
      </c>
      <c r="I3743" t="s">
        <v>10025</v>
      </c>
      <c r="J3743" t="s">
        <v>12657</v>
      </c>
      <c r="K3743" t="s">
        <v>17067</v>
      </c>
      <c r="L3743">
        <f>HYPERLINK("https://www2.assemblee-nationale.fr/sycomore/fiche/(num_dept)/7633", "7633")</f>
        <v>0</v>
      </c>
      <c r="N3743">
        <f>HYPERLINK("https://www.wikidata.org/wiki/Q3131451", "Q3131451")</f>
        <v>0</v>
      </c>
      <c r="O3743" t="s">
        <v>19964</v>
      </c>
      <c r="P3743" t="s">
        <v>20401</v>
      </c>
      <c r="Q3743" t="s">
        <v>16199</v>
      </c>
      <c r="R3743" t="s">
        <v>414</v>
      </c>
      <c r="S3743">
        <v>1484</v>
      </c>
    </row>
    <row r="3744" spans="1:19">
      <c r="A3744" t="s">
        <v>24</v>
      </c>
      <c r="B3744" t="s">
        <v>148</v>
      </c>
      <c r="C3744" t="s">
        <v>156</v>
      </c>
      <c r="D3744" t="s">
        <v>285</v>
      </c>
      <c r="E3744" t="s">
        <v>414</v>
      </c>
      <c r="F3744">
        <f>HYPERLINK("https://www.wikidata.org/wiki/Q16683508", "Q16683508")</f>
        <v>0</v>
      </c>
      <c r="G3744" t="s">
        <v>2405</v>
      </c>
      <c r="H3744" t="s">
        <v>6981</v>
      </c>
      <c r="I3744" t="s">
        <v>10200</v>
      </c>
      <c r="J3744" t="s">
        <v>13055</v>
      </c>
      <c r="K3744" t="s">
        <v>17465</v>
      </c>
      <c r="L3744">
        <f>HYPERLINK("https://www2.assemblee-nationale.fr/sycomore/fiche/(num_dept)/7639", "7639")</f>
        <v>0</v>
      </c>
      <c r="N3744">
        <f>HYPERLINK("https://www.wikidata.org/wiki/Q3262491", "Q3262491")</f>
        <v>0</v>
      </c>
      <c r="O3744" t="s">
        <v>20012</v>
      </c>
      <c r="P3744" t="s">
        <v>20436</v>
      </c>
      <c r="Q3744" t="s">
        <v>16199</v>
      </c>
      <c r="R3744" t="s">
        <v>414</v>
      </c>
      <c r="S3744">
        <v>1484</v>
      </c>
    </row>
    <row r="3745" spans="1:19">
      <c r="A3745" t="s">
        <v>24</v>
      </c>
      <c r="B3745" t="s">
        <v>148</v>
      </c>
      <c r="C3745" t="s">
        <v>156</v>
      </c>
      <c r="D3745" t="s">
        <v>285</v>
      </c>
      <c r="E3745" t="s">
        <v>414</v>
      </c>
      <c r="F3745">
        <f>HYPERLINK("https://www.wikidata.org/wiki/Q16683508", "Q16683508")</f>
        <v>0</v>
      </c>
      <c r="G3745" t="s">
        <v>2189</v>
      </c>
      <c r="H3745" t="s">
        <v>6800</v>
      </c>
      <c r="I3745" t="s">
        <v>9476</v>
      </c>
      <c r="J3745" t="s">
        <v>12852</v>
      </c>
      <c r="K3745" t="s">
        <v>17264</v>
      </c>
      <c r="L3745">
        <f>HYPERLINK("https://www2.assemblee-nationale.fr/sycomore/fiche/(num_dept)/7651", "7651")</f>
        <v>0</v>
      </c>
      <c r="N3745">
        <f>HYPERLINK("https://www.wikidata.org/wiki/Q3426502", "Q3426502")</f>
        <v>0</v>
      </c>
      <c r="O3745" t="s">
        <v>19978</v>
      </c>
      <c r="P3745" t="s">
        <v>20436</v>
      </c>
      <c r="Q3745" t="s">
        <v>16199</v>
      </c>
      <c r="R3745" t="s">
        <v>414</v>
      </c>
      <c r="S3745">
        <v>1484</v>
      </c>
    </row>
    <row r="3746" spans="1:19">
      <c r="A3746" t="s">
        <v>24</v>
      </c>
      <c r="B3746" t="s">
        <v>148</v>
      </c>
      <c r="C3746" t="s">
        <v>156</v>
      </c>
      <c r="D3746" t="s">
        <v>285</v>
      </c>
      <c r="E3746" t="s">
        <v>414</v>
      </c>
      <c r="F3746">
        <f>HYPERLINK("https://www.wikidata.org/wiki/Q16683508", "Q16683508")</f>
        <v>0</v>
      </c>
      <c r="G3746" t="s">
        <v>847</v>
      </c>
      <c r="H3746" t="s">
        <v>5604</v>
      </c>
      <c r="I3746" t="s">
        <v>9455</v>
      </c>
      <c r="J3746" t="s">
        <v>11576</v>
      </c>
      <c r="K3746" t="s">
        <v>15995</v>
      </c>
      <c r="L3746">
        <f>HYPERLINK("https://www2.assemblee-nationale.fr/sycomore/fiche/(num_dept)/7664", "7664")</f>
        <v>0</v>
      </c>
      <c r="N3746">
        <f>HYPERLINK("https://www.wikidata.org/wiki/Q3265604", "Q3265604")</f>
        <v>0</v>
      </c>
      <c r="O3746" t="s">
        <v>20012</v>
      </c>
      <c r="P3746" t="s">
        <v>20439</v>
      </c>
      <c r="Q3746" t="s">
        <v>16199</v>
      </c>
      <c r="R3746" t="s">
        <v>414</v>
      </c>
      <c r="S3746">
        <v>1484</v>
      </c>
    </row>
    <row r="3747" spans="1:19">
      <c r="A3747" t="s">
        <v>24</v>
      </c>
      <c r="B3747" t="s">
        <v>148</v>
      </c>
      <c r="C3747" t="s">
        <v>156</v>
      </c>
      <c r="D3747" t="s">
        <v>285</v>
      </c>
      <c r="E3747" t="s">
        <v>414</v>
      </c>
      <c r="F3747">
        <f>HYPERLINK("https://www.wikidata.org/wiki/Q16683508", "Q16683508")</f>
        <v>0</v>
      </c>
      <c r="G3747" t="s">
        <v>2212</v>
      </c>
      <c r="H3747" t="s">
        <v>6821</v>
      </c>
      <c r="I3747" t="s">
        <v>9376</v>
      </c>
      <c r="J3747" t="s">
        <v>12873</v>
      </c>
      <c r="K3747" t="s">
        <v>17285</v>
      </c>
      <c r="L3747">
        <f>HYPERLINK("https://www2.assemblee-nationale.fr/sycomore/fiche/(num_dept)/7676", "7676")</f>
        <v>0</v>
      </c>
      <c r="N3747">
        <f>HYPERLINK("https://www.wikidata.org/wiki/Q3068611", "Q3068611")</f>
        <v>0</v>
      </c>
      <c r="O3747" t="s">
        <v>19959</v>
      </c>
      <c r="P3747" t="s">
        <v>20428</v>
      </c>
      <c r="Q3747" t="s">
        <v>16199</v>
      </c>
      <c r="R3747" t="s">
        <v>414</v>
      </c>
      <c r="S3747">
        <v>1484</v>
      </c>
    </row>
    <row r="3748" spans="1:19">
      <c r="A3748" t="s">
        <v>24</v>
      </c>
      <c r="B3748" t="s">
        <v>148</v>
      </c>
      <c r="C3748" t="s">
        <v>156</v>
      </c>
      <c r="D3748" t="s">
        <v>285</v>
      </c>
      <c r="E3748" t="s">
        <v>414</v>
      </c>
      <c r="F3748">
        <f>HYPERLINK("https://www.wikidata.org/wiki/Q16683508", "Q16683508")</f>
        <v>0</v>
      </c>
      <c r="G3748" t="s">
        <v>1936</v>
      </c>
      <c r="H3748" t="s">
        <v>6582</v>
      </c>
      <c r="I3748" t="s">
        <v>6495</v>
      </c>
      <c r="J3748" t="s">
        <v>12620</v>
      </c>
      <c r="K3748" t="s">
        <v>17032</v>
      </c>
      <c r="L3748">
        <f>HYPERLINK("https://www2.assemblee-nationale.fr/sycomore/fiche/(num_dept)/7733", "7733")</f>
        <v>0</v>
      </c>
      <c r="N3748">
        <f>HYPERLINK("https://www.wikidata.org/wiki/Q16025980", "Q16025980")</f>
        <v>0</v>
      </c>
      <c r="O3748" t="s">
        <v>19956</v>
      </c>
      <c r="P3748" t="s">
        <v>20438</v>
      </c>
      <c r="Q3748" t="s">
        <v>16199</v>
      </c>
      <c r="R3748" t="s">
        <v>414</v>
      </c>
      <c r="S3748">
        <v>1484</v>
      </c>
    </row>
    <row r="3749" spans="1:19">
      <c r="A3749" t="s">
        <v>24</v>
      </c>
      <c r="B3749" t="s">
        <v>148</v>
      </c>
      <c r="C3749" t="s">
        <v>156</v>
      </c>
      <c r="D3749" t="s">
        <v>285</v>
      </c>
      <c r="E3749" t="s">
        <v>414</v>
      </c>
      <c r="F3749">
        <f>HYPERLINK("https://www.wikidata.org/wiki/Q16683508", "Q16683508")</f>
        <v>0</v>
      </c>
      <c r="G3749" t="s">
        <v>2406</v>
      </c>
      <c r="H3749" t="s">
        <v>6982</v>
      </c>
      <c r="I3749" t="s">
        <v>10201</v>
      </c>
      <c r="J3749" t="s">
        <v>13056</v>
      </c>
      <c r="K3749" t="s">
        <v>17466</v>
      </c>
      <c r="L3749">
        <f>HYPERLINK("https://www2.assemblee-nationale.fr/sycomore/fiche/(num_dept)/7761", "7761")</f>
        <v>0</v>
      </c>
      <c r="N3749">
        <f>HYPERLINK("https://www.wikidata.org/wiki/Q16025984", "Q16025984")</f>
        <v>0</v>
      </c>
      <c r="O3749" t="s">
        <v>20015</v>
      </c>
      <c r="P3749" t="s">
        <v>20436</v>
      </c>
      <c r="Q3749" t="s">
        <v>16199</v>
      </c>
      <c r="R3749" t="s">
        <v>414</v>
      </c>
      <c r="S3749">
        <v>1484</v>
      </c>
    </row>
    <row r="3750" spans="1:19">
      <c r="A3750" t="s">
        <v>24</v>
      </c>
      <c r="B3750" t="s">
        <v>148</v>
      </c>
      <c r="C3750" t="s">
        <v>156</v>
      </c>
      <c r="D3750" t="s">
        <v>285</v>
      </c>
      <c r="E3750" t="s">
        <v>414</v>
      </c>
      <c r="F3750">
        <f>HYPERLINK("https://www.wikidata.org/wiki/Q16683508", "Q16683508")</f>
        <v>0</v>
      </c>
      <c r="G3750" t="s">
        <v>1129</v>
      </c>
      <c r="H3750" t="s">
        <v>5611</v>
      </c>
      <c r="I3750" t="s">
        <v>6200</v>
      </c>
      <c r="J3750" t="s">
        <v>11863</v>
      </c>
      <c r="K3750" t="s">
        <v>16265</v>
      </c>
      <c r="L3750">
        <f>HYPERLINK("https://www2.assemblee-nationale.fr/sycomore/fiche/(num_dept)/7790", "7790")</f>
        <v>0</v>
      </c>
      <c r="N3750">
        <f>HYPERLINK("https://www.wikidata.org/wiki/Q13080902", "Q13080902")</f>
        <v>0</v>
      </c>
      <c r="O3750" t="s">
        <v>19969</v>
      </c>
      <c r="P3750" t="s">
        <v>20441</v>
      </c>
      <c r="Q3750" t="s">
        <v>16199</v>
      </c>
      <c r="R3750" t="s">
        <v>414</v>
      </c>
      <c r="S3750">
        <v>1484</v>
      </c>
    </row>
    <row r="3751" spans="1:19">
      <c r="A3751" t="s">
        <v>24</v>
      </c>
      <c r="B3751" t="s">
        <v>148</v>
      </c>
      <c r="C3751" t="s">
        <v>156</v>
      </c>
      <c r="D3751" t="s">
        <v>285</v>
      </c>
      <c r="E3751" t="s">
        <v>414</v>
      </c>
      <c r="F3751">
        <f>HYPERLINK("https://www.wikidata.org/wiki/Q16683508", "Q16683508")</f>
        <v>0</v>
      </c>
      <c r="G3751" t="s">
        <v>2192</v>
      </c>
      <c r="H3751" t="s">
        <v>6803</v>
      </c>
      <c r="I3751" t="s">
        <v>9421</v>
      </c>
      <c r="J3751" t="s">
        <v>12855</v>
      </c>
      <c r="K3751" t="s">
        <v>17267</v>
      </c>
      <c r="L3751">
        <f>HYPERLINK("https://www2.assemblee-nationale.fr/sycomore/fiche/(num_dept)/7810", "7810")</f>
        <v>0</v>
      </c>
      <c r="N3751">
        <f>HYPERLINK("https://www.wikidata.org/wiki/Q13080882", "Q13080882")</f>
        <v>0</v>
      </c>
      <c r="O3751" t="s">
        <v>19969</v>
      </c>
      <c r="P3751" t="s">
        <v>20442</v>
      </c>
      <c r="Q3751" t="s">
        <v>16199</v>
      </c>
      <c r="R3751" t="s">
        <v>414</v>
      </c>
      <c r="S3751">
        <v>1484</v>
      </c>
    </row>
    <row r="3752" spans="1:19">
      <c r="A3752" t="s">
        <v>24</v>
      </c>
      <c r="B3752" t="s">
        <v>148</v>
      </c>
      <c r="C3752" t="s">
        <v>156</v>
      </c>
      <c r="D3752" t="s">
        <v>285</v>
      </c>
      <c r="E3752" t="s">
        <v>414</v>
      </c>
      <c r="F3752">
        <f>HYPERLINK("https://www.wikidata.org/wiki/Q16683508", "Q16683508")</f>
        <v>0</v>
      </c>
      <c r="G3752" t="s">
        <v>2407</v>
      </c>
      <c r="H3752" t="s">
        <v>6983</v>
      </c>
      <c r="I3752" t="s">
        <v>6585</v>
      </c>
      <c r="J3752" t="s">
        <v>13057</v>
      </c>
      <c r="K3752" t="s">
        <v>17467</v>
      </c>
      <c r="L3752">
        <f>HYPERLINK("https://www2.assemblee-nationale.fr/sycomore/fiche/(num_dept)/7846", "7846")</f>
        <v>0</v>
      </c>
      <c r="N3752">
        <f>HYPERLINK("https://www.wikidata.org/wiki/Q2848169", "Q2848169")</f>
        <v>0</v>
      </c>
      <c r="O3752" t="s">
        <v>20036</v>
      </c>
      <c r="P3752" t="s">
        <v>20428</v>
      </c>
      <c r="Q3752" t="s">
        <v>16199</v>
      </c>
      <c r="R3752" t="s">
        <v>414</v>
      </c>
      <c r="S3752">
        <v>1484</v>
      </c>
    </row>
    <row r="3753" spans="1:19">
      <c r="A3753" t="s">
        <v>24</v>
      </c>
      <c r="B3753" t="s">
        <v>148</v>
      </c>
      <c r="C3753" t="s">
        <v>156</v>
      </c>
      <c r="D3753" t="s">
        <v>285</v>
      </c>
      <c r="E3753" t="s">
        <v>414</v>
      </c>
      <c r="F3753">
        <f>HYPERLINK("https://www.wikidata.org/wiki/Q16683508", "Q16683508")</f>
        <v>0</v>
      </c>
      <c r="G3753" t="s">
        <v>1332</v>
      </c>
      <c r="H3753" t="s">
        <v>6051</v>
      </c>
      <c r="I3753" t="s">
        <v>6200</v>
      </c>
      <c r="J3753" t="s">
        <v>12059</v>
      </c>
      <c r="K3753" t="s">
        <v>16461</v>
      </c>
      <c r="L3753">
        <f>HYPERLINK("https://www2.assemblee-nationale.fr/sycomore/fiche/(num_dept)/7888", "7888")</f>
        <v>0</v>
      </c>
      <c r="N3753">
        <f>HYPERLINK("https://www.wikidata.org/wiki/Q465386", "Q465386")</f>
        <v>0</v>
      </c>
      <c r="O3753" t="s">
        <v>19969</v>
      </c>
      <c r="P3753" t="s">
        <v>20404</v>
      </c>
      <c r="Q3753" t="s">
        <v>16199</v>
      </c>
      <c r="R3753" t="s">
        <v>414</v>
      </c>
      <c r="S3753">
        <v>1484</v>
      </c>
    </row>
    <row r="3754" spans="1:19">
      <c r="A3754" t="s">
        <v>24</v>
      </c>
      <c r="B3754" t="s">
        <v>148</v>
      </c>
      <c r="C3754" t="s">
        <v>156</v>
      </c>
      <c r="D3754" t="s">
        <v>285</v>
      </c>
      <c r="E3754" t="s">
        <v>414</v>
      </c>
      <c r="F3754">
        <f>HYPERLINK("https://www.wikidata.org/wiki/Q16683508", "Q16683508")</f>
        <v>0</v>
      </c>
      <c r="G3754" t="s">
        <v>1715</v>
      </c>
      <c r="H3754" t="s">
        <v>6390</v>
      </c>
      <c r="I3754" t="s">
        <v>9641</v>
      </c>
      <c r="J3754" t="s">
        <v>12417</v>
      </c>
      <c r="K3754" t="s">
        <v>16825</v>
      </c>
      <c r="L3754">
        <f>HYPERLINK("https://www2.assemblee-nationale.fr/sycomore/fiche/(num_dept)/606", "606")</f>
        <v>0</v>
      </c>
      <c r="N3754">
        <f>HYPERLINK("https://www.wikidata.org/wiki/Q2934853", "Q2934853")</f>
        <v>0</v>
      </c>
      <c r="O3754" t="s">
        <v>19979</v>
      </c>
      <c r="P3754" t="s">
        <v>20404</v>
      </c>
      <c r="Q3754" t="s">
        <v>20621</v>
      </c>
      <c r="R3754" t="s">
        <v>414</v>
      </c>
      <c r="S3754">
        <v>1482</v>
      </c>
    </row>
    <row r="3755" spans="1:19">
      <c r="A3755" t="s">
        <v>24</v>
      </c>
      <c r="B3755" t="s">
        <v>148</v>
      </c>
      <c r="C3755" t="s">
        <v>156</v>
      </c>
      <c r="D3755" t="s">
        <v>285</v>
      </c>
      <c r="E3755" t="s">
        <v>414</v>
      </c>
      <c r="F3755">
        <f>HYPERLINK("https://www.wikidata.org/wiki/Q16683508", "Q16683508")</f>
        <v>0</v>
      </c>
      <c r="G3755" t="s">
        <v>1741</v>
      </c>
      <c r="H3755" t="s">
        <v>5650</v>
      </c>
      <c r="I3755" t="s">
        <v>9921</v>
      </c>
      <c r="J3755" t="s">
        <v>12442</v>
      </c>
      <c r="K3755" t="s">
        <v>16849</v>
      </c>
      <c r="L3755">
        <f>HYPERLINK("https://www2.assemblee-nationale.fr/sycomore/fiche/(num_dept)/1283", "1283")</f>
        <v>0</v>
      </c>
      <c r="N3755">
        <f>HYPERLINK("https://www.wikidata.org/wiki/Q2871093", "Q2871093")</f>
        <v>0</v>
      </c>
      <c r="O3755" t="s">
        <v>19963</v>
      </c>
      <c r="P3755" t="s">
        <v>20431</v>
      </c>
      <c r="Q3755" t="s">
        <v>16089</v>
      </c>
      <c r="R3755" t="s">
        <v>414</v>
      </c>
      <c r="S3755">
        <v>1477</v>
      </c>
    </row>
    <row r="3756" spans="1:19">
      <c r="A3756" t="s">
        <v>24</v>
      </c>
      <c r="B3756" t="s">
        <v>148</v>
      </c>
      <c r="C3756" t="s">
        <v>156</v>
      </c>
      <c r="D3756" t="s">
        <v>285</v>
      </c>
      <c r="E3756" t="s">
        <v>414</v>
      </c>
      <c r="F3756">
        <f>HYPERLINK("https://www.wikidata.org/wiki/Q16683508", "Q16683508")</f>
        <v>0</v>
      </c>
      <c r="G3756" t="s">
        <v>656</v>
      </c>
      <c r="H3756" t="s">
        <v>5415</v>
      </c>
      <c r="I3756" t="s">
        <v>9471</v>
      </c>
      <c r="J3756" t="s">
        <v>11406</v>
      </c>
      <c r="K3756" t="s">
        <v>15808</v>
      </c>
      <c r="L3756">
        <f>HYPERLINK("https://www2.assemblee-nationale.fr/sycomore/fiche/(num_dept)/3276", "3276")</f>
        <v>0</v>
      </c>
      <c r="N3756">
        <f>HYPERLINK("https://www.wikidata.org/wiki/Q3265516", "Q3265516")</f>
        <v>0</v>
      </c>
      <c r="O3756" t="s">
        <v>19963</v>
      </c>
      <c r="P3756" t="s">
        <v>20431</v>
      </c>
      <c r="Q3756" t="s">
        <v>16089</v>
      </c>
      <c r="R3756" t="s">
        <v>414</v>
      </c>
      <c r="S3756">
        <v>1477</v>
      </c>
    </row>
    <row r="3757" spans="1:19">
      <c r="A3757" t="s">
        <v>24</v>
      </c>
      <c r="B3757" t="s">
        <v>148</v>
      </c>
      <c r="C3757" t="s">
        <v>156</v>
      </c>
      <c r="D3757" t="s">
        <v>285</v>
      </c>
      <c r="E3757" t="s">
        <v>414</v>
      </c>
      <c r="F3757">
        <f>HYPERLINK("https://www.wikidata.org/wiki/Q16683508", "Q16683508")</f>
        <v>0</v>
      </c>
      <c r="G3757" t="s">
        <v>2408</v>
      </c>
      <c r="H3757" t="s">
        <v>6984</v>
      </c>
      <c r="I3757" t="s">
        <v>9407</v>
      </c>
      <c r="J3757" t="s">
        <v>13058</v>
      </c>
      <c r="K3757" t="s">
        <v>17468</v>
      </c>
      <c r="L3757">
        <f>HYPERLINK("https://www2.assemblee-nationale.fr/sycomore/fiche/(num_dept)/6391", "6391")</f>
        <v>0</v>
      </c>
      <c r="N3757">
        <f>HYPERLINK("https://www.wikidata.org/wiki/Q3185630", "Q3185630")</f>
        <v>0</v>
      </c>
      <c r="O3757" t="s">
        <v>20000</v>
      </c>
      <c r="P3757" t="s">
        <v>20401</v>
      </c>
      <c r="Q3757" t="s">
        <v>20622</v>
      </c>
      <c r="R3757" t="s">
        <v>414</v>
      </c>
      <c r="S3757">
        <v>1435</v>
      </c>
    </row>
    <row r="3758" spans="1:19">
      <c r="A3758" t="s">
        <v>24</v>
      </c>
      <c r="B3758" t="s">
        <v>148</v>
      </c>
      <c r="C3758" t="s">
        <v>156</v>
      </c>
      <c r="D3758" t="s">
        <v>285</v>
      </c>
      <c r="E3758" t="s">
        <v>414</v>
      </c>
      <c r="F3758">
        <f>HYPERLINK("https://www.wikidata.org/wiki/Q16683508", "Q16683508")</f>
        <v>0</v>
      </c>
      <c r="G3758" t="s">
        <v>1739</v>
      </c>
      <c r="H3758" t="s">
        <v>6411</v>
      </c>
      <c r="I3758" t="s">
        <v>9920</v>
      </c>
      <c r="J3758" t="s">
        <v>12440</v>
      </c>
      <c r="K3758" t="s">
        <v>16710</v>
      </c>
      <c r="L3758">
        <f>HYPERLINK("https://www2.assemblee-nationale.fr/sycomore/fiche/(num_dept)/1243", "1243")</f>
        <v>0</v>
      </c>
      <c r="N3758">
        <f>HYPERLINK("https://www.wikidata.org/wiki/Q2857109", "Q2857109")</f>
        <v>0</v>
      </c>
      <c r="O3758" t="s">
        <v>20006</v>
      </c>
      <c r="P3758" t="s">
        <v>20420</v>
      </c>
      <c r="Q3758" t="s">
        <v>20623</v>
      </c>
      <c r="R3758" t="s">
        <v>414</v>
      </c>
      <c r="S3758">
        <v>1288</v>
      </c>
    </row>
    <row r="3759" spans="1:19">
      <c r="A3759" t="s">
        <v>24</v>
      </c>
      <c r="B3759" t="s">
        <v>148</v>
      </c>
      <c r="C3759" t="s">
        <v>156</v>
      </c>
      <c r="D3759" t="s">
        <v>285</v>
      </c>
      <c r="E3759" t="s">
        <v>414</v>
      </c>
      <c r="F3759">
        <f>HYPERLINK("https://www.wikidata.org/wiki/Q16683508", "Q16683508")</f>
        <v>0</v>
      </c>
      <c r="G3759" t="s">
        <v>1639</v>
      </c>
      <c r="H3759" t="s">
        <v>6324</v>
      </c>
      <c r="I3759" t="s">
        <v>9449</v>
      </c>
      <c r="J3759" t="s">
        <v>12346</v>
      </c>
      <c r="K3759" t="s">
        <v>16753</v>
      </c>
      <c r="L3759">
        <f>HYPERLINK("https://www2.assemblee-nationale.fr/sycomore/fiche/(num_dept)/7184", "7184")</f>
        <v>0</v>
      </c>
      <c r="N3759">
        <f>HYPERLINK("https://www.wikidata.org/wiki/Q3188949", "Q3188949")</f>
        <v>0</v>
      </c>
      <c r="O3759" t="s">
        <v>19989</v>
      </c>
      <c r="P3759" t="s">
        <v>20404</v>
      </c>
      <c r="Q3759" t="s">
        <v>19585</v>
      </c>
      <c r="R3759" t="s">
        <v>16753</v>
      </c>
      <c r="S3759">
        <v>1117</v>
      </c>
    </row>
    <row r="3760" spans="1:19">
      <c r="A3760" t="s">
        <v>24</v>
      </c>
      <c r="B3760" t="s">
        <v>148</v>
      </c>
      <c r="C3760" t="s">
        <v>156</v>
      </c>
      <c r="D3760" t="s">
        <v>285</v>
      </c>
      <c r="E3760" t="s">
        <v>414</v>
      </c>
      <c r="F3760">
        <f>HYPERLINK("https://www.wikidata.org/wiki/Q16683508", "Q16683508")</f>
        <v>0</v>
      </c>
      <c r="G3760" t="s">
        <v>2409</v>
      </c>
      <c r="H3760" t="s">
        <v>6985</v>
      </c>
      <c r="I3760" t="s">
        <v>10202</v>
      </c>
      <c r="J3760" t="s">
        <v>13059</v>
      </c>
      <c r="K3760" t="s">
        <v>17469</v>
      </c>
      <c r="L3760">
        <f>HYPERLINK("https://www2.assemblee-nationale.fr/sycomore/fiche/(num_dept)/3115", "3115")</f>
        <v>0</v>
      </c>
      <c r="N3760">
        <f>HYPERLINK("https://www.wikidata.org/wiki/Q3057229", "Q3057229")</f>
        <v>0</v>
      </c>
      <c r="O3760" t="s">
        <v>20004</v>
      </c>
      <c r="P3760" t="s">
        <v>20414</v>
      </c>
      <c r="Q3760" t="s">
        <v>20624</v>
      </c>
      <c r="R3760" t="s">
        <v>414</v>
      </c>
      <c r="S3760">
        <v>1155</v>
      </c>
    </row>
    <row r="3761" spans="1:19">
      <c r="A3761" t="s">
        <v>24</v>
      </c>
      <c r="B3761" t="s">
        <v>148</v>
      </c>
      <c r="C3761" t="s">
        <v>156</v>
      </c>
      <c r="D3761" t="s">
        <v>285</v>
      </c>
      <c r="E3761" t="s">
        <v>414</v>
      </c>
      <c r="F3761">
        <f>HYPERLINK("https://www.wikidata.org/wiki/Q16683508", "Q16683508")</f>
        <v>0</v>
      </c>
      <c r="G3761" t="s">
        <v>2410</v>
      </c>
      <c r="H3761" t="s">
        <v>6986</v>
      </c>
      <c r="I3761" t="s">
        <v>9455</v>
      </c>
      <c r="J3761" t="s">
        <v>13060</v>
      </c>
      <c r="K3761" t="s">
        <v>17470</v>
      </c>
      <c r="L3761">
        <f>HYPERLINK("https://www2.assemblee-nationale.fr/sycomore/fiche/(num_dept)/3342", "3342")</f>
        <v>0</v>
      </c>
      <c r="N3761">
        <f>HYPERLINK("https://www.wikidata.org/wiki/Q3265538", "Q3265538")</f>
        <v>0</v>
      </c>
      <c r="O3761" t="s">
        <v>20050</v>
      </c>
      <c r="P3761" t="s">
        <v>20414</v>
      </c>
      <c r="Q3761" t="s">
        <v>20624</v>
      </c>
      <c r="R3761" t="s">
        <v>414</v>
      </c>
      <c r="S3761">
        <v>1155</v>
      </c>
    </row>
    <row r="3762" spans="1:19">
      <c r="A3762" t="s">
        <v>24</v>
      </c>
      <c r="B3762" t="s">
        <v>148</v>
      </c>
      <c r="C3762" t="s">
        <v>156</v>
      </c>
      <c r="D3762" t="s">
        <v>285</v>
      </c>
      <c r="E3762" t="s">
        <v>414</v>
      </c>
      <c r="F3762">
        <f>HYPERLINK("https://www.wikidata.org/wiki/Q16683508", "Q16683508")</f>
        <v>0</v>
      </c>
      <c r="G3762" t="s">
        <v>2411</v>
      </c>
      <c r="H3762" t="s">
        <v>6020</v>
      </c>
      <c r="I3762" t="s">
        <v>7265</v>
      </c>
      <c r="J3762" t="s">
        <v>13061</v>
      </c>
      <c r="K3762" t="s">
        <v>17471</v>
      </c>
      <c r="L3762">
        <f>HYPERLINK("https://www2.assemblee-nationale.fr/sycomore/fiche/(num_dept)/6400", "6400")</f>
        <v>0</v>
      </c>
      <c r="N3762">
        <f>HYPERLINK("https://www.wikidata.org/wiki/Q2327528", "Q2327528")</f>
        <v>0</v>
      </c>
      <c r="O3762" t="s">
        <v>20007</v>
      </c>
      <c r="P3762" t="s">
        <v>20431</v>
      </c>
      <c r="Q3762" t="s">
        <v>20624</v>
      </c>
      <c r="R3762" t="s">
        <v>414</v>
      </c>
      <c r="S3762">
        <v>1155</v>
      </c>
    </row>
    <row r="3763" spans="1:19">
      <c r="A3763" t="s">
        <v>24</v>
      </c>
      <c r="B3763" t="s">
        <v>148</v>
      </c>
      <c r="C3763" t="s">
        <v>156</v>
      </c>
      <c r="D3763" t="s">
        <v>285</v>
      </c>
      <c r="E3763" t="s">
        <v>414</v>
      </c>
      <c r="F3763">
        <f>HYPERLINK("https://www.wikidata.org/wiki/Q16683508", "Q16683508")</f>
        <v>0</v>
      </c>
      <c r="G3763" t="s">
        <v>2412</v>
      </c>
      <c r="H3763" t="s">
        <v>6987</v>
      </c>
      <c r="I3763" t="s">
        <v>6200</v>
      </c>
      <c r="J3763" t="s">
        <v>13062</v>
      </c>
      <c r="K3763" t="s">
        <v>17472</v>
      </c>
      <c r="L3763">
        <f>HYPERLINK("https://www2.assemblee-nationale.fr/sycomore/fiche/(num_dept)/2961", "2961")</f>
        <v>0</v>
      </c>
      <c r="N3763">
        <f>HYPERLINK("https://www.wikidata.org/wiki/Q3171993", "Q3171993")</f>
        <v>0</v>
      </c>
      <c r="O3763" t="s">
        <v>19969</v>
      </c>
      <c r="P3763" t="s">
        <v>20431</v>
      </c>
      <c r="Q3763" t="s">
        <v>20625</v>
      </c>
      <c r="R3763" t="s">
        <v>414</v>
      </c>
      <c r="S3763">
        <v>1148</v>
      </c>
    </row>
    <row r="3764" spans="1:19">
      <c r="A3764" t="s">
        <v>24</v>
      </c>
      <c r="B3764" t="s">
        <v>148</v>
      </c>
      <c r="C3764" t="s">
        <v>156</v>
      </c>
      <c r="D3764" t="s">
        <v>285</v>
      </c>
      <c r="E3764" t="s">
        <v>414</v>
      </c>
      <c r="F3764">
        <f>HYPERLINK("https://www.wikidata.org/wiki/Q16683508", "Q16683508")</f>
        <v>0</v>
      </c>
      <c r="G3764" t="s">
        <v>2413</v>
      </c>
      <c r="H3764" t="s">
        <v>6988</v>
      </c>
      <c r="I3764" t="s">
        <v>10203</v>
      </c>
      <c r="J3764" t="s">
        <v>13063</v>
      </c>
      <c r="K3764" t="s">
        <v>17473</v>
      </c>
      <c r="L3764">
        <f>HYPERLINK("https://www2.assemblee-nationale.fr/sycomore/fiche/(num_dept)/7610", "7610")</f>
        <v>0</v>
      </c>
      <c r="N3764">
        <f>HYPERLINK("https://www.wikidata.org/wiki/Q3592244", "Q3592244")</f>
        <v>0</v>
      </c>
      <c r="O3764" t="s">
        <v>19998</v>
      </c>
      <c r="P3764" t="s">
        <v>20414</v>
      </c>
      <c r="Q3764" t="s">
        <v>20625</v>
      </c>
      <c r="R3764" t="s">
        <v>414</v>
      </c>
      <c r="S3764">
        <v>1148</v>
      </c>
    </row>
    <row r="3765" spans="1:19">
      <c r="A3765" t="s">
        <v>24</v>
      </c>
      <c r="B3765" t="s">
        <v>148</v>
      </c>
      <c r="C3765" t="s">
        <v>156</v>
      </c>
      <c r="D3765" t="s">
        <v>285</v>
      </c>
      <c r="E3765" t="s">
        <v>414</v>
      </c>
      <c r="F3765">
        <f>HYPERLINK("https://www.wikidata.org/wiki/Q16683508", "Q16683508")</f>
        <v>0</v>
      </c>
      <c r="G3765" t="s">
        <v>2414</v>
      </c>
      <c r="H3765" t="s">
        <v>6989</v>
      </c>
      <c r="I3765" t="s">
        <v>10204</v>
      </c>
      <c r="J3765" t="s">
        <v>13064</v>
      </c>
      <c r="K3765" t="s">
        <v>17474</v>
      </c>
      <c r="L3765">
        <f>HYPERLINK("https://www2.assemblee-nationale.fr/sycomore/fiche/(num_dept)/7035", "7035")</f>
        <v>0</v>
      </c>
      <c r="N3765">
        <f>HYPERLINK("https://www.wikidata.org/wiki/Q3301450", "Q3301450")</f>
        <v>0</v>
      </c>
      <c r="O3765" t="s">
        <v>19993</v>
      </c>
      <c r="P3765" t="s">
        <v>20404</v>
      </c>
      <c r="Q3765" t="s">
        <v>20626</v>
      </c>
      <c r="R3765" t="s">
        <v>414</v>
      </c>
      <c r="S3765">
        <v>1141</v>
      </c>
    </row>
    <row r="3766" spans="1:19">
      <c r="A3766" t="s">
        <v>24</v>
      </c>
      <c r="B3766" t="s">
        <v>148</v>
      </c>
      <c r="C3766" t="s">
        <v>156</v>
      </c>
      <c r="D3766" t="s">
        <v>285</v>
      </c>
      <c r="E3766" t="s">
        <v>414</v>
      </c>
      <c r="F3766">
        <f>HYPERLINK("https://www.wikidata.org/wiki/Q16683508", "Q16683508")</f>
        <v>0</v>
      </c>
      <c r="G3766" t="s">
        <v>2415</v>
      </c>
      <c r="H3766" t="s">
        <v>6990</v>
      </c>
      <c r="I3766" t="s">
        <v>6759</v>
      </c>
      <c r="J3766" t="s">
        <v>13065</v>
      </c>
      <c r="K3766" t="s">
        <v>17475</v>
      </c>
      <c r="L3766">
        <f>HYPERLINK("https://www2.assemblee-nationale.fr/sycomore/fiche/(num_dept)/5389", "5389")</f>
        <v>0</v>
      </c>
      <c r="N3766">
        <f>HYPERLINK("https://www.wikidata.org/wiki/Q3435953", "Q3435953")</f>
        <v>0</v>
      </c>
      <c r="O3766" t="s">
        <v>20036</v>
      </c>
      <c r="P3766" t="s">
        <v>20409</v>
      </c>
      <c r="Q3766" t="s">
        <v>20627</v>
      </c>
      <c r="R3766" t="s">
        <v>414</v>
      </c>
      <c r="S3766">
        <v>1134</v>
      </c>
    </row>
    <row r="3767" spans="1:19">
      <c r="A3767" t="s">
        <v>24</v>
      </c>
      <c r="B3767" t="s">
        <v>148</v>
      </c>
      <c r="C3767" t="s">
        <v>156</v>
      </c>
      <c r="D3767" t="s">
        <v>285</v>
      </c>
      <c r="E3767" t="s">
        <v>414</v>
      </c>
      <c r="F3767">
        <f>HYPERLINK("https://www.wikidata.org/wiki/Q16683508", "Q16683508")</f>
        <v>0</v>
      </c>
      <c r="G3767" t="s">
        <v>2416</v>
      </c>
      <c r="H3767" t="s">
        <v>6991</v>
      </c>
      <c r="I3767" t="s">
        <v>9389</v>
      </c>
      <c r="J3767" t="s">
        <v>13066</v>
      </c>
      <c r="K3767" t="s">
        <v>16380</v>
      </c>
      <c r="L3767">
        <f>HYPERLINK("https://www2.assemblee-nationale.fr/sycomore/fiche/(num_dept)/675", "675")</f>
        <v>0</v>
      </c>
      <c r="N3767">
        <f>HYPERLINK("https://www.wikidata.org/wiki/Q3588339", "Q3588339")</f>
        <v>0</v>
      </c>
      <c r="O3767" t="s">
        <v>20016</v>
      </c>
      <c r="P3767" t="s">
        <v>20404</v>
      </c>
      <c r="Q3767" t="s">
        <v>16070</v>
      </c>
      <c r="R3767" t="s">
        <v>414</v>
      </c>
      <c r="S3767">
        <v>1120</v>
      </c>
    </row>
    <row r="3768" spans="1:19">
      <c r="A3768" t="s">
        <v>24</v>
      </c>
      <c r="B3768" t="s">
        <v>148</v>
      </c>
      <c r="C3768" t="s">
        <v>156</v>
      </c>
      <c r="D3768" t="s">
        <v>285</v>
      </c>
      <c r="E3768" t="s">
        <v>414</v>
      </c>
      <c r="F3768">
        <f>HYPERLINK("https://www.wikidata.org/wiki/Q16683508", "Q16683508")</f>
        <v>0</v>
      </c>
      <c r="G3768" t="s">
        <v>2417</v>
      </c>
      <c r="H3768" t="s">
        <v>6992</v>
      </c>
      <c r="I3768" t="s">
        <v>10205</v>
      </c>
      <c r="J3768" t="s">
        <v>13067</v>
      </c>
      <c r="K3768" t="s">
        <v>17476</v>
      </c>
      <c r="L3768">
        <f>HYPERLINK("https://www2.assemblee-nationale.fr/sycomore/fiche/(num_dept)/3544", "3544")</f>
        <v>0</v>
      </c>
      <c r="N3768">
        <f>HYPERLINK("https://www.wikidata.org/wiki/Q3435925", "Q3435925")</f>
        <v>0</v>
      </c>
      <c r="O3768" t="s">
        <v>19980</v>
      </c>
      <c r="P3768" t="s">
        <v>20437</v>
      </c>
      <c r="Q3768" t="s">
        <v>20628</v>
      </c>
      <c r="R3768" t="s">
        <v>414</v>
      </c>
      <c r="S3768">
        <v>1085</v>
      </c>
    </row>
    <row r="3769" spans="1:19">
      <c r="A3769" t="s">
        <v>24</v>
      </c>
      <c r="B3769" t="s">
        <v>148</v>
      </c>
      <c r="C3769" t="s">
        <v>156</v>
      </c>
      <c r="D3769" t="s">
        <v>285</v>
      </c>
      <c r="E3769" t="s">
        <v>414</v>
      </c>
      <c r="F3769">
        <f>HYPERLINK("https://www.wikidata.org/wiki/Q16683508", "Q16683508")</f>
        <v>0</v>
      </c>
      <c r="G3769" t="s">
        <v>2418</v>
      </c>
      <c r="H3769" t="s">
        <v>6993</v>
      </c>
      <c r="I3769" t="s">
        <v>9388</v>
      </c>
      <c r="J3769" t="s">
        <v>13068</v>
      </c>
      <c r="K3769" t="s">
        <v>17477</v>
      </c>
      <c r="L3769">
        <f>HYPERLINK("https://www2.assemblee-nationale.fr/sycomore/fiche/(num_dept)/2816", "2816")</f>
        <v>0</v>
      </c>
      <c r="N3769">
        <f>HYPERLINK("https://www.wikidata.org/wiki/Q3371159", "Q3371159")</f>
        <v>0</v>
      </c>
      <c r="O3769" t="s">
        <v>20017</v>
      </c>
      <c r="P3769" t="s">
        <v>20428</v>
      </c>
      <c r="Q3769" t="s">
        <v>20629</v>
      </c>
      <c r="R3769" t="s">
        <v>414</v>
      </c>
      <c r="S3769">
        <v>1078</v>
      </c>
    </row>
    <row r="3770" spans="1:19">
      <c r="A3770" t="s">
        <v>24</v>
      </c>
      <c r="B3770" t="s">
        <v>148</v>
      </c>
      <c r="C3770" t="s">
        <v>156</v>
      </c>
      <c r="D3770" t="s">
        <v>285</v>
      </c>
      <c r="E3770" t="s">
        <v>414</v>
      </c>
      <c r="F3770">
        <f>HYPERLINK("https://www.wikidata.org/wiki/Q16683508", "Q16683508")</f>
        <v>0</v>
      </c>
      <c r="G3770" t="s">
        <v>2419</v>
      </c>
      <c r="H3770" t="s">
        <v>6994</v>
      </c>
      <c r="I3770" t="s">
        <v>9523</v>
      </c>
      <c r="J3770" t="s">
        <v>13069</v>
      </c>
      <c r="K3770" t="s">
        <v>17478</v>
      </c>
      <c r="L3770">
        <f>HYPERLINK("https://www2.assemblee-nationale.fr/sycomore/fiche/(num_dept)/3029", "3029")</f>
        <v>0</v>
      </c>
      <c r="N3770">
        <f>HYPERLINK("https://www.wikidata.org/wiki/Q8304541", "Q8304541")</f>
        <v>0</v>
      </c>
      <c r="O3770" t="s">
        <v>19957</v>
      </c>
      <c r="P3770" t="s">
        <v>20420</v>
      </c>
      <c r="Q3770" t="s">
        <v>20630</v>
      </c>
      <c r="R3770" t="s">
        <v>414</v>
      </c>
      <c r="S3770">
        <v>1015</v>
      </c>
    </row>
    <row r="3771" spans="1:19">
      <c r="A3771" t="s">
        <v>24</v>
      </c>
      <c r="B3771" t="s">
        <v>148</v>
      </c>
      <c r="C3771" t="s">
        <v>156</v>
      </c>
      <c r="D3771" t="s">
        <v>285</v>
      </c>
      <c r="E3771" t="s">
        <v>414</v>
      </c>
      <c r="F3771">
        <f>HYPERLINK("https://www.wikidata.org/wiki/Q16683508", "Q16683508")</f>
        <v>0</v>
      </c>
      <c r="G3771" t="s">
        <v>2420</v>
      </c>
      <c r="H3771" t="s">
        <v>6995</v>
      </c>
      <c r="I3771" t="s">
        <v>10206</v>
      </c>
      <c r="J3771" t="s">
        <v>13070</v>
      </c>
      <c r="K3771" t="s">
        <v>16601</v>
      </c>
      <c r="L3771">
        <f>HYPERLINK("https://www2.assemblee-nationale.fr/sycomore/fiche/(num_dept)/6405", "6405")</f>
        <v>0</v>
      </c>
      <c r="N3771">
        <f>HYPERLINK("https://www.wikidata.org/wiki/Q3265680", "Q3265680")</f>
        <v>0</v>
      </c>
      <c r="O3771" t="s">
        <v>20030</v>
      </c>
      <c r="Q3771" t="s">
        <v>20631</v>
      </c>
      <c r="R3771" t="s">
        <v>414</v>
      </c>
      <c r="S3771">
        <v>1001</v>
      </c>
    </row>
    <row r="3772" spans="1:19">
      <c r="A3772" t="s">
        <v>24</v>
      </c>
      <c r="B3772" t="s">
        <v>148</v>
      </c>
      <c r="C3772" t="s">
        <v>156</v>
      </c>
      <c r="D3772" t="s">
        <v>285</v>
      </c>
      <c r="E3772" t="s">
        <v>414</v>
      </c>
      <c r="F3772">
        <f>HYPERLINK("https://www.wikidata.org/wiki/Q16683508", "Q16683508")</f>
        <v>0</v>
      </c>
      <c r="G3772" t="s">
        <v>2421</v>
      </c>
      <c r="H3772" t="s">
        <v>6996</v>
      </c>
      <c r="I3772" t="s">
        <v>6584</v>
      </c>
      <c r="J3772" t="s">
        <v>13071</v>
      </c>
      <c r="K3772" t="s">
        <v>17479</v>
      </c>
      <c r="L3772">
        <f>HYPERLINK("https://www2.assemblee-nationale.fr/sycomore/fiche/(num_dept)/2103", "2103")</f>
        <v>0</v>
      </c>
      <c r="N3772">
        <f>HYPERLINK("https://www.wikidata.org/wiki/Q2831072", "Q2831072")</f>
        <v>0</v>
      </c>
      <c r="O3772" t="s">
        <v>20045</v>
      </c>
      <c r="P3772" t="s">
        <v>20428</v>
      </c>
      <c r="Q3772" t="s">
        <v>16157</v>
      </c>
      <c r="R3772" t="s">
        <v>414</v>
      </c>
      <c r="S3772">
        <v>945</v>
      </c>
    </row>
    <row r="3773" spans="1:19">
      <c r="A3773" t="s">
        <v>24</v>
      </c>
      <c r="B3773" t="s">
        <v>148</v>
      </c>
      <c r="C3773" t="s">
        <v>156</v>
      </c>
      <c r="D3773" t="s">
        <v>285</v>
      </c>
      <c r="E3773" t="s">
        <v>414</v>
      </c>
      <c r="F3773">
        <f>HYPERLINK("https://www.wikidata.org/wiki/Q16683508", "Q16683508")</f>
        <v>0</v>
      </c>
      <c r="G3773" t="s">
        <v>2422</v>
      </c>
      <c r="H3773" t="s">
        <v>6533</v>
      </c>
      <c r="I3773" t="s">
        <v>9856</v>
      </c>
      <c r="J3773" t="s">
        <v>13072</v>
      </c>
      <c r="K3773" t="s">
        <v>17480</v>
      </c>
      <c r="L3773">
        <f>HYPERLINK("https://www2.assemblee-nationale.fr/sycomore/fiche/(num_dept)/6216", "6216")</f>
        <v>0</v>
      </c>
      <c r="N3773">
        <f>HYPERLINK("https://www.wikidata.org/wiki/Q3086312", "Q3086312")</f>
        <v>0</v>
      </c>
      <c r="O3773" t="s">
        <v>19968</v>
      </c>
      <c r="P3773" t="s">
        <v>20414</v>
      </c>
      <c r="Q3773" t="s">
        <v>16157</v>
      </c>
      <c r="R3773" t="s">
        <v>414</v>
      </c>
      <c r="S3773">
        <v>945</v>
      </c>
    </row>
    <row r="3774" spans="1:19">
      <c r="A3774" t="s">
        <v>24</v>
      </c>
      <c r="B3774" t="s">
        <v>148</v>
      </c>
      <c r="C3774" t="s">
        <v>156</v>
      </c>
      <c r="D3774" t="s">
        <v>285</v>
      </c>
      <c r="E3774" t="s">
        <v>414</v>
      </c>
      <c r="F3774">
        <f>HYPERLINK("https://www.wikidata.org/wiki/Q16683508", "Q16683508")</f>
        <v>0</v>
      </c>
      <c r="G3774" t="s">
        <v>2423</v>
      </c>
      <c r="H3774" t="s">
        <v>6997</v>
      </c>
      <c r="I3774" t="s">
        <v>9385</v>
      </c>
      <c r="J3774" t="s">
        <v>13073</v>
      </c>
      <c r="K3774" t="s">
        <v>17481</v>
      </c>
      <c r="L3774">
        <f>HYPERLINK("https://www2.assemblee-nationale.fr/sycomore/fiche/(num_dept)/2992", "2992")</f>
        <v>0</v>
      </c>
      <c r="N3774">
        <f>HYPERLINK("https://www.wikidata.org/wiki/Q8338081", "Q8338081")</f>
        <v>0</v>
      </c>
      <c r="O3774" t="s">
        <v>20015</v>
      </c>
      <c r="P3774" t="s">
        <v>20440</v>
      </c>
      <c r="Q3774" t="s">
        <v>314</v>
      </c>
      <c r="R3774" t="s">
        <v>414</v>
      </c>
      <c r="S3774">
        <v>917</v>
      </c>
    </row>
    <row r="3775" spans="1:19">
      <c r="A3775" t="s">
        <v>24</v>
      </c>
      <c r="B3775" t="s">
        <v>148</v>
      </c>
      <c r="C3775" t="s">
        <v>156</v>
      </c>
      <c r="D3775" t="s">
        <v>285</v>
      </c>
      <c r="E3775" t="s">
        <v>414</v>
      </c>
      <c r="F3775">
        <f>HYPERLINK("https://www.wikidata.org/wiki/Q16683508", "Q16683508")</f>
        <v>0</v>
      </c>
      <c r="G3775" t="s">
        <v>2424</v>
      </c>
      <c r="H3775" t="s">
        <v>6998</v>
      </c>
      <c r="I3775" t="s">
        <v>10207</v>
      </c>
      <c r="J3775" t="s">
        <v>13074</v>
      </c>
      <c r="K3775" t="s">
        <v>17482</v>
      </c>
      <c r="L3775">
        <f>HYPERLINK("https://www2.assemblee-nationale.fr/sycomore/fiche/(num_dept)/4180", "4180")</f>
        <v>0</v>
      </c>
      <c r="N3775">
        <f>HYPERLINK("https://www.wikidata.org/wiki/Q3436672", "Q3436672")</f>
        <v>0</v>
      </c>
      <c r="O3775" t="s">
        <v>20043</v>
      </c>
      <c r="P3775" t="s">
        <v>20412</v>
      </c>
      <c r="Q3775" t="s">
        <v>314</v>
      </c>
      <c r="R3775" t="s">
        <v>414</v>
      </c>
      <c r="S3775">
        <v>917</v>
      </c>
    </row>
    <row r="3776" spans="1:19">
      <c r="A3776" t="s">
        <v>24</v>
      </c>
      <c r="B3776" t="s">
        <v>148</v>
      </c>
      <c r="C3776" t="s">
        <v>156</v>
      </c>
      <c r="D3776" t="s">
        <v>285</v>
      </c>
      <c r="E3776" t="s">
        <v>414</v>
      </c>
      <c r="F3776">
        <f>HYPERLINK("https://www.wikidata.org/wiki/Q16683508", "Q16683508")</f>
        <v>0</v>
      </c>
      <c r="G3776" t="s">
        <v>2425</v>
      </c>
      <c r="H3776" t="s">
        <v>6999</v>
      </c>
      <c r="I3776" t="s">
        <v>10208</v>
      </c>
      <c r="J3776" t="s">
        <v>13075</v>
      </c>
      <c r="K3776" t="s">
        <v>17483</v>
      </c>
      <c r="L3776">
        <f>HYPERLINK("https://www2.assemblee-nationale.fr/sycomore/fiche/(num_dept)/1247", "1247")</f>
        <v>0</v>
      </c>
      <c r="N3776">
        <f>HYPERLINK("https://www.wikidata.org/wiki/Q3261367", "Q3261367")</f>
        <v>0</v>
      </c>
      <c r="O3776" t="s">
        <v>20013</v>
      </c>
      <c r="P3776" t="s">
        <v>20404</v>
      </c>
      <c r="Q3776" t="s">
        <v>20632</v>
      </c>
      <c r="R3776" t="s">
        <v>17483</v>
      </c>
      <c r="S3776">
        <v>728</v>
      </c>
    </row>
    <row r="3777" spans="1:19">
      <c r="A3777" t="s">
        <v>24</v>
      </c>
      <c r="B3777" t="s">
        <v>148</v>
      </c>
      <c r="C3777" t="s">
        <v>156</v>
      </c>
      <c r="D3777" t="s">
        <v>285</v>
      </c>
      <c r="E3777" t="s">
        <v>414</v>
      </c>
      <c r="F3777">
        <f>HYPERLINK("https://www.wikidata.org/wiki/Q16683508", "Q16683508")</f>
        <v>0</v>
      </c>
      <c r="G3777" t="s">
        <v>1543</v>
      </c>
      <c r="H3777" t="s">
        <v>6237</v>
      </c>
      <c r="I3777" t="s">
        <v>9835</v>
      </c>
      <c r="J3777" t="s">
        <v>11851</v>
      </c>
      <c r="K3777" t="s">
        <v>16665</v>
      </c>
      <c r="L3777">
        <f>HYPERLINK("https://www2.assemblee-nationale.fr/sycomore/fiche/(num_dept)/5211", "5211")</f>
        <v>0</v>
      </c>
      <c r="N3777">
        <f>HYPERLINK("https://www.wikidata.org/wiki/Q16026090", "Q16026090")</f>
        <v>0</v>
      </c>
      <c r="O3777" t="s">
        <v>19986</v>
      </c>
      <c r="P3777" t="s">
        <v>20414</v>
      </c>
      <c r="Q3777" t="s">
        <v>20632</v>
      </c>
      <c r="R3777" t="s">
        <v>414</v>
      </c>
      <c r="S3777">
        <v>854</v>
      </c>
    </row>
    <row r="3778" spans="1:19">
      <c r="A3778" t="s">
        <v>24</v>
      </c>
      <c r="B3778" t="s">
        <v>148</v>
      </c>
      <c r="C3778" t="s">
        <v>156</v>
      </c>
      <c r="D3778" t="s">
        <v>285</v>
      </c>
      <c r="E3778" t="s">
        <v>414</v>
      </c>
      <c r="F3778">
        <f>HYPERLINK("https://www.wikidata.org/wiki/Q16683508", "Q16683508")</f>
        <v>0</v>
      </c>
      <c r="G3778" t="s">
        <v>2426</v>
      </c>
      <c r="H3778" t="s">
        <v>7000</v>
      </c>
      <c r="I3778" t="s">
        <v>9388</v>
      </c>
      <c r="J3778" t="s">
        <v>13076</v>
      </c>
      <c r="K3778" t="s">
        <v>17484</v>
      </c>
      <c r="L3778">
        <f>HYPERLINK("https://www2.assemblee-nationale.fr/sycomore/fiche/(num_dept)/7013", "7013")</f>
        <v>0</v>
      </c>
      <c r="N3778">
        <f>HYPERLINK("https://www.wikidata.org/wiki/Q3372274", "Q3372274")</f>
        <v>0</v>
      </c>
      <c r="O3778" t="s">
        <v>19968</v>
      </c>
      <c r="P3778" t="s">
        <v>20412</v>
      </c>
      <c r="Q3778" t="s">
        <v>18990</v>
      </c>
      <c r="R3778" t="s">
        <v>414</v>
      </c>
      <c r="S3778">
        <v>847</v>
      </c>
    </row>
    <row r="3779" spans="1:19">
      <c r="A3779" t="s">
        <v>24</v>
      </c>
      <c r="B3779" t="s">
        <v>148</v>
      </c>
      <c r="C3779" t="s">
        <v>156</v>
      </c>
      <c r="D3779" t="s">
        <v>285</v>
      </c>
      <c r="E3779" t="s">
        <v>414</v>
      </c>
      <c r="F3779">
        <f>HYPERLINK("https://www.wikidata.org/wiki/Q16683508", "Q16683508")</f>
        <v>0</v>
      </c>
      <c r="G3779" t="s">
        <v>2427</v>
      </c>
      <c r="H3779" t="s">
        <v>7001</v>
      </c>
      <c r="I3779" t="s">
        <v>9457</v>
      </c>
      <c r="J3779" t="s">
        <v>13077</v>
      </c>
      <c r="K3779" t="s">
        <v>17485</v>
      </c>
      <c r="L3779">
        <f>HYPERLINK("https://www2.assemblee-nationale.fr/sycomore/fiche/(num_dept)/2982", "2982")</f>
        <v>0</v>
      </c>
      <c r="N3779">
        <f>HYPERLINK("https://www.wikidata.org/wiki/Q16025697", "Q16025697")</f>
        <v>0</v>
      </c>
      <c r="O3779" t="s">
        <v>20021</v>
      </c>
      <c r="P3779" t="s">
        <v>20428</v>
      </c>
      <c r="Q3779" t="s">
        <v>15994</v>
      </c>
      <c r="R3779" t="s">
        <v>414</v>
      </c>
      <c r="S3779">
        <v>833</v>
      </c>
    </row>
    <row r="3780" spans="1:19">
      <c r="A3780" t="s">
        <v>24</v>
      </c>
      <c r="B3780" t="s">
        <v>148</v>
      </c>
      <c r="C3780" t="s">
        <v>156</v>
      </c>
      <c r="D3780" t="s">
        <v>285</v>
      </c>
      <c r="E3780" t="s">
        <v>414</v>
      </c>
      <c r="F3780">
        <f>HYPERLINK("https://www.wikidata.org/wiki/Q16683508", "Q16683508")</f>
        <v>0</v>
      </c>
      <c r="G3780" t="s">
        <v>1419</v>
      </c>
      <c r="H3780" t="s">
        <v>6125</v>
      </c>
      <c r="I3780" t="s">
        <v>9803</v>
      </c>
      <c r="J3780" t="s">
        <v>12143</v>
      </c>
      <c r="K3780" t="s">
        <v>16545</v>
      </c>
      <c r="L3780">
        <f>HYPERLINK("https://www2.assemblee-nationale.fr/sycomore/fiche/(num_dept)/2035", "2035")</f>
        <v>0</v>
      </c>
      <c r="M3780">
        <f>HYPERLINK("https://www.senat.fr/senateur-3eme-republique/courtier_joseph0875r3.html", "courtier_joseph0875r3")</f>
        <v>0</v>
      </c>
      <c r="N3780">
        <f>HYPERLINK("https://www.wikidata.org/wiki/Q3184795", "Q3184795")</f>
        <v>0</v>
      </c>
      <c r="O3780" t="s">
        <v>20022</v>
      </c>
      <c r="P3780" t="s">
        <v>20412</v>
      </c>
      <c r="Q3780" t="s">
        <v>20633</v>
      </c>
      <c r="R3780" t="s">
        <v>414</v>
      </c>
      <c r="S3780">
        <v>812</v>
      </c>
    </row>
    <row r="3781" spans="1:19">
      <c r="A3781" t="s">
        <v>24</v>
      </c>
      <c r="B3781" t="s">
        <v>148</v>
      </c>
      <c r="C3781" t="s">
        <v>156</v>
      </c>
      <c r="D3781" t="s">
        <v>285</v>
      </c>
      <c r="E3781" t="s">
        <v>414</v>
      </c>
      <c r="F3781">
        <f>HYPERLINK("https://www.wikidata.org/wiki/Q16683508", "Q16683508")</f>
        <v>0</v>
      </c>
      <c r="G3781" t="s">
        <v>2428</v>
      </c>
      <c r="H3781" t="s">
        <v>7002</v>
      </c>
      <c r="I3781" t="s">
        <v>10155</v>
      </c>
      <c r="J3781" t="s">
        <v>13078</v>
      </c>
      <c r="K3781" t="s">
        <v>17486</v>
      </c>
      <c r="L3781">
        <f>HYPERLINK("https://www2.assemblee-nationale.fr/sycomore/fiche/(num_dept)/7026", "7026")</f>
        <v>0</v>
      </c>
      <c r="N3781">
        <f>HYPERLINK("https://www.wikidata.org/wiki/Q3099167", "Q3099167")</f>
        <v>0</v>
      </c>
      <c r="O3781" t="s">
        <v>20030</v>
      </c>
      <c r="P3781" t="s">
        <v>20428</v>
      </c>
      <c r="Q3781" t="s">
        <v>20634</v>
      </c>
      <c r="R3781" t="s">
        <v>414</v>
      </c>
      <c r="S3781">
        <v>798</v>
      </c>
    </row>
    <row r="3782" spans="1:19">
      <c r="A3782" t="s">
        <v>24</v>
      </c>
      <c r="B3782" t="s">
        <v>148</v>
      </c>
      <c r="C3782" t="s">
        <v>156</v>
      </c>
      <c r="D3782" t="s">
        <v>285</v>
      </c>
      <c r="E3782" t="s">
        <v>414</v>
      </c>
      <c r="F3782">
        <f>HYPERLINK("https://www.wikidata.org/wiki/Q16683508", "Q16683508")</f>
        <v>0</v>
      </c>
      <c r="G3782" t="s">
        <v>2429</v>
      </c>
      <c r="H3782" t="s">
        <v>7003</v>
      </c>
      <c r="I3782" t="s">
        <v>9388</v>
      </c>
      <c r="J3782" t="s">
        <v>13079</v>
      </c>
      <c r="K3782" t="s">
        <v>17487</v>
      </c>
      <c r="L3782">
        <f>HYPERLINK("https://www2.assemblee-nationale.fr/sycomore/fiche/(num_dept)/6307", "6307")</f>
        <v>0</v>
      </c>
      <c r="N3782">
        <f>HYPERLINK("https://www.wikidata.org/wiki/Q3372164", "Q3372164")</f>
        <v>0</v>
      </c>
      <c r="O3782" t="s">
        <v>20000</v>
      </c>
      <c r="P3782" t="s">
        <v>20401</v>
      </c>
      <c r="Q3782" t="s">
        <v>20635</v>
      </c>
      <c r="R3782" t="s">
        <v>414</v>
      </c>
      <c r="S3782">
        <v>784</v>
      </c>
    </row>
    <row r="3783" spans="1:19">
      <c r="A3783" t="s">
        <v>24</v>
      </c>
      <c r="B3783" t="s">
        <v>148</v>
      </c>
      <c r="C3783" t="s">
        <v>156</v>
      </c>
      <c r="D3783" t="s">
        <v>285</v>
      </c>
      <c r="E3783" t="s">
        <v>414</v>
      </c>
      <c r="F3783">
        <f>HYPERLINK("https://www.wikidata.org/wiki/Q16683508", "Q16683508")</f>
        <v>0</v>
      </c>
      <c r="G3783" t="s">
        <v>2430</v>
      </c>
      <c r="H3783" t="s">
        <v>7004</v>
      </c>
      <c r="I3783" t="s">
        <v>10209</v>
      </c>
      <c r="J3783" t="s">
        <v>13080</v>
      </c>
      <c r="K3783" t="s">
        <v>17488</v>
      </c>
      <c r="L3783">
        <f>HYPERLINK("https://www2.assemblee-nationale.fr/sycomore/fiche/(num_dept)/2040", "2040")</f>
        <v>0</v>
      </c>
      <c r="N3783">
        <f>HYPERLINK("https://www.wikidata.org/wiki/Q3102523", "Q3102523")</f>
        <v>0</v>
      </c>
      <c r="O3783" t="s">
        <v>19969</v>
      </c>
      <c r="P3783" t="s">
        <v>20414</v>
      </c>
      <c r="Q3783" t="s">
        <v>20636</v>
      </c>
      <c r="R3783" t="s">
        <v>414</v>
      </c>
      <c r="S3783">
        <v>763</v>
      </c>
    </row>
    <row r="3784" spans="1:19">
      <c r="A3784" t="s">
        <v>24</v>
      </c>
      <c r="B3784" t="s">
        <v>148</v>
      </c>
      <c r="C3784" t="s">
        <v>156</v>
      </c>
      <c r="D3784" t="s">
        <v>285</v>
      </c>
      <c r="E3784" t="s">
        <v>414</v>
      </c>
      <c r="F3784">
        <f>HYPERLINK("https://www.wikidata.org/wiki/Q16683508", "Q16683508")</f>
        <v>0</v>
      </c>
      <c r="G3784" t="s">
        <v>2431</v>
      </c>
      <c r="H3784" t="s">
        <v>7005</v>
      </c>
      <c r="I3784" t="s">
        <v>7308</v>
      </c>
      <c r="J3784" t="s">
        <v>13081</v>
      </c>
      <c r="K3784" t="s">
        <v>17489</v>
      </c>
      <c r="L3784">
        <f>HYPERLINK("https://www2.assemblee-nationale.fr/sycomore/fiche/(num_dept)/6296", "6296")</f>
        <v>0</v>
      </c>
      <c r="N3784">
        <f>HYPERLINK("https://www.wikidata.org/wiki/Q8303457", "Q8303457")</f>
        <v>0</v>
      </c>
      <c r="O3784" t="s">
        <v>19976</v>
      </c>
      <c r="P3784" t="s">
        <v>20428</v>
      </c>
      <c r="Q3784" t="s">
        <v>20637</v>
      </c>
      <c r="R3784" t="s">
        <v>414</v>
      </c>
      <c r="S3784">
        <v>756</v>
      </c>
    </row>
    <row r="3785" spans="1:19">
      <c r="A3785" t="s">
        <v>24</v>
      </c>
      <c r="B3785" t="s">
        <v>148</v>
      </c>
      <c r="C3785" t="s">
        <v>156</v>
      </c>
      <c r="D3785" t="s">
        <v>285</v>
      </c>
      <c r="E3785" t="s">
        <v>414</v>
      </c>
      <c r="F3785">
        <f>HYPERLINK("https://www.wikidata.org/wiki/Q16683508", "Q16683508")</f>
        <v>0</v>
      </c>
      <c r="G3785" t="s">
        <v>2432</v>
      </c>
      <c r="H3785" t="s">
        <v>7006</v>
      </c>
      <c r="I3785" t="s">
        <v>10210</v>
      </c>
      <c r="J3785" t="s">
        <v>13082</v>
      </c>
      <c r="K3785" t="s">
        <v>17490</v>
      </c>
      <c r="L3785">
        <f>HYPERLINK("https://www2.assemblee-nationale.fr/sycomore/fiche/(num_dept)/7159", "7159")</f>
        <v>0</v>
      </c>
      <c r="N3785">
        <f>HYPERLINK("https://www.wikidata.org/wiki/Q3072895", "Q3072895")</f>
        <v>0</v>
      </c>
      <c r="O3785" t="s">
        <v>19961</v>
      </c>
      <c r="Q3785" t="s">
        <v>20638</v>
      </c>
      <c r="R3785" t="s">
        <v>414</v>
      </c>
      <c r="S3785">
        <v>740</v>
      </c>
    </row>
    <row r="3786" spans="1:19">
      <c r="A3786" t="s">
        <v>24</v>
      </c>
      <c r="B3786" t="s">
        <v>148</v>
      </c>
      <c r="C3786" t="s">
        <v>156</v>
      </c>
      <c r="D3786" t="s">
        <v>285</v>
      </c>
      <c r="E3786" t="s">
        <v>414</v>
      </c>
      <c r="F3786">
        <f>HYPERLINK("https://www.wikidata.org/wiki/Q16683508", "Q16683508")</f>
        <v>0</v>
      </c>
      <c r="G3786" t="s">
        <v>2433</v>
      </c>
      <c r="H3786" t="s">
        <v>7007</v>
      </c>
      <c r="I3786" t="s">
        <v>6495</v>
      </c>
      <c r="J3786" t="s">
        <v>12092</v>
      </c>
      <c r="K3786" t="s">
        <v>17491</v>
      </c>
      <c r="L3786">
        <f>HYPERLINK("https://www2.assemblee-nationale.fr/sycomore/fiche/(num_dept)/3206", "3206")</f>
        <v>0</v>
      </c>
      <c r="M3786">
        <f>HYPERLINK("https://www.senat.fr/senateur-3eme-republique/gaillemin_louis1801r3.html", "gaillemin_louis1801r3")</f>
        <v>0</v>
      </c>
      <c r="N3786">
        <f>HYPERLINK("https://www.wikidata.org/wiki/Q3261993", "Q3261993")</f>
        <v>0</v>
      </c>
      <c r="O3786" t="s">
        <v>20017</v>
      </c>
      <c r="P3786" t="s">
        <v>20437</v>
      </c>
      <c r="Q3786" t="s">
        <v>20639</v>
      </c>
      <c r="R3786" t="s">
        <v>414</v>
      </c>
      <c r="S3786">
        <v>728</v>
      </c>
    </row>
    <row r="3787" spans="1:19">
      <c r="A3787" t="s">
        <v>24</v>
      </c>
      <c r="B3787" t="s">
        <v>148</v>
      </c>
      <c r="C3787" t="s">
        <v>156</v>
      </c>
      <c r="D3787" t="s">
        <v>285</v>
      </c>
      <c r="E3787" t="s">
        <v>414</v>
      </c>
      <c r="F3787">
        <f>HYPERLINK("https://www.wikidata.org/wiki/Q16683508", "Q16683508")</f>
        <v>0</v>
      </c>
      <c r="G3787" t="s">
        <v>2434</v>
      </c>
      <c r="H3787" t="s">
        <v>7008</v>
      </c>
      <c r="I3787" t="s">
        <v>10211</v>
      </c>
      <c r="J3787" t="s">
        <v>13083</v>
      </c>
      <c r="K3787" t="s">
        <v>17492</v>
      </c>
      <c r="L3787">
        <f>HYPERLINK("https://www2.assemblee-nationale.fr/sycomore/fiche/(num_dept)/2523", "2523")</f>
        <v>0</v>
      </c>
      <c r="N3787">
        <f>HYPERLINK("https://www.wikidata.org/wiki/Q3094487", "Q3094487")</f>
        <v>0</v>
      </c>
      <c r="O3787" t="s">
        <v>20046</v>
      </c>
      <c r="P3787" t="s">
        <v>20434</v>
      </c>
      <c r="Q3787" t="s">
        <v>20640</v>
      </c>
      <c r="R3787" t="s">
        <v>414</v>
      </c>
      <c r="S3787">
        <v>672</v>
      </c>
    </row>
    <row r="3788" spans="1:19">
      <c r="A3788" t="s">
        <v>24</v>
      </c>
      <c r="B3788" t="s">
        <v>148</v>
      </c>
      <c r="C3788" t="s">
        <v>156</v>
      </c>
      <c r="D3788" t="s">
        <v>285</v>
      </c>
      <c r="E3788" t="s">
        <v>414</v>
      </c>
      <c r="F3788">
        <f>HYPERLINK("https://www.wikidata.org/wiki/Q16683508", "Q16683508")</f>
        <v>0</v>
      </c>
      <c r="G3788" t="s">
        <v>1448</v>
      </c>
      <c r="H3788" t="s">
        <v>6149</v>
      </c>
      <c r="I3788" t="s">
        <v>9814</v>
      </c>
      <c r="J3788" t="s">
        <v>12169</v>
      </c>
      <c r="K3788" t="s">
        <v>16573</v>
      </c>
      <c r="L3788">
        <f>HYPERLINK("https://www2.assemblee-nationale.fr/sycomore/fiche/(num_dept)/2798", "2798")</f>
        <v>0</v>
      </c>
      <c r="N3788">
        <f>HYPERLINK("https://www.wikidata.org/wiki/Q2833647", "Q2833647")</f>
        <v>0</v>
      </c>
      <c r="O3788" t="s">
        <v>19992</v>
      </c>
      <c r="P3788" t="s">
        <v>20414</v>
      </c>
      <c r="Q3788" t="s">
        <v>18891</v>
      </c>
      <c r="R3788" t="s">
        <v>414</v>
      </c>
      <c r="S3788">
        <v>616</v>
      </c>
    </row>
    <row r="3789" spans="1:19">
      <c r="A3789" t="s">
        <v>24</v>
      </c>
      <c r="B3789" t="s">
        <v>148</v>
      </c>
      <c r="C3789" t="s">
        <v>156</v>
      </c>
      <c r="D3789" t="s">
        <v>285</v>
      </c>
      <c r="E3789" t="s">
        <v>414</v>
      </c>
      <c r="F3789">
        <f>HYPERLINK("https://www.wikidata.org/wiki/Q16683508", "Q16683508")</f>
        <v>0</v>
      </c>
      <c r="G3789" t="s">
        <v>2435</v>
      </c>
      <c r="H3789" t="s">
        <v>7009</v>
      </c>
      <c r="I3789" t="s">
        <v>6478</v>
      </c>
      <c r="J3789" t="s">
        <v>11784</v>
      </c>
      <c r="K3789" t="s">
        <v>17493</v>
      </c>
      <c r="L3789">
        <f>HYPERLINK("https://www2.assemblee-nationale.fr/sycomore/fiche/(num_dept)/7759", "7759")</f>
        <v>0</v>
      </c>
      <c r="N3789">
        <f>HYPERLINK("https://www.wikidata.org/wiki/Q8327085", "Q8327085")</f>
        <v>0</v>
      </c>
      <c r="O3789" t="s">
        <v>20015</v>
      </c>
      <c r="P3789" t="s">
        <v>20414</v>
      </c>
      <c r="Q3789" t="s">
        <v>20641</v>
      </c>
      <c r="R3789" t="s">
        <v>414</v>
      </c>
      <c r="S3789">
        <v>609</v>
      </c>
    </row>
    <row r="3790" spans="1:19">
      <c r="A3790" t="s">
        <v>24</v>
      </c>
      <c r="B3790" t="s">
        <v>148</v>
      </c>
      <c r="C3790" t="s">
        <v>156</v>
      </c>
      <c r="D3790" t="s">
        <v>285</v>
      </c>
      <c r="E3790" t="s">
        <v>414</v>
      </c>
      <c r="F3790">
        <f>HYPERLINK("https://www.wikidata.org/wiki/Q16683508", "Q16683508")</f>
        <v>0</v>
      </c>
      <c r="G3790" t="s">
        <v>2436</v>
      </c>
      <c r="H3790" t="s">
        <v>7010</v>
      </c>
      <c r="I3790" t="s">
        <v>10212</v>
      </c>
      <c r="J3790" t="s">
        <v>13084</v>
      </c>
      <c r="K3790" t="s">
        <v>17494</v>
      </c>
      <c r="L3790">
        <f>HYPERLINK("https://www2.assemblee-nationale.fr/sycomore/fiche/(num_dept)/428", "428")</f>
        <v>0</v>
      </c>
      <c r="N3790">
        <f>HYPERLINK("https://www.wikidata.org/wiki/Q3047735", "Q3047735")</f>
        <v>0</v>
      </c>
      <c r="O3790" t="s">
        <v>19959</v>
      </c>
      <c r="P3790" t="s">
        <v>20414</v>
      </c>
      <c r="Q3790" t="s">
        <v>20642</v>
      </c>
      <c r="R3790" t="s">
        <v>414</v>
      </c>
      <c r="S3790">
        <v>574</v>
      </c>
    </row>
    <row r="3791" spans="1:19">
      <c r="A3791" t="s">
        <v>24</v>
      </c>
      <c r="B3791" t="s">
        <v>148</v>
      </c>
      <c r="C3791" t="s">
        <v>156</v>
      </c>
      <c r="D3791" t="s">
        <v>285</v>
      </c>
      <c r="E3791" t="s">
        <v>414</v>
      </c>
      <c r="F3791">
        <f>HYPERLINK("https://www.wikidata.org/wiki/Q16683508", "Q16683508")</f>
        <v>0</v>
      </c>
      <c r="G3791" t="s">
        <v>2437</v>
      </c>
      <c r="H3791" t="s">
        <v>5525</v>
      </c>
      <c r="I3791" t="s">
        <v>6584</v>
      </c>
      <c r="J3791" t="s">
        <v>13085</v>
      </c>
      <c r="K3791" t="s">
        <v>17495</v>
      </c>
      <c r="L3791">
        <f>HYPERLINK("https://www2.assemblee-nationale.fr/sycomore/fiche/(num_dept)/6028", "6028")</f>
        <v>0</v>
      </c>
      <c r="N3791">
        <f>HYPERLINK("https://www.wikidata.org/wiki/Q16626123", "Q16626123")</f>
        <v>0</v>
      </c>
      <c r="O3791" t="s">
        <v>20010</v>
      </c>
      <c r="Q3791" t="s">
        <v>16577</v>
      </c>
      <c r="R3791" t="s">
        <v>414</v>
      </c>
      <c r="S3791">
        <v>532</v>
      </c>
    </row>
    <row r="3792" spans="1:19">
      <c r="A3792" t="s">
        <v>24</v>
      </c>
      <c r="B3792" t="s">
        <v>148</v>
      </c>
      <c r="C3792" t="s">
        <v>156</v>
      </c>
      <c r="D3792" t="s">
        <v>285</v>
      </c>
      <c r="E3792" t="s">
        <v>414</v>
      </c>
      <c r="F3792">
        <f>HYPERLINK("https://www.wikidata.org/wiki/Q16683508", "Q16683508")</f>
        <v>0</v>
      </c>
      <c r="G3792" t="s">
        <v>2438</v>
      </c>
      <c r="H3792" t="s">
        <v>7011</v>
      </c>
      <c r="I3792" t="s">
        <v>9470</v>
      </c>
      <c r="J3792" t="s">
        <v>13086</v>
      </c>
      <c r="K3792" t="s">
        <v>17496</v>
      </c>
      <c r="L3792">
        <f>HYPERLINK("https://www2.assemblee-nationale.fr/sycomore/fiche/(num_dept)/4958", "4958")</f>
        <v>0</v>
      </c>
      <c r="N3792">
        <f>HYPERLINK("https://www.wikidata.org/wiki/Q2310999", "Q2310999")</f>
        <v>0</v>
      </c>
      <c r="O3792" t="s">
        <v>20027</v>
      </c>
      <c r="P3792" t="s">
        <v>20428</v>
      </c>
      <c r="Q3792" t="s">
        <v>20643</v>
      </c>
      <c r="R3792" t="s">
        <v>414</v>
      </c>
      <c r="S3792">
        <v>462</v>
      </c>
    </row>
    <row r="3793" spans="1:19">
      <c r="A3793" t="s">
        <v>24</v>
      </c>
      <c r="B3793" t="s">
        <v>148</v>
      </c>
      <c r="C3793" t="s">
        <v>156</v>
      </c>
      <c r="D3793" t="s">
        <v>285</v>
      </c>
      <c r="E3793" t="s">
        <v>414</v>
      </c>
      <c r="F3793">
        <f>HYPERLINK("https://www.wikidata.org/wiki/Q16683508", "Q16683508")</f>
        <v>0</v>
      </c>
      <c r="G3793" t="s">
        <v>2439</v>
      </c>
      <c r="H3793" t="s">
        <v>7012</v>
      </c>
      <c r="I3793" t="s">
        <v>10213</v>
      </c>
      <c r="J3793" t="s">
        <v>13087</v>
      </c>
      <c r="K3793" t="s">
        <v>17497</v>
      </c>
      <c r="L3793">
        <f>HYPERLINK("https://www2.assemblee-nationale.fr/sycomore/fiche/(num_dept)/1957", "1957")</f>
        <v>0</v>
      </c>
      <c r="N3793">
        <f>HYPERLINK("https://www.wikidata.org/wiki/Q2898802", "Q2898802")</f>
        <v>0</v>
      </c>
      <c r="O3793" t="s">
        <v>19970</v>
      </c>
      <c r="P3793" t="s">
        <v>20414</v>
      </c>
      <c r="Q3793" t="s">
        <v>17218</v>
      </c>
      <c r="R3793" t="s">
        <v>414</v>
      </c>
      <c r="S3793">
        <v>448</v>
      </c>
    </row>
    <row r="3794" spans="1:19">
      <c r="A3794" t="s">
        <v>24</v>
      </c>
      <c r="B3794" t="s">
        <v>148</v>
      </c>
      <c r="C3794" t="s">
        <v>156</v>
      </c>
      <c r="D3794" t="s">
        <v>285</v>
      </c>
      <c r="E3794" t="s">
        <v>414</v>
      </c>
      <c r="F3794">
        <f>HYPERLINK("https://www.wikidata.org/wiki/Q16683508", "Q16683508")</f>
        <v>0</v>
      </c>
      <c r="G3794" t="s">
        <v>2440</v>
      </c>
      <c r="H3794" t="s">
        <v>7013</v>
      </c>
      <c r="I3794" t="s">
        <v>6200</v>
      </c>
      <c r="J3794" t="s">
        <v>13088</v>
      </c>
      <c r="K3794" t="s">
        <v>17498</v>
      </c>
      <c r="L3794">
        <f>HYPERLINK("https://www2.assemblee-nationale.fr/sycomore/fiche/(num_dept)/6548", "6548")</f>
        <v>0</v>
      </c>
      <c r="N3794">
        <f>HYPERLINK("https://www.wikidata.org/wiki/Q3174183", "Q3174183")</f>
        <v>0</v>
      </c>
      <c r="O3794" t="s">
        <v>20007</v>
      </c>
      <c r="Q3794" t="s">
        <v>20644</v>
      </c>
      <c r="R3794" t="s">
        <v>414</v>
      </c>
      <c r="S3794">
        <v>441</v>
      </c>
    </row>
    <row r="3795" spans="1:19">
      <c r="A3795" t="s">
        <v>24</v>
      </c>
      <c r="B3795" t="s">
        <v>148</v>
      </c>
      <c r="C3795" t="s">
        <v>156</v>
      </c>
      <c r="D3795" t="s">
        <v>285</v>
      </c>
      <c r="E3795" t="s">
        <v>414</v>
      </c>
      <c r="F3795">
        <f>HYPERLINK("https://www.wikidata.org/wiki/Q16683508", "Q16683508")</f>
        <v>0</v>
      </c>
      <c r="G3795" t="s">
        <v>2441</v>
      </c>
      <c r="H3795" t="s">
        <v>7014</v>
      </c>
      <c r="I3795" t="s">
        <v>10214</v>
      </c>
      <c r="J3795" t="s">
        <v>13089</v>
      </c>
      <c r="K3795" t="s">
        <v>17499</v>
      </c>
      <c r="L3795">
        <f>HYPERLINK("https://www2.assemblee-nationale.fr/sycomore/fiche/(num_dept)/7814", "7814")</f>
        <v>0</v>
      </c>
      <c r="N3795">
        <f>HYPERLINK("https://www.wikidata.org/wiki/Q3471275", "Q3471275")</f>
        <v>0</v>
      </c>
      <c r="O3795" t="s">
        <v>19970</v>
      </c>
      <c r="Q3795" t="s">
        <v>20644</v>
      </c>
      <c r="R3795" t="s">
        <v>414</v>
      </c>
      <c r="S3795">
        <v>441</v>
      </c>
    </row>
    <row r="3796" spans="1:19">
      <c r="A3796" t="s">
        <v>24</v>
      </c>
      <c r="B3796" t="s">
        <v>148</v>
      </c>
      <c r="C3796" t="s">
        <v>156</v>
      </c>
      <c r="D3796" t="s">
        <v>285</v>
      </c>
      <c r="E3796" t="s">
        <v>414</v>
      </c>
      <c r="F3796">
        <f>HYPERLINK("https://www.wikidata.org/wiki/Q16683508", "Q16683508")</f>
        <v>0</v>
      </c>
      <c r="G3796" t="s">
        <v>2442</v>
      </c>
      <c r="H3796" t="s">
        <v>7015</v>
      </c>
      <c r="I3796" t="s">
        <v>9421</v>
      </c>
      <c r="J3796" t="s">
        <v>13090</v>
      </c>
      <c r="K3796" t="s">
        <v>17500</v>
      </c>
      <c r="L3796">
        <f>HYPERLINK("https://www2.assemblee-nationale.fr/sycomore/fiche/(num_dept)/2212", "2212")</f>
        <v>0</v>
      </c>
      <c r="N3796">
        <f>HYPERLINK("https://www.wikidata.org/wiki/Q3121154", "Q3121154")</f>
        <v>0</v>
      </c>
      <c r="O3796" t="s">
        <v>19968</v>
      </c>
      <c r="P3796" t="s">
        <v>20428</v>
      </c>
      <c r="Q3796" t="s">
        <v>20645</v>
      </c>
      <c r="R3796" t="s">
        <v>414</v>
      </c>
      <c r="S3796">
        <v>434</v>
      </c>
    </row>
    <row r="3797" spans="1:19">
      <c r="A3797" t="s">
        <v>24</v>
      </c>
      <c r="B3797" t="s">
        <v>148</v>
      </c>
      <c r="C3797" t="s">
        <v>156</v>
      </c>
      <c r="D3797" t="s">
        <v>285</v>
      </c>
      <c r="E3797" t="s">
        <v>414</v>
      </c>
      <c r="F3797">
        <f>HYPERLINK("https://www.wikidata.org/wiki/Q16683508", "Q16683508")</f>
        <v>0</v>
      </c>
      <c r="G3797" t="s">
        <v>2443</v>
      </c>
      <c r="H3797" t="s">
        <v>7016</v>
      </c>
      <c r="I3797" t="s">
        <v>9437</v>
      </c>
      <c r="J3797" t="s">
        <v>13091</v>
      </c>
      <c r="K3797" t="s">
        <v>360</v>
      </c>
      <c r="L3797">
        <f>HYPERLINK("https://www2.assemblee-nationale.fr/sycomore/fiche/(num_dept)/7498", "7498")</f>
        <v>0</v>
      </c>
      <c r="N3797">
        <f>HYPERLINK("https://www.wikidata.org/wiki/Q3588602", "Q3588602")</f>
        <v>0</v>
      </c>
      <c r="O3797" t="s">
        <v>20039</v>
      </c>
      <c r="P3797" t="s">
        <v>20428</v>
      </c>
      <c r="Q3797" t="s">
        <v>20646</v>
      </c>
      <c r="R3797" t="s">
        <v>414</v>
      </c>
      <c r="S3797">
        <v>427</v>
      </c>
    </row>
    <row r="3798" spans="1:19">
      <c r="A3798" t="s">
        <v>24</v>
      </c>
      <c r="B3798" t="s">
        <v>148</v>
      </c>
      <c r="C3798" t="s">
        <v>156</v>
      </c>
      <c r="D3798" t="s">
        <v>285</v>
      </c>
      <c r="E3798" t="s">
        <v>414</v>
      </c>
      <c r="F3798">
        <f>HYPERLINK("https://www.wikidata.org/wiki/Q16683508", "Q16683508")</f>
        <v>0</v>
      </c>
      <c r="G3798" t="s">
        <v>2444</v>
      </c>
      <c r="H3798" t="s">
        <v>7017</v>
      </c>
      <c r="I3798" t="s">
        <v>10215</v>
      </c>
      <c r="J3798" t="s">
        <v>13092</v>
      </c>
      <c r="K3798" t="s">
        <v>17501</v>
      </c>
      <c r="L3798">
        <f>HYPERLINK("https://www2.assemblee-nationale.fr/sycomore/fiche/(num_dept)/182", "182")</f>
        <v>0</v>
      </c>
      <c r="N3798">
        <f>HYPERLINK("https://www.wikidata.org/wiki/Q3184531", "Q3184531")</f>
        <v>0</v>
      </c>
      <c r="O3798" t="s">
        <v>19993</v>
      </c>
      <c r="Q3798" t="s">
        <v>20647</v>
      </c>
      <c r="R3798" t="s">
        <v>414</v>
      </c>
      <c r="S3798">
        <v>343</v>
      </c>
    </row>
    <row r="3799" spans="1:19">
      <c r="A3799" t="s">
        <v>24</v>
      </c>
      <c r="B3799" t="s">
        <v>148</v>
      </c>
      <c r="C3799" t="s">
        <v>156</v>
      </c>
      <c r="D3799" t="s">
        <v>285</v>
      </c>
      <c r="E3799" t="s">
        <v>414</v>
      </c>
      <c r="F3799">
        <f>HYPERLINK("https://www.wikidata.org/wiki/Q16683508", "Q16683508")</f>
        <v>0</v>
      </c>
      <c r="G3799" t="s">
        <v>2445</v>
      </c>
      <c r="H3799" t="s">
        <v>7018</v>
      </c>
      <c r="I3799" t="s">
        <v>10216</v>
      </c>
      <c r="J3799" t="s">
        <v>13093</v>
      </c>
      <c r="K3799" t="s">
        <v>17502</v>
      </c>
      <c r="L3799">
        <f>HYPERLINK("https://www2.assemblee-nationale.fr/sycomore/fiche/(num_dept)/498", "498")</f>
        <v>0</v>
      </c>
      <c r="N3799">
        <f>HYPERLINK("https://www.wikidata.org/wiki/Q2958491", "Q2958491")</f>
        <v>0</v>
      </c>
      <c r="O3799" t="s">
        <v>20026</v>
      </c>
      <c r="P3799" t="s">
        <v>20409</v>
      </c>
      <c r="Q3799" t="s">
        <v>20647</v>
      </c>
      <c r="R3799" t="s">
        <v>414</v>
      </c>
      <c r="S3799">
        <v>343</v>
      </c>
    </row>
    <row r="3800" spans="1:19">
      <c r="A3800" t="s">
        <v>24</v>
      </c>
      <c r="B3800" t="s">
        <v>148</v>
      </c>
      <c r="C3800" t="s">
        <v>156</v>
      </c>
      <c r="D3800" t="s">
        <v>285</v>
      </c>
      <c r="E3800" t="s">
        <v>414</v>
      </c>
      <c r="F3800">
        <f>HYPERLINK("https://www.wikidata.org/wiki/Q16683508", "Q16683508")</f>
        <v>0</v>
      </c>
      <c r="G3800" t="s">
        <v>2446</v>
      </c>
      <c r="H3800" t="s">
        <v>7019</v>
      </c>
      <c r="I3800" t="s">
        <v>9792</v>
      </c>
      <c r="J3800" t="s">
        <v>13094</v>
      </c>
      <c r="K3800" t="s">
        <v>17503</v>
      </c>
      <c r="L3800">
        <f>HYPERLINK("https://www2.assemblee-nationale.fr/sycomore/fiche/(num_dept)/453", "453")</f>
        <v>0</v>
      </c>
      <c r="N3800">
        <f>HYPERLINK("https://www.wikidata.org/wiki/Q3170620", "Q3170620")</f>
        <v>0</v>
      </c>
      <c r="O3800" t="s">
        <v>20042</v>
      </c>
      <c r="P3800" t="s">
        <v>20424</v>
      </c>
      <c r="Q3800" t="s">
        <v>20648</v>
      </c>
      <c r="R3800" t="s">
        <v>414</v>
      </c>
      <c r="S3800">
        <v>336</v>
      </c>
    </row>
    <row r="3801" spans="1:19">
      <c r="A3801" t="s">
        <v>24</v>
      </c>
      <c r="B3801" t="s">
        <v>148</v>
      </c>
      <c r="C3801" t="s">
        <v>156</v>
      </c>
      <c r="D3801" t="s">
        <v>285</v>
      </c>
      <c r="E3801" t="s">
        <v>414</v>
      </c>
      <c r="F3801">
        <f>HYPERLINK("https://www.wikidata.org/wiki/Q16683508", "Q16683508")</f>
        <v>0</v>
      </c>
      <c r="G3801" t="s">
        <v>2447</v>
      </c>
      <c r="H3801" t="s">
        <v>7020</v>
      </c>
      <c r="I3801" t="s">
        <v>9401</v>
      </c>
      <c r="J3801" t="s">
        <v>13095</v>
      </c>
      <c r="K3801" t="s">
        <v>17504</v>
      </c>
      <c r="L3801">
        <f>HYPERLINK("https://www2.assemblee-nationale.fr/sycomore/fiche/(num_dept)/7298", "7298")</f>
        <v>0</v>
      </c>
      <c r="N3801">
        <f>HYPERLINK("https://www.wikidata.org/wiki/Q2856798", "Q2856798")</f>
        <v>0</v>
      </c>
      <c r="O3801" t="s">
        <v>20005</v>
      </c>
      <c r="P3801" t="s">
        <v>20404</v>
      </c>
      <c r="Q3801" t="s">
        <v>20649</v>
      </c>
      <c r="R3801" t="s">
        <v>414</v>
      </c>
      <c r="S3801">
        <v>294</v>
      </c>
    </row>
    <row r="3802" spans="1:19">
      <c r="A3802" t="s">
        <v>24</v>
      </c>
      <c r="B3802" t="s">
        <v>148</v>
      </c>
      <c r="C3802" t="s">
        <v>156</v>
      </c>
      <c r="D3802" t="s">
        <v>285</v>
      </c>
      <c r="E3802" t="s">
        <v>414</v>
      </c>
      <c r="F3802">
        <f>HYPERLINK("https://www.wikidata.org/wiki/Q16683508", "Q16683508")</f>
        <v>0</v>
      </c>
      <c r="G3802" t="s">
        <v>2448</v>
      </c>
      <c r="H3802" t="s">
        <v>7021</v>
      </c>
      <c r="I3802" t="s">
        <v>10217</v>
      </c>
      <c r="J3802" t="s">
        <v>13096</v>
      </c>
      <c r="K3802" t="s">
        <v>15647</v>
      </c>
      <c r="L3802">
        <f>HYPERLINK("https://www2.assemblee-nationale.fr/sycomore/fiche/(num_dept)/1336", "1336")</f>
        <v>0</v>
      </c>
      <c r="N3802">
        <f>HYPERLINK("https://www.wikidata.org/wiki/Q3370781", "Q3370781")</f>
        <v>0</v>
      </c>
      <c r="O3802" t="s">
        <v>19958</v>
      </c>
      <c r="P3802" t="s">
        <v>20428</v>
      </c>
      <c r="Q3802" t="s">
        <v>20650</v>
      </c>
      <c r="R3802" t="s">
        <v>414</v>
      </c>
      <c r="S3802">
        <v>238</v>
      </c>
    </row>
    <row r="3803" spans="1:19">
      <c r="A3803" t="s">
        <v>24</v>
      </c>
      <c r="B3803" t="s">
        <v>148</v>
      </c>
      <c r="C3803" t="s">
        <v>156</v>
      </c>
      <c r="D3803" t="s">
        <v>285</v>
      </c>
      <c r="E3803" t="s">
        <v>414</v>
      </c>
      <c r="F3803">
        <f>HYPERLINK("https://www.wikidata.org/wiki/Q16683508", "Q16683508")</f>
        <v>0</v>
      </c>
      <c r="G3803" t="s">
        <v>2449</v>
      </c>
      <c r="H3803" t="s">
        <v>7022</v>
      </c>
      <c r="I3803" t="s">
        <v>10218</v>
      </c>
      <c r="J3803" t="s">
        <v>13097</v>
      </c>
      <c r="K3803" t="s">
        <v>17505</v>
      </c>
      <c r="L3803">
        <f>HYPERLINK("https://www2.assemblee-nationale.fr/sycomore/fiche/(num_dept)/858", "858")</f>
        <v>0</v>
      </c>
      <c r="N3803">
        <f>HYPERLINK("https://www.wikidata.org/wiki/Q2830966", "Q2830966")</f>
        <v>0</v>
      </c>
      <c r="O3803" t="s">
        <v>19980</v>
      </c>
      <c r="P3803" t="s">
        <v>20431</v>
      </c>
      <c r="Q3803" t="s">
        <v>20651</v>
      </c>
      <c r="R3803" t="s">
        <v>414</v>
      </c>
      <c r="S3803">
        <v>210</v>
      </c>
    </row>
    <row r="3804" spans="1:19">
      <c r="A3804" t="s">
        <v>24</v>
      </c>
      <c r="B3804" t="s">
        <v>148</v>
      </c>
      <c r="C3804" t="s">
        <v>156</v>
      </c>
      <c r="D3804" t="s">
        <v>285</v>
      </c>
      <c r="E3804" t="s">
        <v>414</v>
      </c>
      <c r="F3804">
        <f>HYPERLINK("https://www.wikidata.org/wiki/Q16683508", "Q16683508")</f>
        <v>0</v>
      </c>
      <c r="G3804" t="s">
        <v>2450</v>
      </c>
      <c r="H3804" t="s">
        <v>7023</v>
      </c>
      <c r="I3804" t="s">
        <v>10219</v>
      </c>
      <c r="J3804" t="s">
        <v>12280</v>
      </c>
      <c r="K3804" t="s">
        <v>17506</v>
      </c>
      <c r="L3804">
        <f>HYPERLINK("https://www2.assemblee-nationale.fr/sycomore/fiche/(num_dept)/5169", "5169")</f>
        <v>0</v>
      </c>
      <c r="N3804">
        <f>HYPERLINK("https://www.wikidata.org/wiki/Q2848284", "Q2848284")</f>
        <v>0</v>
      </c>
      <c r="O3804" t="s">
        <v>19989</v>
      </c>
      <c r="P3804" t="s">
        <v>20428</v>
      </c>
      <c r="Q3804" t="s">
        <v>20651</v>
      </c>
      <c r="R3804" t="s">
        <v>414</v>
      </c>
      <c r="S3804">
        <v>210</v>
      </c>
    </row>
    <row r="3805" spans="1:19">
      <c r="A3805" t="s">
        <v>24</v>
      </c>
      <c r="B3805" t="s">
        <v>148</v>
      </c>
      <c r="C3805" t="s">
        <v>156</v>
      </c>
      <c r="D3805" t="s">
        <v>285</v>
      </c>
      <c r="E3805" t="s">
        <v>414</v>
      </c>
      <c r="F3805">
        <f>HYPERLINK("https://www.wikidata.org/wiki/Q16683508", "Q16683508")</f>
        <v>0</v>
      </c>
      <c r="G3805" t="s">
        <v>2451</v>
      </c>
      <c r="H3805" t="s">
        <v>7024</v>
      </c>
      <c r="I3805" t="s">
        <v>10220</v>
      </c>
      <c r="J3805" t="s">
        <v>13098</v>
      </c>
      <c r="K3805" t="s">
        <v>17359</v>
      </c>
      <c r="L3805">
        <f>HYPERLINK("https://www2.assemblee-nationale.fr/sycomore/fiche/(num_dept)/778", "778")</f>
        <v>0</v>
      </c>
      <c r="N3805">
        <f>HYPERLINK("https://www.wikidata.org/wiki/Q3434705", "Q3434705")</f>
        <v>0</v>
      </c>
      <c r="O3805" t="s">
        <v>19995</v>
      </c>
      <c r="P3805" t="s">
        <v>20428</v>
      </c>
      <c r="Q3805" t="s">
        <v>20652</v>
      </c>
      <c r="R3805" t="s">
        <v>414</v>
      </c>
      <c r="S3805">
        <v>133</v>
      </c>
    </row>
    <row r="3806" spans="1:19">
      <c r="A3806" t="s">
        <v>24</v>
      </c>
      <c r="B3806" t="s">
        <v>148</v>
      </c>
      <c r="C3806" t="s">
        <v>156</v>
      </c>
      <c r="D3806" t="s">
        <v>285</v>
      </c>
      <c r="E3806" t="s">
        <v>414</v>
      </c>
      <c r="F3806">
        <f>HYPERLINK("https://www.wikidata.org/wiki/Q16683508", "Q16683508")</f>
        <v>0</v>
      </c>
      <c r="G3806" t="s">
        <v>2452</v>
      </c>
      <c r="H3806" t="s">
        <v>7025</v>
      </c>
      <c r="I3806" t="s">
        <v>10221</v>
      </c>
      <c r="J3806" t="s">
        <v>13099</v>
      </c>
      <c r="K3806" t="s">
        <v>17507</v>
      </c>
      <c r="L3806">
        <f>HYPERLINK("https://www2.assemblee-nationale.fr/sycomore/fiche/(num_dept)/51", "51")</f>
        <v>0</v>
      </c>
      <c r="N3806">
        <f>HYPERLINK("https://www.wikidata.org/wiki/Q2898764", "Q2898764")</f>
        <v>0</v>
      </c>
      <c r="O3806" t="s">
        <v>19956</v>
      </c>
      <c r="P3806" t="s">
        <v>20444</v>
      </c>
      <c r="Q3806" t="s">
        <v>20653</v>
      </c>
      <c r="R3806" t="s">
        <v>21453</v>
      </c>
      <c r="S3806">
        <v>2226</v>
      </c>
    </row>
    <row r="3807" spans="1:19">
      <c r="A3807" t="s">
        <v>24</v>
      </c>
      <c r="B3807" t="s">
        <v>148</v>
      </c>
      <c r="C3807" t="s">
        <v>156</v>
      </c>
      <c r="D3807" t="s">
        <v>285</v>
      </c>
      <c r="E3807" t="s">
        <v>414</v>
      </c>
      <c r="F3807">
        <f>HYPERLINK("https://www.wikidata.org/wiki/Q16683508", "Q16683508")</f>
        <v>0</v>
      </c>
      <c r="G3807" t="s">
        <v>2453</v>
      </c>
      <c r="H3807" t="s">
        <v>7026</v>
      </c>
      <c r="I3807" t="s">
        <v>9552</v>
      </c>
      <c r="J3807" t="s">
        <v>13100</v>
      </c>
      <c r="K3807" t="s">
        <v>17508</v>
      </c>
      <c r="L3807">
        <f>HYPERLINK("https://www2.assemblee-nationale.fr/sycomore/fiche/(num_dept)/75", "75")</f>
        <v>0</v>
      </c>
      <c r="M3807">
        <f>HYPERLINK("https://www.senat.fr/senateur-3eme-republique/albertini_augustin0254r3.html", "albertini_augustin0254r3")</f>
        <v>0</v>
      </c>
      <c r="N3807">
        <f>HYPERLINK("https://www.wikidata.org/wiki/Q2871022", "Q2871022")</f>
        <v>0</v>
      </c>
      <c r="O3807" t="s">
        <v>7411</v>
      </c>
      <c r="P3807" t="s">
        <v>20428</v>
      </c>
      <c r="Q3807" t="s">
        <v>20653</v>
      </c>
      <c r="R3807" t="s">
        <v>21454</v>
      </c>
      <c r="S3807">
        <v>1343</v>
      </c>
    </row>
    <row r="3808" spans="1:19">
      <c r="A3808" t="s">
        <v>24</v>
      </c>
      <c r="B3808" t="s">
        <v>148</v>
      </c>
      <c r="C3808" t="s">
        <v>156</v>
      </c>
      <c r="D3808" t="s">
        <v>285</v>
      </c>
      <c r="E3808" t="s">
        <v>414</v>
      </c>
      <c r="F3808">
        <f>HYPERLINK("https://www.wikidata.org/wiki/Q16683508", "Q16683508")</f>
        <v>0</v>
      </c>
      <c r="G3808" t="s">
        <v>1345</v>
      </c>
      <c r="H3808" t="s">
        <v>6063</v>
      </c>
      <c r="I3808" t="s">
        <v>5528</v>
      </c>
      <c r="J3808" t="s">
        <v>12072</v>
      </c>
      <c r="K3808" t="s">
        <v>16474</v>
      </c>
      <c r="L3808">
        <f>HYPERLINK("https://www2.assemblee-nationale.fr/sycomore/fiche/(num_dept)/185", "185")</f>
        <v>0</v>
      </c>
      <c r="N3808">
        <f>HYPERLINK("https://www.wikidata.org/wiki/Q3270682", "Q3270682")</f>
        <v>0</v>
      </c>
      <c r="O3808" t="s">
        <v>20044</v>
      </c>
      <c r="P3808" t="s">
        <v>20428</v>
      </c>
      <c r="Q3808" t="s">
        <v>20653</v>
      </c>
      <c r="R3808" t="s">
        <v>21453</v>
      </c>
      <c r="S3808">
        <v>2226</v>
      </c>
    </row>
    <row r="3809" spans="1:19">
      <c r="A3809" t="s">
        <v>24</v>
      </c>
      <c r="B3809" t="s">
        <v>148</v>
      </c>
      <c r="C3809" t="s">
        <v>156</v>
      </c>
      <c r="D3809" t="s">
        <v>285</v>
      </c>
      <c r="E3809" t="s">
        <v>414</v>
      </c>
      <c r="F3809">
        <f>HYPERLINK("https://www.wikidata.org/wiki/Q16683508", "Q16683508")</f>
        <v>0</v>
      </c>
      <c r="G3809" t="s">
        <v>1348</v>
      </c>
      <c r="H3809" t="s">
        <v>6066</v>
      </c>
      <c r="I3809" t="s">
        <v>9763</v>
      </c>
      <c r="J3809" t="s">
        <v>11375</v>
      </c>
      <c r="K3809" t="s">
        <v>16477</v>
      </c>
      <c r="L3809">
        <f>HYPERLINK("https://www2.assemblee-nationale.fr/sycomore/fiche/(num_dept)/253", "253")</f>
        <v>0</v>
      </c>
      <c r="N3809">
        <f>HYPERLINK("https://www.wikidata.org/wiki/Q3592397", "Q3592397")</f>
        <v>0</v>
      </c>
      <c r="O3809" t="s">
        <v>19957</v>
      </c>
      <c r="P3809" t="s">
        <v>20445</v>
      </c>
      <c r="Q3809" t="s">
        <v>20653</v>
      </c>
      <c r="R3809" t="s">
        <v>21453</v>
      </c>
      <c r="S3809">
        <v>2226</v>
      </c>
    </row>
    <row r="3810" spans="1:19">
      <c r="A3810" t="s">
        <v>24</v>
      </c>
      <c r="B3810" t="s">
        <v>148</v>
      </c>
      <c r="C3810" t="s">
        <v>156</v>
      </c>
      <c r="D3810" t="s">
        <v>285</v>
      </c>
      <c r="E3810" t="s">
        <v>414</v>
      </c>
      <c r="F3810">
        <f>HYPERLINK("https://www.wikidata.org/wiki/Q16683508", "Q16683508")</f>
        <v>0</v>
      </c>
      <c r="G3810" t="s">
        <v>1217</v>
      </c>
      <c r="H3810" t="s">
        <v>5622</v>
      </c>
      <c r="I3810" t="s">
        <v>5812</v>
      </c>
      <c r="J3810" t="s">
        <v>11949</v>
      </c>
      <c r="K3810" t="s">
        <v>16351</v>
      </c>
      <c r="L3810">
        <f>HYPERLINK("https://www2.assemblee-nationale.fr/sycomore/fiche/(num_dept)/285", "285")</f>
        <v>0</v>
      </c>
      <c r="N3810">
        <f>HYPERLINK("https://www.wikidata.org/wiki/Q158772", "Q158772")</f>
        <v>0</v>
      </c>
      <c r="O3810" t="s">
        <v>20016</v>
      </c>
      <c r="P3810" t="s">
        <v>20446</v>
      </c>
      <c r="Q3810" t="s">
        <v>20653</v>
      </c>
      <c r="R3810" t="s">
        <v>21453</v>
      </c>
      <c r="S3810">
        <v>2226</v>
      </c>
    </row>
    <row r="3811" spans="1:19">
      <c r="A3811" t="s">
        <v>24</v>
      </c>
      <c r="B3811" t="s">
        <v>148</v>
      </c>
      <c r="C3811" t="s">
        <v>156</v>
      </c>
      <c r="D3811" t="s">
        <v>285</v>
      </c>
      <c r="E3811" t="s">
        <v>414</v>
      </c>
      <c r="F3811">
        <f>HYPERLINK("https://www.wikidata.org/wiki/Q16683508", "Q16683508")</f>
        <v>0</v>
      </c>
      <c r="G3811" t="s">
        <v>2267</v>
      </c>
      <c r="H3811" t="s">
        <v>6867</v>
      </c>
      <c r="I3811" t="s">
        <v>9388</v>
      </c>
      <c r="J3811" t="s">
        <v>12925</v>
      </c>
      <c r="K3811" t="s">
        <v>17335</v>
      </c>
      <c r="L3811">
        <f>HYPERLINK("https://www2.assemblee-nationale.fr/sycomore/fiche/(num_dept)/322", "322")</f>
        <v>0</v>
      </c>
      <c r="N3811">
        <f>HYPERLINK("https://www.wikidata.org/wiki/Q3370541", "Q3370541")</f>
        <v>0</v>
      </c>
      <c r="O3811" t="s">
        <v>19968</v>
      </c>
      <c r="P3811" t="s">
        <v>20447</v>
      </c>
      <c r="Q3811" t="s">
        <v>20653</v>
      </c>
      <c r="R3811" t="s">
        <v>21453</v>
      </c>
      <c r="S3811">
        <v>2226</v>
      </c>
    </row>
    <row r="3812" spans="1:19">
      <c r="A3812" t="s">
        <v>24</v>
      </c>
      <c r="B3812" t="s">
        <v>148</v>
      </c>
      <c r="C3812" t="s">
        <v>156</v>
      </c>
      <c r="D3812" t="s">
        <v>285</v>
      </c>
      <c r="E3812" t="s">
        <v>414</v>
      </c>
      <c r="F3812">
        <f>HYPERLINK("https://www.wikidata.org/wiki/Q16683508", "Q16683508")</f>
        <v>0</v>
      </c>
      <c r="G3812" t="s">
        <v>1990</v>
      </c>
      <c r="H3812" t="s">
        <v>6628</v>
      </c>
      <c r="I3812" t="s">
        <v>9426</v>
      </c>
      <c r="J3812" t="s">
        <v>12669</v>
      </c>
      <c r="K3812" t="s">
        <v>17081</v>
      </c>
      <c r="L3812">
        <f>HYPERLINK("https://www2.assemblee-nationale.fr/sycomore/fiche/(num_dept)/392", "392")</f>
        <v>0</v>
      </c>
      <c r="N3812">
        <f>HYPERLINK("https://www.wikidata.org/wiki/Q15973463", "Q15973463")</f>
        <v>0</v>
      </c>
      <c r="O3812" t="s">
        <v>19998</v>
      </c>
      <c r="P3812" t="s">
        <v>20409</v>
      </c>
      <c r="Q3812" t="s">
        <v>20653</v>
      </c>
      <c r="R3812" t="s">
        <v>17081</v>
      </c>
      <c r="S3812">
        <v>1236</v>
      </c>
    </row>
    <row r="3813" spans="1:19">
      <c r="A3813" t="s">
        <v>24</v>
      </c>
      <c r="B3813" t="s">
        <v>148</v>
      </c>
      <c r="C3813" t="s">
        <v>156</v>
      </c>
      <c r="D3813" t="s">
        <v>285</v>
      </c>
      <c r="E3813" t="s">
        <v>414</v>
      </c>
      <c r="F3813">
        <f>HYPERLINK("https://www.wikidata.org/wiki/Q16683508", "Q16683508")</f>
        <v>0</v>
      </c>
      <c r="G3813" t="s">
        <v>2454</v>
      </c>
      <c r="H3813" t="s">
        <v>7027</v>
      </c>
      <c r="I3813" t="s">
        <v>10222</v>
      </c>
      <c r="J3813" t="s">
        <v>13101</v>
      </c>
      <c r="K3813" t="s">
        <v>17509</v>
      </c>
      <c r="L3813">
        <f>HYPERLINK("https://www2.assemblee-nationale.fr/sycomore/fiche/(num_dept)/402", "402")</f>
        <v>0</v>
      </c>
      <c r="N3813">
        <f>HYPERLINK("https://www.wikidata.org/wiki/Q3052159", "Q3052159")</f>
        <v>0</v>
      </c>
      <c r="O3813" t="s">
        <v>20023</v>
      </c>
      <c r="P3813" t="s">
        <v>20444</v>
      </c>
      <c r="Q3813" t="s">
        <v>20653</v>
      </c>
      <c r="R3813" t="s">
        <v>21453</v>
      </c>
      <c r="S3813">
        <v>2226</v>
      </c>
    </row>
    <row r="3814" spans="1:19">
      <c r="A3814" t="s">
        <v>24</v>
      </c>
      <c r="B3814" t="s">
        <v>148</v>
      </c>
      <c r="C3814" t="s">
        <v>156</v>
      </c>
      <c r="D3814" t="s">
        <v>285</v>
      </c>
      <c r="E3814" t="s">
        <v>414</v>
      </c>
      <c r="F3814">
        <f>HYPERLINK("https://www.wikidata.org/wiki/Q16683508", "Q16683508")</f>
        <v>0</v>
      </c>
      <c r="G3814" t="s">
        <v>1355</v>
      </c>
      <c r="H3814" t="s">
        <v>6073</v>
      </c>
      <c r="I3814" t="s">
        <v>5528</v>
      </c>
      <c r="J3814" t="s">
        <v>12081</v>
      </c>
      <c r="K3814" t="s">
        <v>16484</v>
      </c>
      <c r="L3814">
        <f>HYPERLINK("https://www2.assemblee-nationale.fr/sycomore/fiche/(num_dept)/409", "409")</f>
        <v>0</v>
      </c>
      <c r="N3814">
        <f>HYPERLINK("https://www.wikidata.org/wiki/Q3270710", "Q3270710")</f>
        <v>0</v>
      </c>
      <c r="O3814" t="s">
        <v>20024</v>
      </c>
      <c r="P3814" t="s">
        <v>20447</v>
      </c>
      <c r="Q3814" t="s">
        <v>20653</v>
      </c>
      <c r="R3814" t="s">
        <v>21453</v>
      </c>
      <c r="S3814">
        <v>2226</v>
      </c>
    </row>
    <row r="3815" spans="1:19">
      <c r="A3815" t="s">
        <v>24</v>
      </c>
      <c r="B3815" t="s">
        <v>148</v>
      </c>
      <c r="C3815" t="s">
        <v>156</v>
      </c>
      <c r="D3815" t="s">
        <v>285</v>
      </c>
      <c r="E3815" t="s">
        <v>414</v>
      </c>
      <c r="F3815">
        <f>HYPERLINK("https://www.wikidata.org/wiki/Q16683508", "Q16683508")</f>
        <v>0</v>
      </c>
      <c r="G3815" t="s">
        <v>511</v>
      </c>
      <c r="H3815" t="s">
        <v>5276</v>
      </c>
      <c r="I3815" t="s">
        <v>9375</v>
      </c>
      <c r="J3815" t="s">
        <v>11263</v>
      </c>
      <c r="K3815" t="s">
        <v>15663</v>
      </c>
      <c r="L3815">
        <f>HYPERLINK("https://www2.assemblee-nationale.fr/sycomore/fiche/(num_dept)/442", "442")</f>
        <v>0</v>
      </c>
      <c r="N3815">
        <f>HYPERLINK("https://www.wikidata.org/wiki/Q3579735", "Q3579735")</f>
        <v>0</v>
      </c>
      <c r="O3815" t="s">
        <v>7411</v>
      </c>
      <c r="P3815" t="s">
        <v>20448</v>
      </c>
      <c r="Q3815" t="s">
        <v>20653</v>
      </c>
      <c r="R3815" t="s">
        <v>21453</v>
      </c>
      <c r="S3815">
        <v>2226</v>
      </c>
    </row>
    <row r="3816" spans="1:19">
      <c r="A3816" t="s">
        <v>24</v>
      </c>
      <c r="B3816" t="s">
        <v>148</v>
      </c>
      <c r="C3816" t="s">
        <v>156</v>
      </c>
      <c r="D3816" t="s">
        <v>285</v>
      </c>
      <c r="E3816" t="s">
        <v>414</v>
      </c>
      <c r="F3816">
        <f>HYPERLINK("https://www.wikidata.org/wiki/Q16683508", "Q16683508")</f>
        <v>0</v>
      </c>
      <c r="G3816" t="s">
        <v>2455</v>
      </c>
      <c r="H3816" t="s">
        <v>7028</v>
      </c>
      <c r="I3816" t="s">
        <v>10223</v>
      </c>
      <c r="J3816" t="s">
        <v>13102</v>
      </c>
      <c r="K3816" t="s">
        <v>17510</v>
      </c>
      <c r="L3816">
        <f>HYPERLINK("https://www2.assemblee-nationale.fr/sycomore/fiche/(num_dept)/475", "475")</f>
        <v>0</v>
      </c>
      <c r="N3816">
        <f>HYPERLINK("https://www.wikidata.org/wiki/Q3184572", "Q3184572")</f>
        <v>0</v>
      </c>
      <c r="O3816" t="s">
        <v>19967</v>
      </c>
      <c r="P3816" t="s">
        <v>20444</v>
      </c>
      <c r="Q3816" t="s">
        <v>20653</v>
      </c>
      <c r="R3816" t="s">
        <v>21453</v>
      </c>
      <c r="S3816">
        <v>2226</v>
      </c>
    </row>
    <row r="3817" spans="1:19">
      <c r="A3817" t="s">
        <v>24</v>
      </c>
      <c r="B3817" t="s">
        <v>148</v>
      </c>
      <c r="C3817" t="s">
        <v>156</v>
      </c>
      <c r="D3817" t="s">
        <v>285</v>
      </c>
      <c r="E3817" t="s">
        <v>414</v>
      </c>
      <c r="F3817">
        <f>HYPERLINK("https://www.wikidata.org/wiki/Q16683508", "Q16683508")</f>
        <v>0</v>
      </c>
      <c r="G3817" t="s">
        <v>1941</v>
      </c>
      <c r="H3817" t="s">
        <v>6586</v>
      </c>
      <c r="I3817" t="s">
        <v>10008</v>
      </c>
      <c r="J3817" t="s">
        <v>12625</v>
      </c>
      <c r="K3817" t="s">
        <v>17036</v>
      </c>
      <c r="L3817">
        <f>HYPERLINK("https://www2.assemblee-nationale.fr/sycomore/fiche/(num_dept)/497", "497")</f>
        <v>0</v>
      </c>
      <c r="N3817">
        <f>HYPERLINK("https://www.wikidata.org/wiki/Q3383900", "Q3383900")</f>
        <v>0</v>
      </c>
      <c r="O3817" t="s">
        <v>19973</v>
      </c>
      <c r="P3817" t="s">
        <v>20449</v>
      </c>
      <c r="Q3817" t="s">
        <v>20653</v>
      </c>
      <c r="R3817" t="s">
        <v>21453</v>
      </c>
      <c r="S3817">
        <v>2226</v>
      </c>
    </row>
    <row r="3818" spans="1:19">
      <c r="A3818" t="s">
        <v>24</v>
      </c>
      <c r="B3818" t="s">
        <v>148</v>
      </c>
      <c r="C3818" t="s">
        <v>156</v>
      </c>
      <c r="D3818" t="s">
        <v>285</v>
      </c>
      <c r="E3818" t="s">
        <v>414</v>
      </c>
      <c r="F3818">
        <f>HYPERLINK("https://www.wikidata.org/wiki/Q16683508", "Q16683508")</f>
        <v>0</v>
      </c>
      <c r="G3818" t="s">
        <v>2272</v>
      </c>
      <c r="H3818" t="s">
        <v>6871</v>
      </c>
      <c r="I3818" t="s">
        <v>6585</v>
      </c>
      <c r="J3818" t="s">
        <v>12930</v>
      </c>
      <c r="K3818" t="s">
        <v>17339</v>
      </c>
      <c r="L3818">
        <f>HYPERLINK("https://www2.assemblee-nationale.fr/sycomore/fiche/(num_dept)/532", "532")</f>
        <v>0</v>
      </c>
      <c r="N3818">
        <f>HYPERLINK("https://www.wikidata.org/wiki/Q2847242", "Q2847242")</f>
        <v>0</v>
      </c>
      <c r="O3818" t="s">
        <v>20030</v>
      </c>
      <c r="P3818" t="s">
        <v>20447</v>
      </c>
      <c r="Q3818" t="s">
        <v>20653</v>
      </c>
      <c r="R3818" t="s">
        <v>21453</v>
      </c>
      <c r="S3818">
        <v>2226</v>
      </c>
    </row>
    <row r="3819" spans="1:19">
      <c r="A3819" t="s">
        <v>24</v>
      </c>
      <c r="B3819" t="s">
        <v>148</v>
      </c>
      <c r="C3819" t="s">
        <v>156</v>
      </c>
      <c r="D3819" t="s">
        <v>285</v>
      </c>
      <c r="E3819" t="s">
        <v>414</v>
      </c>
      <c r="F3819">
        <f>HYPERLINK("https://www.wikidata.org/wiki/Q16683508", "Q16683508")</f>
        <v>0</v>
      </c>
      <c r="G3819" t="s">
        <v>871</v>
      </c>
      <c r="H3819" t="s">
        <v>5627</v>
      </c>
      <c r="I3819" t="s">
        <v>6584</v>
      </c>
      <c r="J3819" t="s">
        <v>11617</v>
      </c>
      <c r="K3819" t="s">
        <v>16019</v>
      </c>
      <c r="L3819">
        <f>HYPERLINK("https://www2.assemblee-nationale.fr/sycomore/fiche/(num_dept)/564", "564")</f>
        <v>0</v>
      </c>
      <c r="N3819">
        <f>HYPERLINK("https://www.wikidata.org/wiki/Q2830945", "Q2830945")</f>
        <v>0</v>
      </c>
      <c r="O3819" t="s">
        <v>20016</v>
      </c>
      <c r="P3819" t="s">
        <v>20446</v>
      </c>
      <c r="Q3819" t="s">
        <v>20653</v>
      </c>
      <c r="R3819" t="s">
        <v>21453</v>
      </c>
      <c r="S3819">
        <v>2226</v>
      </c>
    </row>
    <row r="3820" spans="1:19">
      <c r="A3820" t="s">
        <v>24</v>
      </c>
      <c r="B3820" t="s">
        <v>148</v>
      </c>
      <c r="C3820" t="s">
        <v>156</v>
      </c>
      <c r="D3820" t="s">
        <v>285</v>
      </c>
      <c r="E3820" t="s">
        <v>414</v>
      </c>
      <c r="F3820">
        <f>HYPERLINK("https://www.wikidata.org/wiki/Q16683508", "Q16683508")</f>
        <v>0</v>
      </c>
      <c r="G3820" t="s">
        <v>2416</v>
      </c>
      <c r="H3820" t="s">
        <v>6991</v>
      </c>
      <c r="I3820" t="s">
        <v>9389</v>
      </c>
      <c r="J3820" t="s">
        <v>13066</v>
      </c>
      <c r="K3820" t="s">
        <v>16380</v>
      </c>
      <c r="L3820">
        <f>HYPERLINK("https://www2.assemblee-nationale.fr/sycomore/fiche/(num_dept)/675", "675")</f>
        <v>0</v>
      </c>
      <c r="N3820">
        <f>HYPERLINK("https://www.wikidata.org/wiki/Q3588339", "Q3588339")</f>
        <v>0</v>
      </c>
      <c r="O3820" t="s">
        <v>20016</v>
      </c>
      <c r="P3820" t="s">
        <v>20446</v>
      </c>
      <c r="Q3820" t="s">
        <v>20653</v>
      </c>
      <c r="R3820" t="s">
        <v>21453</v>
      </c>
      <c r="S3820">
        <v>2226</v>
      </c>
    </row>
    <row r="3821" spans="1:19">
      <c r="A3821" t="s">
        <v>24</v>
      </c>
      <c r="B3821" t="s">
        <v>148</v>
      </c>
      <c r="C3821" t="s">
        <v>156</v>
      </c>
      <c r="D3821" t="s">
        <v>285</v>
      </c>
      <c r="E3821" t="s">
        <v>414</v>
      </c>
      <c r="F3821">
        <f>HYPERLINK("https://www.wikidata.org/wiki/Q16683508", "Q16683508")</f>
        <v>0</v>
      </c>
      <c r="G3821" t="s">
        <v>2456</v>
      </c>
      <c r="H3821" t="s">
        <v>7029</v>
      </c>
      <c r="I3821" t="s">
        <v>10224</v>
      </c>
      <c r="J3821" t="s">
        <v>13103</v>
      </c>
      <c r="K3821" t="s">
        <v>17511</v>
      </c>
      <c r="L3821">
        <f>HYPERLINK("https://www2.assemblee-nationale.fr/sycomore/fiche/(num_dept)/705", "705")</f>
        <v>0</v>
      </c>
      <c r="N3821">
        <f>HYPERLINK("https://www.wikidata.org/wiki/Q3170723", "Q3170723")</f>
        <v>0</v>
      </c>
      <c r="O3821" t="s">
        <v>20018</v>
      </c>
      <c r="P3821" t="s">
        <v>20444</v>
      </c>
      <c r="Q3821" t="s">
        <v>20653</v>
      </c>
      <c r="R3821" t="s">
        <v>21453</v>
      </c>
      <c r="S3821">
        <v>2226</v>
      </c>
    </row>
    <row r="3822" spans="1:19">
      <c r="A3822" t="s">
        <v>24</v>
      </c>
      <c r="B3822" t="s">
        <v>148</v>
      </c>
      <c r="C3822" t="s">
        <v>156</v>
      </c>
      <c r="D3822" t="s">
        <v>285</v>
      </c>
      <c r="E3822" t="s">
        <v>414</v>
      </c>
      <c r="F3822">
        <f>HYPERLINK("https://www.wikidata.org/wiki/Q16683508", "Q16683508")</f>
        <v>0</v>
      </c>
      <c r="G3822" t="s">
        <v>1224</v>
      </c>
      <c r="H3822" t="s">
        <v>5630</v>
      </c>
      <c r="I3822" t="s">
        <v>9712</v>
      </c>
      <c r="J3822" t="s">
        <v>11956</v>
      </c>
      <c r="K3822" t="s">
        <v>16358</v>
      </c>
      <c r="L3822">
        <f>HYPERLINK("https://www2.assemblee-nationale.fr/sycomore/fiche/(num_dept)/748", "748")</f>
        <v>0</v>
      </c>
      <c r="M3822">
        <f>HYPERLINK("https://www.senat.fr/senateur-3eme-republique/bertrand_williams0414r3.html", "bertrand_williams0414r3")</f>
        <v>0</v>
      </c>
      <c r="N3822">
        <f>HYPERLINK("https://www.wikidata.org/wiki/Q3568432", "Q3568432")</f>
        <v>0</v>
      </c>
      <c r="O3822" t="s">
        <v>20037</v>
      </c>
      <c r="P3822" t="s">
        <v>20428</v>
      </c>
      <c r="Q3822" t="s">
        <v>20653</v>
      </c>
      <c r="R3822" t="s">
        <v>21455</v>
      </c>
      <c r="S3822">
        <v>1005</v>
      </c>
    </row>
    <row r="3823" spans="1:19">
      <c r="A3823" t="s">
        <v>24</v>
      </c>
      <c r="B3823" t="s">
        <v>148</v>
      </c>
      <c r="C3823" t="s">
        <v>156</v>
      </c>
      <c r="D3823" t="s">
        <v>285</v>
      </c>
      <c r="E3823" t="s">
        <v>414</v>
      </c>
      <c r="F3823">
        <f>HYPERLINK("https://www.wikidata.org/wiki/Q16683508", "Q16683508")</f>
        <v>0</v>
      </c>
      <c r="G3823" t="s">
        <v>2274</v>
      </c>
      <c r="H3823" t="s">
        <v>6873</v>
      </c>
      <c r="I3823" t="s">
        <v>10148</v>
      </c>
      <c r="J3823" t="s">
        <v>12932</v>
      </c>
      <c r="K3823" t="s">
        <v>17341</v>
      </c>
      <c r="L3823">
        <f>HYPERLINK("https://www2.assemblee-nationale.fr/sycomore/fiche/(num_dept)/753", "753")</f>
        <v>0</v>
      </c>
      <c r="N3823">
        <f>HYPERLINK("https://www.wikidata.org/wiki/Q3425843", "Q3425843")</f>
        <v>0</v>
      </c>
      <c r="O3823" t="s">
        <v>19974</v>
      </c>
      <c r="P3823" t="s">
        <v>20409</v>
      </c>
      <c r="Q3823" t="s">
        <v>20653</v>
      </c>
      <c r="R3823" t="s">
        <v>21453</v>
      </c>
      <c r="S3823">
        <v>2226</v>
      </c>
    </row>
    <row r="3824" spans="1:19">
      <c r="A3824" t="s">
        <v>24</v>
      </c>
      <c r="B3824" t="s">
        <v>148</v>
      </c>
      <c r="C3824" t="s">
        <v>156</v>
      </c>
      <c r="D3824" t="s">
        <v>285</v>
      </c>
      <c r="E3824" t="s">
        <v>414</v>
      </c>
      <c r="F3824">
        <f>HYPERLINK("https://www.wikidata.org/wiki/Q16683508", "Q16683508")</f>
        <v>0</v>
      </c>
      <c r="G3824" t="s">
        <v>1225</v>
      </c>
      <c r="H3824" t="s">
        <v>5950</v>
      </c>
      <c r="I3824" t="s">
        <v>9506</v>
      </c>
      <c r="J3824" t="s">
        <v>11957</v>
      </c>
      <c r="K3824" t="s">
        <v>16359</v>
      </c>
      <c r="L3824">
        <f>HYPERLINK("https://www2.assemblee-nationale.fr/sycomore/fiche/(num_dept)/842", "842")</f>
        <v>0</v>
      </c>
      <c r="N3824">
        <f>HYPERLINK("https://www.wikidata.org/wiki/Q2934871", "Q2934871")</f>
        <v>0</v>
      </c>
      <c r="O3824" t="s">
        <v>20009</v>
      </c>
      <c r="P3824" t="s">
        <v>20444</v>
      </c>
      <c r="Q3824" t="s">
        <v>20653</v>
      </c>
      <c r="R3824" t="s">
        <v>21453</v>
      </c>
      <c r="S3824">
        <v>2226</v>
      </c>
    </row>
    <row r="3825" spans="1:19">
      <c r="A3825" t="s">
        <v>24</v>
      </c>
      <c r="B3825" t="s">
        <v>148</v>
      </c>
      <c r="C3825" t="s">
        <v>156</v>
      </c>
      <c r="D3825" t="s">
        <v>285</v>
      </c>
      <c r="E3825" t="s">
        <v>414</v>
      </c>
      <c r="F3825">
        <f>HYPERLINK("https://www.wikidata.org/wiki/Q16683508", "Q16683508")</f>
        <v>0</v>
      </c>
      <c r="G3825" t="s">
        <v>2007</v>
      </c>
      <c r="H3825" t="s">
        <v>6641</v>
      </c>
      <c r="I3825" t="s">
        <v>6166</v>
      </c>
      <c r="J3825" t="s">
        <v>12686</v>
      </c>
      <c r="K3825" t="s">
        <v>17095</v>
      </c>
      <c r="L3825">
        <f>HYPERLINK("https://www2.assemblee-nationale.fr/sycomore/fiche/(num_dept)/857", "857")</f>
        <v>0</v>
      </c>
      <c r="N3825">
        <f>HYPERLINK("https://www.wikidata.org/wiki/Q3083995", "Q3083995")</f>
        <v>0</v>
      </c>
      <c r="O3825" t="s">
        <v>20023</v>
      </c>
      <c r="P3825" t="s">
        <v>20446</v>
      </c>
      <c r="Q3825" t="s">
        <v>20653</v>
      </c>
      <c r="R3825" t="s">
        <v>21453</v>
      </c>
      <c r="S3825">
        <v>2226</v>
      </c>
    </row>
    <row r="3826" spans="1:19">
      <c r="A3826" t="s">
        <v>24</v>
      </c>
      <c r="B3826" t="s">
        <v>148</v>
      </c>
      <c r="C3826" t="s">
        <v>156</v>
      </c>
      <c r="D3826" t="s">
        <v>285</v>
      </c>
      <c r="E3826" t="s">
        <v>414</v>
      </c>
      <c r="F3826">
        <f>HYPERLINK("https://www.wikidata.org/wiki/Q16683508", "Q16683508")</f>
        <v>0</v>
      </c>
      <c r="G3826" t="s">
        <v>2449</v>
      </c>
      <c r="H3826" t="s">
        <v>7022</v>
      </c>
      <c r="I3826" t="s">
        <v>10218</v>
      </c>
      <c r="J3826" t="s">
        <v>13097</v>
      </c>
      <c r="K3826" t="s">
        <v>17505</v>
      </c>
      <c r="L3826">
        <f>HYPERLINK("https://www2.assemblee-nationale.fr/sycomore/fiche/(num_dept)/858", "858")</f>
        <v>0</v>
      </c>
      <c r="N3826">
        <f>HYPERLINK("https://www.wikidata.org/wiki/Q2830966", "Q2830966")</f>
        <v>0</v>
      </c>
      <c r="O3826" t="s">
        <v>19980</v>
      </c>
      <c r="P3826" t="s">
        <v>20450</v>
      </c>
      <c r="Q3826" t="s">
        <v>20653</v>
      </c>
      <c r="R3826" t="s">
        <v>21453</v>
      </c>
      <c r="S3826">
        <v>2226</v>
      </c>
    </row>
    <row r="3827" spans="1:19">
      <c r="A3827" t="s">
        <v>24</v>
      </c>
      <c r="B3827" t="s">
        <v>148</v>
      </c>
      <c r="C3827" t="s">
        <v>156</v>
      </c>
      <c r="D3827" t="s">
        <v>285</v>
      </c>
      <c r="E3827" t="s">
        <v>414</v>
      </c>
      <c r="F3827">
        <f>HYPERLINK("https://www.wikidata.org/wiki/Q16683508", "Q16683508")</f>
        <v>0</v>
      </c>
      <c r="G3827" t="s">
        <v>2457</v>
      </c>
      <c r="H3827" t="s">
        <v>7030</v>
      </c>
      <c r="I3827" t="s">
        <v>10225</v>
      </c>
      <c r="J3827" t="s">
        <v>13067</v>
      </c>
      <c r="K3827" t="s">
        <v>17512</v>
      </c>
      <c r="L3827">
        <f>HYPERLINK("https://www2.assemblee-nationale.fr/sycomore/fiche/(num_dept)/874", "874")</f>
        <v>0</v>
      </c>
      <c r="N3827">
        <f>HYPERLINK("https://www.wikidata.org/wiki/Q3587721", "Q3587721")</f>
        <v>0</v>
      </c>
      <c r="O3827" t="s">
        <v>20015</v>
      </c>
      <c r="P3827" t="s">
        <v>20446</v>
      </c>
      <c r="Q3827" t="s">
        <v>20653</v>
      </c>
      <c r="R3827" t="s">
        <v>21453</v>
      </c>
      <c r="S3827">
        <v>2226</v>
      </c>
    </row>
    <row r="3828" spans="1:19">
      <c r="A3828" t="s">
        <v>24</v>
      </c>
      <c r="B3828" t="s">
        <v>148</v>
      </c>
      <c r="C3828" t="s">
        <v>156</v>
      </c>
      <c r="D3828" t="s">
        <v>285</v>
      </c>
      <c r="E3828" t="s">
        <v>414</v>
      </c>
      <c r="F3828">
        <f>HYPERLINK("https://www.wikidata.org/wiki/Q16683508", "Q16683508")</f>
        <v>0</v>
      </c>
      <c r="G3828" t="s">
        <v>1380</v>
      </c>
      <c r="H3828" t="s">
        <v>6091</v>
      </c>
      <c r="I3828" t="s">
        <v>5528</v>
      </c>
      <c r="J3828" t="s">
        <v>12106</v>
      </c>
      <c r="K3828" t="s">
        <v>16507</v>
      </c>
      <c r="L3828">
        <f>HYPERLINK("https://www2.assemblee-nationale.fr/sycomore/fiche/(num_dept)/880", "880")</f>
        <v>0</v>
      </c>
      <c r="N3828">
        <f>HYPERLINK("https://www.wikidata.org/wiki/Q18434", "Q18434")</f>
        <v>0</v>
      </c>
      <c r="O3828" t="s">
        <v>19960</v>
      </c>
      <c r="P3828" t="s">
        <v>20446</v>
      </c>
      <c r="Q3828" t="s">
        <v>20653</v>
      </c>
      <c r="R3828" t="s">
        <v>21456</v>
      </c>
      <c r="S3828">
        <v>2033</v>
      </c>
    </row>
    <row r="3829" spans="1:19">
      <c r="A3829" t="s">
        <v>24</v>
      </c>
      <c r="B3829" t="s">
        <v>148</v>
      </c>
      <c r="C3829" t="s">
        <v>156</v>
      </c>
      <c r="D3829" t="s">
        <v>285</v>
      </c>
      <c r="E3829" t="s">
        <v>414</v>
      </c>
      <c r="F3829">
        <f>HYPERLINK("https://www.wikidata.org/wiki/Q16683508", "Q16683508")</f>
        <v>0</v>
      </c>
      <c r="G3829" t="s">
        <v>1724</v>
      </c>
      <c r="H3829" t="s">
        <v>6360</v>
      </c>
      <c r="I3829" t="s">
        <v>9912</v>
      </c>
      <c r="J3829" t="s">
        <v>12425</v>
      </c>
      <c r="K3829" t="s">
        <v>16833</v>
      </c>
      <c r="L3829">
        <f>HYPERLINK("https://www2.assemblee-nationale.fr/sycomore/fiche/(num_dept)/949", "949")</f>
        <v>0</v>
      </c>
      <c r="N3829">
        <f>HYPERLINK("https://www.wikidata.org/wiki/Q1262453", "Q1262453")</f>
        <v>0</v>
      </c>
      <c r="O3829" t="s">
        <v>20010</v>
      </c>
      <c r="P3829" t="s">
        <v>20428</v>
      </c>
      <c r="Q3829" t="s">
        <v>20653</v>
      </c>
      <c r="R3829" t="s">
        <v>21453</v>
      </c>
      <c r="S3829">
        <v>2226</v>
      </c>
    </row>
    <row r="3830" spans="1:19">
      <c r="A3830" t="s">
        <v>24</v>
      </c>
      <c r="B3830" t="s">
        <v>148</v>
      </c>
      <c r="C3830" t="s">
        <v>156</v>
      </c>
      <c r="D3830" t="s">
        <v>285</v>
      </c>
      <c r="E3830" t="s">
        <v>414</v>
      </c>
      <c r="F3830">
        <f>HYPERLINK("https://www.wikidata.org/wiki/Q16683508", "Q16683508")</f>
        <v>0</v>
      </c>
      <c r="G3830" t="s">
        <v>538</v>
      </c>
      <c r="H3830" t="s">
        <v>5302</v>
      </c>
      <c r="I3830" t="s">
        <v>5592</v>
      </c>
      <c r="J3830" t="s">
        <v>11290</v>
      </c>
      <c r="K3830" t="s">
        <v>15690</v>
      </c>
      <c r="L3830">
        <f>HYPERLINK("https://www2.assemblee-nationale.fr/sycomore/fiche/(num_dept)/955", "955")</f>
        <v>0</v>
      </c>
      <c r="M3830">
        <f>HYPERLINK("https://www.senat.fr/senateur-3eme-republique/bonnevay_laurent1123r3.html", "bonnevay_laurent1123r3")</f>
        <v>0</v>
      </c>
      <c r="N3830">
        <f>HYPERLINK("https://www.wikidata.org/wiki/Q3219051", "Q3219051")</f>
        <v>0</v>
      </c>
      <c r="O3830" t="s">
        <v>19965</v>
      </c>
      <c r="P3830" t="s">
        <v>20447</v>
      </c>
      <c r="Q3830" t="s">
        <v>20653</v>
      </c>
      <c r="R3830" t="s">
        <v>21453</v>
      </c>
      <c r="S3830">
        <v>2226</v>
      </c>
    </row>
    <row r="3831" spans="1:19">
      <c r="A3831" t="s">
        <v>24</v>
      </c>
      <c r="B3831" t="s">
        <v>148</v>
      </c>
      <c r="C3831" t="s">
        <v>156</v>
      </c>
      <c r="D3831" t="s">
        <v>285</v>
      </c>
      <c r="E3831" t="s">
        <v>414</v>
      </c>
      <c r="F3831">
        <f>HYPERLINK("https://www.wikidata.org/wiki/Q16683508", "Q16683508")</f>
        <v>0</v>
      </c>
      <c r="G3831" t="s">
        <v>2239</v>
      </c>
      <c r="H3831" t="s">
        <v>6845</v>
      </c>
      <c r="I3831" t="s">
        <v>6200</v>
      </c>
      <c r="J3831" t="s">
        <v>12900</v>
      </c>
      <c r="K3831" t="s">
        <v>16751</v>
      </c>
      <c r="L3831">
        <f>HYPERLINK("https://www2.assemblee-nationale.fr/sycomore/fiche/(num_dept)/1109", "1109")</f>
        <v>0</v>
      </c>
      <c r="N3831">
        <f>HYPERLINK("https://www.wikidata.org/wiki/Q3170940", "Q3170940")</f>
        <v>0</v>
      </c>
      <c r="O3831" t="s">
        <v>19960</v>
      </c>
      <c r="P3831" t="s">
        <v>20428</v>
      </c>
      <c r="Q3831" t="s">
        <v>20653</v>
      </c>
      <c r="R3831" t="s">
        <v>21453</v>
      </c>
      <c r="S3831">
        <v>2226</v>
      </c>
    </row>
    <row r="3832" spans="1:19">
      <c r="A3832" t="s">
        <v>24</v>
      </c>
      <c r="B3832" t="s">
        <v>148</v>
      </c>
      <c r="C3832" t="s">
        <v>156</v>
      </c>
      <c r="D3832" t="s">
        <v>285</v>
      </c>
      <c r="E3832" t="s">
        <v>414</v>
      </c>
      <c r="F3832">
        <f>HYPERLINK("https://www.wikidata.org/wiki/Q16683508", "Q16683508")</f>
        <v>0</v>
      </c>
      <c r="G3832" t="s">
        <v>1734</v>
      </c>
      <c r="H3832" t="s">
        <v>6407</v>
      </c>
      <c r="I3832" t="s">
        <v>9916</v>
      </c>
      <c r="J3832" t="s">
        <v>12435</v>
      </c>
      <c r="K3832" t="s">
        <v>16843</v>
      </c>
      <c r="L3832">
        <f>HYPERLINK("https://www2.assemblee-nationale.fr/sycomore/fiche/(num_dept)/1195", "1195")</f>
        <v>0</v>
      </c>
      <c r="N3832">
        <f>HYPERLINK("https://www.wikidata.org/wiki/Q3102377", "Q3102377")</f>
        <v>0</v>
      </c>
      <c r="O3832" t="s">
        <v>19998</v>
      </c>
      <c r="P3832" t="s">
        <v>20409</v>
      </c>
      <c r="Q3832" t="s">
        <v>20653</v>
      </c>
      <c r="R3832" t="s">
        <v>21453</v>
      </c>
      <c r="S3832">
        <v>2226</v>
      </c>
    </row>
    <row r="3833" spans="1:19">
      <c r="A3833" t="s">
        <v>24</v>
      </c>
      <c r="B3833" t="s">
        <v>148</v>
      </c>
      <c r="C3833" t="s">
        <v>156</v>
      </c>
      <c r="D3833" t="s">
        <v>285</v>
      </c>
      <c r="E3833" t="s">
        <v>414</v>
      </c>
      <c r="F3833">
        <f>HYPERLINK("https://www.wikidata.org/wiki/Q16683508", "Q16683508")</f>
        <v>0</v>
      </c>
      <c r="G3833" t="s">
        <v>1741</v>
      </c>
      <c r="H3833" t="s">
        <v>5650</v>
      </c>
      <c r="I3833" t="s">
        <v>9921</v>
      </c>
      <c r="J3833" t="s">
        <v>12442</v>
      </c>
      <c r="K3833" t="s">
        <v>16849</v>
      </c>
      <c r="L3833">
        <f>HYPERLINK("https://www2.assemblee-nationale.fr/sycomore/fiche/(num_dept)/1283", "1283")</f>
        <v>0</v>
      </c>
      <c r="N3833">
        <f>HYPERLINK("https://www.wikidata.org/wiki/Q2871093", "Q2871093")</f>
        <v>0</v>
      </c>
      <c r="O3833" t="s">
        <v>19963</v>
      </c>
      <c r="P3833" t="s">
        <v>20448</v>
      </c>
      <c r="Q3833" t="s">
        <v>20653</v>
      </c>
      <c r="R3833" t="s">
        <v>21453</v>
      </c>
      <c r="S3833">
        <v>2226</v>
      </c>
    </row>
    <row r="3834" spans="1:19">
      <c r="A3834" t="s">
        <v>24</v>
      </c>
      <c r="B3834" t="s">
        <v>148</v>
      </c>
      <c r="C3834" t="s">
        <v>156</v>
      </c>
      <c r="D3834" t="s">
        <v>285</v>
      </c>
      <c r="E3834" t="s">
        <v>414</v>
      </c>
      <c r="F3834">
        <f>HYPERLINK("https://www.wikidata.org/wiki/Q16683508", "Q16683508")</f>
        <v>0</v>
      </c>
      <c r="G3834" t="s">
        <v>2280</v>
      </c>
      <c r="H3834" t="s">
        <v>6878</v>
      </c>
      <c r="I3834" t="s">
        <v>10154</v>
      </c>
      <c r="J3834" t="s">
        <v>12612</v>
      </c>
      <c r="K3834" t="s">
        <v>16518</v>
      </c>
      <c r="L3834">
        <f>HYPERLINK("https://www2.assemblee-nationale.fr/sycomore/fiche/(num_dept)/1322", "1322")</f>
        <v>0</v>
      </c>
      <c r="N3834">
        <f>HYPERLINK("https://www.wikidata.org/wiki/Q551771", "Q551771")</f>
        <v>0</v>
      </c>
      <c r="O3834" t="s">
        <v>20049</v>
      </c>
      <c r="P3834" t="s">
        <v>20451</v>
      </c>
      <c r="Q3834" t="s">
        <v>20653</v>
      </c>
      <c r="R3834" t="s">
        <v>21453</v>
      </c>
      <c r="S3834">
        <v>2226</v>
      </c>
    </row>
    <row r="3835" spans="1:19">
      <c r="A3835" t="s">
        <v>24</v>
      </c>
      <c r="B3835" t="s">
        <v>148</v>
      </c>
      <c r="C3835" t="s">
        <v>156</v>
      </c>
      <c r="D3835" t="s">
        <v>285</v>
      </c>
      <c r="E3835" t="s">
        <v>414</v>
      </c>
      <c r="F3835">
        <f>HYPERLINK("https://www.wikidata.org/wiki/Q16683508", "Q16683508")</f>
        <v>0</v>
      </c>
      <c r="G3835" t="s">
        <v>2023</v>
      </c>
      <c r="H3835" t="s">
        <v>6655</v>
      </c>
      <c r="I3835" t="s">
        <v>10052</v>
      </c>
      <c r="J3835" t="s">
        <v>12698</v>
      </c>
      <c r="K3835" t="s">
        <v>17110</v>
      </c>
      <c r="L3835">
        <f>HYPERLINK("https://www2.assemblee-nationale.fr/sycomore/fiche/(num_dept)/1323", "1323")</f>
        <v>0</v>
      </c>
      <c r="N3835">
        <f>HYPERLINK("https://www.wikidata.org/wiki/Q3425940", "Q3425940")</f>
        <v>0</v>
      </c>
      <c r="O3835" t="s">
        <v>19994</v>
      </c>
      <c r="P3835" t="s">
        <v>20446</v>
      </c>
      <c r="Q3835" t="s">
        <v>20653</v>
      </c>
      <c r="R3835" t="s">
        <v>21453</v>
      </c>
      <c r="S3835">
        <v>2226</v>
      </c>
    </row>
    <row r="3836" spans="1:19">
      <c r="A3836" t="s">
        <v>24</v>
      </c>
      <c r="B3836" t="s">
        <v>148</v>
      </c>
      <c r="C3836" t="s">
        <v>156</v>
      </c>
      <c r="D3836" t="s">
        <v>285</v>
      </c>
      <c r="E3836" t="s">
        <v>414</v>
      </c>
      <c r="F3836">
        <f>HYPERLINK("https://www.wikidata.org/wiki/Q16683508", "Q16683508")</f>
        <v>0</v>
      </c>
      <c r="G3836" t="s">
        <v>1743</v>
      </c>
      <c r="H3836" t="s">
        <v>6414</v>
      </c>
      <c r="I3836" t="s">
        <v>9923</v>
      </c>
      <c r="J3836" t="s">
        <v>12444</v>
      </c>
      <c r="K3836" t="s">
        <v>16851</v>
      </c>
      <c r="L3836">
        <f>HYPERLINK("https://www2.assemblee-nationale.fr/sycomore/fiche/(num_dept)/1350", "1350")</f>
        <v>0</v>
      </c>
      <c r="N3836">
        <f>HYPERLINK("https://www.wikidata.org/wiki/Q3184693", "Q3184693")</f>
        <v>0</v>
      </c>
      <c r="O3836" t="s">
        <v>19961</v>
      </c>
      <c r="P3836" t="s">
        <v>20409</v>
      </c>
      <c r="Q3836" t="s">
        <v>20653</v>
      </c>
      <c r="R3836" t="s">
        <v>21453</v>
      </c>
      <c r="S3836">
        <v>2226</v>
      </c>
    </row>
    <row r="3837" spans="1:19">
      <c r="A3837" t="s">
        <v>24</v>
      </c>
      <c r="B3837" t="s">
        <v>148</v>
      </c>
      <c r="C3837" t="s">
        <v>156</v>
      </c>
      <c r="D3837" t="s">
        <v>285</v>
      </c>
      <c r="E3837" t="s">
        <v>414</v>
      </c>
      <c r="F3837">
        <f>HYPERLINK("https://www.wikidata.org/wiki/Q16683508", "Q16683508")</f>
        <v>0</v>
      </c>
      <c r="G3837" t="s">
        <v>2241</v>
      </c>
      <c r="H3837" t="s">
        <v>6847</v>
      </c>
      <c r="I3837" t="s">
        <v>10131</v>
      </c>
      <c r="J3837" t="s">
        <v>12902</v>
      </c>
      <c r="K3837" t="s">
        <v>17312</v>
      </c>
      <c r="L3837">
        <f>HYPERLINK("https://www2.assemblee-nationale.fr/sycomore/fiche/(num_dept)/1406", "1406")</f>
        <v>0</v>
      </c>
      <c r="N3837">
        <f>HYPERLINK("https://www.wikidata.org/wiki/Q3010436", "Q3010436")</f>
        <v>0</v>
      </c>
      <c r="O3837" t="s">
        <v>19955</v>
      </c>
      <c r="P3837" t="s">
        <v>20428</v>
      </c>
      <c r="Q3837" t="s">
        <v>20653</v>
      </c>
      <c r="R3837" t="s">
        <v>17312</v>
      </c>
      <c r="S3837">
        <v>1763</v>
      </c>
    </row>
    <row r="3838" spans="1:19">
      <c r="A3838" t="s">
        <v>24</v>
      </c>
      <c r="B3838" t="s">
        <v>148</v>
      </c>
      <c r="C3838" t="s">
        <v>156</v>
      </c>
      <c r="D3838" t="s">
        <v>285</v>
      </c>
      <c r="E3838" t="s">
        <v>414</v>
      </c>
      <c r="F3838">
        <f>HYPERLINK("https://www.wikidata.org/wiki/Q16683508", "Q16683508")</f>
        <v>0</v>
      </c>
      <c r="G3838" t="s">
        <v>1100</v>
      </c>
      <c r="H3838" t="s">
        <v>5841</v>
      </c>
      <c r="I3838" t="s">
        <v>6707</v>
      </c>
      <c r="J3838" t="s">
        <v>11836</v>
      </c>
      <c r="K3838" t="s">
        <v>16236</v>
      </c>
      <c r="L3838">
        <f>HYPERLINK("https://www2.assemblee-nationale.fr/sycomore/fiche/(num_dept)/1415", "1415")</f>
        <v>0</v>
      </c>
      <c r="N3838">
        <f>HYPERLINK("https://www.wikidata.org/wiki/Q3115697", "Q3115697")</f>
        <v>0</v>
      </c>
      <c r="O3838" t="s">
        <v>20028</v>
      </c>
      <c r="P3838" t="s">
        <v>20449</v>
      </c>
      <c r="Q3838" t="s">
        <v>20653</v>
      </c>
      <c r="R3838" t="s">
        <v>21453</v>
      </c>
      <c r="S3838">
        <v>2226</v>
      </c>
    </row>
    <row r="3839" spans="1:19">
      <c r="A3839" t="s">
        <v>24</v>
      </c>
      <c r="B3839" t="s">
        <v>148</v>
      </c>
      <c r="C3839" t="s">
        <v>156</v>
      </c>
      <c r="D3839" t="s">
        <v>285</v>
      </c>
      <c r="E3839" t="s">
        <v>414</v>
      </c>
      <c r="F3839">
        <f>HYPERLINK("https://www.wikidata.org/wiki/Q16683508", "Q16683508")</f>
        <v>0</v>
      </c>
      <c r="G3839" t="s">
        <v>2284</v>
      </c>
      <c r="H3839" t="s">
        <v>6661</v>
      </c>
      <c r="I3839" t="s">
        <v>9530</v>
      </c>
      <c r="J3839" t="s">
        <v>12941</v>
      </c>
      <c r="K3839" t="s">
        <v>17348</v>
      </c>
      <c r="L3839">
        <f>HYPERLINK("https://www2.assemblee-nationale.fr/sycomore/fiche/(num_dept)/1428", "1428")</f>
        <v>0</v>
      </c>
      <c r="N3839">
        <f>HYPERLINK("https://www.wikidata.org/wiki/Q3288762", "Q3288762")</f>
        <v>0</v>
      </c>
      <c r="O3839" t="s">
        <v>19969</v>
      </c>
      <c r="P3839" t="s">
        <v>20424</v>
      </c>
      <c r="Q3839" t="s">
        <v>20653</v>
      </c>
      <c r="R3839" t="s">
        <v>21453</v>
      </c>
      <c r="S3839">
        <v>2226</v>
      </c>
    </row>
    <row r="3840" spans="1:19">
      <c r="A3840" t="s">
        <v>24</v>
      </c>
      <c r="B3840" t="s">
        <v>148</v>
      </c>
      <c r="C3840" t="s">
        <v>156</v>
      </c>
      <c r="D3840" t="s">
        <v>285</v>
      </c>
      <c r="E3840" t="s">
        <v>414</v>
      </c>
      <c r="F3840">
        <f>HYPERLINK("https://www.wikidata.org/wiki/Q16683508", "Q16683508")</f>
        <v>0</v>
      </c>
      <c r="G3840" t="s">
        <v>1401</v>
      </c>
      <c r="H3840" t="s">
        <v>6112</v>
      </c>
      <c r="I3840" t="s">
        <v>5528</v>
      </c>
      <c r="J3840" t="s">
        <v>11473</v>
      </c>
      <c r="K3840" t="s">
        <v>16528</v>
      </c>
      <c r="L3840">
        <f>HYPERLINK("https://www2.assemblee-nationale.fr/sycomore/fiche/(num_dept)/1500", "1500")</f>
        <v>0</v>
      </c>
      <c r="N3840">
        <f>HYPERLINK("https://www.wikidata.org/wiki/Q3270798", "Q3270798")</f>
        <v>0</v>
      </c>
      <c r="O3840" t="s">
        <v>19960</v>
      </c>
      <c r="P3840" t="s">
        <v>20428</v>
      </c>
      <c r="Q3840" t="s">
        <v>20653</v>
      </c>
      <c r="R3840" t="s">
        <v>21453</v>
      </c>
      <c r="S3840">
        <v>2226</v>
      </c>
    </row>
    <row r="3841" spans="1:19">
      <c r="A3841" t="s">
        <v>24</v>
      </c>
      <c r="B3841" t="s">
        <v>148</v>
      </c>
      <c r="C3841" t="s">
        <v>156</v>
      </c>
      <c r="D3841" t="s">
        <v>285</v>
      </c>
      <c r="E3841" t="s">
        <v>414</v>
      </c>
      <c r="F3841">
        <f>HYPERLINK("https://www.wikidata.org/wiki/Q16683508", "Q16683508")</f>
        <v>0</v>
      </c>
      <c r="G3841" t="s">
        <v>572</v>
      </c>
      <c r="H3841" t="s">
        <v>5335</v>
      </c>
      <c r="I3841" t="s">
        <v>9425</v>
      </c>
      <c r="J3841" t="s">
        <v>11323</v>
      </c>
      <c r="K3841" t="s">
        <v>15724</v>
      </c>
      <c r="L3841">
        <f>HYPERLINK("https://www2.assemblee-nationale.fr/sycomore/fiche/(num_dept)/1713", "1713")</f>
        <v>0</v>
      </c>
      <c r="N3841">
        <f>HYPERLINK("https://www.wikidata.org/wiki/Q3171275", "Q3171275")</f>
        <v>0</v>
      </c>
      <c r="O3841" t="s">
        <v>19984</v>
      </c>
      <c r="P3841" t="s">
        <v>20449</v>
      </c>
      <c r="Q3841" t="s">
        <v>20653</v>
      </c>
      <c r="R3841" t="s">
        <v>21453</v>
      </c>
      <c r="S3841">
        <v>2226</v>
      </c>
    </row>
    <row r="3842" spans="1:19">
      <c r="A3842" t="s">
        <v>24</v>
      </c>
      <c r="B3842" t="s">
        <v>148</v>
      </c>
      <c r="C3842" t="s">
        <v>156</v>
      </c>
      <c r="D3842" t="s">
        <v>285</v>
      </c>
      <c r="E3842" t="s">
        <v>414</v>
      </c>
      <c r="F3842">
        <f>HYPERLINK("https://www.wikidata.org/wiki/Q16683508", "Q16683508")</f>
        <v>0</v>
      </c>
      <c r="G3842" t="s">
        <v>2458</v>
      </c>
      <c r="H3842" t="s">
        <v>7031</v>
      </c>
      <c r="I3842" t="s">
        <v>10226</v>
      </c>
      <c r="J3842" t="s">
        <v>13104</v>
      </c>
      <c r="K3842" t="s">
        <v>17513</v>
      </c>
      <c r="L3842">
        <f>HYPERLINK("https://www2.assemblee-nationale.fr/sycomore/fiche/(num_dept)/1835", "1835")</f>
        <v>0</v>
      </c>
      <c r="N3842">
        <f>HYPERLINK("https://www.wikidata.org/wiki/Q3069087", "Q3069087")</f>
        <v>0</v>
      </c>
      <c r="O3842" t="s">
        <v>19973</v>
      </c>
      <c r="P3842" t="s">
        <v>20445</v>
      </c>
      <c r="Q3842" t="s">
        <v>20653</v>
      </c>
      <c r="R3842" t="s">
        <v>21453</v>
      </c>
      <c r="S3842">
        <v>2226</v>
      </c>
    </row>
    <row r="3843" spans="1:19">
      <c r="A3843" t="s">
        <v>24</v>
      </c>
      <c r="B3843" t="s">
        <v>148</v>
      </c>
      <c r="C3843" t="s">
        <v>156</v>
      </c>
      <c r="D3843" t="s">
        <v>285</v>
      </c>
      <c r="E3843" t="s">
        <v>414</v>
      </c>
      <c r="F3843">
        <f>HYPERLINK("https://www.wikidata.org/wiki/Q16683508", "Q16683508")</f>
        <v>0</v>
      </c>
      <c r="G3843" t="s">
        <v>2293</v>
      </c>
      <c r="H3843" t="s">
        <v>6888</v>
      </c>
      <c r="I3843" t="s">
        <v>10163</v>
      </c>
      <c r="J3843" t="s">
        <v>12950</v>
      </c>
      <c r="K3843" t="s">
        <v>17357</v>
      </c>
      <c r="L3843">
        <f>HYPERLINK("https://www2.assemblee-nationale.fr/sycomore/fiche/(num_dept)/1888", "1888")</f>
        <v>0</v>
      </c>
      <c r="N3843">
        <f>HYPERLINK("https://www.wikidata.org/wiki/Q2847539", "Q2847539")</f>
        <v>0</v>
      </c>
      <c r="O3843" t="s">
        <v>19980</v>
      </c>
      <c r="P3843" t="s">
        <v>20445</v>
      </c>
      <c r="Q3843" t="s">
        <v>20653</v>
      </c>
      <c r="R3843" t="s">
        <v>21453</v>
      </c>
      <c r="S3843">
        <v>2226</v>
      </c>
    </row>
    <row r="3844" spans="1:19">
      <c r="A3844" t="s">
        <v>24</v>
      </c>
      <c r="B3844" t="s">
        <v>148</v>
      </c>
      <c r="C3844" t="s">
        <v>156</v>
      </c>
      <c r="D3844" t="s">
        <v>285</v>
      </c>
      <c r="E3844" t="s">
        <v>414</v>
      </c>
      <c r="F3844">
        <f>HYPERLINK("https://www.wikidata.org/wiki/Q16683508", "Q16683508")</f>
        <v>0</v>
      </c>
      <c r="G3844" t="s">
        <v>2037</v>
      </c>
      <c r="H3844" t="s">
        <v>6669</v>
      </c>
      <c r="I3844" t="s">
        <v>10061</v>
      </c>
      <c r="J3844" t="s">
        <v>12711</v>
      </c>
      <c r="K3844" t="s">
        <v>17122</v>
      </c>
      <c r="L3844">
        <f>HYPERLINK("https://www2.assemblee-nationale.fr/sycomore/fiche/(num_dept)/1912", "1912")</f>
        <v>0</v>
      </c>
      <c r="N3844">
        <f>HYPERLINK("https://www.wikidata.org/wiki/Q3384483", "Q3384483")</f>
        <v>0</v>
      </c>
      <c r="O3844" t="s">
        <v>19982</v>
      </c>
      <c r="P3844" t="s">
        <v>20449</v>
      </c>
      <c r="Q3844" t="s">
        <v>20653</v>
      </c>
      <c r="R3844" t="s">
        <v>21453</v>
      </c>
      <c r="S3844">
        <v>2226</v>
      </c>
    </row>
    <row r="3845" spans="1:19">
      <c r="A3845" t="s">
        <v>24</v>
      </c>
      <c r="B3845" t="s">
        <v>148</v>
      </c>
      <c r="C3845" t="s">
        <v>156</v>
      </c>
      <c r="D3845" t="s">
        <v>285</v>
      </c>
      <c r="E3845" t="s">
        <v>414</v>
      </c>
      <c r="F3845">
        <f>HYPERLINK("https://www.wikidata.org/wiki/Q16683508", "Q16683508")</f>
        <v>0</v>
      </c>
      <c r="G3845" t="s">
        <v>2243</v>
      </c>
      <c r="H3845" t="s">
        <v>6849</v>
      </c>
      <c r="I3845" t="s">
        <v>10133</v>
      </c>
      <c r="J3845" t="s">
        <v>12904</v>
      </c>
      <c r="K3845" t="s">
        <v>17314</v>
      </c>
      <c r="L3845">
        <f>HYPERLINK("https://www2.assemblee-nationale.fr/sycomore/fiche/(num_dept)/1932", "1932")</f>
        <v>0</v>
      </c>
      <c r="N3845">
        <f>HYPERLINK("https://www.wikidata.org/wiki/Q2422952", "Q2422952")</f>
        <v>0</v>
      </c>
      <c r="O3845" t="s">
        <v>19962</v>
      </c>
      <c r="P3845" t="s">
        <v>20428</v>
      </c>
      <c r="Q3845" t="s">
        <v>20653</v>
      </c>
      <c r="R3845" t="s">
        <v>21453</v>
      </c>
      <c r="S3845">
        <v>2226</v>
      </c>
    </row>
    <row r="3846" spans="1:19">
      <c r="A3846" t="s">
        <v>24</v>
      </c>
      <c r="B3846" t="s">
        <v>148</v>
      </c>
      <c r="C3846" t="s">
        <v>156</v>
      </c>
      <c r="D3846" t="s">
        <v>285</v>
      </c>
      <c r="E3846" t="s">
        <v>414</v>
      </c>
      <c r="F3846">
        <f>HYPERLINK("https://www.wikidata.org/wiki/Q16683508", "Q16683508")</f>
        <v>0</v>
      </c>
      <c r="G3846" t="s">
        <v>1946</v>
      </c>
      <c r="H3846" t="s">
        <v>6590</v>
      </c>
      <c r="I3846" t="s">
        <v>6860</v>
      </c>
      <c r="J3846" t="s">
        <v>12630</v>
      </c>
      <c r="K3846" t="s">
        <v>17040</v>
      </c>
      <c r="L3846">
        <f>HYPERLINK("https://www2.assemblee-nationale.fr/sycomore/fiche/(num_dept)/1997", "1997")</f>
        <v>0</v>
      </c>
      <c r="N3846">
        <f>HYPERLINK("https://www.wikidata.org/wiki/Q2274693", "Q2274693")</f>
        <v>0</v>
      </c>
      <c r="O3846" t="s">
        <v>19988</v>
      </c>
      <c r="P3846" t="s">
        <v>20428</v>
      </c>
      <c r="Q3846" t="s">
        <v>20653</v>
      </c>
      <c r="R3846" t="s">
        <v>21453</v>
      </c>
      <c r="S3846">
        <v>2226</v>
      </c>
    </row>
    <row r="3847" spans="1:19">
      <c r="A3847" t="s">
        <v>24</v>
      </c>
      <c r="B3847" t="s">
        <v>148</v>
      </c>
      <c r="C3847" t="s">
        <v>156</v>
      </c>
      <c r="D3847" t="s">
        <v>285</v>
      </c>
      <c r="E3847" t="s">
        <v>414</v>
      </c>
      <c r="F3847">
        <f>HYPERLINK("https://www.wikidata.org/wiki/Q16683508", "Q16683508")</f>
        <v>0</v>
      </c>
      <c r="G3847" t="s">
        <v>1774</v>
      </c>
      <c r="H3847" t="s">
        <v>6442</v>
      </c>
      <c r="I3847" t="s">
        <v>9944</v>
      </c>
      <c r="J3847" t="s">
        <v>12472</v>
      </c>
      <c r="K3847" t="s">
        <v>16880</v>
      </c>
      <c r="L3847">
        <f>HYPERLINK("https://www2.assemblee-nationale.fr/sycomore/fiche/(num_dept)/2033", "2033")</f>
        <v>0</v>
      </c>
      <c r="N3847">
        <f>HYPERLINK("https://www.wikidata.org/wiki/Q3188501", "Q3188501")</f>
        <v>0</v>
      </c>
      <c r="O3847" t="s">
        <v>19959</v>
      </c>
      <c r="P3847" t="s">
        <v>20428</v>
      </c>
      <c r="Q3847" t="s">
        <v>20653</v>
      </c>
      <c r="R3847" t="s">
        <v>21453</v>
      </c>
      <c r="S3847">
        <v>2226</v>
      </c>
    </row>
    <row r="3848" spans="1:19">
      <c r="A3848" t="s">
        <v>24</v>
      </c>
      <c r="B3848" t="s">
        <v>148</v>
      </c>
      <c r="C3848" t="s">
        <v>156</v>
      </c>
      <c r="D3848" t="s">
        <v>285</v>
      </c>
      <c r="E3848" t="s">
        <v>414</v>
      </c>
      <c r="F3848">
        <f>HYPERLINK("https://www.wikidata.org/wiki/Q16683508", "Q16683508")</f>
        <v>0</v>
      </c>
      <c r="G3848" t="s">
        <v>2459</v>
      </c>
      <c r="H3848" t="s">
        <v>7032</v>
      </c>
      <c r="I3848" t="s">
        <v>10227</v>
      </c>
      <c r="J3848" t="s">
        <v>13105</v>
      </c>
      <c r="K3848" t="s">
        <v>17514</v>
      </c>
      <c r="L3848">
        <f>HYPERLINK("https://www2.assemblee-nationale.fr/sycomore/fiche/(num_dept)/2073", "2073")</f>
        <v>0</v>
      </c>
      <c r="N3848">
        <f>HYPERLINK("https://www.wikidata.org/wiki/Q543620", "Q543620")</f>
        <v>0</v>
      </c>
      <c r="O3848" t="s">
        <v>19990</v>
      </c>
      <c r="P3848" t="s">
        <v>20424</v>
      </c>
      <c r="Q3848" t="s">
        <v>20653</v>
      </c>
      <c r="R3848" t="s">
        <v>19832</v>
      </c>
      <c r="S3848">
        <v>1365</v>
      </c>
    </row>
    <row r="3849" spans="1:19">
      <c r="A3849" t="s">
        <v>24</v>
      </c>
      <c r="B3849" t="s">
        <v>148</v>
      </c>
      <c r="C3849" t="s">
        <v>156</v>
      </c>
      <c r="D3849" t="s">
        <v>285</v>
      </c>
      <c r="E3849" t="s">
        <v>414</v>
      </c>
      <c r="F3849">
        <f>HYPERLINK("https://www.wikidata.org/wiki/Q16683508", "Q16683508")</f>
        <v>0</v>
      </c>
      <c r="G3849" t="s">
        <v>1423</v>
      </c>
      <c r="H3849" t="s">
        <v>6128</v>
      </c>
      <c r="I3849" t="s">
        <v>9728</v>
      </c>
      <c r="J3849" t="s">
        <v>12147</v>
      </c>
      <c r="K3849" t="s">
        <v>16549</v>
      </c>
      <c r="L3849">
        <f>HYPERLINK("https://www2.assemblee-nationale.fr/sycomore/fiche/(num_dept)/2105", "2105")</f>
        <v>0</v>
      </c>
      <c r="N3849">
        <f>HYPERLINK("https://www.wikidata.org/wiki/Q213526", "Q213526")</f>
        <v>0</v>
      </c>
      <c r="O3849" t="s">
        <v>20047</v>
      </c>
      <c r="P3849" t="s">
        <v>20428</v>
      </c>
      <c r="Q3849" t="s">
        <v>20653</v>
      </c>
      <c r="R3849" t="s">
        <v>21453</v>
      </c>
      <c r="S3849">
        <v>2226</v>
      </c>
    </row>
    <row r="3850" spans="1:19">
      <c r="A3850" t="s">
        <v>24</v>
      </c>
      <c r="B3850" t="s">
        <v>148</v>
      </c>
      <c r="C3850" t="s">
        <v>156</v>
      </c>
      <c r="D3850" t="s">
        <v>285</v>
      </c>
      <c r="E3850" t="s">
        <v>414</v>
      </c>
      <c r="F3850">
        <f>HYPERLINK("https://www.wikidata.org/wiki/Q16683508", "Q16683508")</f>
        <v>0</v>
      </c>
      <c r="G3850" t="s">
        <v>2043</v>
      </c>
      <c r="H3850" t="s">
        <v>6675</v>
      </c>
      <c r="I3850" t="s">
        <v>7911</v>
      </c>
      <c r="J3850" t="s">
        <v>12716</v>
      </c>
      <c r="K3850" t="s">
        <v>17127</v>
      </c>
      <c r="L3850">
        <f>HYPERLINK("https://www2.assemblee-nationale.fr/sycomore/fiche/(num_dept)/2197", "2197")</f>
        <v>0</v>
      </c>
      <c r="N3850">
        <f>HYPERLINK("https://www.wikidata.org/wiki/Q2364557", "Q2364557")</f>
        <v>0</v>
      </c>
      <c r="O3850" t="s">
        <v>19977</v>
      </c>
      <c r="P3850" t="s">
        <v>20446</v>
      </c>
      <c r="Q3850" t="s">
        <v>20653</v>
      </c>
      <c r="R3850" t="s">
        <v>21453</v>
      </c>
      <c r="S3850">
        <v>2226</v>
      </c>
    </row>
    <row r="3851" spans="1:19">
      <c r="A3851" t="s">
        <v>24</v>
      </c>
      <c r="B3851" t="s">
        <v>148</v>
      </c>
      <c r="C3851" t="s">
        <v>156</v>
      </c>
      <c r="D3851" t="s">
        <v>285</v>
      </c>
      <c r="E3851" t="s">
        <v>414</v>
      </c>
      <c r="F3851">
        <f>HYPERLINK("https://www.wikidata.org/wiki/Q16683508", "Q16683508")</f>
        <v>0</v>
      </c>
      <c r="G3851" t="s">
        <v>1098</v>
      </c>
      <c r="H3851" t="s">
        <v>5839</v>
      </c>
      <c r="I3851" t="s">
        <v>9659</v>
      </c>
      <c r="J3851" t="s">
        <v>11834</v>
      </c>
      <c r="K3851" t="s">
        <v>16234</v>
      </c>
      <c r="L3851">
        <f>HYPERLINK("https://www2.assemblee-nationale.fr/sycomore/fiche/(num_dept)/2366", "2366")</f>
        <v>0</v>
      </c>
      <c r="N3851">
        <f>HYPERLINK("https://www.wikidata.org/wiki/Q3184835", "Q3184835")</f>
        <v>0</v>
      </c>
      <c r="O3851" t="s">
        <v>19969</v>
      </c>
      <c r="P3851" t="s">
        <v>20444</v>
      </c>
      <c r="Q3851" t="s">
        <v>20653</v>
      </c>
      <c r="R3851" t="s">
        <v>21453</v>
      </c>
      <c r="S3851">
        <v>2226</v>
      </c>
    </row>
    <row r="3852" spans="1:19">
      <c r="A3852" t="s">
        <v>24</v>
      </c>
      <c r="B3852" t="s">
        <v>148</v>
      </c>
      <c r="C3852" t="s">
        <v>156</v>
      </c>
      <c r="D3852" t="s">
        <v>285</v>
      </c>
      <c r="E3852" t="s">
        <v>414</v>
      </c>
      <c r="F3852">
        <f>HYPERLINK("https://www.wikidata.org/wiki/Q16683508", "Q16683508")</f>
        <v>0</v>
      </c>
      <c r="G3852" t="s">
        <v>2460</v>
      </c>
      <c r="H3852" t="s">
        <v>7033</v>
      </c>
      <c r="I3852" t="s">
        <v>9795</v>
      </c>
      <c r="J3852" t="s">
        <v>13106</v>
      </c>
      <c r="K3852" t="s">
        <v>17515</v>
      </c>
      <c r="L3852">
        <f>HYPERLINK("https://www2.assemblee-nationale.fr/sycomore/fiche/(num_dept)/2472", "2472")</f>
        <v>0</v>
      </c>
      <c r="N3852">
        <f>HYPERLINK("https://www.wikidata.org/wiki/Q3496662", "Q3496662")</f>
        <v>0</v>
      </c>
      <c r="O3852" t="s">
        <v>20000</v>
      </c>
      <c r="P3852" t="s">
        <v>20445</v>
      </c>
      <c r="Q3852" t="s">
        <v>20653</v>
      </c>
      <c r="R3852" t="s">
        <v>21453</v>
      </c>
      <c r="S3852">
        <v>2226</v>
      </c>
    </row>
    <row r="3853" spans="1:19">
      <c r="A3853" t="s">
        <v>24</v>
      </c>
      <c r="B3853" t="s">
        <v>148</v>
      </c>
      <c r="C3853" t="s">
        <v>156</v>
      </c>
      <c r="D3853" t="s">
        <v>285</v>
      </c>
      <c r="E3853" t="s">
        <v>414</v>
      </c>
      <c r="F3853">
        <f>HYPERLINK("https://www.wikidata.org/wiki/Q16683508", "Q16683508")</f>
        <v>0</v>
      </c>
      <c r="G3853" t="s">
        <v>1437</v>
      </c>
      <c r="H3853" t="s">
        <v>6139</v>
      </c>
      <c r="I3853" t="s">
        <v>6860</v>
      </c>
      <c r="J3853" t="s">
        <v>12158</v>
      </c>
      <c r="K3853" t="s">
        <v>16563</v>
      </c>
      <c r="L3853">
        <f>HYPERLINK("https://www2.assemblee-nationale.fr/sycomore/fiche/(num_dept)/2490", "2490")</f>
        <v>0</v>
      </c>
      <c r="N3853">
        <f>HYPERLINK("https://www.wikidata.org/wiki/Q3384896", "Q3384896")</f>
        <v>0</v>
      </c>
      <c r="O3853" t="s">
        <v>19958</v>
      </c>
      <c r="P3853" t="s">
        <v>20428</v>
      </c>
      <c r="Q3853" t="s">
        <v>20653</v>
      </c>
      <c r="R3853" t="s">
        <v>21453</v>
      </c>
      <c r="S3853">
        <v>2226</v>
      </c>
    </row>
    <row r="3854" spans="1:19">
      <c r="A3854" t="s">
        <v>24</v>
      </c>
      <c r="B3854" t="s">
        <v>148</v>
      </c>
      <c r="C3854" t="s">
        <v>156</v>
      </c>
      <c r="D3854" t="s">
        <v>285</v>
      </c>
      <c r="E3854" t="s">
        <v>414</v>
      </c>
      <c r="F3854">
        <f>HYPERLINK("https://www.wikidata.org/wiki/Q16683508", "Q16683508")</f>
        <v>0</v>
      </c>
      <c r="G3854" t="s">
        <v>2434</v>
      </c>
      <c r="H3854" t="s">
        <v>7008</v>
      </c>
      <c r="I3854" t="s">
        <v>10211</v>
      </c>
      <c r="J3854" t="s">
        <v>13083</v>
      </c>
      <c r="K3854" t="s">
        <v>17492</v>
      </c>
      <c r="L3854">
        <f>HYPERLINK("https://www2.assemblee-nationale.fr/sycomore/fiche/(num_dept)/2523", "2523")</f>
        <v>0</v>
      </c>
      <c r="N3854">
        <f>HYPERLINK("https://www.wikidata.org/wiki/Q3094487", "Q3094487")</f>
        <v>0</v>
      </c>
      <c r="O3854" t="s">
        <v>20046</v>
      </c>
      <c r="P3854" t="s">
        <v>20434</v>
      </c>
      <c r="Q3854" t="s">
        <v>20653</v>
      </c>
      <c r="R3854" t="s">
        <v>17492</v>
      </c>
      <c r="S3854">
        <v>1928</v>
      </c>
    </row>
    <row r="3855" spans="1:19">
      <c r="A3855" t="s">
        <v>24</v>
      </c>
      <c r="B3855" t="s">
        <v>148</v>
      </c>
      <c r="C3855" t="s">
        <v>156</v>
      </c>
      <c r="D3855" t="s">
        <v>285</v>
      </c>
      <c r="E3855" t="s">
        <v>414</v>
      </c>
      <c r="F3855">
        <f>HYPERLINK("https://www.wikidata.org/wiki/Q16683508", "Q16683508")</f>
        <v>0</v>
      </c>
      <c r="G3855" t="s">
        <v>2312</v>
      </c>
      <c r="H3855" t="s">
        <v>6903</v>
      </c>
      <c r="I3855" t="s">
        <v>9476</v>
      </c>
      <c r="J3855" t="s">
        <v>12969</v>
      </c>
      <c r="K3855" t="s">
        <v>17376</v>
      </c>
      <c r="L3855">
        <f>HYPERLINK("https://www2.assemblee-nationale.fr/sycomore/fiche/(num_dept)/2543", "2543")</f>
        <v>0</v>
      </c>
      <c r="N3855">
        <f>HYPERLINK("https://www.wikidata.org/wiki/Q3426105", "Q3426105")</f>
        <v>0</v>
      </c>
      <c r="O3855" t="s">
        <v>19969</v>
      </c>
      <c r="P3855" t="s">
        <v>20452</v>
      </c>
      <c r="Q3855" t="s">
        <v>20653</v>
      </c>
      <c r="R3855" t="s">
        <v>21453</v>
      </c>
      <c r="S3855">
        <v>2226</v>
      </c>
    </row>
    <row r="3856" spans="1:19">
      <c r="A3856" t="s">
        <v>24</v>
      </c>
      <c r="B3856" t="s">
        <v>148</v>
      </c>
      <c r="C3856" t="s">
        <v>156</v>
      </c>
      <c r="D3856" t="s">
        <v>285</v>
      </c>
      <c r="E3856" t="s">
        <v>414</v>
      </c>
      <c r="F3856">
        <f>HYPERLINK("https://www.wikidata.org/wiki/Q16683508", "Q16683508")</f>
        <v>0</v>
      </c>
      <c r="G3856" t="s">
        <v>2235</v>
      </c>
      <c r="H3856" t="s">
        <v>6142</v>
      </c>
      <c r="I3856" t="s">
        <v>10127</v>
      </c>
      <c r="J3856" t="s">
        <v>12896</v>
      </c>
      <c r="K3856" t="s">
        <v>17307</v>
      </c>
      <c r="L3856">
        <f>HYPERLINK("https://www2.assemblee-nationale.fr/sycomore/fiche/(num_dept)/2560", "2560")</f>
        <v>0</v>
      </c>
      <c r="M3856">
        <f>HYPERLINK("https://www.senat.fr/senateur-3eme-republique/dormoy_marx0045r3.html", "dormoy_marx0045r3")</f>
        <v>0</v>
      </c>
      <c r="N3856">
        <f>HYPERLINK("https://www.wikidata.org/wiki/Q255618", "Q255618")</f>
        <v>0</v>
      </c>
      <c r="O3856" t="s">
        <v>19999</v>
      </c>
      <c r="P3856" t="s">
        <v>20446</v>
      </c>
      <c r="Q3856" t="s">
        <v>20653</v>
      </c>
      <c r="R3856" t="s">
        <v>408</v>
      </c>
      <c r="S3856">
        <v>910</v>
      </c>
    </row>
    <row r="3857" spans="1:19">
      <c r="A3857" t="s">
        <v>24</v>
      </c>
      <c r="B3857" t="s">
        <v>148</v>
      </c>
      <c r="C3857" t="s">
        <v>156</v>
      </c>
      <c r="D3857" t="s">
        <v>285</v>
      </c>
      <c r="E3857" t="s">
        <v>414</v>
      </c>
      <c r="F3857">
        <f>HYPERLINK("https://www.wikidata.org/wiki/Q16683508", "Q16683508")</f>
        <v>0</v>
      </c>
      <c r="G3857" t="s">
        <v>2461</v>
      </c>
      <c r="H3857" t="s">
        <v>7034</v>
      </c>
      <c r="I3857" t="s">
        <v>6584</v>
      </c>
      <c r="J3857" t="s">
        <v>12514</v>
      </c>
      <c r="K3857" t="s">
        <v>16676</v>
      </c>
      <c r="L3857">
        <f>HYPERLINK("https://www2.assemblee-nationale.fr/sycomore/fiche/(num_dept)/2629", "2629")</f>
        <v>0</v>
      </c>
      <c r="N3857">
        <f>HYPERLINK("https://www.wikidata.org/wiki/Q2831127", "Q2831127")</f>
        <v>0</v>
      </c>
      <c r="O3857" t="s">
        <v>19978</v>
      </c>
      <c r="P3857" t="s">
        <v>20449</v>
      </c>
      <c r="Q3857" t="s">
        <v>20653</v>
      </c>
      <c r="R3857" t="s">
        <v>21453</v>
      </c>
      <c r="S3857">
        <v>2226</v>
      </c>
    </row>
    <row r="3858" spans="1:19">
      <c r="A3858" t="s">
        <v>24</v>
      </c>
      <c r="B3858" t="s">
        <v>148</v>
      </c>
      <c r="C3858" t="s">
        <v>156</v>
      </c>
      <c r="D3858" t="s">
        <v>285</v>
      </c>
      <c r="E3858" t="s">
        <v>414</v>
      </c>
      <c r="F3858">
        <f>HYPERLINK("https://www.wikidata.org/wiki/Q16683508", "Q16683508")</f>
        <v>0</v>
      </c>
      <c r="G3858" t="s">
        <v>1448</v>
      </c>
      <c r="H3858" t="s">
        <v>6149</v>
      </c>
      <c r="I3858" t="s">
        <v>9814</v>
      </c>
      <c r="J3858" t="s">
        <v>12169</v>
      </c>
      <c r="K3858" t="s">
        <v>16573</v>
      </c>
      <c r="L3858">
        <f>HYPERLINK("https://www2.assemblee-nationale.fr/sycomore/fiche/(num_dept)/2798", "2798")</f>
        <v>0</v>
      </c>
      <c r="N3858">
        <f>HYPERLINK("https://www.wikidata.org/wiki/Q2833647", "Q2833647")</f>
        <v>0</v>
      </c>
      <c r="O3858" t="s">
        <v>19992</v>
      </c>
      <c r="P3858" t="s">
        <v>20444</v>
      </c>
      <c r="Q3858" t="s">
        <v>20653</v>
      </c>
      <c r="R3858" t="s">
        <v>21453</v>
      </c>
      <c r="S3858">
        <v>2226</v>
      </c>
    </row>
    <row r="3859" spans="1:19">
      <c r="A3859" t="s">
        <v>24</v>
      </c>
      <c r="B3859" t="s">
        <v>148</v>
      </c>
      <c r="C3859" t="s">
        <v>156</v>
      </c>
      <c r="D3859" t="s">
        <v>285</v>
      </c>
      <c r="E3859" t="s">
        <v>414</v>
      </c>
      <c r="F3859">
        <f>HYPERLINK("https://www.wikidata.org/wiki/Q16683508", "Q16683508")</f>
        <v>0</v>
      </c>
      <c r="G3859" t="s">
        <v>2462</v>
      </c>
      <c r="H3859" t="s">
        <v>7035</v>
      </c>
      <c r="I3859" t="s">
        <v>9458</v>
      </c>
      <c r="J3859" t="s">
        <v>13107</v>
      </c>
      <c r="K3859" t="s">
        <v>17516</v>
      </c>
      <c r="L3859">
        <f>HYPERLINK("https://www2.assemblee-nationale.fr/sycomore/fiche/(num_dept)/2820", "2820")</f>
        <v>0</v>
      </c>
      <c r="N3859">
        <f>HYPERLINK("https://www.wikidata.org/wiki/Q2366227", "Q2366227")</f>
        <v>0</v>
      </c>
      <c r="O3859" t="s">
        <v>19965</v>
      </c>
      <c r="P3859" t="s">
        <v>20434</v>
      </c>
      <c r="Q3859" t="s">
        <v>20653</v>
      </c>
      <c r="R3859" t="s">
        <v>21453</v>
      </c>
      <c r="S3859">
        <v>2226</v>
      </c>
    </row>
    <row r="3860" spans="1:19">
      <c r="A3860" t="s">
        <v>24</v>
      </c>
      <c r="B3860" t="s">
        <v>148</v>
      </c>
      <c r="C3860" t="s">
        <v>156</v>
      </c>
      <c r="D3860" t="s">
        <v>285</v>
      </c>
      <c r="E3860" t="s">
        <v>414</v>
      </c>
      <c r="F3860">
        <f>HYPERLINK("https://www.wikidata.org/wiki/Q16683508", "Q16683508")</f>
        <v>0</v>
      </c>
      <c r="G3860" t="s">
        <v>2319</v>
      </c>
      <c r="H3860" t="s">
        <v>6910</v>
      </c>
      <c r="I3860" t="s">
        <v>9385</v>
      </c>
      <c r="J3860" t="s">
        <v>393</v>
      </c>
      <c r="K3860" t="s">
        <v>17383</v>
      </c>
      <c r="L3860">
        <f>HYPERLINK("https://www2.assemblee-nationale.fr/sycomore/fiche/(num_dept)/2822", "2822")</f>
        <v>0</v>
      </c>
      <c r="N3860">
        <f>HYPERLINK("https://www.wikidata.org/wiki/Q2959014", "Q2959014")</f>
        <v>0</v>
      </c>
      <c r="O3860" t="s">
        <v>20048</v>
      </c>
      <c r="P3860" t="s">
        <v>20451</v>
      </c>
      <c r="Q3860" t="s">
        <v>20653</v>
      </c>
      <c r="R3860" t="s">
        <v>21453</v>
      </c>
      <c r="S3860">
        <v>2226</v>
      </c>
    </row>
    <row r="3861" spans="1:19">
      <c r="A3861" t="s">
        <v>24</v>
      </c>
      <c r="B3861" t="s">
        <v>148</v>
      </c>
      <c r="C3861" t="s">
        <v>156</v>
      </c>
      <c r="D3861" t="s">
        <v>285</v>
      </c>
      <c r="E3861" t="s">
        <v>414</v>
      </c>
      <c r="F3861">
        <f>HYPERLINK("https://www.wikidata.org/wiki/Q16683508", "Q16683508")</f>
        <v>0</v>
      </c>
      <c r="G3861" t="s">
        <v>2320</v>
      </c>
      <c r="H3861" t="s">
        <v>6911</v>
      </c>
      <c r="I3861" t="s">
        <v>9554</v>
      </c>
      <c r="J3861" t="s">
        <v>12976</v>
      </c>
      <c r="K3861" t="s">
        <v>17384</v>
      </c>
      <c r="L3861">
        <f>HYPERLINK("https://www2.assemblee-nationale.fr/sycomore/fiche/(num_dept)/2916", "2916")</f>
        <v>0</v>
      </c>
      <c r="N3861">
        <f>HYPERLINK("https://www.wikidata.org/wiki/Q3302557", "Q3302557")</f>
        <v>0</v>
      </c>
      <c r="O3861" t="s">
        <v>19985</v>
      </c>
      <c r="P3861" t="s">
        <v>20445</v>
      </c>
      <c r="Q3861" t="s">
        <v>20653</v>
      </c>
      <c r="R3861" t="s">
        <v>21453</v>
      </c>
      <c r="S3861">
        <v>2226</v>
      </c>
    </row>
    <row r="3862" spans="1:19">
      <c r="A3862" t="s">
        <v>24</v>
      </c>
      <c r="B3862" t="s">
        <v>148</v>
      </c>
      <c r="C3862" t="s">
        <v>156</v>
      </c>
      <c r="D3862" t="s">
        <v>285</v>
      </c>
      <c r="E3862" t="s">
        <v>414</v>
      </c>
      <c r="F3862">
        <f>HYPERLINK("https://www.wikidata.org/wiki/Q16683508", "Q16683508")</f>
        <v>0</v>
      </c>
      <c r="G3862" t="s">
        <v>2412</v>
      </c>
      <c r="H3862" t="s">
        <v>6987</v>
      </c>
      <c r="I3862" t="s">
        <v>6200</v>
      </c>
      <c r="J3862" t="s">
        <v>13062</v>
      </c>
      <c r="K3862" t="s">
        <v>17472</v>
      </c>
      <c r="L3862">
        <f>HYPERLINK("https://www2.assemblee-nationale.fr/sycomore/fiche/(num_dept)/2961", "2961")</f>
        <v>0</v>
      </c>
      <c r="N3862">
        <f>HYPERLINK("https://www.wikidata.org/wiki/Q3171993", "Q3171993")</f>
        <v>0</v>
      </c>
      <c r="O3862" t="s">
        <v>19969</v>
      </c>
      <c r="P3862" t="s">
        <v>20453</v>
      </c>
      <c r="Q3862" t="s">
        <v>20653</v>
      </c>
      <c r="R3862" t="s">
        <v>21453</v>
      </c>
      <c r="S3862">
        <v>2226</v>
      </c>
    </row>
    <row r="3863" spans="1:19">
      <c r="A3863" t="s">
        <v>24</v>
      </c>
      <c r="B3863" t="s">
        <v>148</v>
      </c>
      <c r="C3863" t="s">
        <v>156</v>
      </c>
      <c r="D3863" t="s">
        <v>285</v>
      </c>
      <c r="E3863" t="s">
        <v>414</v>
      </c>
      <c r="F3863">
        <f>HYPERLINK("https://www.wikidata.org/wiki/Q16683508", "Q16683508")</f>
        <v>0</v>
      </c>
      <c r="G3863" t="s">
        <v>2248</v>
      </c>
      <c r="H3863" t="s">
        <v>6853</v>
      </c>
      <c r="I3863" t="s">
        <v>6495</v>
      </c>
      <c r="J3863" t="s">
        <v>12908</v>
      </c>
      <c r="K3863" t="s">
        <v>17319</v>
      </c>
      <c r="L3863">
        <f>HYPERLINK("https://www2.assemblee-nationale.fr/sycomore/fiche/(num_dept)/2998", "2998")</f>
        <v>0</v>
      </c>
      <c r="N3863">
        <f>HYPERLINK("https://www.wikidata.org/wiki/Q3261890", "Q3261890")</f>
        <v>0</v>
      </c>
      <c r="O3863" t="s">
        <v>19962</v>
      </c>
      <c r="P3863" t="s">
        <v>20446</v>
      </c>
      <c r="Q3863" t="s">
        <v>20653</v>
      </c>
      <c r="R3863" t="s">
        <v>21453</v>
      </c>
      <c r="S3863">
        <v>2226</v>
      </c>
    </row>
    <row r="3864" spans="1:19">
      <c r="A3864" t="s">
        <v>24</v>
      </c>
      <c r="B3864" t="s">
        <v>148</v>
      </c>
      <c r="C3864" t="s">
        <v>156</v>
      </c>
      <c r="D3864" t="s">
        <v>285</v>
      </c>
      <c r="E3864" t="s">
        <v>414</v>
      </c>
      <c r="F3864">
        <f>HYPERLINK("https://www.wikidata.org/wiki/Q16683508", "Q16683508")</f>
        <v>0</v>
      </c>
      <c r="G3864" t="s">
        <v>1466</v>
      </c>
      <c r="H3864" t="s">
        <v>6165</v>
      </c>
      <c r="I3864" t="s">
        <v>9820</v>
      </c>
      <c r="J3864" t="s">
        <v>12185</v>
      </c>
      <c r="K3864" t="s">
        <v>16591</v>
      </c>
      <c r="L3864">
        <f>HYPERLINK("https://www2.assemblee-nationale.fr/sycomore/fiche/(num_dept)/3080", "3080")</f>
        <v>0</v>
      </c>
      <c r="N3864">
        <f>HYPERLINK("https://www.wikidata.org/wiki/Q2861749", "Q2861749")</f>
        <v>0</v>
      </c>
      <c r="O3864" t="s">
        <v>20027</v>
      </c>
      <c r="P3864" t="s">
        <v>20447</v>
      </c>
      <c r="Q3864" t="s">
        <v>20653</v>
      </c>
      <c r="R3864" t="s">
        <v>21453</v>
      </c>
      <c r="S3864">
        <v>2226</v>
      </c>
    </row>
    <row r="3865" spans="1:19">
      <c r="A3865" t="s">
        <v>24</v>
      </c>
      <c r="B3865" t="s">
        <v>148</v>
      </c>
      <c r="C3865" t="s">
        <v>156</v>
      </c>
      <c r="D3865" t="s">
        <v>285</v>
      </c>
      <c r="E3865" t="s">
        <v>414</v>
      </c>
      <c r="F3865">
        <f>HYPERLINK("https://www.wikidata.org/wiki/Q16683508", "Q16683508")</f>
        <v>0</v>
      </c>
      <c r="G3865" t="s">
        <v>2409</v>
      </c>
      <c r="H3865" t="s">
        <v>6985</v>
      </c>
      <c r="I3865" t="s">
        <v>10202</v>
      </c>
      <c r="J3865" t="s">
        <v>13059</v>
      </c>
      <c r="K3865" t="s">
        <v>17469</v>
      </c>
      <c r="L3865">
        <f>HYPERLINK("https://www2.assemblee-nationale.fr/sycomore/fiche/(num_dept)/3115", "3115")</f>
        <v>0</v>
      </c>
      <c r="N3865">
        <f>HYPERLINK("https://www.wikidata.org/wiki/Q3057229", "Q3057229")</f>
        <v>0</v>
      </c>
      <c r="O3865" t="s">
        <v>20004</v>
      </c>
      <c r="P3865" t="s">
        <v>20444</v>
      </c>
      <c r="Q3865" t="s">
        <v>20653</v>
      </c>
      <c r="R3865" t="s">
        <v>21453</v>
      </c>
      <c r="S3865">
        <v>2226</v>
      </c>
    </row>
    <row r="3866" spans="1:19">
      <c r="A3866" t="s">
        <v>24</v>
      </c>
      <c r="B3866" t="s">
        <v>148</v>
      </c>
      <c r="C3866" t="s">
        <v>156</v>
      </c>
      <c r="D3866" t="s">
        <v>285</v>
      </c>
      <c r="E3866" t="s">
        <v>414</v>
      </c>
      <c r="F3866">
        <f>HYPERLINK("https://www.wikidata.org/wiki/Q16683508", "Q16683508")</f>
        <v>0</v>
      </c>
      <c r="G3866" t="s">
        <v>1802</v>
      </c>
      <c r="H3866" t="s">
        <v>6467</v>
      </c>
      <c r="I3866" t="s">
        <v>9465</v>
      </c>
      <c r="J3866" t="s">
        <v>12497</v>
      </c>
      <c r="K3866" t="s">
        <v>16907</v>
      </c>
      <c r="L3866">
        <f>HYPERLINK("https://www2.assemblee-nationale.fr/sycomore/fiche/(num_dept)/3167", "3167")</f>
        <v>0</v>
      </c>
      <c r="N3866">
        <f>HYPERLINK("https://www.wikidata.org/wiki/Q3059882", "Q3059882")</f>
        <v>0</v>
      </c>
      <c r="O3866" t="s">
        <v>19958</v>
      </c>
      <c r="P3866" t="s">
        <v>20448</v>
      </c>
      <c r="Q3866" t="s">
        <v>20653</v>
      </c>
      <c r="R3866" t="s">
        <v>21453</v>
      </c>
      <c r="S3866">
        <v>2226</v>
      </c>
    </row>
    <row r="3867" spans="1:19">
      <c r="A3867" t="s">
        <v>24</v>
      </c>
      <c r="B3867" t="s">
        <v>148</v>
      </c>
      <c r="C3867" t="s">
        <v>156</v>
      </c>
      <c r="D3867" t="s">
        <v>285</v>
      </c>
      <c r="E3867" t="s">
        <v>414</v>
      </c>
      <c r="F3867">
        <f>HYPERLINK("https://www.wikidata.org/wiki/Q16683508", "Q16683508")</f>
        <v>0</v>
      </c>
      <c r="G3867" t="s">
        <v>2433</v>
      </c>
      <c r="H3867" t="s">
        <v>7007</v>
      </c>
      <c r="I3867" t="s">
        <v>6495</v>
      </c>
      <c r="J3867" t="s">
        <v>12092</v>
      </c>
      <c r="K3867" t="s">
        <v>17491</v>
      </c>
      <c r="L3867">
        <f>HYPERLINK("https://www2.assemblee-nationale.fr/sycomore/fiche/(num_dept)/3206", "3206")</f>
        <v>0</v>
      </c>
      <c r="M3867">
        <f>HYPERLINK("https://www.senat.fr/senateur-3eme-republique/gaillemin_louis1801r3.html", "gaillemin_louis1801r3")</f>
        <v>0</v>
      </c>
      <c r="N3867">
        <f>HYPERLINK("https://www.wikidata.org/wiki/Q3261993", "Q3261993")</f>
        <v>0</v>
      </c>
      <c r="O3867" t="s">
        <v>20017</v>
      </c>
      <c r="P3867" t="s">
        <v>20445</v>
      </c>
      <c r="Q3867" t="s">
        <v>20653</v>
      </c>
      <c r="R3867" t="s">
        <v>21457</v>
      </c>
      <c r="S3867">
        <v>1052</v>
      </c>
    </row>
    <row r="3868" spans="1:19">
      <c r="A3868" t="s">
        <v>24</v>
      </c>
      <c r="B3868" t="s">
        <v>148</v>
      </c>
      <c r="C3868" t="s">
        <v>156</v>
      </c>
      <c r="D3868" t="s">
        <v>285</v>
      </c>
      <c r="E3868" t="s">
        <v>414</v>
      </c>
      <c r="F3868">
        <f>HYPERLINK("https://www.wikidata.org/wiki/Q16683508", "Q16683508")</f>
        <v>0</v>
      </c>
      <c r="G3868" t="s">
        <v>656</v>
      </c>
      <c r="H3868" t="s">
        <v>5415</v>
      </c>
      <c r="I3868" t="s">
        <v>9471</v>
      </c>
      <c r="J3868" t="s">
        <v>11406</v>
      </c>
      <c r="K3868" t="s">
        <v>15808</v>
      </c>
      <c r="L3868">
        <f>HYPERLINK("https://www2.assemblee-nationale.fr/sycomore/fiche/(num_dept)/3276", "3276")</f>
        <v>0</v>
      </c>
      <c r="N3868">
        <f>HYPERLINK("https://www.wikidata.org/wiki/Q3265516", "Q3265516")</f>
        <v>0</v>
      </c>
      <c r="O3868" t="s">
        <v>19963</v>
      </c>
      <c r="P3868" t="s">
        <v>20428</v>
      </c>
      <c r="Q3868" t="s">
        <v>20653</v>
      </c>
      <c r="R3868" t="s">
        <v>21453</v>
      </c>
      <c r="S3868">
        <v>2226</v>
      </c>
    </row>
    <row r="3869" spans="1:19">
      <c r="A3869" t="s">
        <v>24</v>
      </c>
      <c r="B3869" t="s">
        <v>148</v>
      </c>
      <c r="C3869" t="s">
        <v>156</v>
      </c>
      <c r="D3869" t="s">
        <v>285</v>
      </c>
      <c r="E3869" t="s">
        <v>414</v>
      </c>
      <c r="F3869">
        <f>HYPERLINK("https://www.wikidata.org/wiki/Q16683508", "Q16683508")</f>
        <v>0</v>
      </c>
      <c r="G3869" t="s">
        <v>2073</v>
      </c>
      <c r="H3869" t="s">
        <v>6700</v>
      </c>
      <c r="I3869" t="s">
        <v>6941</v>
      </c>
      <c r="J3869" t="s">
        <v>12744</v>
      </c>
      <c r="K3869" t="s">
        <v>17155</v>
      </c>
      <c r="L3869">
        <f>HYPERLINK("https://www2.assemblee-nationale.fr/sycomore/fiche/(num_dept)/3328", "3328")</f>
        <v>0</v>
      </c>
      <c r="N3869">
        <f>HYPERLINK("https://www.wikidata.org/wiki/Q3309731", "Q3309731")</f>
        <v>0</v>
      </c>
      <c r="O3869" t="s">
        <v>19964</v>
      </c>
      <c r="P3869" t="s">
        <v>20428</v>
      </c>
      <c r="Q3869" t="s">
        <v>20653</v>
      </c>
      <c r="R3869" t="s">
        <v>21453</v>
      </c>
      <c r="S3869">
        <v>2226</v>
      </c>
    </row>
    <row r="3870" spans="1:19">
      <c r="A3870" t="s">
        <v>24</v>
      </c>
      <c r="B3870" t="s">
        <v>148</v>
      </c>
      <c r="C3870" t="s">
        <v>156</v>
      </c>
      <c r="D3870" t="s">
        <v>285</v>
      </c>
      <c r="E3870" t="s">
        <v>414</v>
      </c>
      <c r="F3870">
        <f>HYPERLINK("https://www.wikidata.org/wiki/Q16683508", "Q16683508")</f>
        <v>0</v>
      </c>
      <c r="G3870" t="s">
        <v>1956</v>
      </c>
      <c r="H3870" t="s">
        <v>6598</v>
      </c>
      <c r="I3870" t="s">
        <v>9389</v>
      </c>
      <c r="J3870" t="s">
        <v>12639</v>
      </c>
      <c r="K3870" t="s">
        <v>17049</v>
      </c>
      <c r="L3870">
        <f>HYPERLINK("https://www2.assemblee-nationale.fr/sycomore/fiche/(num_dept)/3332", "3332")</f>
        <v>0</v>
      </c>
      <c r="N3870">
        <f>HYPERLINK("https://www.wikidata.org/wiki/Q3588531", "Q3588531")</f>
        <v>0</v>
      </c>
      <c r="O3870" t="s">
        <v>19987</v>
      </c>
      <c r="P3870" t="s">
        <v>20449</v>
      </c>
      <c r="Q3870" t="s">
        <v>20653</v>
      </c>
      <c r="R3870" t="s">
        <v>21453</v>
      </c>
      <c r="S3870">
        <v>2226</v>
      </c>
    </row>
    <row r="3871" spans="1:19">
      <c r="A3871" t="s">
        <v>24</v>
      </c>
      <c r="B3871" t="s">
        <v>148</v>
      </c>
      <c r="C3871" t="s">
        <v>156</v>
      </c>
      <c r="D3871" t="s">
        <v>285</v>
      </c>
      <c r="E3871" t="s">
        <v>414</v>
      </c>
      <c r="F3871">
        <f>HYPERLINK("https://www.wikidata.org/wiki/Q16683508", "Q16683508")</f>
        <v>0</v>
      </c>
      <c r="G3871" t="s">
        <v>2463</v>
      </c>
      <c r="H3871" t="s">
        <v>7036</v>
      </c>
      <c r="I3871" t="s">
        <v>6585</v>
      </c>
      <c r="J3871" t="s">
        <v>13108</v>
      </c>
      <c r="K3871" t="s">
        <v>17517</v>
      </c>
      <c r="L3871">
        <f>HYPERLINK("https://www2.assemblee-nationale.fr/sycomore/fiche/(num_dept)/3348", "3348")</f>
        <v>0</v>
      </c>
      <c r="N3871">
        <f>HYPERLINK("https://www.wikidata.org/wiki/Q2847827", "Q2847827")</f>
        <v>0</v>
      </c>
      <c r="O3871" t="s">
        <v>19978</v>
      </c>
      <c r="P3871" t="s">
        <v>20454</v>
      </c>
      <c r="Q3871" t="s">
        <v>20653</v>
      </c>
      <c r="R3871" t="s">
        <v>21453</v>
      </c>
      <c r="S3871">
        <v>2226</v>
      </c>
    </row>
    <row r="3872" spans="1:19">
      <c r="A3872" t="s">
        <v>24</v>
      </c>
      <c r="B3872" t="s">
        <v>148</v>
      </c>
      <c r="C3872" t="s">
        <v>156</v>
      </c>
      <c r="D3872" t="s">
        <v>285</v>
      </c>
      <c r="E3872" t="s">
        <v>414</v>
      </c>
      <c r="F3872">
        <f>HYPERLINK("https://www.wikidata.org/wiki/Q16683508", "Q16683508")</f>
        <v>0</v>
      </c>
      <c r="G3872" t="s">
        <v>2464</v>
      </c>
      <c r="H3872" t="s">
        <v>7037</v>
      </c>
      <c r="I3872" t="s">
        <v>9457</v>
      </c>
      <c r="J3872" t="s">
        <v>13109</v>
      </c>
      <c r="K3872" t="s">
        <v>17518</v>
      </c>
      <c r="L3872">
        <f>HYPERLINK("https://www2.assemblee-nationale.fr/sycomore/fiche/(num_dept)/3370", "3370")</f>
        <v>0</v>
      </c>
      <c r="N3872">
        <f>HYPERLINK("https://www.wikidata.org/wiki/Q2415044", "Q2415044")</f>
        <v>0</v>
      </c>
      <c r="O3872" t="s">
        <v>20018</v>
      </c>
      <c r="P3872" t="s">
        <v>20409</v>
      </c>
      <c r="Q3872" t="s">
        <v>20653</v>
      </c>
      <c r="R3872" t="s">
        <v>21453</v>
      </c>
      <c r="S3872">
        <v>2226</v>
      </c>
    </row>
    <row r="3873" spans="1:19">
      <c r="A3873" t="s">
        <v>24</v>
      </c>
      <c r="B3873" t="s">
        <v>148</v>
      </c>
      <c r="C3873" t="s">
        <v>156</v>
      </c>
      <c r="D3873" t="s">
        <v>285</v>
      </c>
      <c r="E3873" t="s">
        <v>414</v>
      </c>
      <c r="F3873">
        <f>HYPERLINK("https://www.wikidata.org/wiki/Q16683508", "Q16683508")</f>
        <v>0</v>
      </c>
      <c r="G3873" t="s">
        <v>2077</v>
      </c>
      <c r="H3873" t="s">
        <v>6703</v>
      </c>
      <c r="I3873" t="s">
        <v>9476</v>
      </c>
      <c r="J3873" t="s">
        <v>12748</v>
      </c>
      <c r="K3873" t="s">
        <v>17159</v>
      </c>
      <c r="L3873">
        <f>HYPERLINK("https://www2.assemblee-nationale.fr/sycomore/fiche/(num_dept)/3506", "3506")</f>
        <v>0</v>
      </c>
      <c r="M3873">
        <f>HYPERLINK("https://www.senat.fr/senateur-3eme-republique/gounin_rene0402r3.html", "gounin_rene0402r3")</f>
        <v>0</v>
      </c>
      <c r="N3873">
        <f>HYPERLINK("https://www.wikidata.org/wiki/Q3426287", "Q3426287")</f>
        <v>0</v>
      </c>
      <c r="O3873" t="s">
        <v>20031</v>
      </c>
      <c r="P3873" t="s">
        <v>20448</v>
      </c>
      <c r="Q3873" t="s">
        <v>20653</v>
      </c>
      <c r="R3873" t="s">
        <v>21458</v>
      </c>
      <c r="S3873">
        <v>1017</v>
      </c>
    </row>
    <row r="3874" spans="1:19">
      <c r="A3874" t="s">
        <v>24</v>
      </c>
      <c r="B3874" t="s">
        <v>148</v>
      </c>
      <c r="C3874" t="s">
        <v>156</v>
      </c>
      <c r="D3874" t="s">
        <v>285</v>
      </c>
      <c r="E3874" t="s">
        <v>414</v>
      </c>
      <c r="F3874">
        <f>HYPERLINK("https://www.wikidata.org/wiki/Q16683508", "Q16683508")</f>
        <v>0</v>
      </c>
      <c r="G3874" t="s">
        <v>2417</v>
      </c>
      <c r="H3874" t="s">
        <v>6992</v>
      </c>
      <c r="I3874" t="s">
        <v>10205</v>
      </c>
      <c r="J3874" t="s">
        <v>13067</v>
      </c>
      <c r="K3874" t="s">
        <v>17476</v>
      </c>
      <c r="L3874">
        <f>HYPERLINK("https://www2.assemblee-nationale.fr/sycomore/fiche/(num_dept)/3544", "3544")</f>
        <v>0</v>
      </c>
      <c r="N3874">
        <f>HYPERLINK("https://www.wikidata.org/wiki/Q3435925", "Q3435925")</f>
        <v>0</v>
      </c>
      <c r="O3874" t="s">
        <v>19980</v>
      </c>
      <c r="P3874" t="s">
        <v>20445</v>
      </c>
      <c r="Q3874" t="s">
        <v>20653</v>
      </c>
      <c r="R3874" t="s">
        <v>21453</v>
      </c>
      <c r="S3874">
        <v>2226</v>
      </c>
    </row>
    <row r="3875" spans="1:19">
      <c r="A3875" t="s">
        <v>24</v>
      </c>
      <c r="B3875" t="s">
        <v>148</v>
      </c>
      <c r="C3875" t="s">
        <v>156</v>
      </c>
      <c r="D3875" t="s">
        <v>285</v>
      </c>
      <c r="E3875" t="s">
        <v>414</v>
      </c>
      <c r="F3875">
        <f>HYPERLINK("https://www.wikidata.org/wiki/Q16683508", "Q16683508")</f>
        <v>0</v>
      </c>
      <c r="G3875" t="s">
        <v>1485</v>
      </c>
      <c r="H3875" t="s">
        <v>6183</v>
      </c>
      <c r="I3875" t="s">
        <v>9421</v>
      </c>
      <c r="J3875" t="s">
        <v>12204</v>
      </c>
      <c r="K3875" t="s">
        <v>16609</v>
      </c>
      <c r="L3875">
        <f>HYPERLINK("https://www2.assemblee-nationale.fr/sycomore/fiche/(num_dept)/3627", "3627")</f>
        <v>0</v>
      </c>
      <c r="M3875">
        <f>HYPERLINK("https://www.senat.fr/senateur-3eme-republique/guerin_gustave1038r3.html", "guerin_gustave1038r3")</f>
        <v>0</v>
      </c>
      <c r="N3875">
        <f>HYPERLINK("https://www.wikidata.org/wiki/Q3121205", "Q3121205")</f>
        <v>0</v>
      </c>
      <c r="O3875" t="s">
        <v>19985</v>
      </c>
      <c r="P3875" t="s">
        <v>20444</v>
      </c>
      <c r="Q3875" t="s">
        <v>20653</v>
      </c>
      <c r="R3875" t="s">
        <v>21459</v>
      </c>
      <c r="S3875">
        <v>271</v>
      </c>
    </row>
    <row r="3876" spans="1:19">
      <c r="A3876" t="s">
        <v>24</v>
      </c>
      <c r="B3876" t="s">
        <v>148</v>
      </c>
      <c r="C3876" t="s">
        <v>156</v>
      </c>
      <c r="D3876" t="s">
        <v>285</v>
      </c>
      <c r="E3876" t="s">
        <v>414</v>
      </c>
      <c r="F3876">
        <f>HYPERLINK("https://www.wikidata.org/wiki/Q16683508", "Q16683508")</f>
        <v>0</v>
      </c>
      <c r="G3876" t="s">
        <v>672</v>
      </c>
      <c r="H3876" t="s">
        <v>5431</v>
      </c>
      <c r="I3876" t="s">
        <v>9385</v>
      </c>
      <c r="J3876" t="s">
        <v>11422</v>
      </c>
      <c r="K3876" t="s">
        <v>15823</v>
      </c>
      <c r="L3876">
        <f>HYPERLINK("https://www2.assemblee-nationale.fr/sycomore/fiche/(num_dept)/3634", "3634")</f>
        <v>0</v>
      </c>
      <c r="N3876">
        <f>HYPERLINK("https://www.wikidata.org/wiki/Q2959267", "Q2959267")</f>
        <v>0</v>
      </c>
      <c r="O3876" t="s">
        <v>19998</v>
      </c>
      <c r="P3876" t="s">
        <v>20409</v>
      </c>
      <c r="Q3876" t="s">
        <v>20653</v>
      </c>
      <c r="R3876" t="s">
        <v>21453</v>
      </c>
      <c r="S3876">
        <v>2226</v>
      </c>
    </row>
    <row r="3877" spans="1:19">
      <c r="A3877" t="s">
        <v>24</v>
      </c>
      <c r="B3877" t="s">
        <v>148</v>
      </c>
      <c r="C3877" t="s">
        <v>156</v>
      </c>
      <c r="D3877" t="s">
        <v>285</v>
      </c>
      <c r="E3877" t="s">
        <v>414</v>
      </c>
      <c r="F3877">
        <f>HYPERLINK("https://www.wikidata.org/wiki/Q16683508", "Q16683508")</f>
        <v>0</v>
      </c>
      <c r="G3877" t="s">
        <v>2203</v>
      </c>
      <c r="H3877" t="s">
        <v>6813</v>
      </c>
      <c r="I3877" t="s">
        <v>6166</v>
      </c>
      <c r="J3877" t="s">
        <v>12865</v>
      </c>
      <c r="K3877" t="s">
        <v>17277</v>
      </c>
      <c r="L3877">
        <f>HYPERLINK("https://www2.assemblee-nationale.fr/sycomore/fiche/(num_dept)/3751", "3751")</f>
        <v>0</v>
      </c>
      <c r="N3877">
        <f>HYPERLINK("https://www.wikidata.org/wiki/Q3083328", "Q3083328")</f>
        <v>0</v>
      </c>
      <c r="O3877" t="s">
        <v>20009</v>
      </c>
      <c r="P3877" t="s">
        <v>20453</v>
      </c>
      <c r="Q3877" t="s">
        <v>20653</v>
      </c>
      <c r="R3877" t="s">
        <v>21453</v>
      </c>
      <c r="S3877">
        <v>2226</v>
      </c>
    </row>
    <row r="3878" spans="1:19">
      <c r="A3878" t="s">
        <v>24</v>
      </c>
      <c r="B3878" t="s">
        <v>148</v>
      </c>
      <c r="C3878" t="s">
        <v>156</v>
      </c>
      <c r="D3878" t="s">
        <v>285</v>
      </c>
      <c r="E3878" t="s">
        <v>414</v>
      </c>
      <c r="F3878">
        <f>HYPERLINK("https://www.wikidata.org/wiki/Q16683508", "Q16683508")</f>
        <v>0</v>
      </c>
      <c r="G3878" t="s">
        <v>2465</v>
      </c>
      <c r="H3878" t="s">
        <v>7038</v>
      </c>
      <c r="I3878" t="s">
        <v>9388</v>
      </c>
      <c r="J3878" t="s">
        <v>13110</v>
      </c>
      <c r="K3878" t="s">
        <v>17519</v>
      </c>
      <c r="L3878">
        <f>HYPERLINK("https://www2.assemblee-nationale.fr/sycomore/fiche/(num_dept)/3756", "3756")</f>
        <v>0</v>
      </c>
      <c r="N3878">
        <f>HYPERLINK("https://www.wikidata.org/wiki/Q3371432", "Q3371432")</f>
        <v>0</v>
      </c>
      <c r="O3878" t="s">
        <v>20050</v>
      </c>
      <c r="P3878" t="s">
        <v>20451</v>
      </c>
      <c r="Q3878" t="s">
        <v>20653</v>
      </c>
      <c r="R3878" t="s">
        <v>21453</v>
      </c>
      <c r="S3878">
        <v>2226</v>
      </c>
    </row>
    <row r="3879" spans="1:19">
      <c r="A3879" t="s">
        <v>24</v>
      </c>
      <c r="B3879" t="s">
        <v>148</v>
      </c>
      <c r="C3879" t="s">
        <v>156</v>
      </c>
      <c r="D3879" t="s">
        <v>285</v>
      </c>
      <c r="E3879" t="s">
        <v>414</v>
      </c>
      <c r="F3879">
        <f>HYPERLINK("https://www.wikidata.org/wiki/Q16683508", "Q16683508")</f>
        <v>0</v>
      </c>
      <c r="G3879" t="s">
        <v>2466</v>
      </c>
      <c r="H3879" t="s">
        <v>7039</v>
      </c>
      <c r="I3879" t="s">
        <v>9385</v>
      </c>
      <c r="J3879" t="s">
        <v>13111</v>
      </c>
      <c r="K3879" t="s">
        <v>17520</v>
      </c>
      <c r="L3879">
        <f>HYPERLINK("https://www2.assemblee-nationale.fr/sycomore/fiche/(num_dept)/3757", "3757")</f>
        <v>0</v>
      </c>
      <c r="N3879">
        <f>HYPERLINK("https://www.wikidata.org/wiki/Q2959318", "Q2959318")</f>
        <v>0</v>
      </c>
      <c r="O3879" t="s">
        <v>20049</v>
      </c>
      <c r="P3879" t="s">
        <v>20451</v>
      </c>
      <c r="Q3879" t="s">
        <v>20653</v>
      </c>
      <c r="R3879" t="s">
        <v>21453</v>
      </c>
      <c r="S3879">
        <v>2226</v>
      </c>
    </row>
    <row r="3880" spans="1:19">
      <c r="A3880" t="s">
        <v>24</v>
      </c>
      <c r="B3880" t="s">
        <v>148</v>
      </c>
      <c r="C3880" t="s">
        <v>156</v>
      </c>
      <c r="D3880" t="s">
        <v>285</v>
      </c>
      <c r="E3880" t="s">
        <v>414</v>
      </c>
      <c r="F3880">
        <f>HYPERLINK("https://www.wikidata.org/wiki/Q16683508", "Q16683508")</f>
        <v>0</v>
      </c>
      <c r="G3880" t="s">
        <v>1496</v>
      </c>
      <c r="H3880" t="s">
        <v>6194</v>
      </c>
      <c r="I3880" t="s">
        <v>5812</v>
      </c>
      <c r="J3880" t="s">
        <v>12214</v>
      </c>
      <c r="K3880" t="s">
        <v>16221</v>
      </c>
      <c r="L3880">
        <f>HYPERLINK("https://www2.assemblee-nationale.fr/sycomore/fiche/(num_dept)/3933", "3933")</f>
        <v>0</v>
      </c>
      <c r="N3880">
        <f>HYPERLINK("https://www.wikidata.org/wiki/Q3559675", "Q3559675")</f>
        <v>0</v>
      </c>
      <c r="O3880" t="s">
        <v>20011</v>
      </c>
      <c r="P3880" t="s">
        <v>20444</v>
      </c>
      <c r="Q3880" t="s">
        <v>20653</v>
      </c>
      <c r="R3880" t="s">
        <v>21453</v>
      </c>
      <c r="S3880">
        <v>2226</v>
      </c>
    </row>
    <row r="3881" spans="1:19">
      <c r="A3881" t="s">
        <v>24</v>
      </c>
      <c r="B3881" t="s">
        <v>148</v>
      </c>
      <c r="C3881" t="s">
        <v>156</v>
      </c>
      <c r="D3881" t="s">
        <v>285</v>
      </c>
      <c r="E3881" t="s">
        <v>414</v>
      </c>
      <c r="F3881">
        <f>HYPERLINK("https://www.wikidata.org/wiki/Q16683508", "Q16683508")</f>
        <v>0</v>
      </c>
      <c r="G3881" t="s">
        <v>2467</v>
      </c>
      <c r="H3881" t="s">
        <v>7040</v>
      </c>
      <c r="I3881" t="s">
        <v>6175</v>
      </c>
      <c r="J3881" t="s">
        <v>13112</v>
      </c>
      <c r="K3881" t="s">
        <v>17521</v>
      </c>
      <c r="L3881">
        <f>HYPERLINK("https://www2.assemblee-nationale.fr/sycomore/fiche/(num_dept)/3952", "3952")</f>
        <v>0</v>
      </c>
      <c r="N3881">
        <f>HYPERLINK("https://www.wikidata.org/wiki/Q3102929", "Q3102929")</f>
        <v>0</v>
      </c>
      <c r="O3881" t="s">
        <v>20007</v>
      </c>
      <c r="P3881" t="s">
        <v>20455</v>
      </c>
      <c r="Q3881" t="s">
        <v>20653</v>
      </c>
      <c r="R3881" t="s">
        <v>21453</v>
      </c>
      <c r="S3881">
        <v>2226</v>
      </c>
    </row>
    <row r="3882" spans="1:19">
      <c r="A3882" t="s">
        <v>24</v>
      </c>
      <c r="B3882" t="s">
        <v>148</v>
      </c>
      <c r="C3882" t="s">
        <v>156</v>
      </c>
      <c r="D3882" t="s">
        <v>285</v>
      </c>
      <c r="E3882" t="s">
        <v>414</v>
      </c>
      <c r="F3882">
        <f>HYPERLINK("https://www.wikidata.org/wiki/Q16683508", "Q16683508")</f>
        <v>0</v>
      </c>
      <c r="G3882" t="s">
        <v>2250</v>
      </c>
      <c r="H3882" t="s">
        <v>6855</v>
      </c>
      <c r="I3882" t="s">
        <v>6495</v>
      </c>
      <c r="J3882" t="s">
        <v>12910</v>
      </c>
      <c r="K3882" t="s">
        <v>17321</v>
      </c>
      <c r="L3882">
        <f>HYPERLINK("https://www2.assemblee-nationale.fr/sycomore/fiche/(num_dept)/3971", "3971")</f>
        <v>0</v>
      </c>
      <c r="N3882">
        <f>HYPERLINK("https://www.wikidata.org/wiki/Q3262301", "Q3262301")</f>
        <v>0</v>
      </c>
      <c r="O3882" t="s">
        <v>20030</v>
      </c>
      <c r="P3882" t="s">
        <v>20447</v>
      </c>
      <c r="Q3882" t="s">
        <v>20653</v>
      </c>
      <c r="R3882" t="s">
        <v>21453</v>
      </c>
      <c r="S3882">
        <v>2226</v>
      </c>
    </row>
    <row r="3883" spans="1:19">
      <c r="A3883" t="s">
        <v>24</v>
      </c>
      <c r="B3883" t="s">
        <v>148</v>
      </c>
      <c r="C3883" t="s">
        <v>156</v>
      </c>
      <c r="D3883" t="s">
        <v>285</v>
      </c>
      <c r="E3883" t="s">
        <v>414</v>
      </c>
      <c r="F3883">
        <f>HYPERLINK("https://www.wikidata.org/wiki/Q16683508", "Q16683508")</f>
        <v>0</v>
      </c>
      <c r="G3883" t="s">
        <v>1679</v>
      </c>
      <c r="H3883" t="s">
        <v>6200</v>
      </c>
      <c r="I3883" t="s">
        <v>9881</v>
      </c>
      <c r="J3883" t="s">
        <v>12384</v>
      </c>
      <c r="K3883" t="s">
        <v>16793</v>
      </c>
      <c r="L3883">
        <f>HYPERLINK("https://www2.assemblee-nationale.fr/sycomore/fiche/(num_dept)/4017", "4017")</f>
        <v>0</v>
      </c>
      <c r="N3883">
        <f>HYPERLINK("https://www.wikidata.org/wiki/Q3424912", "Q3424912")</f>
        <v>0</v>
      </c>
      <c r="O3883" t="s">
        <v>20043</v>
      </c>
      <c r="P3883" t="s">
        <v>20424</v>
      </c>
      <c r="Q3883" t="s">
        <v>20653</v>
      </c>
      <c r="R3883" t="s">
        <v>19832</v>
      </c>
      <c r="S3883">
        <v>1365</v>
      </c>
    </row>
    <row r="3884" spans="1:19">
      <c r="A3884" t="s">
        <v>24</v>
      </c>
      <c r="B3884" t="s">
        <v>148</v>
      </c>
      <c r="C3884" t="s">
        <v>156</v>
      </c>
      <c r="D3884" t="s">
        <v>285</v>
      </c>
      <c r="E3884" t="s">
        <v>414</v>
      </c>
      <c r="F3884">
        <f>HYPERLINK("https://www.wikidata.org/wiki/Q16683508", "Q16683508")</f>
        <v>0</v>
      </c>
      <c r="G3884" t="s">
        <v>1084</v>
      </c>
      <c r="H3884" t="s">
        <v>5827</v>
      </c>
      <c r="I3884" t="s">
        <v>7419</v>
      </c>
      <c r="J3884" t="s">
        <v>11820</v>
      </c>
      <c r="K3884" t="s">
        <v>16221</v>
      </c>
      <c r="L3884">
        <f>HYPERLINK("https://www2.assemblee-nationale.fr/sycomore/fiche/(num_dept)/4090", "4090")</f>
        <v>0</v>
      </c>
      <c r="M3884">
        <f>HYPERLINK("https://www.senat.fr/senateur-3eme-republique/de_juigne_jacques1286r3.html", "de_juigne_jacques1286r3")</f>
        <v>0</v>
      </c>
      <c r="N3884">
        <f>HYPERLINK("https://www.wikidata.org/wiki/Q3158160", "Q3158160")</f>
        <v>0</v>
      </c>
      <c r="O3884" t="s">
        <v>20023</v>
      </c>
      <c r="P3884" t="s">
        <v>20409</v>
      </c>
      <c r="Q3884" t="s">
        <v>20653</v>
      </c>
      <c r="R3884" t="s">
        <v>21460</v>
      </c>
      <c r="S3884">
        <v>233</v>
      </c>
    </row>
    <row r="3885" spans="1:19">
      <c r="A3885" t="s">
        <v>24</v>
      </c>
      <c r="B3885" t="s">
        <v>148</v>
      </c>
      <c r="C3885" t="s">
        <v>156</v>
      </c>
      <c r="D3885" t="s">
        <v>285</v>
      </c>
      <c r="E3885" t="s">
        <v>414</v>
      </c>
      <c r="F3885">
        <f>HYPERLINK("https://www.wikidata.org/wiki/Q16683508", "Q16683508")</f>
        <v>0</v>
      </c>
      <c r="G3885" t="s">
        <v>2468</v>
      </c>
      <c r="H3885" t="s">
        <v>7041</v>
      </c>
      <c r="I3885" t="s">
        <v>10228</v>
      </c>
      <c r="J3885" t="s">
        <v>13113</v>
      </c>
      <c r="K3885" t="s">
        <v>17522</v>
      </c>
      <c r="L3885">
        <f>HYPERLINK("https://www2.assemblee-nationale.fr/sycomore/fiche/(num_dept)/4129", "4129")</f>
        <v>0</v>
      </c>
      <c r="N3885">
        <f>HYPERLINK("https://www.wikidata.org/wiki/Q3132283", "Q3132283")</f>
        <v>0</v>
      </c>
      <c r="O3885" t="s">
        <v>19969</v>
      </c>
      <c r="P3885" t="s">
        <v>20453</v>
      </c>
      <c r="Q3885" t="s">
        <v>20653</v>
      </c>
      <c r="R3885" t="s">
        <v>21461</v>
      </c>
      <c r="S3885">
        <v>1706</v>
      </c>
    </row>
    <row r="3886" spans="1:19">
      <c r="A3886" t="s">
        <v>24</v>
      </c>
      <c r="B3886" t="s">
        <v>148</v>
      </c>
      <c r="C3886" t="s">
        <v>156</v>
      </c>
      <c r="D3886" t="s">
        <v>285</v>
      </c>
      <c r="E3886" t="s">
        <v>414</v>
      </c>
      <c r="F3886">
        <f>HYPERLINK("https://www.wikidata.org/wiki/Q16683508", "Q16683508")</f>
        <v>0</v>
      </c>
      <c r="G3886" t="s">
        <v>2220</v>
      </c>
      <c r="H3886" t="s">
        <v>6829</v>
      </c>
      <c r="I3886" t="s">
        <v>6495</v>
      </c>
      <c r="J3886" t="s">
        <v>12881</v>
      </c>
      <c r="K3886" t="s">
        <v>17293</v>
      </c>
      <c r="L3886">
        <f>HYPERLINK("https://www2.assemblee-nationale.fr/sycomore/fiche/(num_dept)/4167", "4167")</f>
        <v>0</v>
      </c>
      <c r="N3886">
        <f>HYPERLINK("https://www.wikidata.org/wiki/Q3262410", "Q3262410")</f>
        <v>0</v>
      </c>
      <c r="O3886" t="s">
        <v>19961</v>
      </c>
      <c r="P3886" t="s">
        <v>20446</v>
      </c>
      <c r="Q3886" t="s">
        <v>20653</v>
      </c>
      <c r="R3886" t="s">
        <v>21453</v>
      </c>
      <c r="S3886">
        <v>2226</v>
      </c>
    </row>
    <row r="3887" spans="1:19">
      <c r="A3887" t="s">
        <v>24</v>
      </c>
      <c r="B3887" t="s">
        <v>148</v>
      </c>
      <c r="C3887" t="s">
        <v>156</v>
      </c>
      <c r="D3887" t="s">
        <v>285</v>
      </c>
      <c r="E3887" t="s">
        <v>414</v>
      </c>
      <c r="F3887">
        <f>HYPERLINK("https://www.wikidata.org/wiki/Q16683508", "Q16683508")</f>
        <v>0</v>
      </c>
      <c r="G3887" t="s">
        <v>700</v>
      </c>
      <c r="H3887" t="s">
        <v>5458</v>
      </c>
      <c r="I3887" t="s">
        <v>9486</v>
      </c>
      <c r="J3887" t="s">
        <v>11450</v>
      </c>
      <c r="K3887" t="s">
        <v>15851</v>
      </c>
      <c r="L3887">
        <f>HYPERLINK("https://www2.assemblee-nationale.fr/sycomore/fiche/(num_dept)/4177", "4177")</f>
        <v>0</v>
      </c>
      <c r="N3887">
        <f>HYPERLINK("https://www.wikidata.org/wiki/Q3132286", "Q3132286")</f>
        <v>0</v>
      </c>
      <c r="O3887" t="s">
        <v>20023</v>
      </c>
      <c r="P3887" t="s">
        <v>20409</v>
      </c>
      <c r="Q3887" t="s">
        <v>20653</v>
      </c>
      <c r="R3887" t="s">
        <v>21453</v>
      </c>
      <c r="S3887">
        <v>2226</v>
      </c>
    </row>
    <row r="3888" spans="1:19">
      <c r="A3888" t="s">
        <v>24</v>
      </c>
      <c r="B3888" t="s">
        <v>148</v>
      </c>
      <c r="C3888" t="s">
        <v>156</v>
      </c>
      <c r="D3888" t="s">
        <v>285</v>
      </c>
      <c r="E3888" t="s">
        <v>414</v>
      </c>
      <c r="F3888">
        <f>HYPERLINK("https://www.wikidata.org/wiki/Q16683508", "Q16683508")</f>
        <v>0</v>
      </c>
      <c r="G3888" t="s">
        <v>2340</v>
      </c>
      <c r="H3888" t="s">
        <v>5467</v>
      </c>
      <c r="I3888" t="s">
        <v>9407</v>
      </c>
      <c r="J3888" t="s">
        <v>12994</v>
      </c>
      <c r="K3888" t="s">
        <v>17404</v>
      </c>
      <c r="L3888">
        <f>HYPERLINK("https://www2.assemblee-nationale.fr/sycomore/fiche/(num_dept)/4338", "4338")</f>
        <v>0</v>
      </c>
      <c r="N3888">
        <f>HYPERLINK("https://www.wikidata.org/wiki/Q328240", "Q328240")</f>
        <v>0</v>
      </c>
      <c r="O3888" t="s">
        <v>20009</v>
      </c>
      <c r="P3888" t="s">
        <v>20447</v>
      </c>
      <c r="Q3888" t="s">
        <v>20653</v>
      </c>
      <c r="R3888" t="s">
        <v>21453</v>
      </c>
      <c r="S3888">
        <v>2226</v>
      </c>
    </row>
    <row r="3889" spans="1:19">
      <c r="A3889" t="s">
        <v>24</v>
      </c>
      <c r="B3889" t="s">
        <v>148</v>
      </c>
      <c r="C3889" t="s">
        <v>156</v>
      </c>
      <c r="D3889" t="s">
        <v>285</v>
      </c>
      <c r="E3889" t="s">
        <v>414</v>
      </c>
      <c r="F3889">
        <f>HYPERLINK("https://www.wikidata.org/wiki/Q16683508", "Q16683508")</f>
        <v>0</v>
      </c>
      <c r="G3889" t="s">
        <v>2469</v>
      </c>
      <c r="H3889" t="s">
        <v>7042</v>
      </c>
      <c r="I3889" t="s">
        <v>9389</v>
      </c>
      <c r="J3889" t="s">
        <v>13114</v>
      </c>
      <c r="K3889" t="s">
        <v>17523</v>
      </c>
      <c r="L3889">
        <f>HYPERLINK("https://www2.assemblee-nationale.fr/sycomore/fiche/(num_dept)/4351", "4351")</f>
        <v>0</v>
      </c>
      <c r="N3889">
        <f>HYPERLINK("https://www.wikidata.org/wiki/Q3588601", "Q3588601")</f>
        <v>0</v>
      </c>
      <c r="O3889" t="s">
        <v>20040</v>
      </c>
      <c r="P3889" t="s">
        <v>20444</v>
      </c>
      <c r="Q3889" t="s">
        <v>20653</v>
      </c>
      <c r="R3889" t="s">
        <v>21453</v>
      </c>
      <c r="S3889">
        <v>2226</v>
      </c>
    </row>
    <row r="3890" spans="1:19">
      <c r="A3890" t="s">
        <v>24</v>
      </c>
      <c r="B3890" t="s">
        <v>148</v>
      </c>
      <c r="C3890" t="s">
        <v>156</v>
      </c>
      <c r="D3890" t="s">
        <v>285</v>
      </c>
      <c r="E3890" t="s">
        <v>414</v>
      </c>
      <c r="F3890">
        <f>HYPERLINK("https://www.wikidata.org/wiki/Q16683508", "Q16683508")</f>
        <v>0</v>
      </c>
      <c r="G3890" t="s">
        <v>2100</v>
      </c>
      <c r="H3890" t="s">
        <v>5470</v>
      </c>
      <c r="I3890" t="s">
        <v>9442</v>
      </c>
      <c r="J3890" t="s">
        <v>12334</v>
      </c>
      <c r="K3890" t="s">
        <v>17182</v>
      </c>
      <c r="L3890">
        <f>HYPERLINK("https://www2.assemblee-nationale.fr/sycomore/fiche/(num_dept)/4361", "4361")</f>
        <v>0</v>
      </c>
      <c r="N3890">
        <f>HYPERLINK("https://www.wikidata.org/wiki/Q3057038", "Q3057038")</f>
        <v>0</v>
      </c>
      <c r="O3890" t="s">
        <v>20005</v>
      </c>
      <c r="P3890" t="s">
        <v>20446</v>
      </c>
      <c r="Q3890" t="s">
        <v>20653</v>
      </c>
      <c r="R3890" t="s">
        <v>21453</v>
      </c>
      <c r="S3890">
        <v>2226</v>
      </c>
    </row>
    <row r="3891" spans="1:19">
      <c r="A3891" t="s">
        <v>24</v>
      </c>
      <c r="B3891" t="s">
        <v>148</v>
      </c>
      <c r="C3891" t="s">
        <v>156</v>
      </c>
      <c r="D3891" t="s">
        <v>285</v>
      </c>
      <c r="E3891" t="s">
        <v>414</v>
      </c>
      <c r="F3891">
        <f>HYPERLINK("https://www.wikidata.org/wiki/Q16683508", "Q16683508")</f>
        <v>0</v>
      </c>
      <c r="G3891" t="s">
        <v>1513</v>
      </c>
      <c r="H3891" t="s">
        <v>6209</v>
      </c>
      <c r="I3891" t="s">
        <v>9385</v>
      </c>
      <c r="J3891" t="s">
        <v>12230</v>
      </c>
      <c r="K3891" t="s">
        <v>16636</v>
      </c>
      <c r="L3891">
        <f>HYPERLINK("https://www2.assemblee-nationale.fr/sycomore/fiche/(num_dept)/4386", "4386")</f>
        <v>0</v>
      </c>
      <c r="N3891">
        <f>HYPERLINK("https://www.wikidata.org/wiki/Q2960618", "Q2960618")</f>
        <v>0</v>
      </c>
      <c r="O3891" t="s">
        <v>19969</v>
      </c>
      <c r="P3891" t="s">
        <v>20444</v>
      </c>
      <c r="Q3891" t="s">
        <v>20653</v>
      </c>
      <c r="R3891" t="s">
        <v>16636</v>
      </c>
      <c r="S3891">
        <v>63</v>
      </c>
    </row>
    <row r="3892" spans="1:19">
      <c r="A3892" t="s">
        <v>24</v>
      </c>
      <c r="B3892" t="s">
        <v>148</v>
      </c>
      <c r="C3892" t="s">
        <v>156</v>
      </c>
      <c r="D3892" t="s">
        <v>285</v>
      </c>
      <c r="E3892" t="s">
        <v>414</v>
      </c>
      <c r="F3892">
        <f>HYPERLINK("https://www.wikidata.org/wiki/Q16683508", "Q16683508")</f>
        <v>0</v>
      </c>
      <c r="G3892" t="s">
        <v>2342</v>
      </c>
      <c r="H3892" t="s">
        <v>6929</v>
      </c>
      <c r="I3892" t="s">
        <v>10177</v>
      </c>
      <c r="J3892" t="s">
        <v>12995</v>
      </c>
      <c r="K3892" t="s">
        <v>17406</v>
      </c>
      <c r="L3892">
        <f>HYPERLINK("https://www2.assemblee-nationale.fr/sycomore/fiche/(num_dept)/4839", "4839")</f>
        <v>0</v>
      </c>
      <c r="N3892">
        <f>HYPERLINK("https://www.wikidata.org/wiki/Q3160364", "Q3160364")</f>
        <v>0</v>
      </c>
      <c r="O3892" t="s">
        <v>19978</v>
      </c>
      <c r="P3892" t="s">
        <v>20444</v>
      </c>
      <c r="Q3892" t="s">
        <v>20653</v>
      </c>
      <c r="R3892" t="s">
        <v>21453</v>
      </c>
      <c r="S3892">
        <v>2226</v>
      </c>
    </row>
    <row r="3893" spans="1:19">
      <c r="A3893" t="s">
        <v>24</v>
      </c>
      <c r="B3893" t="s">
        <v>148</v>
      </c>
      <c r="C3893" t="s">
        <v>156</v>
      </c>
      <c r="D3893" t="s">
        <v>285</v>
      </c>
      <c r="E3893" t="s">
        <v>414</v>
      </c>
      <c r="F3893">
        <f>HYPERLINK("https://www.wikidata.org/wiki/Q16683508", "Q16683508")</f>
        <v>0</v>
      </c>
      <c r="G3893" t="s">
        <v>2470</v>
      </c>
      <c r="H3893" t="s">
        <v>7043</v>
      </c>
      <c r="I3893" t="s">
        <v>10229</v>
      </c>
      <c r="J3893" t="s">
        <v>13115</v>
      </c>
      <c r="K3893" t="s">
        <v>17524</v>
      </c>
      <c r="L3893">
        <f>HYPERLINK("https://www2.assemblee-nationale.fr/sycomore/fiche/(num_dept)/4843", "4843")</f>
        <v>0</v>
      </c>
      <c r="N3893">
        <f>HYPERLINK("https://www.wikidata.org/wiki/Q3348843", "Q3348843")</f>
        <v>0</v>
      </c>
      <c r="O3893" t="s">
        <v>19985</v>
      </c>
      <c r="P3893" t="s">
        <v>20444</v>
      </c>
      <c r="Q3893" t="s">
        <v>20653</v>
      </c>
      <c r="R3893" t="s">
        <v>21453</v>
      </c>
      <c r="S3893">
        <v>2226</v>
      </c>
    </row>
    <row r="3894" spans="1:19">
      <c r="A3894" t="s">
        <v>24</v>
      </c>
      <c r="B3894" t="s">
        <v>148</v>
      </c>
      <c r="C3894" t="s">
        <v>156</v>
      </c>
      <c r="D3894" t="s">
        <v>285</v>
      </c>
      <c r="E3894" t="s">
        <v>414</v>
      </c>
      <c r="F3894">
        <f>HYPERLINK("https://www.wikidata.org/wiki/Q16683508", "Q16683508")</f>
        <v>0</v>
      </c>
      <c r="G3894" t="s">
        <v>1921</v>
      </c>
      <c r="H3894" t="s">
        <v>6568</v>
      </c>
      <c r="I3894" t="s">
        <v>6585</v>
      </c>
      <c r="J3894" t="s">
        <v>12606</v>
      </c>
      <c r="K3894" t="s">
        <v>17018</v>
      </c>
      <c r="L3894">
        <f>HYPERLINK("https://www2.assemblee-nationale.fr/sycomore/fiche/(num_dept)/4931", "4931")</f>
        <v>0</v>
      </c>
      <c r="M3894">
        <f>HYPERLINK("https://www.senat.fr/senateur-3eme-republique/mallarme_andre0841r3.html", "mallarme_andre0841r3")</f>
        <v>0</v>
      </c>
      <c r="N3894">
        <f>HYPERLINK("https://www.wikidata.org/wiki/Q2511312", "Q2511312")</f>
        <v>0</v>
      </c>
      <c r="O3894" t="s">
        <v>20000</v>
      </c>
      <c r="P3894" t="s">
        <v>20449</v>
      </c>
      <c r="Q3894" t="s">
        <v>20653</v>
      </c>
      <c r="R3894" t="s">
        <v>21462</v>
      </c>
      <c r="S3894">
        <v>1168</v>
      </c>
    </row>
    <row r="3895" spans="1:19">
      <c r="A3895" t="s">
        <v>24</v>
      </c>
      <c r="B3895" t="s">
        <v>148</v>
      </c>
      <c r="C3895" t="s">
        <v>156</v>
      </c>
      <c r="D3895" t="s">
        <v>285</v>
      </c>
      <c r="E3895" t="s">
        <v>414</v>
      </c>
      <c r="F3895">
        <f>HYPERLINK("https://www.wikidata.org/wiki/Q16683508", "Q16683508")</f>
        <v>0</v>
      </c>
      <c r="G3895" t="s">
        <v>721</v>
      </c>
      <c r="H3895" t="s">
        <v>5479</v>
      </c>
      <c r="I3895" t="s">
        <v>6495</v>
      </c>
      <c r="J3895" t="s">
        <v>11470</v>
      </c>
      <c r="K3895" t="s">
        <v>15872</v>
      </c>
      <c r="L3895">
        <f>HYPERLINK("https://www2.assemblee-nationale.fr/sycomore/fiche/(num_dept)/4940", "4940")</f>
        <v>0</v>
      </c>
      <c r="N3895">
        <f>HYPERLINK("https://www.wikidata.org/wiki/Q3262600", "Q3262600")</f>
        <v>0</v>
      </c>
      <c r="O3895" t="s">
        <v>19974</v>
      </c>
      <c r="P3895" t="s">
        <v>20428</v>
      </c>
      <c r="Q3895" t="s">
        <v>20653</v>
      </c>
      <c r="R3895" t="s">
        <v>21453</v>
      </c>
      <c r="S3895">
        <v>2226</v>
      </c>
    </row>
    <row r="3896" spans="1:19">
      <c r="A3896" t="s">
        <v>24</v>
      </c>
      <c r="B3896" t="s">
        <v>148</v>
      </c>
      <c r="C3896" t="s">
        <v>156</v>
      </c>
      <c r="D3896" t="s">
        <v>285</v>
      </c>
      <c r="E3896" t="s">
        <v>414</v>
      </c>
      <c r="F3896">
        <f>HYPERLINK("https://www.wikidata.org/wiki/Q16683508", "Q16683508")</f>
        <v>0</v>
      </c>
      <c r="G3896" t="s">
        <v>1526</v>
      </c>
      <c r="H3896" t="s">
        <v>6221</v>
      </c>
      <c r="I3896" t="s">
        <v>6175</v>
      </c>
      <c r="J3896" t="s">
        <v>12243</v>
      </c>
      <c r="K3896" t="s">
        <v>16649</v>
      </c>
      <c r="L3896">
        <f>HYPERLINK("https://www2.assemblee-nationale.fr/sycomore/fiche/(num_dept)/4952", "4952")</f>
        <v>0</v>
      </c>
      <c r="N3896">
        <f>HYPERLINK("https://www.wikidata.org/wiki/Q669893", "Q669893")</f>
        <v>0</v>
      </c>
      <c r="O3896" t="s">
        <v>19987</v>
      </c>
      <c r="P3896" t="s">
        <v>20453</v>
      </c>
      <c r="Q3896" t="s">
        <v>20653</v>
      </c>
      <c r="R3896" t="s">
        <v>21456</v>
      </c>
      <c r="S3896">
        <v>2033</v>
      </c>
    </row>
    <row r="3897" spans="1:19">
      <c r="A3897" t="s">
        <v>24</v>
      </c>
      <c r="B3897" t="s">
        <v>148</v>
      </c>
      <c r="C3897" t="s">
        <v>156</v>
      </c>
      <c r="D3897" t="s">
        <v>285</v>
      </c>
      <c r="E3897" t="s">
        <v>414</v>
      </c>
      <c r="F3897">
        <f>HYPERLINK("https://www.wikidata.org/wiki/Q16683508", "Q16683508")</f>
        <v>0</v>
      </c>
      <c r="G3897" t="s">
        <v>724</v>
      </c>
      <c r="H3897" t="s">
        <v>5482</v>
      </c>
      <c r="I3897" t="s">
        <v>6495</v>
      </c>
      <c r="J3897" t="s">
        <v>11473</v>
      </c>
      <c r="K3897" t="s">
        <v>15875</v>
      </c>
      <c r="L3897">
        <f>HYPERLINK("https://www2.assemblee-nationale.fr/sycomore/fiche/(num_dept)/5001", "5001")</f>
        <v>0</v>
      </c>
      <c r="N3897">
        <f>HYPERLINK("https://www.wikidata.org/wiki/Q1229977", "Q1229977")</f>
        <v>0</v>
      </c>
      <c r="O3897" t="s">
        <v>20007</v>
      </c>
      <c r="P3897" t="s">
        <v>20444</v>
      </c>
      <c r="Q3897" t="s">
        <v>20653</v>
      </c>
      <c r="R3897" t="s">
        <v>21453</v>
      </c>
      <c r="S3897">
        <v>2226</v>
      </c>
    </row>
    <row r="3898" spans="1:19">
      <c r="A3898" t="s">
        <v>24</v>
      </c>
      <c r="B3898" t="s">
        <v>148</v>
      </c>
      <c r="C3898" t="s">
        <v>156</v>
      </c>
      <c r="D3898" t="s">
        <v>285</v>
      </c>
      <c r="E3898" t="s">
        <v>414</v>
      </c>
      <c r="F3898">
        <f>HYPERLINK("https://www.wikidata.org/wiki/Q16683508", "Q16683508")</f>
        <v>0</v>
      </c>
      <c r="G3898" t="s">
        <v>2348</v>
      </c>
      <c r="H3898" t="s">
        <v>6935</v>
      </c>
      <c r="I3898" t="s">
        <v>10182</v>
      </c>
      <c r="J3898" t="s">
        <v>13001</v>
      </c>
      <c r="K3898" t="s">
        <v>17411</v>
      </c>
      <c r="L3898">
        <f>HYPERLINK("https://www2.assemblee-nationale.fr/sycomore/fiche/(num_dept)/5031", "5031")</f>
        <v>0</v>
      </c>
      <c r="N3898">
        <f>HYPERLINK("https://www.wikidata.org/wiki/Q3262644", "Q3262644")</f>
        <v>0</v>
      </c>
      <c r="O3898" t="s">
        <v>20018</v>
      </c>
      <c r="P3898" t="s">
        <v>20441</v>
      </c>
      <c r="Q3898" t="s">
        <v>20653</v>
      </c>
      <c r="R3898" t="s">
        <v>21453</v>
      </c>
      <c r="S3898">
        <v>2226</v>
      </c>
    </row>
    <row r="3899" spans="1:19">
      <c r="A3899" t="s">
        <v>24</v>
      </c>
      <c r="B3899" t="s">
        <v>148</v>
      </c>
      <c r="C3899" t="s">
        <v>156</v>
      </c>
      <c r="D3899" t="s">
        <v>285</v>
      </c>
      <c r="E3899" t="s">
        <v>414</v>
      </c>
      <c r="F3899">
        <f>HYPERLINK("https://www.wikidata.org/wiki/Q16683508", "Q16683508")</f>
        <v>0</v>
      </c>
      <c r="G3899" t="s">
        <v>1842</v>
      </c>
      <c r="H3899" t="s">
        <v>6502</v>
      </c>
      <c r="I3899" t="s">
        <v>6585</v>
      </c>
      <c r="J3899" t="s">
        <v>12533</v>
      </c>
      <c r="K3899" t="s">
        <v>16676</v>
      </c>
      <c r="L3899">
        <f>HYPERLINK("https://www2.assemblee-nationale.fr/sycomore/fiche/(num_dept)/5056", "5056")</f>
        <v>0</v>
      </c>
      <c r="N3899">
        <f>HYPERLINK("https://www.wikidata.org/wiki/Q369785", "Q369785")</f>
        <v>0</v>
      </c>
      <c r="O3899" t="s">
        <v>19969</v>
      </c>
      <c r="P3899" t="s">
        <v>20424</v>
      </c>
      <c r="Q3899" t="s">
        <v>20653</v>
      </c>
      <c r="R3899" t="s">
        <v>19832</v>
      </c>
      <c r="S3899">
        <v>1365</v>
      </c>
    </row>
    <row r="3900" spans="1:19">
      <c r="A3900" t="s">
        <v>24</v>
      </c>
      <c r="B3900" t="s">
        <v>148</v>
      </c>
      <c r="C3900" t="s">
        <v>156</v>
      </c>
      <c r="D3900" t="s">
        <v>285</v>
      </c>
      <c r="E3900" t="s">
        <v>414</v>
      </c>
      <c r="F3900">
        <f>HYPERLINK("https://www.wikidata.org/wiki/Q16683508", "Q16683508")</f>
        <v>0</v>
      </c>
      <c r="G3900" t="s">
        <v>2471</v>
      </c>
      <c r="H3900" t="s">
        <v>7044</v>
      </c>
      <c r="I3900" t="s">
        <v>7419</v>
      </c>
      <c r="J3900" t="s">
        <v>13116</v>
      </c>
      <c r="K3900" t="s">
        <v>17525</v>
      </c>
      <c r="L3900">
        <f>HYPERLINK("https://www2.assemblee-nationale.fr/sycomore/fiche/(num_dept)/5090", "5090")</f>
        <v>0</v>
      </c>
      <c r="N3900">
        <f>HYPERLINK("https://www.wikidata.org/wiki/Q3159510", "Q3159510")</f>
        <v>0</v>
      </c>
      <c r="O3900" t="s">
        <v>19982</v>
      </c>
      <c r="P3900" t="s">
        <v>20449</v>
      </c>
      <c r="Q3900" t="s">
        <v>20653</v>
      </c>
      <c r="R3900" t="s">
        <v>21453</v>
      </c>
      <c r="S3900">
        <v>2226</v>
      </c>
    </row>
    <row r="3901" spans="1:19">
      <c r="A3901" t="s">
        <v>24</v>
      </c>
      <c r="B3901" t="s">
        <v>148</v>
      </c>
      <c r="C3901" t="s">
        <v>156</v>
      </c>
      <c r="D3901" t="s">
        <v>285</v>
      </c>
      <c r="E3901" t="s">
        <v>414</v>
      </c>
      <c r="F3901">
        <f>HYPERLINK("https://www.wikidata.org/wiki/Q16683508", "Q16683508")</f>
        <v>0</v>
      </c>
      <c r="G3901" t="s">
        <v>2351</v>
      </c>
      <c r="H3901" t="s">
        <v>5751</v>
      </c>
      <c r="I3901" t="s">
        <v>6759</v>
      </c>
      <c r="J3901" t="s">
        <v>13004</v>
      </c>
      <c r="K3901" t="s">
        <v>17414</v>
      </c>
      <c r="L3901">
        <f>HYPERLINK("https://www2.assemblee-nationale.fr/sycomore/fiche/(num_dept)/5113", "5113")</f>
        <v>0</v>
      </c>
      <c r="N3901">
        <f>HYPERLINK("https://www.wikidata.org/wiki/Q3435878", "Q3435878")</f>
        <v>0</v>
      </c>
      <c r="O3901" t="s">
        <v>20039</v>
      </c>
      <c r="P3901" t="s">
        <v>20446</v>
      </c>
      <c r="Q3901" t="s">
        <v>20653</v>
      </c>
      <c r="R3901" t="s">
        <v>21453</v>
      </c>
      <c r="S3901">
        <v>2226</v>
      </c>
    </row>
    <row r="3902" spans="1:19">
      <c r="A3902" t="s">
        <v>24</v>
      </c>
      <c r="B3902" t="s">
        <v>148</v>
      </c>
      <c r="C3902" t="s">
        <v>156</v>
      </c>
      <c r="D3902" t="s">
        <v>285</v>
      </c>
      <c r="E3902" t="s">
        <v>414</v>
      </c>
      <c r="F3902">
        <f>HYPERLINK("https://www.wikidata.org/wiki/Q16683508", "Q16683508")</f>
        <v>0</v>
      </c>
      <c r="G3902" t="s">
        <v>2116</v>
      </c>
      <c r="H3902" t="s">
        <v>6737</v>
      </c>
      <c r="I3902" t="s">
        <v>9457</v>
      </c>
      <c r="J3902" t="s">
        <v>12780</v>
      </c>
      <c r="K3902" t="s">
        <v>17197</v>
      </c>
      <c r="L3902">
        <f>HYPERLINK("https://www2.assemblee-nationale.fr/sycomore/fiche/(num_dept)/5154", "5154")</f>
        <v>0</v>
      </c>
      <c r="N3902">
        <f>HYPERLINK("https://www.wikidata.org/wiki/Q3131626", "Q3131626")</f>
        <v>0</v>
      </c>
      <c r="O3902" t="s">
        <v>20048</v>
      </c>
      <c r="P3902" t="s">
        <v>20451</v>
      </c>
      <c r="Q3902" t="s">
        <v>20653</v>
      </c>
      <c r="R3902" t="s">
        <v>21453</v>
      </c>
      <c r="S3902">
        <v>2226</v>
      </c>
    </row>
    <row r="3903" spans="1:19">
      <c r="A3903" t="s">
        <v>24</v>
      </c>
      <c r="B3903" t="s">
        <v>148</v>
      </c>
      <c r="C3903" t="s">
        <v>156</v>
      </c>
      <c r="D3903" t="s">
        <v>285</v>
      </c>
      <c r="E3903" t="s">
        <v>414</v>
      </c>
      <c r="F3903">
        <f>HYPERLINK("https://www.wikidata.org/wiki/Q16683508", "Q16683508")</f>
        <v>0</v>
      </c>
      <c r="G3903" t="s">
        <v>2253</v>
      </c>
      <c r="H3903" t="s">
        <v>6858</v>
      </c>
      <c r="I3903" t="s">
        <v>6200</v>
      </c>
      <c r="J3903" t="s">
        <v>12911</v>
      </c>
      <c r="K3903" t="s">
        <v>17323</v>
      </c>
      <c r="L3903">
        <f>HYPERLINK("https://www2.assemblee-nationale.fr/sycomore/fiche/(num_dept)/5157", "5157")</f>
        <v>0</v>
      </c>
      <c r="M3903">
        <f>HYPERLINK("https://www.senat.fr/senateur-3eme-republique/medecin_jean0127r3.html", "medecin_jean0127r3")</f>
        <v>0</v>
      </c>
      <c r="N3903">
        <f>HYPERLINK("https://www.wikidata.org/wiki/Q3173654", "Q3173654")</f>
        <v>0</v>
      </c>
      <c r="O3903" t="s">
        <v>20024</v>
      </c>
      <c r="P3903" t="s">
        <v>20409</v>
      </c>
      <c r="Q3903" t="s">
        <v>20653</v>
      </c>
      <c r="R3903" t="s">
        <v>21453</v>
      </c>
      <c r="S3903">
        <v>2226</v>
      </c>
    </row>
    <row r="3904" spans="1:19">
      <c r="A3904" t="s">
        <v>24</v>
      </c>
      <c r="B3904" t="s">
        <v>148</v>
      </c>
      <c r="C3904" t="s">
        <v>156</v>
      </c>
      <c r="D3904" t="s">
        <v>285</v>
      </c>
      <c r="E3904" t="s">
        <v>414</v>
      </c>
      <c r="F3904">
        <f>HYPERLINK("https://www.wikidata.org/wiki/Q16683508", "Q16683508")</f>
        <v>0</v>
      </c>
      <c r="G3904" t="s">
        <v>2472</v>
      </c>
      <c r="H3904" t="s">
        <v>7045</v>
      </c>
      <c r="I3904" t="s">
        <v>10230</v>
      </c>
      <c r="J3904" t="s">
        <v>13117</v>
      </c>
      <c r="K3904" t="s">
        <v>17526</v>
      </c>
      <c r="L3904">
        <f>HYPERLINK("https://www2.assemblee-nationale.fr/sycomore/fiche/(num_dept)/5250", "5250")</f>
        <v>0</v>
      </c>
      <c r="N3904">
        <f>HYPERLINK("https://www.wikidata.org/wiki/Q3173507", "Q3173507")</f>
        <v>0</v>
      </c>
      <c r="O3904" t="s">
        <v>19981</v>
      </c>
      <c r="P3904" t="s">
        <v>20434</v>
      </c>
      <c r="Q3904" t="s">
        <v>20653</v>
      </c>
      <c r="R3904" t="s">
        <v>21453</v>
      </c>
      <c r="S3904">
        <v>2226</v>
      </c>
    </row>
    <row r="3905" spans="1:19">
      <c r="A3905" t="s">
        <v>24</v>
      </c>
      <c r="B3905" t="s">
        <v>148</v>
      </c>
      <c r="C3905" t="s">
        <v>156</v>
      </c>
      <c r="D3905" t="s">
        <v>285</v>
      </c>
      <c r="E3905" t="s">
        <v>414</v>
      </c>
      <c r="F3905">
        <f>HYPERLINK("https://www.wikidata.org/wiki/Q16683508", "Q16683508")</f>
        <v>0</v>
      </c>
      <c r="G3905" t="s">
        <v>2356</v>
      </c>
      <c r="H3905" t="s">
        <v>6941</v>
      </c>
      <c r="I3905" t="s">
        <v>9950</v>
      </c>
      <c r="J3905" t="s">
        <v>13009</v>
      </c>
      <c r="K3905" t="s">
        <v>17419</v>
      </c>
      <c r="L3905">
        <f>HYPERLINK("https://www2.assemblee-nationale.fr/sycomore/fiche/(num_dept)/5257", "5257")</f>
        <v>0</v>
      </c>
      <c r="N3905">
        <f>HYPERLINK("https://www.wikidata.org/wiki/Q2871621", "Q2871621")</f>
        <v>0</v>
      </c>
      <c r="O3905" t="s">
        <v>19993</v>
      </c>
      <c r="P3905" t="s">
        <v>20444</v>
      </c>
      <c r="Q3905" t="s">
        <v>20653</v>
      </c>
      <c r="R3905" t="s">
        <v>21453</v>
      </c>
      <c r="S3905">
        <v>2226</v>
      </c>
    </row>
    <row r="3906" spans="1:19">
      <c r="A3906" t="s">
        <v>24</v>
      </c>
      <c r="B3906" t="s">
        <v>148</v>
      </c>
      <c r="C3906" t="s">
        <v>156</v>
      </c>
      <c r="D3906" t="s">
        <v>285</v>
      </c>
      <c r="E3906" t="s">
        <v>414</v>
      </c>
      <c r="F3906">
        <f>HYPERLINK("https://www.wikidata.org/wiki/Q16683508", "Q16683508")</f>
        <v>0</v>
      </c>
      <c r="G3906" t="s">
        <v>2205</v>
      </c>
      <c r="H3906" t="s">
        <v>6815</v>
      </c>
      <c r="I3906" t="s">
        <v>9449</v>
      </c>
      <c r="J3906" t="s">
        <v>12866</v>
      </c>
      <c r="K3906" t="s">
        <v>17279</v>
      </c>
      <c r="L3906">
        <f>HYPERLINK("https://www2.assemblee-nationale.fr/sycomore/fiche/(num_dept)/5314", "5314")</f>
        <v>0</v>
      </c>
      <c r="N3906">
        <f>HYPERLINK("https://www.wikidata.org/wiki/Q3188792", "Q3188792")</f>
        <v>0</v>
      </c>
      <c r="O3906" t="s">
        <v>19971</v>
      </c>
      <c r="P3906" t="s">
        <v>20428</v>
      </c>
      <c r="Q3906" t="s">
        <v>20653</v>
      </c>
      <c r="R3906" t="s">
        <v>21453</v>
      </c>
      <c r="S3906">
        <v>2226</v>
      </c>
    </row>
    <row r="3907" spans="1:19">
      <c r="A3907" t="s">
        <v>24</v>
      </c>
      <c r="B3907" t="s">
        <v>148</v>
      </c>
      <c r="C3907" t="s">
        <v>156</v>
      </c>
      <c r="D3907" t="s">
        <v>285</v>
      </c>
      <c r="E3907" t="s">
        <v>414</v>
      </c>
      <c r="F3907">
        <f>HYPERLINK("https://www.wikidata.org/wiki/Q16683508", "Q16683508")</f>
        <v>0</v>
      </c>
      <c r="G3907" t="s">
        <v>2473</v>
      </c>
      <c r="H3907" t="s">
        <v>7046</v>
      </c>
      <c r="I3907" t="s">
        <v>10231</v>
      </c>
      <c r="J3907" t="s">
        <v>13118</v>
      </c>
      <c r="K3907" t="s">
        <v>17527</v>
      </c>
      <c r="L3907">
        <f>HYPERLINK("https://www2.assemblee-nationale.fr/sycomore/fiche/(num_dept)/5347", "5347")</f>
        <v>0</v>
      </c>
      <c r="N3907">
        <f>HYPERLINK("https://www.wikidata.org/wiki/Q3099093", "Q3099093")</f>
        <v>0</v>
      </c>
      <c r="O3907" t="s">
        <v>19969</v>
      </c>
      <c r="P3907" t="s">
        <v>20424</v>
      </c>
      <c r="Q3907" t="s">
        <v>20653</v>
      </c>
      <c r="R3907" t="s">
        <v>19832</v>
      </c>
      <c r="S3907">
        <v>1365</v>
      </c>
    </row>
    <row r="3908" spans="1:19">
      <c r="A3908" t="s">
        <v>24</v>
      </c>
      <c r="B3908" t="s">
        <v>148</v>
      </c>
      <c r="C3908" t="s">
        <v>156</v>
      </c>
      <c r="D3908" t="s">
        <v>285</v>
      </c>
      <c r="E3908" t="s">
        <v>414</v>
      </c>
      <c r="F3908">
        <f>HYPERLINK("https://www.wikidata.org/wiki/Q16683508", "Q16683508")</f>
        <v>0</v>
      </c>
      <c r="G3908" t="s">
        <v>2361</v>
      </c>
      <c r="H3908" t="s">
        <v>6945</v>
      </c>
      <c r="I3908" t="s">
        <v>9470</v>
      </c>
      <c r="J3908" t="s">
        <v>13013</v>
      </c>
      <c r="K3908" t="s">
        <v>17423</v>
      </c>
      <c r="L3908">
        <f>HYPERLINK("https://www2.assemblee-nationale.fr/sycomore/fiche/(num_dept)/5348", "5348")</f>
        <v>0</v>
      </c>
      <c r="N3908">
        <f>HYPERLINK("https://www.wikidata.org/wiki/Q443841", "Q443841")</f>
        <v>0</v>
      </c>
      <c r="O3908" t="s">
        <v>20029</v>
      </c>
      <c r="P3908" t="s">
        <v>20428</v>
      </c>
      <c r="Q3908" t="s">
        <v>20653</v>
      </c>
      <c r="R3908" t="s">
        <v>21453</v>
      </c>
      <c r="S3908">
        <v>2226</v>
      </c>
    </row>
    <row r="3909" spans="1:19">
      <c r="A3909" t="s">
        <v>24</v>
      </c>
      <c r="B3909" t="s">
        <v>148</v>
      </c>
      <c r="C3909" t="s">
        <v>156</v>
      </c>
      <c r="D3909" t="s">
        <v>285</v>
      </c>
      <c r="E3909" t="s">
        <v>414</v>
      </c>
      <c r="F3909">
        <f>HYPERLINK("https://www.wikidata.org/wiki/Q16683508", "Q16683508")</f>
        <v>0</v>
      </c>
      <c r="G3909" t="s">
        <v>2122</v>
      </c>
      <c r="H3909" t="s">
        <v>6742</v>
      </c>
      <c r="I3909" t="s">
        <v>6175</v>
      </c>
      <c r="J3909" t="s">
        <v>12786</v>
      </c>
      <c r="K3909" t="s">
        <v>17202</v>
      </c>
      <c r="L3909">
        <f>HYPERLINK("https://www2.assemblee-nationale.fr/sycomore/fiche/(num_dept)/5350", "5350")</f>
        <v>0</v>
      </c>
      <c r="N3909">
        <f>HYPERLINK("https://www.wikidata.org/wiki/Q3103220", "Q3103220")</f>
        <v>0</v>
      </c>
      <c r="O3909" t="s">
        <v>20015</v>
      </c>
      <c r="P3909" t="s">
        <v>20446</v>
      </c>
      <c r="Q3909" t="s">
        <v>20653</v>
      </c>
      <c r="R3909" t="s">
        <v>21453</v>
      </c>
      <c r="S3909">
        <v>2226</v>
      </c>
    </row>
    <row r="3910" spans="1:19">
      <c r="A3910" t="s">
        <v>24</v>
      </c>
      <c r="B3910" t="s">
        <v>148</v>
      </c>
      <c r="C3910" t="s">
        <v>156</v>
      </c>
      <c r="D3910" t="s">
        <v>285</v>
      </c>
      <c r="E3910" t="s">
        <v>414</v>
      </c>
      <c r="F3910">
        <f>HYPERLINK("https://www.wikidata.org/wiki/Q16683508", "Q16683508")</f>
        <v>0</v>
      </c>
      <c r="G3910" t="s">
        <v>736</v>
      </c>
      <c r="H3910" t="s">
        <v>5494</v>
      </c>
      <c r="I3910" t="s">
        <v>9501</v>
      </c>
      <c r="J3910" t="s">
        <v>11485</v>
      </c>
      <c r="K3910" t="s">
        <v>15887</v>
      </c>
      <c r="L3910">
        <f>HYPERLINK("https://www2.assemblee-nationale.fr/sycomore/fiche/(num_dept)/5363", "5363")</f>
        <v>0</v>
      </c>
      <c r="N3910">
        <f>HYPERLINK("https://www.wikidata.org/wiki/Q3142134", "Q3142134")</f>
        <v>0</v>
      </c>
      <c r="O3910" t="s">
        <v>20023</v>
      </c>
      <c r="P3910" t="s">
        <v>20444</v>
      </c>
      <c r="Q3910" t="s">
        <v>20653</v>
      </c>
      <c r="R3910" t="s">
        <v>21453</v>
      </c>
      <c r="S3910">
        <v>2226</v>
      </c>
    </row>
    <row r="3911" spans="1:19">
      <c r="A3911" t="s">
        <v>24</v>
      </c>
      <c r="B3911" t="s">
        <v>148</v>
      </c>
      <c r="C3911" t="s">
        <v>156</v>
      </c>
      <c r="D3911" t="s">
        <v>285</v>
      </c>
      <c r="E3911" t="s">
        <v>414</v>
      </c>
      <c r="F3911">
        <f>HYPERLINK("https://www.wikidata.org/wiki/Q16683508", "Q16683508")</f>
        <v>0</v>
      </c>
      <c r="G3911" t="s">
        <v>1851</v>
      </c>
      <c r="H3911" t="s">
        <v>6510</v>
      </c>
      <c r="I3911" t="s">
        <v>9971</v>
      </c>
      <c r="J3911" t="s">
        <v>12542</v>
      </c>
      <c r="K3911" t="s">
        <v>16954</v>
      </c>
      <c r="L3911">
        <f>HYPERLINK("https://www2.assemblee-nationale.fr/sycomore/fiche/(num_dept)/5388", "5388")</f>
        <v>0</v>
      </c>
      <c r="N3911">
        <f>HYPERLINK("https://www.wikidata.org/wiki/Q3173588", "Q3173588")</f>
        <v>0</v>
      </c>
      <c r="O3911" t="s">
        <v>19956</v>
      </c>
      <c r="P3911" t="s">
        <v>20449</v>
      </c>
      <c r="Q3911" t="s">
        <v>20653</v>
      </c>
      <c r="R3911" t="s">
        <v>21453</v>
      </c>
      <c r="S3911">
        <v>2226</v>
      </c>
    </row>
    <row r="3912" spans="1:19">
      <c r="A3912" t="s">
        <v>24</v>
      </c>
      <c r="B3912" t="s">
        <v>148</v>
      </c>
      <c r="C3912" t="s">
        <v>156</v>
      </c>
      <c r="D3912" t="s">
        <v>285</v>
      </c>
      <c r="E3912" t="s">
        <v>414</v>
      </c>
      <c r="F3912">
        <f>HYPERLINK("https://www.wikidata.org/wiki/Q16683508", "Q16683508")</f>
        <v>0</v>
      </c>
      <c r="G3912" t="s">
        <v>2474</v>
      </c>
      <c r="H3912" t="s">
        <v>7047</v>
      </c>
      <c r="I3912" t="s">
        <v>9388</v>
      </c>
      <c r="J3912" t="s">
        <v>13119</v>
      </c>
      <c r="K3912" t="s">
        <v>17528</v>
      </c>
      <c r="L3912">
        <f>HYPERLINK("https://www2.assemblee-nationale.fr/sycomore/fiche/(num_dept)/5400", "5400")</f>
        <v>0</v>
      </c>
      <c r="N3912">
        <f>HYPERLINK("https://www.wikidata.org/wiki/Q3371858", "Q3371858")</f>
        <v>0</v>
      </c>
      <c r="O3912" t="s">
        <v>19964</v>
      </c>
      <c r="P3912" t="s">
        <v>20445</v>
      </c>
      <c r="Q3912" t="s">
        <v>20653</v>
      </c>
      <c r="R3912" t="s">
        <v>21453</v>
      </c>
      <c r="S3912">
        <v>2226</v>
      </c>
    </row>
    <row r="3913" spans="1:19">
      <c r="A3913" t="s">
        <v>24</v>
      </c>
      <c r="B3913" t="s">
        <v>148</v>
      </c>
      <c r="C3913" t="s">
        <v>156</v>
      </c>
      <c r="D3913" t="s">
        <v>285</v>
      </c>
      <c r="E3913" t="s">
        <v>414</v>
      </c>
      <c r="F3913">
        <f>HYPERLINK("https://www.wikidata.org/wiki/Q16683508", "Q16683508")</f>
        <v>0</v>
      </c>
      <c r="G3913" t="s">
        <v>1278</v>
      </c>
      <c r="H3913" t="s">
        <v>5760</v>
      </c>
      <c r="I3913" t="s">
        <v>9376</v>
      </c>
      <c r="J3913" t="s">
        <v>12008</v>
      </c>
      <c r="K3913" t="s">
        <v>16411</v>
      </c>
      <c r="L3913">
        <f>HYPERLINK("https://www2.assemblee-nationale.fr/sycomore/fiche/(num_dept)/5421", "5421")</f>
        <v>0</v>
      </c>
      <c r="N3913">
        <f>HYPERLINK("https://www.wikidata.org/wiki/Q3068631", "Q3068631")</f>
        <v>0</v>
      </c>
      <c r="O3913" t="s">
        <v>20008</v>
      </c>
      <c r="P3913" t="s">
        <v>20446</v>
      </c>
      <c r="Q3913" t="s">
        <v>20653</v>
      </c>
      <c r="R3913" t="s">
        <v>21453</v>
      </c>
      <c r="S3913">
        <v>2226</v>
      </c>
    </row>
    <row r="3914" spans="1:19">
      <c r="A3914" t="s">
        <v>24</v>
      </c>
      <c r="B3914" t="s">
        <v>148</v>
      </c>
      <c r="C3914" t="s">
        <v>156</v>
      </c>
      <c r="D3914" t="s">
        <v>285</v>
      </c>
      <c r="E3914" t="s">
        <v>414</v>
      </c>
      <c r="F3914">
        <f>HYPERLINK("https://www.wikidata.org/wiki/Q16683508", "Q16683508")</f>
        <v>0</v>
      </c>
      <c r="G3914" t="s">
        <v>1553</v>
      </c>
      <c r="H3914" t="s">
        <v>6244</v>
      </c>
      <c r="I3914" t="s">
        <v>9437</v>
      </c>
      <c r="J3914" t="s">
        <v>12267</v>
      </c>
      <c r="K3914" t="s">
        <v>16675</v>
      </c>
      <c r="L3914">
        <f>HYPERLINK("https://www2.assemblee-nationale.fr/sycomore/fiche/(num_dept)/5425", "5425")</f>
        <v>0</v>
      </c>
      <c r="N3914">
        <f>HYPERLINK("https://www.wikidata.org/wiki/Q3588669", "Q3588669")</f>
        <v>0</v>
      </c>
      <c r="O3914" t="s">
        <v>20000</v>
      </c>
      <c r="P3914" t="s">
        <v>20449</v>
      </c>
      <c r="Q3914" t="s">
        <v>20653</v>
      </c>
      <c r="R3914" t="s">
        <v>21453</v>
      </c>
      <c r="S3914">
        <v>2226</v>
      </c>
    </row>
    <row r="3915" spans="1:19">
      <c r="A3915" t="s">
        <v>24</v>
      </c>
      <c r="B3915" t="s">
        <v>148</v>
      </c>
      <c r="C3915" t="s">
        <v>156</v>
      </c>
      <c r="D3915" t="s">
        <v>285</v>
      </c>
      <c r="E3915" t="s">
        <v>414</v>
      </c>
      <c r="F3915">
        <f>HYPERLINK("https://www.wikidata.org/wiki/Q16683508", "Q16683508")</f>
        <v>0</v>
      </c>
      <c r="G3915" t="s">
        <v>2475</v>
      </c>
      <c r="H3915" t="s">
        <v>7048</v>
      </c>
      <c r="I3915" t="s">
        <v>10232</v>
      </c>
      <c r="J3915" t="s">
        <v>13120</v>
      </c>
      <c r="K3915" t="s">
        <v>17529</v>
      </c>
      <c r="L3915">
        <f>HYPERLINK("https://www2.assemblee-nationale.fr/sycomore/fiche/(num_dept)/5498", "5498")</f>
        <v>0</v>
      </c>
      <c r="N3915">
        <f>HYPERLINK("https://www.wikidata.org/wiki/Q3134607", "Q3134607")</f>
        <v>0</v>
      </c>
      <c r="O3915" t="s">
        <v>20011</v>
      </c>
      <c r="P3915" t="s">
        <v>20445</v>
      </c>
      <c r="Q3915" t="s">
        <v>20653</v>
      </c>
      <c r="R3915" t="s">
        <v>21453</v>
      </c>
      <c r="S3915">
        <v>2226</v>
      </c>
    </row>
    <row r="3916" spans="1:19">
      <c r="A3916" t="s">
        <v>24</v>
      </c>
      <c r="B3916" t="s">
        <v>148</v>
      </c>
      <c r="C3916" t="s">
        <v>156</v>
      </c>
      <c r="D3916" t="s">
        <v>285</v>
      </c>
      <c r="E3916" t="s">
        <v>414</v>
      </c>
      <c r="F3916">
        <f>HYPERLINK("https://www.wikidata.org/wiki/Q16683508", "Q16683508")</f>
        <v>0</v>
      </c>
      <c r="G3916" t="s">
        <v>2221</v>
      </c>
      <c r="H3916" t="s">
        <v>6830</v>
      </c>
      <c r="I3916" t="s">
        <v>6200</v>
      </c>
      <c r="J3916" t="s">
        <v>12882</v>
      </c>
      <c r="K3916" t="s">
        <v>17294</v>
      </c>
      <c r="L3916">
        <f>HYPERLINK("https://www2.assemblee-nationale.fr/sycomore/fiche/(num_dept)/5552", "5552")</f>
        <v>0</v>
      </c>
      <c r="N3916">
        <f>HYPERLINK("https://www.wikidata.org/wiki/Q530195", "Q530195")</f>
        <v>0</v>
      </c>
      <c r="O3916" t="s">
        <v>19967</v>
      </c>
      <c r="P3916" t="s">
        <v>20453</v>
      </c>
      <c r="Q3916" t="s">
        <v>20653</v>
      </c>
      <c r="R3916" t="s">
        <v>21453</v>
      </c>
      <c r="S3916">
        <v>2226</v>
      </c>
    </row>
    <row r="3917" spans="1:19">
      <c r="A3917" t="s">
        <v>24</v>
      </c>
      <c r="B3917" t="s">
        <v>148</v>
      </c>
      <c r="C3917" t="s">
        <v>156</v>
      </c>
      <c r="D3917" t="s">
        <v>285</v>
      </c>
      <c r="E3917" t="s">
        <v>414</v>
      </c>
      <c r="F3917">
        <f>HYPERLINK("https://www.wikidata.org/wiki/Q16683508", "Q16683508")</f>
        <v>0</v>
      </c>
      <c r="G3917" t="s">
        <v>2364</v>
      </c>
      <c r="H3917" t="s">
        <v>6948</v>
      </c>
      <c r="I3917" t="s">
        <v>6585</v>
      </c>
      <c r="J3917" t="s">
        <v>13016</v>
      </c>
      <c r="K3917" t="s">
        <v>17425</v>
      </c>
      <c r="L3917">
        <f>HYPERLINK("https://www2.assemblee-nationale.fr/sycomore/fiche/(num_dept)/5686", "5686")</f>
        <v>0</v>
      </c>
      <c r="N3917">
        <f>HYPERLINK("https://www.wikidata.org/wiki/Q2848395", "Q2848395")</f>
        <v>0</v>
      </c>
      <c r="O3917" t="s">
        <v>20013</v>
      </c>
      <c r="P3917" t="s">
        <v>20444</v>
      </c>
      <c r="Q3917" t="s">
        <v>20653</v>
      </c>
      <c r="R3917" t="s">
        <v>21453</v>
      </c>
      <c r="S3917">
        <v>2226</v>
      </c>
    </row>
    <row r="3918" spans="1:19">
      <c r="A3918" t="s">
        <v>24</v>
      </c>
      <c r="B3918" t="s">
        <v>148</v>
      </c>
      <c r="C3918" t="s">
        <v>156</v>
      </c>
      <c r="D3918" t="s">
        <v>285</v>
      </c>
      <c r="E3918" t="s">
        <v>414</v>
      </c>
      <c r="F3918">
        <f>HYPERLINK("https://www.wikidata.org/wiki/Q16683508", "Q16683508")</f>
        <v>0</v>
      </c>
      <c r="G3918" t="s">
        <v>1966</v>
      </c>
      <c r="H3918" t="s">
        <v>6606</v>
      </c>
      <c r="I3918" t="s">
        <v>10021</v>
      </c>
      <c r="J3918" t="s">
        <v>12648</v>
      </c>
      <c r="K3918" t="s">
        <v>17057</v>
      </c>
      <c r="L3918">
        <f>HYPERLINK("https://www2.assemblee-nationale.fr/sycomore/fiche/(num_dept)/5697", "5697")</f>
        <v>0</v>
      </c>
      <c r="N3918">
        <f>HYPERLINK("https://www.wikidata.org/wiki/Q3579986", "Q3579986")</f>
        <v>0</v>
      </c>
      <c r="O3918" t="s">
        <v>20031</v>
      </c>
      <c r="P3918" t="s">
        <v>20428</v>
      </c>
      <c r="Q3918" t="s">
        <v>20653</v>
      </c>
      <c r="R3918" t="s">
        <v>21453</v>
      </c>
      <c r="S3918">
        <v>2226</v>
      </c>
    </row>
    <row r="3919" spans="1:19">
      <c r="A3919" t="s">
        <v>24</v>
      </c>
      <c r="B3919" t="s">
        <v>148</v>
      </c>
      <c r="C3919" t="s">
        <v>156</v>
      </c>
      <c r="D3919" t="s">
        <v>285</v>
      </c>
      <c r="E3919" t="s">
        <v>414</v>
      </c>
      <c r="F3919">
        <f>HYPERLINK("https://www.wikidata.org/wiki/Q16683508", "Q16683508")</f>
        <v>0</v>
      </c>
      <c r="G3919" t="s">
        <v>1863</v>
      </c>
      <c r="H3919" t="s">
        <v>6519</v>
      </c>
      <c r="I3919" t="s">
        <v>6584</v>
      </c>
      <c r="J3919" t="s">
        <v>12551</v>
      </c>
      <c r="K3919" t="s">
        <v>16964</v>
      </c>
      <c r="L3919">
        <f>HYPERLINK("https://www2.assemblee-nationale.fr/sycomore/fiche/(num_dept)/5726", "5726")</f>
        <v>0</v>
      </c>
      <c r="N3919">
        <f>HYPERLINK("https://www.wikidata.org/wiki/Q2831455", "Q2831455")</f>
        <v>0</v>
      </c>
      <c r="O3919" t="s">
        <v>20005</v>
      </c>
      <c r="P3919" t="s">
        <v>20446</v>
      </c>
      <c r="Q3919" t="s">
        <v>20653</v>
      </c>
      <c r="R3919" t="s">
        <v>21453</v>
      </c>
      <c r="S3919">
        <v>2226</v>
      </c>
    </row>
    <row r="3920" spans="1:19">
      <c r="A3920" t="s">
        <v>24</v>
      </c>
      <c r="B3920" t="s">
        <v>148</v>
      </c>
      <c r="C3920" t="s">
        <v>156</v>
      </c>
      <c r="D3920" t="s">
        <v>285</v>
      </c>
      <c r="E3920" t="s">
        <v>414</v>
      </c>
      <c r="F3920">
        <f>HYPERLINK("https://www.wikidata.org/wiki/Q16683508", "Q16683508")</f>
        <v>0</v>
      </c>
      <c r="G3920" t="s">
        <v>2476</v>
      </c>
      <c r="H3920" t="s">
        <v>7049</v>
      </c>
      <c r="I3920" t="s">
        <v>9476</v>
      </c>
      <c r="J3920" t="s">
        <v>13121</v>
      </c>
      <c r="K3920" t="s">
        <v>17530</v>
      </c>
      <c r="L3920">
        <f>HYPERLINK("https://www2.assemblee-nationale.fr/sycomore/fiche/(num_dept)/5743", "5743")</f>
        <v>0</v>
      </c>
      <c r="N3920">
        <f>HYPERLINK("https://www.wikidata.org/wiki/Q3426786", "Q3426786")</f>
        <v>0</v>
      </c>
      <c r="O3920" t="s">
        <v>20044</v>
      </c>
      <c r="P3920" t="s">
        <v>20428</v>
      </c>
      <c r="Q3920" t="s">
        <v>20653</v>
      </c>
      <c r="R3920" t="s">
        <v>21453</v>
      </c>
      <c r="S3920">
        <v>2226</v>
      </c>
    </row>
    <row r="3921" spans="1:19">
      <c r="A3921" t="s">
        <v>24</v>
      </c>
      <c r="B3921" t="s">
        <v>148</v>
      </c>
      <c r="C3921" t="s">
        <v>156</v>
      </c>
      <c r="D3921" t="s">
        <v>285</v>
      </c>
      <c r="E3921" t="s">
        <v>414</v>
      </c>
      <c r="F3921">
        <f>HYPERLINK("https://www.wikidata.org/wiki/Q16683508", "Q16683508")</f>
        <v>0</v>
      </c>
      <c r="G3921" t="s">
        <v>1968</v>
      </c>
      <c r="H3921" t="s">
        <v>6608</v>
      </c>
      <c r="I3921" t="s">
        <v>6166</v>
      </c>
      <c r="J3921" t="s">
        <v>12650</v>
      </c>
      <c r="K3921" t="s">
        <v>17059</v>
      </c>
      <c r="L3921">
        <f>HYPERLINK("https://www2.assemblee-nationale.fr/sycomore/fiche/(num_dept)/5753", "5753")</f>
        <v>0</v>
      </c>
      <c r="N3921">
        <f>HYPERLINK("https://www.wikidata.org/wiki/Q3085524", "Q3085524")</f>
        <v>0</v>
      </c>
      <c r="O3921" t="s">
        <v>19965</v>
      </c>
      <c r="P3921" t="s">
        <v>20445</v>
      </c>
      <c r="Q3921" t="s">
        <v>20653</v>
      </c>
      <c r="R3921" t="s">
        <v>21453</v>
      </c>
      <c r="S3921">
        <v>2226</v>
      </c>
    </row>
    <row r="3922" spans="1:19">
      <c r="A3922" t="s">
        <v>24</v>
      </c>
      <c r="B3922" t="s">
        <v>148</v>
      </c>
      <c r="C3922" t="s">
        <v>156</v>
      </c>
      <c r="D3922" t="s">
        <v>285</v>
      </c>
      <c r="E3922" t="s">
        <v>414</v>
      </c>
      <c r="F3922">
        <f>HYPERLINK("https://www.wikidata.org/wiki/Q16683508", "Q16683508")</f>
        <v>0</v>
      </c>
      <c r="G3922" t="s">
        <v>2365</v>
      </c>
      <c r="H3922" t="s">
        <v>6949</v>
      </c>
      <c r="I3922" t="s">
        <v>10187</v>
      </c>
      <c r="J3922" t="s">
        <v>12377</v>
      </c>
      <c r="K3922" t="s">
        <v>17426</v>
      </c>
      <c r="L3922">
        <f>HYPERLINK("https://www2.assemblee-nationale.fr/sycomore/fiche/(num_dept)/5762", "5762")</f>
        <v>0</v>
      </c>
      <c r="N3922">
        <f>HYPERLINK("https://www.wikidata.org/wiki/Q3271258", "Q3271258")</f>
        <v>0</v>
      </c>
      <c r="O3922" t="s">
        <v>19958</v>
      </c>
      <c r="P3922" t="s">
        <v>20453</v>
      </c>
      <c r="Q3922" t="s">
        <v>20653</v>
      </c>
      <c r="R3922" t="s">
        <v>21453</v>
      </c>
      <c r="S3922">
        <v>2226</v>
      </c>
    </row>
    <row r="3923" spans="1:19">
      <c r="A3923" t="s">
        <v>24</v>
      </c>
      <c r="B3923" t="s">
        <v>148</v>
      </c>
      <c r="C3923" t="s">
        <v>156</v>
      </c>
      <c r="D3923" t="s">
        <v>285</v>
      </c>
      <c r="E3923" t="s">
        <v>414</v>
      </c>
      <c r="F3923">
        <f>HYPERLINK("https://www.wikidata.org/wiki/Q16683508", "Q16683508")</f>
        <v>0</v>
      </c>
      <c r="G3923" t="s">
        <v>1116</v>
      </c>
      <c r="H3923" t="s">
        <v>5775</v>
      </c>
      <c r="I3923" t="s">
        <v>6860</v>
      </c>
      <c r="J3923" t="s">
        <v>11850</v>
      </c>
      <c r="K3923" t="s">
        <v>16252</v>
      </c>
      <c r="L3923">
        <f>HYPERLINK("https://www2.assemblee-nationale.fr/sycomore/fiche/(num_dept)/5808", "5808")</f>
        <v>0</v>
      </c>
      <c r="N3923">
        <f>HYPERLINK("https://www.wikidata.org/wiki/Q3386559", "Q3386559")</f>
        <v>0</v>
      </c>
      <c r="O3923" t="s">
        <v>20034</v>
      </c>
      <c r="P3923" t="s">
        <v>20447</v>
      </c>
      <c r="Q3923" t="s">
        <v>20653</v>
      </c>
      <c r="R3923" t="s">
        <v>21453</v>
      </c>
      <c r="S3923">
        <v>2226</v>
      </c>
    </row>
    <row r="3924" spans="1:19">
      <c r="A3924" t="s">
        <v>24</v>
      </c>
      <c r="B3924" t="s">
        <v>148</v>
      </c>
      <c r="C3924" t="s">
        <v>156</v>
      </c>
      <c r="D3924" t="s">
        <v>285</v>
      </c>
      <c r="E3924" t="s">
        <v>414</v>
      </c>
      <c r="F3924">
        <f>HYPERLINK("https://www.wikidata.org/wiki/Q16683508", "Q16683508")</f>
        <v>0</v>
      </c>
      <c r="G3924" t="s">
        <v>2370</v>
      </c>
      <c r="H3924" t="s">
        <v>6953</v>
      </c>
      <c r="I3924" t="s">
        <v>6200</v>
      </c>
      <c r="J3924" t="s">
        <v>13021</v>
      </c>
      <c r="K3924" t="s">
        <v>17431</v>
      </c>
      <c r="L3924">
        <f>HYPERLINK("https://www2.assemblee-nationale.fr/sycomore/fiche/(num_dept)/5825", "5825")</f>
        <v>0</v>
      </c>
      <c r="N3924">
        <f>HYPERLINK("https://www.wikidata.org/wiki/Q3173921", "Q3173921")</f>
        <v>0</v>
      </c>
      <c r="O3924" t="s">
        <v>20011</v>
      </c>
      <c r="P3924" t="s">
        <v>20428</v>
      </c>
      <c r="Q3924" t="s">
        <v>20653</v>
      </c>
      <c r="R3924" t="s">
        <v>21453</v>
      </c>
      <c r="S3924">
        <v>2226</v>
      </c>
    </row>
    <row r="3925" spans="1:19">
      <c r="A3925" t="s">
        <v>24</v>
      </c>
      <c r="B3925" t="s">
        <v>148</v>
      </c>
      <c r="C3925" t="s">
        <v>156</v>
      </c>
      <c r="D3925" t="s">
        <v>285</v>
      </c>
      <c r="E3925" t="s">
        <v>414</v>
      </c>
      <c r="F3925">
        <f>HYPERLINK("https://www.wikidata.org/wiki/Q16683508", "Q16683508")</f>
        <v>0</v>
      </c>
      <c r="G3925" t="s">
        <v>2136</v>
      </c>
      <c r="H3925" t="s">
        <v>6754</v>
      </c>
      <c r="I3925" t="s">
        <v>10024</v>
      </c>
      <c r="J3925" t="s">
        <v>12800</v>
      </c>
      <c r="K3925" t="s">
        <v>17215</v>
      </c>
      <c r="L3925">
        <f>HYPERLINK("https://www2.assemblee-nationale.fr/sycomore/fiche/(num_dept)/5838", "5838")</f>
        <v>0</v>
      </c>
      <c r="N3925">
        <f>HYPERLINK("https://www.wikidata.org/wiki/Q3588694", "Q3588694")</f>
        <v>0</v>
      </c>
      <c r="O3925" t="s">
        <v>20050</v>
      </c>
      <c r="P3925" t="s">
        <v>20451</v>
      </c>
      <c r="Q3925" t="s">
        <v>20653</v>
      </c>
      <c r="R3925" t="s">
        <v>21453</v>
      </c>
      <c r="S3925">
        <v>2226</v>
      </c>
    </row>
    <row r="3926" spans="1:19">
      <c r="A3926" t="s">
        <v>24</v>
      </c>
      <c r="B3926" t="s">
        <v>148</v>
      </c>
      <c r="C3926" t="s">
        <v>156</v>
      </c>
      <c r="D3926" t="s">
        <v>285</v>
      </c>
      <c r="E3926" t="s">
        <v>414</v>
      </c>
      <c r="F3926">
        <f>HYPERLINK("https://www.wikidata.org/wiki/Q16683508", "Q16683508")</f>
        <v>0</v>
      </c>
      <c r="G3926" t="s">
        <v>1923</v>
      </c>
      <c r="H3926" t="s">
        <v>6570</v>
      </c>
      <c r="I3926" t="s">
        <v>7642</v>
      </c>
      <c r="J3926" t="s">
        <v>12608</v>
      </c>
      <c r="K3926" t="s">
        <v>17019</v>
      </c>
      <c r="L3926">
        <f>HYPERLINK("https://www2.assemblee-nationale.fr/sycomore/fiche/(num_dept)/5854", "5854")</f>
        <v>0</v>
      </c>
      <c r="N3926">
        <f>HYPERLINK("https://www.wikidata.org/wiki/Q3301257", "Q3301257")</f>
        <v>0</v>
      </c>
      <c r="O3926" t="s">
        <v>19981</v>
      </c>
      <c r="P3926" t="s">
        <v>20449</v>
      </c>
      <c r="Q3926" t="s">
        <v>20653</v>
      </c>
      <c r="R3926" t="s">
        <v>21453</v>
      </c>
      <c r="S3926">
        <v>2226</v>
      </c>
    </row>
    <row r="3927" spans="1:19">
      <c r="A3927" t="s">
        <v>24</v>
      </c>
      <c r="B3927" t="s">
        <v>148</v>
      </c>
      <c r="C3927" t="s">
        <v>156</v>
      </c>
      <c r="D3927" t="s">
        <v>285</v>
      </c>
      <c r="E3927" t="s">
        <v>414</v>
      </c>
      <c r="F3927">
        <f>HYPERLINK("https://www.wikidata.org/wiki/Q16683508", "Q16683508")</f>
        <v>0</v>
      </c>
      <c r="G3927" t="s">
        <v>2137</v>
      </c>
      <c r="H3927" t="s">
        <v>6014</v>
      </c>
      <c r="I3927" t="s">
        <v>10092</v>
      </c>
      <c r="J3927" t="s">
        <v>12801</v>
      </c>
      <c r="K3927" t="s">
        <v>17216</v>
      </c>
      <c r="L3927">
        <f>HYPERLINK("https://www2.assemblee-nationale.fr/sycomore/fiche/(num_dept)/5876", "5876")</f>
        <v>0</v>
      </c>
      <c r="N3927">
        <f>HYPERLINK("https://www.wikidata.org/wiki/Q3057133", "Q3057133")</f>
        <v>0</v>
      </c>
      <c r="O3927" t="s">
        <v>19961</v>
      </c>
      <c r="P3927" t="s">
        <v>20441</v>
      </c>
      <c r="Q3927" t="s">
        <v>20653</v>
      </c>
      <c r="R3927" t="s">
        <v>21453</v>
      </c>
      <c r="S3927">
        <v>2226</v>
      </c>
    </row>
    <row r="3928" spans="1:19">
      <c r="A3928" t="s">
        <v>24</v>
      </c>
      <c r="B3928" t="s">
        <v>148</v>
      </c>
      <c r="C3928" t="s">
        <v>156</v>
      </c>
      <c r="D3928" t="s">
        <v>285</v>
      </c>
      <c r="E3928" t="s">
        <v>414</v>
      </c>
      <c r="F3928">
        <f>HYPERLINK("https://www.wikidata.org/wiki/Q16683508", "Q16683508")</f>
        <v>0</v>
      </c>
      <c r="G3928" t="s">
        <v>2477</v>
      </c>
      <c r="H3928" t="s">
        <v>7050</v>
      </c>
      <c r="I3928" t="s">
        <v>6200</v>
      </c>
      <c r="J3928" t="s">
        <v>13122</v>
      </c>
      <c r="K3928" t="s">
        <v>17531</v>
      </c>
      <c r="L3928">
        <f>HYPERLINK("https://www2.assemblee-nationale.fr/sycomore/fiche/(num_dept)/5920", "5920")</f>
        <v>0</v>
      </c>
      <c r="N3928">
        <f>HYPERLINK("https://www.wikidata.org/wiki/Q3173983", "Q3173983")</f>
        <v>0</v>
      </c>
      <c r="O3928" t="s">
        <v>20015</v>
      </c>
      <c r="P3928" t="s">
        <v>20446</v>
      </c>
      <c r="Q3928" t="s">
        <v>20653</v>
      </c>
      <c r="R3928" t="s">
        <v>21456</v>
      </c>
      <c r="S3928">
        <v>2033</v>
      </c>
    </row>
    <row r="3929" spans="1:19">
      <c r="A3929" t="s">
        <v>24</v>
      </c>
      <c r="B3929" t="s">
        <v>148</v>
      </c>
      <c r="C3929" t="s">
        <v>156</v>
      </c>
      <c r="D3929" t="s">
        <v>285</v>
      </c>
      <c r="E3929" t="s">
        <v>414</v>
      </c>
      <c r="F3929">
        <f>HYPERLINK("https://www.wikidata.org/wiki/Q16683508", "Q16683508")</f>
        <v>0</v>
      </c>
      <c r="G3929" t="s">
        <v>1873</v>
      </c>
      <c r="H3929" t="s">
        <v>6528</v>
      </c>
      <c r="I3929" t="s">
        <v>6166</v>
      </c>
      <c r="J3929" t="s">
        <v>12561</v>
      </c>
      <c r="K3929" t="s">
        <v>16973</v>
      </c>
      <c r="L3929">
        <f>HYPERLINK("https://www2.assemblee-nationale.fr/sycomore/fiche/(num_dept)/5924", "5924")</f>
        <v>0</v>
      </c>
      <c r="N3929">
        <f>HYPERLINK("https://www.wikidata.org/wiki/Q3085590", "Q3085590")</f>
        <v>0</v>
      </c>
      <c r="O3929" t="s">
        <v>19955</v>
      </c>
      <c r="P3929" t="s">
        <v>20447</v>
      </c>
      <c r="Q3929" t="s">
        <v>20653</v>
      </c>
      <c r="R3929" t="s">
        <v>21453</v>
      </c>
      <c r="S3929">
        <v>2226</v>
      </c>
    </row>
    <row r="3930" spans="1:19">
      <c r="A3930" t="s">
        <v>24</v>
      </c>
      <c r="B3930" t="s">
        <v>148</v>
      </c>
      <c r="C3930" t="s">
        <v>156</v>
      </c>
      <c r="D3930" t="s">
        <v>285</v>
      </c>
      <c r="E3930" t="s">
        <v>414</v>
      </c>
      <c r="F3930">
        <f>HYPERLINK("https://www.wikidata.org/wiki/Q16683508", "Q16683508")</f>
        <v>0</v>
      </c>
      <c r="G3930" t="s">
        <v>1969</v>
      </c>
      <c r="H3930" t="s">
        <v>6609</v>
      </c>
      <c r="I3930" t="s">
        <v>10022</v>
      </c>
      <c r="J3930" t="s">
        <v>12651</v>
      </c>
      <c r="K3930" t="s">
        <v>17060</v>
      </c>
      <c r="L3930">
        <f>HYPERLINK("https://www2.assemblee-nationale.fr/sycomore/fiche/(num_dept)/6025", "6025")</f>
        <v>0</v>
      </c>
      <c r="N3930">
        <f>HYPERLINK("https://www.wikidata.org/wiki/Q2935114", "Q2935114")</f>
        <v>0</v>
      </c>
      <c r="O3930" t="s">
        <v>19955</v>
      </c>
      <c r="P3930" t="s">
        <v>20447</v>
      </c>
      <c r="Q3930" t="s">
        <v>20653</v>
      </c>
      <c r="R3930" t="s">
        <v>21453</v>
      </c>
      <c r="S3930">
        <v>2226</v>
      </c>
    </row>
    <row r="3931" spans="1:19">
      <c r="A3931" t="s">
        <v>24</v>
      </c>
      <c r="B3931" t="s">
        <v>148</v>
      </c>
      <c r="C3931" t="s">
        <v>156</v>
      </c>
      <c r="D3931" t="s">
        <v>285</v>
      </c>
      <c r="E3931" t="s">
        <v>414</v>
      </c>
      <c r="F3931">
        <f>HYPERLINK("https://www.wikidata.org/wiki/Q16683508", "Q16683508")</f>
        <v>0</v>
      </c>
      <c r="G3931" t="s">
        <v>1194</v>
      </c>
      <c r="H3931" t="s">
        <v>5924</v>
      </c>
      <c r="I3931" t="s">
        <v>9483</v>
      </c>
      <c r="J3931" t="s">
        <v>11927</v>
      </c>
      <c r="K3931" t="s">
        <v>16328</v>
      </c>
      <c r="L3931">
        <f>HYPERLINK("https://www2.assemblee-nationale.fr/sycomore/fiche/(num_dept)/6039", "6039")</f>
        <v>0</v>
      </c>
      <c r="N3931">
        <f>HYPERLINK("https://www.wikidata.org/wiki/Q3557551", "Q3557551")</f>
        <v>0</v>
      </c>
      <c r="O3931" t="s">
        <v>19972</v>
      </c>
      <c r="P3931" t="s">
        <v>20453</v>
      </c>
      <c r="Q3931" t="s">
        <v>20653</v>
      </c>
      <c r="R3931" t="s">
        <v>21453</v>
      </c>
      <c r="S3931">
        <v>2226</v>
      </c>
    </row>
    <row r="3932" spans="1:19">
      <c r="A3932" t="s">
        <v>24</v>
      </c>
      <c r="B3932" t="s">
        <v>148</v>
      </c>
      <c r="C3932" t="s">
        <v>156</v>
      </c>
      <c r="D3932" t="s">
        <v>285</v>
      </c>
      <c r="E3932" t="s">
        <v>414</v>
      </c>
      <c r="F3932">
        <f>HYPERLINK("https://www.wikidata.org/wiki/Q16683508", "Q16683508")</f>
        <v>0</v>
      </c>
      <c r="G3932" t="s">
        <v>1581</v>
      </c>
      <c r="H3932" t="s">
        <v>6271</v>
      </c>
      <c r="I3932" t="s">
        <v>6495</v>
      </c>
      <c r="J3932" t="s">
        <v>12293</v>
      </c>
      <c r="K3932" t="s">
        <v>16700</v>
      </c>
      <c r="L3932">
        <f>HYPERLINK("https://www2.assemblee-nationale.fr/sycomore/fiche/(num_dept)/6068", "6068")</f>
        <v>0</v>
      </c>
      <c r="N3932">
        <f>HYPERLINK("https://www.wikidata.org/wiki/Q3263043", "Q3263043")</f>
        <v>0</v>
      </c>
      <c r="O3932" t="s">
        <v>19969</v>
      </c>
      <c r="P3932" t="s">
        <v>20447</v>
      </c>
      <c r="Q3932" t="s">
        <v>20653</v>
      </c>
      <c r="R3932" t="s">
        <v>21453</v>
      </c>
      <c r="S3932">
        <v>2226</v>
      </c>
    </row>
    <row r="3933" spans="1:19">
      <c r="A3933" t="s">
        <v>24</v>
      </c>
      <c r="B3933" t="s">
        <v>148</v>
      </c>
      <c r="C3933" t="s">
        <v>156</v>
      </c>
      <c r="D3933" t="s">
        <v>285</v>
      </c>
      <c r="E3933" t="s">
        <v>414</v>
      </c>
      <c r="F3933">
        <f>HYPERLINK("https://www.wikidata.org/wiki/Q16683508", "Q16683508")</f>
        <v>0</v>
      </c>
      <c r="G3933" t="s">
        <v>2209</v>
      </c>
      <c r="H3933" t="s">
        <v>5532</v>
      </c>
      <c r="I3933" t="s">
        <v>10117</v>
      </c>
      <c r="J3933" t="s">
        <v>12870</v>
      </c>
      <c r="K3933" t="s">
        <v>17282</v>
      </c>
      <c r="L3933">
        <f>HYPERLINK("https://www2.assemblee-nationale.fr/sycomore/fiche/(num_dept)/6123", "6123")</f>
        <v>0</v>
      </c>
      <c r="N3933">
        <f>HYPERLINK("https://www.wikidata.org/wiki/Q3102871", "Q3102871")</f>
        <v>0</v>
      </c>
      <c r="O3933" t="s">
        <v>19957</v>
      </c>
      <c r="P3933" t="s">
        <v>20444</v>
      </c>
      <c r="Q3933" t="s">
        <v>20653</v>
      </c>
      <c r="R3933" t="s">
        <v>21453</v>
      </c>
      <c r="S3933">
        <v>2226</v>
      </c>
    </row>
    <row r="3934" spans="1:19">
      <c r="A3934" t="s">
        <v>24</v>
      </c>
      <c r="B3934" t="s">
        <v>148</v>
      </c>
      <c r="C3934" t="s">
        <v>156</v>
      </c>
      <c r="D3934" t="s">
        <v>285</v>
      </c>
      <c r="E3934" t="s">
        <v>414</v>
      </c>
      <c r="F3934">
        <f>HYPERLINK("https://www.wikidata.org/wiki/Q16683508", "Q16683508")</f>
        <v>0</v>
      </c>
      <c r="G3934" t="s">
        <v>2149</v>
      </c>
      <c r="H3934" t="s">
        <v>6763</v>
      </c>
      <c r="I3934" t="s">
        <v>9499</v>
      </c>
      <c r="J3934" t="s">
        <v>12813</v>
      </c>
      <c r="K3934" t="s">
        <v>17228</v>
      </c>
      <c r="L3934">
        <f>HYPERLINK("https://www2.assemblee-nationale.fr/sycomore/fiche/(num_dept)/6184", "6184")</f>
        <v>0</v>
      </c>
      <c r="N3934">
        <f>HYPERLINK("https://www.wikidata.org/wiki/Q950845", "Q950845")</f>
        <v>0</v>
      </c>
      <c r="O3934" t="s">
        <v>20017</v>
      </c>
      <c r="P3934" t="s">
        <v>20428</v>
      </c>
      <c r="Q3934" t="s">
        <v>20653</v>
      </c>
      <c r="R3934" t="s">
        <v>21453</v>
      </c>
      <c r="S3934">
        <v>2226</v>
      </c>
    </row>
    <row r="3935" spans="1:19">
      <c r="A3935" t="s">
        <v>24</v>
      </c>
      <c r="B3935" t="s">
        <v>148</v>
      </c>
      <c r="C3935" t="s">
        <v>156</v>
      </c>
      <c r="D3935" t="s">
        <v>285</v>
      </c>
      <c r="E3935" t="s">
        <v>414</v>
      </c>
      <c r="F3935">
        <f>HYPERLINK("https://www.wikidata.org/wiki/Q16683508", "Q16683508")</f>
        <v>0</v>
      </c>
      <c r="G3935" t="s">
        <v>2422</v>
      </c>
      <c r="H3935" t="s">
        <v>6533</v>
      </c>
      <c r="I3935" t="s">
        <v>9856</v>
      </c>
      <c r="J3935" t="s">
        <v>13072</v>
      </c>
      <c r="K3935" t="s">
        <v>17480</v>
      </c>
      <c r="L3935">
        <f>HYPERLINK("https://www2.assemblee-nationale.fr/sycomore/fiche/(num_dept)/6216", "6216")</f>
        <v>0</v>
      </c>
      <c r="N3935">
        <f>HYPERLINK("https://www.wikidata.org/wiki/Q3086312", "Q3086312")</f>
        <v>0</v>
      </c>
      <c r="O3935" t="s">
        <v>19968</v>
      </c>
      <c r="P3935" t="s">
        <v>20444</v>
      </c>
      <c r="Q3935" t="s">
        <v>20653</v>
      </c>
      <c r="R3935" t="s">
        <v>21453</v>
      </c>
      <c r="S3935">
        <v>2226</v>
      </c>
    </row>
    <row r="3936" spans="1:19">
      <c r="A3936" t="s">
        <v>24</v>
      </c>
      <c r="B3936" t="s">
        <v>148</v>
      </c>
      <c r="C3936" t="s">
        <v>156</v>
      </c>
      <c r="D3936" t="s">
        <v>285</v>
      </c>
      <c r="E3936" t="s">
        <v>414</v>
      </c>
      <c r="F3936">
        <f>HYPERLINK("https://www.wikidata.org/wiki/Q16683508", "Q16683508")</f>
        <v>0</v>
      </c>
      <c r="G3936" t="s">
        <v>2154</v>
      </c>
      <c r="H3936" t="s">
        <v>6768</v>
      </c>
      <c r="I3936" t="s">
        <v>9401</v>
      </c>
      <c r="J3936" t="s">
        <v>12818</v>
      </c>
      <c r="K3936" t="s">
        <v>17233</v>
      </c>
      <c r="L3936">
        <f>HYPERLINK("https://www2.assemblee-nationale.fr/sycomore/fiche/(num_dept)/6253", "6253")</f>
        <v>0</v>
      </c>
      <c r="N3936">
        <f>HYPERLINK("https://www.wikidata.org/wiki/Q2856706", "Q2856706")</f>
        <v>0</v>
      </c>
      <c r="O3936" t="s">
        <v>19965</v>
      </c>
      <c r="P3936" t="s">
        <v>20445</v>
      </c>
      <c r="Q3936" t="s">
        <v>20653</v>
      </c>
      <c r="R3936" t="s">
        <v>21453</v>
      </c>
      <c r="S3936">
        <v>2226</v>
      </c>
    </row>
    <row r="3937" spans="1:19">
      <c r="A3937" t="s">
        <v>24</v>
      </c>
      <c r="B3937" t="s">
        <v>148</v>
      </c>
      <c r="C3937" t="s">
        <v>156</v>
      </c>
      <c r="D3937" t="s">
        <v>285</v>
      </c>
      <c r="E3937" t="s">
        <v>414</v>
      </c>
      <c r="F3937">
        <f>HYPERLINK("https://www.wikidata.org/wiki/Q16683508", "Q16683508")</f>
        <v>0</v>
      </c>
      <c r="G3937" t="s">
        <v>2429</v>
      </c>
      <c r="H3937" t="s">
        <v>7003</v>
      </c>
      <c r="I3937" t="s">
        <v>9388</v>
      </c>
      <c r="J3937" t="s">
        <v>13079</v>
      </c>
      <c r="K3937" t="s">
        <v>17487</v>
      </c>
      <c r="L3937">
        <f>HYPERLINK("https://www2.assemblee-nationale.fr/sycomore/fiche/(num_dept)/6307", "6307")</f>
        <v>0</v>
      </c>
      <c r="N3937">
        <f>HYPERLINK("https://www.wikidata.org/wiki/Q3372164", "Q3372164")</f>
        <v>0</v>
      </c>
      <c r="O3937" t="s">
        <v>20000</v>
      </c>
      <c r="P3937" t="s">
        <v>20449</v>
      </c>
      <c r="Q3937" t="s">
        <v>20653</v>
      </c>
      <c r="R3937" t="s">
        <v>21453</v>
      </c>
      <c r="S3937">
        <v>2226</v>
      </c>
    </row>
    <row r="3938" spans="1:19">
      <c r="A3938" t="s">
        <v>24</v>
      </c>
      <c r="B3938" t="s">
        <v>148</v>
      </c>
      <c r="C3938" t="s">
        <v>156</v>
      </c>
      <c r="D3938" t="s">
        <v>285</v>
      </c>
      <c r="E3938" t="s">
        <v>414</v>
      </c>
      <c r="F3938">
        <f>HYPERLINK("https://www.wikidata.org/wiki/Q16683508", "Q16683508")</f>
        <v>0</v>
      </c>
      <c r="G3938" t="s">
        <v>2155</v>
      </c>
      <c r="H3938" t="s">
        <v>6769</v>
      </c>
      <c r="I3938" t="s">
        <v>6175</v>
      </c>
      <c r="J3938" t="s">
        <v>12819</v>
      </c>
      <c r="K3938" t="s">
        <v>17234</v>
      </c>
      <c r="L3938">
        <f>HYPERLINK("https://www2.assemblee-nationale.fr/sycomore/fiche/(num_dept)/6328", "6328")</f>
        <v>0</v>
      </c>
      <c r="N3938">
        <f>HYPERLINK("https://www.wikidata.org/wiki/Q3103471", "Q3103471")</f>
        <v>0</v>
      </c>
      <c r="O3938" t="s">
        <v>19969</v>
      </c>
      <c r="P3938" t="s">
        <v>20453</v>
      </c>
      <c r="Q3938" t="s">
        <v>20653</v>
      </c>
      <c r="R3938" t="s">
        <v>21453</v>
      </c>
      <c r="S3938">
        <v>2226</v>
      </c>
    </row>
    <row r="3939" spans="1:19">
      <c r="A3939" t="s">
        <v>24</v>
      </c>
      <c r="B3939" t="s">
        <v>148</v>
      </c>
      <c r="C3939" t="s">
        <v>156</v>
      </c>
      <c r="D3939" t="s">
        <v>285</v>
      </c>
      <c r="E3939" t="s">
        <v>414</v>
      </c>
      <c r="F3939">
        <f>HYPERLINK("https://www.wikidata.org/wiki/Q16683508", "Q16683508")</f>
        <v>0</v>
      </c>
      <c r="G3939" t="s">
        <v>1594</v>
      </c>
      <c r="H3939" t="s">
        <v>6284</v>
      </c>
      <c r="I3939" t="s">
        <v>6759</v>
      </c>
      <c r="J3939" t="s">
        <v>12302</v>
      </c>
      <c r="K3939" t="s">
        <v>16712</v>
      </c>
      <c r="L3939">
        <f>HYPERLINK("https://www2.assemblee-nationale.fr/sycomore/fiche/(num_dept)/6358", "6358")</f>
        <v>0</v>
      </c>
      <c r="N3939">
        <f>HYPERLINK("https://www.wikidata.org/wiki/Q15981", "Q15981")</f>
        <v>0</v>
      </c>
      <c r="O3939" t="s">
        <v>20050</v>
      </c>
      <c r="P3939" t="s">
        <v>20441</v>
      </c>
      <c r="Q3939" t="s">
        <v>20653</v>
      </c>
      <c r="R3939" t="s">
        <v>21453</v>
      </c>
      <c r="S3939">
        <v>2226</v>
      </c>
    </row>
    <row r="3940" spans="1:19">
      <c r="A3940" t="s">
        <v>24</v>
      </c>
      <c r="B3940" t="s">
        <v>148</v>
      </c>
      <c r="C3940" t="s">
        <v>156</v>
      </c>
      <c r="D3940" t="s">
        <v>285</v>
      </c>
      <c r="E3940" t="s">
        <v>414</v>
      </c>
      <c r="F3940">
        <f>HYPERLINK("https://www.wikidata.org/wiki/Q16683508", "Q16683508")</f>
        <v>0</v>
      </c>
      <c r="G3940" t="s">
        <v>1595</v>
      </c>
      <c r="H3940" t="s">
        <v>6285</v>
      </c>
      <c r="I3940" t="s">
        <v>6367</v>
      </c>
      <c r="J3940" t="s">
        <v>12303</v>
      </c>
      <c r="K3940" t="s">
        <v>16713</v>
      </c>
      <c r="L3940">
        <f>HYPERLINK("https://www2.assemblee-nationale.fr/sycomore/fiche/(num_dept)/6378", "6378")</f>
        <v>0</v>
      </c>
      <c r="N3940">
        <f>HYPERLINK("https://www.wikidata.org/wiki/Q3525560", "Q3525560")</f>
        <v>0</v>
      </c>
      <c r="O3940" t="s">
        <v>20048</v>
      </c>
      <c r="P3940" t="s">
        <v>20451</v>
      </c>
      <c r="Q3940" t="s">
        <v>20653</v>
      </c>
      <c r="R3940" t="s">
        <v>21453</v>
      </c>
      <c r="S3940">
        <v>2226</v>
      </c>
    </row>
    <row r="3941" spans="1:19">
      <c r="A3941" t="s">
        <v>24</v>
      </c>
      <c r="B3941" t="s">
        <v>148</v>
      </c>
      <c r="C3941" t="s">
        <v>156</v>
      </c>
      <c r="D3941" t="s">
        <v>285</v>
      </c>
      <c r="E3941" t="s">
        <v>414</v>
      </c>
      <c r="F3941">
        <f>HYPERLINK("https://www.wikidata.org/wiki/Q16683508", "Q16683508")</f>
        <v>0</v>
      </c>
      <c r="G3941" t="s">
        <v>2408</v>
      </c>
      <c r="H3941" t="s">
        <v>6984</v>
      </c>
      <c r="I3941" t="s">
        <v>9407</v>
      </c>
      <c r="J3941" t="s">
        <v>13058</v>
      </c>
      <c r="K3941" t="s">
        <v>17468</v>
      </c>
      <c r="L3941">
        <f>HYPERLINK("https://www2.assemblee-nationale.fr/sycomore/fiche/(num_dept)/6391", "6391")</f>
        <v>0</v>
      </c>
      <c r="N3941">
        <f>HYPERLINK("https://www.wikidata.org/wiki/Q3185630", "Q3185630")</f>
        <v>0</v>
      </c>
      <c r="O3941" t="s">
        <v>20000</v>
      </c>
      <c r="P3941" t="s">
        <v>20434</v>
      </c>
      <c r="Q3941" t="s">
        <v>20653</v>
      </c>
      <c r="R3941" t="s">
        <v>21453</v>
      </c>
      <c r="S3941">
        <v>2226</v>
      </c>
    </row>
    <row r="3942" spans="1:19">
      <c r="A3942" t="s">
        <v>24</v>
      </c>
      <c r="B3942" t="s">
        <v>148</v>
      </c>
      <c r="C3942" t="s">
        <v>156</v>
      </c>
      <c r="D3942" t="s">
        <v>285</v>
      </c>
      <c r="E3942" t="s">
        <v>414</v>
      </c>
      <c r="F3942">
        <f>HYPERLINK("https://www.wikidata.org/wiki/Q16683508", "Q16683508")</f>
        <v>0</v>
      </c>
      <c r="G3942" t="s">
        <v>1598</v>
      </c>
      <c r="H3942" t="s">
        <v>6288</v>
      </c>
      <c r="I3942" t="s">
        <v>6759</v>
      </c>
      <c r="J3942" t="s">
        <v>12306</v>
      </c>
      <c r="K3942" t="s">
        <v>16716</v>
      </c>
      <c r="L3942">
        <f>HYPERLINK("https://www2.assemblee-nationale.fr/sycomore/fiche/(num_dept)/6396", "6396")</f>
        <v>0</v>
      </c>
      <c r="N3942">
        <f>HYPERLINK("https://www.wikidata.org/wiki/Q3436380", "Q3436380")</f>
        <v>0</v>
      </c>
      <c r="O3942" t="s">
        <v>20050</v>
      </c>
      <c r="P3942" t="s">
        <v>20445</v>
      </c>
      <c r="Q3942" t="s">
        <v>20653</v>
      </c>
      <c r="R3942" t="s">
        <v>21453</v>
      </c>
      <c r="S3942">
        <v>2226</v>
      </c>
    </row>
    <row r="3943" spans="1:19">
      <c r="A3943" t="s">
        <v>24</v>
      </c>
      <c r="B3943" t="s">
        <v>148</v>
      </c>
      <c r="C3943" t="s">
        <v>156</v>
      </c>
      <c r="D3943" t="s">
        <v>285</v>
      </c>
      <c r="E3943" t="s">
        <v>414</v>
      </c>
      <c r="F3943">
        <f>HYPERLINK("https://www.wikidata.org/wiki/Q16683508", "Q16683508")</f>
        <v>0</v>
      </c>
      <c r="G3943" t="s">
        <v>2411</v>
      </c>
      <c r="H3943" t="s">
        <v>6020</v>
      </c>
      <c r="I3943" t="s">
        <v>7265</v>
      </c>
      <c r="J3943" t="s">
        <v>13061</v>
      </c>
      <c r="K3943" t="s">
        <v>17471</v>
      </c>
      <c r="L3943">
        <f>HYPERLINK("https://www2.assemblee-nationale.fr/sycomore/fiche/(num_dept)/6400", "6400")</f>
        <v>0</v>
      </c>
      <c r="N3943">
        <f>HYPERLINK("https://www.wikidata.org/wiki/Q2327528", "Q2327528")</f>
        <v>0</v>
      </c>
      <c r="O3943" t="s">
        <v>20007</v>
      </c>
      <c r="P3943" t="s">
        <v>20450</v>
      </c>
      <c r="Q3943" t="s">
        <v>20653</v>
      </c>
      <c r="R3943" t="s">
        <v>21453</v>
      </c>
      <c r="S3943">
        <v>2226</v>
      </c>
    </row>
    <row r="3944" spans="1:19">
      <c r="A3944" t="s">
        <v>24</v>
      </c>
      <c r="B3944" t="s">
        <v>148</v>
      </c>
      <c r="C3944" t="s">
        <v>156</v>
      </c>
      <c r="D3944" t="s">
        <v>285</v>
      </c>
      <c r="E3944" t="s">
        <v>414</v>
      </c>
      <c r="F3944">
        <f>HYPERLINK("https://www.wikidata.org/wiki/Q16683508", "Q16683508")</f>
        <v>0</v>
      </c>
      <c r="G3944" t="s">
        <v>1971</v>
      </c>
      <c r="H3944" t="s">
        <v>6611</v>
      </c>
      <c r="I3944" t="s">
        <v>9856</v>
      </c>
      <c r="J3944" t="s">
        <v>12334</v>
      </c>
      <c r="K3944" t="s">
        <v>17062</v>
      </c>
      <c r="L3944">
        <f>HYPERLINK("https://www2.assemblee-nationale.fr/sycomore/fiche/(num_dept)/6404", "6404")</f>
        <v>0</v>
      </c>
      <c r="N3944">
        <f>HYPERLINK("https://www.wikidata.org/wiki/Q3086294", "Q3086294")</f>
        <v>0</v>
      </c>
      <c r="O3944" t="s">
        <v>19980</v>
      </c>
      <c r="P3944" t="s">
        <v>20445</v>
      </c>
      <c r="Q3944" t="s">
        <v>20653</v>
      </c>
      <c r="R3944" t="s">
        <v>21453</v>
      </c>
      <c r="S3944">
        <v>2226</v>
      </c>
    </row>
    <row r="3945" spans="1:19">
      <c r="A3945" t="s">
        <v>24</v>
      </c>
      <c r="B3945" t="s">
        <v>148</v>
      </c>
      <c r="C3945" t="s">
        <v>156</v>
      </c>
      <c r="D3945" t="s">
        <v>285</v>
      </c>
      <c r="E3945" t="s">
        <v>414</v>
      </c>
      <c r="F3945">
        <f>HYPERLINK("https://www.wikidata.org/wiki/Q16683508", "Q16683508")</f>
        <v>0</v>
      </c>
      <c r="G3945" t="s">
        <v>2420</v>
      </c>
      <c r="H3945" t="s">
        <v>6995</v>
      </c>
      <c r="I3945" t="s">
        <v>10206</v>
      </c>
      <c r="J3945" t="s">
        <v>13070</v>
      </c>
      <c r="K3945" t="s">
        <v>16601</v>
      </c>
      <c r="L3945">
        <f>HYPERLINK("https://www2.assemblee-nationale.fr/sycomore/fiche/(num_dept)/6405", "6405")</f>
        <v>0</v>
      </c>
      <c r="N3945">
        <f>HYPERLINK("https://www.wikidata.org/wiki/Q3265680", "Q3265680")</f>
        <v>0</v>
      </c>
      <c r="O3945" t="s">
        <v>20030</v>
      </c>
      <c r="P3945" t="s">
        <v>20445</v>
      </c>
      <c r="Q3945" t="s">
        <v>20653</v>
      </c>
      <c r="R3945" t="s">
        <v>21453</v>
      </c>
      <c r="S3945">
        <v>2226</v>
      </c>
    </row>
    <row r="3946" spans="1:19">
      <c r="A3946" t="s">
        <v>24</v>
      </c>
      <c r="B3946" t="s">
        <v>148</v>
      </c>
      <c r="C3946" t="s">
        <v>156</v>
      </c>
      <c r="D3946" t="s">
        <v>285</v>
      </c>
      <c r="E3946" t="s">
        <v>414</v>
      </c>
      <c r="F3946">
        <f>HYPERLINK("https://www.wikidata.org/wiki/Q16683508", "Q16683508")</f>
        <v>0</v>
      </c>
      <c r="G3946" t="s">
        <v>2156</v>
      </c>
      <c r="H3946" t="s">
        <v>6770</v>
      </c>
      <c r="I3946" t="s">
        <v>9385</v>
      </c>
      <c r="J3946" t="s">
        <v>12820</v>
      </c>
      <c r="K3946" t="s">
        <v>17235</v>
      </c>
      <c r="L3946">
        <f>HYPERLINK("https://www2.assemblee-nationale.fr/sycomore/fiche/(num_dept)/6406", "6406")</f>
        <v>0</v>
      </c>
      <c r="N3946">
        <f>HYPERLINK("https://www.wikidata.org/wiki/Q2960033", "Q2960033")</f>
        <v>0</v>
      </c>
      <c r="O3946" t="s">
        <v>20004</v>
      </c>
      <c r="P3946" t="s">
        <v>20448</v>
      </c>
      <c r="Q3946" t="s">
        <v>20653</v>
      </c>
      <c r="R3946" t="s">
        <v>21453</v>
      </c>
      <c r="S3946">
        <v>2226</v>
      </c>
    </row>
    <row r="3947" spans="1:19">
      <c r="A3947" t="s">
        <v>24</v>
      </c>
      <c r="B3947" t="s">
        <v>148</v>
      </c>
      <c r="C3947" t="s">
        <v>156</v>
      </c>
      <c r="D3947" t="s">
        <v>285</v>
      </c>
      <c r="E3947" t="s">
        <v>414</v>
      </c>
      <c r="F3947">
        <f>HYPERLINK("https://www.wikidata.org/wiki/Q16683508", "Q16683508")</f>
        <v>0</v>
      </c>
      <c r="G3947" t="s">
        <v>2381</v>
      </c>
      <c r="H3947" t="s">
        <v>6961</v>
      </c>
      <c r="I3947" t="s">
        <v>6175</v>
      </c>
      <c r="J3947" t="s">
        <v>13032</v>
      </c>
      <c r="K3947" t="s">
        <v>17441</v>
      </c>
      <c r="L3947">
        <f>HYPERLINK("https://www2.assemblee-nationale.fr/sycomore/fiche/(num_dept)/6442", "6442")</f>
        <v>0</v>
      </c>
      <c r="N3947">
        <f>HYPERLINK("https://www.wikidata.org/wiki/Q3103359", "Q3103359")</f>
        <v>0</v>
      </c>
      <c r="O3947" t="s">
        <v>20032</v>
      </c>
      <c r="P3947" t="s">
        <v>20428</v>
      </c>
      <c r="Q3947" t="s">
        <v>20653</v>
      </c>
      <c r="R3947" t="s">
        <v>21453</v>
      </c>
      <c r="S3947">
        <v>2226</v>
      </c>
    </row>
    <row r="3948" spans="1:19">
      <c r="A3948" t="s">
        <v>24</v>
      </c>
      <c r="B3948" t="s">
        <v>148</v>
      </c>
      <c r="C3948" t="s">
        <v>156</v>
      </c>
      <c r="D3948" t="s">
        <v>285</v>
      </c>
      <c r="E3948" t="s">
        <v>414</v>
      </c>
      <c r="F3948">
        <f>HYPERLINK("https://www.wikidata.org/wiki/Q16683508", "Q16683508")</f>
        <v>0</v>
      </c>
      <c r="G3948" t="s">
        <v>2478</v>
      </c>
      <c r="H3948" t="s">
        <v>7051</v>
      </c>
      <c r="I3948" t="s">
        <v>10233</v>
      </c>
      <c r="J3948" t="s">
        <v>13123</v>
      </c>
      <c r="K3948" t="s">
        <v>17532</v>
      </c>
      <c r="L3948">
        <f>HYPERLINK("https://www2.assemblee-nationale.fr/sycomore/fiche/(num_dept)/6524", "6524")</f>
        <v>0</v>
      </c>
      <c r="N3948">
        <f>HYPERLINK("https://www.wikidata.org/wiki/Q3131843", "Q3131843")</f>
        <v>0</v>
      </c>
      <c r="O3948" t="s">
        <v>20009</v>
      </c>
      <c r="P3948" t="s">
        <v>20445</v>
      </c>
      <c r="Q3948" t="s">
        <v>20653</v>
      </c>
      <c r="R3948" t="s">
        <v>17532</v>
      </c>
      <c r="S3948">
        <v>308</v>
      </c>
    </row>
    <row r="3949" spans="1:19">
      <c r="A3949" t="s">
        <v>24</v>
      </c>
      <c r="B3949" t="s">
        <v>148</v>
      </c>
      <c r="C3949" t="s">
        <v>156</v>
      </c>
      <c r="D3949" t="s">
        <v>285</v>
      </c>
      <c r="E3949" t="s">
        <v>414</v>
      </c>
      <c r="F3949">
        <f>HYPERLINK("https://www.wikidata.org/wiki/Q16683508", "Q16683508")</f>
        <v>0</v>
      </c>
      <c r="G3949" t="s">
        <v>1606</v>
      </c>
      <c r="H3949" t="s">
        <v>6294</v>
      </c>
      <c r="I3949" t="s">
        <v>9855</v>
      </c>
      <c r="J3949" t="s">
        <v>11665</v>
      </c>
      <c r="K3949" t="s">
        <v>16723</v>
      </c>
      <c r="L3949">
        <f>HYPERLINK("https://www2.assemblee-nationale.fr/sycomore/fiche/(num_dept)/6547", "6547")</f>
        <v>0</v>
      </c>
      <c r="N3949">
        <f>HYPERLINK("https://www.wikidata.org/wiki/Q2898489", "Q2898489")</f>
        <v>0</v>
      </c>
      <c r="O3949" t="s">
        <v>19985</v>
      </c>
      <c r="P3949" t="s">
        <v>20444</v>
      </c>
      <c r="Q3949" t="s">
        <v>20653</v>
      </c>
      <c r="R3949" t="s">
        <v>21453</v>
      </c>
      <c r="S3949">
        <v>2226</v>
      </c>
    </row>
    <row r="3950" spans="1:19">
      <c r="A3950" t="s">
        <v>24</v>
      </c>
      <c r="B3950" t="s">
        <v>148</v>
      </c>
      <c r="C3950" t="s">
        <v>156</v>
      </c>
      <c r="D3950" t="s">
        <v>285</v>
      </c>
      <c r="E3950" t="s">
        <v>414</v>
      </c>
      <c r="F3950">
        <f>HYPERLINK("https://www.wikidata.org/wiki/Q16683508", "Q16683508")</f>
        <v>0</v>
      </c>
      <c r="G3950" t="s">
        <v>2440</v>
      </c>
      <c r="H3950" t="s">
        <v>7013</v>
      </c>
      <c r="I3950" t="s">
        <v>6200</v>
      </c>
      <c r="J3950" t="s">
        <v>13088</v>
      </c>
      <c r="K3950" t="s">
        <v>17498</v>
      </c>
      <c r="L3950">
        <f>HYPERLINK("https://www2.assemblee-nationale.fr/sycomore/fiche/(num_dept)/6548", "6548")</f>
        <v>0</v>
      </c>
      <c r="N3950">
        <f>HYPERLINK("https://www.wikidata.org/wiki/Q3174183", "Q3174183")</f>
        <v>0</v>
      </c>
      <c r="O3950" t="s">
        <v>20007</v>
      </c>
      <c r="P3950" t="s">
        <v>20445</v>
      </c>
      <c r="Q3950" t="s">
        <v>20653</v>
      </c>
      <c r="R3950" t="s">
        <v>21453</v>
      </c>
      <c r="S3950">
        <v>2226</v>
      </c>
    </row>
    <row r="3951" spans="1:19">
      <c r="A3951" t="s">
        <v>24</v>
      </c>
      <c r="B3951" t="s">
        <v>148</v>
      </c>
      <c r="C3951" t="s">
        <v>156</v>
      </c>
      <c r="D3951" t="s">
        <v>285</v>
      </c>
      <c r="E3951" t="s">
        <v>414</v>
      </c>
      <c r="F3951">
        <f>HYPERLINK("https://www.wikidata.org/wiki/Q16683508", "Q16683508")</f>
        <v>0</v>
      </c>
      <c r="G3951" t="s">
        <v>2387</v>
      </c>
      <c r="H3951" t="s">
        <v>6967</v>
      </c>
      <c r="I3951" t="s">
        <v>9453</v>
      </c>
      <c r="J3951" t="s">
        <v>13038</v>
      </c>
      <c r="K3951" t="s">
        <v>17447</v>
      </c>
      <c r="L3951">
        <f>HYPERLINK("https://www2.assemblee-nationale.fr/sycomore/fiche/(num_dept)/6595", "6595")</f>
        <v>0</v>
      </c>
      <c r="N3951">
        <f>HYPERLINK("https://www.wikidata.org/wiki/Q2865300", "Q2865300")</f>
        <v>0</v>
      </c>
      <c r="O3951" t="s">
        <v>20013</v>
      </c>
      <c r="P3951" t="s">
        <v>20424</v>
      </c>
      <c r="Q3951" t="s">
        <v>20653</v>
      </c>
      <c r="R3951" t="s">
        <v>19832</v>
      </c>
      <c r="S3951">
        <v>1365</v>
      </c>
    </row>
    <row r="3952" spans="1:19">
      <c r="A3952" t="s">
        <v>24</v>
      </c>
      <c r="B3952" t="s">
        <v>148</v>
      </c>
      <c r="C3952" t="s">
        <v>156</v>
      </c>
      <c r="D3952" t="s">
        <v>285</v>
      </c>
      <c r="E3952" t="s">
        <v>414</v>
      </c>
      <c r="F3952">
        <f>HYPERLINK("https://www.wikidata.org/wiki/Q16683508", "Q16683508")</f>
        <v>0</v>
      </c>
      <c r="G3952" t="s">
        <v>2163</v>
      </c>
      <c r="H3952" t="s">
        <v>6777</v>
      </c>
      <c r="I3952" t="s">
        <v>9613</v>
      </c>
      <c r="J3952" t="s">
        <v>12827</v>
      </c>
      <c r="K3952" t="s">
        <v>17242</v>
      </c>
      <c r="L3952">
        <f>HYPERLINK("https://www2.assemblee-nationale.fr/sycomore/fiche/(num_dept)/6619", "6619")</f>
        <v>0</v>
      </c>
      <c r="N3952">
        <f>HYPERLINK("https://www.wikidata.org/wiki/Q3179710", "Q3179710")</f>
        <v>0</v>
      </c>
      <c r="O3952" t="s">
        <v>20006</v>
      </c>
      <c r="P3952" t="s">
        <v>20446</v>
      </c>
      <c r="Q3952" t="s">
        <v>20653</v>
      </c>
      <c r="R3952" t="s">
        <v>21453</v>
      </c>
      <c r="S3952">
        <v>2226</v>
      </c>
    </row>
    <row r="3953" spans="1:19">
      <c r="A3953" t="s">
        <v>24</v>
      </c>
      <c r="B3953" t="s">
        <v>148</v>
      </c>
      <c r="C3953" t="s">
        <v>156</v>
      </c>
      <c r="D3953" t="s">
        <v>285</v>
      </c>
      <c r="E3953" t="s">
        <v>414</v>
      </c>
      <c r="F3953">
        <f>HYPERLINK("https://www.wikidata.org/wiki/Q16683508", "Q16683508")</f>
        <v>0</v>
      </c>
      <c r="G3953" t="s">
        <v>1613</v>
      </c>
      <c r="H3953" t="s">
        <v>5559</v>
      </c>
      <c r="I3953" t="s">
        <v>6166</v>
      </c>
      <c r="J3953" t="s">
        <v>12320</v>
      </c>
      <c r="K3953" t="s">
        <v>16730</v>
      </c>
      <c r="L3953">
        <f>HYPERLINK("https://www2.assemblee-nationale.fr/sycomore/fiche/(num_dept)/6659", "6659")</f>
        <v>0</v>
      </c>
      <c r="N3953">
        <f>HYPERLINK("https://www.wikidata.org/wiki/Q3085660", "Q3085660")</f>
        <v>0</v>
      </c>
      <c r="O3953" t="s">
        <v>19962</v>
      </c>
      <c r="P3953" t="s">
        <v>20441</v>
      </c>
      <c r="Q3953" t="s">
        <v>20653</v>
      </c>
      <c r="R3953" t="s">
        <v>21453</v>
      </c>
      <c r="S3953">
        <v>2226</v>
      </c>
    </row>
    <row r="3954" spans="1:19">
      <c r="A3954" t="s">
        <v>24</v>
      </c>
      <c r="B3954" t="s">
        <v>148</v>
      </c>
      <c r="C3954" t="s">
        <v>156</v>
      </c>
      <c r="D3954" t="s">
        <v>285</v>
      </c>
      <c r="E3954" t="s">
        <v>414</v>
      </c>
      <c r="F3954">
        <f>HYPERLINK("https://www.wikidata.org/wiki/Q16683508", "Q16683508")</f>
        <v>0</v>
      </c>
      <c r="G3954" t="s">
        <v>2164</v>
      </c>
      <c r="H3954" t="s">
        <v>6778</v>
      </c>
      <c r="I3954" t="s">
        <v>10102</v>
      </c>
      <c r="J3954" t="s">
        <v>12828</v>
      </c>
      <c r="K3954" t="s">
        <v>17243</v>
      </c>
      <c r="L3954">
        <f>HYPERLINK("https://www2.assemblee-nationale.fr/sycomore/fiche/(num_dept)/6669", "6669")</f>
        <v>0</v>
      </c>
      <c r="N3954">
        <f>HYPERLINK("https://www.wikidata.org/wiki/Q3168121", "Q3168121")</f>
        <v>0</v>
      </c>
      <c r="O3954" t="s">
        <v>20034</v>
      </c>
      <c r="P3954" t="s">
        <v>20434</v>
      </c>
      <c r="Q3954" t="s">
        <v>20653</v>
      </c>
      <c r="R3954" t="s">
        <v>21453</v>
      </c>
      <c r="S3954">
        <v>2226</v>
      </c>
    </row>
    <row r="3955" spans="1:19">
      <c r="A3955" t="s">
        <v>24</v>
      </c>
      <c r="B3955" t="s">
        <v>148</v>
      </c>
      <c r="C3955" t="s">
        <v>156</v>
      </c>
      <c r="D3955" t="s">
        <v>285</v>
      </c>
      <c r="E3955" t="s">
        <v>414</v>
      </c>
      <c r="F3955">
        <f>HYPERLINK("https://www.wikidata.org/wiki/Q16683508", "Q16683508")</f>
        <v>0</v>
      </c>
      <c r="G3955" t="s">
        <v>2169</v>
      </c>
      <c r="H3955" t="s">
        <v>6783</v>
      </c>
      <c r="I3955" t="s">
        <v>10104</v>
      </c>
      <c r="J3955" t="s">
        <v>12833</v>
      </c>
      <c r="K3955" t="s">
        <v>17247</v>
      </c>
      <c r="L3955">
        <f>HYPERLINK("https://www2.assemblee-nationale.fr/sycomore/fiche/(num_dept)/6760", "6760")</f>
        <v>0</v>
      </c>
      <c r="N3955">
        <f>HYPERLINK("https://www.wikidata.org/wiki/Q2935058", "Q2935058")</f>
        <v>0</v>
      </c>
      <c r="O3955" t="s">
        <v>19979</v>
      </c>
      <c r="P3955" t="s">
        <v>20446</v>
      </c>
      <c r="Q3955" t="s">
        <v>20653</v>
      </c>
      <c r="R3955" t="s">
        <v>21453</v>
      </c>
      <c r="S3955">
        <v>2226</v>
      </c>
    </row>
    <row r="3956" spans="1:19">
      <c r="A3956" t="s">
        <v>24</v>
      </c>
      <c r="B3956" t="s">
        <v>148</v>
      </c>
      <c r="C3956" t="s">
        <v>156</v>
      </c>
      <c r="D3956" t="s">
        <v>285</v>
      </c>
      <c r="E3956" t="s">
        <v>414</v>
      </c>
      <c r="F3956">
        <f>HYPERLINK("https://www.wikidata.org/wiki/Q16683508", "Q16683508")</f>
        <v>0</v>
      </c>
      <c r="G3956" t="s">
        <v>2200</v>
      </c>
      <c r="H3956" t="s">
        <v>6810</v>
      </c>
      <c r="I3956" t="s">
        <v>9523</v>
      </c>
      <c r="J3956" t="s">
        <v>12862</v>
      </c>
      <c r="K3956" t="s">
        <v>17274</v>
      </c>
      <c r="L3956">
        <f>HYPERLINK("https://www2.assemblee-nationale.fr/sycomore/fiche/(num_dept)/6914", "6914")</f>
        <v>0</v>
      </c>
      <c r="N3956">
        <f>HYPERLINK("https://www.wikidata.org/wiki/Q3289422", "Q3289422")</f>
        <v>0</v>
      </c>
      <c r="O3956" t="s">
        <v>20049</v>
      </c>
      <c r="P3956" t="s">
        <v>20451</v>
      </c>
      <c r="Q3956" t="s">
        <v>20653</v>
      </c>
      <c r="R3956" t="s">
        <v>21453</v>
      </c>
      <c r="S3956">
        <v>2226</v>
      </c>
    </row>
    <row r="3957" spans="1:19">
      <c r="A3957" t="s">
        <v>24</v>
      </c>
      <c r="B3957" t="s">
        <v>148</v>
      </c>
      <c r="C3957" t="s">
        <v>156</v>
      </c>
      <c r="D3957" t="s">
        <v>285</v>
      </c>
      <c r="E3957" t="s">
        <v>414</v>
      </c>
      <c r="F3957">
        <f>HYPERLINK("https://www.wikidata.org/wiki/Q16683508", "Q16683508")</f>
        <v>0</v>
      </c>
      <c r="G3957" t="s">
        <v>2479</v>
      </c>
      <c r="H3957" t="s">
        <v>7052</v>
      </c>
      <c r="I3957" t="s">
        <v>10234</v>
      </c>
      <c r="J3957" t="s">
        <v>13124</v>
      </c>
      <c r="K3957" t="s">
        <v>17533</v>
      </c>
      <c r="L3957">
        <f>HYPERLINK("https://www2.assemblee-nationale.fr/sycomore/fiche/(num_dept)/6928", "6928")</f>
        <v>0</v>
      </c>
      <c r="N3957">
        <f>HYPERLINK("https://www.wikidata.org/wiki/Q3175718", "Q3175718")</f>
        <v>0</v>
      </c>
      <c r="O3957" t="s">
        <v>19972</v>
      </c>
      <c r="P3957" t="s">
        <v>20444</v>
      </c>
      <c r="Q3957" t="s">
        <v>20653</v>
      </c>
      <c r="R3957" t="s">
        <v>17533</v>
      </c>
      <c r="S3957">
        <v>641</v>
      </c>
    </row>
    <row r="3958" spans="1:19">
      <c r="A3958" t="s">
        <v>24</v>
      </c>
      <c r="B3958" t="s">
        <v>148</v>
      </c>
      <c r="C3958" t="s">
        <v>156</v>
      </c>
      <c r="D3958" t="s">
        <v>285</v>
      </c>
      <c r="E3958" t="s">
        <v>414</v>
      </c>
      <c r="F3958">
        <f>HYPERLINK("https://www.wikidata.org/wiki/Q16683508", "Q16683508")</f>
        <v>0</v>
      </c>
      <c r="G3958" t="s">
        <v>2480</v>
      </c>
      <c r="H3958" t="s">
        <v>7053</v>
      </c>
      <c r="I3958" t="s">
        <v>10235</v>
      </c>
      <c r="J3958" t="s">
        <v>12220</v>
      </c>
      <c r="K3958" t="s">
        <v>17534</v>
      </c>
      <c r="L3958">
        <f>HYPERLINK("https://www2.assemblee-nationale.fr/sycomore/fiche/(num_dept)/6942", "6942")</f>
        <v>0</v>
      </c>
      <c r="N3958">
        <f>HYPERLINK("https://www.wikidata.org/wiki/Q3069347", "Q3069347")</f>
        <v>0</v>
      </c>
      <c r="O3958" t="s">
        <v>19966</v>
      </c>
      <c r="P3958" t="s">
        <v>20449</v>
      </c>
      <c r="Q3958" t="s">
        <v>20653</v>
      </c>
      <c r="R3958" t="s">
        <v>21453</v>
      </c>
      <c r="S3958">
        <v>2226</v>
      </c>
    </row>
    <row r="3959" spans="1:19">
      <c r="A3959" t="s">
        <v>24</v>
      </c>
      <c r="B3959" t="s">
        <v>148</v>
      </c>
      <c r="C3959" t="s">
        <v>156</v>
      </c>
      <c r="D3959" t="s">
        <v>285</v>
      </c>
      <c r="E3959" t="s">
        <v>414</v>
      </c>
      <c r="F3959">
        <f>HYPERLINK("https://www.wikidata.org/wiki/Q16683508", "Q16683508")</f>
        <v>0</v>
      </c>
      <c r="G3959" t="s">
        <v>1898</v>
      </c>
      <c r="H3959" t="s">
        <v>6548</v>
      </c>
      <c r="I3959" t="s">
        <v>9457</v>
      </c>
      <c r="J3959" t="s">
        <v>12585</v>
      </c>
      <c r="K3959" t="s">
        <v>16997</v>
      </c>
      <c r="L3959">
        <f>HYPERLINK("https://www2.assemblee-nationale.fr/sycomore/fiche/(num_dept)/6960", "6960")</f>
        <v>0</v>
      </c>
      <c r="M3959">
        <f>HYPERLINK("https://www.senat.fr/senateur-3eme-republique/tasso_henri0331r3.html", "tasso_henri0331r3")</f>
        <v>0</v>
      </c>
      <c r="N3959">
        <f>HYPERLINK("https://www.wikidata.org/wiki/Q3132056", "Q3132056")</f>
        <v>0</v>
      </c>
      <c r="O3959" t="s">
        <v>19990</v>
      </c>
      <c r="P3959" t="s">
        <v>20446</v>
      </c>
      <c r="Q3959" t="s">
        <v>20653</v>
      </c>
      <c r="R3959" t="s">
        <v>21455</v>
      </c>
      <c r="S3959">
        <v>1005</v>
      </c>
    </row>
    <row r="3960" spans="1:19">
      <c r="A3960" t="s">
        <v>24</v>
      </c>
      <c r="B3960" t="s">
        <v>148</v>
      </c>
      <c r="C3960" t="s">
        <v>156</v>
      </c>
      <c r="D3960" t="s">
        <v>285</v>
      </c>
      <c r="E3960" t="s">
        <v>414</v>
      </c>
      <c r="F3960">
        <f>HYPERLINK("https://www.wikidata.org/wiki/Q16683508", "Q16683508")</f>
        <v>0</v>
      </c>
      <c r="G3960" t="s">
        <v>1974</v>
      </c>
      <c r="H3960" t="s">
        <v>5870</v>
      </c>
      <c r="I3960" t="s">
        <v>10024</v>
      </c>
      <c r="J3960" t="s">
        <v>12655</v>
      </c>
      <c r="K3960" t="s">
        <v>17065</v>
      </c>
      <c r="L3960">
        <f>HYPERLINK("https://www2.assemblee-nationale.fr/sycomore/fiche/(num_dept)/6965", "6965")</f>
        <v>0</v>
      </c>
      <c r="N3960">
        <f>HYPERLINK("https://www.wikidata.org/wiki/Q3588766", "Q3588766")</f>
        <v>0</v>
      </c>
      <c r="O3960" t="s">
        <v>20021</v>
      </c>
      <c r="P3960" t="s">
        <v>20445</v>
      </c>
      <c r="Q3960" t="s">
        <v>20653</v>
      </c>
      <c r="R3960" t="s">
        <v>21453</v>
      </c>
      <c r="S3960">
        <v>2226</v>
      </c>
    </row>
    <row r="3961" spans="1:19">
      <c r="A3961" t="s">
        <v>24</v>
      </c>
      <c r="B3961" t="s">
        <v>148</v>
      </c>
      <c r="C3961" t="s">
        <v>156</v>
      </c>
      <c r="D3961" t="s">
        <v>285</v>
      </c>
      <c r="E3961" t="s">
        <v>414</v>
      </c>
      <c r="F3961">
        <f>HYPERLINK("https://www.wikidata.org/wiki/Q16683508", "Q16683508")</f>
        <v>0</v>
      </c>
      <c r="G3961" t="s">
        <v>2481</v>
      </c>
      <c r="H3961" t="s">
        <v>7054</v>
      </c>
      <c r="I3961" t="s">
        <v>9934</v>
      </c>
      <c r="J3961" t="s">
        <v>13125</v>
      </c>
      <c r="K3961" t="s">
        <v>17535</v>
      </c>
      <c r="L3961">
        <f>HYPERLINK("https://www2.assemblee-nationale.fr/sycomore/fiche/(num_dept)/6982", "6982")</f>
        <v>0</v>
      </c>
      <c r="N3961">
        <f>HYPERLINK("https://www.wikidata.org/wiki/Q3052875", "Q3052875")</f>
        <v>0</v>
      </c>
      <c r="O3961" t="s">
        <v>19967</v>
      </c>
      <c r="P3961" t="s">
        <v>20444</v>
      </c>
      <c r="Q3961" t="s">
        <v>20653</v>
      </c>
      <c r="R3961" t="s">
        <v>21453</v>
      </c>
      <c r="S3961">
        <v>2226</v>
      </c>
    </row>
    <row r="3962" spans="1:19">
      <c r="A3962" t="s">
        <v>24</v>
      </c>
      <c r="B3962" t="s">
        <v>148</v>
      </c>
      <c r="C3962" t="s">
        <v>156</v>
      </c>
      <c r="D3962" t="s">
        <v>285</v>
      </c>
      <c r="E3962" t="s">
        <v>414</v>
      </c>
      <c r="F3962">
        <f>HYPERLINK("https://www.wikidata.org/wiki/Q16683508", "Q16683508")</f>
        <v>0</v>
      </c>
      <c r="G3962" t="s">
        <v>2426</v>
      </c>
      <c r="H3962" t="s">
        <v>7000</v>
      </c>
      <c r="I3962" t="s">
        <v>9388</v>
      </c>
      <c r="J3962" t="s">
        <v>13076</v>
      </c>
      <c r="K3962" t="s">
        <v>17484</v>
      </c>
      <c r="L3962">
        <f>HYPERLINK("https://www2.assemblee-nationale.fr/sycomore/fiche/(num_dept)/7013", "7013")</f>
        <v>0</v>
      </c>
      <c r="N3962">
        <f>HYPERLINK("https://www.wikidata.org/wiki/Q3372274", "Q3372274")</f>
        <v>0</v>
      </c>
      <c r="O3962" t="s">
        <v>19968</v>
      </c>
      <c r="P3962" t="s">
        <v>20447</v>
      </c>
      <c r="Q3962" t="s">
        <v>20653</v>
      </c>
      <c r="R3962" t="s">
        <v>21453</v>
      </c>
      <c r="S3962">
        <v>2226</v>
      </c>
    </row>
    <row r="3963" spans="1:19">
      <c r="A3963" t="s">
        <v>24</v>
      </c>
      <c r="B3963" t="s">
        <v>148</v>
      </c>
      <c r="C3963" t="s">
        <v>156</v>
      </c>
      <c r="D3963" t="s">
        <v>285</v>
      </c>
      <c r="E3963" t="s">
        <v>414</v>
      </c>
      <c r="F3963">
        <f>HYPERLINK("https://www.wikidata.org/wiki/Q16683508", "Q16683508")</f>
        <v>0</v>
      </c>
      <c r="G3963" t="s">
        <v>2428</v>
      </c>
      <c r="H3963" t="s">
        <v>7002</v>
      </c>
      <c r="I3963" t="s">
        <v>10155</v>
      </c>
      <c r="J3963" t="s">
        <v>13078</v>
      </c>
      <c r="K3963" t="s">
        <v>17486</v>
      </c>
      <c r="L3963">
        <f>HYPERLINK("https://www2.assemblee-nationale.fr/sycomore/fiche/(num_dept)/7026", "7026")</f>
        <v>0</v>
      </c>
      <c r="N3963">
        <f>HYPERLINK("https://www.wikidata.org/wiki/Q3099167", "Q3099167")</f>
        <v>0</v>
      </c>
      <c r="O3963" t="s">
        <v>20030</v>
      </c>
      <c r="P3963" t="s">
        <v>20428</v>
      </c>
      <c r="Q3963" t="s">
        <v>20653</v>
      </c>
      <c r="R3963" t="s">
        <v>21453</v>
      </c>
      <c r="S3963">
        <v>2226</v>
      </c>
    </row>
    <row r="3964" spans="1:19">
      <c r="A3964" t="s">
        <v>24</v>
      </c>
      <c r="B3964" t="s">
        <v>148</v>
      </c>
      <c r="C3964" t="s">
        <v>156</v>
      </c>
      <c r="D3964" t="s">
        <v>285</v>
      </c>
      <c r="E3964" t="s">
        <v>414</v>
      </c>
      <c r="F3964">
        <f>HYPERLINK("https://www.wikidata.org/wiki/Q16683508", "Q16683508")</f>
        <v>0</v>
      </c>
      <c r="G3964" t="s">
        <v>2414</v>
      </c>
      <c r="H3964" t="s">
        <v>6989</v>
      </c>
      <c r="I3964" t="s">
        <v>10204</v>
      </c>
      <c r="J3964" t="s">
        <v>13064</v>
      </c>
      <c r="K3964" t="s">
        <v>17474</v>
      </c>
      <c r="L3964">
        <f>HYPERLINK("https://www2.assemblee-nationale.fr/sycomore/fiche/(num_dept)/7035", "7035")</f>
        <v>0</v>
      </c>
      <c r="N3964">
        <f>HYPERLINK("https://www.wikidata.org/wiki/Q3301450", "Q3301450")</f>
        <v>0</v>
      </c>
      <c r="O3964" t="s">
        <v>19993</v>
      </c>
      <c r="P3964" t="s">
        <v>20446</v>
      </c>
      <c r="Q3964" t="s">
        <v>20653</v>
      </c>
      <c r="R3964" t="s">
        <v>21453</v>
      </c>
      <c r="S3964">
        <v>2226</v>
      </c>
    </row>
    <row r="3965" spans="1:19">
      <c r="A3965" t="s">
        <v>24</v>
      </c>
      <c r="B3965" t="s">
        <v>148</v>
      </c>
      <c r="C3965" t="s">
        <v>156</v>
      </c>
      <c r="D3965" t="s">
        <v>285</v>
      </c>
      <c r="E3965" t="s">
        <v>414</v>
      </c>
      <c r="F3965">
        <f>HYPERLINK("https://www.wikidata.org/wiki/Q16683508", "Q16683508")</f>
        <v>0</v>
      </c>
      <c r="G3965" t="s">
        <v>1902</v>
      </c>
      <c r="H3965" t="s">
        <v>5807</v>
      </c>
      <c r="I3965" t="s">
        <v>9992</v>
      </c>
      <c r="J3965" t="s">
        <v>12589</v>
      </c>
      <c r="K3965" t="s">
        <v>17000</v>
      </c>
      <c r="L3965">
        <f>HYPERLINK("https://www2.assemblee-nationale.fr/sycomore/fiche/(num_dept)/7039", "7039")</f>
        <v>0</v>
      </c>
      <c r="N3965">
        <f>HYPERLINK("https://www.wikidata.org/wiki/Q3155329", "Q3155329")</f>
        <v>0</v>
      </c>
      <c r="O3965" t="s">
        <v>19999</v>
      </c>
      <c r="P3965" t="s">
        <v>20446</v>
      </c>
      <c r="Q3965" t="s">
        <v>20653</v>
      </c>
      <c r="R3965" t="s">
        <v>21453</v>
      </c>
      <c r="S3965">
        <v>2226</v>
      </c>
    </row>
    <row r="3966" spans="1:19">
      <c r="A3966" t="s">
        <v>24</v>
      </c>
      <c r="B3966" t="s">
        <v>148</v>
      </c>
      <c r="C3966" t="s">
        <v>156</v>
      </c>
      <c r="D3966" t="s">
        <v>285</v>
      </c>
      <c r="E3966" t="s">
        <v>414</v>
      </c>
      <c r="F3966">
        <f>HYPERLINK("https://www.wikidata.org/wiki/Q16683508", "Q16683508")</f>
        <v>0</v>
      </c>
      <c r="G3966" t="s">
        <v>2177</v>
      </c>
      <c r="H3966" t="s">
        <v>6367</v>
      </c>
      <c r="I3966" t="s">
        <v>9606</v>
      </c>
      <c r="J3966" t="s">
        <v>12840</v>
      </c>
      <c r="K3966" t="s">
        <v>17253</v>
      </c>
      <c r="L3966">
        <f>HYPERLINK("https://www2.assemblee-nationale.fr/sycomore/fiche/(num_dept)/7049", "7049")</f>
        <v>0</v>
      </c>
      <c r="N3966">
        <f>HYPERLINK("https://www.wikidata.org/wiki/Q3167841", "Q3167841")</f>
        <v>0</v>
      </c>
      <c r="O3966" t="s">
        <v>19994</v>
      </c>
      <c r="P3966" t="s">
        <v>20446</v>
      </c>
      <c r="Q3966" t="s">
        <v>20653</v>
      </c>
      <c r="R3966" t="s">
        <v>21453</v>
      </c>
      <c r="S3966">
        <v>2226</v>
      </c>
    </row>
    <row r="3967" spans="1:19">
      <c r="A3967" t="s">
        <v>24</v>
      </c>
      <c r="B3967" t="s">
        <v>148</v>
      </c>
      <c r="C3967" t="s">
        <v>156</v>
      </c>
      <c r="D3967" t="s">
        <v>285</v>
      </c>
      <c r="E3967" t="s">
        <v>414</v>
      </c>
      <c r="F3967">
        <f>HYPERLINK("https://www.wikidata.org/wiki/Q16683508", "Q16683508")</f>
        <v>0</v>
      </c>
      <c r="G3967" t="s">
        <v>2393</v>
      </c>
      <c r="H3967" t="s">
        <v>6971</v>
      </c>
      <c r="I3967" t="s">
        <v>7642</v>
      </c>
      <c r="J3967" t="s">
        <v>13044</v>
      </c>
      <c r="K3967" t="s">
        <v>17453</v>
      </c>
      <c r="L3967">
        <f>HYPERLINK("https://www2.assemblee-nationale.fr/sycomore/fiche/(num_dept)/7063", "7063")</f>
        <v>0</v>
      </c>
      <c r="N3967">
        <f>HYPERLINK("https://www.wikidata.org/wiki/Q345408", "Q345408")</f>
        <v>0</v>
      </c>
      <c r="O3967" t="s">
        <v>19969</v>
      </c>
      <c r="P3967" t="s">
        <v>20424</v>
      </c>
      <c r="Q3967" t="s">
        <v>20653</v>
      </c>
      <c r="R3967" t="s">
        <v>19832</v>
      </c>
      <c r="S3967">
        <v>1365</v>
      </c>
    </row>
    <row r="3968" spans="1:19">
      <c r="A3968" t="s">
        <v>24</v>
      </c>
      <c r="B3968" t="s">
        <v>148</v>
      </c>
      <c r="C3968" t="s">
        <v>156</v>
      </c>
      <c r="D3968" t="s">
        <v>285</v>
      </c>
      <c r="E3968" t="s">
        <v>414</v>
      </c>
      <c r="F3968">
        <f>HYPERLINK("https://www.wikidata.org/wiki/Q16683508", "Q16683508")</f>
        <v>0</v>
      </c>
      <c r="G3968" t="s">
        <v>1634</v>
      </c>
      <c r="H3968" t="s">
        <v>6319</v>
      </c>
      <c r="I3968" t="s">
        <v>9865</v>
      </c>
      <c r="J3968" t="s">
        <v>12341</v>
      </c>
      <c r="K3968" t="s">
        <v>16724</v>
      </c>
      <c r="L3968">
        <f>HYPERLINK("https://www2.assemblee-nationale.fr/sycomore/fiche/(num_dept)/7080", "7080")</f>
        <v>0</v>
      </c>
      <c r="N3968">
        <f>HYPERLINK("https://www.wikidata.org/wiki/Q3175732", "Q3175732")</f>
        <v>0</v>
      </c>
      <c r="O3968" t="s">
        <v>19972</v>
      </c>
      <c r="P3968" t="s">
        <v>20445</v>
      </c>
      <c r="Q3968" t="s">
        <v>20653</v>
      </c>
      <c r="R3968" t="s">
        <v>21453</v>
      </c>
      <c r="S3968">
        <v>2226</v>
      </c>
    </row>
    <row r="3969" spans="1:19">
      <c r="A3969" t="s">
        <v>24</v>
      </c>
      <c r="B3969" t="s">
        <v>148</v>
      </c>
      <c r="C3969" t="s">
        <v>156</v>
      </c>
      <c r="D3969" t="s">
        <v>285</v>
      </c>
      <c r="E3969" t="s">
        <v>414</v>
      </c>
      <c r="F3969">
        <f>HYPERLINK("https://www.wikidata.org/wiki/Q16683508", "Q16683508")</f>
        <v>0</v>
      </c>
      <c r="G3969" t="s">
        <v>1637</v>
      </c>
      <c r="H3969" t="s">
        <v>6322</v>
      </c>
      <c r="I3969" t="s">
        <v>9867</v>
      </c>
      <c r="J3969" t="s">
        <v>12344</v>
      </c>
      <c r="K3969" t="s">
        <v>16751</v>
      </c>
      <c r="L3969">
        <f>HYPERLINK("https://www2.assemblee-nationale.fr/sycomore/fiche/(num_dept)/7128", "7128")</f>
        <v>0</v>
      </c>
      <c r="N3969">
        <f>HYPERLINK("https://www.wikidata.org/wiki/Q2828093", "Q2828093")</f>
        <v>0</v>
      </c>
      <c r="O3969" t="s">
        <v>19982</v>
      </c>
      <c r="P3969" t="s">
        <v>20449</v>
      </c>
      <c r="Q3969" t="s">
        <v>20653</v>
      </c>
      <c r="R3969" t="s">
        <v>21453</v>
      </c>
      <c r="S3969">
        <v>2226</v>
      </c>
    </row>
    <row r="3970" spans="1:19">
      <c r="A3970" t="s">
        <v>24</v>
      </c>
      <c r="B3970" t="s">
        <v>148</v>
      </c>
      <c r="C3970" t="s">
        <v>156</v>
      </c>
      <c r="D3970" t="s">
        <v>285</v>
      </c>
      <c r="E3970" t="s">
        <v>414</v>
      </c>
      <c r="F3970">
        <f>HYPERLINK("https://www.wikidata.org/wiki/Q16683508", "Q16683508")</f>
        <v>0</v>
      </c>
      <c r="G3970" t="s">
        <v>1905</v>
      </c>
      <c r="H3970" t="s">
        <v>6554</v>
      </c>
      <c r="I3970" t="s">
        <v>9994</v>
      </c>
      <c r="J3970" t="s">
        <v>12592</v>
      </c>
      <c r="K3970" t="s">
        <v>17003</v>
      </c>
      <c r="L3970">
        <f>HYPERLINK("https://www2.assemblee-nationale.fr/sycomore/fiche/(num_dept)/7144", "7144")</f>
        <v>0</v>
      </c>
      <c r="N3970">
        <f>HYPERLINK("https://www.wikidata.org/wiki/Q3387181", "Q3387181")</f>
        <v>0</v>
      </c>
      <c r="O3970" t="s">
        <v>20011</v>
      </c>
      <c r="P3970" t="s">
        <v>20441</v>
      </c>
      <c r="Q3970" t="s">
        <v>20653</v>
      </c>
      <c r="R3970" t="s">
        <v>21453</v>
      </c>
      <c r="S3970">
        <v>2226</v>
      </c>
    </row>
    <row r="3971" spans="1:19">
      <c r="A3971" t="s">
        <v>24</v>
      </c>
      <c r="B3971" t="s">
        <v>148</v>
      </c>
      <c r="C3971" t="s">
        <v>156</v>
      </c>
      <c r="D3971" t="s">
        <v>285</v>
      </c>
      <c r="E3971" t="s">
        <v>414</v>
      </c>
      <c r="F3971">
        <f>HYPERLINK("https://www.wikidata.org/wiki/Q16683508", "Q16683508")</f>
        <v>0</v>
      </c>
      <c r="G3971" t="s">
        <v>1640</v>
      </c>
      <c r="H3971" t="s">
        <v>6325</v>
      </c>
      <c r="I3971" t="s">
        <v>6860</v>
      </c>
      <c r="J3971" t="s">
        <v>12347</v>
      </c>
      <c r="K3971" t="s">
        <v>16754</v>
      </c>
      <c r="L3971">
        <f>HYPERLINK("https://www2.assemblee-nationale.fr/sycomore/fiche/(num_dept)/7282", "7282")</f>
        <v>0</v>
      </c>
      <c r="N3971">
        <f>HYPERLINK("https://www.wikidata.org/wiki/Q3387228", "Q3387228")</f>
        <v>0</v>
      </c>
      <c r="O3971" t="s">
        <v>19991</v>
      </c>
      <c r="P3971" t="s">
        <v>20444</v>
      </c>
      <c r="Q3971" t="s">
        <v>20653</v>
      </c>
      <c r="R3971" t="s">
        <v>21453</v>
      </c>
      <c r="S3971">
        <v>2226</v>
      </c>
    </row>
    <row r="3972" spans="1:19">
      <c r="A3972" t="s">
        <v>24</v>
      </c>
      <c r="B3972" t="s">
        <v>148</v>
      </c>
      <c r="C3972" t="s">
        <v>156</v>
      </c>
      <c r="D3972" t="s">
        <v>285</v>
      </c>
      <c r="E3972" t="s">
        <v>414</v>
      </c>
      <c r="F3972">
        <f>HYPERLINK("https://www.wikidata.org/wiki/Q16683508", "Q16683508")</f>
        <v>0</v>
      </c>
      <c r="G3972" t="s">
        <v>1641</v>
      </c>
      <c r="H3972" t="s">
        <v>6326</v>
      </c>
      <c r="I3972" t="s">
        <v>9868</v>
      </c>
      <c r="J3972" t="s">
        <v>12348</v>
      </c>
      <c r="K3972" t="s">
        <v>16755</v>
      </c>
      <c r="L3972">
        <f>HYPERLINK("https://www2.assemblee-nationale.fr/sycomore/fiche/(num_dept)/7283", "7283")</f>
        <v>0</v>
      </c>
      <c r="N3972">
        <f>HYPERLINK("https://www.wikidata.org/wiki/Q2291608", "Q2291608")</f>
        <v>0</v>
      </c>
      <c r="O3972" t="s">
        <v>19991</v>
      </c>
      <c r="P3972" t="s">
        <v>20444</v>
      </c>
      <c r="Q3972" t="s">
        <v>20653</v>
      </c>
      <c r="R3972" t="s">
        <v>21453</v>
      </c>
      <c r="S3972">
        <v>2226</v>
      </c>
    </row>
    <row r="3973" spans="1:19">
      <c r="A3973" t="s">
        <v>24</v>
      </c>
      <c r="B3973" t="s">
        <v>148</v>
      </c>
      <c r="C3973" t="s">
        <v>156</v>
      </c>
      <c r="D3973" t="s">
        <v>285</v>
      </c>
      <c r="E3973" t="s">
        <v>414</v>
      </c>
      <c r="F3973">
        <f>HYPERLINK("https://www.wikidata.org/wiki/Q16683508", "Q16683508")</f>
        <v>0</v>
      </c>
      <c r="G3973" t="s">
        <v>1208</v>
      </c>
      <c r="H3973" t="s">
        <v>5936</v>
      </c>
      <c r="I3973" t="s">
        <v>6200</v>
      </c>
      <c r="J3973" t="s">
        <v>11940</v>
      </c>
      <c r="K3973" t="s">
        <v>16342</v>
      </c>
      <c r="L3973">
        <f>HYPERLINK("https://www2.assemblee-nationale.fr/sycomore/fiche/(num_dept)/7299", "7299")</f>
        <v>0</v>
      </c>
      <c r="N3973">
        <f>HYPERLINK("https://www.wikidata.org/wiki/Q2624477", "Q2624477")</f>
        <v>0</v>
      </c>
      <c r="O3973" t="s">
        <v>19970</v>
      </c>
      <c r="P3973" t="s">
        <v>20453</v>
      </c>
      <c r="Q3973" t="s">
        <v>20653</v>
      </c>
      <c r="R3973" t="s">
        <v>21453</v>
      </c>
      <c r="S3973">
        <v>2226</v>
      </c>
    </row>
    <row r="3974" spans="1:19">
      <c r="A3974" t="s">
        <v>24</v>
      </c>
      <c r="B3974" t="s">
        <v>148</v>
      </c>
      <c r="C3974" t="s">
        <v>156</v>
      </c>
      <c r="D3974" t="s">
        <v>285</v>
      </c>
      <c r="E3974" t="s">
        <v>414</v>
      </c>
      <c r="F3974">
        <f>HYPERLINK("https://www.wikidata.org/wiki/Q16683508", "Q16683508")</f>
        <v>0</v>
      </c>
      <c r="G3974" t="s">
        <v>1642</v>
      </c>
      <c r="H3974" t="s">
        <v>5815</v>
      </c>
      <c r="I3974" t="s">
        <v>6941</v>
      </c>
      <c r="J3974" t="s">
        <v>12349</v>
      </c>
      <c r="K3974" t="s">
        <v>16756</v>
      </c>
      <c r="L3974">
        <f>HYPERLINK("https://www2.assemblee-nationale.fr/sycomore/fiche/(num_dept)/7300", "7300")</f>
        <v>0</v>
      </c>
      <c r="N3974">
        <f>HYPERLINK("https://www.wikidata.org/wiki/Q3311115", "Q3311115")</f>
        <v>0</v>
      </c>
      <c r="O3974" t="s">
        <v>20048</v>
      </c>
      <c r="P3974" t="s">
        <v>20451</v>
      </c>
      <c r="Q3974" t="s">
        <v>20653</v>
      </c>
      <c r="R3974" t="s">
        <v>21453</v>
      </c>
      <c r="S3974">
        <v>2226</v>
      </c>
    </row>
    <row r="3975" spans="1:19">
      <c r="A3975" t="s">
        <v>24</v>
      </c>
      <c r="B3975" t="s">
        <v>148</v>
      </c>
      <c r="C3975" t="s">
        <v>156</v>
      </c>
      <c r="D3975" t="s">
        <v>285</v>
      </c>
      <c r="E3975" t="s">
        <v>414</v>
      </c>
      <c r="F3975">
        <f>HYPERLINK("https://www.wikidata.org/wiki/Q16683508", "Q16683508")</f>
        <v>0</v>
      </c>
      <c r="G3975" t="s">
        <v>1643</v>
      </c>
      <c r="H3975" t="s">
        <v>6327</v>
      </c>
      <c r="I3975" t="s">
        <v>9869</v>
      </c>
      <c r="J3975" t="s">
        <v>12350</v>
      </c>
      <c r="K3975" t="s">
        <v>16757</v>
      </c>
      <c r="L3975">
        <f>HYPERLINK("https://www2.assemblee-nationale.fr/sycomore/fiche/(num_dept)/7302", "7302")</f>
        <v>0</v>
      </c>
      <c r="N3975">
        <f>HYPERLINK("https://www.wikidata.org/wiki/Q3372335", "Q3372335")</f>
        <v>0</v>
      </c>
      <c r="O3975" t="s">
        <v>19969</v>
      </c>
      <c r="P3975" t="s">
        <v>20424</v>
      </c>
      <c r="Q3975" t="s">
        <v>20653</v>
      </c>
      <c r="R3975" t="s">
        <v>16757</v>
      </c>
      <c r="S3975">
        <v>532</v>
      </c>
    </row>
    <row r="3976" spans="1:19">
      <c r="A3976" t="s">
        <v>24</v>
      </c>
      <c r="B3976" t="s">
        <v>148</v>
      </c>
      <c r="C3976" t="s">
        <v>156</v>
      </c>
      <c r="D3976" t="s">
        <v>285</v>
      </c>
      <c r="E3976" t="s">
        <v>414</v>
      </c>
      <c r="F3976">
        <f>HYPERLINK("https://www.wikidata.org/wiki/Q16683508", "Q16683508")</f>
        <v>0</v>
      </c>
      <c r="G3976" t="s">
        <v>1654</v>
      </c>
      <c r="H3976" t="s">
        <v>6337</v>
      </c>
      <c r="I3976" t="s">
        <v>6200</v>
      </c>
      <c r="J3976" t="s">
        <v>12361</v>
      </c>
      <c r="K3976" t="s">
        <v>16768</v>
      </c>
      <c r="L3976">
        <f>HYPERLINK("https://www2.assemblee-nationale.fr/sycomore/fiche/(num_dept)/7563", "7563")</f>
        <v>0</v>
      </c>
      <c r="N3976">
        <f>HYPERLINK("https://www.wikidata.org/wiki/Q3173069", "Q3173069")</f>
        <v>0</v>
      </c>
      <c r="O3976" t="s">
        <v>20023</v>
      </c>
      <c r="P3976" t="s">
        <v>20409</v>
      </c>
      <c r="Q3976" t="s">
        <v>20653</v>
      </c>
      <c r="R3976" t="s">
        <v>21453</v>
      </c>
      <c r="S3976">
        <v>2226</v>
      </c>
    </row>
    <row r="3977" spans="1:19">
      <c r="A3977" t="s">
        <v>24</v>
      </c>
      <c r="B3977" t="s">
        <v>148</v>
      </c>
      <c r="C3977" t="s">
        <v>156</v>
      </c>
      <c r="D3977" t="s">
        <v>285</v>
      </c>
      <c r="E3977" t="s">
        <v>414</v>
      </c>
      <c r="F3977">
        <f>HYPERLINK("https://www.wikidata.org/wiki/Q16683508", "Q16683508")</f>
        <v>0</v>
      </c>
      <c r="G3977" t="s">
        <v>2188</v>
      </c>
      <c r="H3977" t="s">
        <v>6799</v>
      </c>
      <c r="I3977" t="s">
        <v>10109</v>
      </c>
      <c r="J3977" t="s">
        <v>12851</v>
      </c>
      <c r="K3977" t="s">
        <v>17263</v>
      </c>
      <c r="L3977">
        <f>HYPERLINK("https://www2.assemblee-nationale.fr/sycomore/fiche/(num_dept)/7609", "7609")</f>
        <v>0</v>
      </c>
      <c r="N3977">
        <f>HYPERLINK("https://www.wikidata.org/wiki/Q3185231", "Q3185231")</f>
        <v>0</v>
      </c>
      <c r="O3977" t="s">
        <v>19961</v>
      </c>
      <c r="P3977" t="s">
        <v>20447</v>
      </c>
      <c r="Q3977" t="s">
        <v>20653</v>
      </c>
      <c r="R3977" t="s">
        <v>21453</v>
      </c>
      <c r="S3977">
        <v>2226</v>
      </c>
    </row>
    <row r="3978" spans="1:19">
      <c r="A3978" t="s">
        <v>24</v>
      </c>
      <c r="B3978" t="s">
        <v>148</v>
      </c>
      <c r="C3978" t="s">
        <v>156</v>
      </c>
      <c r="D3978" t="s">
        <v>285</v>
      </c>
      <c r="E3978" t="s">
        <v>414</v>
      </c>
      <c r="F3978">
        <f>HYPERLINK("https://www.wikidata.org/wiki/Q16683508", "Q16683508")</f>
        <v>0</v>
      </c>
      <c r="G3978" t="s">
        <v>2413</v>
      </c>
      <c r="H3978" t="s">
        <v>6988</v>
      </c>
      <c r="I3978" t="s">
        <v>10203</v>
      </c>
      <c r="J3978" t="s">
        <v>13063</v>
      </c>
      <c r="K3978" t="s">
        <v>17473</v>
      </c>
      <c r="L3978">
        <f>HYPERLINK("https://www2.assemblee-nationale.fr/sycomore/fiche/(num_dept)/7610", "7610")</f>
        <v>0</v>
      </c>
      <c r="N3978">
        <f>HYPERLINK("https://www.wikidata.org/wiki/Q3592244", "Q3592244")</f>
        <v>0</v>
      </c>
      <c r="O3978" t="s">
        <v>19998</v>
      </c>
      <c r="P3978" t="s">
        <v>20444</v>
      </c>
      <c r="Q3978" t="s">
        <v>20653</v>
      </c>
      <c r="R3978" t="s">
        <v>21453</v>
      </c>
      <c r="S3978">
        <v>2226</v>
      </c>
    </row>
    <row r="3979" spans="1:19">
      <c r="A3979" t="s">
        <v>24</v>
      </c>
      <c r="B3979" t="s">
        <v>148</v>
      </c>
      <c r="C3979" t="s">
        <v>156</v>
      </c>
      <c r="D3979" t="s">
        <v>285</v>
      </c>
      <c r="E3979" t="s">
        <v>414</v>
      </c>
      <c r="F3979">
        <f>HYPERLINK("https://www.wikidata.org/wiki/Q16683508", "Q16683508")</f>
        <v>0</v>
      </c>
      <c r="G3979" t="s">
        <v>2262</v>
      </c>
      <c r="H3979" t="s">
        <v>6277</v>
      </c>
      <c r="I3979" t="s">
        <v>10142</v>
      </c>
      <c r="J3979" t="s">
        <v>12920</v>
      </c>
      <c r="K3979" t="s">
        <v>16825</v>
      </c>
      <c r="L3979">
        <f>HYPERLINK("https://www2.assemblee-nationale.fr/sycomore/fiche/(num_dept)/7615", "7615")</f>
        <v>0</v>
      </c>
      <c r="N3979">
        <f>HYPERLINK("https://www.wikidata.org/wiki/Q3059683", "Q3059683")</f>
        <v>0</v>
      </c>
      <c r="O3979" t="s">
        <v>20023</v>
      </c>
      <c r="P3979" t="s">
        <v>20446</v>
      </c>
      <c r="Q3979" t="s">
        <v>20653</v>
      </c>
      <c r="R3979" t="s">
        <v>21453</v>
      </c>
      <c r="S3979">
        <v>2226</v>
      </c>
    </row>
    <row r="3980" spans="1:19">
      <c r="A3980" t="s">
        <v>24</v>
      </c>
      <c r="B3980" t="s">
        <v>148</v>
      </c>
      <c r="C3980" t="s">
        <v>156</v>
      </c>
      <c r="D3980" t="s">
        <v>285</v>
      </c>
      <c r="E3980" t="s">
        <v>414</v>
      </c>
      <c r="F3980">
        <f>HYPERLINK("https://www.wikidata.org/wiki/Q16683508", "Q16683508")</f>
        <v>0</v>
      </c>
      <c r="G3980" t="s">
        <v>1977</v>
      </c>
      <c r="H3980" t="s">
        <v>6615</v>
      </c>
      <c r="I3980" t="s">
        <v>9407</v>
      </c>
      <c r="J3980" t="s">
        <v>12658</v>
      </c>
      <c r="K3980" t="s">
        <v>17068</v>
      </c>
      <c r="L3980">
        <f>HYPERLINK("https://www2.assemblee-nationale.fr/sycomore/fiche/(num_dept)/7654", "7654")</f>
        <v>0</v>
      </c>
      <c r="N3980">
        <f>HYPERLINK("https://www.wikidata.org/wiki/Q611770", "Q611770")</f>
        <v>0</v>
      </c>
      <c r="O3980" t="s">
        <v>19985</v>
      </c>
      <c r="P3980" t="s">
        <v>20447</v>
      </c>
      <c r="Q3980" t="s">
        <v>20653</v>
      </c>
      <c r="R3980" t="s">
        <v>21453</v>
      </c>
      <c r="S3980">
        <v>2226</v>
      </c>
    </row>
    <row r="3981" spans="1:19">
      <c r="A3981" t="s">
        <v>24</v>
      </c>
      <c r="B3981" t="s">
        <v>148</v>
      </c>
      <c r="C3981" t="s">
        <v>156</v>
      </c>
      <c r="D3981" t="s">
        <v>285</v>
      </c>
      <c r="E3981" t="s">
        <v>414</v>
      </c>
      <c r="F3981">
        <f>HYPERLINK("https://www.wikidata.org/wiki/Q16683508", "Q16683508")</f>
        <v>0</v>
      </c>
      <c r="G3981" t="s">
        <v>1668</v>
      </c>
      <c r="H3981" t="s">
        <v>6348</v>
      </c>
      <c r="I3981" t="s">
        <v>6175</v>
      </c>
      <c r="J3981" t="s">
        <v>12374</v>
      </c>
      <c r="K3981" t="s">
        <v>16782</v>
      </c>
      <c r="L3981">
        <f>HYPERLINK("https://www2.assemblee-nationale.fr/sycomore/fiche/(num_dept)/7837", "7837")</f>
        <v>0</v>
      </c>
      <c r="N3981">
        <f>HYPERLINK("https://www.wikidata.org/wiki/Q3103131", "Q3103131")</f>
        <v>0</v>
      </c>
      <c r="O3981" t="s">
        <v>19965</v>
      </c>
      <c r="P3981" t="s">
        <v>20424</v>
      </c>
      <c r="Q3981" t="s">
        <v>20653</v>
      </c>
      <c r="R3981" t="s">
        <v>19832</v>
      </c>
      <c r="S3981">
        <v>1365</v>
      </c>
    </row>
    <row r="3982" spans="1:19">
      <c r="A3982" t="s">
        <v>24</v>
      </c>
      <c r="B3982" t="s">
        <v>148</v>
      </c>
      <c r="C3982" t="s">
        <v>156</v>
      </c>
      <c r="D3982" t="s">
        <v>285</v>
      </c>
      <c r="E3982" t="s">
        <v>414</v>
      </c>
      <c r="F3982">
        <f>HYPERLINK("https://www.wikidata.org/wiki/Q16683508", "Q16683508")</f>
        <v>0</v>
      </c>
      <c r="G3982" t="s">
        <v>1333</v>
      </c>
      <c r="H3982" t="s">
        <v>5402</v>
      </c>
      <c r="I3982" t="s">
        <v>9754</v>
      </c>
      <c r="J3982" t="s">
        <v>12060</v>
      </c>
      <c r="K3982" t="s">
        <v>16462</v>
      </c>
      <c r="L3982">
        <f>HYPERLINK("https://www2.assemblee-nationale.fr/sycomore/fiche/(num_dept)/10839", "10839")</f>
        <v>0</v>
      </c>
      <c r="N3982">
        <f>HYPERLINK("https://www.wikidata.org/wiki/Q471296", "Q471296")</f>
        <v>0</v>
      </c>
      <c r="O3982" t="s">
        <v>20034</v>
      </c>
      <c r="P3982" t="s">
        <v>20447</v>
      </c>
      <c r="Q3982" t="s">
        <v>20653</v>
      </c>
      <c r="R3982" t="s">
        <v>21453</v>
      </c>
      <c r="S3982">
        <v>2226</v>
      </c>
    </row>
    <row r="3983" spans="1:19">
      <c r="A3983" t="s">
        <v>24</v>
      </c>
      <c r="B3983" t="s">
        <v>148</v>
      </c>
      <c r="C3983" t="s">
        <v>156</v>
      </c>
      <c r="D3983" t="s">
        <v>285</v>
      </c>
      <c r="E3983" t="s">
        <v>414</v>
      </c>
      <c r="F3983">
        <f>HYPERLINK("https://www.wikidata.org/wiki/Q16683508", "Q16683508")</f>
        <v>0</v>
      </c>
      <c r="G3983" t="s">
        <v>2195</v>
      </c>
      <c r="H3983" t="s">
        <v>6806</v>
      </c>
      <c r="I3983" t="s">
        <v>6584</v>
      </c>
      <c r="J3983" t="s">
        <v>12858</v>
      </c>
      <c r="K3983" t="s">
        <v>16325</v>
      </c>
      <c r="L3983">
        <f>HYPERLINK("https://www2.assemblee-nationale.fr/sycomore/fiche/(num_dept)/19493", "19493")</f>
        <v>0</v>
      </c>
      <c r="N3983">
        <f>HYPERLINK("https://www.wikidata.org/wiki/Q2831506", "Q2831506")</f>
        <v>0</v>
      </c>
      <c r="O3983" t="s">
        <v>19979</v>
      </c>
      <c r="P3983" t="s">
        <v>20404</v>
      </c>
      <c r="Q3983" t="s">
        <v>20653</v>
      </c>
      <c r="R3983" t="s">
        <v>21453</v>
      </c>
      <c r="S3983">
        <v>2226</v>
      </c>
    </row>
    <row r="3984" spans="1:19">
      <c r="A3984" t="s">
        <v>24</v>
      </c>
      <c r="B3984" t="s">
        <v>148</v>
      </c>
      <c r="C3984" t="s">
        <v>156</v>
      </c>
      <c r="D3984" t="s">
        <v>285</v>
      </c>
      <c r="E3984" t="s">
        <v>414</v>
      </c>
      <c r="F3984">
        <f>HYPERLINK("https://www.wikidata.org/wiki/Q16683508", "Q16683508")</f>
        <v>0</v>
      </c>
      <c r="G3984" t="s">
        <v>2195</v>
      </c>
      <c r="H3984" t="s">
        <v>6806</v>
      </c>
      <c r="I3984" t="s">
        <v>6584</v>
      </c>
      <c r="J3984" t="s">
        <v>12858</v>
      </c>
      <c r="K3984" t="s">
        <v>16325</v>
      </c>
      <c r="L3984">
        <f>HYPERLINK("https://www2.assemblee-nationale.fr/sycomore/fiche/(num_dept)/19493", "19493")</f>
        <v>0</v>
      </c>
      <c r="N3984">
        <f>HYPERLINK("https://www.wikidata.org/wiki/Q2831506", "Q2831506")</f>
        <v>0</v>
      </c>
      <c r="O3984" t="s">
        <v>19979</v>
      </c>
      <c r="P3984" t="s">
        <v>20446</v>
      </c>
      <c r="Q3984" t="s">
        <v>20653</v>
      </c>
      <c r="R3984" t="s">
        <v>21453</v>
      </c>
      <c r="S3984">
        <v>2226</v>
      </c>
    </row>
    <row r="3985" spans="1:19">
      <c r="A3985" t="s">
        <v>25</v>
      </c>
      <c r="B3985" t="s">
        <v>148</v>
      </c>
      <c r="C3985" t="s">
        <v>157</v>
      </c>
      <c r="D3985" t="s">
        <v>286</v>
      </c>
      <c r="E3985" t="s">
        <v>415</v>
      </c>
      <c r="F3985">
        <f>HYPERLINK("https://www.wikidata.org/wiki/Q33756706", "Q33756706")</f>
        <v>0</v>
      </c>
      <c r="G3985" t="s">
        <v>2482</v>
      </c>
      <c r="H3985" t="s">
        <v>7055</v>
      </c>
      <c r="I3985" t="s">
        <v>10236</v>
      </c>
      <c r="J3985" t="s">
        <v>13126</v>
      </c>
      <c r="K3985" t="s">
        <v>17536</v>
      </c>
      <c r="L3985">
        <f>HYPERLINK("https://www2.assemblee-nationale.fr/sycomore/fiche/(num_dept)/1672", "1672")</f>
        <v>0</v>
      </c>
      <c r="M3985">
        <f>HYPERLINK("https://www.senat.fr/senateur-3eme-republique/charmes_francis0370r3.html", "charmes_francis0370r3")</f>
        <v>0</v>
      </c>
      <c r="N3985">
        <f>HYPERLINK("https://www.wikidata.org/wiki/Q2341785", "Q2341785")</f>
        <v>0</v>
      </c>
      <c r="O3985" t="s">
        <v>19966</v>
      </c>
      <c r="Q3985" t="s">
        <v>15593</v>
      </c>
      <c r="R3985" t="s">
        <v>21463</v>
      </c>
      <c r="S3985">
        <v>1747</v>
      </c>
    </row>
    <row r="3986" spans="1:19">
      <c r="A3986" t="s">
        <v>25</v>
      </c>
      <c r="B3986" t="s">
        <v>148</v>
      </c>
      <c r="C3986" t="s">
        <v>157</v>
      </c>
      <c r="D3986" t="s">
        <v>286</v>
      </c>
      <c r="E3986" t="s">
        <v>415</v>
      </c>
      <c r="F3986">
        <f>HYPERLINK("https://www.wikidata.org/wiki/Q33756706", "Q33756706")</f>
        <v>0</v>
      </c>
      <c r="G3986" t="s">
        <v>2483</v>
      </c>
      <c r="H3986" t="s">
        <v>7056</v>
      </c>
      <c r="I3986" t="s">
        <v>9389</v>
      </c>
      <c r="J3986" t="s">
        <v>13127</v>
      </c>
      <c r="K3986" t="s">
        <v>17537</v>
      </c>
      <c r="L3986">
        <f>HYPERLINK("https://www2.assemblee-nationale.fr/sycomore/fiche/(num_dept)/3445", "3445")</f>
        <v>0</v>
      </c>
      <c r="N3986">
        <f>HYPERLINK("https://www.wikidata.org/wiki/Q3588534", "Q3588534")</f>
        <v>0</v>
      </c>
      <c r="O3986" t="s">
        <v>19997</v>
      </c>
      <c r="Q3986" t="s">
        <v>15593</v>
      </c>
      <c r="R3986" t="s">
        <v>415</v>
      </c>
      <c r="S3986">
        <v>1773</v>
      </c>
    </row>
    <row r="3987" spans="1:19">
      <c r="A3987" t="s">
        <v>25</v>
      </c>
      <c r="B3987" t="s">
        <v>148</v>
      </c>
      <c r="C3987" t="s">
        <v>157</v>
      </c>
      <c r="D3987" t="s">
        <v>286</v>
      </c>
      <c r="E3987" t="s">
        <v>415</v>
      </c>
      <c r="F3987">
        <f>HYPERLINK("https://www.wikidata.org/wiki/Q33756706", "Q33756706")</f>
        <v>0</v>
      </c>
      <c r="G3987" t="s">
        <v>2484</v>
      </c>
      <c r="H3987" t="s">
        <v>7057</v>
      </c>
      <c r="I3987" t="s">
        <v>10237</v>
      </c>
      <c r="J3987" t="s">
        <v>13128</v>
      </c>
      <c r="K3987" t="s">
        <v>17538</v>
      </c>
      <c r="L3987">
        <f>HYPERLINK("https://www2.assemblee-nationale.fr/sycomore/fiche/(num_dept)/3559", "3559")</f>
        <v>0</v>
      </c>
      <c r="N3987">
        <f>HYPERLINK("https://www.wikidata.org/wiki/Q16025808", "Q16025808")</f>
        <v>0</v>
      </c>
      <c r="O3987" t="s">
        <v>19968</v>
      </c>
      <c r="Q3987" t="s">
        <v>15593</v>
      </c>
      <c r="R3987" t="s">
        <v>415</v>
      </c>
      <c r="S3987">
        <v>1773</v>
      </c>
    </row>
    <row r="3988" spans="1:19">
      <c r="A3988" t="s">
        <v>25</v>
      </c>
      <c r="B3988" t="s">
        <v>148</v>
      </c>
      <c r="C3988" t="s">
        <v>157</v>
      </c>
      <c r="D3988" t="s">
        <v>286</v>
      </c>
      <c r="E3988" t="s">
        <v>415</v>
      </c>
      <c r="F3988">
        <f>HYPERLINK("https://www.wikidata.org/wiki/Q33756706", "Q33756706")</f>
        <v>0</v>
      </c>
      <c r="G3988" t="s">
        <v>2485</v>
      </c>
      <c r="H3988" t="s">
        <v>7058</v>
      </c>
      <c r="I3988" t="s">
        <v>10238</v>
      </c>
      <c r="J3988" t="s">
        <v>13129</v>
      </c>
      <c r="K3988" t="s">
        <v>17539</v>
      </c>
      <c r="L3988">
        <f>HYPERLINK("https://www2.assemblee-nationale.fr/sycomore/fiche/(num_dept)/85", "85")</f>
        <v>0</v>
      </c>
      <c r="N3988">
        <f>HYPERLINK("https://www.wikidata.org/wiki/Q15973226", "Q15973226")</f>
        <v>0</v>
      </c>
      <c r="O3988" t="s">
        <v>20027</v>
      </c>
      <c r="Q3988" t="s">
        <v>13445</v>
      </c>
      <c r="R3988" t="s">
        <v>21463</v>
      </c>
      <c r="S3988">
        <v>1515</v>
      </c>
    </row>
    <row r="3989" spans="1:19">
      <c r="A3989" t="s">
        <v>25</v>
      </c>
      <c r="B3989" t="s">
        <v>148</v>
      </c>
      <c r="C3989" t="s">
        <v>157</v>
      </c>
      <c r="D3989" t="s">
        <v>286</v>
      </c>
      <c r="E3989" t="s">
        <v>415</v>
      </c>
      <c r="F3989">
        <f>HYPERLINK("https://www.wikidata.org/wiki/Q33756706", "Q33756706")</f>
        <v>0</v>
      </c>
      <c r="G3989" t="s">
        <v>2486</v>
      </c>
      <c r="H3989" t="s">
        <v>7059</v>
      </c>
      <c r="I3989" t="s">
        <v>10239</v>
      </c>
      <c r="J3989" t="s">
        <v>13130</v>
      </c>
      <c r="K3989" t="s">
        <v>17540</v>
      </c>
      <c r="L3989">
        <f>HYPERLINK("https://www2.assemblee-nationale.fr/sycomore/fiche/(num_dept)/105", "105")</f>
        <v>0</v>
      </c>
      <c r="N3989">
        <f>HYPERLINK("https://www.wikidata.org/wiki/Q15973236", "Q15973236")</f>
        <v>0</v>
      </c>
      <c r="O3989" t="s">
        <v>19966</v>
      </c>
      <c r="P3989" t="s">
        <v>20456</v>
      </c>
      <c r="Q3989" t="s">
        <v>13445</v>
      </c>
      <c r="R3989" t="s">
        <v>21464</v>
      </c>
      <c r="S3989">
        <v>104</v>
      </c>
    </row>
    <row r="3990" spans="1:19">
      <c r="A3990" t="s">
        <v>25</v>
      </c>
      <c r="B3990" t="s">
        <v>148</v>
      </c>
      <c r="C3990" t="s">
        <v>157</v>
      </c>
      <c r="D3990" t="s">
        <v>286</v>
      </c>
      <c r="E3990" t="s">
        <v>415</v>
      </c>
      <c r="F3990">
        <f>HYPERLINK("https://www.wikidata.org/wiki/Q33756706", "Q33756706")</f>
        <v>0</v>
      </c>
      <c r="G3990" t="s">
        <v>861</v>
      </c>
      <c r="H3990" t="s">
        <v>5617</v>
      </c>
      <c r="I3990" t="s">
        <v>6495</v>
      </c>
      <c r="J3990" t="s">
        <v>11607</v>
      </c>
      <c r="K3990" t="s">
        <v>16009</v>
      </c>
      <c r="L3990">
        <f>HYPERLINK("https://www2.assemblee-nationale.fr/sycomore/fiche/(num_dept)/139", "139")</f>
        <v>0</v>
      </c>
      <c r="M3990">
        <f>HYPERLINK("https://www.senat.fr/senateur-3eme-republique/andrieux_louis0059r3.html", "andrieux_louis0059r3")</f>
        <v>0</v>
      </c>
      <c r="N3990">
        <f>HYPERLINK("https://www.wikidata.org/wiki/Q1507996", "Q1507996")</f>
        <v>0</v>
      </c>
      <c r="O3990" t="s">
        <v>19965</v>
      </c>
      <c r="P3990" t="s">
        <v>20457</v>
      </c>
      <c r="Q3990" t="s">
        <v>13445</v>
      </c>
      <c r="R3990" t="s">
        <v>21463</v>
      </c>
      <c r="S3990">
        <v>1515</v>
      </c>
    </row>
    <row r="3991" spans="1:19">
      <c r="A3991" t="s">
        <v>25</v>
      </c>
      <c r="B3991" t="s">
        <v>148</v>
      </c>
      <c r="C3991" t="s">
        <v>157</v>
      </c>
      <c r="D3991" t="s">
        <v>286</v>
      </c>
      <c r="E3991" t="s">
        <v>415</v>
      </c>
      <c r="F3991">
        <f>HYPERLINK("https://www.wikidata.org/wiki/Q33756706", "Q33756706")</f>
        <v>0</v>
      </c>
      <c r="G3991" t="s">
        <v>503</v>
      </c>
      <c r="H3991" t="s">
        <v>5268</v>
      </c>
      <c r="I3991" t="s">
        <v>6495</v>
      </c>
      <c r="J3991" t="s">
        <v>11255</v>
      </c>
      <c r="K3991" t="s">
        <v>15655</v>
      </c>
      <c r="L3991">
        <f>HYPERLINK("https://www2.assemblee-nationale.fr/sycomore/fiche/(num_dept)/195", "195")</f>
        <v>0</v>
      </c>
      <c r="N3991">
        <f>HYPERLINK("https://www.wikidata.org/wiki/Q3261103", "Q3261103")</f>
        <v>0</v>
      </c>
      <c r="O3991" t="s">
        <v>19964</v>
      </c>
      <c r="P3991" t="s">
        <v>20458</v>
      </c>
      <c r="Q3991" t="s">
        <v>13445</v>
      </c>
      <c r="R3991" t="s">
        <v>21463</v>
      </c>
      <c r="S3991">
        <v>1515</v>
      </c>
    </row>
    <row r="3992" spans="1:19">
      <c r="A3992" t="s">
        <v>25</v>
      </c>
      <c r="B3992" t="s">
        <v>148</v>
      </c>
      <c r="C3992" t="s">
        <v>157</v>
      </c>
      <c r="D3992" t="s">
        <v>286</v>
      </c>
      <c r="E3992" t="s">
        <v>415</v>
      </c>
      <c r="F3992">
        <f>HYPERLINK("https://www.wikidata.org/wiki/Q33756706", "Q33756706")</f>
        <v>0</v>
      </c>
      <c r="G3992" t="s">
        <v>2487</v>
      </c>
      <c r="H3992" t="s">
        <v>7060</v>
      </c>
      <c r="I3992" t="s">
        <v>9465</v>
      </c>
      <c r="J3992" t="s">
        <v>13131</v>
      </c>
      <c r="K3992" t="s">
        <v>13010</v>
      </c>
      <c r="L3992">
        <f>HYPERLINK("https://www2.assemblee-nationale.fr/sycomore/fiche/(num_dept)/208", "208")</f>
        <v>0</v>
      </c>
      <c r="N3992">
        <f>HYPERLINK("https://www.wikidata.org/wiki/Q15973342", "Q15973342")</f>
        <v>0</v>
      </c>
      <c r="O3992" t="s">
        <v>7411</v>
      </c>
      <c r="P3992" t="s">
        <v>20401</v>
      </c>
      <c r="Q3992" t="s">
        <v>13445</v>
      </c>
      <c r="R3992" t="s">
        <v>13010</v>
      </c>
      <c r="S3992">
        <v>764</v>
      </c>
    </row>
    <row r="3993" spans="1:19">
      <c r="A3993" t="s">
        <v>25</v>
      </c>
      <c r="B3993" t="s">
        <v>148</v>
      </c>
      <c r="C3993" t="s">
        <v>157</v>
      </c>
      <c r="D3993" t="s">
        <v>286</v>
      </c>
      <c r="E3993" t="s">
        <v>415</v>
      </c>
      <c r="F3993">
        <f>HYPERLINK("https://www.wikidata.org/wiki/Q33756706", "Q33756706")</f>
        <v>0</v>
      </c>
      <c r="G3993" t="s">
        <v>2488</v>
      </c>
      <c r="H3993" t="s">
        <v>7061</v>
      </c>
      <c r="I3993" t="s">
        <v>10240</v>
      </c>
      <c r="J3993" t="s">
        <v>13132</v>
      </c>
      <c r="K3993" t="s">
        <v>17541</v>
      </c>
      <c r="L3993">
        <f>HYPERLINK("https://www2.assemblee-nationale.fr/sycomore/fiche/(num_dept)/251", "251")</f>
        <v>0</v>
      </c>
      <c r="M3993">
        <f>HYPERLINK("https://www.senat.fr/senateur-3eme-republique/audiffred_jean_honore1321r3.html", "audiffred_jean_honore1321r3")</f>
        <v>0</v>
      </c>
      <c r="N3993">
        <f>HYPERLINK("https://www.wikidata.org/wiki/Q3166130", "Q3166130")</f>
        <v>0</v>
      </c>
      <c r="O3993" t="s">
        <v>19997</v>
      </c>
      <c r="P3993" t="s">
        <v>20459</v>
      </c>
      <c r="Q3993" t="s">
        <v>13445</v>
      </c>
      <c r="R3993" t="s">
        <v>21463</v>
      </c>
      <c r="S3993">
        <v>1515</v>
      </c>
    </row>
    <row r="3994" spans="1:19">
      <c r="A3994" t="s">
        <v>25</v>
      </c>
      <c r="B3994" t="s">
        <v>148</v>
      </c>
      <c r="C3994" t="s">
        <v>157</v>
      </c>
      <c r="D3994" t="s">
        <v>286</v>
      </c>
      <c r="E3994" t="s">
        <v>415</v>
      </c>
      <c r="F3994">
        <f>HYPERLINK("https://www.wikidata.org/wiki/Q33756706", "Q33756706")</f>
        <v>0</v>
      </c>
      <c r="G3994" t="s">
        <v>2489</v>
      </c>
      <c r="H3994" t="s">
        <v>7062</v>
      </c>
      <c r="I3994" t="s">
        <v>9385</v>
      </c>
      <c r="J3994" t="s">
        <v>13133</v>
      </c>
      <c r="K3994" t="s">
        <v>17542</v>
      </c>
      <c r="L3994">
        <f>HYPERLINK("https://www2.assemblee-nationale.fr/sycomore/fiche/(num_dept)/337", "337")</f>
        <v>0</v>
      </c>
      <c r="N3994">
        <f>HYPERLINK("https://www.wikidata.org/wiki/Q2958501", "Q2958501")</f>
        <v>0</v>
      </c>
      <c r="O3994" t="s">
        <v>20036</v>
      </c>
      <c r="P3994" t="s">
        <v>20459</v>
      </c>
      <c r="Q3994" t="s">
        <v>13445</v>
      </c>
      <c r="R3994" t="s">
        <v>21463</v>
      </c>
      <c r="S3994">
        <v>1515</v>
      </c>
    </row>
    <row r="3995" spans="1:19">
      <c r="A3995" t="s">
        <v>25</v>
      </c>
      <c r="B3995" t="s">
        <v>148</v>
      </c>
      <c r="C3995" t="s">
        <v>157</v>
      </c>
      <c r="D3995" t="s">
        <v>286</v>
      </c>
      <c r="E3995" t="s">
        <v>415</v>
      </c>
      <c r="F3995">
        <f>HYPERLINK("https://www.wikidata.org/wiki/Q33756706", "Q33756706")</f>
        <v>0</v>
      </c>
      <c r="G3995" t="s">
        <v>2490</v>
      </c>
      <c r="H3995" t="s">
        <v>7063</v>
      </c>
      <c r="I3995" t="s">
        <v>10241</v>
      </c>
      <c r="J3995" t="s">
        <v>13134</v>
      </c>
      <c r="K3995" t="s">
        <v>17543</v>
      </c>
      <c r="L3995">
        <f>HYPERLINK("https://www2.assemblee-nationale.fr/sycomore/fiche/(num_dept)/359", "359")</f>
        <v>0</v>
      </c>
      <c r="N3995">
        <f>HYPERLINK("https://www.wikidata.org/wiki/Q8343129", "Q8343129")</f>
        <v>0</v>
      </c>
      <c r="O3995" t="s">
        <v>8449</v>
      </c>
      <c r="Q3995" t="s">
        <v>13445</v>
      </c>
      <c r="R3995" t="s">
        <v>21463</v>
      </c>
      <c r="S3995">
        <v>1515</v>
      </c>
    </row>
    <row r="3996" spans="1:19">
      <c r="A3996" t="s">
        <v>25</v>
      </c>
      <c r="B3996" t="s">
        <v>148</v>
      </c>
      <c r="C3996" t="s">
        <v>157</v>
      </c>
      <c r="D3996" t="s">
        <v>286</v>
      </c>
      <c r="E3996" t="s">
        <v>415</v>
      </c>
      <c r="F3996">
        <f>HYPERLINK("https://www.wikidata.org/wiki/Q33756706", "Q33756706")</f>
        <v>0</v>
      </c>
      <c r="G3996" t="s">
        <v>508</v>
      </c>
      <c r="H3996" t="s">
        <v>5273</v>
      </c>
      <c r="I3996" t="s">
        <v>9378</v>
      </c>
      <c r="J3996" t="s">
        <v>11260</v>
      </c>
      <c r="K3996" t="s">
        <v>15660</v>
      </c>
      <c r="L3996">
        <f>HYPERLINK("https://www2.assemblee-nationale.fr/sycomore/fiche/(num_dept)/362", "362")</f>
        <v>0</v>
      </c>
      <c r="N3996">
        <f>HYPERLINK("https://www.wikidata.org/wiki/Q2834951", "Q2834951")</f>
        <v>0</v>
      </c>
      <c r="O3996" t="s">
        <v>19957</v>
      </c>
      <c r="P3996" t="s">
        <v>20459</v>
      </c>
      <c r="Q3996" t="s">
        <v>13445</v>
      </c>
      <c r="R3996" t="s">
        <v>12440</v>
      </c>
      <c r="S3996">
        <v>1546</v>
      </c>
    </row>
    <row r="3997" spans="1:19">
      <c r="A3997" t="s">
        <v>25</v>
      </c>
      <c r="B3997" t="s">
        <v>148</v>
      </c>
      <c r="C3997" t="s">
        <v>157</v>
      </c>
      <c r="D3997" t="s">
        <v>286</v>
      </c>
      <c r="E3997" t="s">
        <v>415</v>
      </c>
      <c r="F3997">
        <f>HYPERLINK("https://www.wikidata.org/wiki/Q33756706", "Q33756706")</f>
        <v>0</v>
      </c>
      <c r="G3997" t="s">
        <v>2491</v>
      </c>
      <c r="H3997" t="s">
        <v>7064</v>
      </c>
      <c r="I3997" t="s">
        <v>10242</v>
      </c>
      <c r="J3997" t="s">
        <v>13135</v>
      </c>
      <c r="K3997" t="s">
        <v>17544</v>
      </c>
      <c r="L3997">
        <f>HYPERLINK("https://www2.assemblee-nationale.fr/sycomore/fiche/(num_dept)/420", "420")</f>
        <v>0</v>
      </c>
      <c r="M3997">
        <f>HYPERLINK("https://www.senat.fr/senateur-3eme-republique/barodet_desire1412r3.html", "barodet_desire1412r3")</f>
        <v>0</v>
      </c>
      <c r="N3997">
        <f>HYPERLINK("https://www.wikidata.org/wiki/Q1096310", "Q1096310")</f>
        <v>0</v>
      </c>
      <c r="O3997" t="s">
        <v>19969</v>
      </c>
      <c r="P3997" t="s">
        <v>20459</v>
      </c>
      <c r="Q3997" t="s">
        <v>13445</v>
      </c>
      <c r="R3997" t="s">
        <v>21463</v>
      </c>
      <c r="S3997">
        <v>1515</v>
      </c>
    </row>
    <row r="3998" spans="1:19">
      <c r="A3998" t="s">
        <v>25</v>
      </c>
      <c r="B3998" t="s">
        <v>148</v>
      </c>
      <c r="C3998" t="s">
        <v>157</v>
      </c>
      <c r="D3998" t="s">
        <v>286</v>
      </c>
      <c r="E3998" t="s">
        <v>415</v>
      </c>
      <c r="F3998">
        <f>HYPERLINK("https://www.wikidata.org/wiki/Q33756706", "Q33756706")</f>
        <v>0</v>
      </c>
      <c r="G3998" t="s">
        <v>2492</v>
      </c>
      <c r="H3998" t="s">
        <v>6386</v>
      </c>
      <c r="I3998" t="s">
        <v>10243</v>
      </c>
      <c r="J3998" t="s">
        <v>13136</v>
      </c>
      <c r="K3998" t="s">
        <v>17545</v>
      </c>
      <c r="L3998">
        <f>HYPERLINK("https://www2.assemblee-nationale.fr/sycomore/fiche/(num_dept)/470", "470")</f>
        <v>0</v>
      </c>
      <c r="N3998">
        <f>HYPERLINK("https://www.wikidata.org/wiki/Q15973504", "Q15973504")</f>
        <v>0</v>
      </c>
      <c r="O3998" t="s">
        <v>19966</v>
      </c>
      <c r="P3998" t="s">
        <v>20458</v>
      </c>
      <c r="Q3998" t="s">
        <v>13445</v>
      </c>
      <c r="R3998" t="s">
        <v>21463</v>
      </c>
      <c r="S3998">
        <v>1515</v>
      </c>
    </row>
    <row r="3999" spans="1:19">
      <c r="A3999" t="s">
        <v>25</v>
      </c>
      <c r="B3999" t="s">
        <v>148</v>
      </c>
      <c r="C3999" t="s">
        <v>157</v>
      </c>
      <c r="D3999" t="s">
        <v>286</v>
      </c>
      <c r="E3999" t="s">
        <v>415</v>
      </c>
      <c r="F3999">
        <f>HYPERLINK("https://www.wikidata.org/wiki/Q33756706", "Q33756706")</f>
        <v>0</v>
      </c>
      <c r="G3999" t="s">
        <v>516</v>
      </c>
      <c r="H3999" t="s">
        <v>5280</v>
      </c>
      <c r="I3999" t="s">
        <v>9384</v>
      </c>
      <c r="J3999" t="s">
        <v>11268</v>
      </c>
      <c r="K3999" t="s">
        <v>15668</v>
      </c>
      <c r="L3999">
        <f>HYPERLINK("https://www2.assemblee-nationale.fr/sycomore/fiche/(num_dept)/501", "501")</f>
        <v>0</v>
      </c>
      <c r="N3999">
        <f>HYPERLINK("https://www.wikidata.org/wiki/Q2861911", "Q2861911")</f>
        <v>0</v>
      </c>
      <c r="O3999" t="s">
        <v>19972</v>
      </c>
      <c r="P3999" t="s">
        <v>20460</v>
      </c>
      <c r="Q3999" t="s">
        <v>13445</v>
      </c>
      <c r="R3999" t="s">
        <v>21463</v>
      </c>
      <c r="S3999">
        <v>1515</v>
      </c>
    </row>
    <row r="4000" spans="1:19">
      <c r="A4000" t="s">
        <v>25</v>
      </c>
      <c r="B4000" t="s">
        <v>148</v>
      </c>
      <c r="C4000" t="s">
        <v>157</v>
      </c>
      <c r="D4000" t="s">
        <v>286</v>
      </c>
      <c r="E4000" t="s">
        <v>415</v>
      </c>
      <c r="F4000">
        <f>HYPERLINK("https://www.wikidata.org/wiki/Q33756706", "Q33756706")</f>
        <v>0</v>
      </c>
      <c r="G4000" t="s">
        <v>2493</v>
      </c>
      <c r="H4000" t="s">
        <v>7065</v>
      </c>
      <c r="I4000" t="s">
        <v>10244</v>
      </c>
      <c r="J4000" t="s">
        <v>13137</v>
      </c>
      <c r="K4000" t="s">
        <v>17546</v>
      </c>
      <c r="L4000">
        <f>HYPERLINK("https://www2.assemblee-nationale.fr/sycomore/fiche/(num_dept)/584", "584")</f>
        <v>0</v>
      </c>
      <c r="N4000">
        <f>HYPERLINK("https://www.wikidata.org/wiki/Q3260311", "Q3260311")</f>
        <v>0</v>
      </c>
      <c r="O4000" t="s">
        <v>19964</v>
      </c>
      <c r="P4000" t="s">
        <v>20460</v>
      </c>
      <c r="Q4000" t="s">
        <v>13445</v>
      </c>
      <c r="R4000" t="s">
        <v>21463</v>
      </c>
      <c r="S4000">
        <v>1515</v>
      </c>
    </row>
    <row r="4001" spans="1:19">
      <c r="A4001" t="s">
        <v>25</v>
      </c>
      <c r="B4001" t="s">
        <v>148</v>
      </c>
      <c r="C4001" t="s">
        <v>157</v>
      </c>
      <c r="D4001" t="s">
        <v>286</v>
      </c>
      <c r="E4001" t="s">
        <v>415</v>
      </c>
      <c r="F4001">
        <f>HYPERLINK("https://www.wikidata.org/wiki/Q33756706", "Q33756706")</f>
        <v>0</v>
      </c>
      <c r="G4001" t="s">
        <v>2494</v>
      </c>
      <c r="H4001" t="s">
        <v>7066</v>
      </c>
      <c r="I4001" t="s">
        <v>10245</v>
      </c>
      <c r="J4001" t="s">
        <v>13138</v>
      </c>
      <c r="K4001" t="s">
        <v>17547</v>
      </c>
      <c r="L4001">
        <f>HYPERLINK("https://www2.assemblee-nationale.fr/sycomore/fiche/(num_dept)/587", "587")</f>
        <v>0</v>
      </c>
      <c r="M4001">
        <f>HYPERLINK("https://www.senat.fr/senateur-3eme-republique/belle_antoine0299r3.html", "belle_antoine0299r3")</f>
        <v>0</v>
      </c>
      <c r="N4001">
        <f>HYPERLINK("https://www.wikidata.org/wiki/Q2853457", "Q2853457")</f>
        <v>0</v>
      </c>
      <c r="O4001" t="s">
        <v>20008</v>
      </c>
      <c r="P4001" t="s">
        <v>20459</v>
      </c>
      <c r="Q4001" t="s">
        <v>13445</v>
      </c>
      <c r="R4001" t="s">
        <v>21463</v>
      </c>
      <c r="S4001">
        <v>1515</v>
      </c>
    </row>
    <row r="4002" spans="1:19">
      <c r="A4002" t="s">
        <v>25</v>
      </c>
      <c r="B4002" t="s">
        <v>148</v>
      </c>
      <c r="C4002" t="s">
        <v>157</v>
      </c>
      <c r="D4002" t="s">
        <v>286</v>
      </c>
      <c r="E4002" t="s">
        <v>415</v>
      </c>
      <c r="F4002">
        <f>HYPERLINK("https://www.wikidata.org/wiki/Q33756706", "Q33756706")</f>
        <v>0</v>
      </c>
      <c r="G4002" t="s">
        <v>2495</v>
      </c>
      <c r="H4002" t="s">
        <v>7067</v>
      </c>
      <c r="I4002" t="s">
        <v>9401</v>
      </c>
      <c r="J4002" t="s">
        <v>13139</v>
      </c>
      <c r="K4002" t="s">
        <v>15720</v>
      </c>
      <c r="L4002">
        <f>HYPERLINK("https://www2.assemblee-nationale.fr/sycomore/fiche/(num_dept)/609", "609")</f>
        <v>0</v>
      </c>
      <c r="M4002">
        <f>HYPERLINK("https://www.senat.fr/senateur-3eme-republique/benazet_paul_antoine0262r3.html", "benazet_paul_antoine0262r3")</f>
        <v>0</v>
      </c>
      <c r="N4002">
        <f>HYPERLINK("https://www.wikidata.org/wiki/Q3370245", "Q3370245")</f>
        <v>0</v>
      </c>
      <c r="O4002" t="s">
        <v>19975</v>
      </c>
      <c r="P4002" t="s">
        <v>20460</v>
      </c>
      <c r="Q4002" t="s">
        <v>13445</v>
      </c>
      <c r="R4002" t="s">
        <v>21463</v>
      </c>
      <c r="S4002">
        <v>1515</v>
      </c>
    </row>
    <row r="4003" spans="1:19">
      <c r="A4003" t="s">
        <v>25</v>
      </c>
      <c r="B4003" t="s">
        <v>148</v>
      </c>
      <c r="C4003" t="s">
        <v>157</v>
      </c>
      <c r="D4003" t="s">
        <v>286</v>
      </c>
      <c r="E4003" t="s">
        <v>415</v>
      </c>
      <c r="F4003">
        <f>HYPERLINK("https://www.wikidata.org/wiki/Q33756706", "Q33756706")</f>
        <v>0</v>
      </c>
      <c r="G4003" t="s">
        <v>2496</v>
      </c>
      <c r="H4003" t="s">
        <v>6635</v>
      </c>
      <c r="I4003" t="s">
        <v>10246</v>
      </c>
      <c r="J4003" t="s">
        <v>13140</v>
      </c>
      <c r="K4003" t="s">
        <v>17548</v>
      </c>
      <c r="L4003">
        <f>HYPERLINK("https://www2.assemblee-nationale.fr/sycomore/fiche/(num_dept)/670", "670")</f>
        <v>0</v>
      </c>
      <c r="N4003">
        <f>HYPERLINK("https://www.wikidata.org/wiki/Q15973639", "Q15973639")</f>
        <v>0</v>
      </c>
      <c r="O4003" t="s">
        <v>20013</v>
      </c>
      <c r="P4003" t="s">
        <v>20460</v>
      </c>
      <c r="Q4003" t="s">
        <v>13445</v>
      </c>
      <c r="R4003" t="s">
        <v>21463</v>
      </c>
      <c r="S4003">
        <v>1515</v>
      </c>
    </row>
    <row r="4004" spans="1:19">
      <c r="A4004" t="s">
        <v>25</v>
      </c>
      <c r="B4004" t="s">
        <v>148</v>
      </c>
      <c r="C4004" t="s">
        <v>157</v>
      </c>
      <c r="D4004" t="s">
        <v>286</v>
      </c>
      <c r="E4004" t="s">
        <v>415</v>
      </c>
      <c r="F4004">
        <f>HYPERLINK("https://www.wikidata.org/wiki/Q33756706", "Q33756706")</f>
        <v>0</v>
      </c>
      <c r="G4004" t="s">
        <v>2497</v>
      </c>
      <c r="H4004" t="s">
        <v>7068</v>
      </c>
      <c r="I4004" t="s">
        <v>6584</v>
      </c>
      <c r="J4004" t="s">
        <v>13141</v>
      </c>
      <c r="K4004" t="s">
        <v>17549</v>
      </c>
      <c r="L4004">
        <f>HYPERLINK("https://www2.assemblee-nationale.fr/sycomore/fiche/(num_dept)/674", "674")</f>
        <v>0</v>
      </c>
      <c r="M4004">
        <f>HYPERLINK("https://www.senat.fr/senateur-3eme-republique/berlet_albert0929r3.html", "berlet_albert0929r3")</f>
        <v>0</v>
      </c>
      <c r="N4004">
        <f>HYPERLINK("https://www.wikidata.org/wiki/Q2384848", "Q2384848")</f>
        <v>0</v>
      </c>
      <c r="O4004" t="s">
        <v>20007</v>
      </c>
      <c r="P4004" t="s">
        <v>20459</v>
      </c>
      <c r="Q4004" t="s">
        <v>13445</v>
      </c>
      <c r="R4004" t="s">
        <v>21465</v>
      </c>
      <c r="S4004">
        <v>670</v>
      </c>
    </row>
    <row r="4005" spans="1:19">
      <c r="A4005" t="s">
        <v>25</v>
      </c>
      <c r="B4005" t="s">
        <v>148</v>
      </c>
      <c r="C4005" t="s">
        <v>157</v>
      </c>
      <c r="D4005" t="s">
        <v>286</v>
      </c>
      <c r="E4005" t="s">
        <v>415</v>
      </c>
      <c r="F4005">
        <f>HYPERLINK("https://www.wikidata.org/wiki/Q33756706", "Q33756706")</f>
        <v>0</v>
      </c>
      <c r="G4005" t="s">
        <v>2498</v>
      </c>
      <c r="H4005" t="s">
        <v>5948</v>
      </c>
      <c r="I4005" t="s">
        <v>10247</v>
      </c>
      <c r="J4005" t="s">
        <v>13142</v>
      </c>
      <c r="K4005" t="s">
        <v>17550</v>
      </c>
      <c r="L4005">
        <f>HYPERLINK("https://www2.assemblee-nationale.fr/sycomore/fiche/(num_dept)/685", "685")</f>
        <v>0</v>
      </c>
      <c r="M4005">
        <f>HYPERLINK("https://www.senat.fr/senateur-3eme-republique/bernard_jean0686r3.html", "bernard_jean0686r3")</f>
        <v>0</v>
      </c>
      <c r="N4005">
        <f>HYPERLINK("https://www.wikidata.org/wiki/Q3170720", "Q3170720")</f>
        <v>0</v>
      </c>
      <c r="O4005" t="s">
        <v>19973</v>
      </c>
      <c r="P4005" t="s">
        <v>20401</v>
      </c>
      <c r="Q4005" t="s">
        <v>13445</v>
      </c>
      <c r="R4005" t="s">
        <v>21463</v>
      </c>
      <c r="S4005">
        <v>1515</v>
      </c>
    </row>
    <row r="4006" spans="1:19">
      <c r="A4006" t="s">
        <v>25</v>
      </c>
      <c r="B4006" t="s">
        <v>148</v>
      </c>
      <c r="C4006" t="s">
        <v>157</v>
      </c>
      <c r="D4006" t="s">
        <v>286</v>
      </c>
      <c r="E4006" t="s">
        <v>415</v>
      </c>
      <c r="F4006">
        <f>HYPERLINK("https://www.wikidata.org/wiki/Q33756706", "Q33756706")</f>
        <v>0</v>
      </c>
      <c r="G4006" t="s">
        <v>2499</v>
      </c>
      <c r="H4006" t="s">
        <v>7069</v>
      </c>
      <c r="I4006" t="s">
        <v>9388</v>
      </c>
      <c r="J4006" t="s">
        <v>13143</v>
      </c>
      <c r="K4006" t="s">
        <v>17551</v>
      </c>
      <c r="L4006">
        <f>HYPERLINK("https://www2.assemblee-nationale.fr/sycomore/fiche/(num_dept)/718", "718")</f>
        <v>0</v>
      </c>
      <c r="N4006">
        <f>HYPERLINK("https://www.wikidata.org/wiki/Q735370", "Q735370")</f>
        <v>0</v>
      </c>
      <c r="O4006" t="s">
        <v>20034</v>
      </c>
      <c r="P4006" t="s">
        <v>20459</v>
      </c>
      <c r="Q4006" t="s">
        <v>13445</v>
      </c>
      <c r="R4006" t="s">
        <v>21463</v>
      </c>
      <c r="S4006">
        <v>1515</v>
      </c>
    </row>
    <row r="4007" spans="1:19">
      <c r="A4007" t="s">
        <v>25</v>
      </c>
      <c r="B4007" t="s">
        <v>148</v>
      </c>
      <c r="C4007" t="s">
        <v>157</v>
      </c>
      <c r="D4007" t="s">
        <v>286</v>
      </c>
      <c r="E4007" t="s">
        <v>415</v>
      </c>
      <c r="F4007">
        <f>HYPERLINK("https://www.wikidata.org/wiki/Q33756706", "Q33756706")</f>
        <v>0</v>
      </c>
      <c r="G4007" t="s">
        <v>2500</v>
      </c>
      <c r="H4007" t="s">
        <v>7070</v>
      </c>
      <c r="I4007" t="s">
        <v>10248</v>
      </c>
      <c r="J4007" t="s">
        <v>13144</v>
      </c>
      <c r="K4007" t="s">
        <v>17552</v>
      </c>
      <c r="L4007">
        <f>HYPERLINK("https://www2.assemblee-nationale.fr/sycomore/fiche/(num_dept)/765", "765")</f>
        <v>0</v>
      </c>
      <c r="N4007">
        <f>HYPERLINK("https://www.wikidata.org/wiki/Q3371718", "Q3371718")</f>
        <v>0</v>
      </c>
      <c r="O4007" t="s">
        <v>20037</v>
      </c>
      <c r="P4007" t="s">
        <v>20458</v>
      </c>
      <c r="Q4007" t="s">
        <v>13445</v>
      </c>
      <c r="R4007" t="s">
        <v>20662</v>
      </c>
      <c r="S4007">
        <v>197</v>
      </c>
    </row>
    <row r="4008" spans="1:19">
      <c r="A4008" t="s">
        <v>25</v>
      </c>
      <c r="B4008" t="s">
        <v>148</v>
      </c>
      <c r="C4008" t="s">
        <v>157</v>
      </c>
      <c r="D4008" t="s">
        <v>286</v>
      </c>
      <c r="E4008" t="s">
        <v>415</v>
      </c>
      <c r="F4008">
        <f>HYPERLINK("https://www.wikidata.org/wiki/Q33756706", "Q33756706")</f>
        <v>0</v>
      </c>
      <c r="G4008" t="s">
        <v>2501</v>
      </c>
      <c r="H4008" t="s">
        <v>7071</v>
      </c>
      <c r="I4008" t="s">
        <v>10249</v>
      </c>
      <c r="J4008" t="s">
        <v>13145</v>
      </c>
      <c r="K4008" t="s">
        <v>17553</v>
      </c>
      <c r="L4008">
        <f>HYPERLINK("https://www2.assemblee-nationale.fr/sycomore/fiche/(num_dept)/803", "803")</f>
        <v>0</v>
      </c>
      <c r="N4008">
        <f>HYPERLINK("https://www.wikidata.org/wiki/Q3131443", "Q3131443")</f>
        <v>0</v>
      </c>
      <c r="O4008" t="s">
        <v>20023</v>
      </c>
      <c r="P4008" t="s">
        <v>20460</v>
      </c>
      <c r="Q4008" t="s">
        <v>13445</v>
      </c>
      <c r="R4008" t="s">
        <v>21463</v>
      </c>
      <c r="S4008">
        <v>1515</v>
      </c>
    </row>
    <row r="4009" spans="1:19">
      <c r="A4009" t="s">
        <v>25</v>
      </c>
      <c r="B4009" t="s">
        <v>148</v>
      </c>
      <c r="C4009" t="s">
        <v>157</v>
      </c>
      <c r="D4009" t="s">
        <v>286</v>
      </c>
      <c r="E4009" t="s">
        <v>415</v>
      </c>
      <c r="F4009">
        <f>HYPERLINK("https://www.wikidata.org/wiki/Q33756706", "Q33756706")</f>
        <v>0</v>
      </c>
      <c r="G4009" t="s">
        <v>2502</v>
      </c>
      <c r="H4009" t="s">
        <v>7072</v>
      </c>
      <c r="I4009" t="s">
        <v>10250</v>
      </c>
      <c r="J4009" t="s">
        <v>13146</v>
      </c>
      <c r="K4009" t="s">
        <v>17554</v>
      </c>
      <c r="L4009">
        <f>HYPERLINK("https://www2.assemblee-nationale.fr/sycomore/fiche/(num_dept)/827", "827")</f>
        <v>0</v>
      </c>
      <c r="N4009">
        <f>HYPERLINK("https://www.wikidata.org/wiki/Q3419404", "Q3419404")</f>
        <v>0</v>
      </c>
      <c r="O4009" t="s">
        <v>20024</v>
      </c>
      <c r="P4009" t="s">
        <v>20409</v>
      </c>
      <c r="Q4009" t="s">
        <v>13445</v>
      </c>
      <c r="R4009" t="s">
        <v>21463</v>
      </c>
      <c r="S4009">
        <v>1515</v>
      </c>
    </row>
    <row r="4010" spans="1:19">
      <c r="A4010" t="s">
        <v>25</v>
      </c>
      <c r="B4010" t="s">
        <v>148</v>
      </c>
      <c r="C4010" t="s">
        <v>157</v>
      </c>
      <c r="D4010" t="s">
        <v>286</v>
      </c>
      <c r="E4010" t="s">
        <v>415</v>
      </c>
      <c r="F4010">
        <f>HYPERLINK("https://www.wikidata.org/wiki/Q33756706", "Q33756706")</f>
        <v>0</v>
      </c>
      <c r="G4010" t="s">
        <v>2503</v>
      </c>
      <c r="H4010" t="s">
        <v>7073</v>
      </c>
      <c r="I4010" t="s">
        <v>6495</v>
      </c>
      <c r="J4010" t="s">
        <v>13147</v>
      </c>
      <c r="K4010" t="s">
        <v>17555</v>
      </c>
      <c r="L4010">
        <f>HYPERLINK("https://www2.assemblee-nationale.fr/sycomore/fiche/(num_dept)/831", "831")</f>
        <v>0</v>
      </c>
      <c r="M4010">
        <f>HYPERLINK("https://www.senat.fr/senateur-3eme-republique/bizarelli_louis0715r3.html", "bizarelli_louis0715r3")</f>
        <v>0</v>
      </c>
      <c r="N4010">
        <f>HYPERLINK("https://www.wikidata.org/wiki/Q3261277", "Q3261277")</f>
        <v>0</v>
      </c>
      <c r="O4010" t="s">
        <v>20044</v>
      </c>
      <c r="Q4010" t="s">
        <v>13445</v>
      </c>
      <c r="R4010" t="s">
        <v>21463</v>
      </c>
      <c r="S4010">
        <v>1515</v>
      </c>
    </row>
    <row r="4011" spans="1:19">
      <c r="A4011" t="s">
        <v>25</v>
      </c>
      <c r="B4011" t="s">
        <v>148</v>
      </c>
      <c r="C4011" t="s">
        <v>157</v>
      </c>
      <c r="D4011" t="s">
        <v>286</v>
      </c>
      <c r="E4011" t="s">
        <v>415</v>
      </c>
      <c r="F4011">
        <f>HYPERLINK("https://www.wikidata.org/wiki/Q33756706", "Q33756706")</f>
        <v>0</v>
      </c>
      <c r="G4011" t="s">
        <v>2504</v>
      </c>
      <c r="H4011" t="s">
        <v>5296</v>
      </c>
      <c r="I4011" t="s">
        <v>10251</v>
      </c>
      <c r="J4011" t="s">
        <v>13148</v>
      </c>
      <c r="K4011" t="s">
        <v>17556</v>
      </c>
      <c r="L4011">
        <f>HYPERLINK("https://www2.assemblee-nationale.fr/sycomore/fiche/(num_dept)/850", "850")</f>
        <v>0</v>
      </c>
      <c r="N4011">
        <f>HYPERLINK("https://www.wikidata.org/wiki/Q355112", "Q355112")</f>
        <v>0</v>
      </c>
      <c r="O4011" t="s">
        <v>19969</v>
      </c>
      <c r="P4011" t="s">
        <v>20459</v>
      </c>
      <c r="Q4011" t="s">
        <v>13445</v>
      </c>
      <c r="R4011" t="s">
        <v>17556</v>
      </c>
      <c r="S4011">
        <v>472</v>
      </c>
    </row>
    <row r="4012" spans="1:19">
      <c r="A4012" t="s">
        <v>25</v>
      </c>
      <c r="B4012" t="s">
        <v>148</v>
      </c>
      <c r="C4012" t="s">
        <v>157</v>
      </c>
      <c r="D4012" t="s">
        <v>286</v>
      </c>
      <c r="E4012" t="s">
        <v>415</v>
      </c>
      <c r="F4012">
        <f>HYPERLINK("https://www.wikidata.org/wiki/Q33756706", "Q33756706")</f>
        <v>0</v>
      </c>
      <c r="G4012" t="s">
        <v>2505</v>
      </c>
      <c r="H4012" t="s">
        <v>5296</v>
      </c>
      <c r="I4012" t="s">
        <v>6860</v>
      </c>
      <c r="J4012" t="s">
        <v>13149</v>
      </c>
      <c r="K4012" t="s">
        <v>17557</v>
      </c>
      <c r="L4012">
        <f>HYPERLINK("https://www2.assemblee-nationale.fr/sycomore/fiche/(num_dept)/851", "851")</f>
        <v>0</v>
      </c>
      <c r="N4012">
        <f>HYPERLINK("https://www.wikidata.org/wiki/Q3384025", "Q3384025")</f>
        <v>0</v>
      </c>
      <c r="O4012" t="s">
        <v>19988</v>
      </c>
      <c r="P4012" t="s">
        <v>20458</v>
      </c>
      <c r="Q4012" t="s">
        <v>13445</v>
      </c>
      <c r="R4012" t="s">
        <v>21463</v>
      </c>
      <c r="S4012">
        <v>1515</v>
      </c>
    </row>
    <row r="4013" spans="1:19">
      <c r="A4013" t="s">
        <v>25</v>
      </c>
      <c r="B4013" t="s">
        <v>148</v>
      </c>
      <c r="C4013" t="s">
        <v>157</v>
      </c>
      <c r="D4013" t="s">
        <v>286</v>
      </c>
      <c r="E4013" t="s">
        <v>415</v>
      </c>
      <c r="F4013">
        <f>HYPERLINK("https://www.wikidata.org/wiki/Q33756706", "Q33756706")</f>
        <v>0</v>
      </c>
      <c r="G4013" t="s">
        <v>2506</v>
      </c>
      <c r="H4013" t="s">
        <v>7074</v>
      </c>
      <c r="I4013" t="s">
        <v>10252</v>
      </c>
      <c r="J4013" t="s">
        <v>13150</v>
      </c>
      <c r="K4013" t="s">
        <v>17558</v>
      </c>
      <c r="L4013">
        <f>HYPERLINK("https://www2.assemblee-nationale.fr/sycomore/fiche/(num_dept)/859", "859")</f>
        <v>0</v>
      </c>
      <c r="N4013">
        <f>HYPERLINK("https://www.wikidata.org/wiki/Q26416441", "Q26416441")</f>
        <v>0</v>
      </c>
      <c r="O4013" t="s">
        <v>20038</v>
      </c>
      <c r="P4013" t="s">
        <v>20459</v>
      </c>
      <c r="Q4013" t="s">
        <v>13445</v>
      </c>
      <c r="R4013" t="s">
        <v>21463</v>
      </c>
      <c r="S4013">
        <v>1515</v>
      </c>
    </row>
    <row r="4014" spans="1:19">
      <c r="A4014" t="s">
        <v>25</v>
      </c>
      <c r="B4014" t="s">
        <v>148</v>
      </c>
      <c r="C4014" t="s">
        <v>157</v>
      </c>
      <c r="D4014" t="s">
        <v>286</v>
      </c>
      <c r="E4014" t="s">
        <v>415</v>
      </c>
      <c r="F4014">
        <f>HYPERLINK("https://www.wikidata.org/wiki/Q33756706", "Q33756706")</f>
        <v>0</v>
      </c>
      <c r="G4014" t="s">
        <v>2507</v>
      </c>
      <c r="H4014" t="s">
        <v>7075</v>
      </c>
      <c r="I4014" t="s">
        <v>10253</v>
      </c>
      <c r="J4014" t="s">
        <v>13151</v>
      </c>
      <c r="K4014" t="s">
        <v>17559</v>
      </c>
      <c r="L4014">
        <f>HYPERLINK("https://www2.assemblee-nationale.fr/sycomore/fiche/(num_dept)/870", "870")</f>
        <v>0</v>
      </c>
      <c r="N4014">
        <f>HYPERLINK("https://www.wikidata.org/wiki/Q3292335", "Q3292335")</f>
        <v>0</v>
      </c>
      <c r="O4014" t="s">
        <v>20012</v>
      </c>
      <c r="P4014" t="s">
        <v>20460</v>
      </c>
      <c r="Q4014" t="s">
        <v>13445</v>
      </c>
      <c r="R4014" t="s">
        <v>21463</v>
      </c>
      <c r="S4014">
        <v>1515</v>
      </c>
    </row>
    <row r="4015" spans="1:19">
      <c r="A4015" t="s">
        <v>25</v>
      </c>
      <c r="B4015" t="s">
        <v>148</v>
      </c>
      <c r="C4015" t="s">
        <v>157</v>
      </c>
      <c r="D4015" t="s">
        <v>286</v>
      </c>
      <c r="E4015" t="s">
        <v>415</v>
      </c>
      <c r="F4015">
        <f>HYPERLINK("https://www.wikidata.org/wiki/Q33756706", "Q33756706")</f>
        <v>0</v>
      </c>
      <c r="G4015" t="s">
        <v>2508</v>
      </c>
      <c r="H4015" t="s">
        <v>7076</v>
      </c>
      <c r="I4015" t="s">
        <v>10254</v>
      </c>
      <c r="J4015" t="s">
        <v>13152</v>
      </c>
      <c r="K4015" t="s">
        <v>17560</v>
      </c>
      <c r="L4015">
        <f>HYPERLINK("https://www2.assemblee-nationale.fr/sycomore/fiche/(num_dept)/915", "915")</f>
        <v>0</v>
      </c>
      <c r="M4015">
        <f>HYPERLINK("https://www.senat.fr/senateur-3eme-republique/boissy_d_anglas_francois0142r3.html", "boissy_d_anglas_francois0142r3")</f>
        <v>0</v>
      </c>
      <c r="N4015">
        <f>HYPERLINK("https://www.wikidata.org/wiki/Q3084012", "Q3084012")</f>
        <v>0</v>
      </c>
      <c r="O4015" t="s">
        <v>19991</v>
      </c>
      <c r="Q4015" t="s">
        <v>13445</v>
      </c>
      <c r="R4015" t="s">
        <v>21463</v>
      </c>
      <c r="S4015">
        <v>1515</v>
      </c>
    </row>
    <row r="4016" spans="1:19">
      <c r="A4016" t="s">
        <v>25</v>
      </c>
      <c r="B4016" t="s">
        <v>148</v>
      </c>
      <c r="C4016" t="s">
        <v>157</v>
      </c>
      <c r="D4016" t="s">
        <v>286</v>
      </c>
      <c r="E4016" t="s">
        <v>415</v>
      </c>
      <c r="F4016">
        <f>HYPERLINK("https://www.wikidata.org/wiki/Q33756706", "Q33756706")</f>
        <v>0</v>
      </c>
      <c r="G4016" t="s">
        <v>2509</v>
      </c>
      <c r="H4016" t="s">
        <v>7077</v>
      </c>
      <c r="I4016" t="s">
        <v>6158</v>
      </c>
      <c r="J4016" t="s">
        <v>13153</v>
      </c>
      <c r="K4016" t="s">
        <v>17561</v>
      </c>
      <c r="L4016">
        <f>HYPERLINK("https://www2.assemblee-nationale.fr/sycomore/fiche/(num_dept)/962", "962")</f>
        <v>0</v>
      </c>
      <c r="N4016">
        <f>HYPERLINK("https://www.wikidata.org/wiki/Q8339569", "Q8339569")</f>
        <v>0</v>
      </c>
      <c r="O4016" t="s">
        <v>20033</v>
      </c>
      <c r="P4016" t="s">
        <v>20401</v>
      </c>
      <c r="Q4016" t="s">
        <v>13445</v>
      </c>
      <c r="R4016" t="s">
        <v>21463</v>
      </c>
      <c r="S4016">
        <v>1515</v>
      </c>
    </row>
    <row r="4017" spans="1:19">
      <c r="A4017" t="s">
        <v>25</v>
      </c>
      <c r="B4017" t="s">
        <v>148</v>
      </c>
      <c r="C4017" t="s">
        <v>157</v>
      </c>
      <c r="D4017" t="s">
        <v>286</v>
      </c>
      <c r="E4017" t="s">
        <v>415</v>
      </c>
      <c r="F4017">
        <f>HYPERLINK("https://www.wikidata.org/wiki/Q33756706", "Q33756706")</f>
        <v>0</v>
      </c>
      <c r="G4017" t="s">
        <v>2510</v>
      </c>
      <c r="H4017" t="s">
        <v>7078</v>
      </c>
      <c r="I4017" t="s">
        <v>10255</v>
      </c>
      <c r="J4017" t="s">
        <v>13154</v>
      </c>
      <c r="K4017" t="s">
        <v>17562</v>
      </c>
      <c r="L4017">
        <f>HYPERLINK("https://www2.assemblee-nationale.fr/sycomore/fiche/(num_dept)/987", "987")</f>
        <v>0</v>
      </c>
      <c r="M4017">
        <f>HYPERLINK("https://www.senat.fr/senateur-3eme-republique/borriglione_alfred0114r3.html", "borriglione_alfred0114r3")</f>
        <v>0</v>
      </c>
      <c r="N4017">
        <f>HYPERLINK("https://www.wikidata.org/wiki/Q2834977", "Q2834977")</f>
        <v>0</v>
      </c>
      <c r="O4017" t="s">
        <v>20024</v>
      </c>
      <c r="Q4017" t="s">
        <v>13445</v>
      </c>
      <c r="R4017" t="s">
        <v>21463</v>
      </c>
      <c r="S4017">
        <v>1515</v>
      </c>
    </row>
    <row r="4018" spans="1:19">
      <c r="A4018" t="s">
        <v>25</v>
      </c>
      <c r="B4018" t="s">
        <v>148</v>
      </c>
      <c r="C4018" t="s">
        <v>157</v>
      </c>
      <c r="D4018" t="s">
        <v>286</v>
      </c>
      <c r="E4018" t="s">
        <v>415</v>
      </c>
      <c r="F4018">
        <f>HYPERLINK("https://www.wikidata.org/wiki/Q33756706", "Q33756706")</f>
        <v>0</v>
      </c>
      <c r="G4018" t="s">
        <v>2511</v>
      </c>
      <c r="H4018" t="s">
        <v>7079</v>
      </c>
      <c r="I4018" t="s">
        <v>10256</v>
      </c>
      <c r="J4018" t="s">
        <v>13155</v>
      </c>
      <c r="K4018" t="s">
        <v>17563</v>
      </c>
      <c r="L4018">
        <f>HYPERLINK("https://www2.assemblee-nationale.fr/sycomore/fiche/(num_dept)/993", "993")</f>
        <v>0</v>
      </c>
      <c r="N4018">
        <f>HYPERLINK("https://www.wikidata.org/wiki/Q2871538", "Q2871538")</f>
        <v>0</v>
      </c>
      <c r="O4018" t="s">
        <v>19964</v>
      </c>
      <c r="P4018" t="s">
        <v>20460</v>
      </c>
      <c r="Q4018" t="s">
        <v>13445</v>
      </c>
      <c r="R4018" t="s">
        <v>21466</v>
      </c>
      <c r="S4018">
        <v>95</v>
      </c>
    </row>
    <row r="4019" spans="1:19">
      <c r="A4019" t="s">
        <v>25</v>
      </c>
      <c r="B4019" t="s">
        <v>148</v>
      </c>
      <c r="C4019" t="s">
        <v>157</v>
      </c>
      <c r="D4019" t="s">
        <v>286</v>
      </c>
      <c r="E4019" t="s">
        <v>415</v>
      </c>
      <c r="F4019">
        <f>HYPERLINK("https://www.wikidata.org/wiki/Q33756706", "Q33756706")</f>
        <v>0</v>
      </c>
      <c r="G4019" t="s">
        <v>2512</v>
      </c>
      <c r="H4019" t="s">
        <v>7080</v>
      </c>
      <c r="I4019" t="s">
        <v>10257</v>
      </c>
      <c r="J4019" t="s">
        <v>13156</v>
      </c>
      <c r="K4019" t="s">
        <v>12813</v>
      </c>
      <c r="L4019">
        <f>HYPERLINK("https://www2.assemblee-nationale.fr/sycomore/fiche/(num_dept)/1004", "1004")</f>
        <v>0</v>
      </c>
      <c r="N4019">
        <f>HYPERLINK("https://www.wikidata.org/wiki/Q15973811", "Q15973811")</f>
        <v>0</v>
      </c>
      <c r="O4019" t="s">
        <v>19995</v>
      </c>
      <c r="P4019" t="s">
        <v>20459</v>
      </c>
      <c r="Q4019" t="s">
        <v>13445</v>
      </c>
      <c r="R4019" t="s">
        <v>21463</v>
      </c>
      <c r="S4019">
        <v>1515</v>
      </c>
    </row>
    <row r="4020" spans="1:19">
      <c r="A4020" t="s">
        <v>25</v>
      </c>
      <c r="B4020" t="s">
        <v>148</v>
      </c>
      <c r="C4020" t="s">
        <v>157</v>
      </c>
      <c r="D4020" t="s">
        <v>286</v>
      </c>
      <c r="E4020" t="s">
        <v>415</v>
      </c>
      <c r="F4020">
        <f>HYPERLINK("https://www.wikidata.org/wiki/Q33756706", "Q33756706")</f>
        <v>0</v>
      </c>
      <c r="G4020" t="s">
        <v>2513</v>
      </c>
      <c r="H4020" t="s">
        <v>7081</v>
      </c>
      <c r="I4020" t="s">
        <v>10258</v>
      </c>
      <c r="J4020" t="s">
        <v>13157</v>
      </c>
      <c r="K4020" t="s">
        <v>17564</v>
      </c>
      <c r="L4020">
        <f>HYPERLINK("https://www2.assemblee-nationale.fr/sycomore/fiche/(num_dept)/1015", "1015")</f>
        <v>0</v>
      </c>
      <c r="N4020">
        <f>HYPERLINK("https://www.wikidata.org/wiki/Q3588370", "Q3588370")</f>
        <v>0</v>
      </c>
      <c r="O4020" t="s">
        <v>19990</v>
      </c>
      <c r="P4020" t="s">
        <v>20401</v>
      </c>
      <c r="Q4020" t="s">
        <v>13445</v>
      </c>
      <c r="R4020" t="s">
        <v>21463</v>
      </c>
      <c r="S4020">
        <v>1515</v>
      </c>
    </row>
    <row r="4021" spans="1:19">
      <c r="A4021" t="s">
        <v>25</v>
      </c>
      <c r="B4021" t="s">
        <v>148</v>
      </c>
      <c r="C4021" t="s">
        <v>157</v>
      </c>
      <c r="D4021" t="s">
        <v>286</v>
      </c>
      <c r="E4021" t="s">
        <v>415</v>
      </c>
      <c r="F4021">
        <f>HYPERLINK("https://www.wikidata.org/wiki/Q33756706", "Q33756706")</f>
        <v>0</v>
      </c>
      <c r="G4021" t="s">
        <v>2514</v>
      </c>
      <c r="H4021" t="s">
        <v>7082</v>
      </c>
      <c r="I4021" t="s">
        <v>9385</v>
      </c>
      <c r="J4021" t="s">
        <v>13158</v>
      </c>
      <c r="K4021" t="s">
        <v>17565</v>
      </c>
      <c r="L4021">
        <f>HYPERLINK("https://www2.assemblee-nationale.fr/sycomore/fiche/(num_dept)/1021", "1021")</f>
        <v>0</v>
      </c>
      <c r="N4021">
        <f>HYPERLINK("https://www.wikidata.org/wiki/Q15973825", "Q15973825")</f>
        <v>0</v>
      </c>
      <c r="O4021" t="s">
        <v>19989</v>
      </c>
      <c r="P4021" t="s">
        <v>20459</v>
      </c>
      <c r="Q4021" t="s">
        <v>13445</v>
      </c>
      <c r="R4021" t="s">
        <v>21463</v>
      </c>
      <c r="S4021">
        <v>1515</v>
      </c>
    </row>
    <row r="4022" spans="1:19">
      <c r="A4022" t="s">
        <v>25</v>
      </c>
      <c r="B4022" t="s">
        <v>148</v>
      </c>
      <c r="C4022" t="s">
        <v>157</v>
      </c>
      <c r="D4022" t="s">
        <v>286</v>
      </c>
      <c r="E4022" t="s">
        <v>415</v>
      </c>
      <c r="F4022">
        <f>HYPERLINK("https://www.wikidata.org/wiki/Q33756706", "Q33756706")</f>
        <v>0</v>
      </c>
      <c r="G4022" t="s">
        <v>2515</v>
      </c>
      <c r="H4022" t="s">
        <v>7083</v>
      </c>
      <c r="I4022" t="s">
        <v>10259</v>
      </c>
      <c r="J4022" t="s">
        <v>13159</v>
      </c>
      <c r="K4022" t="s">
        <v>17566</v>
      </c>
      <c r="L4022">
        <f>HYPERLINK("https://www2.assemblee-nationale.fr/sycomore/fiche/(num_dept)/1085", "1085")</f>
        <v>0</v>
      </c>
      <c r="N4022">
        <f>HYPERLINK("https://www.wikidata.org/wiki/Q15973888", "Q15973888")</f>
        <v>0</v>
      </c>
      <c r="O4022" t="s">
        <v>19972</v>
      </c>
      <c r="P4022" t="s">
        <v>20460</v>
      </c>
      <c r="Q4022" t="s">
        <v>13445</v>
      </c>
      <c r="R4022" t="s">
        <v>21463</v>
      </c>
      <c r="S4022">
        <v>1515</v>
      </c>
    </row>
    <row r="4023" spans="1:19">
      <c r="A4023" t="s">
        <v>25</v>
      </c>
      <c r="B4023" t="s">
        <v>148</v>
      </c>
      <c r="C4023" t="s">
        <v>157</v>
      </c>
      <c r="D4023" t="s">
        <v>286</v>
      </c>
      <c r="E4023" t="s">
        <v>415</v>
      </c>
      <c r="F4023">
        <f>HYPERLINK("https://www.wikidata.org/wiki/Q33756706", "Q33756706")</f>
        <v>0</v>
      </c>
      <c r="G4023" t="s">
        <v>2516</v>
      </c>
      <c r="H4023" t="s">
        <v>6846</v>
      </c>
      <c r="I4023" t="s">
        <v>9483</v>
      </c>
      <c r="J4023" t="s">
        <v>13160</v>
      </c>
      <c r="K4023" t="s">
        <v>17567</v>
      </c>
      <c r="L4023">
        <f>HYPERLINK("https://www2.assemblee-nationale.fr/sycomore/fiche/(num_dept)/1115", "1115")</f>
        <v>0</v>
      </c>
      <c r="N4023">
        <f>HYPERLINK("https://www.wikidata.org/wiki/Q3557183", "Q3557183")</f>
        <v>0</v>
      </c>
      <c r="O4023" t="s">
        <v>20014</v>
      </c>
      <c r="P4023" t="s">
        <v>20459</v>
      </c>
      <c r="Q4023" t="s">
        <v>13445</v>
      </c>
      <c r="R4023" t="s">
        <v>21463</v>
      </c>
      <c r="S4023">
        <v>1515</v>
      </c>
    </row>
    <row r="4024" spans="1:19">
      <c r="A4024" t="s">
        <v>25</v>
      </c>
      <c r="B4024" t="s">
        <v>148</v>
      </c>
      <c r="C4024" t="s">
        <v>157</v>
      </c>
      <c r="D4024" t="s">
        <v>286</v>
      </c>
      <c r="E4024" t="s">
        <v>415</v>
      </c>
      <c r="F4024">
        <f>HYPERLINK("https://www.wikidata.org/wiki/Q33756706", "Q33756706")</f>
        <v>0</v>
      </c>
      <c r="G4024" t="s">
        <v>2517</v>
      </c>
      <c r="H4024" t="s">
        <v>6097</v>
      </c>
      <c r="I4024" t="s">
        <v>10260</v>
      </c>
      <c r="J4024" t="s">
        <v>13161</v>
      </c>
      <c r="K4024" t="s">
        <v>17568</v>
      </c>
      <c r="L4024">
        <f>HYPERLINK("https://www2.assemblee-nationale.fr/sycomore/fiche/(num_dept)/1127", "1127")</f>
        <v>0</v>
      </c>
      <c r="M4024">
        <f>HYPERLINK("https://www.senat.fr/senateur-3eme-republique/bouteille_jean_baptiste0065r3.html", "bouteille_jean_baptiste0065r3")</f>
        <v>0</v>
      </c>
      <c r="N4024">
        <f>HYPERLINK("https://www.wikidata.org/wiki/Q3163904", "Q3163904")</f>
        <v>0</v>
      </c>
      <c r="O4024" t="s">
        <v>20033</v>
      </c>
      <c r="P4024" t="s">
        <v>20461</v>
      </c>
      <c r="Q4024" t="s">
        <v>13445</v>
      </c>
      <c r="R4024" t="s">
        <v>21467</v>
      </c>
      <c r="S4024">
        <v>1264</v>
      </c>
    </row>
    <row r="4025" spans="1:19">
      <c r="A4025" t="s">
        <v>25</v>
      </c>
      <c r="B4025" t="s">
        <v>148</v>
      </c>
      <c r="C4025" t="s">
        <v>157</v>
      </c>
      <c r="D4025" t="s">
        <v>286</v>
      </c>
      <c r="E4025" t="s">
        <v>415</v>
      </c>
      <c r="F4025">
        <f>HYPERLINK("https://www.wikidata.org/wiki/Q33756706", "Q33756706")</f>
        <v>0</v>
      </c>
      <c r="G4025" t="s">
        <v>2518</v>
      </c>
      <c r="H4025" t="s">
        <v>7084</v>
      </c>
      <c r="I4025" t="s">
        <v>10261</v>
      </c>
      <c r="J4025" t="s">
        <v>13162</v>
      </c>
      <c r="K4025" t="s">
        <v>17569</v>
      </c>
      <c r="L4025">
        <f>HYPERLINK("https://www2.assemblee-nationale.fr/sycomore/fiche/(num_dept)/1131", "1131")</f>
        <v>0</v>
      </c>
      <c r="N4025">
        <f>HYPERLINK("https://www.wikidata.org/wiki/Q15973924", "Q15973924")</f>
        <v>0</v>
      </c>
      <c r="O4025" t="s">
        <v>19994</v>
      </c>
      <c r="P4025" t="s">
        <v>20458</v>
      </c>
      <c r="Q4025" t="s">
        <v>13445</v>
      </c>
      <c r="R4025" t="s">
        <v>21463</v>
      </c>
      <c r="S4025">
        <v>1515</v>
      </c>
    </row>
    <row r="4026" spans="1:19">
      <c r="A4026" t="s">
        <v>25</v>
      </c>
      <c r="B4026" t="s">
        <v>148</v>
      </c>
      <c r="C4026" t="s">
        <v>157</v>
      </c>
      <c r="D4026" t="s">
        <v>286</v>
      </c>
      <c r="E4026" t="s">
        <v>415</v>
      </c>
      <c r="F4026">
        <f>HYPERLINK("https://www.wikidata.org/wiki/Q33756706", "Q33756706")</f>
        <v>0</v>
      </c>
      <c r="G4026" t="s">
        <v>2519</v>
      </c>
      <c r="H4026" t="s">
        <v>6100</v>
      </c>
      <c r="I4026" t="s">
        <v>10262</v>
      </c>
      <c r="J4026" t="s">
        <v>13163</v>
      </c>
      <c r="K4026" t="s">
        <v>17570</v>
      </c>
      <c r="L4026">
        <f>HYPERLINK("https://www2.assemblee-nationale.fr/sycomore/fiche/(num_dept)/1148", "1148")</f>
        <v>0</v>
      </c>
      <c r="N4026">
        <f>HYPERLINK("https://www.wikidata.org/wiki/Q8309995", "Q8309995")</f>
        <v>0</v>
      </c>
      <c r="O4026" t="s">
        <v>20006</v>
      </c>
      <c r="P4026" t="s">
        <v>20401</v>
      </c>
      <c r="Q4026" t="s">
        <v>13445</v>
      </c>
      <c r="R4026" t="s">
        <v>21463</v>
      </c>
      <c r="S4026">
        <v>1515</v>
      </c>
    </row>
    <row r="4027" spans="1:19">
      <c r="A4027" t="s">
        <v>25</v>
      </c>
      <c r="B4027" t="s">
        <v>148</v>
      </c>
      <c r="C4027" t="s">
        <v>157</v>
      </c>
      <c r="D4027" t="s">
        <v>286</v>
      </c>
      <c r="E4027" t="s">
        <v>415</v>
      </c>
      <c r="F4027">
        <f>HYPERLINK("https://www.wikidata.org/wiki/Q33756706", "Q33756706")</f>
        <v>0</v>
      </c>
      <c r="G4027" t="s">
        <v>2520</v>
      </c>
      <c r="H4027" t="s">
        <v>6405</v>
      </c>
      <c r="I4027" t="s">
        <v>10263</v>
      </c>
      <c r="J4027" t="s">
        <v>13164</v>
      </c>
      <c r="K4027" t="s">
        <v>12154</v>
      </c>
      <c r="L4027">
        <f>HYPERLINK("https://www2.assemblee-nationale.fr/sycomore/fiche/(num_dept)/1152", "1152")</f>
        <v>0</v>
      </c>
      <c r="N4027">
        <f>HYPERLINK("https://www.wikidata.org/wiki/Q8319285", "Q8319285")</f>
        <v>0</v>
      </c>
      <c r="O4027" t="s">
        <v>20014</v>
      </c>
      <c r="P4027" t="s">
        <v>20460</v>
      </c>
      <c r="Q4027" t="s">
        <v>13445</v>
      </c>
      <c r="R4027" t="s">
        <v>12154</v>
      </c>
      <c r="S4027">
        <v>1435</v>
      </c>
    </row>
    <row r="4028" spans="1:19">
      <c r="A4028" t="s">
        <v>25</v>
      </c>
      <c r="B4028" t="s">
        <v>148</v>
      </c>
      <c r="C4028" t="s">
        <v>157</v>
      </c>
      <c r="D4028" t="s">
        <v>286</v>
      </c>
      <c r="E4028" t="s">
        <v>415</v>
      </c>
      <c r="F4028">
        <f>HYPERLINK("https://www.wikidata.org/wiki/Q33756706", "Q33756706")</f>
        <v>0</v>
      </c>
      <c r="G4028" t="s">
        <v>2521</v>
      </c>
      <c r="H4028" t="s">
        <v>7085</v>
      </c>
      <c r="I4028" t="s">
        <v>10264</v>
      </c>
      <c r="J4028" t="s">
        <v>13165</v>
      </c>
      <c r="K4028" t="s">
        <v>17571</v>
      </c>
      <c r="L4028">
        <f>HYPERLINK("https://www2.assemblee-nationale.fr/sycomore/fiche/(num_dept)/1158", "1158")</f>
        <v>0</v>
      </c>
      <c r="N4028">
        <f>HYPERLINK("https://www.wikidata.org/wiki/Q8305634", "Q8305634")</f>
        <v>0</v>
      </c>
      <c r="O4028" t="s">
        <v>19994</v>
      </c>
      <c r="P4028" t="s">
        <v>20459</v>
      </c>
      <c r="Q4028" t="s">
        <v>13445</v>
      </c>
      <c r="R4028" t="s">
        <v>21463</v>
      </c>
      <c r="S4028">
        <v>1515</v>
      </c>
    </row>
    <row r="4029" spans="1:19">
      <c r="A4029" t="s">
        <v>25</v>
      </c>
      <c r="B4029" t="s">
        <v>148</v>
      </c>
      <c r="C4029" t="s">
        <v>157</v>
      </c>
      <c r="D4029" t="s">
        <v>286</v>
      </c>
      <c r="E4029" t="s">
        <v>415</v>
      </c>
      <c r="F4029">
        <f>HYPERLINK("https://www.wikidata.org/wiki/Q33756706", "Q33756706")</f>
        <v>0</v>
      </c>
      <c r="G4029" t="s">
        <v>2522</v>
      </c>
      <c r="H4029" t="s">
        <v>7086</v>
      </c>
      <c r="I4029" t="s">
        <v>10265</v>
      </c>
      <c r="J4029" t="s">
        <v>13166</v>
      </c>
      <c r="K4029" t="s">
        <v>17572</v>
      </c>
      <c r="L4029">
        <f>HYPERLINK("https://www2.assemblee-nationale.fr/sycomore/fiche/(num_dept)/1190", "1190")</f>
        <v>0</v>
      </c>
      <c r="N4029">
        <f>HYPERLINK("https://www.wikidata.org/wiki/Q13091108", "Q13091108")</f>
        <v>0</v>
      </c>
      <c r="O4029" t="s">
        <v>19969</v>
      </c>
      <c r="P4029" t="s">
        <v>20401</v>
      </c>
      <c r="Q4029" t="s">
        <v>13445</v>
      </c>
      <c r="R4029" t="s">
        <v>21463</v>
      </c>
      <c r="S4029">
        <v>1515</v>
      </c>
    </row>
    <row r="4030" spans="1:19">
      <c r="A4030" t="s">
        <v>25</v>
      </c>
      <c r="B4030" t="s">
        <v>148</v>
      </c>
      <c r="C4030" t="s">
        <v>157</v>
      </c>
      <c r="D4030" t="s">
        <v>286</v>
      </c>
      <c r="E4030" t="s">
        <v>415</v>
      </c>
      <c r="F4030">
        <f>HYPERLINK("https://www.wikidata.org/wiki/Q33756706", "Q33756706")</f>
        <v>0</v>
      </c>
      <c r="G4030" t="s">
        <v>554</v>
      </c>
      <c r="H4030" t="s">
        <v>5317</v>
      </c>
      <c r="I4030" t="s">
        <v>9412</v>
      </c>
      <c r="J4030" t="s">
        <v>11305</v>
      </c>
      <c r="K4030" t="s">
        <v>15706</v>
      </c>
      <c r="L4030">
        <f>HYPERLINK("https://www2.assemblee-nationale.fr/sycomore/fiche/(num_dept)/1220", "1220")</f>
        <v>0</v>
      </c>
      <c r="N4030">
        <f>HYPERLINK("https://www.wikidata.org/wiki/Q3426418", "Q3426418")</f>
        <v>0</v>
      </c>
      <c r="O4030" t="s">
        <v>19998</v>
      </c>
      <c r="P4030" t="s">
        <v>20462</v>
      </c>
      <c r="Q4030" t="s">
        <v>13445</v>
      </c>
      <c r="R4030" t="s">
        <v>21463</v>
      </c>
      <c r="S4030">
        <v>1515</v>
      </c>
    </row>
    <row r="4031" spans="1:19">
      <c r="A4031" t="s">
        <v>25</v>
      </c>
      <c r="B4031" t="s">
        <v>148</v>
      </c>
      <c r="C4031" t="s">
        <v>157</v>
      </c>
      <c r="D4031" t="s">
        <v>286</v>
      </c>
      <c r="E4031" t="s">
        <v>415</v>
      </c>
      <c r="F4031">
        <f>HYPERLINK("https://www.wikidata.org/wiki/Q33756706", "Q33756706")</f>
        <v>0</v>
      </c>
      <c r="G4031" t="s">
        <v>892</v>
      </c>
      <c r="H4031" t="s">
        <v>5648</v>
      </c>
      <c r="I4031" t="s">
        <v>9457</v>
      </c>
      <c r="J4031" t="s">
        <v>11638</v>
      </c>
      <c r="K4031" t="s">
        <v>16038</v>
      </c>
      <c r="L4031">
        <f>HYPERLINK("https://www2.assemblee-nationale.fr/sycomore/fiche/(num_dept)/1240", "1240")</f>
        <v>0</v>
      </c>
      <c r="N4031">
        <f>HYPERLINK("https://www.wikidata.org/wiki/Q669725", "Q669725")</f>
        <v>0</v>
      </c>
      <c r="O4031" t="s">
        <v>19969</v>
      </c>
      <c r="P4031" t="s">
        <v>20459</v>
      </c>
      <c r="Q4031" t="s">
        <v>13445</v>
      </c>
      <c r="R4031" t="s">
        <v>21463</v>
      </c>
      <c r="S4031">
        <v>1515</v>
      </c>
    </row>
    <row r="4032" spans="1:19">
      <c r="A4032" t="s">
        <v>25</v>
      </c>
      <c r="B4032" t="s">
        <v>148</v>
      </c>
      <c r="C4032" t="s">
        <v>157</v>
      </c>
      <c r="D4032" t="s">
        <v>286</v>
      </c>
      <c r="E4032" t="s">
        <v>415</v>
      </c>
      <c r="F4032">
        <f>HYPERLINK("https://www.wikidata.org/wiki/Q33756706", "Q33756706")</f>
        <v>0</v>
      </c>
      <c r="G4032" t="s">
        <v>2523</v>
      </c>
      <c r="H4032" t="s">
        <v>5320</v>
      </c>
      <c r="I4032" t="s">
        <v>9389</v>
      </c>
      <c r="J4032" t="s">
        <v>13167</v>
      </c>
      <c r="K4032" t="s">
        <v>17573</v>
      </c>
      <c r="L4032">
        <f>HYPERLINK("https://www2.assemblee-nationale.fr/sycomore/fiche/(num_dept)/1259", "1259")</f>
        <v>0</v>
      </c>
      <c r="N4032">
        <f>HYPERLINK("https://www.wikidata.org/wiki/Q15968404", "Q15968404")</f>
        <v>0</v>
      </c>
      <c r="O4032" t="s">
        <v>20001</v>
      </c>
      <c r="P4032" t="s">
        <v>20401</v>
      </c>
      <c r="Q4032" t="s">
        <v>13445</v>
      </c>
      <c r="R4032" t="s">
        <v>21463</v>
      </c>
      <c r="S4032">
        <v>1515</v>
      </c>
    </row>
    <row r="4033" spans="1:19">
      <c r="A4033" t="s">
        <v>25</v>
      </c>
      <c r="B4033" t="s">
        <v>148</v>
      </c>
      <c r="C4033" t="s">
        <v>157</v>
      </c>
      <c r="D4033" t="s">
        <v>286</v>
      </c>
      <c r="E4033" t="s">
        <v>415</v>
      </c>
      <c r="F4033">
        <f>HYPERLINK("https://www.wikidata.org/wiki/Q33756706", "Q33756706")</f>
        <v>0</v>
      </c>
      <c r="G4033" t="s">
        <v>2524</v>
      </c>
      <c r="H4033" t="s">
        <v>7087</v>
      </c>
      <c r="I4033" t="s">
        <v>10266</v>
      </c>
      <c r="J4033" t="s">
        <v>13168</v>
      </c>
      <c r="K4033" t="s">
        <v>17574</v>
      </c>
      <c r="L4033">
        <f>HYPERLINK("https://www2.assemblee-nationale.fr/sycomore/fiche/(num_dept)/1267", "1267")</f>
        <v>0</v>
      </c>
      <c r="N4033">
        <f>HYPERLINK("https://www.wikidata.org/wiki/Q15973953", "Q15973953")</f>
        <v>0</v>
      </c>
      <c r="O4033" t="s">
        <v>20010</v>
      </c>
      <c r="P4033" t="s">
        <v>20459</v>
      </c>
      <c r="Q4033" t="s">
        <v>13445</v>
      </c>
      <c r="R4033" t="s">
        <v>21463</v>
      </c>
      <c r="S4033">
        <v>1515</v>
      </c>
    </row>
    <row r="4034" spans="1:19">
      <c r="A4034" t="s">
        <v>25</v>
      </c>
      <c r="B4034" t="s">
        <v>148</v>
      </c>
      <c r="C4034" t="s">
        <v>157</v>
      </c>
      <c r="D4034" t="s">
        <v>286</v>
      </c>
      <c r="E4034" t="s">
        <v>415</v>
      </c>
      <c r="F4034">
        <f>HYPERLINK("https://www.wikidata.org/wiki/Q33756706", "Q33756706")</f>
        <v>0</v>
      </c>
      <c r="G4034" t="s">
        <v>2525</v>
      </c>
      <c r="H4034" t="s">
        <v>7088</v>
      </c>
      <c r="I4034" t="s">
        <v>10267</v>
      </c>
      <c r="J4034" t="s">
        <v>13169</v>
      </c>
      <c r="K4034" t="s">
        <v>17575</v>
      </c>
      <c r="L4034">
        <f>HYPERLINK("https://www2.assemblee-nationale.fr/sycomore/fiche/(num_dept)/1271", "1271")</f>
        <v>0</v>
      </c>
      <c r="M4034">
        <f>HYPERLINK("https://www.senat.fr/senateur-3eme-republique/brugnot_alfred1798r3.html", "brugnot_alfred1798r3")</f>
        <v>0</v>
      </c>
      <c r="N4034">
        <f>HYPERLINK("https://www.wikidata.org/wiki/Q2834995", "Q2834995")</f>
        <v>0</v>
      </c>
      <c r="O4034" t="s">
        <v>20017</v>
      </c>
      <c r="Q4034" t="s">
        <v>13445</v>
      </c>
      <c r="R4034" t="s">
        <v>21463</v>
      </c>
      <c r="S4034">
        <v>1515</v>
      </c>
    </row>
    <row r="4035" spans="1:19">
      <c r="A4035" t="s">
        <v>25</v>
      </c>
      <c r="B4035" t="s">
        <v>148</v>
      </c>
      <c r="C4035" t="s">
        <v>157</v>
      </c>
      <c r="D4035" t="s">
        <v>286</v>
      </c>
      <c r="E4035" t="s">
        <v>415</v>
      </c>
      <c r="F4035">
        <f>HYPERLINK("https://www.wikidata.org/wiki/Q33756706", "Q33756706")</f>
        <v>0</v>
      </c>
      <c r="G4035" t="s">
        <v>2526</v>
      </c>
      <c r="H4035" t="s">
        <v>6656</v>
      </c>
      <c r="I4035" t="s">
        <v>9516</v>
      </c>
      <c r="J4035" t="s">
        <v>13170</v>
      </c>
      <c r="K4035" t="s">
        <v>17576</v>
      </c>
      <c r="L4035">
        <f>HYPERLINK("https://www2.assemblee-nationale.fr/sycomore/fiche/(num_dept)/1332", "1332")</f>
        <v>0</v>
      </c>
      <c r="N4035">
        <f>HYPERLINK("https://www.wikidata.org/wiki/Q15974087", "Q15974087")</f>
        <v>0</v>
      </c>
      <c r="O4035" t="s">
        <v>20006</v>
      </c>
      <c r="P4035" t="s">
        <v>20463</v>
      </c>
      <c r="Q4035" t="s">
        <v>13445</v>
      </c>
      <c r="R4035" t="s">
        <v>21463</v>
      </c>
      <c r="S4035">
        <v>1515</v>
      </c>
    </row>
    <row r="4036" spans="1:19">
      <c r="A4036" t="s">
        <v>25</v>
      </c>
      <c r="B4036" t="s">
        <v>148</v>
      </c>
      <c r="C4036" t="s">
        <v>157</v>
      </c>
      <c r="D4036" t="s">
        <v>286</v>
      </c>
      <c r="E4036" t="s">
        <v>415</v>
      </c>
      <c r="F4036">
        <f>HYPERLINK("https://www.wikidata.org/wiki/Q33756706", "Q33756706")</f>
        <v>0</v>
      </c>
      <c r="G4036" t="s">
        <v>2527</v>
      </c>
      <c r="H4036" t="s">
        <v>7089</v>
      </c>
      <c r="I4036" t="s">
        <v>7790</v>
      </c>
      <c r="J4036" t="s">
        <v>13171</v>
      </c>
      <c r="K4036" t="s">
        <v>17577</v>
      </c>
      <c r="L4036">
        <f>HYPERLINK("https://www2.assemblee-nationale.fr/sycomore/fiche/(num_dept)/1354", "1354")</f>
        <v>0</v>
      </c>
      <c r="M4036">
        <f>HYPERLINK("https://www.senat.fr/senateur-3eme-republique/caduc_armand0216r3.html", "caduc_armand0216r3")</f>
        <v>0</v>
      </c>
      <c r="N4036">
        <f>HYPERLINK("https://www.wikidata.org/wiki/Q2861789", "Q2861789")</f>
        <v>0</v>
      </c>
      <c r="O4036" t="s">
        <v>19987</v>
      </c>
      <c r="P4036" t="s">
        <v>20459</v>
      </c>
      <c r="Q4036" t="s">
        <v>13445</v>
      </c>
      <c r="R4036" t="s">
        <v>21468</v>
      </c>
      <c r="S4036">
        <v>1364</v>
      </c>
    </row>
    <row r="4037" spans="1:19">
      <c r="A4037" t="s">
        <v>25</v>
      </c>
      <c r="B4037" t="s">
        <v>148</v>
      </c>
      <c r="C4037" t="s">
        <v>157</v>
      </c>
      <c r="D4037" t="s">
        <v>286</v>
      </c>
      <c r="E4037" t="s">
        <v>415</v>
      </c>
      <c r="F4037">
        <f>HYPERLINK("https://www.wikidata.org/wiki/Q33756706", "Q33756706")</f>
        <v>0</v>
      </c>
      <c r="G4037" t="s">
        <v>2528</v>
      </c>
      <c r="H4037" t="s">
        <v>5325</v>
      </c>
      <c r="I4037" t="s">
        <v>10268</v>
      </c>
      <c r="J4037" t="s">
        <v>13172</v>
      </c>
      <c r="K4037" t="s">
        <v>17578</v>
      </c>
      <c r="L4037">
        <f>HYPERLINK("https://www2.assemblee-nationale.fr/sycomore/fiche/(num_dept)/1453", "1453")</f>
        <v>0</v>
      </c>
      <c r="N4037">
        <f>HYPERLINK("https://www.wikidata.org/wiki/Q215778", "Q215778")</f>
        <v>0</v>
      </c>
      <c r="O4037" t="s">
        <v>20002</v>
      </c>
      <c r="P4037" t="s">
        <v>20457</v>
      </c>
      <c r="Q4037" t="s">
        <v>13445</v>
      </c>
      <c r="R4037" t="s">
        <v>21463</v>
      </c>
      <c r="S4037">
        <v>1515</v>
      </c>
    </row>
    <row r="4038" spans="1:19">
      <c r="A4038" t="s">
        <v>25</v>
      </c>
      <c r="B4038" t="s">
        <v>148</v>
      </c>
      <c r="C4038" t="s">
        <v>157</v>
      </c>
      <c r="D4038" t="s">
        <v>286</v>
      </c>
      <c r="E4038" t="s">
        <v>415</v>
      </c>
      <c r="F4038">
        <f>HYPERLINK("https://www.wikidata.org/wiki/Q33756706", "Q33756706")</f>
        <v>0</v>
      </c>
      <c r="G4038" t="s">
        <v>2529</v>
      </c>
      <c r="H4038" t="s">
        <v>7090</v>
      </c>
      <c r="I4038" t="s">
        <v>6200</v>
      </c>
      <c r="J4038" t="s">
        <v>13173</v>
      </c>
      <c r="K4038" t="s">
        <v>17579</v>
      </c>
      <c r="L4038">
        <f>HYPERLINK("https://www2.assemblee-nationale.fr/sycomore/fiche/(num_dept)/1484", "1484")</f>
        <v>0</v>
      </c>
      <c r="N4038">
        <f>HYPERLINK("https://www.wikidata.org/wiki/Q315656", "Q315656")</f>
        <v>0</v>
      </c>
      <c r="O4038" t="s">
        <v>8449</v>
      </c>
      <c r="P4038" t="s">
        <v>20461</v>
      </c>
      <c r="Q4038" t="s">
        <v>13445</v>
      </c>
      <c r="R4038" t="s">
        <v>21469</v>
      </c>
      <c r="S4038">
        <v>529</v>
      </c>
    </row>
    <row r="4039" spans="1:19">
      <c r="A4039" t="s">
        <v>25</v>
      </c>
      <c r="B4039" t="s">
        <v>148</v>
      </c>
      <c r="C4039" t="s">
        <v>157</v>
      </c>
      <c r="D4039" t="s">
        <v>286</v>
      </c>
      <c r="E4039" t="s">
        <v>415</v>
      </c>
      <c r="F4039">
        <f>HYPERLINK("https://www.wikidata.org/wiki/Q33756706", "Q33756706")</f>
        <v>0</v>
      </c>
      <c r="G4039" t="s">
        <v>2530</v>
      </c>
      <c r="H4039" t="s">
        <v>6111</v>
      </c>
      <c r="I4039" t="s">
        <v>10269</v>
      </c>
      <c r="J4039" t="s">
        <v>13174</v>
      </c>
      <c r="K4039" t="s">
        <v>17580</v>
      </c>
      <c r="L4039">
        <f>HYPERLINK("https://www2.assemblee-nationale.fr/sycomore/fiche/(num_dept)/1488", "1488")</f>
        <v>0</v>
      </c>
      <c r="N4039">
        <f>HYPERLINK("https://www.wikidata.org/wiki/Q3372467", "Q3372467")</f>
        <v>0</v>
      </c>
      <c r="O4039" t="s">
        <v>20003</v>
      </c>
      <c r="P4039" t="s">
        <v>20464</v>
      </c>
      <c r="Q4039" t="s">
        <v>13445</v>
      </c>
      <c r="R4039" t="s">
        <v>21463</v>
      </c>
      <c r="S4039">
        <v>1515</v>
      </c>
    </row>
    <row r="4040" spans="1:19">
      <c r="A4040" t="s">
        <v>25</v>
      </c>
      <c r="B4040" t="s">
        <v>148</v>
      </c>
      <c r="C4040" t="s">
        <v>157</v>
      </c>
      <c r="D4040" t="s">
        <v>286</v>
      </c>
      <c r="E4040" t="s">
        <v>415</v>
      </c>
      <c r="F4040">
        <f>HYPERLINK("https://www.wikidata.org/wiki/Q33756706", "Q33756706")</f>
        <v>0</v>
      </c>
      <c r="G4040" t="s">
        <v>2531</v>
      </c>
      <c r="H4040" t="s">
        <v>7091</v>
      </c>
      <c r="I4040" t="s">
        <v>10270</v>
      </c>
      <c r="J4040" t="s">
        <v>13175</v>
      </c>
      <c r="K4040" t="s">
        <v>17581</v>
      </c>
      <c r="L4040">
        <f>HYPERLINK("https://www2.assemblee-nationale.fr/sycomore/fiche/(num_dept)/1494", "1494")</f>
        <v>0</v>
      </c>
      <c r="M4040">
        <f>HYPERLINK("https://www.senat.fr/senateur-3eme-republique/cassou_jean1049r3.html", "cassou_jean1049r3")</f>
        <v>0</v>
      </c>
      <c r="N4040">
        <f>HYPERLINK("https://www.wikidata.org/wiki/Q3171155", "Q3171155")</f>
        <v>0</v>
      </c>
      <c r="O4040" t="s">
        <v>19970</v>
      </c>
      <c r="Q4040" t="s">
        <v>13445</v>
      </c>
      <c r="R4040" t="s">
        <v>21463</v>
      </c>
      <c r="S4040">
        <v>1515</v>
      </c>
    </row>
    <row r="4041" spans="1:19">
      <c r="A4041" t="s">
        <v>25</v>
      </c>
      <c r="B4041" t="s">
        <v>148</v>
      </c>
      <c r="C4041" t="s">
        <v>157</v>
      </c>
      <c r="D4041" t="s">
        <v>286</v>
      </c>
      <c r="E4041" t="s">
        <v>415</v>
      </c>
      <c r="F4041">
        <f>HYPERLINK("https://www.wikidata.org/wiki/Q33756706", "Q33756706")</f>
        <v>0</v>
      </c>
      <c r="G4041" t="s">
        <v>2532</v>
      </c>
      <c r="H4041" t="s">
        <v>7092</v>
      </c>
      <c r="I4041" t="s">
        <v>10271</v>
      </c>
      <c r="J4041" t="s">
        <v>13176</v>
      </c>
      <c r="K4041" t="s">
        <v>17582</v>
      </c>
      <c r="L4041">
        <f>HYPERLINK("https://www2.assemblee-nationale.fr/sycomore/fiche/(num_dept)/1541", "1541")</f>
        <v>0</v>
      </c>
      <c r="N4041">
        <f>HYPERLINK("https://www.wikidata.org/wiki/Q15974252", "Q15974252")</f>
        <v>0</v>
      </c>
      <c r="O4041" t="s">
        <v>19962</v>
      </c>
      <c r="P4041" t="s">
        <v>20459</v>
      </c>
      <c r="Q4041" t="s">
        <v>13445</v>
      </c>
      <c r="R4041" t="s">
        <v>21463</v>
      </c>
      <c r="S4041">
        <v>1515</v>
      </c>
    </row>
    <row r="4042" spans="1:19">
      <c r="A4042" t="s">
        <v>25</v>
      </c>
      <c r="B4042" t="s">
        <v>148</v>
      </c>
      <c r="C4042" t="s">
        <v>157</v>
      </c>
      <c r="D4042" t="s">
        <v>286</v>
      </c>
      <c r="E4042" t="s">
        <v>415</v>
      </c>
      <c r="F4042">
        <f>HYPERLINK("https://www.wikidata.org/wiki/Q33756706", "Q33756706")</f>
        <v>0</v>
      </c>
      <c r="G4042" t="s">
        <v>2533</v>
      </c>
      <c r="H4042" t="s">
        <v>7093</v>
      </c>
      <c r="I4042" t="s">
        <v>9602</v>
      </c>
      <c r="J4042" t="s">
        <v>13177</v>
      </c>
      <c r="K4042" t="s">
        <v>17583</v>
      </c>
      <c r="L4042">
        <f>HYPERLINK("https://www2.assemblee-nationale.fr/sycomore/fiche/(num_dept)/1556", "1556")</f>
        <v>0</v>
      </c>
      <c r="M4042">
        <f>HYPERLINK("https://www.senat.fr/senateur-3eme-republique/caze_edmond0102r3.html", "caze_edmond0102r3")</f>
        <v>0</v>
      </c>
      <c r="N4042">
        <f>HYPERLINK("https://www.wikidata.org/wiki/Q3047779", "Q3047779")</f>
        <v>0</v>
      </c>
      <c r="O4042" t="s">
        <v>20016</v>
      </c>
      <c r="Q4042" t="s">
        <v>13445</v>
      </c>
      <c r="R4042" t="s">
        <v>21463</v>
      </c>
      <c r="S4042">
        <v>1515</v>
      </c>
    </row>
    <row r="4043" spans="1:19">
      <c r="A4043" t="s">
        <v>25</v>
      </c>
      <c r="B4043" t="s">
        <v>148</v>
      </c>
      <c r="C4043" t="s">
        <v>157</v>
      </c>
      <c r="D4043" t="s">
        <v>286</v>
      </c>
      <c r="E4043" t="s">
        <v>415</v>
      </c>
      <c r="F4043">
        <f>HYPERLINK("https://www.wikidata.org/wiki/Q33756706", "Q33756706")</f>
        <v>0</v>
      </c>
      <c r="G4043" t="s">
        <v>2534</v>
      </c>
      <c r="H4043" t="s">
        <v>7094</v>
      </c>
      <c r="I4043" t="s">
        <v>9407</v>
      </c>
      <c r="J4043" t="s">
        <v>13178</v>
      </c>
      <c r="K4043" t="s">
        <v>17584</v>
      </c>
      <c r="L4043">
        <f>HYPERLINK("https://www2.assemblee-nationale.fr/sycomore/fiche/(num_dept)/1645", "1645")</f>
        <v>0</v>
      </c>
      <c r="M4043">
        <f>HYPERLINK("https://www.senat.fr/senateur-3eme-republique/chantemille_joseph0047r3.html", "chantemille_joseph0047r3")</f>
        <v>0</v>
      </c>
      <c r="N4043">
        <f>HYPERLINK("https://www.wikidata.org/wiki/Q3184731", "Q3184731")</f>
        <v>0</v>
      </c>
      <c r="O4043" t="s">
        <v>19999</v>
      </c>
      <c r="Q4043" t="s">
        <v>13445</v>
      </c>
      <c r="R4043" t="s">
        <v>21470</v>
      </c>
      <c r="S4043">
        <v>1287</v>
      </c>
    </row>
    <row r="4044" spans="1:19">
      <c r="A4044" t="s">
        <v>25</v>
      </c>
      <c r="B4044" t="s">
        <v>148</v>
      </c>
      <c r="C4044" t="s">
        <v>157</v>
      </c>
      <c r="D4044" t="s">
        <v>286</v>
      </c>
      <c r="E4044" t="s">
        <v>415</v>
      </c>
      <c r="F4044">
        <f>HYPERLINK("https://www.wikidata.org/wiki/Q33756706", "Q33756706")</f>
        <v>0</v>
      </c>
      <c r="G4044" t="s">
        <v>2535</v>
      </c>
      <c r="H4044" t="s">
        <v>7095</v>
      </c>
      <c r="I4044" t="s">
        <v>10272</v>
      </c>
      <c r="J4044" t="s">
        <v>13179</v>
      </c>
      <c r="K4044" t="s">
        <v>13005</v>
      </c>
      <c r="L4044">
        <f>HYPERLINK("https://www2.assemblee-nationale.fr/sycomore/fiche/(num_dept)/1779", "1779")</f>
        <v>0</v>
      </c>
      <c r="M4044">
        <f>HYPERLINK("https://www.senat.fr/senateur-3eme-republique/chevandier_antoine0726r3.html", "chevandier_antoine0726r3")</f>
        <v>0</v>
      </c>
      <c r="N4044">
        <f>HYPERLINK("https://www.wikidata.org/wiki/Q2853793", "Q2853793")</f>
        <v>0</v>
      </c>
      <c r="O4044" t="s">
        <v>20044</v>
      </c>
      <c r="P4044" t="s">
        <v>20459</v>
      </c>
      <c r="Q4044" t="s">
        <v>13445</v>
      </c>
      <c r="R4044" t="s">
        <v>21463</v>
      </c>
      <c r="S4044">
        <v>1515</v>
      </c>
    </row>
    <row r="4045" spans="1:19">
      <c r="A4045" t="s">
        <v>25</v>
      </c>
      <c r="B4045" t="s">
        <v>148</v>
      </c>
      <c r="C4045" t="s">
        <v>157</v>
      </c>
      <c r="D4045" t="s">
        <v>286</v>
      </c>
      <c r="E4045" t="s">
        <v>415</v>
      </c>
      <c r="F4045">
        <f>HYPERLINK("https://www.wikidata.org/wiki/Q33756706", "Q33756706")</f>
        <v>0</v>
      </c>
      <c r="G4045" t="s">
        <v>2536</v>
      </c>
      <c r="H4045" t="s">
        <v>7096</v>
      </c>
      <c r="I4045" t="s">
        <v>10273</v>
      </c>
      <c r="J4045" t="s">
        <v>13180</v>
      </c>
      <c r="K4045" t="s">
        <v>17585</v>
      </c>
      <c r="L4045">
        <f>HYPERLINK("https://www2.assemblee-nationale.fr/sycomore/fiche/(num_dept)/1799", "1799")</f>
        <v>0</v>
      </c>
      <c r="M4045">
        <f>HYPERLINK("https://www.senat.fr/senateur-3eme-republique/chiris_francois0121r3.html", "chiris_francois0121r3")</f>
        <v>0</v>
      </c>
      <c r="N4045">
        <f>HYPERLINK("https://www.wikidata.org/wiki/Q3270821", "Q3270821")</f>
        <v>0</v>
      </c>
      <c r="O4045" t="s">
        <v>20024</v>
      </c>
      <c r="P4045" t="s">
        <v>20458</v>
      </c>
      <c r="Q4045" t="s">
        <v>13445</v>
      </c>
      <c r="R4045" t="s">
        <v>21471</v>
      </c>
      <c r="S4045">
        <v>146</v>
      </c>
    </row>
    <row r="4046" spans="1:19">
      <c r="A4046" t="s">
        <v>25</v>
      </c>
      <c r="B4046" t="s">
        <v>148</v>
      </c>
      <c r="C4046" t="s">
        <v>157</v>
      </c>
      <c r="D4046" t="s">
        <v>286</v>
      </c>
      <c r="E4046" t="s">
        <v>415</v>
      </c>
      <c r="F4046">
        <f>HYPERLINK("https://www.wikidata.org/wiki/Q33756706", "Q33756706")</f>
        <v>0</v>
      </c>
      <c r="G4046" t="s">
        <v>2537</v>
      </c>
      <c r="H4046" t="s">
        <v>7097</v>
      </c>
      <c r="I4046" t="s">
        <v>10274</v>
      </c>
      <c r="J4046" t="s">
        <v>13181</v>
      </c>
      <c r="K4046" t="s">
        <v>17586</v>
      </c>
      <c r="L4046">
        <f>HYPERLINK("https://www2.assemblee-nationale.fr/sycomore/fiche/(num_dept)/1801", "1801")</f>
        <v>0</v>
      </c>
      <c r="N4046">
        <f>HYPERLINK("https://www.wikidata.org/wiki/Q3140479", "Q3140479")</f>
        <v>0</v>
      </c>
      <c r="O4046" t="s">
        <v>20026</v>
      </c>
      <c r="P4046" t="s">
        <v>20461</v>
      </c>
      <c r="Q4046" t="s">
        <v>13445</v>
      </c>
      <c r="R4046" t="s">
        <v>21463</v>
      </c>
      <c r="S4046">
        <v>1515</v>
      </c>
    </row>
    <row r="4047" spans="1:19">
      <c r="A4047" t="s">
        <v>25</v>
      </c>
      <c r="B4047" t="s">
        <v>148</v>
      </c>
      <c r="C4047" t="s">
        <v>157</v>
      </c>
      <c r="D4047" t="s">
        <v>286</v>
      </c>
      <c r="E4047" t="s">
        <v>415</v>
      </c>
      <c r="F4047">
        <f>HYPERLINK("https://www.wikidata.org/wiki/Q33756706", "Q33756706")</f>
        <v>0</v>
      </c>
      <c r="G4047" t="s">
        <v>2538</v>
      </c>
      <c r="H4047" t="s">
        <v>7098</v>
      </c>
      <c r="I4047" t="s">
        <v>10275</v>
      </c>
      <c r="J4047" t="s">
        <v>13182</v>
      </c>
      <c r="K4047" t="s">
        <v>17587</v>
      </c>
      <c r="L4047">
        <f>HYPERLINK("https://www2.assemblee-nationale.fr/sycomore/fiche/(num_dept)/1818", "1818")</f>
        <v>0</v>
      </c>
      <c r="N4047">
        <f>HYPERLINK("https://www.wikidata.org/wiki/Q2190717", "Q2190717")</f>
        <v>0</v>
      </c>
      <c r="O4047" t="s">
        <v>19957</v>
      </c>
      <c r="P4047" t="s">
        <v>20458</v>
      </c>
      <c r="Q4047" t="s">
        <v>13445</v>
      </c>
      <c r="R4047" t="s">
        <v>21463</v>
      </c>
      <c r="S4047">
        <v>1515</v>
      </c>
    </row>
    <row r="4048" spans="1:19">
      <c r="A4048" t="s">
        <v>25</v>
      </c>
      <c r="B4048" t="s">
        <v>148</v>
      </c>
      <c r="C4048" t="s">
        <v>157</v>
      </c>
      <c r="D4048" t="s">
        <v>286</v>
      </c>
      <c r="E4048" t="s">
        <v>415</v>
      </c>
      <c r="F4048">
        <f>HYPERLINK("https://www.wikidata.org/wiki/Q33756706", "Q33756706")</f>
        <v>0</v>
      </c>
      <c r="G4048" t="s">
        <v>577</v>
      </c>
      <c r="H4048" t="s">
        <v>5339</v>
      </c>
      <c r="I4048" t="s">
        <v>9428</v>
      </c>
      <c r="J4048" t="s">
        <v>11328</v>
      </c>
      <c r="K4048" t="s">
        <v>15729</v>
      </c>
      <c r="L4048">
        <f>HYPERLINK("https://www2.assemblee-nationale.fr/sycomore/fiche/(num_dept)/1822", "1822")</f>
        <v>0</v>
      </c>
      <c r="N4048">
        <f>HYPERLINK("https://www.wikidata.org/wiki/Q2835023", "Q2835023")</f>
        <v>0</v>
      </c>
      <c r="O4048" t="s">
        <v>19967</v>
      </c>
      <c r="P4048" t="s">
        <v>20460</v>
      </c>
      <c r="Q4048" t="s">
        <v>13445</v>
      </c>
      <c r="R4048" t="s">
        <v>21463</v>
      </c>
      <c r="S4048">
        <v>1515</v>
      </c>
    </row>
    <row r="4049" spans="1:19">
      <c r="A4049" t="s">
        <v>25</v>
      </c>
      <c r="B4049" t="s">
        <v>148</v>
      </c>
      <c r="C4049" t="s">
        <v>157</v>
      </c>
      <c r="D4049" t="s">
        <v>286</v>
      </c>
      <c r="E4049" t="s">
        <v>415</v>
      </c>
      <c r="F4049">
        <f>HYPERLINK("https://www.wikidata.org/wiki/Q33756706", "Q33756706")</f>
        <v>0</v>
      </c>
      <c r="G4049" t="s">
        <v>2539</v>
      </c>
      <c r="H4049" t="s">
        <v>7099</v>
      </c>
      <c r="I4049" t="s">
        <v>6175</v>
      </c>
      <c r="J4049" t="s">
        <v>13183</v>
      </c>
      <c r="K4049" t="s">
        <v>17588</v>
      </c>
      <c r="L4049">
        <f>HYPERLINK("https://www2.assemblee-nationale.fr/sycomore/fiche/(num_dept)/1844", "1844")</f>
        <v>0</v>
      </c>
      <c r="M4049">
        <f>HYPERLINK("https://www.senat.fr/senateur-3eme-republique/clemenceau_georges1741r3.html", "clemenceau_georges1741r3")</f>
        <v>0</v>
      </c>
      <c r="N4049">
        <f>HYPERLINK("https://www.wikidata.org/wiki/Q171730", "Q171730")</f>
        <v>0</v>
      </c>
      <c r="O4049" t="s">
        <v>19969</v>
      </c>
      <c r="P4049" t="s">
        <v>20459</v>
      </c>
      <c r="Q4049" t="s">
        <v>13445</v>
      </c>
      <c r="R4049" t="s">
        <v>21463</v>
      </c>
      <c r="S4049">
        <v>1515</v>
      </c>
    </row>
    <row r="4050" spans="1:19">
      <c r="A4050" t="s">
        <v>25</v>
      </c>
      <c r="B4050" t="s">
        <v>148</v>
      </c>
      <c r="C4050" t="s">
        <v>157</v>
      </c>
      <c r="D4050" t="s">
        <v>286</v>
      </c>
      <c r="E4050" t="s">
        <v>415</v>
      </c>
      <c r="F4050">
        <f>HYPERLINK("https://www.wikidata.org/wiki/Q33756706", "Q33756706")</f>
        <v>0</v>
      </c>
      <c r="G4050" t="s">
        <v>2540</v>
      </c>
      <c r="H4050" t="s">
        <v>7100</v>
      </c>
      <c r="I4050" t="s">
        <v>10276</v>
      </c>
      <c r="J4050" t="s">
        <v>13184</v>
      </c>
      <c r="K4050" t="s">
        <v>17589</v>
      </c>
      <c r="L4050">
        <f>HYPERLINK("https://www2.assemblee-nationale.fr/sycomore/fiche/(num_dept)/1878", "1878")</f>
        <v>0</v>
      </c>
      <c r="M4050">
        <f>HYPERLINK("https://www.senat.fr/senateur-3eme-republique/codet_jean1786r3.html", "codet_jean1786r3")</f>
        <v>0</v>
      </c>
      <c r="N4050">
        <f>HYPERLINK("https://www.wikidata.org/wiki/Q3171361", "Q3171361")</f>
        <v>0</v>
      </c>
      <c r="O4050" t="s">
        <v>19977</v>
      </c>
      <c r="Q4050" t="s">
        <v>13445</v>
      </c>
      <c r="R4050" t="s">
        <v>21472</v>
      </c>
      <c r="S4050">
        <v>107</v>
      </c>
    </row>
    <row r="4051" spans="1:19">
      <c r="A4051" t="s">
        <v>25</v>
      </c>
      <c r="B4051" t="s">
        <v>148</v>
      </c>
      <c r="C4051" t="s">
        <v>157</v>
      </c>
      <c r="D4051" t="s">
        <v>286</v>
      </c>
      <c r="E4051" t="s">
        <v>415</v>
      </c>
      <c r="F4051">
        <f>HYPERLINK("https://www.wikidata.org/wiki/Q33756706", "Q33756706")</f>
        <v>0</v>
      </c>
      <c r="G4051" t="s">
        <v>2541</v>
      </c>
      <c r="H4051" t="s">
        <v>7101</v>
      </c>
      <c r="I4051" t="s">
        <v>10277</v>
      </c>
      <c r="J4051" t="s">
        <v>13185</v>
      </c>
      <c r="K4051" t="s">
        <v>17590</v>
      </c>
      <c r="L4051">
        <f>HYPERLINK("https://www2.assemblee-nationale.fr/sycomore/fiche/(num_dept)/1890", "1890")</f>
        <v>0</v>
      </c>
      <c r="N4051">
        <f>HYPERLINK("https://www.wikidata.org/wiki/Q3383298", "Q3383298")</f>
        <v>0</v>
      </c>
      <c r="O4051" t="s">
        <v>20009</v>
      </c>
      <c r="P4051" t="s">
        <v>20460</v>
      </c>
      <c r="Q4051" t="s">
        <v>13445</v>
      </c>
      <c r="R4051" t="s">
        <v>21463</v>
      </c>
      <c r="S4051">
        <v>1515</v>
      </c>
    </row>
    <row r="4052" spans="1:19">
      <c r="A4052" t="s">
        <v>25</v>
      </c>
      <c r="B4052" t="s">
        <v>148</v>
      </c>
      <c r="C4052" t="s">
        <v>157</v>
      </c>
      <c r="D4052" t="s">
        <v>286</v>
      </c>
      <c r="E4052" t="s">
        <v>415</v>
      </c>
      <c r="F4052">
        <f>HYPERLINK("https://www.wikidata.org/wiki/Q33756706", "Q33756706")</f>
        <v>0</v>
      </c>
      <c r="G4052" t="s">
        <v>2542</v>
      </c>
      <c r="H4052" t="s">
        <v>5867</v>
      </c>
      <c r="I4052" t="s">
        <v>9442</v>
      </c>
      <c r="J4052" t="s">
        <v>13186</v>
      </c>
      <c r="K4052" t="s">
        <v>17591</v>
      </c>
      <c r="L4052">
        <f>HYPERLINK("https://www2.assemblee-nationale.fr/sycomore/fiche/(num_dept)/1942", "1942")</f>
        <v>0</v>
      </c>
      <c r="M4052">
        <f>HYPERLINK("https://www.senat.fr/senateur-3eme-republique/constans_ernest0107r3.html", "constans_ernest0107r3")</f>
        <v>0</v>
      </c>
      <c r="N4052">
        <f>HYPERLINK("https://www.wikidata.org/wiki/Q1934639", "Q1934639")</f>
        <v>0</v>
      </c>
      <c r="O4052" t="s">
        <v>20016</v>
      </c>
      <c r="P4052" t="s">
        <v>20459</v>
      </c>
      <c r="Q4052" t="s">
        <v>13445</v>
      </c>
      <c r="R4052" t="s">
        <v>21463</v>
      </c>
      <c r="S4052">
        <v>1515</v>
      </c>
    </row>
    <row r="4053" spans="1:19">
      <c r="A4053" t="s">
        <v>25</v>
      </c>
      <c r="B4053" t="s">
        <v>148</v>
      </c>
      <c r="C4053" t="s">
        <v>157</v>
      </c>
      <c r="D4053" t="s">
        <v>286</v>
      </c>
      <c r="E4053" t="s">
        <v>415</v>
      </c>
      <c r="F4053">
        <f>HYPERLINK("https://www.wikidata.org/wiki/Q33756706", "Q33756706")</f>
        <v>0</v>
      </c>
      <c r="G4053" t="s">
        <v>2543</v>
      </c>
      <c r="H4053" t="s">
        <v>7102</v>
      </c>
      <c r="I4053" t="s">
        <v>9381</v>
      </c>
      <c r="J4053" t="s">
        <v>13187</v>
      </c>
      <c r="K4053" t="s">
        <v>17592</v>
      </c>
      <c r="L4053">
        <f>HYPERLINK("https://www2.assemblee-nationale.fr/sycomore/fiche/(num_dept)/1968", "1968")</f>
        <v>0</v>
      </c>
      <c r="N4053">
        <f>HYPERLINK("https://www.wikidata.org/wiki/Q15971897", "Q15971897")</f>
        <v>0</v>
      </c>
      <c r="O4053" t="s">
        <v>19959</v>
      </c>
      <c r="P4053" t="s">
        <v>20401</v>
      </c>
      <c r="Q4053" t="s">
        <v>13445</v>
      </c>
      <c r="R4053" t="s">
        <v>21463</v>
      </c>
      <c r="S4053">
        <v>1515</v>
      </c>
    </row>
    <row r="4054" spans="1:19">
      <c r="A4054" t="s">
        <v>25</v>
      </c>
      <c r="B4054" t="s">
        <v>148</v>
      </c>
      <c r="C4054" t="s">
        <v>157</v>
      </c>
      <c r="D4054" t="s">
        <v>286</v>
      </c>
      <c r="E4054" t="s">
        <v>415</v>
      </c>
      <c r="F4054">
        <f>HYPERLINK("https://www.wikidata.org/wiki/Q33756706", "Q33756706")</f>
        <v>0</v>
      </c>
      <c r="G4054" t="s">
        <v>2544</v>
      </c>
      <c r="H4054" t="s">
        <v>7103</v>
      </c>
      <c r="I4054" t="s">
        <v>10278</v>
      </c>
      <c r="J4054" t="s">
        <v>13188</v>
      </c>
      <c r="K4054" t="s">
        <v>17593</v>
      </c>
      <c r="L4054">
        <f>HYPERLINK("https://www2.assemblee-nationale.fr/sycomore/fiche/(num_dept)/1974", "1974")</f>
        <v>0</v>
      </c>
      <c r="M4054">
        <f>HYPERLINK("https://www.senat.fr/senateur-3eme-republique/cornil_andre0053r3.html", "cornil_andre0053r3")</f>
        <v>0</v>
      </c>
      <c r="N4054">
        <f>HYPERLINK("https://www.wikidata.org/wiki/Q1388300", "Q1388300")</f>
        <v>0</v>
      </c>
      <c r="O4054" t="s">
        <v>19999</v>
      </c>
      <c r="Q4054" t="s">
        <v>13445</v>
      </c>
      <c r="R4054" t="s">
        <v>21473</v>
      </c>
      <c r="S4054">
        <v>218</v>
      </c>
    </row>
    <row r="4055" spans="1:19">
      <c r="A4055" t="s">
        <v>25</v>
      </c>
      <c r="B4055" t="s">
        <v>148</v>
      </c>
      <c r="C4055" t="s">
        <v>157</v>
      </c>
      <c r="D4055" t="s">
        <v>286</v>
      </c>
      <c r="E4055" t="s">
        <v>415</v>
      </c>
      <c r="F4055">
        <f>HYPERLINK("https://www.wikidata.org/wiki/Q33756706", "Q33756706")</f>
        <v>0</v>
      </c>
      <c r="G4055" t="s">
        <v>2545</v>
      </c>
      <c r="H4055" t="s">
        <v>7104</v>
      </c>
      <c r="I4055" t="s">
        <v>10279</v>
      </c>
      <c r="J4055" t="s">
        <v>13189</v>
      </c>
      <c r="K4055" t="s">
        <v>17594</v>
      </c>
      <c r="L4055">
        <f>HYPERLINK("https://www2.assemblee-nationale.fr/sycomore/fiche/(num_dept)/2120", "2120")</f>
        <v>0</v>
      </c>
      <c r="M4055">
        <f>HYPERLINK("https://www.senat.fr/senateur-3eme-republique/danelle_bernardin_jean0870r3.html", "danelle_bernardin_jean0870r3")</f>
        <v>0</v>
      </c>
      <c r="N4055">
        <f>HYPERLINK("https://www.wikidata.org/wiki/Q3171537", "Q3171537")</f>
        <v>0</v>
      </c>
      <c r="O4055" t="s">
        <v>20022</v>
      </c>
      <c r="Q4055" t="s">
        <v>13445</v>
      </c>
      <c r="R4055" t="s">
        <v>21463</v>
      </c>
      <c r="S4055">
        <v>1515</v>
      </c>
    </row>
    <row r="4056" spans="1:19">
      <c r="A4056" t="s">
        <v>25</v>
      </c>
      <c r="B4056" t="s">
        <v>148</v>
      </c>
      <c r="C4056" t="s">
        <v>157</v>
      </c>
      <c r="D4056" t="s">
        <v>286</v>
      </c>
      <c r="E4056" t="s">
        <v>415</v>
      </c>
      <c r="F4056">
        <f>HYPERLINK("https://www.wikidata.org/wiki/Q33756706", "Q33756706")</f>
        <v>0</v>
      </c>
      <c r="G4056" t="s">
        <v>2546</v>
      </c>
      <c r="H4056" t="s">
        <v>7105</v>
      </c>
      <c r="I4056" t="s">
        <v>10280</v>
      </c>
      <c r="J4056" t="s">
        <v>13190</v>
      </c>
      <c r="K4056" t="s">
        <v>17595</v>
      </c>
      <c r="L4056">
        <f>HYPERLINK("https://www2.assemblee-nationale.fr/sycomore/fiche/(num_dept)/2153", "2153")</f>
        <v>0</v>
      </c>
      <c r="N4056">
        <f>HYPERLINK("https://www.wikidata.org/wiki/Q8319544", "Q8319544")</f>
        <v>0</v>
      </c>
      <c r="O4056" t="s">
        <v>19999</v>
      </c>
      <c r="P4056" t="s">
        <v>20465</v>
      </c>
      <c r="Q4056" t="s">
        <v>13445</v>
      </c>
      <c r="R4056" t="s">
        <v>17595</v>
      </c>
      <c r="S4056">
        <v>914</v>
      </c>
    </row>
    <row r="4057" spans="1:19">
      <c r="A4057" t="s">
        <v>25</v>
      </c>
      <c r="B4057" t="s">
        <v>148</v>
      </c>
      <c r="C4057" t="s">
        <v>157</v>
      </c>
      <c r="D4057" t="s">
        <v>286</v>
      </c>
      <c r="E4057" t="s">
        <v>415</v>
      </c>
      <c r="F4057">
        <f>HYPERLINK("https://www.wikidata.org/wiki/Q33756706", "Q33756706")</f>
        <v>0</v>
      </c>
      <c r="G4057" t="s">
        <v>2547</v>
      </c>
      <c r="H4057" t="s">
        <v>7106</v>
      </c>
      <c r="I4057" t="s">
        <v>10281</v>
      </c>
      <c r="J4057" t="s">
        <v>13191</v>
      </c>
      <c r="K4057" t="s">
        <v>17596</v>
      </c>
      <c r="L4057">
        <f>HYPERLINK("https://www2.assemblee-nationale.fr/sycomore/fiche/(num_dept)/2160", "2160")</f>
        <v>0</v>
      </c>
      <c r="M4057">
        <f>HYPERLINK("https://www.senat.fr/senateur-3eme-republique/daumas_augustin1730r3.html", "daumas_augustin1730r3")</f>
        <v>0</v>
      </c>
      <c r="N4057">
        <f>HYPERLINK("https://www.wikidata.org/wiki/Q2871560", "Q2871560")</f>
        <v>0</v>
      </c>
      <c r="O4057" t="s">
        <v>20042</v>
      </c>
      <c r="P4057" t="s">
        <v>20459</v>
      </c>
      <c r="Q4057" t="s">
        <v>13445</v>
      </c>
      <c r="R4057" t="s">
        <v>21463</v>
      </c>
      <c r="S4057">
        <v>1515</v>
      </c>
    </row>
    <row r="4058" spans="1:19">
      <c r="A4058" t="s">
        <v>25</v>
      </c>
      <c r="B4058" t="s">
        <v>148</v>
      </c>
      <c r="C4058" t="s">
        <v>157</v>
      </c>
      <c r="D4058" t="s">
        <v>286</v>
      </c>
      <c r="E4058" t="s">
        <v>415</v>
      </c>
      <c r="F4058">
        <f>HYPERLINK("https://www.wikidata.org/wiki/Q33756706", "Q33756706")</f>
        <v>0</v>
      </c>
      <c r="G4058" t="s">
        <v>2548</v>
      </c>
      <c r="H4058" t="s">
        <v>7107</v>
      </c>
      <c r="I4058" t="s">
        <v>9455</v>
      </c>
      <c r="J4058" t="s">
        <v>13192</v>
      </c>
      <c r="K4058" t="s">
        <v>17597</v>
      </c>
      <c r="L4058">
        <f>HYPERLINK("https://www2.assemblee-nationale.fr/sycomore/fiche/(num_dept)/2165", "2165")</f>
        <v>0</v>
      </c>
      <c r="M4058">
        <f>HYPERLINK("https://www.senat.fr/senateur-3eme-republique/dautresme_lucien1592r3.html", "dautresme_lucien1592r3")</f>
        <v>0</v>
      </c>
      <c r="N4058">
        <f>HYPERLINK("https://www.wikidata.org/wiki/Q3265453", "Q3265453")</f>
        <v>0</v>
      </c>
      <c r="O4058" t="s">
        <v>19978</v>
      </c>
      <c r="Q4058" t="s">
        <v>13445</v>
      </c>
      <c r="R4058" t="s">
        <v>21463</v>
      </c>
      <c r="S4058">
        <v>1515</v>
      </c>
    </row>
    <row r="4059" spans="1:19">
      <c r="A4059" t="s">
        <v>25</v>
      </c>
      <c r="B4059" t="s">
        <v>148</v>
      </c>
      <c r="C4059" t="s">
        <v>157</v>
      </c>
      <c r="D4059" t="s">
        <v>286</v>
      </c>
      <c r="E4059" t="s">
        <v>415</v>
      </c>
      <c r="F4059">
        <f>HYPERLINK("https://www.wikidata.org/wiki/Q33756706", "Q33756706")</f>
        <v>0</v>
      </c>
      <c r="G4059" t="s">
        <v>605</v>
      </c>
      <c r="H4059" t="s">
        <v>5365</v>
      </c>
      <c r="I4059" t="s">
        <v>9449</v>
      </c>
      <c r="J4059" t="s">
        <v>11356</v>
      </c>
      <c r="K4059" t="s">
        <v>15757</v>
      </c>
      <c r="L4059">
        <f>HYPERLINK("https://www2.assemblee-nationale.fr/sycomore/fiche/(num_dept)/2249", "2249")</f>
        <v>0</v>
      </c>
      <c r="N4059">
        <f>HYPERLINK("https://www.wikidata.org/wiki/Q3188520", "Q3188520")</f>
        <v>0</v>
      </c>
      <c r="O4059" t="s">
        <v>20009</v>
      </c>
      <c r="P4059" t="s">
        <v>20460</v>
      </c>
      <c r="Q4059" t="s">
        <v>13445</v>
      </c>
      <c r="R4059" t="s">
        <v>21463</v>
      </c>
      <c r="S4059">
        <v>1515</v>
      </c>
    </row>
    <row r="4060" spans="1:19">
      <c r="A4060" t="s">
        <v>25</v>
      </c>
      <c r="B4060" t="s">
        <v>148</v>
      </c>
      <c r="C4060" t="s">
        <v>157</v>
      </c>
      <c r="D4060" t="s">
        <v>286</v>
      </c>
      <c r="E4060" t="s">
        <v>415</v>
      </c>
      <c r="F4060">
        <f>HYPERLINK("https://www.wikidata.org/wiki/Q33756706", "Q33756706")</f>
        <v>0</v>
      </c>
      <c r="G4060" t="s">
        <v>2549</v>
      </c>
      <c r="H4060" t="s">
        <v>7108</v>
      </c>
      <c r="I4060" t="s">
        <v>6860</v>
      </c>
      <c r="J4060" t="s">
        <v>13193</v>
      </c>
      <c r="K4060" t="s">
        <v>17598</v>
      </c>
      <c r="L4060">
        <f>HYPERLINK("https://www2.assemblee-nationale.fr/sycomore/fiche/(num_dept)/2353", "2353")</f>
        <v>0</v>
      </c>
      <c r="N4060">
        <f>HYPERLINK("https://www.wikidata.org/wiki/Q3384693", "Q3384693")</f>
        <v>0</v>
      </c>
      <c r="O4060" t="s">
        <v>20043</v>
      </c>
      <c r="P4060" t="s">
        <v>20459</v>
      </c>
      <c r="Q4060" t="s">
        <v>13445</v>
      </c>
      <c r="R4060" t="s">
        <v>21463</v>
      </c>
      <c r="S4060">
        <v>1515</v>
      </c>
    </row>
    <row r="4061" spans="1:19">
      <c r="A4061" t="s">
        <v>25</v>
      </c>
      <c r="B4061" t="s">
        <v>148</v>
      </c>
      <c r="C4061" t="s">
        <v>157</v>
      </c>
      <c r="D4061" t="s">
        <v>286</v>
      </c>
      <c r="E4061" t="s">
        <v>415</v>
      </c>
      <c r="F4061">
        <f>HYPERLINK("https://www.wikidata.org/wiki/Q33756706", "Q33756706")</f>
        <v>0</v>
      </c>
      <c r="G4061" t="s">
        <v>2550</v>
      </c>
      <c r="H4061" t="s">
        <v>7109</v>
      </c>
      <c r="I4061" t="s">
        <v>10282</v>
      </c>
      <c r="J4061" t="s">
        <v>13194</v>
      </c>
      <c r="K4061" t="s">
        <v>17599</v>
      </c>
      <c r="L4061">
        <f>HYPERLINK("https://www2.assemblee-nationale.fr/sycomore/fiche/(num_dept)/2359", "2359")</f>
        <v>0</v>
      </c>
      <c r="M4061">
        <f>HYPERLINK("https://www.senat.fr/senateur-3eme-republique/demarcay_maurice1771r3.html", "demarcay_maurice1771r3")</f>
        <v>0</v>
      </c>
      <c r="N4061">
        <f>HYPERLINK("https://www.wikidata.org/wiki/Q3300667", "Q3300667")</f>
        <v>0</v>
      </c>
      <c r="O4061" t="s">
        <v>19982</v>
      </c>
      <c r="Q4061" t="s">
        <v>13445</v>
      </c>
      <c r="R4061" t="s">
        <v>21463</v>
      </c>
      <c r="S4061">
        <v>1515</v>
      </c>
    </row>
    <row r="4062" spans="1:19">
      <c r="A4062" t="s">
        <v>25</v>
      </c>
      <c r="B4062" t="s">
        <v>148</v>
      </c>
      <c r="C4062" t="s">
        <v>157</v>
      </c>
      <c r="D4062" t="s">
        <v>286</v>
      </c>
      <c r="E4062" t="s">
        <v>415</v>
      </c>
      <c r="F4062">
        <f>HYPERLINK("https://www.wikidata.org/wiki/Q33756706", "Q33756706")</f>
        <v>0</v>
      </c>
      <c r="G4062" t="s">
        <v>2551</v>
      </c>
      <c r="H4062" t="s">
        <v>7110</v>
      </c>
      <c r="I4062" t="s">
        <v>9465</v>
      </c>
      <c r="J4062" t="s">
        <v>13195</v>
      </c>
      <c r="K4062" t="s">
        <v>17600</v>
      </c>
      <c r="L4062">
        <f>HYPERLINK("https://www2.assemblee-nationale.fr/sycomore/fiche/(num_dept)/2369", "2369")</f>
        <v>0</v>
      </c>
      <c r="N4062">
        <f>HYPERLINK("https://www.wikidata.org/wiki/Q3059819", "Q3059819")</f>
        <v>0</v>
      </c>
      <c r="O4062" t="s">
        <v>20039</v>
      </c>
      <c r="P4062" t="s">
        <v>20459</v>
      </c>
      <c r="Q4062" t="s">
        <v>13445</v>
      </c>
      <c r="R4062" t="s">
        <v>21463</v>
      </c>
      <c r="S4062">
        <v>1515</v>
      </c>
    </row>
    <row r="4063" spans="1:19">
      <c r="A4063" t="s">
        <v>25</v>
      </c>
      <c r="B4063" t="s">
        <v>148</v>
      </c>
      <c r="C4063" t="s">
        <v>157</v>
      </c>
      <c r="D4063" t="s">
        <v>286</v>
      </c>
      <c r="E4063" t="s">
        <v>415</v>
      </c>
      <c r="F4063">
        <f>HYPERLINK("https://www.wikidata.org/wiki/Q33756706", "Q33756706")</f>
        <v>0</v>
      </c>
      <c r="G4063" t="s">
        <v>2552</v>
      </c>
      <c r="H4063" t="s">
        <v>7111</v>
      </c>
      <c r="I4063" t="s">
        <v>6584</v>
      </c>
      <c r="J4063" t="s">
        <v>13196</v>
      </c>
      <c r="K4063" t="s">
        <v>17601</v>
      </c>
      <c r="L4063">
        <f>HYPERLINK("https://www2.assemblee-nationale.fr/sycomore/fiche/(num_dept)/2416", "2416")</f>
        <v>0</v>
      </c>
      <c r="N4063">
        <f>HYPERLINK("https://www.wikidata.org/wiki/Q16025572", "Q16025572")</f>
        <v>0</v>
      </c>
      <c r="O4063" t="s">
        <v>20003</v>
      </c>
      <c r="P4063" t="s">
        <v>20461</v>
      </c>
      <c r="Q4063" t="s">
        <v>13445</v>
      </c>
      <c r="R4063" t="s">
        <v>21463</v>
      </c>
      <c r="S4063">
        <v>1515</v>
      </c>
    </row>
    <row r="4064" spans="1:19">
      <c r="A4064" t="s">
        <v>25</v>
      </c>
      <c r="B4064" t="s">
        <v>148</v>
      </c>
      <c r="C4064" t="s">
        <v>157</v>
      </c>
      <c r="D4064" t="s">
        <v>286</v>
      </c>
      <c r="E4064" t="s">
        <v>415</v>
      </c>
      <c r="F4064">
        <f>HYPERLINK("https://www.wikidata.org/wiki/Q33756706", "Q33756706")</f>
        <v>0</v>
      </c>
      <c r="G4064" t="s">
        <v>2553</v>
      </c>
      <c r="H4064" t="s">
        <v>7112</v>
      </c>
      <c r="I4064" t="s">
        <v>9553</v>
      </c>
      <c r="J4064" t="s">
        <v>13197</v>
      </c>
      <c r="K4064" t="s">
        <v>17602</v>
      </c>
      <c r="L4064">
        <f>HYPERLINK("https://www2.assemblee-nationale.fr/sycomore/fiche/(num_dept)/2463", "2463")</f>
        <v>0</v>
      </c>
      <c r="M4064">
        <f>HYPERLINK("https://www.senat.fr/senateur-3eme-republique/dethou_alexandre1848r3.html", "dethou_alexandre1848r3")</f>
        <v>0</v>
      </c>
      <c r="N4064">
        <f>HYPERLINK("https://www.wikidata.org/wiki/Q2833598", "Q2833598")</f>
        <v>0</v>
      </c>
      <c r="O4064" t="s">
        <v>20034</v>
      </c>
      <c r="P4064" t="s">
        <v>20461</v>
      </c>
      <c r="Q4064" t="s">
        <v>13445</v>
      </c>
      <c r="R4064" t="s">
        <v>21463</v>
      </c>
      <c r="S4064">
        <v>1515</v>
      </c>
    </row>
    <row r="4065" spans="1:19">
      <c r="A4065" t="s">
        <v>25</v>
      </c>
      <c r="B4065" t="s">
        <v>148</v>
      </c>
      <c r="C4065" t="s">
        <v>157</v>
      </c>
      <c r="D4065" t="s">
        <v>286</v>
      </c>
      <c r="E4065" t="s">
        <v>415</v>
      </c>
      <c r="F4065">
        <f>HYPERLINK("https://www.wikidata.org/wiki/Q33756706", "Q33756706")</f>
        <v>0</v>
      </c>
      <c r="G4065" t="s">
        <v>2554</v>
      </c>
      <c r="H4065" t="s">
        <v>7113</v>
      </c>
      <c r="I4065" t="s">
        <v>9449</v>
      </c>
      <c r="J4065" t="s">
        <v>13198</v>
      </c>
      <c r="K4065" t="s">
        <v>17603</v>
      </c>
      <c r="L4065">
        <f>HYPERLINK("https://www2.assemblee-nationale.fr/sycomore/fiche/(num_dept)/2474", "2474")</f>
        <v>0</v>
      </c>
      <c r="M4065">
        <f>HYPERLINK("https://www.senat.fr/senateur-3eme-republique/develle_jules1013r3.html", "develle_jules1013r3")</f>
        <v>0</v>
      </c>
      <c r="N4065">
        <f>HYPERLINK("https://www.wikidata.org/wiki/Q939193", "Q939193")</f>
        <v>0</v>
      </c>
      <c r="O4065" t="s">
        <v>19992</v>
      </c>
      <c r="P4065" t="s">
        <v>20459</v>
      </c>
      <c r="Q4065" t="s">
        <v>13445</v>
      </c>
      <c r="R4065" t="s">
        <v>21463</v>
      </c>
      <c r="S4065">
        <v>1515</v>
      </c>
    </row>
    <row r="4066" spans="1:19">
      <c r="A4066" t="s">
        <v>25</v>
      </c>
      <c r="B4066" t="s">
        <v>148</v>
      </c>
      <c r="C4066" t="s">
        <v>157</v>
      </c>
      <c r="D4066" t="s">
        <v>286</v>
      </c>
      <c r="E4066" t="s">
        <v>415</v>
      </c>
      <c r="F4066">
        <f>HYPERLINK("https://www.wikidata.org/wiki/Q33756706", "Q33756706")</f>
        <v>0</v>
      </c>
      <c r="G4066" t="s">
        <v>2555</v>
      </c>
      <c r="H4066" t="s">
        <v>7114</v>
      </c>
      <c r="I4066" t="s">
        <v>10283</v>
      </c>
      <c r="J4066" t="s">
        <v>13199</v>
      </c>
      <c r="K4066" t="s">
        <v>12522</v>
      </c>
      <c r="L4066">
        <f>HYPERLINK("https://www2.assemblee-nationale.fr/sycomore/fiche/(num_dept)/2577", "2577")</f>
        <v>0</v>
      </c>
      <c r="N4066">
        <f>HYPERLINK("https://www.wikidata.org/wiki/Q5624188", "Q5624188")</f>
        <v>0</v>
      </c>
      <c r="O4066" t="s">
        <v>20012</v>
      </c>
      <c r="Q4066" t="s">
        <v>13445</v>
      </c>
      <c r="R4066" t="s">
        <v>21463</v>
      </c>
      <c r="S4066">
        <v>1515</v>
      </c>
    </row>
    <row r="4067" spans="1:19">
      <c r="A4067" t="s">
        <v>25</v>
      </c>
      <c r="B4067" t="s">
        <v>148</v>
      </c>
      <c r="C4067" t="s">
        <v>157</v>
      </c>
      <c r="D4067" t="s">
        <v>286</v>
      </c>
      <c r="E4067" t="s">
        <v>415</v>
      </c>
      <c r="F4067">
        <f>HYPERLINK("https://www.wikidata.org/wiki/Q33756706", "Q33756706")</f>
        <v>0</v>
      </c>
      <c r="G4067" t="s">
        <v>2556</v>
      </c>
      <c r="H4067" t="s">
        <v>7115</v>
      </c>
      <c r="I4067" t="s">
        <v>10284</v>
      </c>
      <c r="J4067" t="s">
        <v>13200</v>
      </c>
      <c r="K4067" t="s">
        <v>17604</v>
      </c>
      <c r="L4067">
        <f>HYPERLINK("https://www2.assemblee-nationale.fr/sycomore/fiche/(num_dept)/2601", "2601")</f>
        <v>0</v>
      </c>
      <c r="M4067">
        <f>HYPERLINK("https://www.senat.fr/senateur-3eme-republique/drumel_etienne0172r3.html", "drumel_etienne0172r3")</f>
        <v>0</v>
      </c>
      <c r="N4067">
        <f>HYPERLINK("https://www.wikidata.org/wiki/Q3592144", "Q3592144")</f>
        <v>0</v>
      </c>
      <c r="O4067" t="s">
        <v>19959</v>
      </c>
      <c r="Q4067" t="s">
        <v>13445</v>
      </c>
      <c r="R4067" t="s">
        <v>21463</v>
      </c>
      <c r="S4067">
        <v>1515</v>
      </c>
    </row>
    <row r="4068" spans="1:19">
      <c r="A4068" t="s">
        <v>25</v>
      </c>
      <c r="B4068" t="s">
        <v>148</v>
      </c>
      <c r="C4068" t="s">
        <v>157</v>
      </c>
      <c r="D4068" t="s">
        <v>286</v>
      </c>
      <c r="E4068" t="s">
        <v>415</v>
      </c>
      <c r="F4068">
        <f>HYPERLINK("https://www.wikidata.org/wiki/Q33756706", "Q33756706")</f>
        <v>0</v>
      </c>
      <c r="G4068" t="s">
        <v>2557</v>
      </c>
      <c r="H4068" t="s">
        <v>7116</v>
      </c>
      <c r="I4068" t="s">
        <v>10285</v>
      </c>
      <c r="J4068" t="s">
        <v>13201</v>
      </c>
      <c r="K4068" t="s">
        <v>17605</v>
      </c>
      <c r="L4068">
        <f>HYPERLINK("https://www2.assemblee-nationale.fr/sycomore/fiche/(num_dept)/2605", "2605")</f>
        <v>0</v>
      </c>
      <c r="N4068">
        <f>HYPERLINK("https://www.wikidata.org/wiki/Q2959275", "Q2959275")</f>
        <v>0</v>
      </c>
      <c r="O4068" t="s">
        <v>19961</v>
      </c>
      <c r="P4068" t="s">
        <v>20460</v>
      </c>
      <c r="Q4068" t="s">
        <v>13445</v>
      </c>
      <c r="R4068" t="s">
        <v>21463</v>
      </c>
      <c r="S4068">
        <v>1515</v>
      </c>
    </row>
    <row r="4069" spans="1:19">
      <c r="A4069" t="s">
        <v>25</v>
      </c>
      <c r="B4069" t="s">
        <v>148</v>
      </c>
      <c r="C4069" t="s">
        <v>157</v>
      </c>
      <c r="D4069" t="s">
        <v>286</v>
      </c>
      <c r="E4069" t="s">
        <v>415</v>
      </c>
      <c r="F4069">
        <f>HYPERLINK("https://www.wikidata.org/wiki/Q33756706", "Q33756706")</f>
        <v>0</v>
      </c>
      <c r="G4069" t="s">
        <v>2558</v>
      </c>
      <c r="H4069" t="s">
        <v>5695</v>
      </c>
      <c r="I4069" t="s">
        <v>10286</v>
      </c>
      <c r="J4069" t="s">
        <v>13202</v>
      </c>
      <c r="K4069" t="s">
        <v>17606</v>
      </c>
      <c r="L4069">
        <f>HYPERLINK("https://www2.assemblee-nationale.fr/sycomore/fiche/(num_dept)/2620", "2620")</f>
        <v>0</v>
      </c>
      <c r="N4069">
        <f>HYPERLINK("https://www.wikidata.org/wiki/Q3083859", "Q3083859")</f>
        <v>0</v>
      </c>
      <c r="O4069" t="s">
        <v>20002</v>
      </c>
      <c r="P4069" t="s">
        <v>20401</v>
      </c>
      <c r="Q4069" t="s">
        <v>13445</v>
      </c>
      <c r="R4069" t="s">
        <v>21463</v>
      </c>
      <c r="S4069">
        <v>1515</v>
      </c>
    </row>
    <row r="4070" spans="1:19">
      <c r="A4070" t="s">
        <v>25</v>
      </c>
      <c r="B4070" t="s">
        <v>148</v>
      </c>
      <c r="C4070" t="s">
        <v>157</v>
      </c>
      <c r="D4070" t="s">
        <v>286</v>
      </c>
      <c r="E4070" t="s">
        <v>415</v>
      </c>
      <c r="F4070">
        <f>HYPERLINK("https://www.wikidata.org/wiki/Q33756706", "Q33756706")</f>
        <v>0</v>
      </c>
      <c r="G4070" t="s">
        <v>2559</v>
      </c>
      <c r="H4070" t="s">
        <v>7117</v>
      </c>
      <c r="I4070" t="s">
        <v>10017</v>
      </c>
      <c r="J4070" t="s">
        <v>13203</v>
      </c>
      <c r="K4070" t="s">
        <v>17607</v>
      </c>
      <c r="L4070">
        <f>HYPERLINK("https://www2.assemblee-nationale.fr/sycomore/fiche/(num_dept)/2632", "2632")</f>
        <v>0</v>
      </c>
      <c r="M4070">
        <f>HYPERLINK("https://www.senat.fr/senateur-3eme-republique/dubost_antonin1187r3.html", "dubost_antonin1187r3")</f>
        <v>0</v>
      </c>
      <c r="N4070">
        <f>HYPERLINK("https://www.wikidata.org/wiki/Q2857118", "Q2857118")</f>
        <v>0</v>
      </c>
      <c r="O4070" t="s">
        <v>20006</v>
      </c>
      <c r="P4070" t="s">
        <v>20459</v>
      </c>
      <c r="Q4070" t="s">
        <v>13445</v>
      </c>
      <c r="R4070" t="s">
        <v>21463</v>
      </c>
      <c r="S4070">
        <v>1515</v>
      </c>
    </row>
    <row r="4071" spans="1:19">
      <c r="A4071" t="s">
        <v>25</v>
      </c>
      <c r="B4071" t="s">
        <v>148</v>
      </c>
      <c r="C4071" t="s">
        <v>157</v>
      </c>
      <c r="D4071" t="s">
        <v>286</v>
      </c>
      <c r="E4071" t="s">
        <v>415</v>
      </c>
      <c r="F4071">
        <f>HYPERLINK("https://www.wikidata.org/wiki/Q33756706", "Q33756706")</f>
        <v>0</v>
      </c>
      <c r="G4071" t="s">
        <v>2560</v>
      </c>
      <c r="H4071" t="s">
        <v>7118</v>
      </c>
      <c r="I4071" t="s">
        <v>9474</v>
      </c>
      <c r="J4071" t="s">
        <v>13204</v>
      </c>
      <c r="K4071" t="s">
        <v>17608</v>
      </c>
      <c r="L4071">
        <f>HYPERLINK("https://www2.assemblee-nationale.fr/sycomore/fiche/(num_dept)/2643", "2643")</f>
        <v>0</v>
      </c>
      <c r="N4071">
        <f>HYPERLINK("https://www.wikidata.org/wiki/Q3164037", "Q3164037")</f>
        <v>0</v>
      </c>
      <c r="O4071" t="s">
        <v>20005</v>
      </c>
      <c r="P4071" t="s">
        <v>20463</v>
      </c>
      <c r="Q4071" t="s">
        <v>13445</v>
      </c>
      <c r="R4071" t="s">
        <v>21463</v>
      </c>
      <c r="S4071">
        <v>1515</v>
      </c>
    </row>
    <row r="4072" spans="1:19">
      <c r="A4072" t="s">
        <v>25</v>
      </c>
      <c r="B4072" t="s">
        <v>148</v>
      </c>
      <c r="C4072" t="s">
        <v>157</v>
      </c>
      <c r="D4072" t="s">
        <v>286</v>
      </c>
      <c r="E4072" t="s">
        <v>415</v>
      </c>
      <c r="F4072">
        <f>HYPERLINK("https://www.wikidata.org/wiki/Q33756706", "Q33756706")</f>
        <v>0</v>
      </c>
      <c r="G4072" t="s">
        <v>2561</v>
      </c>
      <c r="H4072" t="s">
        <v>7119</v>
      </c>
      <c r="I4072" t="s">
        <v>6585</v>
      </c>
      <c r="J4072" t="s">
        <v>13205</v>
      </c>
      <c r="K4072" t="s">
        <v>17609</v>
      </c>
      <c r="L4072">
        <f>HYPERLINK("https://www2.assemblee-nationale.fr/sycomore/fiche/(num_dept)/2650", "2650")</f>
        <v>0</v>
      </c>
      <c r="N4072">
        <f>HYPERLINK("https://www.wikidata.org/wiki/Q16025623", "Q16025623")</f>
        <v>0</v>
      </c>
      <c r="O4072" t="s">
        <v>20031</v>
      </c>
      <c r="P4072" t="s">
        <v>20459</v>
      </c>
      <c r="Q4072" t="s">
        <v>13445</v>
      </c>
      <c r="R4072" t="s">
        <v>21463</v>
      </c>
      <c r="S4072">
        <v>1515</v>
      </c>
    </row>
    <row r="4073" spans="1:19">
      <c r="A4073" t="s">
        <v>25</v>
      </c>
      <c r="B4073" t="s">
        <v>148</v>
      </c>
      <c r="C4073" t="s">
        <v>157</v>
      </c>
      <c r="D4073" t="s">
        <v>286</v>
      </c>
      <c r="E4073" t="s">
        <v>415</v>
      </c>
      <c r="F4073">
        <f>HYPERLINK("https://www.wikidata.org/wiki/Q33756706", "Q33756706")</f>
        <v>0</v>
      </c>
      <c r="G4073" t="s">
        <v>2562</v>
      </c>
      <c r="H4073" t="s">
        <v>7120</v>
      </c>
      <c r="I4073" t="s">
        <v>6584</v>
      </c>
      <c r="J4073" t="s">
        <v>13206</v>
      </c>
      <c r="K4073" t="s">
        <v>17610</v>
      </c>
      <c r="L4073">
        <f>HYPERLINK("https://www2.assemblee-nationale.fr/sycomore/fiche/(num_dept)/2661", "2661")</f>
        <v>0</v>
      </c>
      <c r="N4073">
        <f>HYPERLINK("https://www.wikidata.org/wiki/Q2831135", "Q2831135")</f>
        <v>0</v>
      </c>
      <c r="O4073" t="s">
        <v>20018</v>
      </c>
      <c r="P4073" t="s">
        <v>20459</v>
      </c>
      <c r="Q4073" t="s">
        <v>13445</v>
      </c>
      <c r="R4073" t="s">
        <v>21463</v>
      </c>
      <c r="S4073">
        <v>1515</v>
      </c>
    </row>
    <row r="4074" spans="1:19">
      <c r="A4074" t="s">
        <v>25</v>
      </c>
      <c r="B4074" t="s">
        <v>148</v>
      </c>
      <c r="C4074" t="s">
        <v>157</v>
      </c>
      <c r="D4074" t="s">
        <v>286</v>
      </c>
      <c r="E4074" t="s">
        <v>415</v>
      </c>
      <c r="F4074">
        <f>HYPERLINK("https://www.wikidata.org/wiki/Q33756706", "Q33756706")</f>
        <v>0</v>
      </c>
      <c r="G4074" t="s">
        <v>2563</v>
      </c>
      <c r="H4074" t="s">
        <v>5388</v>
      </c>
      <c r="I4074" t="s">
        <v>9465</v>
      </c>
      <c r="J4074" t="s">
        <v>13207</v>
      </c>
      <c r="K4074" t="s">
        <v>17611</v>
      </c>
      <c r="L4074">
        <f>HYPERLINK("https://www2.assemblee-nationale.fr/sycomore/fiche/(num_dept)/2754", "2754")</f>
        <v>0</v>
      </c>
      <c r="N4074">
        <f>HYPERLINK("https://www.wikidata.org/wiki/Q3059841", "Q3059841")</f>
        <v>0</v>
      </c>
      <c r="O4074" t="s">
        <v>19998</v>
      </c>
      <c r="P4074" t="s">
        <v>20461</v>
      </c>
      <c r="Q4074" t="s">
        <v>13445</v>
      </c>
      <c r="R4074" t="s">
        <v>21463</v>
      </c>
      <c r="S4074">
        <v>1515</v>
      </c>
    </row>
    <row r="4075" spans="1:19">
      <c r="A4075" t="s">
        <v>25</v>
      </c>
      <c r="B4075" t="s">
        <v>148</v>
      </c>
      <c r="C4075" t="s">
        <v>157</v>
      </c>
      <c r="D4075" t="s">
        <v>286</v>
      </c>
      <c r="E4075" t="s">
        <v>415</v>
      </c>
      <c r="F4075">
        <f>HYPERLINK("https://www.wikidata.org/wiki/Q33756706", "Q33756706")</f>
        <v>0</v>
      </c>
      <c r="G4075" t="s">
        <v>2564</v>
      </c>
      <c r="H4075" t="s">
        <v>7121</v>
      </c>
      <c r="I4075" t="s">
        <v>10287</v>
      </c>
      <c r="J4075" t="s">
        <v>13208</v>
      </c>
      <c r="K4075" t="s">
        <v>17612</v>
      </c>
      <c r="L4075">
        <f>HYPERLINK("https://www2.assemblee-nationale.fr/sycomore/fiche/(num_dept)/2770", "2770")</f>
        <v>0</v>
      </c>
      <c r="N4075">
        <f>HYPERLINK("https://www.wikidata.org/wiki/Q16025658", "Q16025658")</f>
        <v>0</v>
      </c>
      <c r="O4075" t="s">
        <v>19966</v>
      </c>
      <c r="P4075" t="s">
        <v>20459</v>
      </c>
      <c r="Q4075" t="s">
        <v>13445</v>
      </c>
      <c r="R4075" t="s">
        <v>17612</v>
      </c>
      <c r="S4075">
        <v>1394</v>
      </c>
    </row>
    <row r="4076" spans="1:19">
      <c r="A4076" t="s">
        <v>25</v>
      </c>
      <c r="B4076" t="s">
        <v>148</v>
      </c>
      <c r="C4076" t="s">
        <v>157</v>
      </c>
      <c r="D4076" t="s">
        <v>286</v>
      </c>
      <c r="E4076" t="s">
        <v>415</v>
      </c>
      <c r="F4076">
        <f>HYPERLINK("https://www.wikidata.org/wiki/Q33756706", "Q33756706")</f>
        <v>0</v>
      </c>
      <c r="G4076" t="s">
        <v>2565</v>
      </c>
      <c r="H4076" t="s">
        <v>7122</v>
      </c>
      <c r="I4076" t="s">
        <v>10288</v>
      </c>
      <c r="J4076" t="s">
        <v>13209</v>
      </c>
      <c r="K4076" t="s">
        <v>13113</v>
      </c>
      <c r="L4076">
        <f>HYPERLINK("https://www2.assemblee-nationale.fr/sycomore/fiche/(num_dept)/2808", "2808")</f>
        <v>0</v>
      </c>
      <c r="N4076">
        <f>HYPERLINK("https://www.wikidata.org/wiki/Q16025664", "Q16025664")</f>
        <v>0</v>
      </c>
      <c r="O4076" t="s">
        <v>19978</v>
      </c>
      <c r="P4076" t="s">
        <v>20459</v>
      </c>
      <c r="Q4076" t="s">
        <v>13445</v>
      </c>
      <c r="R4076" t="s">
        <v>21463</v>
      </c>
      <c r="S4076">
        <v>1515</v>
      </c>
    </row>
    <row r="4077" spans="1:19">
      <c r="A4077" t="s">
        <v>25</v>
      </c>
      <c r="B4077" t="s">
        <v>148</v>
      </c>
      <c r="C4077" t="s">
        <v>157</v>
      </c>
      <c r="D4077" t="s">
        <v>286</v>
      </c>
      <c r="E4077" t="s">
        <v>415</v>
      </c>
      <c r="F4077">
        <f>HYPERLINK("https://www.wikidata.org/wiki/Q33756706", "Q33756706")</f>
        <v>0</v>
      </c>
      <c r="G4077" t="s">
        <v>2566</v>
      </c>
      <c r="H4077" t="s">
        <v>7123</v>
      </c>
      <c r="I4077" t="s">
        <v>9401</v>
      </c>
      <c r="J4077" t="s">
        <v>13210</v>
      </c>
      <c r="K4077" t="s">
        <v>17613</v>
      </c>
      <c r="L4077">
        <f>HYPERLINK("https://www2.assemblee-nationale.fr/sycomore/fiche/(num_dept)/2835", "2835")</f>
        <v>0</v>
      </c>
      <c r="N4077">
        <f>HYPERLINK("https://www.wikidata.org/wiki/Q16025669", "Q16025669")</f>
        <v>0</v>
      </c>
      <c r="O4077" t="s">
        <v>20010</v>
      </c>
      <c r="P4077" t="s">
        <v>20459</v>
      </c>
      <c r="Q4077" t="s">
        <v>13445</v>
      </c>
      <c r="R4077" t="s">
        <v>21463</v>
      </c>
      <c r="S4077">
        <v>1515</v>
      </c>
    </row>
    <row r="4078" spans="1:19">
      <c r="A4078" t="s">
        <v>25</v>
      </c>
      <c r="B4078" t="s">
        <v>148</v>
      </c>
      <c r="C4078" t="s">
        <v>157</v>
      </c>
      <c r="D4078" t="s">
        <v>286</v>
      </c>
      <c r="E4078" t="s">
        <v>415</v>
      </c>
      <c r="F4078">
        <f>HYPERLINK("https://www.wikidata.org/wiki/Q33756706", "Q33756706")</f>
        <v>0</v>
      </c>
      <c r="G4078" t="s">
        <v>2567</v>
      </c>
      <c r="H4078" t="s">
        <v>7124</v>
      </c>
      <c r="I4078" t="s">
        <v>9612</v>
      </c>
      <c r="J4078" t="s">
        <v>13211</v>
      </c>
      <c r="K4078" t="s">
        <v>17614</v>
      </c>
      <c r="L4078">
        <f>HYPERLINK("https://www2.assemblee-nationale.fr/sycomore/fiche/(num_dept)/2837", "2837")</f>
        <v>0</v>
      </c>
      <c r="N4078">
        <f>HYPERLINK("https://www.wikidata.org/wiki/Q16011198", "Q16011198")</f>
        <v>0</v>
      </c>
      <c r="O4078" t="s">
        <v>20001</v>
      </c>
      <c r="Q4078" t="s">
        <v>13445</v>
      </c>
      <c r="R4078" t="s">
        <v>21463</v>
      </c>
      <c r="S4078">
        <v>1515</v>
      </c>
    </row>
    <row r="4079" spans="1:19">
      <c r="A4079" t="s">
        <v>25</v>
      </c>
      <c r="B4079" t="s">
        <v>148</v>
      </c>
      <c r="C4079" t="s">
        <v>157</v>
      </c>
      <c r="D4079" t="s">
        <v>286</v>
      </c>
      <c r="E4079" t="s">
        <v>415</v>
      </c>
      <c r="F4079">
        <f>HYPERLINK("https://www.wikidata.org/wiki/Q33756706", "Q33756706")</f>
        <v>0</v>
      </c>
      <c r="G4079" t="s">
        <v>2568</v>
      </c>
      <c r="H4079" t="s">
        <v>7125</v>
      </c>
      <c r="I4079" t="s">
        <v>10289</v>
      </c>
      <c r="J4079" t="s">
        <v>13212</v>
      </c>
      <c r="K4079" t="s">
        <v>17615</v>
      </c>
      <c r="L4079">
        <f>HYPERLINK("https://www2.assemblee-nationale.fr/sycomore/fiche/(num_dept)/2839", "2839")</f>
        <v>0</v>
      </c>
      <c r="N4079">
        <f>HYPERLINK("https://www.wikidata.org/wiki/Q3059850", "Q3059850")</f>
        <v>0</v>
      </c>
      <c r="O4079" t="s">
        <v>20037</v>
      </c>
      <c r="P4079" t="s">
        <v>20460</v>
      </c>
      <c r="Q4079" t="s">
        <v>13445</v>
      </c>
      <c r="R4079" t="s">
        <v>21463</v>
      </c>
      <c r="S4079">
        <v>1515</v>
      </c>
    </row>
    <row r="4080" spans="1:19">
      <c r="A4080" t="s">
        <v>25</v>
      </c>
      <c r="B4080" t="s">
        <v>148</v>
      </c>
      <c r="C4080" t="s">
        <v>157</v>
      </c>
      <c r="D4080" t="s">
        <v>286</v>
      </c>
      <c r="E4080" t="s">
        <v>415</v>
      </c>
      <c r="F4080">
        <f>HYPERLINK("https://www.wikidata.org/wiki/Q33756706", "Q33756706")</f>
        <v>0</v>
      </c>
      <c r="G4080" t="s">
        <v>2569</v>
      </c>
      <c r="H4080" t="s">
        <v>7126</v>
      </c>
      <c r="I4080" t="s">
        <v>10290</v>
      </c>
      <c r="J4080" t="s">
        <v>13213</v>
      </c>
      <c r="K4080" t="s">
        <v>17616</v>
      </c>
      <c r="L4080">
        <f>HYPERLINK("https://www2.assemblee-nationale.fr/sycomore/fiche/(num_dept)/2849", "2849")</f>
        <v>0</v>
      </c>
      <c r="N4080">
        <f>HYPERLINK("https://www.wikidata.org/wiki/Q8324733", "Q8324733")</f>
        <v>0</v>
      </c>
      <c r="O4080" t="s">
        <v>20032</v>
      </c>
      <c r="P4080" t="s">
        <v>20464</v>
      </c>
      <c r="Q4080" t="s">
        <v>13445</v>
      </c>
      <c r="R4080" t="s">
        <v>21463</v>
      </c>
      <c r="S4080">
        <v>1515</v>
      </c>
    </row>
    <row r="4081" spans="1:19">
      <c r="A4081" t="s">
        <v>25</v>
      </c>
      <c r="B4081" t="s">
        <v>148</v>
      </c>
      <c r="C4081" t="s">
        <v>157</v>
      </c>
      <c r="D4081" t="s">
        <v>286</v>
      </c>
      <c r="E4081" t="s">
        <v>415</v>
      </c>
      <c r="F4081">
        <f>HYPERLINK("https://www.wikidata.org/wiki/Q33756706", "Q33756706")</f>
        <v>0</v>
      </c>
      <c r="G4081" t="s">
        <v>635</v>
      </c>
      <c r="H4081" t="s">
        <v>5394</v>
      </c>
      <c r="I4081" t="s">
        <v>9465</v>
      </c>
      <c r="J4081" t="s">
        <v>11385</v>
      </c>
      <c r="K4081" t="s">
        <v>15787</v>
      </c>
      <c r="L4081">
        <f>HYPERLINK("https://www2.assemblee-nationale.fr/sycomore/fiche/(num_dept)/2861", "2861")</f>
        <v>0</v>
      </c>
      <c r="M4081">
        <f>HYPERLINK("https://www.senat.fr/senateur-3eme-republique/etienne_eugene1824r3.html", "etienne_eugene1824r3")</f>
        <v>0</v>
      </c>
      <c r="N4081">
        <f>HYPERLINK("https://www.wikidata.org/wiki/Q2612305", "Q2612305")</f>
        <v>0</v>
      </c>
      <c r="O4081" t="s">
        <v>20000</v>
      </c>
      <c r="Q4081" t="s">
        <v>13445</v>
      </c>
      <c r="R4081" t="s">
        <v>21463</v>
      </c>
      <c r="S4081">
        <v>1515</v>
      </c>
    </row>
    <row r="4082" spans="1:19">
      <c r="A4082" t="s">
        <v>25</v>
      </c>
      <c r="B4082" t="s">
        <v>148</v>
      </c>
      <c r="C4082" t="s">
        <v>157</v>
      </c>
      <c r="D4082" t="s">
        <v>286</v>
      </c>
      <c r="E4082" t="s">
        <v>415</v>
      </c>
      <c r="F4082">
        <f>HYPERLINK("https://www.wikidata.org/wiki/Q33756706", "Q33756706")</f>
        <v>0</v>
      </c>
      <c r="G4082" t="s">
        <v>2570</v>
      </c>
      <c r="H4082" t="s">
        <v>6156</v>
      </c>
      <c r="I4082" t="s">
        <v>7790</v>
      </c>
      <c r="J4082" t="s">
        <v>13214</v>
      </c>
      <c r="K4082" t="s">
        <v>17617</v>
      </c>
      <c r="L4082">
        <f>HYPERLINK("https://www2.assemblee-nationale.fr/sycomore/fiche/(num_dept)/2901", "2901")</f>
        <v>0</v>
      </c>
      <c r="M4082">
        <f>HYPERLINK("https://www.senat.fr/senateur-3eme-republique/fallieres_armand0754r3.html", "fallieres_armand0754r3")</f>
        <v>0</v>
      </c>
      <c r="N4082">
        <f>HYPERLINK("https://www.wikidata.org/wiki/Q296673", "Q296673")</f>
        <v>0</v>
      </c>
      <c r="O4082" t="s">
        <v>20043</v>
      </c>
      <c r="P4082" t="s">
        <v>20457</v>
      </c>
      <c r="Q4082" t="s">
        <v>13445</v>
      </c>
      <c r="R4082" t="s">
        <v>21463</v>
      </c>
      <c r="S4082">
        <v>1515</v>
      </c>
    </row>
    <row r="4083" spans="1:19">
      <c r="A4083" t="s">
        <v>25</v>
      </c>
      <c r="B4083" t="s">
        <v>148</v>
      </c>
      <c r="C4083" t="s">
        <v>157</v>
      </c>
      <c r="D4083" t="s">
        <v>286</v>
      </c>
      <c r="E4083" t="s">
        <v>415</v>
      </c>
      <c r="F4083">
        <f>HYPERLINK("https://www.wikidata.org/wiki/Q33756706", "Q33756706")</f>
        <v>0</v>
      </c>
      <c r="G4083" t="s">
        <v>2571</v>
      </c>
      <c r="H4083" t="s">
        <v>7127</v>
      </c>
      <c r="I4083" t="s">
        <v>9681</v>
      </c>
      <c r="J4083" t="s">
        <v>13215</v>
      </c>
      <c r="K4083" t="s">
        <v>17618</v>
      </c>
      <c r="L4083">
        <f>HYPERLINK("https://www2.assemblee-nationale.fr/sycomore/fiche/(num_dept)/2903", "2903")</f>
        <v>0</v>
      </c>
      <c r="N4083">
        <f>HYPERLINK("https://www.wikidata.org/wiki/Q16025681", "Q16025681")</f>
        <v>0</v>
      </c>
      <c r="O4083" t="s">
        <v>19968</v>
      </c>
      <c r="Q4083" t="s">
        <v>13445</v>
      </c>
      <c r="R4083" t="s">
        <v>21463</v>
      </c>
      <c r="S4083">
        <v>1515</v>
      </c>
    </row>
    <row r="4084" spans="1:19">
      <c r="A4084" t="s">
        <v>25</v>
      </c>
      <c r="B4084" t="s">
        <v>148</v>
      </c>
      <c r="C4084" t="s">
        <v>157</v>
      </c>
      <c r="D4084" t="s">
        <v>286</v>
      </c>
      <c r="E4084" t="s">
        <v>415</v>
      </c>
      <c r="F4084">
        <f>HYPERLINK("https://www.wikidata.org/wiki/Q33756706", "Q33756706")</f>
        <v>0</v>
      </c>
      <c r="G4084" t="s">
        <v>2572</v>
      </c>
      <c r="H4084" t="s">
        <v>7128</v>
      </c>
      <c r="I4084" t="s">
        <v>10291</v>
      </c>
      <c r="J4084" t="s">
        <v>13216</v>
      </c>
      <c r="K4084" t="s">
        <v>17619</v>
      </c>
      <c r="L4084">
        <f>HYPERLINK("https://www2.assemblee-nationale.fr/sycomore/fiche/(num_dept)/2907", "2907")</f>
        <v>0</v>
      </c>
      <c r="N4084">
        <f>HYPERLINK("https://www.wikidata.org/wiki/Q13080866", "Q13080866")</f>
        <v>0</v>
      </c>
      <c r="O4084" t="s">
        <v>19969</v>
      </c>
      <c r="P4084" t="s">
        <v>20401</v>
      </c>
      <c r="Q4084" t="s">
        <v>13445</v>
      </c>
      <c r="R4084" t="s">
        <v>21463</v>
      </c>
      <c r="S4084">
        <v>1515</v>
      </c>
    </row>
    <row r="4085" spans="1:19">
      <c r="A4085" t="s">
        <v>25</v>
      </c>
      <c r="B4085" t="s">
        <v>148</v>
      </c>
      <c r="C4085" t="s">
        <v>157</v>
      </c>
      <c r="D4085" t="s">
        <v>286</v>
      </c>
      <c r="E4085" t="s">
        <v>415</v>
      </c>
      <c r="F4085">
        <f>HYPERLINK("https://www.wikidata.org/wiki/Q33756706", "Q33756706")</f>
        <v>0</v>
      </c>
      <c r="G4085" t="s">
        <v>2573</v>
      </c>
      <c r="H4085" t="s">
        <v>5397</v>
      </c>
      <c r="I4085" t="s">
        <v>6158</v>
      </c>
      <c r="J4085" t="s">
        <v>13217</v>
      </c>
      <c r="K4085" t="s">
        <v>17620</v>
      </c>
      <c r="L4085">
        <f>HYPERLINK("https://www2.assemblee-nationale.fr/sycomore/fiche/(num_dept)/2925", "2925")</f>
        <v>0</v>
      </c>
      <c r="N4085">
        <f>HYPERLINK("https://www.wikidata.org/wiki/Q296076", "Q296076")</f>
        <v>0</v>
      </c>
      <c r="O4085" t="s">
        <v>19978</v>
      </c>
      <c r="P4085" t="s">
        <v>20459</v>
      </c>
      <c r="Q4085" t="s">
        <v>13445</v>
      </c>
      <c r="R4085" t="s">
        <v>21463</v>
      </c>
      <c r="S4085">
        <v>1515</v>
      </c>
    </row>
    <row r="4086" spans="1:19">
      <c r="A4086" t="s">
        <v>25</v>
      </c>
      <c r="B4086" t="s">
        <v>148</v>
      </c>
      <c r="C4086" t="s">
        <v>157</v>
      </c>
      <c r="D4086" t="s">
        <v>286</v>
      </c>
      <c r="E4086" t="s">
        <v>415</v>
      </c>
      <c r="F4086">
        <f>HYPERLINK("https://www.wikidata.org/wiki/Q33756706", "Q33756706")</f>
        <v>0</v>
      </c>
      <c r="G4086" t="s">
        <v>2574</v>
      </c>
      <c r="H4086" t="s">
        <v>7129</v>
      </c>
      <c r="I4086" t="s">
        <v>10292</v>
      </c>
      <c r="J4086" t="s">
        <v>13218</v>
      </c>
      <c r="K4086" t="s">
        <v>17621</v>
      </c>
      <c r="L4086">
        <f>HYPERLINK("https://www2.assemblee-nationale.fr/sycomore/fiche/(num_dept)/2931", "2931")</f>
        <v>0</v>
      </c>
      <c r="N4086">
        <f>HYPERLINK("https://www.wikidata.org/wiki/Q16025684", "Q16025684")</f>
        <v>0</v>
      </c>
      <c r="O4086" t="s">
        <v>20003</v>
      </c>
      <c r="P4086" t="s">
        <v>20464</v>
      </c>
      <c r="Q4086" t="s">
        <v>13445</v>
      </c>
      <c r="R4086" t="s">
        <v>21463</v>
      </c>
      <c r="S4086">
        <v>1515</v>
      </c>
    </row>
    <row r="4087" spans="1:19">
      <c r="A4087" t="s">
        <v>25</v>
      </c>
      <c r="B4087" t="s">
        <v>148</v>
      </c>
      <c r="C4087" t="s">
        <v>157</v>
      </c>
      <c r="D4087" t="s">
        <v>286</v>
      </c>
      <c r="E4087" t="s">
        <v>415</v>
      </c>
      <c r="F4087">
        <f>HYPERLINK("https://www.wikidata.org/wiki/Q33756706", "Q33756706")</f>
        <v>0</v>
      </c>
      <c r="G4087" t="s">
        <v>2575</v>
      </c>
      <c r="H4087" t="s">
        <v>7130</v>
      </c>
      <c r="I4087" t="s">
        <v>10293</v>
      </c>
      <c r="J4087" t="s">
        <v>13219</v>
      </c>
      <c r="K4087" t="s">
        <v>17622</v>
      </c>
      <c r="L4087">
        <f>HYPERLINK("https://www2.assemblee-nationale.fr/sycomore/fiche/(num_dept)/2973", "2973")</f>
        <v>0</v>
      </c>
      <c r="N4087">
        <f>HYPERLINK("https://www.wikidata.org/wiki/Q16025691", "Q16025691")</f>
        <v>0</v>
      </c>
      <c r="O4087" t="s">
        <v>19981</v>
      </c>
      <c r="P4087" t="s">
        <v>20462</v>
      </c>
      <c r="Q4087" t="s">
        <v>13445</v>
      </c>
      <c r="R4087" t="s">
        <v>21463</v>
      </c>
      <c r="S4087">
        <v>1515</v>
      </c>
    </row>
    <row r="4088" spans="1:19">
      <c r="A4088" t="s">
        <v>25</v>
      </c>
      <c r="B4088" t="s">
        <v>148</v>
      </c>
      <c r="C4088" t="s">
        <v>157</v>
      </c>
      <c r="D4088" t="s">
        <v>286</v>
      </c>
      <c r="E4088" t="s">
        <v>415</v>
      </c>
      <c r="F4088">
        <f>HYPERLINK("https://www.wikidata.org/wiki/Q33756706", "Q33756706")</f>
        <v>0</v>
      </c>
      <c r="G4088" t="s">
        <v>2576</v>
      </c>
      <c r="H4088" t="s">
        <v>5400</v>
      </c>
      <c r="I4088" t="s">
        <v>10294</v>
      </c>
      <c r="J4088" t="s">
        <v>13220</v>
      </c>
      <c r="K4088" t="s">
        <v>17623</v>
      </c>
      <c r="L4088">
        <f>HYPERLINK("https://www2.assemblee-nationale.fr/sycomore/fiche/(num_dept)/2985", "2985")</f>
        <v>0</v>
      </c>
      <c r="M4088">
        <f>HYPERLINK("https://www.senat.fr/senateur-3eme-republique/ferry_albert1810r3.html", "ferry_albert1810r3")</f>
        <v>0</v>
      </c>
      <c r="N4088">
        <f>HYPERLINK("https://www.wikidata.org/wiki/Q2831174", "Q2831174")</f>
        <v>0</v>
      </c>
      <c r="O4088" t="s">
        <v>20017</v>
      </c>
      <c r="P4088" t="s">
        <v>20461</v>
      </c>
      <c r="Q4088" t="s">
        <v>13445</v>
      </c>
      <c r="R4088" t="s">
        <v>21463</v>
      </c>
      <c r="S4088">
        <v>1515</v>
      </c>
    </row>
    <row r="4089" spans="1:19">
      <c r="A4089" t="s">
        <v>25</v>
      </c>
      <c r="B4089" t="s">
        <v>148</v>
      </c>
      <c r="C4089" t="s">
        <v>157</v>
      </c>
      <c r="D4089" t="s">
        <v>286</v>
      </c>
      <c r="E4089" t="s">
        <v>415</v>
      </c>
      <c r="F4089">
        <f>HYPERLINK("https://www.wikidata.org/wiki/Q33756706", "Q33756706")</f>
        <v>0</v>
      </c>
      <c r="G4089" t="s">
        <v>2577</v>
      </c>
      <c r="H4089" t="s">
        <v>5400</v>
      </c>
      <c r="I4089" t="s">
        <v>9385</v>
      </c>
      <c r="J4089" t="s">
        <v>13221</v>
      </c>
      <c r="K4089" t="s">
        <v>17624</v>
      </c>
      <c r="L4089">
        <f>HYPERLINK("https://www2.assemblee-nationale.fr/sycomore/fiche/(num_dept)/2986", "2986")</f>
        <v>0</v>
      </c>
      <c r="M4089">
        <f>HYPERLINK("https://www.senat.fr/senateur-3eme-republique/ferry_charles1797r3.html", "ferry_charles1797r3")</f>
        <v>0</v>
      </c>
      <c r="N4089">
        <f>HYPERLINK("https://www.wikidata.org/wiki/Q2959061", "Q2959061")</f>
        <v>0</v>
      </c>
      <c r="O4089" t="s">
        <v>20017</v>
      </c>
      <c r="Q4089" t="s">
        <v>13445</v>
      </c>
      <c r="R4089" t="s">
        <v>21463</v>
      </c>
      <c r="S4089">
        <v>1515</v>
      </c>
    </row>
    <row r="4090" spans="1:19">
      <c r="A4090" t="s">
        <v>25</v>
      </c>
      <c r="B4090" t="s">
        <v>148</v>
      </c>
      <c r="C4090" t="s">
        <v>157</v>
      </c>
      <c r="D4090" t="s">
        <v>286</v>
      </c>
      <c r="E4090" t="s">
        <v>415</v>
      </c>
      <c r="F4090">
        <f>HYPERLINK("https://www.wikidata.org/wiki/Q33756706", "Q33756706")</f>
        <v>0</v>
      </c>
      <c r="G4090" t="s">
        <v>2578</v>
      </c>
      <c r="H4090" t="s">
        <v>7131</v>
      </c>
      <c r="I4090" t="s">
        <v>9385</v>
      </c>
      <c r="J4090" t="s">
        <v>13222</v>
      </c>
      <c r="K4090" t="s">
        <v>17625</v>
      </c>
      <c r="L4090">
        <f>HYPERLINK("https://www2.assemblee-nationale.fr/sycomore/fiche/(num_dept)/3032", "3032")</f>
        <v>0</v>
      </c>
      <c r="M4090">
        <f>HYPERLINK("https://www.senat.fr/senateur-3eme-republique/floquet_charles1411r3.html", "floquet_charles1411r3")</f>
        <v>0</v>
      </c>
      <c r="N4090">
        <f>HYPERLINK("https://www.wikidata.org/wiki/Q471311", "Q471311")</f>
        <v>0</v>
      </c>
      <c r="O4090" t="s">
        <v>19969</v>
      </c>
      <c r="P4090" t="s">
        <v>20401</v>
      </c>
      <c r="Q4090" t="s">
        <v>13445</v>
      </c>
      <c r="R4090" t="s">
        <v>15550</v>
      </c>
      <c r="S4090">
        <v>142</v>
      </c>
    </row>
    <row r="4091" spans="1:19">
      <c r="A4091" t="s">
        <v>25</v>
      </c>
      <c r="B4091" t="s">
        <v>148</v>
      </c>
      <c r="C4091" t="s">
        <v>157</v>
      </c>
      <c r="D4091" t="s">
        <v>286</v>
      </c>
      <c r="E4091" t="s">
        <v>415</v>
      </c>
      <c r="F4091">
        <f>HYPERLINK("https://www.wikidata.org/wiki/Q33756706", "Q33756706")</f>
        <v>0</v>
      </c>
      <c r="G4091" t="s">
        <v>2579</v>
      </c>
      <c r="H4091" t="s">
        <v>7132</v>
      </c>
      <c r="I4091" t="s">
        <v>6585</v>
      </c>
      <c r="J4091" t="s">
        <v>13223</v>
      </c>
      <c r="K4091" t="s">
        <v>17626</v>
      </c>
      <c r="L4091">
        <f>HYPERLINK("https://www2.assemblee-nationale.fr/sycomore/fiche/(num_dept)/3040", "3040")</f>
        <v>0</v>
      </c>
      <c r="M4091">
        <f>HYPERLINK("https://www.senat.fr/senateur-3eme-republique/folliet_andre1312r3.html", "folliet_andre1312r3")</f>
        <v>0</v>
      </c>
      <c r="N4091">
        <f>HYPERLINK("https://www.wikidata.org/wiki/Q2847756", "Q2847756")</f>
        <v>0</v>
      </c>
      <c r="O4091" t="s">
        <v>20018</v>
      </c>
      <c r="P4091" t="s">
        <v>20462</v>
      </c>
      <c r="Q4091" t="s">
        <v>13445</v>
      </c>
      <c r="R4091" t="s">
        <v>21463</v>
      </c>
      <c r="S4091">
        <v>1515</v>
      </c>
    </row>
    <row r="4092" spans="1:19">
      <c r="A4092" t="s">
        <v>25</v>
      </c>
      <c r="B4092" t="s">
        <v>148</v>
      </c>
      <c r="C4092" t="s">
        <v>157</v>
      </c>
      <c r="D4092" t="s">
        <v>286</v>
      </c>
      <c r="E4092" t="s">
        <v>415</v>
      </c>
      <c r="F4092">
        <f>HYPERLINK("https://www.wikidata.org/wiki/Q33756706", "Q33756706")</f>
        <v>0</v>
      </c>
      <c r="G4092" t="s">
        <v>2580</v>
      </c>
      <c r="H4092" t="s">
        <v>5409</v>
      </c>
      <c r="I4092" t="s">
        <v>10295</v>
      </c>
      <c r="J4092" t="s">
        <v>13224</v>
      </c>
      <c r="K4092" t="s">
        <v>17627</v>
      </c>
      <c r="L4092">
        <f>HYPERLINK("https://www2.assemblee-nationale.fr/sycomore/fiche/(num_dept)/3085", "3085")</f>
        <v>0</v>
      </c>
      <c r="N4092">
        <f>HYPERLINK("https://www.wikidata.org/wiki/Q16025721", "Q16025721")</f>
        <v>0</v>
      </c>
      <c r="O4092" t="s">
        <v>20015</v>
      </c>
      <c r="P4092" t="s">
        <v>20458</v>
      </c>
      <c r="Q4092" t="s">
        <v>13445</v>
      </c>
      <c r="R4092" t="s">
        <v>21463</v>
      </c>
      <c r="S4092">
        <v>1515</v>
      </c>
    </row>
    <row r="4093" spans="1:19">
      <c r="A4093" t="s">
        <v>25</v>
      </c>
      <c r="B4093" t="s">
        <v>148</v>
      </c>
      <c r="C4093" t="s">
        <v>157</v>
      </c>
      <c r="D4093" t="s">
        <v>286</v>
      </c>
      <c r="E4093" t="s">
        <v>415</v>
      </c>
      <c r="F4093">
        <f>HYPERLINK("https://www.wikidata.org/wiki/Q33756706", "Q33756706")</f>
        <v>0</v>
      </c>
      <c r="G4093" t="s">
        <v>2581</v>
      </c>
      <c r="H4093" t="s">
        <v>7133</v>
      </c>
      <c r="I4093" t="s">
        <v>9421</v>
      </c>
      <c r="J4093" t="s">
        <v>13225</v>
      </c>
      <c r="K4093" t="s">
        <v>17628</v>
      </c>
      <c r="L4093">
        <f>HYPERLINK("https://www2.assemblee-nationale.fr/sycomore/fiche/(num_dept)/3132", "3132")</f>
        <v>0</v>
      </c>
      <c r="N4093">
        <f>HYPERLINK("https://www.wikidata.org/wiki/Q28123320", "Q28123320")</f>
        <v>0</v>
      </c>
      <c r="O4093" t="s">
        <v>20029</v>
      </c>
      <c r="P4093" t="s">
        <v>20456</v>
      </c>
      <c r="Q4093" t="s">
        <v>13445</v>
      </c>
      <c r="R4093" t="s">
        <v>21463</v>
      </c>
      <c r="S4093">
        <v>1515</v>
      </c>
    </row>
    <row r="4094" spans="1:19">
      <c r="A4094" t="s">
        <v>25</v>
      </c>
      <c r="B4094" t="s">
        <v>148</v>
      </c>
      <c r="C4094" t="s">
        <v>157</v>
      </c>
      <c r="D4094" t="s">
        <v>286</v>
      </c>
      <c r="E4094" t="s">
        <v>415</v>
      </c>
      <c r="F4094">
        <f>HYPERLINK("https://www.wikidata.org/wiki/Q33756706", "Q33756706")</f>
        <v>0</v>
      </c>
      <c r="G4094" t="s">
        <v>2582</v>
      </c>
      <c r="H4094" t="s">
        <v>7134</v>
      </c>
      <c r="I4094" t="s">
        <v>10296</v>
      </c>
      <c r="J4094" t="s">
        <v>13226</v>
      </c>
      <c r="K4094" t="s">
        <v>17629</v>
      </c>
      <c r="L4094">
        <f>HYPERLINK("https://www2.assemblee-nationale.fr/sycomore/fiche/(num_dept)/3141", "3141")</f>
        <v>0</v>
      </c>
      <c r="N4094">
        <f>HYPERLINK("https://www.wikidata.org/wiki/Q13080830", "Q13080830")</f>
        <v>0</v>
      </c>
      <c r="O4094" t="s">
        <v>19969</v>
      </c>
      <c r="P4094" t="s">
        <v>20459</v>
      </c>
      <c r="Q4094" t="s">
        <v>13445</v>
      </c>
      <c r="R4094" t="s">
        <v>21463</v>
      </c>
      <c r="S4094">
        <v>1515</v>
      </c>
    </row>
    <row r="4095" spans="1:19">
      <c r="A4095" t="s">
        <v>25</v>
      </c>
      <c r="B4095" t="s">
        <v>148</v>
      </c>
      <c r="C4095" t="s">
        <v>157</v>
      </c>
      <c r="D4095" t="s">
        <v>286</v>
      </c>
      <c r="E4095" t="s">
        <v>415</v>
      </c>
      <c r="F4095">
        <f>HYPERLINK("https://www.wikidata.org/wiki/Q33756706", "Q33756706")</f>
        <v>0</v>
      </c>
      <c r="G4095" t="s">
        <v>2583</v>
      </c>
      <c r="H4095" t="s">
        <v>7135</v>
      </c>
      <c r="I4095" t="s">
        <v>10297</v>
      </c>
      <c r="J4095" t="s">
        <v>13227</v>
      </c>
      <c r="K4095" t="s">
        <v>17630</v>
      </c>
      <c r="L4095">
        <f>HYPERLINK("https://www2.assemblee-nationale.fr/sycomore/fiche/(num_dept)/3148", "3148")</f>
        <v>0</v>
      </c>
      <c r="N4095">
        <f>HYPERLINK("https://www.wikidata.org/wiki/Q1063452", "Q1063452")</f>
        <v>0</v>
      </c>
      <c r="O4095" t="s">
        <v>20011</v>
      </c>
      <c r="P4095" t="s">
        <v>20460</v>
      </c>
      <c r="Q4095" t="s">
        <v>13445</v>
      </c>
      <c r="R4095" t="s">
        <v>21463</v>
      </c>
      <c r="S4095">
        <v>1515</v>
      </c>
    </row>
    <row r="4096" spans="1:19">
      <c r="A4096" t="s">
        <v>25</v>
      </c>
      <c r="B4096" t="s">
        <v>148</v>
      </c>
      <c r="C4096" t="s">
        <v>157</v>
      </c>
      <c r="D4096" t="s">
        <v>286</v>
      </c>
      <c r="E4096" t="s">
        <v>415</v>
      </c>
      <c r="F4096">
        <f>HYPERLINK("https://www.wikidata.org/wiki/Q33756706", "Q33756706")</f>
        <v>0</v>
      </c>
      <c r="G4096" t="s">
        <v>2584</v>
      </c>
      <c r="H4096" t="s">
        <v>7136</v>
      </c>
      <c r="I4096" t="s">
        <v>9388</v>
      </c>
      <c r="J4096" t="s">
        <v>13228</v>
      </c>
      <c r="K4096" t="s">
        <v>17631</v>
      </c>
      <c r="L4096">
        <f>HYPERLINK("https://www2.assemblee-nationale.fr/sycomore/fiche/(num_dept)/3159", "3159")</f>
        <v>0</v>
      </c>
      <c r="M4096">
        <f>HYPERLINK("https://www.senat.fr/senateur-3eme-republique/frogier_de_ponlevoy_paul1811r3.html", "frogier_de_ponlevoy_paul1811r3")</f>
        <v>0</v>
      </c>
      <c r="N4096">
        <f>HYPERLINK("https://www.wikidata.org/wiki/Q3371249", "Q3371249")</f>
        <v>0</v>
      </c>
      <c r="O4096" t="s">
        <v>20017</v>
      </c>
      <c r="P4096" t="s">
        <v>20459</v>
      </c>
      <c r="Q4096" t="s">
        <v>13445</v>
      </c>
      <c r="R4096" t="s">
        <v>21463</v>
      </c>
      <c r="S4096">
        <v>1515</v>
      </c>
    </row>
    <row r="4097" spans="1:19">
      <c r="A4097" t="s">
        <v>25</v>
      </c>
      <c r="B4097" t="s">
        <v>148</v>
      </c>
      <c r="C4097" t="s">
        <v>157</v>
      </c>
      <c r="D4097" t="s">
        <v>286</v>
      </c>
      <c r="E4097" t="s">
        <v>415</v>
      </c>
      <c r="F4097">
        <f>HYPERLINK("https://www.wikidata.org/wiki/Q33756706", "Q33756706")</f>
        <v>0</v>
      </c>
      <c r="G4097" t="s">
        <v>2585</v>
      </c>
      <c r="H4097" t="s">
        <v>7137</v>
      </c>
      <c r="I4097" t="s">
        <v>10298</v>
      </c>
      <c r="J4097" t="s">
        <v>13229</v>
      </c>
      <c r="K4097" t="s">
        <v>17632</v>
      </c>
      <c r="L4097">
        <f>HYPERLINK("https://www2.assemblee-nationale.fr/sycomore/fiche/(num_dept)/3196", "3196")</f>
        <v>0</v>
      </c>
      <c r="N4097">
        <f>HYPERLINK("https://www.wikidata.org/wiki/Q8331563", "Q8331563")</f>
        <v>0</v>
      </c>
      <c r="O4097" t="s">
        <v>20041</v>
      </c>
      <c r="P4097" t="s">
        <v>20401</v>
      </c>
      <c r="Q4097" t="s">
        <v>13445</v>
      </c>
      <c r="R4097" t="s">
        <v>21463</v>
      </c>
      <c r="S4097">
        <v>1515</v>
      </c>
    </row>
    <row r="4098" spans="1:19">
      <c r="A4098" t="s">
        <v>25</v>
      </c>
      <c r="B4098" t="s">
        <v>148</v>
      </c>
      <c r="C4098" t="s">
        <v>157</v>
      </c>
      <c r="D4098" t="s">
        <v>286</v>
      </c>
      <c r="E4098" t="s">
        <v>415</v>
      </c>
      <c r="F4098">
        <f>HYPERLINK("https://www.wikidata.org/wiki/Q33756706", "Q33756706")</f>
        <v>0</v>
      </c>
      <c r="G4098" t="s">
        <v>2586</v>
      </c>
      <c r="H4098" t="s">
        <v>7138</v>
      </c>
      <c r="I4098" t="s">
        <v>5528</v>
      </c>
      <c r="J4098" t="s">
        <v>13230</v>
      </c>
      <c r="K4098" t="s">
        <v>17633</v>
      </c>
      <c r="L4098">
        <f>HYPERLINK("https://www2.assemblee-nationale.fr/sycomore/fiche/(num_dept)/3237", "3237")</f>
        <v>0</v>
      </c>
      <c r="N4098">
        <f>HYPERLINK("https://www.wikidata.org/wiki/Q295090", "Q295090")</f>
        <v>0</v>
      </c>
      <c r="O4098" t="s">
        <v>19969</v>
      </c>
      <c r="P4098" t="s">
        <v>20459</v>
      </c>
      <c r="Q4098" t="s">
        <v>13445</v>
      </c>
      <c r="R4098" t="s">
        <v>17633</v>
      </c>
      <c r="S4098">
        <v>497</v>
      </c>
    </row>
    <row r="4099" spans="1:19">
      <c r="A4099" t="s">
        <v>25</v>
      </c>
      <c r="B4099" t="s">
        <v>148</v>
      </c>
      <c r="C4099" t="s">
        <v>157</v>
      </c>
      <c r="D4099" t="s">
        <v>286</v>
      </c>
      <c r="E4099" t="s">
        <v>415</v>
      </c>
      <c r="F4099">
        <f>HYPERLINK("https://www.wikidata.org/wiki/Q33756706", "Q33756706")</f>
        <v>0</v>
      </c>
      <c r="G4099" t="s">
        <v>2587</v>
      </c>
      <c r="H4099" t="s">
        <v>5413</v>
      </c>
      <c r="I4099" t="s">
        <v>9470</v>
      </c>
      <c r="J4099" t="s">
        <v>13231</v>
      </c>
      <c r="K4099" t="s">
        <v>17634</v>
      </c>
      <c r="L4099">
        <f>HYPERLINK("https://www2.assemblee-nationale.fr/sycomore/fiche/(num_dept)/3241", "3241")</f>
        <v>0</v>
      </c>
      <c r="N4099">
        <f>HYPERLINK("https://www.wikidata.org/wiki/Q3099008", "Q3099008")</f>
        <v>0</v>
      </c>
      <c r="O4099" t="s">
        <v>20015</v>
      </c>
      <c r="P4099" t="s">
        <v>20459</v>
      </c>
      <c r="Q4099" t="s">
        <v>13445</v>
      </c>
      <c r="R4099" t="s">
        <v>21463</v>
      </c>
      <c r="S4099">
        <v>1515</v>
      </c>
    </row>
    <row r="4100" spans="1:19">
      <c r="A4100" t="s">
        <v>25</v>
      </c>
      <c r="B4100" t="s">
        <v>148</v>
      </c>
      <c r="C4100" t="s">
        <v>157</v>
      </c>
      <c r="D4100" t="s">
        <v>286</v>
      </c>
      <c r="E4100" t="s">
        <v>415</v>
      </c>
      <c r="F4100">
        <f>HYPERLINK("https://www.wikidata.org/wiki/Q33756706", "Q33756706")</f>
        <v>0</v>
      </c>
      <c r="G4100" t="s">
        <v>2588</v>
      </c>
      <c r="H4100" t="s">
        <v>7139</v>
      </c>
      <c r="I4100" t="s">
        <v>9472</v>
      </c>
      <c r="J4100" t="s">
        <v>13232</v>
      </c>
      <c r="K4100" t="s">
        <v>17635</v>
      </c>
      <c r="L4100">
        <f>HYPERLINK("https://www2.assemblee-nationale.fr/sycomore/fiche/(num_dept)/3278", "3278")</f>
        <v>0</v>
      </c>
      <c r="M4100">
        <f>HYPERLINK("https://www.senat.fr/senateur-3eme-republique/gassier_hippolyte0060r3.html", "gassier_hippolyte0060r3")</f>
        <v>0</v>
      </c>
      <c r="N4100">
        <f>HYPERLINK("https://www.wikidata.org/wiki/Q3136062", "Q3136062")</f>
        <v>0</v>
      </c>
      <c r="O4100" t="s">
        <v>20033</v>
      </c>
      <c r="P4100" t="s">
        <v>20462</v>
      </c>
      <c r="Q4100" t="s">
        <v>13445</v>
      </c>
      <c r="R4100" t="s">
        <v>21463</v>
      </c>
      <c r="S4100">
        <v>1515</v>
      </c>
    </row>
    <row r="4101" spans="1:19">
      <c r="A4101" t="s">
        <v>25</v>
      </c>
      <c r="B4101" t="s">
        <v>148</v>
      </c>
      <c r="C4101" t="s">
        <v>157</v>
      </c>
      <c r="D4101" t="s">
        <v>286</v>
      </c>
      <c r="E4101" t="s">
        <v>415</v>
      </c>
      <c r="F4101">
        <f>HYPERLINK("https://www.wikidata.org/wiki/Q33756706", "Q33756706")</f>
        <v>0</v>
      </c>
      <c r="G4101" t="s">
        <v>2589</v>
      </c>
      <c r="H4101" t="s">
        <v>6470</v>
      </c>
      <c r="I4101" t="s">
        <v>10299</v>
      </c>
      <c r="J4101" t="s">
        <v>11456</v>
      </c>
      <c r="K4101" t="s">
        <v>17636</v>
      </c>
      <c r="L4101">
        <f>HYPERLINK("https://www2.assemblee-nationale.fr/sycomore/fiche/(num_dept)/3309", "3309")</f>
        <v>0</v>
      </c>
      <c r="N4101">
        <f>HYPERLINK("https://www.wikidata.org/wiki/Q16025754", "Q16025754")</f>
        <v>0</v>
      </c>
      <c r="O4101" t="s">
        <v>20031</v>
      </c>
      <c r="Q4101" t="s">
        <v>13445</v>
      </c>
      <c r="R4101" t="s">
        <v>21463</v>
      </c>
      <c r="S4101">
        <v>1515</v>
      </c>
    </row>
    <row r="4102" spans="1:19">
      <c r="A4102" t="s">
        <v>25</v>
      </c>
      <c r="B4102" t="s">
        <v>148</v>
      </c>
      <c r="C4102" t="s">
        <v>157</v>
      </c>
      <c r="D4102" t="s">
        <v>286</v>
      </c>
      <c r="E4102" t="s">
        <v>415</v>
      </c>
      <c r="F4102">
        <f>HYPERLINK("https://www.wikidata.org/wiki/Q33756706", "Q33756706")</f>
        <v>0</v>
      </c>
      <c r="G4102" t="s">
        <v>2590</v>
      </c>
      <c r="H4102" t="s">
        <v>7140</v>
      </c>
      <c r="I4102" t="s">
        <v>10300</v>
      </c>
      <c r="J4102" t="s">
        <v>13233</v>
      </c>
      <c r="K4102" t="s">
        <v>17637</v>
      </c>
      <c r="L4102">
        <f>HYPERLINK("https://www2.assemblee-nationale.fr/sycomore/fiche/(num_dept)/3372", "3372")</f>
        <v>0</v>
      </c>
      <c r="N4102">
        <f>HYPERLINK("https://www.wikidata.org/wiki/Q327403", "Q327403")</f>
        <v>0</v>
      </c>
      <c r="O4102" t="s">
        <v>19986</v>
      </c>
      <c r="P4102" t="s">
        <v>20458</v>
      </c>
      <c r="Q4102" t="s">
        <v>13445</v>
      </c>
      <c r="R4102" t="s">
        <v>21463</v>
      </c>
      <c r="S4102">
        <v>1515</v>
      </c>
    </row>
    <row r="4103" spans="1:19">
      <c r="A4103" t="s">
        <v>25</v>
      </c>
      <c r="B4103" t="s">
        <v>148</v>
      </c>
      <c r="C4103" t="s">
        <v>157</v>
      </c>
      <c r="D4103" t="s">
        <v>286</v>
      </c>
      <c r="E4103" t="s">
        <v>415</v>
      </c>
      <c r="F4103">
        <f>HYPERLINK("https://www.wikidata.org/wiki/Q33756706", "Q33756706")</f>
        <v>0</v>
      </c>
      <c r="G4103" t="s">
        <v>2591</v>
      </c>
      <c r="H4103" t="s">
        <v>7140</v>
      </c>
      <c r="I4103" t="s">
        <v>5349</v>
      </c>
      <c r="J4103" t="s">
        <v>13234</v>
      </c>
      <c r="K4103" t="s">
        <v>17638</v>
      </c>
      <c r="L4103">
        <f>HYPERLINK("https://www2.assemblee-nationale.fr/sycomore/fiche/(num_dept)/3374", "3374")</f>
        <v>0</v>
      </c>
      <c r="N4103">
        <f>HYPERLINK("https://www.wikidata.org/wiki/Q16025768", "Q16025768")</f>
        <v>0</v>
      </c>
      <c r="O4103" t="s">
        <v>20016</v>
      </c>
      <c r="Q4103" t="s">
        <v>13445</v>
      </c>
      <c r="R4103" t="s">
        <v>21463</v>
      </c>
      <c r="S4103">
        <v>1515</v>
      </c>
    </row>
    <row r="4104" spans="1:19">
      <c r="A4104" t="s">
        <v>25</v>
      </c>
      <c r="B4104" t="s">
        <v>148</v>
      </c>
      <c r="C4104" t="s">
        <v>157</v>
      </c>
      <c r="D4104" t="s">
        <v>286</v>
      </c>
      <c r="E4104" t="s">
        <v>415</v>
      </c>
      <c r="F4104">
        <f>HYPERLINK("https://www.wikidata.org/wiki/Q33756706", "Q33756706")</f>
        <v>0</v>
      </c>
      <c r="G4104" t="s">
        <v>2592</v>
      </c>
      <c r="H4104" t="s">
        <v>7141</v>
      </c>
      <c r="I4104" t="s">
        <v>10301</v>
      </c>
      <c r="J4104" t="s">
        <v>13235</v>
      </c>
      <c r="K4104" t="s">
        <v>17639</v>
      </c>
      <c r="L4104">
        <f>HYPERLINK("https://www2.assemblee-nationale.fr/sycomore/fiche/(num_dept)/3392", "3392")</f>
        <v>0</v>
      </c>
      <c r="N4104">
        <f>HYPERLINK("https://www.wikidata.org/wiki/Q3188644", "Q3188644")</f>
        <v>0</v>
      </c>
      <c r="O4104" t="s">
        <v>19957</v>
      </c>
      <c r="P4104" t="s">
        <v>20457</v>
      </c>
      <c r="Q4104" t="s">
        <v>13445</v>
      </c>
      <c r="R4104" t="s">
        <v>21463</v>
      </c>
      <c r="S4104">
        <v>1515</v>
      </c>
    </row>
    <row r="4105" spans="1:19">
      <c r="A4105" t="s">
        <v>25</v>
      </c>
      <c r="B4105" t="s">
        <v>148</v>
      </c>
      <c r="C4105" t="s">
        <v>157</v>
      </c>
      <c r="D4105" t="s">
        <v>286</v>
      </c>
      <c r="E4105" t="s">
        <v>415</v>
      </c>
      <c r="F4105">
        <f>HYPERLINK("https://www.wikidata.org/wiki/Q33756706", "Q33756706")</f>
        <v>0</v>
      </c>
      <c r="G4105" t="s">
        <v>2593</v>
      </c>
      <c r="H4105" t="s">
        <v>7142</v>
      </c>
      <c r="I4105" t="s">
        <v>9476</v>
      </c>
      <c r="J4105" t="s">
        <v>13236</v>
      </c>
      <c r="K4105" t="s">
        <v>17640</v>
      </c>
      <c r="L4105">
        <f>HYPERLINK("https://www2.assemblee-nationale.fr/sycomore/fiche/(num_dept)/3457", "3457")</f>
        <v>0</v>
      </c>
      <c r="M4105">
        <f>HYPERLINK("https://www.senat.fr/senateur-3eme-republique/goblet_rene1409r3.html", "goblet_rene1409r3")</f>
        <v>0</v>
      </c>
      <c r="N4105">
        <f>HYPERLINK("https://www.wikidata.org/wiki/Q559645", "Q559645")</f>
        <v>0</v>
      </c>
      <c r="O4105" t="s">
        <v>20012</v>
      </c>
      <c r="P4105" t="s">
        <v>20459</v>
      </c>
      <c r="Q4105" t="s">
        <v>13445</v>
      </c>
      <c r="R4105" t="s">
        <v>21463</v>
      </c>
      <c r="S4105">
        <v>1515</v>
      </c>
    </row>
    <row r="4106" spans="1:19">
      <c r="A4106" t="s">
        <v>25</v>
      </c>
      <c r="B4106" t="s">
        <v>148</v>
      </c>
      <c r="C4106" t="s">
        <v>157</v>
      </c>
      <c r="D4106" t="s">
        <v>286</v>
      </c>
      <c r="E4106" t="s">
        <v>415</v>
      </c>
      <c r="F4106">
        <f>HYPERLINK("https://www.wikidata.org/wiki/Q33756706", "Q33756706")</f>
        <v>0</v>
      </c>
      <c r="G4106" t="s">
        <v>2594</v>
      </c>
      <c r="H4106" t="s">
        <v>7143</v>
      </c>
      <c r="I4106" t="s">
        <v>9933</v>
      </c>
      <c r="J4106" t="s">
        <v>13237</v>
      </c>
      <c r="K4106" t="s">
        <v>17641</v>
      </c>
      <c r="L4106">
        <f>HYPERLINK("https://www2.assemblee-nationale.fr/sycomore/fiche/(num_dept)/3574", "3574")</f>
        <v>0</v>
      </c>
      <c r="N4106">
        <f>HYPERLINK("https://www.wikidata.org/wiki/Q3262079", "Q3262079")</f>
        <v>0</v>
      </c>
      <c r="O4106" t="s">
        <v>19969</v>
      </c>
      <c r="P4106" t="s">
        <v>20462</v>
      </c>
      <c r="Q4106" t="s">
        <v>13445</v>
      </c>
      <c r="R4106" t="s">
        <v>21463</v>
      </c>
      <c r="S4106">
        <v>1515</v>
      </c>
    </row>
    <row r="4107" spans="1:19">
      <c r="A4107" t="s">
        <v>25</v>
      </c>
      <c r="B4107" t="s">
        <v>148</v>
      </c>
      <c r="C4107" t="s">
        <v>157</v>
      </c>
      <c r="D4107" t="s">
        <v>286</v>
      </c>
      <c r="E4107" t="s">
        <v>415</v>
      </c>
      <c r="F4107">
        <f>HYPERLINK("https://www.wikidata.org/wiki/Q33756706", "Q33756706")</f>
        <v>0</v>
      </c>
      <c r="G4107" t="s">
        <v>2595</v>
      </c>
      <c r="H4107" t="s">
        <v>7144</v>
      </c>
      <c r="I4107" t="s">
        <v>10302</v>
      </c>
      <c r="J4107" t="s">
        <v>13238</v>
      </c>
      <c r="K4107" t="s">
        <v>17642</v>
      </c>
      <c r="L4107">
        <f>HYPERLINK("https://www2.assemblee-nationale.fr/sycomore/fiche/(num_dept)/3595", "3595")</f>
        <v>0</v>
      </c>
      <c r="N4107">
        <f>HYPERLINK("https://www.wikidata.org/wiki/Q15969529", "Q15969529")</f>
        <v>0</v>
      </c>
      <c r="O4107" t="s">
        <v>19957</v>
      </c>
      <c r="P4107" t="s">
        <v>20458</v>
      </c>
      <c r="Q4107" t="s">
        <v>13445</v>
      </c>
      <c r="R4107" t="s">
        <v>17642</v>
      </c>
      <c r="S4107">
        <v>1415</v>
      </c>
    </row>
    <row r="4108" spans="1:19">
      <c r="A4108" t="s">
        <v>25</v>
      </c>
      <c r="B4108" t="s">
        <v>148</v>
      </c>
      <c r="C4108" t="s">
        <v>157</v>
      </c>
      <c r="D4108" t="s">
        <v>286</v>
      </c>
      <c r="E4108" t="s">
        <v>415</v>
      </c>
      <c r="F4108">
        <f>HYPERLINK("https://www.wikidata.org/wiki/Q33756706", "Q33756706")</f>
        <v>0</v>
      </c>
      <c r="G4108" t="s">
        <v>2596</v>
      </c>
      <c r="H4108" t="s">
        <v>7145</v>
      </c>
      <c r="I4108" t="s">
        <v>10303</v>
      </c>
      <c r="J4108" t="s">
        <v>13239</v>
      </c>
      <c r="K4108" t="s">
        <v>17643</v>
      </c>
      <c r="L4108">
        <f>HYPERLINK("https://www2.assemblee-nationale.fr/sycomore/fiche/(num_dept)/3618", "3618")</f>
        <v>0</v>
      </c>
      <c r="N4108">
        <f>HYPERLINK("https://www.wikidata.org/wiki/Q3184417", "Q3184417")</f>
        <v>0</v>
      </c>
      <c r="O4108" t="s">
        <v>20011</v>
      </c>
      <c r="Q4108" t="s">
        <v>13445</v>
      </c>
      <c r="R4108" t="s">
        <v>415</v>
      </c>
      <c r="S4108">
        <v>1541</v>
      </c>
    </row>
    <row r="4109" spans="1:19">
      <c r="A4109" t="s">
        <v>25</v>
      </c>
      <c r="B4109" t="s">
        <v>148</v>
      </c>
      <c r="C4109" t="s">
        <v>157</v>
      </c>
      <c r="D4109" t="s">
        <v>286</v>
      </c>
      <c r="E4109" t="s">
        <v>415</v>
      </c>
      <c r="F4109">
        <f>HYPERLINK("https://www.wikidata.org/wiki/Q33756706", "Q33756706")</f>
        <v>0</v>
      </c>
      <c r="G4109" t="s">
        <v>2597</v>
      </c>
      <c r="H4109" t="s">
        <v>7146</v>
      </c>
      <c r="I4109" t="s">
        <v>6495</v>
      </c>
      <c r="J4109" t="s">
        <v>13240</v>
      </c>
      <c r="K4109" t="s">
        <v>17644</v>
      </c>
      <c r="L4109">
        <f>HYPERLINK("https://www2.assemblee-nationale.fr/sycomore/fiche/(num_dept)/3686", "3686")</f>
        <v>0</v>
      </c>
      <c r="N4109">
        <f>HYPERLINK("https://www.wikidata.org/wiki/Q8310088", "Q8310088")</f>
        <v>0</v>
      </c>
      <c r="O4109" t="s">
        <v>20006</v>
      </c>
      <c r="Q4109" t="s">
        <v>13445</v>
      </c>
      <c r="R4109" t="s">
        <v>21463</v>
      </c>
      <c r="S4109">
        <v>1515</v>
      </c>
    </row>
    <row r="4110" spans="1:19">
      <c r="A4110" t="s">
        <v>25</v>
      </c>
      <c r="B4110" t="s">
        <v>148</v>
      </c>
      <c r="C4110" t="s">
        <v>157</v>
      </c>
      <c r="D4110" t="s">
        <v>286</v>
      </c>
      <c r="E4110" t="s">
        <v>415</v>
      </c>
      <c r="F4110">
        <f>HYPERLINK("https://www.wikidata.org/wiki/Q33756706", "Q33756706")</f>
        <v>0</v>
      </c>
      <c r="G4110" t="s">
        <v>2598</v>
      </c>
      <c r="H4110" t="s">
        <v>7147</v>
      </c>
      <c r="I4110" t="s">
        <v>10304</v>
      </c>
      <c r="J4110" t="s">
        <v>13241</v>
      </c>
      <c r="K4110" t="s">
        <v>17645</v>
      </c>
      <c r="L4110">
        <f>HYPERLINK("https://www2.assemblee-nationale.fr/sycomore/fiche/(num_dept)/3690", "3690")</f>
        <v>0</v>
      </c>
      <c r="N4110">
        <f>HYPERLINK("https://www.wikidata.org/wiki/Q15969562", "Q15969562")</f>
        <v>0</v>
      </c>
      <c r="O4110" t="s">
        <v>19995</v>
      </c>
      <c r="P4110" t="s">
        <v>20464</v>
      </c>
      <c r="Q4110" t="s">
        <v>13445</v>
      </c>
      <c r="R4110" t="s">
        <v>21463</v>
      </c>
      <c r="S4110">
        <v>1515</v>
      </c>
    </row>
    <row r="4111" spans="1:19">
      <c r="A4111" t="s">
        <v>25</v>
      </c>
      <c r="B4111" t="s">
        <v>148</v>
      </c>
      <c r="C4111" t="s">
        <v>157</v>
      </c>
      <c r="D4111" t="s">
        <v>286</v>
      </c>
      <c r="E4111" t="s">
        <v>415</v>
      </c>
      <c r="F4111">
        <f>HYPERLINK("https://www.wikidata.org/wiki/Q33756706", "Q33756706")</f>
        <v>0</v>
      </c>
      <c r="G4111" t="s">
        <v>1180</v>
      </c>
      <c r="H4111" t="s">
        <v>5911</v>
      </c>
      <c r="I4111" t="s">
        <v>9696</v>
      </c>
      <c r="J4111" t="s">
        <v>11913</v>
      </c>
      <c r="K4111" t="s">
        <v>16315</v>
      </c>
      <c r="L4111">
        <f>HYPERLINK("https://www2.assemblee-nationale.fr/sycomore/fiche/(num_dept)/3706", "3706")</f>
        <v>0</v>
      </c>
      <c r="N4111">
        <f>HYPERLINK("https://www.wikidata.org/wiki/Q2997242", "Q2997242")</f>
        <v>0</v>
      </c>
      <c r="O4111" t="s">
        <v>20011</v>
      </c>
      <c r="Q4111" t="s">
        <v>13445</v>
      </c>
      <c r="R4111" t="s">
        <v>21463</v>
      </c>
      <c r="S4111">
        <v>1515</v>
      </c>
    </row>
    <row r="4112" spans="1:19">
      <c r="A4112" t="s">
        <v>25</v>
      </c>
      <c r="B4112" t="s">
        <v>148</v>
      </c>
      <c r="C4112" t="s">
        <v>157</v>
      </c>
      <c r="D4112" t="s">
        <v>286</v>
      </c>
      <c r="E4112" t="s">
        <v>415</v>
      </c>
      <c r="F4112">
        <f>HYPERLINK("https://www.wikidata.org/wiki/Q33756706", "Q33756706")</f>
        <v>0</v>
      </c>
      <c r="G4112" t="s">
        <v>680</v>
      </c>
      <c r="H4112" t="s">
        <v>5439</v>
      </c>
      <c r="I4112" t="s">
        <v>6495</v>
      </c>
      <c r="J4112" t="s">
        <v>11430</v>
      </c>
      <c r="K4112" t="s">
        <v>15831</v>
      </c>
      <c r="L4112">
        <f>HYPERLINK("https://www2.assemblee-nationale.fr/sycomore/fiche/(num_dept)/3790", "3790")</f>
        <v>0</v>
      </c>
      <c r="M4112">
        <f>HYPERLINK("https://www.senat.fr/senateur-3eme-republique/hemon_louis0801r3.html", "hemon_louis0801r3")</f>
        <v>0</v>
      </c>
      <c r="N4112">
        <f>HYPERLINK("https://www.wikidata.org/wiki/Q3262222", "Q3262222")</f>
        <v>0</v>
      </c>
      <c r="O4112" t="s">
        <v>20011</v>
      </c>
      <c r="Q4112" t="s">
        <v>13445</v>
      </c>
      <c r="R4112" t="s">
        <v>21463</v>
      </c>
      <c r="S4112">
        <v>1515</v>
      </c>
    </row>
    <row r="4113" spans="1:19">
      <c r="A4113" t="s">
        <v>25</v>
      </c>
      <c r="B4113" t="s">
        <v>148</v>
      </c>
      <c r="C4113" t="s">
        <v>157</v>
      </c>
      <c r="D4113" t="s">
        <v>286</v>
      </c>
      <c r="E4113" t="s">
        <v>415</v>
      </c>
      <c r="F4113">
        <f>HYPERLINK("https://www.wikidata.org/wiki/Q33756706", "Q33756706")</f>
        <v>0</v>
      </c>
      <c r="G4113" t="s">
        <v>2599</v>
      </c>
      <c r="H4113" t="s">
        <v>7148</v>
      </c>
      <c r="I4113" t="s">
        <v>9788</v>
      </c>
      <c r="J4113" t="s">
        <v>13242</v>
      </c>
      <c r="K4113" t="s">
        <v>17646</v>
      </c>
      <c r="L4113">
        <f>HYPERLINK("https://www2.assemblee-nationale.fr/sycomore/fiche/(num_dept)/3861", "3861")</f>
        <v>0</v>
      </c>
      <c r="N4113">
        <f>HYPERLINK("https://www.wikidata.org/wiki/Q3188346", "Q3188346")</f>
        <v>0</v>
      </c>
      <c r="O4113" t="s">
        <v>19988</v>
      </c>
      <c r="P4113" t="s">
        <v>20459</v>
      </c>
      <c r="Q4113" t="s">
        <v>13445</v>
      </c>
      <c r="R4113" t="s">
        <v>21463</v>
      </c>
      <c r="S4113">
        <v>1515</v>
      </c>
    </row>
    <row r="4114" spans="1:19">
      <c r="A4114" t="s">
        <v>25</v>
      </c>
      <c r="B4114" t="s">
        <v>148</v>
      </c>
      <c r="C4114" t="s">
        <v>157</v>
      </c>
      <c r="D4114" t="s">
        <v>286</v>
      </c>
      <c r="E4114" t="s">
        <v>415</v>
      </c>
      <c r="F4114">
        <f>HYPERLINK("https://www.wikidata.org/wiki/Q33756706", "Q33756706")</f>
        <v>0</v>
      </c>
      <c r="G4114" t="s">
        <v>2600</v>
      </c>
      <c r="H4114" t="s">
        <v>7149</v>
      </c>
      <c r="I4114" t="s">
        <v>10305</v>
      </c>
      <c r="J4114" t="s">
        <v>13243</v>
      </c>
      <c r="K4114" t="s">
        <v>15634</v>
      </c>
      <c r="L4114">
        <f>HYPERLINK("https://www2.assemblee-nationale.fr/sycomore/fiche/(num_dept)/3880", "3880")</f>
        <v>0</v>
      </c>
      <c r="N4114">
        <f>HYPERLINK("https://www.wikidata.org/wiki/Q8337312", "Q8337312")</f>
        <v>0</v>
      </c>
      <c r="O4114" t="s">
        <v>19998</v>
      </c>
      <c r="P4114" t="s">
        <v>20459</v>
      </c>
      <c r="Q4114" t="s">
        <v>13445</v>
      </c>
      <c r="R4114" t="s">
        <v>21463</v>
      </c>
      <c r="S4114">
        <v>1515</v>
      </c>
    </row>
    <row r="4115" spans="1:19">
      <c r="A4115" t="s">
        <v>25</v>
      </c>
      <c r="B4115" t="s">
        <v>148</v>
      </c>
      <c r="C4115" t="s">
        <v>157</v>
      </c>
      <c r="D4115" t="s">
        <v>286</v>
      </c>
      <c r="E4115" t="s">
        <v>415</v>
      </c>
      <c r="F4115">
        <f>HYPERLINK("https://www.wikidata.org/wiki/Q33756706", "Q33756706")</f>
        <v>0</v>
      </c>
      <c r="G4115" t="s">
        <v>2601</v>
      </c>
      <c r="H4115" t="s">
        <v>7150</v>
      </c>
      <c r="I4115" t="s">
        <v>6860</v>
      </c>
      <c r="J4115" t="s">
        <v>13244</v>
      </c>
      <c r="K4115" t="s">
        <v>17647</v>
      </c>
      <c r="L4115">
        <f>HYPERLINK("https://www2.assemblee-nationale.fr/sycomore/fiche/(num_dept)/4036", "4036")</f>
        <v>0</v>
      </c>
      <c r="M4115">
        <f>HYPERLINK("https://www.senat.fr/senateur-3eme-republique/joigneaux_pierre0546r3.html", "joigneaux_pierre0546r3")</f>
        <v>0</v>
      </c>
      <c r="N4115">
        <f>HYPERLINK("https://www.wikidata.org/wiki/Q3385603", "Q3385603")</f>
        <v>0</v>
      </c>
      <c r="O4115" t="s">
        <v>20002</v>
      </c>
      <c r="P4115" t="s">
        <v>20459</v>
      </c>
      <c r="Q4115" t="s">
        <v>13445</v>
      </c>
      <c r="R4115" t="s">
        <v>21463</v>
      </c>
      <c r="S4115">
        <v>1515</v>
      </c>
    </row>
    <row r="4116" spans="1:19">
      <c r="A4116" t="s">
        <v>25</v>
      </c>
      <c r="B4116" t="s">
        <v>148</v>
      </c>
      <c r="C4116" t="s">
        <v>157</v>
      </c>
      <c r="D4116" t="s">
        <v>286</v>
      </c>
      <c r="E4116" t="s">
        <v>415</v>
      </c>
      <c r="F4116">
        <f>HYPERLINK("https://www.wikidata.org/wiki/Q33756706", "Q33756706")</f>
        <v>0</v>
      </c>
      <c r="G4116" t="s">
        <v>2602</v>
      </c>
      <c r="H4116" t="s">
        <v>7151</v>
      </c>
      <c r="I4116" t="s">
        <v>9465</v>
      </c>
      <c r="J4116" t="s">
        <v>13245</v>
      </c>
      <c r="K4116" t="s">
        <v>17648</v>
      </c>
      <c r="L4116">
        <f>HYPERLINK("https://www2.assemblee-nationale.fr/sycomore/fiche/(num_dept)/4039", "4039")</f>
        <v>0</v>
      </c>
      <c r="N4116">
        <f>HYPERLINK("https://www.wikidata.org/wiki/Q15971837", "Q15971837")</f>
        <v>0</v>
      </c>
      <c r="O4116" t="s">
        <v>20037</v>
      </c>
      <c r="P4116" t="s">
        <v>20464</v>
      </c>
      <c r="Q4116" t="s">
        <v>13445</v>
      </c>
      <c r="R4116" t="s">
        <v>21463</v>
      </c>
      <c r="S4116">
        <v>1515</v>
      </c>
    </row>
    <row r="4117" spans="1:19">
      <c r="A4117" t="s">
        <v>25</v>
      </c>
      <c r="B4117" t="s">
        <v>148</v>
      </c>
      <c r="C4117" t="s">
        <v>157</v>
      </c>
      <c r="D4117" t="s">
        <v>286</v>
      </c>
      <c r="E4117" t="s">
        <v>415</v>
      </c>
      <c r="F4117">
        <f>HYPERLINK("https://www.wikidata.org/wiki/Q33756706", "Q33756706")</f>
        <v>0</v>
      </c>
      <c r="G4117" t="s">
        <v>2603</v>
      </c>
      <c r="H4117" t="s">
        <v>7152</v>
      </c>
      <c r="I4117" t="s">
        <v>10306</v>
      </c>
      <c r="J4117" t="s">
        <v>13246</v>
      </c>
      <c r="K4117" t="s">
        <v>17649</v>
      </c>
      <c r="L4117">
        <f>HYPERLINK("https://www2.assemblee-nationale.fr/sycomore/fiche/(num_dept)/4091", "4091")</f>
        <v>0</v>
      </c>
      <c r="M4117">
        <f>HYPERLINK("https://www.senat.fr/senateur-3eme-republique/leclerc_de_juigne_charles1283r3.html", "leclerc_de_juigne_charles1283r3")</f>
        <v>0</v>
      </c>
      <c r="N4117">
        <f>HYPERLINK("https://www.wikidata.org/wiki/Q2960767", "Q2960767")</f>
        <v>0</v>
      </c>
      <c r="O4117" t="s">
        <v>20023</v>
      </c>
      <c r="P4117" t="s">
        <v>20460</v>
      </c>
      <c r="Q4117" t="s">
        <v>13445</v>
      </c>
      <c r="R4117" t="s">
        <v>21463</v>
      </c>
      <c r="S4117">
        <v>1515</v>
      </c>
    </row>
    <row r="4118" spans="1:19">
      <c r="A4118" t="s">
        <v>25</v>
      </c>
      <c r="B4118" t="s">
        <v>148</v>
      </c>
      <c r="C4118" t="s">
        <v>157</v>
      </c>
      <c r="D4118" t="s">
        <v>286</v>
      </c>
      <c r="E4118" t="s">
        <v>415</v>
      </c>
      <c r="F4118">
        <f>HYPERLINK("https://www.wikidata.org/wiki/Q33756706", "Q33756706")</f>
        <v>0</v>
      </c>
      <c r="G4118" t="s">
        <v>2604</v>
      </c>
      <c r="H4118" t="s">
        <v>7153</v>
      </c>
      <c r="I4118" t="s">
        <v>10307</v>
      </c>
      <c r="J4118" t="s">
        <v>13247</v>
      </c>
      <c r="K4118" t="s">
        <v>16045</v>
      </c>
      <c r="L4118">
        <f>HYPERLINK("https://www2.assemblee-nationale.fr/sycomore/fiche/(num_dept)/4099", "4099")</f>
        <v>0</v>
      </c>
      <c r="N4118">
        <f>HYPERLINK("https://www.wikidata.org/wiki/Q16025887", "Q16025887")</f>
        <v>0</v>
      </c>
      <c r="O4118" t="s">
        <v>20039</v>
      </c>
      <c r="P4118" t="s">
        <v>20401</v>
      </c>
      <c r="Q4118" t="s">
        <v>13445</v>
      </c>
      <c r="R4118" t="s">
        <v>21463</v>
      </c>
      <c r="S4118">
        <v>1515</v>
      </c>
    </row>
    <row r="4119" spans="1:19">
      <c r="A4119" t="s">
        <v>25</v>
      </c>
      <c r="B4119" t="s">
        <v>148</v>
      </c>
      <c r="C4119" t="s">
        <v>157</v>
      </c>
      <c r="D4119" t="s">
        <v>286</v>
      </c>
      <c r="E4119" t="s">
        <v>415</v>
      </c>
      <c r="F4119">
        <f>HYPERLINK("https://www.wikidata.org/wiki/Q33756706", "Q33756706")</f>
        <v>0</v>
      </c>
      <c r="G4119" t="s">
        <v>2605</v>
      </c>
      <c r="H4119" t="s">
        <v>7154</v>
      </c>
      <c r="I4119" t="s">
        <v>10308</v>
      </c>
      <c r="J4119" t="s">
        <v>13248</v>
      </c>
      <c r="K4119" t="s">
        <v>17650</v>
      </c>
      <c r="L4119">
        <f>HYPERLINK("https://www2.assemblee-nationale.fr/sycomore/fiche/(num_dept)/4131", "4131")</f>
        <v>0</v>
      </c>
      <c r="N4119">
        <f>HYPERLINK("https://www.wikidata.org/wiki/Q3588415", "Q3588415")</f>
        <v>0</v>
      </c>
      <c r="O4119" t="s">
        <v>20011</v>
      </c>
      <c r="P4119" t="s">
        <v>20460</v>
      </c>
      <c r="Q4119" t="s">
        <v>13445</v>
      </c>
      <c r="R4119" t="s">
        <v>21463</v>
      </c>
      <c r="S4119">
        <v>1515</v>
      </c>
    </row>
    <row r="4120" spans="1:19">
      <c r="A4120" t="s">
        <v>25</v>
      </c>
      <c r="B4120" t="s">
        <v>148</v>
      </c>
      <c r="C4120" t="s">
        <v>157</v>
      </c>
      <c r="D4120" t="s">
        <v>286</v>
      </c>
      <c r="E4120" t="s">
        <v>415</v>
      </c>
      <c r="F4120">
        <f>HYPERLINK("https://www.wikidata.org/wiki/Q33756706", "Q33756706")</f>
        <v>0</v>
      </c>
      <c r="G4120" t="s">
        <v>2606</v>
      </c>
      <c r="H4120" t="s">
        <v>7155</v>
      </c>
      <c r="I4120" t="s">
        <v>9440</v>
      </c>
      <c r="J4120" t="s">
        <v>13249</v>
      </c>
      <c r="K4120" t="s">
        <v>17651</v>
      </c>
      <c r="L4120">
        <f>HYPERLINK("https://www2.assemblee-nationale.fr/sycomore/fiche/(num_dept)/4183", "4183")</f>
        <v>0</v>
      </c>
      <c r="N4120">
        <f>HYPERLINK("https://www.wikidata.org/wiki/Q2844734", "Q2844734")</f>
        <v>0</v>
      </c>
      <c r="O4120" t="s">
        <v>20021</v>
      </c>
      <c r="P4120" t="s">
        <v>20459</v>
      </c>
      <c r="Q4120" t="s">
        <v>13445</v>
      </c>
      <c r="R4120" t="s">
        <v>21463</v>
      </c>
      <c r="S4120">
        <v>1515</v>
      </c>
    </row>
    <row r="4121" spans="1:19">
      <c r="A4121" t="s">
        <v>25</v>
      </c>
      <c r="B4121" t="s">
        <v>148</v>
      </c>
      <c r="C4121" t="s">
        <v>157</v>
      </c>
      <c r="D4121" t="s">
        <v>286</v>
      </c>
      <c r="E4121" t="s">
        <v>415</v>
      </c>
      <c r="F4121">
        <f>HYPERLINK("https://www.wikidata.org/wiki/Q33756706", "Q33756706")</f>
        <v>0</v>
      </c>
      <c r="G4121" t="s">
        <v>2607</v>
      </c>
      <c r="H4121" t="s">
        <v>7156</v>
      </c>
      <c r="I4121" t="s">
        <v>10309</v>
      </c>
      <c r="J4121" t="s">
        <v>13250</v>
      </c>
      <c r="K4121" t="s">
        <v>17652</v>
      </c>
      <c r="L4121">
        <f>HYPERLINK("https://www2.assemblee-nationale.fr/sycomore/fiche/(num_dept)/4186", "4186")</f>
        <v>0</v>
      </c>
      <c r="N4121">
        <f>HYPERLINK("https://www.wikidata.org/wiki/Q3491366", "Q3491366")</f>
        <v>0</v>
      </c>
      <c r="O4121" t="s">
        <v>19956</v>
      </c>
      <c r="P4121" t="s">
        <v>20460</v>
      </c>
      <c r="Q4121" t="s">
        <v>13445</v>
      </c>
      <c r="R4121" t="s">
        <v>21463</v>
      </c>
      <c r="S4121">
        <v>1515</v>
      </c>
    </row>
    <row r="4122" spans="1:19">
      <c r="A4122" t="s">
        <v>25</v>
      </c>
      <c r="B4122" t="s">
        <v>148</v>
      </c>
      <c r="C4122" t="s">
        <v>157</v>
      </c>
      <c r="D4122" t="s">
        <v>286</v>
      </c>
      <c r="E4122" t="s">
        <v>415</v>
      </c>
      <c r="F4122">
        <f>HYPERLINK("https://www.wikidata.org/wiki/Q33756706", "Q33756706")</f>
        <v>0</v>
      </c>
      <c r="G4122" t="s">
        <v>2608</v>
      </c>
      <c r="H4122" t="s">
        <v>7157</v>
      </c>
      <c r="I4122" t="s">
        <v>10310</v>
      </c>
      <c r="J4122" t="s">
        <v>13251</v>
      </c>
      <c r="K4122" t="s">
        <v>17653</v>
      </c>
      <c r="L4122">
        <f>HYPERLINK("https://www2.assemblee-nationale.fr/sycomore/fiche/(num_dept)/4187", "4187")</f>
        <v>0</v>
      </c>
      <c r="N4122">
        <f>HYPERLINK("https://www.wikidata.org/wiki/Q6075430", "Q6075430")</f>
        <v>0</v>
      </c>
      <c r="O4122" t="s">
        <v>20021</v>
      </c>
      <c r="P4122" t="s">
        <v>20460</v>
      </c>
      <c r="Q4122" t="s">
        <v>13445</v>
      </c>
      <c r="R4122" t="s">
        <v>21463</v>
      </c>
      <c r="S4122">
        <v>1515</v>
      </c>
    </row>
    <row r="4123" spans="1:19">
      <c r="A4123" t="s">
        <v>25</v>
      </c>
      <c r="B4123" t="s">
        <v>148</v>
      </c>
      <c r="C4123" t="s">
        <v>157</v>
      </c>
      <c r="D4123" t="s">
        <v>286</v>
      </c>
      <c r="E4123" t="s">
        <v>415</v>
      </c>
      <c r="F4123">
        <f>HYPERLINK("https://www.wikidata.org/wiki/Q33756706", "Q33756706")</f>
        <v>0</v>
      </c>
      <c r="G4123" t="s">
        <v>2609</v>
      </c>
      <c r="H4123" t="s">
        <v>7158</v>
      </c>
      <c r="I4123" t="s">
        <v>10311</v>
      </c>
      <c r="J4123" t="s">
        <v>13252</v>
      </c>
      <c r="K4123" t="s">
        <v>17654</v>
      </c>
      <c r="L4123">
        <f>HYPERLINK("https://www2.assemblee-nationale.fr/sycomore/fiche/(num_dept)/4195", "4195")</f>
        <v>0</v>
      </c>
      <c r="N4123">
        <f>HYPERLINK("https://www.wikidata.org/wiki/Q15264150", "Q15264150")</f>
        <v>0</v>
      </c>
      <c r="O4123" t="s">
        <v>19970</v>
      </c>
      <c r="P4123" t="s">
        <v>20464</v>
      </c>
      <c r="Q4123" t="s">
        <v>13445</v>
      </c>
      <c r="R4123" t="s">
        <v>21463</v>
      </c>
      <c r="S4123">
        <v>1515</v>
      </c>
    </row>
    <row r="4124" spans="1:19">
      <c r="A4124" t="s">
        <v>25</v>
      </c>
      <c r="B4124" t="s">
        <v>148</v>
      </c>
      <c r="C4124" t="s">
        <v>157</v>
      </c>
      <c r="D4124" t="s">
        <v>286</v>
      </c>
      <c r="E4124" t="s">
        <v>415</v>
      </c>
      <c r="F4124">
        <f>HYPERLINK("https://www.wikidata.org/wiki/Q33756706", "Q33756706")</f>
        <v>0</v>
      </c>
      <c r="G4124" t="s">
        <v>2610</v>
      </c>
      <c r="H4124" t="s">
        <v>7159</v>
      </c>
      <c r="I4124" t="s">
        <v>9426</v>
      </c>
      <c r="J4124" t="s">
        <v>13253</v>
      </c>
      <c r="K4124" t="s">
        <v>17655</v>
      </c>
      <c r="L4124">
        <f>HYPERLINK("https://www2.assemblee-nationale.fr/sycomore/fiche/(num_dept)/4210", "4210")</f>
        <v>0</v>
      </c>
      <c r="N4124">
        <f>HYPERLINK("https://www.wikidata.org/wiki/Q16025907", "Q16025907")</f>
        <v>0</v>
      </c>
      <c r="O4124" t="s">
        <v>19999</v>
      </c>
      <c r="P4124" t="s">
        <v>20459</v>
      </c>
      <c r="Q4124" t="s">
        <v>13445</v>
      </c>
      <c r="R4124" t="s">
        <v>21463</v>
      </c>
      <c r="S4124">
        <v>1515</v>
      </c>
    </row>
    <row r="4125" spans="1:19">
      <c r="A4125" t="s">
        <v>25</v>
      </c>
      <c r="B4125" t="s">
        <v>148</v>
      </c>
      <c r="C4125" t="s">
        <v>157</v>
      </c>
      <c r="D4125" t="s">
        <v>286</v>
      </c>
      <c r="E4125" t="s">
        <v>415</v>
      </c>
      <c r="F4125">
        <f>HYPERLINK("https://www.wikidata.org/wiki/Q33756706", "Q33756706")</f>
        <v>0</v>
      </c>
      <c r="G4125" t="s">
        <v>2611</v>
      </c>
      <c r="H4125" t="s">
        <v>7160</v>
      </c>
      <c r="I4125" t="s">
        <v>10312</v>
      </c>
      <c r="J4125" t="s">
        <v>13254</v>
      </c>
      <c r="K4125" t="s">
        <v>17656</v>
      </c>
      <c r="L4125">
        <f>HYPERLINK("https://www2.assemblee-nationale.fr/sycomore/fiche/(num_dept)/4236", "4236")</f>
        <v>0</v>
      </c>
      <c r="N4125">
        <f>HYPERLINK("https://www.wikidata.org/wiki/Q3383114", "Q3383114")</f>
        <v>0</v>
      </c>
      <c r="O4125" t="s">
        <v>19994</v>
      </c>
      <c r="P4125" t="s">
        <v>20401</v>
      </c>
      <c r="Q4125" t="s">
        <v>13445</v>
      </c>
      <c r="R4125" t="s">
        <v>21463</v>
      </c>
      <c r="S4125">
        <v>1515</v>
      </c>
    </row>
    <row r="4126" spans="1:19">
      <c r="A4126" t="s">
        <v>25</v>
      </c>
      <c r="B4126" t="s">
        <v>148</v>
      </c>
      <c r="C4126" t="s">
        <v>157</v>
      </c>
      <c r="D4126" t="s">
        <v>286</v>
      </c>
      <c r="E4126" t="s">
        <v>415</v>
      </c>
      <c r="F4126">
        <f>HYPERLINK("https://www.wikidata.org/wiki/Q33756706", "Q33756706")</f>
        <v>0</v>
      </c>
      <c r="G4126" t="s">
        <v>2612</v>
      </c>
      <c r="H4126" t="s">
        <v>7161</v>
      </c>
      <c r="I4126" t="s">
        <v>10313</v>
      </c>
      <c r="J4126" t="s">
        <v>13255</v>
      </c>
      <c r="K4126" t="s">
        <v>17657</v>
      </c>
      <c r="L4126">
        <f>HYPERLINK("https://www2.assemblee-nationale.fr/sycomore/fiche/(num_dept)/4242", "4242")</f>
        <v>0</v>
      </c>
      <c r="N4126">
        <f>HYPERLINK("https://www.wikidata.org/wiki/Q16025916", "Q16025916")</f>
        <v>0</v>
      </c>
      <c r="O4126" t="s">
        <v>19959</v>
      </c>
      <c r="Q4126" t="s">
        <v>13445</v>
      </c>
      <c r="R4126" t="s">
        <v>21463</v>
      </c>
      <c r="S4126">
        <v>1515</v>
      </c>
    </row>
    <row r="4127" spans="1:19">
      <c r="A4127" t="s">
        <v>25</v>
      </c>
      <c r="B4127" t="s">
        <v>148</v>
      </c>
      <c r="C4127" t="s">
        <v>157</v>
      </c>
      <c r="D4127" t="s">
        <v>286</v>
      </c>
      <c r="E4127" t="s">
        <v>415</v>
      </c>
      <c r="F4127">
        <f>HYPERLINK("https://www.wikidata.org/wiki/Q33756706", "Q33756706")</f>
        <v>0</v>
      </c>
      <c r="G4127" t="s">
        <v>2613</v>
      </c>
      <c r="H4127" t="s">
        <v>7162</v>
      </c>
      <c r="I4127" t="s">
        <v>10314</v>
      </c>
      <c r="J4127" t="s">
        <v>13256</v>
      </c>
      <c r="K4127" t="s">
        <v>17658</v>
      </c>
      <c r="L4127">
        <f>HYPERLINK("https://www2.assemblee-nationale.fr/sycomore/fiche/(num_dept)/4251", "4251")</f>
        <v>0</v>
      </c>
      <c r="N4127">
        <f>HYPERLINK("https://www.wikidata.org/wiki/Q16025919", "Q16025919")</f>
        <v>0</v>
      </c>
      <c r="O4127" t="s">
        <v>20043</v>
      </c>
      <c r="Q4127" t="s">
        <v>13445</v>
      </c>
      <c r="R4127" t="s">
        <v>21463</v>
      </c>
      <c r="S4127">
        <v>1515</v>
      </c>
    </row>
    <row r="4128" spans="1:19">
      <c r="A4128" t="s">
        <v>25</v>
      </c>
      <c r="B4128" t="s">
        <v>148</v>
      </c>
      <c r="C4128" t="s">
        <v>157</v>
      </c>
      <c r="D4128" t="s">
        <v>286</v>
      </c>
      <c r="E4128" t="s">
        <v>415</v>
      </c>
      <c r="F4128">
        <f>HYPERLINK("https://www.wikidata.org/wiki/Q33756706", "Q33756706")</f>
        <v>0</v>
      </c>
      <c r="G4128" t="s">
        <v>2614</v>
      </c>
      <c r="H4128" t="s">
        <v>7163</v>
      </c>
      <c r="I4128" t="s">
        <v>10315</v>
      </c>
      <c r="J4128" t="s">
        <v>13257</v>
      </c>
      <c r="K4128" t="s">
        <v>17659</v>
      </c>
      <c r="L4128">
        <f>HYPERLINK("https://www2.assemblee-nationale.fr/sycomore/fiche/(num_dept)/4281", "4281")</f>
        <v>0</v>
      </c>
      <c r="N4128">
        <f>HYPERLINK("https://www.wikidata.org/wiki/Q25318", "Q25318")</f>
        <v>0</v>
      </c>
      <c r="O4128" t="s">
        <v>20023</v>
      </c>
      <c r="P4128" t="s">
        <v>20401</v>
      </c>
      <c r="Q4128" t="s">
        <v>13445</v>
      </c>
      <c r="R4128" t="s">
        <v>21463</v>
      </c>
      <c r="S4128">
        <v>1515</v>
      </c>
    </row>
    <row r="4129" spans="1:19">
      <c r="A4129" t="s">
        <v>25</v>
      </c>
      <c r="B4129" t="s">
        <v>148</v>
      </c>
      <c r="C4129" t="s">
        <v>157</v>
      </c>
      <c r="D4129" t="s">
        <v>286</v>
      </c>
      <c r="E4129" t="s">
        <v>415</v>
      </c>
      <c r="F4129">
        <f>HYPERLINK("https://www.wikidata.org/wiki/Q33756706", "Q33756706")</f>
        <v>0</v>
      </c>
      <c r="G4129" t="s">
        <v>984</v>
      </c>
      <c r="H4129" t="s">
        <v>5736</v>
      </c>
      <c r="I4129" t="s">
        <v>9606</v>
      </c>
      <c r="J4129" t="s">
        <v>11722</v>
      </c>
      <c r="K4129" t="s">
        <v>16126</v>
      </c>
      <c r="L4129">
        <f>HYPERLINK("https://www2.assemblee-nationale.fr/sycomore/fiche/(num_dept)/4328", "4328")</f>
        <v>0</v>
      </c>
      <c r="N4129">
        <f>HYPERLINK("https://www.wikidata.org/wiki/Q645606", "Q645606")</f>
        <v>0</v>
      </c>
      <c r="O4129" t="s">
        <v>19969</v>
      </c>
      <c r="P4129" t="s">
        <v>20401</v>
      </c>
      <c r="Q4129" t="s">
        <v>13445</v>
      </c>
      <c r="R4129" t="s">
        <v>21463</v>
      </c>
      <c r="S4129">
        <v>1515</v>
      </c>
    </row>
    <row r="4130" spans="1:19">
      <c r="A4130" t="s">
        <v>25</v>
      </c>
      <c r="B4130" t="s">
        <v>148</v>
      </c>
      <c r="C4130" t="s">
        <v>157</v>
      </c>
      <c r="D4130" t="s">
        <v>286</v>
      </c>
      <c r="E4130" t="s">
        <v>415</v>
      </c>
      <c r="F4130">
        <f>HYPERLINK("https://www.wikidata.org/wiki/Q33756706", "Q33756706")</f>
        <v>0</v>
      </c>
      <c r="G4130" t="s">
        <v>710</v>
      </c>
      <c r="H4130" t="s">
        <v>5468</v>
      </c>
      <c r="I4130" t="s">
        <v>9491</v>
      </c>
      <c r="J4130" t="s">
        <v>11459</v>
      </c>
      <c r="K4130" t="s">
        <v>15861</v>
      </c>
      <c r="L4130">
        <f>HYPERLINK("https://www2.assemblee-nationale.fr/sycomore/fiche/(num_dept)/4339", "4339")</f>
        <v>0</v>
      </c>
      <c r="N4130">
        <f>HYPERLINK("https://www.wikidata.org/wiki/Q3370301", "Q3370301")</f>
        <v>0</v>
      </c>
      <c r="O4130" t="s">
        <v>19961</v>
      </c>
      <c r="P4130" t="s">
        <v>20466</v>
      </c>
      <c r="Q4130" t="s">
        <v>13445</v>
      </c>
      <c r="R4130" t="s">
        <v>21463</v>
      </c>
      <c r="S4130">
        <v>1515</v>
      </c>
    </row>
    <row r="4131" spans="1:19">
      <c r="A4131" t="s">
        <v>25</v>
      </c>
      <c r="B4131" t="s">
        <v>148</v>
      </c>
      <c r="C4131" t="s">
        <v>157</v>
      </c>
      <c r="D4131" t="s">
        <v>286</v>
      </c>
      <c r="E4131" t="s">
        <v>415</v>
      </c>
      <c r="F4131">
        <f>HYPERLINK("https://www.wikidata.org/wiki/Q33756706", "Q33756706")</f>
        <v>0</v>
      </c>
      <c r="G4131" t="s">
        <v>2615</v>
      </c>
      <c r="H4131" t="s">
        <v>7164</v>
      </c>
      <c r="I4131" t="s">
        <v>9449</v>
      </c>
      <c r="J4131" t="s">
        <v>13258</v>
      </c>
      <c r="K4131" t="s">
        <v>17660</v>
      </c>
      <c r="L4131">
        <f>HYPERLINK("https://www2.assemblee-nationale.fr/sycomore/fiche/(num_dept)/4374", "4374")</f>
        <v>0</v>
      </c>
      <c r="N4131">
        <f>HYPERLINK("https://www.wikidata.org/wiki/Q16025944", "Q16025944")</f>
        <v>0</v>
      </c>
      <c r="O4131" t="s">
        <v>20019</v>
      </c>
      <c r="P4131" t="s">
        <v>20401</v>
      </c>
      <c r="Q4131" t="s">
        <v>13445</v>
      </c>
      <c r="R4131" t="s">
        <v>21463</v>
      </c>
      <c r="S4131">
        <v>1515</v>
      </c>
    </row>
    <row r="4132" spans="1:19">
      <c r="A4132" t="s">
        <v>25</v>
      </c>
      <c r="B4132" t="s">
        <v>148</v>
      </c>
      <c r="C4132" t="s">
        <v>157</v>
      </c>
      <c r="D4132" t="s">
        <v>286</v>
      </c>
      <c r="E4132" t="s">
        <v>415</v>
      </c>
      <c r="F4132">
        <f>HYPERLINK("https://www.wikidata.org/wiki/Q33756706", "Q33756706")</f>
        <v>0</v>
      </c>
      <c r="G4132" t="s">
        <v>2616</v>
      </c>
      <c r="H4132" t="s">
        <v>6928</v>
      </c>
      <c r="I4132" t="s">
        <v>9407</v>
      </c>
      <c r="J4132" t="s">
        <v>13259</v>
      </c>
      <c r="K4132" t="s">
        <v>13039</v>
      </c>
      <c r="L4132">
        <f>HYPERLINK("https://www2.assemblee-nationale.fr/sycomore/fiche/(num_dept)/4383", "4383")</f>
        <v>0</v>
      </c>
      <c r="N4132">
        <f>HYPERLINK("https://www.wikidata.org/wiki/Q16025946", "Q16025946")</f>
        <v>0</v>
      </c>
      <c r="O4132" t="s">
        <v>20045</v>
      </c>
      <c r="Q4132" t="s">
        <v>13445</v>
      </c>
      <c r="R4132" t="s">
        <v>21463</v>
      </c>
      <c r="S4132">
        <v>1515</v>
      </c>
    </row>
    <row r="4133" spans="1:19">
      <c r="A4133" t="s">
        <v>25</v>
      </c>
      <c r="B4133" t="s">
        <v>148</v>
      </c>
      <c r="C4133" t="s">
        <v>157</v>
      </c>
      <c r="D4133" t="s">
        <v>286</v>
      </c>
      <c r="E4133" t="s">
        <v>415</v>
      </c>
      <c r="F4133">
        <f>HYPERLINK("https://www.wikidata.org/wiki/Q33756706", "Q33756706")</f>
        <v>0</v>
      </c>
      <c r="G4133" t="s">
        <v>2617</v>
      </c>
      <c r="H4133" t="s">
        <v>5741</v>
      </c>
      <c r="I4133" t="s">
        <v>9421</v>
      </c>
      <c r="J4133" t="s">
        <v>13260</v>
      </c>
      <c r="K4133" t="s">
        <v>17661</v>
      </c>
      <c r="L4133">
        <f>HYPERLINK("https://www2.assemblee-nationale.fr/sycomore/fiche/(num_dept)/4830", "4830")</f>
        <v>0</v>
      </c>
      <c r="N4133">
        <f>HYPERLINK("https://www.wikidata.org/wiki/Q16026013", "Q16026013")</f>
        <v>0</v>
      </c>
      <c r="O4133" t="s">
        <v>19995</v>
      </c>
      <c r="P4133" t="s">
        <v>20461</v>
      </c>
      <c r="Q4133" t="s">
        <v>13445</v>
      </c>
      <c r="R4133" t="s">
        <v>21463</v>
      </c>
      <c r="S4133">
        <v>1515</v>
      </c>
    </row>
    <row r="4134" spans="1:19">
      <c r="A4134" t="s">
        <v>25</v>
      </c>
      <c r="B4134" t="s">
        <v>148</v>
      </c>
      <c r="C4134" t="s">
        <v>157</v>
      </c>
      <c r="D4134" t="s">
        <v>286</v>
      </c>
      <c r="E4134" t="s">
        <v>415</v>
      </c>
      <c r="F4134">
        <f>HYPERLINK("https://www.wikidata.org/wiki/Q33756706", "Q33756706")</f>
        <v>0</v>
      </c>
      <c r="G4134" t="s">
        <v>716</v>
      </c>
      <c r="H4134" t="s">
        <v>5474</v>
      </c>
      <c r="I4134" t="s">
        <v>9495</v>
      </c>
      <c r="J4134" t="s">
        <v>11465</v>
      </c>
      <c r="K4134" t="s">
        <v>15867</v>
      </c>
      <c r="L4134">
        <f>HYPERLINK("https://www2.assemblee-nationale.fr/sycomore/fiche/(num_dept)/4868", "4868")</f>
        <v>0</v>
      </c>
      <c r="N4134">
        <f>HYPERLINK("https://www.wikidata.org/wiki/Q2862011", "Q2862011")</f>
        <v>0</v>
      </c>
      <c r="O4134" t="s">
        <v>19957</v>
      </c>
      <c r="P4134" t="s">
        <v>20464</v>
      </c>
      <c r="Q4134" t="s">
        <v>13445</v>
      </c>
      <c r="R4134" t="s">
        <v>21463</v>
      </c>
      <c r="S4134">
        <v>1515</v>
      </c>
    </row>
    <row r="4135" spans="1:19">
      <c r="A4135" t="s">
        <v>25</v>
      </c>
      <c r="B4135" t="s">
        <v>148</v>
      </c>
      <c r="C4135" t="s">
        <v>157</v>
      </c>
      <c r="D4135" t="s">
        <v>286</v>
      </c>
      <c r="E4135" t="s">
        <v>415</v>
      </c>
      <c r="F4135">
        <f>HYPERLINK("https://www.wikidata.org/wiki/Q33756706", "Q33756706")</f>
        <v>0</v>
      </c>
      <c r="G4135" t="s">
        <v>2618</v>
      </c>
      <c r="H4135" t="s">
        <v>7165</v>
      </c>
      <c r="I4135" t="s">
        <v>10316</v>
      </c>
      <c r="J4135" t="s">
        <v>13261</v>
      </c>
      <c r="K4135" t="s">
        <v>17662</v>
      </c>
      <c r="L4135">
        <f>HYPERLINK("https://www2.assemblee-nationale.fr/sycomore/fiche/(num_dept)/4874", "4874")</f>
        <v>0</v>
      </c>
      <c r="N4135">
        <f>HYPERLINK("https://www.wikidata.org/wiki/Q8319402", "Q8319402")</f>
        <v>0</v>
      </c>
      <c r="O4135" t="s">
        <v>20044</v>
      </c>
      <c r="P4135" t="s">
        <v>20459</v>
      </c>
      <c r="Q4135" t="s">
        <v>13445</v>
      </c>
      <c r="R4135" t="s">
        <v>21463</v>
      </c>
      <c r="S4135">
        <v>1515</v>
      </c>
    </row>
    <row r="4136" spans="1:19">
      <c r="A4136" t="s">
        <v>25</v>
      </c>
      <c r="B4136" t="s">
        <v>148</v>
      </c>
      <c r="C4136" t="s">
        <v>157</v>
      </c>
      <c r="D4136" t="s">
        <v>286</v>
      </c>
      <c r="E4136" t="s">
        <v>415</v>
      </c>
      <c r="F4136">
        <f>HYPERLINK("https://www.wikidata.org/wiki/Q33756706", "Q33756706")</f>
        <v>0</v>
      </c>
      <c r="G4136" t="s">
        <v>2619</v>
      </c>
      <c r="H4136" t="s">
        <v>7166</v>
      </c>
      <c r="I4136" t="s">
        <v>10317</v>
      </c>
      <c r="J4136" t="s">
        <v>13262</v>
      </c>
      <c r="K4136" t="s">
        <v>17663</v>
      </c>
      <c r="L4136">
        <f>HYPERLINK("https://www2.assemblee-nationale.fr/sycomore/fiche/(num_dept)/4898", "4898")</f>
        <v>0</v>
      </c>
      <c r="N4136">
        <f>HYPERLINK("https://www.wikidata.org/wiki/Q8304268", "Q8304268")</f>
        <v>0</v>
      </c>
      <c r="O4136" t="s">
        <v>19993</v>
      </c>
      <c r="P4136" t="s">
        <v>20467</v>
      </c>
      <c r="Q4136" t="s">
        <v>13445</v>
      </c>
      <c r="R4136" t="s">
        <v>21463</v>
      </c>
      <c r="S4136">
        <v>1515</v>
      </c>
    </row>
    <row r="4137" spans="1:19">
      <c r="A4137" t="s">
        <v>25</v>
      </c>
      <c r="B4137" t="s">
        <v>148</v>
      </c>
      <c r="C4137" t="s">
        <v>157</v>
      </c>
      <c r="D4137" t="s">
        <v>286</v>
      </c>
      <c r="E4137" t="s">
        <v>415</v>
      </c>
      <c r="F4137">
        <f>HYPERLINK("https://www.wikidata.org/wiki/Q33756706", "Q33756706")</f>
        <v>0</v>
      </c>
      <c r="G4137" t="s">
        <v>2620</v>
      </c>
      <c r="H4137" t="s">
        <v>7167</v>
      </c>
      <c r="I4137" t="s">
        <v>7790</v>
      </c>
      <c r="J4137" t="s">
        <v>13263</v>
      </c>
      <c r="K4137" t="s">
        <v>17664</v>
      </c>
      <c r="L4137">
        <f>HYPERLINK("https://www2.assemblee-nationale.fr/sycomore/fiche/(num_dept)/4903", "4903")</f>
        <v>0</v>
      </c>
      <c r="M4137">
        <f>HYPERLINK("https://www.senat.fr/senateur-3eme-republique/de_maille_de_la_jumelliere_armand1160r3.html", "de_maille_de_la_jumelliere_armand1160r3")</f>
        <v>0</v>
      </c>
      <c r="N4137">
        <f>HYPERLINK("https://www.wikidata.org/wiki/Q2861743", "Q2861743")</f>
        <v>0</v>
      </c>
      <c r="O4137" t="s">
        <v>19980</v>
      </c>
      <c r="P4137" t="s">
        <v>20460</v>
      </c>
      <c r="Q4137" t="s">
        <v>13445</v>
      </c>
      <c r="R4137" t="s">
        <v>21463</v>
      </c>
      <c r="S4137">
        <v>1515</v>
      </c>
    </row>
    <row r="4138" spans="1:19">
      <c r="A4138" t="s">
        <v>25</v>
      </c>
      <c r="B4138" t="s">
        <v>148</v>
      </c>
      <c r="C4138" t="s">
        <v>157</v>
      </c>
      <c r="D4138" t="s">
        <v>286</v>
      </c>
      <c r="E4138" t="s">
        <v>415</v>
      </c>
      <c r="F4138">
        <f>HYPERLINK("https://www.wikidata.org/wiki/Q33756706", "Q33756706")</f>
        <v>0</v>
      </c>
      <c r="G4138" t="s">
        <v>2621</v>
      </c>
      <c r="H4138" t="s">
        <v>7168</v>
      </c>
      <c r="I4138" t="s">
        <v>10318</v>
      </c>
      <c r="J4138" t="s">
        <v>13264</v>
      </c>
      <c r="K4138" t="s">
        <v>17665</v>
      </c>
      <c r="L4138">
        <f>HYPERLINK("https://www2.assemblee-nationale.fr/sycomore/fiche/(num_dept)/4916", "4916")</f>
        <v>0</v>
      </c>
      <c r="N4138">
        <f>HYPERLINK("https://www.wikidata.org/wiki/Q16026099", "Q16026099")</f>
        <v>0</v>
      </c>
      <c r="O4138" t="s">
        <v>19993</v>
      </c>
      <c r="P4138" t="s">
        <v>20460</v>
      </c>
      <c r="Q4138" t="s">
        <v>13445</v>
      </c>
      <c r="R4138" t="s">
        <v>21463</v>
      </c>
      <c r="S4138">
        <v>1515</v>
      </c>
    </row>
    <row r="4139" spans="1:19">
      <c r="A4139" t="s">
        <v>25</v>
      </c>
      <c r="B4139" t="s">
        <v>148</v>
      </c>
      <c r="C4139" t="s">
        <v>157</v>
      </c>
      <c r="D4139" t="s">
        <v>286</v>
      </c>
      <c r="E4139" t="s">
        <v>415</v>
      </c>
      <c r="F4139">
        <f>HYPERLINK("https://www.wikidata.org/wiki/Q33756706", "Q33756706")</f>
        <v>0</v>
      </c>
      <c r="G4139" t="s">
        <v>2622</v>
      </c>
      <c r="H4139" t="s">
        <v>7169</v>
      </c>
      <c r="I4139" t="s">
        <v>10319</v>
      </c>
      <c r="J4139" t="s">
        <v>13265</v>
      </c>
      <c r="K4139" t="s">
        <v>17666</v>
      </c>
      <c r="L4139">
        <f>HYPERLINK("https://www2.assemblee-nationale.fr/sycomore/fiche/(num_dept)/4926", "4926")</f>
        <v>0</v>
      </c>
      <c r="M4139">
        <f>HYPERLINK("https://www.senat.fr/senateur-3eme-republique/malezieux_francois0025r3.html", "malezieux_francois0025r3")</f>
        <v>0</v>
      </c>
      <c r="N4139">
        <f>HYPERLINK("https://www.wikidata.org/wiki/Q3085262", "Q3085262")</f>
        <v>0</v>
      </c>
      <c r="O4139" t="s">
        <v>20015</v>
      </c>
      <c r="P4139" t="s">
        <v>20462</v>
      </c>
      <c r="Q4139" t="s">
        <v>13445</v>
      </c>
      <c r="R4139" t="s">
        <v>21474</v>
      </c>
      <c r="S4139">
        <v>1269</v>
      </c>
    </row>
    <row r="4140" spans="1:19">
      <c r="A4140" t="s">
        <v>25</v>
      </c>
      <c r="B4140" t="s">
        <v>148</v>
      </c>
      <c r="C4140" t="s">
        <v>157</v>
      </c>
      <c r="D4140" t="s">
        <v>286</v>
      </c>
      <c r="E4140" t="s">
        <v>415</v>
      </c>
      <c r="F4140">
        <f>HYPERLINK("https://www.wikidata.org/wiki/Q33756706", "Q33756706")</f>
        <v>0</v>
      </c>
      <c r="G4140" t="s">
        <v>2623</v>
      </c>
      <c r="H4140" t="s">
        <v>7170</v>
      </c>
      <c r="I4140" t="s">
        <v>10320</v>
      </c>
      <c r="J4140" t="s">
        <v>13266</v>
      </c>
      <c r="K4140" t="s">
        <v>17667</v>
      </c>
      <c r="L4140">
        <f>HYPERLINK("https://www2.assemblee-nationale.fr/sycomore/fiche/(num_dept)/4983", "4983")</f>
        <v>0</v>
      </c>
      <c r="M4140">
        <f>HYPERLINK("https://www.senat.fr/senateur-3eme-republique/marcou_theophile0257r3.html", "marcou_theophile0257r3")</f>
        <v>0</v>
      </c>
      <c r="N4140">
        <f>HYPERLINK("https://www.wikidata.org/wiki/Q3526673", "Q3526673")</f>
        <v>0</v>
      </c>
      <c r="O4140" t="s">
        <v>19960</v>
      </c>
      <c r="P4140" t="s">
        <v>20456</v>
      </c>
      <c r="Q4140" t="s">
        <v>13445</v>
      </c>
      <c r="R4140" t="s">
        <v>13033</v>
      </c>
      <c r="S4140">
        <v>1273</v>
      </c>
    </row>
    <row r="4141" spans="1:19">
      <c r="A4141" t="s">
        <v>25</v>
      </c>
      <c r="B4141" t="s">
        <v>148</v>
      </c>
      <c r="C4141" t="s">
        <v>157</v>
      </c>
      <c r="D4141" t="s">
        <v>286</v>
      </c>
      <c r="E4141" t="s">
        <v>415</v>
      </c>
      <c r="F4141">
        <f>HYPERLINK("https://www.wikidata.org/wiki/Q33756706", "Q33756706")</f>
        <v>0</v>
      </c>
      <c r="G4141" t="s">
        <v>2624</v>
      </c>
      <c r="H4141" t="s">
        <v>7171</v>
      </c>
      <c r="I4141" t="s">
        <v>6478</v>
      </c>
      <c r="J4141" t="s">
        <v>13267</v>
      </c>
      <c r="K4141" t="s">
        <v>17668</v>
      </c>
      <c r="L4141">
        <f>HYPERLINK("https://www2.assemblee-nationale.fr/sycomore/fiche/(num_dept)/4988", "4988")</f>
        <v>0</v>
      </c>
      <c r="N4141">
        <f>HYPERLINK("https://www.wikidata.org/wiki/Q3131564", "Q3131564")</f>
        <v>0</v>
      </c>
      <c r="O4141" t="s">
        <v>19969</v>
      </c>
      <c r="P4141" t="s">
        <v>20401</v>
      </c>
      <c r="Q4141" t="s">
        <v>13445</v>
      </c>
      <c r="R4141" t="s">
        <v>21463</v>
      </c>
      <c r="S4141">
        <v>1515</v>
      </c>
    </row>
    <row r="4142" spans="1:19">
      <c r="A4142" t="s">
        <v>25</v>
      </c>
      <c r="B4142" t="s">
        <v>148</v>
      </c>
      <c r="C4142" t="s">
        <v>157</v>
      </c>
      <c r="D4142" t="s">
        <v>286</v>
      </c>
      <c r="E4142" t="s">
        <v>415</v>
      </c>
      <c r="F4142">
        <f>HYPERLINK("https://www.wikidata.org/wiki/Q33756706", "Q33756706")</f>
        <v>0</v>
      </c>
      <c r="G4142" t="s">
        <v>2625</v>
      </c>
      <c r="H4142" t="s">
        <v>7172</v>
      </c>
      <c r="I4142" t="s">
        <v>10321</v>
      </c>
      <c r="J4142" t="s">
        <v>13268</v>
      </c>
      <c r="K4142" t="s">
        <v>17669</v>
      </c>
      <c r="L4142">
        <f>HYPERLINK("https://www2.assemblee-nationale.fr/sycomore/fiche/(num_dept)/5011", "5011")</f>
        <v>0</v>
      </c>
      <c r="N4142">
        <f>HYPERLINK("https://www.wikidata.org/wiki/Q3386146", "Q3386146")</f>
        <v>0</v>
      </c>
      <c r="O4142" t="s">
        <v>19969</v>
      </c>
      <c r="Q4142" t="s">
        <v>13445</v>
      </c>
      <c r="R4142" t="s">
        <v>21475</v>
      </c>
      <c r="S4142">
        <v>575</v>
      </c>
    </row>
    <row r="4143" spans="1:19">
      <c r="A4143" t="s">
        <v>25</v>
      </c>
      <c r="B4143" t="s">
        <v>148</v>
      </c>
      <c r="C4143" t="s">
        <v>157</v>
      </c>
      <c r="D4143" t="s">
        <v>286</v>
      </c>
      <c r="E4143" t="s">
        <v>415</v>
      </c>
      <c r="F4143">
        <f>HYPERLINK("https://www.wikidata.org/wiki/Q33756706", "Q33756706")</f>
        <v>0</v>
      </c>
      <c r="G4143" t="s">
        <v>2626</v>
      </c>
      <c r="H4143" t="s">
        <v>7173</v>
      </c>
      <c r="I4143" t="s">
        <v>6158</v>
      </c>
      <c r="J4143" t="s">
        <v>13269</v>
      </c>
      <c r="K4143" t="s">
        <v>17670</v>
      </c>
      <c r="L4143">
        <f>HYPERLINK("https://www2.assemblee-nationale.fr/sycomore/fiche/(num_dept)/5046", "5046")</f>
        <v>0</v>
      </c>
      <c r="N4143">
        <f>HYPERLINK("https://www.wikidata.org/wiki/Q3092536", "Q3092536")</f>
        <v>0</v>
      </c>
      <c r="O4143" t="s">
        <v>19998</v>
      </c>
      <c r="P4143" t="s">
        <v>20459</v>
      </c>
      <c r="Q4143" t="s">
        <v>13445</v>
      </c>
      <c r="R4143" t="s">
        <v>21463</v>
      </c>
      <c r="S4143">
        <v>1515</v>
      </c>
    </row>
    <row r="4144" spans="1:19">
      <c r="A4144" t="s">
        <v>25</v>
      </c>
      <c r="B4144" t="s">
        <v>148</v>
      </c>
      <c r="C4144" t="s">
        <v>157</v>
      </c>
      <c r="D4144" t="s">
        <v>286</v>
      </c>
      <c r="E4144" t="s">
        <v>415</v>
      </c>
      <c r="F4144">
        <f>HYPERLINK("https://www.wikidata.org/wiki/Q33756706", "Q33756706")</f>
        <v>0</v>
      </c>
      <c r="G4144" t="s">
        <v>2627</v>
      </c>
      <c r="H4144" t="s">
        <v>7174</v>
      </c>
      <c r="I4144" t="s">
        <v>10322</v>
      </c>
      <c r="J4144" t="s">
        <v>13269</v>
      </c>
      <c r="K4144" t="s">
        <v>17671</v>
      </c>
      <c r="L4144">
        <f>HYPERLINK("https://www2.assemblee-nationale.fr/sycomore/fiche/(num_dept)/5061", "5061")</f>
        <v>0</v>
      </c>
      <c r="N4144">
        <f>HYPERLINK("https://www.wikidata.org/wiki/Q16026060", "Q16026060")</f>
        <v>0</v>
      </c>
      <c r="O4144" t="s">
        <v>19967</v>
      </c>
      <c r="P4144" t="s">
        <v>20461</v>
      </c>
      <c r="Q4144" t="s">
        <v>13445</v>
      </c>
      <c r="R4144" t="s">
        <v>21463</v>
      </c>
      <c r="S4144">
        <v>1515</v>
      </c>
    </row>
    <row r="4145" spans="1:19">
      <c r="A4145" t="s">
        <v>25</v>
      </c>
      <c r="B4145" t="s">
        <v>148</v>
      </c>
      <c r="C4145" t="s">
        <v>157</v>
      </c>
      <c r="D4145" t="s">
        <v>286</v>
      </c>
      <c r="E4145" t="s">
        <v>415</v>
      </c>
      <c r="F4145">
        <f>HYPERLINK("https://www.wikidata.org/wiki/Q33756706", "Q33756706")</f>
        <v>0</v>
      </c>
      <c r="G4145" t="s">
        <v>2628</v>
      </c>
      <c r="H4145" t="s">
        <v>5486</v>
      </c>
      <c r="I4145" t="s">
        <v>10323</v>
      </c>
      <c r="J4145" t="s">
        <v>13270</v>
      </c>
      <c r="K4145" t="s">
        <v>17672</v>
      </c>
      <c r="L4145">
        <f>HYPERLINK("https://www2.assemblee-nationale.fr/sycomore/fiche/(num_dept)/5120", "5120")</f>
        <v>0</v>
      </c>
      <c r="N4145">
        <f>HYPERLINK("https://www.wikidata.org/wiki/Q8306404", "Q8306404")</f>
        <v>0</v>
      </c>
      <c r="O4145" t="s">
        <v>19971</v>
      </c>
      <c r="P4145" t="s">
        <v>20459</v>
      </c>
      <c r="Q4145" t="s">
        <v>13445</v>
      </c>
      <c r="R4145" t="s">
        <v>21463</v>
      </c>
      <c r="S4145">
        <v>1515</v>
      </c>
    </row>
    <row r="4146" spans="1:19">
      <c r="A4146" t="s">
        <v>25</v>
      </c>
      <c r="B4146" t="s">
        <v>148</v>
      </c>
      <c r="C4146" t="s">
        <v>157</v>
      </c>
      <c r="D4146" t="s">
        <v>286</v>
      </c>
      <c r="E4146" t="s">
        <v>415</v>
      </c>
      <c r="F4146">
        <f>HYPERLINK("https://www.wikidata.org/wiki/Q33756706", "Q33756706")</f>
        <v>0</v>
      </c>
      <c r="G4146" t="s">
        <v>2629</v>
      </c>
      <c r="H4146" t="s">
        <v>7175</v>
      </c>
      <c r="I4146" t="s">
        <v>9449</v>
      </c>
      <c r="J4146" t="s">
        <v>13271</v>
      </c>
      <c r="K4146" t="s">
        <v>17673</v>
      </c>
      <c r="L4146">
        <f>HYPERLINK("https://www2.assemblee-nationale.fr/sycomore/fiche/(num_dept)/5168", "5168")</f>
        <v>0</v>
      </c>
      <c r="M4146">
        <f>HYPERLINK("https://www.senat.fr/senateur-3eme-republique/meline_jules1799r3.html", "meline_jules1799r3")</f>
        <v>0</v>
      </c>
      <c r="N4146">
        <f>HYPERLINK("https://www.wikidata.org/wiki/Q459914", "Q459914")</f>
        <v>0</v>
      </c>
      <c r="O4146" t="s">
        <v>20017</v>
      </c>
      <c r="P4146" t="s">
        <v>20461</v>
      </c>
      <c r="Q4146" t="s">
        <v>13445</v>
      </c>
      <c r="R4146" t="s">
        <v>21463</v>
      </c>
      <c r="S4146">
        <v>1515</v>
      </c>
    </row>
    <row r="4147" spans="1:19">
      <c r="A4147" t="s">
        <v>25</v>
      </c>
      <c r="B4147" t="s">
        <v>148</v>
      </c>
      <c r="C4147" t="s">
        <v>157</v>
      </c>
      <c r="D4147" t="s">
        <v>286</v>
      </c>
      <c r="E4147" t="s">
        <v>415</v>
      </c>
      <c r="F4147">
        <f>HYPERLINK("https://www.wikidata.org/wiki/Q33756706", "Q33756706")</f>
        <v>0</v>
      </c>
      <c r="G4147" t="s">
        <v>2630</v>
      </c>
      <c r="H4147" t="s">
        <v>7176</v>
      </c>
      <c r="I4147" t="s">
        <v>10324</v>
      </c>
      <c r="J4147" t="s">
        <v>13272</v>
      </c>
      <c r="K4147" t="s">
        <v>17674</v>
      </c>
      <c r="L4147">
        <f>HYPERLINK("https://www2.assemblee-nationale.fr/sycomore/fiche/(num_dept)/5175", "5175")</f>
        <v>0</v>
      </c>
      <c r="N4147">
        <f>HYPERLINK("https://www.wikidata.org/wiki/Q3371888", "Q3371888")</f>
        <v>0</v>
      </c>
      <c r="O4147" t="s">
        <v>7411</v>
      </c>
      <c r="P4147" t="s">
        <v>20461</v>
      </c>
      <c r="Q4147" t="s">
        <v>13445</v>
      </c>
      <c r="R4147" t="s">
        <v>21463</v>
      </c>
      <c r="S4147">
        <v>1515</v>
      </c>
    </row>
    <row r="4148" spans="1:19">
      <c r="A4148" t="s">
        <v>25</v>
      </c>
      <c r="B4148" t="s">
        <v>148</v>
      </c>
      <c r="C4148" t="s">
        <v>157</v>
      </c>
      <c r="D4148" t="s">
        <v>286</v>
      </c>
      <c r="E4148" t="s">
        <v>415</v>
      </c>
      <c r="F4148">
        <f>HYPERLINK("https://www.wikidata.org/wiki/Q33756706", "Q33756706")</f>
        <v>0</v>
      </c>
      <c r="G4148" t="s">
        <v>2631</v>
      </c>
      <c r="H4148" t="s">
        <v>6235</v>
      </c>
      <c r="I4148" t="s">
        <v>10325</v>
      </c>
      <c r="J4148" t="s">
        <v>13273</v>
      </c>
      <c r="K4148" t="s">
        <v>17675</v>
      </c>
      <c r="L4148">
        <f>HYPERLINK("https://www2.assemblee-nationale.fr/sycomore/fiche/(num_dept)/5189", "5189")</f>
        <v>0</v>
      </c>
      <c r="N4148">
        <f>HYPERLINK("https://www.wikidata.org/wiki/Q3173488", "Q3173488")</f>
        <v>0</v>
      </c>
      <c r="O4148" t="s">
        <v>19986</v>
      </c>
      <c r="P4148" t="s">
        <v>20462</v>
      </c>
      <c r="Q4148" t="s">
        <v>13445</v>
      </c>
      <c r="R4148" t="s">
        <v>21470</v>
      </c>
      <c r="S4148">
        <v>1287</v>
      </c>
    </row>
    <row r="4149" spans="1:19">
      <c r="A4149" t="s">
        <v>25</v>
      </c>
      <c r="B4149" t="s">
        <v>148</v>
      </c>
      <c r="C4149" t="s">
        <v>157</v>
      </c>
      <c r="D4149" t="s">
        <v>286</v>
      </c>
      <c r="E4149" t="s">
        <v>415</v>
      </c>
      <c r="F4149">
        <f>HYPERLINK("https://www.wikidata.org/wiki/Q33756706", "Q33756706")</f>
        <v>0</v>
      </c>
      <c r="G4149" t="s">
        <v>2632</v>
      </c>
      <c r="H4149" t="s">
        <v>7177</v>
      </c>
      <c r="I4149" t="s">
        <v>10326</v>
      </c>
      <c r="J4149" t="s">
        <v>13274</v>
      </c>
      <c r="K4149" t="s">
        <v>17676</v>
      </c>
      <c r="L4149">
        <f>HYPERLINK("https://www2.assemblee-nationale.fr/sycomore/fiche/(num_dept)/5247", "5247")</f>
        <v>0</v>
      </c>
      <c r="M4149">
        <f>HYPERLINK("https://www.senat.fr/senateur-3eme-republique/mezieres_alfred0932r3.html", "mezieres_alfred0932r3")</f>
        <v>0</v>
      </c>
      <c r="N4149">
        <f>HYPERLINK("https://www.wikidata.org/wiki/Q2835365", "Q2835365")</f>
        <v>0</v>
      </c>
      <c r="O4149" t="s">
        <v>20007</v>
      </c>
      <c r="P4149" t="s">
        <v>20457</v>
      </c>
      <c r="Q4149" t="s">
        <v>13445</v>
      </c>
      <c r="R4149" t="s">
        <v>21463</v>
      </c>
      <c r="S4149">
        <v>1515</v>
      </c>
    </row>
    <row r="4150" spans="1:19">
      <c r="A4150" t="s">
        <v>25</v>
      </c>
      <c r="B4150" t="s">
        <v>148</v>
      </c>
      <c r="C4150" t="s">
        <v>157</v>
      </c>
      <c r="D4150" t="s">
        <v>286</v>
      </c>
      <c r="E4150" t="s">
        <v>415</v>
      </c>
      <c r="F4150">
        <f>HYPERLINK("https://www.wikidata.org/wiki/Q33756706", "Q33756706")</f>
        <v>0</v>
      </c>
      <c r="G4150" t="s">
        <v>2633</v>
      </c>
      <c r="H4150" t="s">
        <v>7178</v>
      </c>
      <c r="I4150" t="s">
        <v>10327</v>
      </c>
      <c r="J4150" t="s">
        <v>13275</v>
      </c>
      <c r="K4150" t="s">
        <v>17677</v>
      </c>
      <c r="L4150">
        <f>HYPERLINK("https://www2.assemblee-nationale.fr/sycomore/fiche/(num_dept)/5269", "5269")</f>
        <v>0</v>
      </c>
      <c r="N4150">
        <f>HYPERLINK("https://www.wikidata.org/wiki/Q2941052", "Q2941052")</f>
        <v>0</v>
      </c>
      <c r="O4150" t="s">
        <v>8449</v>
      </c>
      <c r="P4150" t="s">
        <v>20401</v>
      </c>
      <c r="Q4150" t="s">
        <v>13445</v>
      </c>
      <c r="R4150" t="s">
        <v>21463</v>
      </c>
      <c r="S4150">
        <v>1515</v>
      </c>
    </row>
    <row r="4151" spans="1:19">
      <c r="A4151" t="s">
        <v>25</v>
      </c>
      <c r="B4151" t="s">
        <v>148</v>
      </c>
      <c r="C4151" t="s">
        <v>157</v>
      </c>
      <c r="D4151" t="s">
        <v>286</v>
      </c>
      <c r="E4151" t="s">
        <v>415</v>
      </c>
      <c r="F4151">
        <f>HYPERLINK("https://www.wikidata.org/wiki/Q33756706", "Q33756706")</f>
        <v>0</v>
      </c>
      <c r="G4151" t="s">
        <v>2634</v>
      </c>
      <c r="H4151" t="s">
        <v>7179</v>
      </c>
      <c r="I4151" t="s">
        <v>10328</v>
      </c>
      <c r="J4151" t="s">
        <v>13276</v>
      </c>
      <c r="K4151" t="s">
        <v>17678</v>
      </c>
      <c r="L4151">
        <f>HYPERLINK("https://www2.assemblee-nationale.fr/sycomore/fiche/(num_dept)/5302", "5302")</f>
        <v>0</v>
      </c>
      <c r="M4151">
        <f>HYPERLINK("https://www.senat.fr/senateur-3eme-republique/mir_eugene0269r3.html", "mir_eugene0269r3")</f>
        <v>0</v>
      </c>
      <c r="N4151">
        <f>HYPERLINK("https://www.wikidata.org/wiki/Q3060037", "Q3060037")</f>
        <v>0</v>
      </c>
      <c r="O4151" t="s">
        <v>19960</v>
      </c>
      <c r="Q4151" t="s">
        <v>13445</v>
      </c>
      <c r="R4151" t="s">
        <v>21463</v>
      </c>
      <c r="S4151">
        <v>1515</v>
      </c>
    </row>
    <row r="4152" spans="1:19">
      <c r="A4152" t="s">
        <v>25</v>
      </c>
      <c r="B4152" t="s">
        <v>148</v>
      </c>
      <c r="C4152" t="s">
        <v>157</v>
      </c>
      <c r="D4152" t="s">
        <v>286</v>
      </c>
      <c r="E4152" t="s">
        <v>415</v>
      </c>
      <c r="F4152">
        <f>HYPERLINK("https://www.wikidata.org/wiki/Q33756706", "Q33756706")</f>
        <v>0</v>
      </c>
      <c r="G4152" t="s">
        <v>742</v>
      </c>
      <c r="H4152" t="s">
        <v>5500</v>
      </c>
      <c r="I4152" t="s">
        <v>9505</v>
      </c>
      <c r="J4152" t="s">
        <v>11491</v>
      </c>
      <c r="K4152" t="s">
        <v>15893</v>
      </c>
      <c r="L4152">
        <f>HYPERLINK("https://www2.assemblee-nationale.fr/sycomore/fiche/(num_dept)/5482", "5482")</f>
        <v>0</v>
      </c>
      <c r="N4152">
        <f>HYPERLINK("https://www.wikidata.org/wiki/Q2475967", "Q2475967")</f>
        <v>0</v>
      </c>
      <c r="O4152" t="s">
        <v>19961</v>
      </c>
      <c r="P4152" t="s">
        <v>20460</v>
      </c>
      <c r="Q4152" t="s">
        <v>13445</v>
      </c>
      <c r="R4152" t="s">
        <v>21463</v>
      </c>
      <c r="S4152">
        <v>1515</v>
      </c>
    </row>
    <row r="4153" spans="1:19">
      <c r="A4153" t="s">
        <v>25</v>
      </c>
      <c r="B4153" t="s">
        <v>148</v>
      </c>
      <c r="C4153" t="s">
        <v>157</v>
      </c>
      <c r="D4153" t="s">
        <v>286</v>
      </c>
      <c r="E4153" t="s">
        <v>415</v>
      </c>
      <c r="F4153">
        <f>HYPERLINK("https://www.wikidata.org/wiki/Q33756706", "Q33756706")</f>
        <v>0</v>
      </c>
      <c r="G4153" t="s">
        <v>2635</v>
      </c>
      <c r="H4153" t="s">
        <v>7180</v>
      </c>
      <c r="I4153" t="s">
        <v>6501</v>
      </c>
      <c r="J4153" t="s">
        <v>13277</v>
      </c>
      <c r="K4153" t="s">
        <v>17679</v>
      </c>
      <c r="L4153">
        <f>HYPERLINK("https://www2.assemblee-nationale.fr/sycomore/fiche/(num_dept)/5497", "5497")</f>
        <v>0</v>
      </c>
      <c r="N4153">
        <f>HYPERLINK("https://www.wikidata.org/wiki/Q3295568", "Q3295568")</f>
        <v>0</v>
      </c>
      <c r="O4153" t="s">
        <v>19979</v>
      </c>
      <c r="P4153" t="s">
        <v>20459</v>
      </c>
      <c r="Q4153" t="s">
        <v>13445</v>
      </c>
      <c r="R4153" t="s">
        <v>21463</v>
      </c>
      <c r="S4153">
        <v>1515</v>
      </c>
    </row>
    <row r="4154" spans="1:19">
      <c r="A4154" t="s">
        <v>25</v>
      </c>
      <c r="B4154" t="s">
        <v>148</v>
      </c>
      <c r="C4154" t="s">
        <v>157</v>
      </c>
      <c r="D4154" t="s">
        <v>286</v>
      </c>
      <c r="E4154" t="s">
        <v>415</v>
      </c>
      <c r="F4154">
        <f>HYPERLINK("https://www.wikidata.org/wiki/Q33756706", "Q33756706")</f>
        <v>0</v>
      </c>
      <c r="G4154" t="s">
        <v>2636</v>
      </c>
      <c r="H4154" t="s">
        <v>7181</v>
      </c>
      <c r="I4154" t="s">
        <v>10329</v>
      </c>
      <c r="J4154" t="s">
        <v>13278</v>
      </c>
      <c r="K4154" t="s">
        <v>17680</v>
      </c>
      <c r="L4154">
        <f>HYPERLINK("https://www2.assemblee-nationale.fr/sycomore/fiche/(num_dept)/5506", "5506")</f>
        <v>0</v>
      </c>
      <c r="M4154">
        <f>HYPERLINK("https://www.senat.fr/senateur-3eme-republique/naquet_alfred1708r3.html", "naquet_alfred1708r3")</f>
        <v>0</v>
      </c>
      <c r="N4154">
        <f>HYPERLINK("https://www.wikidata.org/wiki/Q2340682", "Q2340682")</f>
        <v>0</v>
      </c>
      <c r="O4154" t="s">
        <v>20047</v>
      </c>
      <c r="P4154" t="s">
        <v>20459</v>
      </c>
      <c r="Q4154" t="s">
        <v>13445</v>
      </c>
      <c r="R4154" t="s">
        <v>13006</v>
      </c>
      <c r="S4154">
        <v>710</v>
      </c>
    </row>
    <row r="4155" spans="1:19">
      <c r="A4155" t="s">
        <v>25</v>
      </c>
      <c r="B4155" t="s">
        <v>148</v>
      </c>
      <c r="C4155" t="s">
        <v>157</v>
      </c>
      <c r="D4155" t="s">
        <v>286</v>
      </c>
      <c r="E4155" t="s">
        <v>415</v>
      </c>
      <c r="F4155">
        <f>HYPERLINK("https://www.wikidata.org/wiki/Q33756706", "Q33756706")</f>
        <v>0</v>
      </c>
      <c r="G4155" t="s">
        <v>2637</v>
      </c>
      <c r="H4155" t="s">
        <v>7182</v>
      </c>
      <c r="I4155" t="s">
        <v>9451</v>
      </c>
      <c r="J4155" t="s">
        <v>13279</v>
      </c>
      <c r="K4155" t="s">
        <v>17681</v>
      </c>
      <c r="L4155">
        <f>HYPERLINK("https://www2.assemblee-nationale.fr/sycomore/fiche/(num_dept)/5535", "5535")</f>
        <v>0</v>
      </c>
      <c r="M4155">
        <f>HYPERLINK("https://www.senat.fr/senateur-3eme-republique/neveux_theophile0171r3.html", "neveux_theophile0171r3")</f>
        <v>0</v>
      </c>
      <c r="N4155">
        <f>HYPERLINK("https://www.wikidata.org/wiki/Q3526621", "Q3526621")</f>
        <v>0</v>
      </c>
      <c r="O4155" t="s">
        <v>19959</v>
      </c>
      <c r="P4155" t="s">
        <v>20459</v>
      </c>
      <c r="Q4155" t="s">
        <v>13445</v>
      </c>
      <c r="R4155" t="s">
        <v>21463</v>
      </c>
      <c r="S4155">
        <v>1515</v>
      </c>
    </row>
    <row r="4156" spans="1:19">
      <c r="A4156" t="s">
        <v>25</v>
      </c>
      <c r="B4156" t="s">
        <v>148</v>
      </c>
      <c r="C4156" t="s">
        <v>157</v>
      </c>
      <c r="D4156" t="s">
        <v>286</v>
      </c>
      <c r="E4156" t="s">
        <v>415</v>
      </c>
      <c r="F4156">
        <f>HYPERLINK("https://www.wikidata.org/wiki/Q33756706", "Q33756706")</f>
        <v>0</v>
      </c>
      <c r="G4156" t="s">
        <v>2638</v>
      </c>
      <c r="H4156" t="s">
        <v>7183</v>
      </c>
      <c r="I4156" t="s">
        <v>10330</v>
      </c>
      <c r="J4156" t="s">
        <v>13280</v>
      </c>
      <c r="K4156" t="s">
        <v>17682</v>
      </c>
      <c r="L4156">
        <f>HYPERLINK("https://www2.assemblee-nationale.fr/sycomore/fiche/(num_dept)/5568", "5568")</f>
        <v>0</v>
      </c>
      <c r="N4156">
        <f>HYPERLINK("https://www.wikidata.org/wiki/Q4346129", "Q4346129")</f>
        <v>0</v>
      </c>
      <c r="O4156" t="s">
        <v>19971</v>
      </c>
      <c r="P4156" t="s">
        <v>20459</v>
      </c>
      <c r="Q4156" t="s">
        <v>13445</v>
      </c>
      <c r="R4156" t="s">
        <v>21463</v>
      </c>
      <c r="S4156">
        <v>1515</v>
      </c>
    </row>
    <row r="4157" spans="1:19">
      <c r="A4157" t="s">
        <v>25</v>
      </c>
      <c r="B4157" t="s">
        <v>148</v>
      </c>
      <c r="C4157" t="s">
        <v>157</v>
      </c>
      <c r="D4157" t="s">
        <v>286</v>
      </c>
      <c r="E4157" t="s">
        <v>415</v>
      </c>
      <c r="F4157">
        <f>HYPERLINK("https://www.wikidata.org/wiki/Q33756706", "Q33756706")</f>
        <v>0</v>
      </c>
      <c r="G4157" t="s">
        <v>2639</v>
      </c>
      <c r="H4157" t="s">
        <v>7184</v>
      </c>
      <c r="I4157" t="s">
        <v>9552</v>
      </c>
      <c r="J4157" t="s">
        <v>13281</v>
      </c>
      <c r="K4157" t="s">
        <v>17683</v>
      </c>
      <c r="L4157">
        <f>HYPERLINK("https://www2.assemblee-nationale.fr/sycomore/fiche/(num_dept)/5601", "5601")</f>
        <v>0</v>
      </c>
      <c r="M4157">
        <f>HYPERLINK("https://www.senat.fr/senateur-3eme-republique/ollivier_auguste0590r3.html", "ollivier_auguste0590r3")</f>
        <v>0</v>
      </c>
      <c r="N4157">
        <f>HYPERLINK("https://www.wikidata.org/wiki/Q2871344", "Q2871344")</f>
        <v>0</v>
      </c>
      <c r="O4157" t="s">
        <v>19964</v>
      </c>
      <c r="P4157" t="s">
        <v>20460</v>
      </c>
      <c r="Q4157" t="s">
        <v>13445</v>
      </c>
      <c r="R4157" t="s">
        <v>21463</v>
      </c>
      <c r="S4157">
        <v>1515</v>
      </c>
    </row>
    <row r="4158" spans="1:19">
      <c r="A4158" t="s">
        <v>25</v>
      </c>
      <c r="B4158" t="s">
        <v>148</v>
      </c>
      <c r="C4158" t="s">
        <v>157</v>
      </c>
      <c r="D4158" t="s">
        <v>286</v>
      </c>
      <c r="E4158" t="s">
        <v>415</v>
      </c>
      <c r="F4158">
        <f>HYPERLINK("https://www.wikidata.org/wiki/Q33756706", "Q33756706")</f>
        <v>0</v>
      </c>
      <c r="G4158" t="s">
        <v>2640</v>
      </c>
      <c r="H4158" t="s">
        <v>7185</v>
      </c>
      <c r="I4158" t="s">
        <v>10331</v>
      </c>
      <c r="J4158" t="s">
        <v>13282</v>
      </c>
      <c r="K4158" t="s">
        <v>17684</v>
      </c>
      <c r="L4158">
        <f>HYPERLINK("https://www2.assemblee-nationale.fr/sycomore/fiche/(num_dept)/5609", "5609")</f>
        <v>0</v>
      </c>
      <c r="N4158">
        <f>HYPERLINK("https://www.wikidata.org/wiki/Q16026232", "Q16026232")</f>
        <v>0</v>
      </c>
      <c r="O4158" t="s">
        <v>19973</v>
      </c>
      <c r="P4158" t="s">
        <v>20459</v>
      </c>
      <c r="Q4158" t="s">
        <v>13445</v>
      </c>
      <c r="R4158" t="s">
        <v>21463</v>
      </c>
      <c r="S4158">
        <v>1515</v>
      </c>
    </row>
    <row r="4159" spans="1:19">
      <c r="A4159" t="s">
        <v>25</v>
      </c>
      <c r="B4159" t="s">
        <v>148</v>
      </c>
      <c r="C4159" t="s">
        <v>157</v>
      </c>
      <c r="D4159" t="s">
        <v>286</v>
      </c>
      <c r="E4159" t="s">
        <v>415</v>
      </c>
      <c r="F4159">
        <f>HYPERLINK("https://www.wikidata.org/wiki/Q33756706", "Q33756706")</f>
        <v>0</v>
      </c>
      <c r="G4159" t="s">
        <v>2641</v>
      </c>
      <c r="H4159" t="s">
        <v>7186</v>
      </c>
      <c r="I4159" t="s">
        <v>10332</v>
      </c>
      <c r="J4159" t="s">
        <v>13283</v>
      </c>
      <c r="K4159" t="s">
        <v>17685</v>
      </c>
      <c r="L4159">
        <f>HYPERLINK("https://www2.assemblee-nationale.fr/sycomore/fiche/(num_dept)/5612", "5612")</f>
        <v>0</v>
      </c>
      <c r="N4159">
        <f>HYPERLINK("https://www.wikidata.org/wiki/Q16025508", "Q16025508")</f>
        <v>0</v>
      </c>
      <c r="O4159" t="s">
        <v>20031</v>
      </c>
      <c r="P4159" t="s">
        <v>20464</v>
      </c>
      <c r="Q4159" t="s">
        <v>13445</v>
      </c>
      <c r="R4159" t="s">
        <v>21463</v>
      </c>
      <c r="S4159">
        <v>1515</v>
      </c>
    </row>
    <row r="4160" spans="1:19">
      <c r="A4160" t="s">
        <v>25</v>
      </c>
      <c r="B4160" t="s">
        <v>148</v>
      </c>
      <c r="C4160" t="s">
        <v>157</v>
      </c>
      <c r="D4160" t="s">
        <v>286</v>
      </c>
      <c r="E4160" t="s">
        <v>415</v>
      </c>
      <c r="F4160">
        <f>HYPERLINK("https://www.wikidata.org/wiki/Q33756706", "Q33756706")</f>
        <v>0</v>
      </c>
      <c r="G4160" t="s">
        <v>2642</v>
      </c>
      <c r="H4160" t="s">
        <v>7187</v>
      </c>
      <c r="I4160" t="s">
        <v>9553</v>
      </c>
      <c r="J4160" t="s">
        <v>13284</v>
      </c>
      <c r="K4160" t="s">
        <v>17686</v>
      </c>
      <c r="L4160">
        <f>HYPERLINK("https://www2.assemblee-nationale.fr/sycomore/fiche/(num_dept)/5673", "5673")</f>
        <v>0</v>
      </c>
      <c r="N4160">
        <f>HYPERLINK("https://www.wikidata.org/wiki/Q8309254", "Q8309254")</f>
        <v>0</v>
      </c>
      <c r="O4160" t="s">
        <v>19992</v>
      </c>
      <c r="P4160" t="s">
        <v>20459</v>
      </c>
      <c r="Q4160" t="s">
        <v>13445</v>
      </c>
      <c r="R4160" t="s">
        <v>21463</v>
      </c>
      <c r="S4160">
        <v>1515</v>
      </c>
    </row>
    <row r="4161" spans="1:19">
      <c r="A4161" t="s">
        <v>25</v>
      </c>
      <c r="B4161" t="s">
        <v>148</v>
      </c>
      <c r="C4161" t="s">
        <v>157</v>
      </c>
      <c r="D4161" t="s">
        <v>286</v>
      </c>
      <c r="E4161" t="s">
        <v>415</v>
      </c>
      <c r="F4161">
        <f>HYPERLINK("https://www.wikidata.org/wiki/Q33756706", "Q33756706")</f>
        <v>0</v>
      </c>
      <c r="G4161" t="s">
        <v>751</v>
      </c>
      <c r="H4161" t="s">
        <v>5509</v>
      </c>
      <c r="I4161" t="s">
        <v>9509</v>
      </c>
      <c r="J4161" t="s">
        <v>11499</v>
      </c>
      <c r="K4161" t="s">
        <v>15902</v>
      </c>
      <c r="L4161">
        <f>HYPERLINK("https://www2.assemblee-nationale.fr/sycomore/fiche/(num_dept)/5702", "5702")</f>
        <v>0</v>
      </c>
      <c r="N4161">
        <f>HYPERLINK("https://www.wikidata.org/wiki/Q3262846", "Q3262846")</f>
        <v>0</v>
      </c>
      <c r="O4161" t="s">
        <v>19992</v>
      </c>
      <c r="P4161" t="s">
        <v>20468</v>
      </c>
      <c r="Q4161" t="s">
        <v>13445</v>
      </c>
      <c r="R4161" t="s">
        <v>21463</v>
      </c>
      <c r="S4161">
        <v>1515</v>
      </c>
    </row>
    <row r="4162" spans="1:19">
      <c r="A4162" t="s">
        <v>25</v>
      </c>
      <c r="B4162" t="s">
        <v>148</v>
      </c>
      <c r="C4162" t="s">
        <v>157</v>
      </c>
      <c r="D4162" t="s">
        <v>286</v>
      </c>
      <c r="E4162" t="s">
        <v>415</v>
      </c>
      <c r="F4162">
        <f>HYPERLINK("https://www.wikidata.org/wiki/Q33756706", "Q33756706")</f>
        <v>0</v>
      </c>
      <c r="G4162" t="s">
        <v>754</v>
      </c>
      <c r="H4162" t="s">
        <v>5512</v>
      </c>
      <c r="I4162" t="s">
        <v>9506</v>
      </c>
      <c r="J4162" t="s">
        <v>11502</v>
      </c>
      <c r="K4162" t="s">
        <v>15905</v>
      </c>
      <c r="L4162">
        <f>HYPERLINK("https://www2.assemblee-nationale.fr/sycomore/fiche/(num_dept)/5764", "5764")</f>
        <v>0</v>
      </c>
      <c r="M4162">
        <f>HYPERLINK("https://www.senat.fr/senateur-3eme-republique/pelletan_camille0312r3.html", "pelletan_camille0312r3")</f>
        <v>0</v>
      </c>
      <c r="N4162">
        <f>HYPERLINK("https://www.wikidata.org/wiki/Q2862434", "Q2862434")</f>
        <v>0</v>
      </c>
      <c r="O4162" t="s">
        <v>19990</v>
      </c>
      <c r="P4162" t="s">
        <v>20456</v>
      </c>
      <c r="Q4162" t="s">
        <v>13445</v>
      </c>
      <c r="R4162" t="s">
        <v>21463</v>
      </c>
      <c r="S4162">
        <v>1515</v>
      </c>
    </row>
    <row r="4163" spans="1:19">
      <c r="A4163" t="s">
        <v>25</v>
      </c>
      <c r="B4163" t="s">
        <v>148</v>
      </c>
      <c r="C4163" t="s">
        <v>157</v>
      </c>
      <c r="D4163" t="s">
        <v>286</v>
      </c>
      <c r="E4163" t="s">
        <v>415</v>
      </c>
      <c r="F4163">
        <f>HYPERLINK("https://www.wikidata.org/wiki/Q33756706", "Q33756706")</f>
        <v>0</v>
      </c>
      <c r="G4163" t="s">
        <v>2643</v>
      </c>
      <c r="H4163" t="s">
        <v>6262</v>
      </c>
      <c r="I4163" t="s">
        <v>9552</v>
      </c>
      <c r="J4163" t="s">
        <v>13285</v>
      </c>
      <c r="K4163" t="s">
        <v>17608</v>
      </c>
      <c r="L4163">
        <f>HYPERLINK("https://www2.assemblee-nationale.fr/sycomore/fiche/(num_dept)/5890", "5890")</f>
        <v>0</v>
      </c>
      <c r="N4163">
        <f>HYPERLINK("https://www.wikidata.org/wiki/Q2871355", "Q2871355")</f>
        <v>0</v>
      </c>
      <c r="O4163" t="s">
        <v>19959</v>
      </c>
      <c r="P4163" t="s">
        <v>20458</v>
      </c>
      <c r="Q4163" t="s">
        <v>13445</v>
      </c>
      <c r="R4163" t="s">
        <v>21463</v>
      </c>
      <c r="S4163">
        <v>1515</v>
      </c>
    </row>
    <row r="4164" spans="1:19">
      <c r="A4164" t="s">
        <v>25</v>
      </c>
      <c r="B4164" t="s">
        <v>148</v>
      </c>
      <c r="C4164" t="s">
        <v>157</v>
      </c>
      <c r="D4164" t="s">
        <v>286</v>
      </c>
      <c r="E4164" t="s">
        <v>415</v>
      </c>
      <c r="F4164">
        <f>HYPERLINK("https://www.wikidata.org/wiki/Q33756706", "Q33756706")</f>
        <v>0</v>
      </c>
      <c r="G4164" t="s">
        <v>2644</v>
      </c>
      <c r="H4164" t="s">
        <v>5777</v>
      </c>
      <c r="I4164" t="s">
        <v>10333</v>
      </c>
      <c r="J4164" t="s">
        <v>13286</v>
      </c>
      <c r="K4164" t="s">
        <v>17687</v>
      </c>
      <c r="L4164">
        <f>HYPERLINK("https://www2.assemblee-nationale.fr/sycomore/fiche/(num_dept)/5897", "5897")</f>
        <v>0</v>
      </c>
      <c r="N4164">
        <f>HYPERLINK("https://www.wikidata.org/wiki/Q2865091", "Q2865091")</f>
        <v>0</v>
      </c>
      <c r="O4164" t="s">
        <v>20033</v>
      </c>
      <c r="P4164" t="s">
        <v>20458</v>
      </c>
      <c r="Q4164" t="s">
        <v>13445</v>
      </c>
      <c r="R4164" t="s">
        <v>21463</v>
      </c>
      <c r="S4164">
        <v>1515</v>
      </c>
    </row>
    <row r="4165" spans="1:19">
      <c r="A4165" t="s">
        <v>25</v>
      </c>
      <c r="B4165" t="s">
        <v>148</v>
      </c>
      <c r="C4165" t="s">
        <v>157</v>
      </c>
      <c r="D4165" t="s">
        <v>286</v>
      </c>
      <c r="E4165" t="s">
        <v>415</v>
      </c>
      <c r="F4165">
        <f>HYPERLINK("https://www.wikidata.org/wiki/Q33756706", "Q33756706")</f>
        <v>0</v>
      </c>
      <c r="G4165" t="s">
        <v>2645</v>
      </c>
      <c r="H4165" t="s">
        <v>7188</v>
      </c>
      <c r="I4165" t="s">
        <v>10334</v>
      </c>
      <c r="J4165" t="s">
        <v>13287</v>
      </c>
      <c r="K4165" t="s">
        <v>17592</v>
      </c>
      <c r="L4165">
        <f>HYPERLINK("https://www2.assemblee-nationale.fr/sycomore/fiche/(num_dept)/5919", "5919")</f>
        <v>0</v>
      </c>
      <c r="N4165">
        <f>HYPERLINK("https://www.wikidata.org/wiki/Q20204178", "Q20204178")</f>
        <v>0</v>
      </c>
      <c r="O4165" t="s">
        <v>19983</v>
      </c>
      <c r="P4165" t="s">
        <v>20401</v>
      </c>
      <c r="Q4165" t="s">
        <v>13445</v>
      </c>
      <c r="R4165" t="s">
        <v>21463</v>
      </c>
      <c r="S4165">
        <v>1515</v>
      </c>
    </row>
    <row r="4166" spans="1:19">
      <c r="A4166" t="s">
        <v>25</v>
      </c>
      <c r="B4166" t="s">
        <v>148</v>
      </c>
      <c r="C4166" t="s">
        <v>157</v>
      </c>
      <c r="D4166" t="s">
        <v>286</v>
      </c>
      <c r="E4166" t="s">
        <v>415</v>
      </c>
      <c r="F4166">
        <f>HYPERLINK("https://www.wikidata.org/wiki/Q33756706", "Q33756706")</f>
        <v>0</v>
      </c>
      <c r="G4166" t="s">
        <v>2646</v>
      </c>
      <c r="H4166" t="s">
        <v>6757</v>
      </c>
      <c r="I4166" t="s">
        <v>10335</v>
      </c>
      <c r="J4166" t="s">
        <v>13288</v>
      </c>
      <c r="K4166" t="s">
        <v>16054</v>
      </c>
      <c r="L4166">
        <f>HYPERLINK("https://www2.assemblee-nationale.fr/sycomore/fiche/(num_dept)/5941", "5941")</f>
        <v>0</v>
      </c>
      <c r="M4166">
        <f>HYPERLINK("https://www.senat.fr/senateur-3eme-republique/pinault_eugene0540r3.html", "pinault_eugene0540r3")</f>
        <v>0</v>
      </c>
      <c r="N4166">
        <f>HYPERLINK("https://www.wikidata.org/wiki/Q3060101", "Q3060101")</f>
        <v>0</v>
      </c>
      <c r="O4166" t="s">
        <v>19998</v>
      </c>
      <c r="P4166" t="s">
        <v>20459</v>
      </c>
      <c r="Q4166" t="s">
        <v>13445</v>
      </c>
      <c r="R4166" t="s">
        <v>21463</v>
      </c>
      <c r="S4166">
        <v>1515</v>
      </c>
    </row>
    <row r="4167" spans="1:19">
      <c r="A4167" t="s">
        <v>25</v>
      </c>
      <c r="B4167" t="s">
        <v>148</v>
      </c>
      <c r="C4167" t="s">
        <v>157</v>
      </c>
      <c r="D4167" t="s">
        <v>286</v>
      </c>
      <c r="E4167" t="s">
        <v>415</v>
      </c>
      <c r="F4167">
        <f>HYPERLINK("https://www.wikidata.org/wiki/Q33756706", "Q33756706")</f>
        <v>0</v>
      </c>
      <c r="G4167" t="s">
        <v>767</v>
      </c>
      <c r="H4167" t="s">
        <v>5525</v>
      </c>
      <c r="I4167" t="s">
        <v>9449</v>
      </c>
      <c r="J4167" t="s">
        <v>11514</v>
      </c>
      <c r="K4167" t="s">
        <v>15918</v>
      </c>
      <c r="L4167">
        <f>HYPERLINK("https://www2.assemblee-nationale.fr/sycomore/fiche/(num_dept)/6031", "6031")</f>
        <v>0</v>
      </c>
      <c r="N4167">
        <f>HYPERLINK("https://www.wikidata.org/wiki/Q3188891", "Q3188891")</f>
        <v>0</v>
      </c>
      <c r="O4167" t="s">
        <v>20042</v>
      </c>
      <c r="P4167" t="s">
        <v>20459</v>
      </c>
      <c r="Q4167" t="s">
        <v>13445</v>
      </c>
      <c r="R4167" t="s">
        <v>21463</v>
      </c>
      <c r="S4167">
        <v>1515</v>
      </c>
    </row>
    <row r="4168" spans="1:19">
      <c r="A4168" t="s">
        <v>25</v>
      </c>
      <c r="B4168" t="s">
        <v>148</v>
      </c>
      <c r="C4168" t="s">
        <v>157</v>
      </c>
      <c r="D4168" t="s">
        <v>286</v>
      </c>
      <c r="E4168" t="s">
        <v>415</v>
      </c>
      <c r="F4168">
        <f>HYPERLINK("https://www.wikidata.org/wiki/Q33756706", "Q33756706")</f>
        <v>0</v>
      </c>
      <c r="G4168" t="s">
        <v>2647</v>
      </c>
      <c r="H4168" t="s">
        <v>7189</v>
      </c>
      <c r="I4168" t="s">
        <v>10336</v>
      </c>
      <c r="J4168" t="s">
        <v>13289</v>
      </c>
      <c r="K4168" t="s">
        <v>17688</v>
      </c>
      <c r="L4168">
        <f>HYPERLINK("https://www2.assemblee-nationale.fr/sycomore/fiche/(num_dept)/6043", "6043")</f>
        <v>0</v>
      </c>
      <c r="N4168">
        <f>HYPERLINK("https://www.wikidata.org/wiki/Q16026437", "Q16026437")</f>
        <v>0</v>
      </c>
      <c r="O4168" t="s">
        <v>19967</v>
      </c>
      <c r="Q4168" t="s">
        <v>13445</v>
      </c>
      <c r="R4168" t="s">
        <v>21463</v>
      </c>
      <c r="S4168">
        <v>1515</v>
      </c>
    </row>
    <row r="4169" spans="1:19">
      <c r="A4169" t="s">
        <v>25</v>
      </c>
      <c r="B4169" t="s">
        <v>148</v>
      </c>
      <c r="C4169" t="s">
        <v>157</v>
      </c>
      <c r="D4169" t="s">
        <v>286</v>
      </c>
      <c r="E4169" t="s">
        <v>415</v>
      </c>
      <c r="F4169">
        <f>HYPERLINK("https://www.wikidata.org/wiki/Q33756706", "Q33756706")</f>
        <v>0</v>
      </c>
      <c r="G4169" t="s">
        <v>770</v>
      </c>
      <c r="H4169" t="s">
        <v>5528</v>
      </c>
      <c r="I4169" t="s">
        <v>9517</v>
      </c>
      <c r="J4169" t="s">
        <v>11517</v>
      </c>
      <c r="K4169" t="s">
        <v>15921</v>
      </c>
      <c r="L4169">
        <f>HYPERLINK("https://www2.assemblee-nationale.fr/sycomore/fiche/(num_dept)/6054", "6054")</f>
        <v>0</v>
      </c>
      <c r="N4169">
        <f>HYPERLINK("https://www.wikidata.org/wiki/Q2829651", "Q2829651")</f>
        <v>0</v>
      </c>
      <c r="O4169" t="s">
        <v>19961</v>
      </c>
      <c r="Q4169" t="s">
        <v>13445</v>
      </c>
      <c r="R4169" t="s">
        <v>21463</v>
      </c>
      <c r="S4169">
        <v>1515</v>
      </c>
    </row>
    <row r="4170" spans="1:19">
      <c r="A4170" t="s">
        <v>25</v>
      </c>
      <c r="B4170" t="s">
        <v>148</v>
      </c>
      <c r="C4170" t="s">
        <v>157</v>
      </c>
      <c r="D4170" t="s">
        <v>286</v>
      </c>
      <c r="E4170" t="s">
        <v>415</v>
      </c>
      <c r="F4170">
        <f>HYPERLINK("https://www.wikidata.org/wiki/Q33756706", "Q33756706")</f>
        <v>0</v>
      </c>
      <c r="G4170" t="s">
        <v>2648</v>
      </c>
      <c r="H4170" t="s">
        <v>7190</v>
      </c>
      <c r="I4170" t="s">
        <v>10337</v>
      </c>
      <c r="J4170" t="s">
        <v>13290</v>
      </c>
      <c r="K4170" t="s">
        <v>17689</v>
      </c>
      <c r="L4170">
        <f>HYPERLINK("https://www2.assemblee-nationale.fr/sycomore/fiche/(num_dept)/6106", "6106")</f>
        <v>0</v>
      </c>
      <c r="N4170">
        <f>HYPERLINK("https://www.wikidata.org/wiki/Q2401407", "Q2401407")</f>
        <v>0</v>
      </c>
      <c r="O4170" t="s">
        <v>20013</v>
      </c>
      <c r="P4170" t="s">
        <v>20460</v>
      </c>
      <c r="Q4170" t="s">
        <v>13445</v>
      </c>
      <c r="R4170" t="s">
        <v>21463</v>
      </c>
      <c r="S4170">
        <v>1515</v>
      </c>
    </row>
    <row r="4171" spans="1:19">
      <c r="A4171" t="s">
        <v>25</v>
      </c>
      <c r="B4171" t="s">
        <v>148</v>
      </c>
      <c r="C4171" t="s">
        <v>157</v>
      </c>
      <c r="D4171" t="s">
        <v>286</v>
      </c>
      <c r="E4171" t="s">
        <v>415</v>
      </c>
      <c r="F4171">
        <f>HYPERLINK("https://www.wikidata.org/wiki/Q33756706", "Q33756706")</f>
        <v>0</v>
      </c>
      <c r="G4171" t="s">
        <v>2649</v>
      </c>
      <c r="H4171" t="s">
        <v>6276</v>
      </c>
      <c r="I4171" t="s">
        <v>10338</v>
      </c>
      <c r="J4171" t="s">
        <v>13291</v>
      </c>
      <c r="K4171" t="s">
        <v>17690</v>
      </c>
      <c r="L4171">
        <f>HYPERLINK("https://www2.assemblee-nationale.fr/sycomore/fiche/(num_dept)/6114", "6114")</f>
        <v>0</v>
      </c>
      <c r="N4171">
        <f>HYPERLINK("https://www.wikidata.org/wiki/Q16026451", "Q16026451")</f>
        <v>0</v>
      </c>
      <c r="O4171" t="s">
        <v>19960</v>
      </c>
      <c r="P4171" t="s">
        <v>20461</v>
      </c>
      <c r="Q4171" t="s">
        <v>13445</v>
      </c>
      <c r="R4171" t="s">
        <v>21463</v>
      </c>
      <c r="S4171">
        <v>1515</v>
      </c>
    </row>
    <row r="4172" spans="1:19">
      <c r="A4172" t="s">
        <v>25</v>
      </c>
      <c r="B4172" t="s">
        <v>148</v>
      </c>
      <c r="C4172" t="s">
        <v>157</v>
      </c>
      <c r="D4172" t="s">
        <v>286</v>
      </c>
      <c r="E4172" t="s">
        <v>415</v>
      </c>
      <c r="F4172">
        <f>HYPERLINK("https://www.wikidata.org/wiki/Q33756706", "Q33756706")</f>
        <v>0</v>
      </c>
      <c r="G4172" t="s">
        <v>2650</v>
      </c>
      <c r="H4172" t="s">
        <v>7191</v>
      </c>
      <c r="I4172" t="s">
        <v>7642</v>
      </c>
      <c r="J4172" t="s">
        <v>13292</v>
      </c>
      <c r="K4172" t="s">
        <v>17691</v>
      </c>
      <c r="L4172">
        <f>HYPERLINK("https://www2.assemblee-nationale.fr/sycomore/fiche/(num_dept)/6152", "6152")</f>
        <v>0</v>
      </c>
      <c r="M4172">
        <f>HYPERLINK("https://www.senat.fr/senateur-3eme-republique/rouvier_maurice0115r3.html", "rouvier_maurice0115r3")</f>
        <v>0</v>
      </c>
      <c r="N4172">
        <f>HYPERLINK("https://www.wikidata.org/wiki/Q471293", "Q471293")</f>
        <v>0</v>
      </c>
      <c r="O4172" t="s">
        <v>19990</v>
      </c>
      <c r="P4172" t="s">
        <v>20459</v>
      </c>
      <c r="Q4172" t="s">
        <v>13445</v>
      </c>
      <c r="R4172" t="s">
        <v>21463</v>
      </c>
      <c r="S4172">
        <v>1515</v>
      </c>
    </row>
    <row r="4173" spans="1:19">
      <c r="A4173" t="s">
        <v>25</v>
      </c>
      <c r="B4173" t="s">
        <v>148</v>
      </c>
      <c r="C4173" t="s">
        <v>157</v>
      </c>
      <c r="D4173" t="s">
        <v>286</v>
      </c>
      <c r="E4173" t="s">
        <v>415</v>
      </c>
      <c r="F4173">
        <f>HYPERLINK("https://www.wikidata.org/wiki/Q33756706", "Q33756706")</f>
        <v>0</v>
      </c>
      <c r="G4173" t="s">
        <v>2651</v>
      </c>
      <c r="H4173" t="s">
        <v>7192</v>
      </c>
      <c r="I4173" t="s">
        <v>10339</v>
      </c>
      <c r="J4173" t="s">
        <v>13293</v>
      </c>
      <c r="K4173" t="s">
        <v>17692</v>
      </c>
      <c r="L4173">
        <f>HYPERLINK("https://www2.assemblee-nationale.fr/sycomore/fiche/(num_dept)/6173", "6173")</f>
        <v>0</v>
      </c>
      <c r="N4173">
        <f>HYPERLINK("https://www.wikidata.org/wiki/Q100420800", "Q100420800")</f>
        <v>0</v>
      </c>
      <c r="O4173" t="s">
        <v>20037</v>
      </c>
      <c r="P4173" t="s">
        <v>20464</v>
      </c>
      <c r="Q4173" t="s">
        <v>13445</v>
      </c>
      <c r="R4173" t="s">
        <v>21463</v>
      </c>
      <c r="S4173">
        <v>1515</v>
      </c>
    </row>
    <row r="4174" spans="1:19">
      <c r="A4174" t="s">
        <v>25</v>
      </c>
      <c r="B4174" t="s">
        <v>148</v>
      </c>
      <c r="C4174" t="s">
        <v>157</v>
      </c>
      <c r="D4174" t="s">
        <v>286</v>
      </c>
      <c r="E4174" t="s">
        <v>415</v>
      </c>
      <c r="F4174">
        <f>HYPERLINK("https://www.wikidata.org/wiki/Q33756706", "Q33756706")</f>
        <v>0</v>
      </c>
      <c r="G4174" t="s">
        <v>2652</v>
      </c>
      <c r="H4174" t="s">
        <v>7193</v>
      </c>
      <c r="I4174" t="s">
        <v>10340</v>
      </c>
      <c r="J4174" t="s">
        <v>13294</v>
      </c>
      <c r="K4174" t="s">
        <v>17693</v>
      </c>
      <c r="L4174">
        <f>HYPERLINK("https://www2.assemblee-nationale.fr/sycomore/fiche/(num_dept)/6175", "6175")</f>
        <v>0</v>
      </c>
      <c r="N4174">
        <f>HYPERLINK("https://www.wikidata.org/wiki/Q16026458", "Q16026458")</f>
        <v>0</v>
      </c>
      <c r="O4174" t="s">
        <v>20030</v>
      </c>
      <c r="P4174" t="s">
        <v>20459</v>
      </c>
      <c r="Q4174" t="s">
        <v>13445</v>
      </c>
      <c r="R4174" t="s">
        <v>21463</v>
      </c>
      <c r="S4174">
        <v>1515</v>
      </c>
    </row>
    <row r="4175" spans="1:19">
      <c r="A4175" t="s">
        <v>25</v>
      </c>
      <c r="B4175" t="s">
        <v>148</v>
      </c>
      <c r="C4175" t="s">
        <v>157</v>
      </c>
      <c r="D4175" t="s">
        <v>286</v>
      </c>
      <c r="E4175" t="s">
        <v>415</v>
      </c>
      <c r="F4175">
        <f>HYPERLINK("https://www.wikidata.org/wiki/Q33756706", "Q33756706")</f>
        <v>0</v>
      </c>
      <c r="G4175" t="s">
        <v>2653</v>
      </c>
      <c r="H4175" t="s">
        <v>6941</v>
      </c>
      <c r="I4175" t="s">
        <v>10341</v>
      </c>
      <c r="J4175" t="s">
        <v>13295</v>
      </c>
      <c r="K4175" t="s">
        <v>17694</v>
      </c>
      <c r="L4175">
        <f>HYPERLINK("https://www2.assemblee-nationale.fr/sycomore/fiche/(num_dept)/6178", "6178")</f>
        <v>0</v>
      </c>
      <c r="N4175">
        <f>HYPERLINK("https://www.wikidata.org/wiki/Q8326959", "Q8326959")</f>
        <v>0</v>
      </c>
      <c r="O4175" t="s">
        <v>8449</v>
      </c>
      <c r="P4175" t="s">
        <v>20459</v>
      </c>
      <c r="Q4175" t="s">
        <v>13445</v>
      </c>
      <c r="R4175" t="s">
        <v>21463</v>
      </c>
      <c r="S4175">
        <v>1515</v>
      </c>
    </row>
    <row r="4176" spans="1:19">
      <c r="A4176" t="s">
        <v>25</v>
      </c>
      <c r="B4176" t="s">
        <v>148</v>
      </c>
      <c r="C4176" t="s">
        <v>157</v>
      </c>
      <c r="D4176" t="s">
        <v>286</v>
      </c>
      <c r="E4176" t="s">
        <v>415</v>
      </c>
      <c r="F4176">
        <f>HYPERLINK("https://www.wikidata.org/wiki/Q33756706", "Q33756706")</f>
        <v>0</v>
      </c>
      <c r="G4176" t="s">
        <v>2654</v>
      </c>
      <c r="H4176" t="s">
        <v>7194</v>
      </c>
      <c r="I4176" t="s">
        <v>10342</v>
      </c>
      <c r="J4176" t="s">
        <v>13296</v>
      </c>
      <c r="K4176" t="s">
        <v>17695</v>
      </c>
      <c r="L4176">
        <f>HYPERLINK("https://www2.assemblee-nationale.fr/sycomore/fiche/(num_dept)/6183", "6183")</f>
        <v>0</v>
      </c>
      <c r="M4176">
        <f>HYPERLINK("https://www.senat.fr/senateur-3eme-republique/rubillard_anselme1245r3.html", "rubillard_anselme1245r3")</f>
        <v>0</v>
      </c>
      <c r="N4176">
        <f>HYPERLINK("https://www.wikidata.org/wiki/Q2852487", "Q2852487")</f>
        <v>0</v>
      </c>
      <c r="O4176" t="s">
        <v>19956</v>
      </c>
      <c r="Q4176" t="s">
        <v>13445</v>
      </c>
      <c r="R4176" t="s">
        <v>19398</v>
      </c>
      <c r="S4176">
        <v>151</v>
      </c>
    </row>
    <row r="4177" spans="1:19">
      <c r="A4177" t="s">
        <v>25</v>
      </c>
      <c r="B4177" t="s">
        <v>148</v>
      </c>
      <c r="C4177" t="s">
        <v>157</v>
      </c>
      <c r="D4177" t="s">
        <v>286</v>
      </c>
      <c r="E4177" t="s">
        <v>415</v>
      </c>
      <c r="F4177">
        <f>HYPERLINK("https://www.wikidata.org/wiki/Q33756706", "Q33756706")</f>
        <v>0</v>
      </c>
      <c r="G4177" t="s">
        <v>2655</v>
      </c>
      <c r="H4177" t="s">
        <v>7195</v>
      </c>
      <c r="I4177" t="s">
        <v>9474</v>
      </c>
      <c r="J4177" t="s">
        <v>13297</v>
      </c>
      <c r="K4177" t="s">
        <v>17696</v>
      </c>
      <c r="L4177">
        <f>HYPERLINK("https://www2.assemblee-nationale.fr/sycomore/fiche/(num_dept)/6219", "6219")</f>
        <v>0</v>
      </c>
      <c r="N4177">
        <f>HYPERLINK("https://www.wikidata.org/wiki/Q3164428", "Q3164428")</f>
        <v>0</v>
      </c>
      <c r="O4177" t="s">
        <v>20047</v>
      </c>
      <c r="P4177" t="s">
        <v>20456</v>
      </c>
      <c r="Q4177" t="s">
        <v>13445</v>
      </c>
      <c r="R4177" t="s">
        <v>21463</v>
      </c>
      <c r="S4177">
        <v>1515</v>
      </c>
    </row>
    <row r="4178" spans="1:19">
      <c r="A4178" t="s">
        <v>25</v>
      </c>
      <c r="B4178" t="s">
        <v>148</v>
      </c>
      <c r="C4178" t="s">
        <v>157</v>
      </c>
      <c r="D4178" t="s">
        <v>286</v>
      </c>
      <c r="E4178" t="s">
        <v>415</v>
      </c>
      <c r="F4178">
        <f>HYPERLINK("https://www.wikidata.org/wiki/Q33756706", "Q33756706")</f>
        <v>0</v>
      </c>
      <c r="G4178" t="s">
        <v>2656</v>
      </c>
      <c r="H4178" t="s">
        <v>7196</v>
      </c>
      <c r="I4178" t="s">
        <v>10343</v>
      </c>
      <c r="J4178" t="s">
        <v>13298</v>
      </c>
      <c r="K4178" t="s">
        <v>17697</v>
      </c>
      <c r="L4178">
        <f>HYPERLINK("https://www2.assemblee-nationale.fr/sycomore/fiche/(num_dept)/6222", "6222")</f>
        <v>0</v>
      </c>
      <c r="N4178">
        <f>HYPERLINK("https://www.wikidata.org/wiki/Q3592434", "Q3592434")</f>
        <v>0</v>
      </c>
      <c r="O4178" t="s">
        <v>19975</v>
      </c>
      <c r="P4178" t="s">
        <v>20460</v>
      </c>
      <c r="Q4178" t="s">
        <v>13445</v>
      </c>
      <c r="R4178" t="s">
        <v>21463</v>
      </c>
      <c r="S4178">
        <v>1515</v>
      </c>
    </row>
    <row r="4179" spans="1:19">
      <c r="A4179" t="s">
        <v>25</v>
      </c>
      <c r="B4179" t="s">
        <v>148</v>
      </c>
      <c r="C4179" t="s">
        <v>157</v>
      </c>
      <c r="D4179" t="s">
        <v>286</v>
      </c>
      <c r="E4179" t="s">
        <v>415</v>
      </c>
      <c r="F4179">
        <f>HYPERLINK("https://www.wikidata.org/wiki/Q33756706", "Q33756706")</f>
        <v>0</v>
      </c>
      <c r="G4179" t="s">
        <v>2657</v>
      </c>
      <c r="H4179" t="s">
        <v>7197</v>
      </c>
      <c r="I4179" t="s">
        <v>10344</v>
      </c>
      <c r="J4179" t="s">
        <v>11632</v>
      </c>
      <c r="K4179" t="s">
        <v>17698</v>
      </c>
      <c r="L4179">
        <f>HYPERLINK("https://www2.assemblee-nationale.fr/sycomore/fiche/(num_dept)/6230", "6230")</f>
        <v>0</v>
      </c>
      <c r="M4179">
        <f>HYPERLINK("https://www.senat.fr/senateur-3eme-republique/saint_romme_mathias1205r3.html", "saint_romme_mathias1205r3")</f>
        <v>0</v>
      </c>
      <c r="N4179">
        <f>HYPERLINK("https://www.wikidata.org/wiki/Q3298594", "Q3298594")</f>
        <v>0</v>
      </c>
      <c r="O4179" t="s">
        <v>20006</v>
      </c>
      <c r="P4179" t="s">
        <v>20459</v>
      </c>
      <c r="Q4179" t="s">
        <v>13445</v>
      </c>
      <c r="R4179" t="s">
        <v>21463</v>
      </c>
      <c r="S4179">
        <v>1515</v>
      </c>
    </row>
    <row r="4180" spans="1:19">
      <c r="A4180" t="s">
        <v>25</v>
      </c>
      <c r="B4180" t="s">
        <v>148</v>
      </c>
      <c r="C4180" t="s">
        <v>157</v>
      </c>
      <c r="D4180" t="s">
        <v>286</v>
      </c>
      <c r="E4180" t="s">
        <v>415</v>
      </c>
      <c r="F4180">
        <f>HYPERLINK("https://www.wikidata.org/wiki/Q33756706", "Q33756706")</f>
        <v>0</v>
      </c>
      <c r="G4180" t="s">
        <v>2658</v>
      </c>
      <c r="H4180" t="s">
        <v>7198</v>
      </c>
      <c r="I4180" t="s">
        <v>10345</v>
      </c>
      <c r="J4180" t="s">
        <v>13299</v>
      </c>
      <c r="K4180" t="s">
        <v>17699</v>
      </c>
      <c r="L4180">
        <f>HYPERLINK("https://www2.assemblee-nationale.fr/sycomore/fiche/(num_dept)/6250", "6250")</f>
        <v>0</v>
      </c>
      <c r="N4180">
        <f>HYPERLINK("https://www.wikidata.org/wiki/Q16026472", "Q16026472")</f>
        <v>0</v>
      </c>
      <c r="O4180" t="s">
        <v>7411</v>
      </c>
      <c r="P4180" t="s">
        <v>20456</v>
      </c>
      <c r="Q4180" t="s">
        <v>13445</v>
      </c>
      <c r="R4180" t="s">
        <v>21463</v>
      </c>
      <c r="S4180">
        <v>1515</v>
      </c>
    </row>
    <row r="4181" spans="1:19">
      <c r="A4181" t="s">
        <v>25</v>
      </c>
      <c r="B4181" t="s">
        <v>148</v>
      </c>
      <c r="C4181" t="s">
        <v>157</v>
      </c>
      <c r="D4181" t="s">
        <v>286</v>
      </c>
      <c r="E4181" t="s">
        <v>415</v>
      </c>
      <c r="F4181">
        <f>HYPERLINK("https://www.wikidata.org/wiki/Q33756706", "Q33756706")</f>
        <v>0</v>
      </c>
      <c r="G4181" t="s">
        <v>2659</v>
      </c>
      <c r="H4181" t="s">
        <v>7199</v>
      </c>
      <c r="I4181" t="s">
        <v>9376</v>
      </c>
      <c r="J4181" t="s">
        <v>13300</v>
      </c>
      <c r="K4181" t="s">
        <v>17700</v>
      </c>
      <c r="L4181">
        <f>HYPERLINK("https://www2.assemblee-nationale.fr/sycomore/fiche/(num_dept)/6297", "6297")</f>
        <v>0</v>
      </c>
      <c r="M4181">
        <f>HYPERLINK("https://www.senat.fr/senateur-3eme-republique/sarrien_ferdinand1219r3.html", "sarrien_ferdinand1219r3")</f>
        <v>0</v>
      </c>
      <c r="N4181">
        <f>HYPERLINK("https://www.wikidata.org/wiki/Q718698", "Q718698")</f>
        <v>0</v>
      </c>
      <c r="O4181" t="s">
        <v>19994</v>
      </c>
      <c r="P4181" t="s">
        <v>20457</v>
      </c>
      <c r="Q4181" t="s">
        <v>13445</v>
      </c>
      <c r="R4181" t="s">
        <v>21463</v>
      </c>
      <c r="S4181">
        <v>1515</v>
      </c>
    </row>
    <row r="4182" spans="1:19">
      <c r="A4182" t="s">
        <v>25</v>
      </c>
      <c r="B4182" t="s">
        <v>148</v>
      </c>
      <c r="C4182" t="s">
        <v>157</v>
      </c>
      <c r="D4182" t="s">
        <v>286</v>
      </c>
      <c r="E4182" t="s">
        <v>415</v>
      </c>
      <c r="F4182">
        <f>HYPERLINK("https://www.wikidata.org/wiki/Q33756706", "Q33756706")</f>
        <v>0</v>
      </c>
      <c r="G4182" t="s">
        <v>2660</v>
      </c>
      <c r="H4182" t="s">
        <v>7200</v>
      </c>
      <c r="I4182" t="s">
        <v>9407</v>
      </c>
      <c r="J4182" t="s">
        <v>13301</v>
      </c>
      <c r="K4182" t="s">
        <v>17701</v>
      </c>
      <c r="L4182">
        <f>HYPERLINK("https://www2.assemblee-nationale.fr/sycomore/fiche/(num_dept)/6386", "6386")</f>
        <v>0</v>
      </c>
      <c r="N4182">
        <f>HYPERLINK("https://www.wikidata.org/wiki/Q16026497", "Q16026497")</f>
        <v>0</v>
      </c>
      <c r="O4182" t="s">
        <v>20019</v>
      </c>
      <c r="P4182" t="s">
        <v>20459</v>
      </c>
      <c r="Q4182" t="s">
        <v>13445</v>
      </c>
      <c r="R4182" t="s">
        <v>21463</v>
      </c>
      <c r="S4182">
        <v>1515</v>
      </c>
    </row>
    <row r="4183" spans="1:19">
      <c r="A4183" t="s">
        <v>25</v>
      </c>
      <c r="B4183" t="s">
        <v>148</v>
      </c>
      <c r="C4183" t="s">
        <v>157</v>
      </c>
      <c r="D4183" t="s">
        <v>286</v>
      </c>
      <c r="E4183" t="s">
        <v>415</v>
      </c>
      <c r="F4183">
        <f>HYPERLINK("https://www.wikidata.org/wiki/Q33756706", "Q33756706")</f>
        <v>0</v>
      </c>
      <c r="G4183" t="s">
        <v>2661</v>
      </c>
      <c r="H4183" t="s">
        <v>7201</v>
      </c>
      <c r="I4183" t="s">
        <v>10346</v>
      </c>
      <c r="J4183" t="s">
        <v>13302</v>
      </c>
      <c r="K4183" t="s">
        <v>17702</v>
      </c>
      <c r="L4183">
        <f>HYPERLINK("https://www2.assemblee-nationale.fr/sycomore/fiche/(num_dept)/6397", "6397")</f>
        <v>0</v>
      </c>
      <c r="N4183">
        <f>HYPERLINK("https://www.wikidata.org/wiki/Q3121020", "Q3121020")</f>
        <v>0</v>
      </c>
      <c r="O4183" t="s">
        <v>19982</v>
      </c>
      <c r="P4183" t="s">
        <v>20460</v>
      </c>
      <c r="Q4183" t="s">
        <v>13445</v>
      </c>
      <c r="R4183" t="s">
        <v>12771</v>
      </c>
      <c r="S4183">
        <v>284</v>
      </c>
    </row>
    <row r="4184" spans="1:19">
      <c r="A4184" t="s">
        <v>25</v>
      </c>
      <c r="B4184" t="s">
        <v>148</v>
      </c>
      <c r="C4184" t="s">
        <v>157</v>
      </c>
      <c r="D4184" t="s">
        <v>286</v>
      </c>
      <c r="E4184" t="s">
        <v>415</v>
      </c>
      <c r="F4184">
        <f>HYPERLINK("https://www.wikidata.org/wiki/Q33756706", "Q33756706")</f>
        <v>0</v>
      </c>
      <c r="G4184" t="s">
        <v>2662</v>
      </c>
      <c r="H4184" t="s">
        <v>7202</v>
      </c>
      <c r="I4184" t="s">
        <v>10347</v>
      </c>
      <c r="J4184" t="s">
        <v>13303</v>
      </c>
      <c r="K4184" t="s">
        <v>17703</v>
      </c>
      <c r="L4184">
        <f>HYPERLINK("https://www2.assemblee-nationale.fr/sycomore/fiche/(num_dept)/6478", "6478")</f>
        <v>0</v>
      </c>
      <c r="N4184">
        <f>HYPERLINK("https://www.wikidata.org/wiki/Q16026366", "Q16026366")</f>
        <v>0</v>
      </c>
      <c r="O4184" t="s">
        <v>19986</v>
      </c>
      <c r="P4184" t="s">
        <v>20401</v>
      </c>
      <c r="Q4184" t="s">
        <v>13445</v>
      </c>
      <c r="R4184" t="s">
        <v>21463</v>
      </c>
      <c r="S4184">
        <v>1515</v>
      </c>
    </row>
    <row r="4185" spans="1:19">
      <c r="A4185" t="s">
        <v>25</v>
      </c>
      <c r="B4185" t="s">
        <v>148</v>
      </c>
      <c r="C4185" t="s">
        <v>157</v>
      </c>
      <c r="D4185" t="s">
        <v>286</v>
      </c>
      <c r="E4185" t="s">
        <v>415</v>
      </c>
      <c r="F4185">
        <f>HYPERLINK("https://www.wikidata.org/wiki/Q33756706", "Q33756706")</f>
        <v>0</v>
      </c>
      <c r="G4185" t="s">
        <v>2663</v>
      </c>
      <c r="H4185" t="s">
        <v>7203</v>
      </c>
      <c r="I4185" t="s">
        <v>10348</v>
      </c>
      <c r="J4185" t="s">
        <v>13304</v>
      </c>
      <c r="K4185" t="s">
        <v>17704</v>
      </c>
      <c r="L4185">
        <f>HYPERLINK("https://www2.assemblee-nationale.fr/sycomore/fiche/(num_dept)/6484", "6484")</f>
        <v>0</v>
      </c>
      <c r="N4185">
        <f>HYPERLINK("https://www.wikidata.org/wiki/Q15969647", "Q15969647")</f>
        <v>0</v>
      </c>
      <c r="O4185" t="s">
        <v>20045</v>
      </c>
      <c r="P4185" t="s">
        <v>20464</v>
      </c>
      <c r="Q4185" t="s">
        <v>13445</v>
      </c>
      <c r="R4185" t="s">
        <v>21463</v>
      </c>
      <c r="S4185">
        <v>1515</v>
      </c>
    </row>
    <row r="4186" spans="1:19">
      <c r="A4186" t="s">
        <v>25</v>
      </c>
      <c r="B4186" t="s">
        <v>148</v>
      </c>
      <c r="C4186" t="s">
        <v>157</v>
      </c>
      <c r="D4186" t="s">
        <v>286</v>
      </c>
      <c r="E4186" t="s">
        <v>415</v>
      </c>
      <c r="F4186">
        <f>HYPERLINK("https://www.wikidata.org/wiki/Q33756706", "Q33756706")</f>
        <v>0</v>
      </c>
      <c r="G4186" t="s">
        <v>2664</v>
      </c>
      <c r="H4186" t="s">
        <v>6024</v>
      </c>
      <c r="I4186" t="s">
        <v>10017</v>
      </c>
      <c r="J4186" t="s">
        <v>13305</v>
      </c>
      <c r="K4186" t="s">
        <v>17705</v>
      </c>
      <c r="L4186">
        <f>HYPERLINK("https://www2.assemblee-nationale.fr/sycomore/fiche/(num_dept)/6516", "6516")</f>
        <v>0</v>
      </c>
      <c r="N4186">
        <f>HYPERLINK("https://www.wikidata.org/wiki/Q598992", "Q598992")</f>
        <v>0</v>
      </c>
      <c r="O4186" t="s">
        <v>20021</v>
      </c>
      <c r="P4186" t="s">
        <v>20459</v>
      </c>
      <c r="Q4186" t="s">
        <v>13445</v>
      </c>
      <c r="R4186" t="s">
        <v>21463</v>
      </c>
      <c r="S4186">
        <v>1515</v>
      </c>
    </row>
    <row r="4187" spans="1:19">
      <c r="A4187" t="s">
        <v>25</v>
      </c>
      <c r="B4187" t="s">
        <v>148</v>
      </c>
      <c r="C4187" t="s">
        <v>157</v>
      </c>
      <c r="D4187" t="s">
        <v>286</v>
      </c>
      <c r="E4187" t="s">
        <v>415</v>
      </c>
      <c r="F4187">
        <f>HYPERLINK("https://www.wikidata.org/wiki/Q33756706", "Q33756706")</f>
        <v>0</v>
      </c>
      <c r="G4187" t="s">
        <v>2665</v>
      </c>
      <c r="H4187" t="s">
        <v>5556</v>
      </c>
      <c r="I4187" t="s">
        <v>10349</v>
      </c>
      <c r="J4187" t="s">
        <v>13306</v>
      </c>
      <c r="K4187" t="s">
        <v>17706</v>
      </c>
      <c r="L4187">
        <f>HYPERLINK("https://www2.assemblee-nationale.fr/sycomore/fiche/(num_dept)/6613", "6613")</f>
        <v>0</v>
      </c>
      <c r="N4187">
        <f>HYPERLINK("https://www.wikidata.org/wiki/Q3121306", "Q3121306")</f>
        <v>0</v>
      </c>
      <c r="O4187" t="s">
        <v>19985</v>
      </c>
      <c r="P4187" t="s">
        <v>20464</v>
      </c>
      <c r="Q4187" t="s">
        <v>13445</v>
      </c>
      <c r="R4187" t="s">
        <v>21463</v>
      </c>
      <c r="S4187">
        <v>1515</v>
      </c>
    </row>
    <row r="4188" spans="1:19">
      <c r="A4188" t="s">
        <v>25</v>
      </c>
      <c r="B4188" t="s">
        <v>148</v>
      </c>
      <c r="C4188" t="s">
        <v>157</v>
      </c>
      <c r="D4188" t="s">
        <v>286</v>
      </c>
      <c r="E4188" t="s">
        <v>415</v>
      </c>
      <c r="F4188">
        <f>HYPERLINK("https://www.wikidata.org/wiki/Q33756706", "Q33756706")</f>
        <v>0</v>
      </c>
      <c r="G4188" t="s">
        <v>2666</v>
      </c>
      <c r="H4188" t="s">
        <v>7204</v>
      </c>
      <c r="I4188" t="s">
        <v>5361</v>
      </c>
      <c r="J4188" t="s">
        <v>13307</v>
      </c>
      <c r="K4188" t="s">
        <v>17707</v>
      </c>
      <c r="L4188">
        <f>HYPERLINK("https://www2.assemblee-nationale.fr/sycomore/fiche/(num_dept)/6631", "6631")</f>
        <v>0</v>
      </c>
      <c r="M4188">
        <f>HYPERLINK("https://www.senat.fr/senateur-3eme-republique/raynal_david0206r3.html", "raynal_david0206r3")</f>
        <v>0</v>
      </c>
      <c r="N4188">
        <f>HYPERLINK("https://www.wikidata.org/wiki/Q3018665", "Q3018665")</f>
        <v>0</v>
      </c>
      <c r="O4188" t="s">
        <v>19987</v>
      </c>
      <c r="P4188" t="s">
        <v>20461</v>
      </c>
      <c r="Q4188" t="s">
        <v>13445</v>
      </c>
      <c r="R4188" t="s">
        <v>21463</v>
      </c>
      <c r="S4188">
        <v>1515</v>
      </c>
    </row>
    <row r="4189" spans="1:19">
      <c r="A4189" t="s">
        <v>25</v>
      </c>
      <c r="B4189" t="s">
        <v>148</v>
      </c>
      <c r="C4189" t="s">
        <v>157</v>
      </c>
      <c r="D4189" t="s">
        <v>286</v>
      </c>
      <c r="E4189" t="s">
        <v>415</v>
      </c>
      <c r="F4189">
        <f>HYPERLINK("https://www.wikidata.org/wiki/Q33756706", "Q33756706")</f>
        <v>0</v>
      </c>
      <c r="G4189" t="s">
        <v>2667</v>
      </c>
      <c r="H4189" t="s">
        <v>7205</v>
      </c>
      <c r="I4189" t="s">
        <v>10350</v>
      </c>
      <c r="J4189" t="s">
        <v>13308</v>
      </c>
      <c r="K4189" t="s">
        <v>17708</v>
      </c>
      <c r="L4189">
        <f>HYPERLINK("https://www2.assemblee-nationale.fr/sycomore/fiche/(num_dept)/6643", "6643")</f>
        <v>0</v>
      </c>
      <c r="N4189">
        <f>HYPERLINK("https://www.wikidata.org/wiki/Q3588737", "Q3588737")</f>
        <v>0</v>
      </c>
      <c r="O4189" t="s">
        <v>20024</v>
      </c>
      <c r="Q4189" t="s">
        <v>13445</v>
      </c>
      <c r="R4189" t="s">
        <v>21463</v>
      </c>
      <c r="S4189">
        <v>1515</v>
      </c>
    </row>
    <row r="4190" spans="1:19">
      <c r="A4190" t="s">
        <v>25</v>
      </c>
      <c r="B4190" t="s">
        <v>148</v>
      </c>
      <c r="C4190" t="s">
        <v>157</v>
      </c>
      <c r="D4190" t="s">
        <v>286</v>
      </c>
      <c r="E4190" t="s">
        <v>415</v>
      </c>
      <c r="F4190">
        <f>HYPERLINK("https://www.wikidata.org/wiki/Q33756706", "Q33756706")</f>
        <v>0</v>
      </c>
      <c r="G4190" t="s">
        <v>2668</v>
      </c>
      <c r="H4190" t="s">
        <v>5559</v>
      </c>
      <c r="I4190" t="s">
        <v>10351</v>
      </c>
      <c r="J4190" t="s">
        <v>13309</v>
      </c>
      <c r="K4190" t="s">
        <v>17709</v>
      </c>
      <c r="L4190">
        <f>HYPERLINK("https://www2.assemblee-nationale.fr/sycomore/fiche/(num_dept)/6661", "6661")</f>
        <v>0</v>
      </c>
      <c r="N4190">
        <f>HYPERLINK("https://www.wikidata.org/wiki/Q3426803", "Q3426803")</f>
        <v>0</v>
      </c>
      <c r="O4190" t="s">
        <v>19962</v>
      </c>
      <c r="P4190" t="s">
        <v>20464</v>
      </c>
      <c r="Q4190" t="s">
        <v>13445</v>
      </c>
      <c r="R4190" t="s">
        <v>21463</v>
      </c>
      <c r="S4190">
        <v>1515</v>
      </c>
    </row>
    <row r="4191" spans="1:19">
      <c r="A4191" t="s">
        <v>25</v>
      </c>
      <c r="B4191" t="s">
        <v>148</v>
      </c>
      <c r="C4191" t="s">
        <v>157</v>
      </c>
      <c r="D4191" t="s">
        <v>286</v>
      </c>
      <c r="E4191" t="s">
        <v>415</v>
      </c>
      <c r="F4191">
        <f>HYPERLINK("https://www.wikidata.org/wiki/Q33756706", "Q33756706")</f>
        <v>0</v>
      </c>
      <c r="G4191" t="s">
        <v>2669</v>
      </c>
      <c r="H4191" t="s">
        <v>7206</v>
      </c>
      <c r="I4191" t="s">
        <v>10352</v>
      </c>
      <c r="J4191" t="s">
        <v>13310</v>
      </c>
      <c r="K4191" t="s">
        <v>17710</v>
      </c>
      <c r="L4191">
        <f>HYPERLINK("https://www2.assemblee-nationale.fr/sycomore/fiche/(num_dept)/6678", "6678")</f>
        <v>0</v>
      </c>
      <c r="N4191">
        <f>HYPERLINK("https://www.wikidata.org/wiki/Q2844704", "Q2844704")</f>
        <v>0</v>
      </c>
      <c r="O4191" t="s">
        <v>19984</v>
      </c>
      <c r="Q4191" t="s">
        <v>13445</v>
      </c>
      <c r="R4191" t="s">
        <v>21463</v>
      </c>
      <c r="S4191">
        <v>1515</v>
      </c>
    </row>
    <row r="4192" spans="1:19">
      <c r="A4192" t="s">
        <v>25</v>
      </c>
      <c r="B4192" t="s">
        <v>148</v>
      </c>
      <c r="C4192" t="s">
        <v>157</v>
      </c>
      <c r="D4192" t="s">
        <v>286</v>
      </c>
      <c r="E4192" t="s">
        <v>415</v>
      </c>
      <c r="F4192">
        <f>HYPERLINK("https://www.wikidata.org/wiki/Q33756706", "Q33756706")</f>
        <v>0</v>
      </c>
      <c r="G4192" t="s">
        <v>2670</v>
      </c>
      <c r="H4192" t="s">
        <v>7207</v>
      </c>
      <c r="I4192" t="s">
        <v>10353</v>
      </c>
      <c r="J4192" t="s">
        <v>13311</v>
      </c>
      <c r="K4192" t="s">
        <v>17711</v>
      </c>
      <c r="L4192">
        <f>HYPERLINK("https://www2.assemblee-nationale.fr/sycomore/fiche/(num_dept)/6697", "6697")</f>
        <v>0</v>
      </c>
      <c r="N4192">
        <f>HYPERLINK("https://www.wikidata.org/wiki/Q2856699", "Q2856699")</f>
        <v>0</v>
      </c>
      <c r="O4192" t="s">
        <v>19969</v>
      </c>
      <c r="P4192" t="s">
        <v>20456</v>
      </c>
      <c r="Q4192" t="s">
        <v>13445</v>
      </c>
      <c r="R4192" t="s">
        <v>21463</v>
      </c>
      <c r="S4192">
        <v>1515</v>
      </c>
    </row>
    <row r="4193" spans="1:19">
      <c r="A4193" t="s">
        <v>25</v>
      </c>
      <c r="B4193" t="s">
        <v>148</v>
      </c>
      <c r="C4193" t="s">
        <v>157</v>
      </c>
      <c r="D4193" t="s">
        <v>286</v>
      </c>
      <c r="E4193" t="s">
        <v>415</v>
      </c>
      <c r="F4193">
        <f>HYPERLINK("https://www.wikidata.org/wiki/Q33756706", "Q33756706")</f>
        <v>0</v>
      </c>
      <c r="G4193" t="s">
        <v>2671</v>
      </c>
      <c r="H4193" t="s">
        <v>7208</v>
      </c>
      <c r="I4193" t="s">
        <v>9553</v>
      </c>
      <c r="J4193" t="s">
        <v>13312</v>
      </c>
      <c r="K4193" t="s">
        <v>17712</v>
      </c>
      <c r="L4193">
        <f>HYPERLINK("https://www2.assemblee-nationale.fr/sycomore/fiche/(num_dept)/6727", "6727")</f>
        <v>0</v>
      </c>
      <c r="M4193">
        <f>HYPERLINK("https://www.senat.fr/senateur-3eme-republique/ribot_alexandre0941r3.html", "ribot_alexandre0941r3")</f>
        <v>0</v>
      </c>
      <c r="N4193">
        <f>HYPERLINK("https://www.wikidata.org/wiki/Q358387", "Q358387")</f>
        <v>0</v>
      </c>
      <c r="O4193" t="s">
        <v>19968</v>
      </c>
      <c r="Q4193" t="s">
        <v>13445</v>
      </c>
      <c r="R4193" t="s">
        <v>21463</v>
      </c>
      <c r="S4193">
        <v>1515</v>
      </c>
    </row>
    <row r="4194" spans="1:19">
      <c r="A4194" t="s">
        <v>25</v>
      </c>
      <c r="B4194" t="s">
        <v>148</v>
      </c>
      <c r="C4194" t="s">
        <v>157</v>
      </c>
      <c r="D4194" t="s">
        <v>286</v>
      </c>
      <c r="E4194" t="s">
        <v>415</v>
      </c>
      <c r="F4194">
        <f>HYPERLINK("https://www.wikidata.org/wiki/Q33756706", "Q33756706")</f>
        <v>0</v>
      </c>
      <c r="G4194" t="s">
        <v>2672</v>
      </c>
      <c r="H4194" t="s">
        <v>6303</v>
      </c>
      <c r="I4194" t="s">
        <v>9506</v>
      </c>
      <c r="J4194" t="s">
        <v>13313</v>
      </c>
      <c r="K4194" t="s">
        <v>17713</v>
      </c>
      <c r="L4194">
        <f>HYPERLINK("https://www2.assemblee-nationale.fr/sycomore/fiche/(num_dept)/6732", "6732")</f>
        <v>0</v>
      </c>
      <c r="N4194">
        <f>HYPERLINK("https://www.wikidata.org/wiki/Q16026417", "Q16026417")</f>
        <v>0</v>
      </c>
      <c r="O4194" t="s">
        <v>20044</v>
      </c>
      <c r="P4194" t="s">
        <v>20459</v>
      </c>
      <c r="Q4194" t="s">
        <v>13445</v>
      </c>
      <c r="R4194" t="s">
        <v>21463</v>
      </c>
      <c r="S4194">
        <v>1515</v>
      </c>
    </row>
    <row r="4195" spans="1:19">
      <c r="A4195" t="s">
        <v>25</v>
      </c>
      <c r="B4195" t="s">
        <v>148</v>
      </c>
      <c r="C4195" t="s">
        <v>157</v>
      </c>
      <c r="D4195" t="s">
        <v>286</v>
      </c>
      <c r="E4195" t="s">
        <v>415</v>
      </c>
      <c r="F4195">
        <f>HYPERLINK("https://www.wikidata.org/wiki/Q33756706", "Q33756706")</f>
        <v>0</v>
      </c>
      <c r="G4195" t="s">
        <v>2673</v>
      </c>
      <c r="H4195" t="s">
        <v>5798</v>
      </c>
      <c r="I4195" t="s">
        <v>10354</v>
      </c>
      <c r="J4195" t="s">
        <v>13314</v>
      </c>
      <c r="K4195" t="s">
        <v>17714</v>
      </c>
      <c r="L4195">
        <f>HYPERLINK("https://www2.assemblee-nationale.fr/sycomore/fiche/(num_dept)/6779", "6779")</f>
        <v>0</v>
      </c>
      <c r="N4195">
        <f>HYPERLINK("https://www.wikidata.org/wiki/Q8339650", "Q8339650")</f>
        <v>0</v>
      </c>
      <c r="O4195" t="s">
        <v>20015</v>
      </c>
      <c r="P4195" t="s">
        <v>20459</v>
      </c>
      <c r="Q4195" t="s">
        <v>13445</v>
      </c>
      <c r="R4195" t="s">
        <v>21463</v>
      </c>
      <c r="S4195">
        <v>1515</v>
      </c>
    </row>
    <row r="4196" spans="1:19">
      <c r="A4196" t="s">
        <v>25</v>
      </c>
      <c r="B4196" t="s">
        <v>148</v>
      </c>
      <c r="C4196" t="s">
        <v>157</v>
      </c>
      <c r="D4196" t="s">
        <v>286</v>
      </c>
      <c r="E4196" t="s">
        <v>415</v>
      </c>
      <c r="F4196">
        <f>HYPERLINK("https://www.wikidata.org/wiki/Q33756706", "Q33756706")</f>
        <v>0</v>
      </c>
      <c r="G4196" t="s">
        <v>2674</v>
      </c>
      <c r="H4196" t="s">
        <v>7209</v>
      </c>
      <c r="I4196" t="s">
        <v>10355</v>
      </c>
      <c r="J4196" t="s">
        <v>13315</v>
      </c>
      <c r="K4196" t="s">
        <v>17715</v>
      </c>
      <c r="L4196">
        <f>HYPERLINK("https://www2.assemblee-nationale.fr/sycomore/fiche/(num_dept)/6782", "6782")</f>
        <v>0</v>
      </c>
      <c r="M4196">
        <f>HYPERLINK("https://www.senat.fr/senateur-3eme-republique/riotteau_emile1031r3.html", "riotteau_emile1031r3")</f>
        <v>0</v>
      </c>
      <c r="N4196">
        <f>HYPERLINK("https://www.wikidata.org/wiki/Q3588719", "Q3588719")</f>
        <v>0</v>
      </c>
      <c r="O4196" t="s">
        <v>19985</v>
      </c>
      <c r="Q4196" t="s">
        <v>13445</v>
      </c>
      <c r="R4196" t="s">
        <v>21463</v>
      </c>
      <c r="S4196">
        <v>1515</v>
      </c>
    </row>
    <row r="4197" spans="1:19">
      <c r="A4197" t="s">
        <v>25</v>
      </c>
      <c r="B4197" t="s">
        <v>148</v>
      </c>
      <c r="C4197" t="s">
        <v>157</v>
      </c>
      <c r="D4197" t="s">
        <v>286</v>
      </c>
      <c r="E4197" t="s">
        <v>415</v>
      </c>
      <c r="F4197">
        <f>HYPERLINK("https://www.wikidata.org/wiki/Q33756706", "Q33756706")</f>
        <v>0</v>
      </c>
      <c r="G4197" t="s">
        <v>2675</v>
      </c>
      <c r="H4197" t="s">
        <v>5800</v>
      </c>
      <c r="I4197" t="s">
        <v>10356</v>
      </c>
      <c r="J4197" t="s">
        <v>13316</v>
      </c>
      <c r="K4197" t="s">
        <v>17716</v>
      </c>
      <c r="L4197">
        <f>HYPERLINK("https://www2.assemblee-nationale.fr/sycomore/fiche/(num_dept)/6842", "6842")</f>
        <v>0</v>
      </c>
      <c r="N4197">
        <f>HYPERLINK("https://www.wikidata.org/wiki/Q3071489", "Q3071489")</f>
        <v>0</v>
      </c>
      <c r="O4197" t="s">
        <v>20023</v>
      </c>
      <c r="P4197" t="s">
        <v>20461</v>
      </c>
      <c r="Q4197" t="s">
        <v>13445</v>
      </c>
      <c r="R4197" t="s">
        <v>21463</v>
      </c>
      <c r="S4197">
        <v>1515</v>
      </c>
    </row>
    <row r="4198" spans="1:19">
      <c r="A4198" t="s">
        <v>25</v>
      </c>
      <c r="B4198" t="s">
        <v>148</v>
      </c>
      <c r="C4198" t="s">
        <v>157</v>
      </c>
      <c r="D4198" t="s">
        <v>286</v>
      </c>
      <c r="E4198" t="s">
        <v>415</v>
      </c>
      <c r="F4198">
        <f>HYPERLINK("https://www.wikidata.org/wiki/Q33756706", "Q33756706")</f>
        <v>0</v>
      </c>
      <c r="G4198" t="s">
        <v>2676</v>
      </c>
      <c r="H4198" t="s">
        <v>7210</v>
      </c>
      <c r="I4198" t="s">
        <v>10357</v>
      </c>
      <c r="J4198" t="s">
        <v>13317</v>
      </c>
      <c r="K4198" t="s">
        <v>17717</v>
      </c>
      <c r="L4198">
        <f>HYPERLINK("https://www2.assemblee-nationale.fr/sycomore/fiche/(num_dept)/6851", "6851")</f>
        <v>0</v>
      </c>
      <c r="N4198">
        <f>HYPERLINK("https://www.wikidata.org/wiki/Q16026507", "Q16026507")</f>
        <v>0</v>
      </c>
      <c r="O4198" t="s">
        <v>19999</v>
      </c>
      <c r="P4198" t="s">
        <v>20401</v>
      </c>
      <c r="Q4198" t="s">
        <v>13445</v>
      </c>
      <c r="R4198" t="s">
        <v>21463</v>
      </c>
      <c r="S4198">
        <v>1515</v>
      </c>
    </row>
    <row r="4199" spans="1:19">
      <c r="A4199" t="s">
        <v>25</v>
      </c>
      <c r="B4199" t="s">
        <v>148</v>
      </c>
      <c r="C4199" t="s">
        <v>157</v>
      </c>
      <c r="D4199" t="s">
        <v>286</v>
      </c>
      <c r="E4199" t="s">
        <v>415</v>
      </c>
      <c r="F4199">
        <f>HYPERLINK("https://www.wikidata.org/wiki/Q33756706", "Q33756706")</f>
        <v>0</v>
      </c>
      <c r="G4199" t="s">
        <v>2677</v>
      </c>
      <c r="H4199" t="s">
        <v>7211</v>
      </c>
      <c r="I4199" t="s">
        <v>10358</v>
      </c>
      <c r="J4199" t="s">
        <v>13318</v>
      </c>
      <c r="K4199" t="s">
        <v>17718</v>
      </c>
      <c r="L4199">
        <f>HYPERLINK("https://www2.assemblee-nationale.fr/sycomore/fiche/(num_dept)/6868", "6868")</f>
        <v>0</v>
      </c>
      <c r="N4199">
        <f>HYPERLINK("https://www.wikidata.org/wiki/Q8299196", "Q8299196")</f>
        <v>0</v>
      </c>
      <c r="O4199" t="s">
        <v>19980</v>
      </c>
      <c r="P4199" t="s">
        <v>20460</v>
      </c>
      <c r="Q4199" t="s">
        <v>13445</v>
      </c>
      <c r="R4199" t="s">
        <v>21463</v>
      </c>
      <c r="S4199">
        <v>1515</v>
      </c>
    </row>
    <row r="4200" spans="1:19">
      <c r="A4200" t="s">
        <v>25</v>
      </c>
      <c r="B4200" t="s">
        <v>148</v>
      </c>
      <c r="C4200" t="s">
        <v>157</v>
      </c>
      <c r="D4200" t="s">
        <v>286</v>
      </c>
      <c r="E4200" t="s">
        <v>415</v>
      </c>
      <c r="F4200">
        <f>HYPERLINK("https://www.wikidata.org/wiki/Q33756706", "Q33756706")</f>
        <v>0</v>
      </c>
      <c r="G4200" t="s">
        <v>2678</v>
      </c>
      <c r="H4200" t="s">
        <v>7212</v>
      </c>
      <c r="I4200" t="s">
        <v>10359</v>
      </c>
      <c r="J4200" t="s">
        <v>13319</v>
      </c>
      <c r="K4200" t="s">
        <v>17719</v>
      </c>
      <c r="L4200">
        <f>HYPERLINK("https://www2.assemblee-nationale.fr/sycomore/fiche/(num_dept)/6875", "6875")</f>
        <v>0</v>
      </c>
      <c r="N4200">
        <f>HYPERLINK("https://www.wikidata.org/wiki/Q3167677", "Q3167677")</f>
        <v>0</v>
      </c>
      <c r="O4200" t="s">
        <v>19982</v>
      </c>
      <c r="P4200" t="s">
        <v>20460</v>
      </c>
      <c r="Q4200" t="s">
        <v>13445</v>
      </c>
      <c r="R4200" t="s">
        <v>21463</v>
      </c>
      <c r="S4200">
        <v>1515</v>
      </c>
    </row>
    <row r="4201" spans="1:19">
      <c r="A4201" t="s">
        <v>25</v>
      </c>
      <c r="B4201" t="s">
        <v>148</v>
      </c>
      <c r="C4201" t="s">
        <v>157</v>
      </c>
      <c r="D4201" t="s">
        <v>286</v>
      </c>
      <c r="E4201" t="s">
        <v>415</v>
      </c>
      <c r="F4201">
        <f>HYPERLINK("https://www.wikidata.org/wiki/Q33756706", "Q33756706")</f>
        <v>0</v>
      </c>
      <c r="G4201" t="s">
        <v>2679</v>
      </c>
      <c r="H4201" t="s">
        <v>7213</v>
      </c>
      <c r="I4201" t="s">
        <v>10360</v>
      </c>
      <c r="J4201" t="s">
        <v>13320</v>
      </c>
      <c r="K4201" t="s">
        <v>17720</v>
      </c>
      <c r="L4201">
        <f>HYPERLINK("https://www2.assemblee-nationale.fr/sycomore/fiche/(num_dept)/6888", "6888")</f>
        <v>0</v>
      </c>
      <c r="N4201">
        <f>HYPERLINK("https://www.wikidata.org/wiki/Q16026519", "Q16026519")</f>
        <v>0</v>
      </c>
      <c r="O4201" t="s">
        <v>19995</v>
      </c>
      <c r="Q4201" t="s">
        <v>13445</v>
      </c>
      <c r="R4201" t="s">
        <v>21463</v>
      </c>
      <c r="S4201">
        <v>1515</v>
      </c>
    </row>
    <row r="4202" spans="1:19">
      <c r="A4202" t="s">
        <v>25</v>
      </c>
      <c r="B4202" t="s">
        <v>148</v>
      </c>
      <c r="C4202" t="s">
        <v>157</v>
      </c>
      <c r="D4202" t="s">
        <v>286</v>
      </c>
      <c r="E4202" t="s">
        <v>415</v>
      </c>
      <c r="F4202">
        <f>HYPERLINK("https://www.wikidata.org/wiki/Q33756706", "Q33756706")</f>
        <v>0</v>
      </c>
      <c r="G4202" t="s">
        <v>2680</v>
      </c>
      <c r="H4202" t="s">
        <v>7214</v>
      </c>
      <c r="I4202" t="s">
        <v>10361</v>
      </c>
      <c r="J4202" t="s">
        <v>13321</v>
      </c>
      <c r="K4202" t="s">
        <v>17721</v>
      </c>
      <c r="L4202">
        <f>HYPERLINK("https://www2.assemblee-nationale.fr/sycomore/fiche/(num_dept)/6893", "6893")</f>
        <v>0</v>
      </c>
      <c r="N4202">
        <f>HYPERLINK("https://www.wikidata.org/wiki/Q3185406", "Q3185406")</f>
        <v>0</v>
      </c>
      <c r="O4202" t="s">
        <v>20015</v>
      </c>
      <c r="P4202" t="s">
        <v>20461</v>
      </c>
      <c r="Q4202" t="s">
        <v>13445</v>
      </c>
      <c r="R4202" t="s">
        <v>17721</v>
      </c>
      <c r="S4202">
        <v>409</v>
      </c>
    </row>
    <row r="4203" spans="1:19">
      <c r="A4203" t="s">
        <v>25</v>
      </c>
      <c r="B4203" t="s">
        <v>148</v>
      </c>
      <c r="C4203" t="s">
        <v>157</v>
      </c>
      <c r="D4203" t="s">
        <v>286</v>
      </c>
      <c r="E4203" t="s">
        <v>415</v>
      </c>
      <c r="F4203">
        <f>HYPERLINK("https://www.wikidata.org/wiki/Q33756706", "Q33756706")</f>
        <v>0</v>
      </c>
      <c r="G4203" t="s">
        <v>2681</v>
      </c>
      <c r="H4203" t="s">
        <v>7215</v>
      </c>
      <c r="I4203" t="s">
        <v>9465</v>
      </c>
      <c r="J4203" t="s">
        <v>13322</v>
      </c>
      <c r="K4203" t="s">
        <v>17722</v>
      </c>
      <c r="L4203">
        <f>HYPERLINK("https://www2.assemblee-nationale.fr/sycomore/fiche/(num_dept)/6901", "6901")</f>
        <v>0</v>
      </c>
      <c r="M4203">
        <f>HYPERLINK("https://www.senat.fr/senateur-3eme-republique/spuller_eugene0548r3.html", "spuller_eugene0548r3")</f>
        <v>0</v>
      </c>
      <c r="N4203">
        <f>HYPERLINK("https://www.wikidata.org/wiki/Q3060180", "Q3060180")</f>
        <v>0</v>
      </c>
      <c r="O4203" t="s">
        <v>19969</v>
      </c>
      <c r="P4203" t="s">
        <v>20459</v>
      </c>
      <c r="Q4203" t="s">
        <v>13445</v>
      </c>
      <c r="R4203" t="s">
        <v>21463</v>
      </c>
      <c r="S4203">
        <v>1515</v>
      </c>
    </row>
    <row r="4204" spans="1:19">
      <c r="A4204" t="s">
        <v>25</v>
      </c>
      <c r="B4204" t="s">
        <v>148</v>
      </c>
      <c r="C4204" t="s">
        <v>157</v>
      </c>
      <c r="D4204" t="s">
        <v>286</v>
      </c>
      <c r="E4204" t="s">
        <v>415</v>
      </c>
      <c r="F4204">
        <f>HYPERLINK("https://www.wikidata.org/wiki/Q33756706", "Q33756706")</f>
        <v>0</v>
      </c>
      <c r="G4204" t="s">
        <v>2682</v>
      </c>
      <c r="H4204" t="s">
        <v>5571</v>
      </c>
      <c r="I4204" t="s">
        <v>9449</v>
      </c>
      <c r="J4204" t="s">
        <v>13323</v>
      </c>
      <c r="K4204" t="s">
        <v>17723</v>
      </c>
      <c r="L4204">
        <f>HYPERLINK("https://www2.assemblee-nationale.fr/sycomore/fiche/(num_dept)/6903", "6903")</f>
        <v>0</v>
      </c>
      <c r="N4204">
        <f>HYPERLINK("https://www.wikidata.org/wiki/Q3188919", "Q3188919")</f>
        <v>0</v>
      </c>
      <c r="O4204" t="s">
        <v>19987</v>
      </c>
      <c r="P4204" t="s">
        <v>20459</v>
      </c>
      <c r="Q4204" t="s">
        <v>13445</v>
      </c>
      <c r="R4204" t="s">
        <v>21463</v>
      </c>
      <c r="S4204">
        <v>1515</v>
      </c>
    </row>
    <row r="4205" spans="1:19">
      <c r="A4205" t="s">
        <v>25</v>
      </c>
      <c r="B4205" t="s">
        <v>148</v>
      </c>
      <c r="C4205" t="s">
        <v>157</v>
      </c>
      <c r="D4205" t="s">
        <v>286</v>
      </c>
      <c r="E4205" t="s">
        <v>415</v>
      </c>
      <c r="F4205">
        <f>HYPERLINK("https://www.wikidata.org/wiki/Q33756706", "Q33756706")</f>
        <v>0</v>
      </c>
      <c r="G4205" t="s">
        <v>2683</v>
      </c>
      <c r="H4205" t="s">
        <v>7216</v>
      </c>
      <c r="I4205" t="s">
        <v>6860</v>
      </c>
      <c r="J4205" t="s">
        <v>13324</v>
      </c>
      <c r="K4205" t="s">
        <v>17724</v>
      </c>
      <c r="L4205">
        <f>HYPERLINK("https://www2.assemblee-nationale.fr/sycomore/fiche/(num_dept)/6959", "6959")</f>
        <v>0</v>
      </c>
      <c r="M4205">
        <f>HYPERLINK("https://www.senat.fr/senateur-3eme-republique/tassin_pierre0376r3.html", "tassin_pierre0376r3")</f>
        <v>0</v>
      </c>
      <c r="N4205">
        <f>HYPERLINK("https://www.wikidata.org/wiki/Q2420595", "Q2420595")</f>
        <v>0</v>
      </c>
      <c r="O4205" t="s">
        <v>20039</v>
      </c>
      <c r="P4205" t="s">
        <v>20461</v>
      </c>
      <c r="Q4205" t="s">
        <v>13445</v>
      </c>
      <c r="R4205" t="s">
        <v>21463</v>
      </c>
      <c r="S4205">
        <v>1515</v>
      </c>
    </row>
    <row r="4206" spans="1:19">
      <c r="A4206" t="s">
        <v>25</v>
      </c>
      <c r="B4206" t="s">
        <v>148</v>
      </c>
      <c r="C4206" t="s">
        <v>157</v>
      </c>
      <c r="D4206" t="s">
        <v>286</v>
      </c>
      <c r="E4206" t="s">
        <v>415</v>
      </c>
      <c r="F4206">
        <f>HYPERLINK("https://www.wikidata.org/wiki/Q33756706", "Q33756706")</f>
        <v>0</v>
      </c>
      <c r="G4206" t="s">
        <v>2684</v>
      </c>
      <c r="H4206" t="s">
        <v>7217</v>
      </c>
      <c r="I4206" t="s">
        <v>10362</v>
      </c>
      <c r="J4206" t="s">
        <v>13325</v>
      </c>
      <c r="K4206" t="s">
        <v>17725</v>
      </c>
      <c r="L4206">
        <f>HYPERLINK("https://www2.assemblee-nationale.fr/sycomore/fiche/(num_dept)/6998", "6998")</f>
        <v>0</v>
      </c>
      <c r="N4206">
        <f>HYPERLINK("https://www.wikidata.org/wiki/Q8299209", "Q8299209")</f>
        <v>0</v>
      </c>
      <c r="O4206" t="s">
        <v>19980</v>
      </c>
      <c r="P4206" t="s">
        <v>20460</v>
      </c>
      <c r="Q4206" t="s">
        <v>13445</v>
      </c>
      <c r="R4206" t="s">
        <v>21463</v>
      </c>
      <c r="S4206">
        <v>1515</v>
      </c>
    </row>
    <row r="4207" spans="1:19">
      <c r="A4207" t="s">
        <v>25</v>
      </c>
      <c r="B4207" t="s">
        <v>148</v>
      </c>
      <c r="C4207" t="s">
        <v>157</v>
      </c>
      <c r="D4207" t="s">
        <v>286</v>
      </c>
      <c r="E4207" t="s">
        <v>415</v>
      </c>
      <c r="F4207">
        <f>HYPERLINK("https://www.wikidata.org/wiki/Q33756706", "Q33756706")</f>
        <v>0</v>
      </c>
      <c r="G4207" t="s">
        <v>2685</v>
      </c>
      <c r="H4207" t="s">
        <v>7218</v>
      </c>
      <c r="I4207" t="s">
        <v>10363</v>
      </c>
      <c r="J4207" t="s">
        <v>13326</v>
      </c>
      <c r="K4207" t="s">
        <v>17726</v>
      </c>
      <c r="L4207">
        <f>HYPERLINK("https://www2.assemblee-nationale.fr/sycomore/fiche/(num_dept)/7005", "7005")</f>
        <v>0</v>
      </c>
      <c r="M4207">
        <f>HYPERLINK("https://www.senat.fr/senateur-3eme-republique/tezenas_antoine0228r3.html", "tezenas_antoine0228r3")</f>
        <v>0</v>
      </c>
      <c r="N4207">
        <f>HYPERLINK("https://www.wikidata.org/wiki/Q2856758", "Q2856758")</f>
        <v>0</v>
      </c>
      <c r="O4207" t="s">
        <v>8449</v>
      </c>
      <c r="P4207" t="s">
        <v>20461</v>
      </c>
      <c r="Q4207" t="s">
        <v>13445</v>
      </c>
      <c r="R4207" t="s">
        <v>21476</v>
      </c>
      <c r="S4207">
        <v>1271</v>
      </c>
    </row>
    <row r="4208" spans="1:19">
      <c r="A4208" t="s">
        <v>25</v>
      </c>
      <c r="B4208" t="s">
        <v>148</v>
      </c>
      <c r="C4208" t="s">
        <v>157</v>
      </c>
      <c r="D4208" t="s">
        <v>286</v>
      </c>
      <c r="E4208" t="s">
        <v>415</v>
      </c>
      <c r="F4208">
        <f>HYPERLINK("https://www.wikidata.org/wiki/Q33756706", "Q33756706")</f>
        <v>0</v>
      </c>
      <c r="G4208" t="s">
        <v>2686</v>
      </c>
      <c r="H4208" t="s">
        <v>7219</v>
      </c>
      <c r="I4208" t="s">
        <v>10364</v>
      </c>
      <c r="J4208" t="s">
        <v>13327</v>
      </c>
      <c r="K4208" t="s">
        <v>17727</v>
      </c>
      <c r="L4208">
        <f>HYPERLINK("https://www2.assemblee-nationale.fr/sycomore/fiche/(num_dept)/7017", "7017")</f>
        <v>0</v>
      </c>
      <c r="N4208">
        <f>HYPERLINK("https://www.wikidata.org/wiki/Q16026550", "Q16026550")</f>
        <v>0</v>
      </c>
      <c r="O4208" t="s">
        <v>20010</v>
      </c>
      <c r="P4208" t="s">
        <v>20401</v>
      </c>
      <c r="Q4208" t="s">
        <v>13445</v>
      </c>
      <c r="R4208" t="s">
        <v>21463</v>
      </c>
      <c r="S4208">
        <v>1515</v>
      </c>
    </row>
    <row r="4209" spans="1:19">
      <c r="A4209" t="s">
        <v>25</v>
      </c>
      <c r="B4209" t="s">
        <v>148</v>
      </c>
      <c r="C4209" t="s">
        <v>157</v>
      </c>
      <c r="D4209" t="s">
        <v>286</v>
      </c>
      <c r="E4209" t="s">
        <v>415</v>
      </c>
      <c r="F4209">
        <f>HYPERLINK("https://www.wikidata.org/wiki/Q33756706", "Q33756706")</f>
        <v>0</v>
      </c>
      <c r="G4209" t="s">
        <v>2687</v>
      </c>
      <c r="H4209" t="s">
        <v>7220</v>
      </c>
      <c r="I4209" t="s">
        <v>10365</v>
      </c>
      <c r="J4209" t="s">
        <v>13328</v>
      </c>
      <c r="K4209" t="s">
        <v>17728</v>
      </c>
      <c r="L4209">
        <f>HYPERLINK("https://www2.assemblee-nationale.fr/sycomore/fiche/(num_dept)/7037", "7037")</f>
        <v>0</v>
      </c>
      <c r="N4209">
        <f>HYPERLINK("https://www.wikidata.org/wiki/Q16026522", "Q16026522")</f>
        <v>0</v>
      </c>
      <c r="O4209" t="s">
        <v>20010</v>
      </c>
      <c r="Q4209" t="s">
        <v>13445</v>
      </c>
      <c r="R4209" t="s">
        <v>21463</v>
      </c>
      <c r="S4209">
        <v>1515</v>
      </c>
    </row>
    <row r="4210" spans="1:19">
      <c r="A4210" t="s">
        <v>25</v>
      </c>
      <c r="B4210" t="s">
        <v>148</v>
      </c>
      <c r="C4210" t="s">
        <v>157</v>
      </c>
      <c r="D4210" t="s">
        <v>286</v>
      </c>
      <c r="E4210" t="s">
        <v>415</v>
      </c>
      <c r="F4210">
        <f>HYPERLINK("https://www.wikidata.org/wiki/Q33756706", "Q33756706")</f>
        <v>0</v>
      </c>
      <c r="G4210" t="s">
        <v>2688</v>
      </c>
      <c r="H4210" t="s">
        <v>6367</v>
      </c>
      <c r="I4210" t="s">
        <v>10366</v>
      </c>
      <c r="J4210" t="s">
        <v>13329</v>
      </c>
      <c r="K4210" t="s">
        <v>17729</v>
      </c>
      <c r="L4210">
        <f>HYPERLINK("https://www2.assemblee-nationale.fr/sycomore/fiche/(num_dept)/7045", "7045")</f>
        <v>0</v>
      </c>
      <c r="N4210">
        <f>HYPERLINK("https://www.wikidata.org/wiki/Q2835484", "Q2835484")</f>
        <v>0</v>
      </c>
      <c r="O4210" t="s">
        <v>20025</v>
      </c>
      <c r="P4210" t="s">
        <v>20461</v>
      </c>
      <c r="Q4210" t="s">
        <v>13445</v>
      </c>
      <c r="R4210" t="s">
        <v>21463</v>
      </c>
      <c r="S4210">
        <v>1515</v>
      </c>
    </row>
    <row r="4211" spans="1:19">
      <c r="A4211" t="s">
        <v>25</v>
      </c>
      <c r="B4211" t="s">
        <v>148</v>
      </c>
      <c r="C4211" t="s">
        <v>157</v>
      </c>
      <c r="D4211" t="s">
        <v>286</v>
      </c>
      <c r="E4211" t="s">
        <v>415</v>
      </c>
      <c r="F4211">
        <f>HYPERLINK("https://www.wikidata.org/wiki/Q33756706", "Q33756706")</f>
        <v>0</v>
      </c>
      <c r="G4211" t="s">
        <v>818</v>
      </c>
      <c r="H4211" t="s">
        <v>5575</v>
      </c>
      <c r="I4211" t="s">
        <v>9470</v>
      </c>
      <c r="J4211" t="s">
        <v>11565</v>
      </c>
      <c r="K4211" t="s">
        <v>15969</v>
      </c>
      <c r="L4211">
        <f>HYPERLINK("https://www2.assemblee-nationale.fr/sycomore/fiche/(num_dept)/7055", "7055")</f>
        <v>0</v>
      </c>
      <c r="N4211">
        <f>HYPERLINK("https://www.wikidata.org/wiki/Q2246519", "Q2246519")</f>
        <v>0</v>
      </c>
      <c r="O4211" t="s">
        <v>20000</v>
      </c>
      <c r="P4211" t="s">
        <v>20459</v>
      </c>
      <c r="Q4211" t="s">
        <v>13445</v>
      </c>
      <c r="R4211" t="s">
        <v>21463</v>
      </c>
      <c r="S4211">
        <v>1515</v>
      </c>
    </row>
    <row r="4212" spans="1:19">
      <c r="A4212" t="s">
        <v>25</v>
      </c>
      <c r="B4212" t="s">
        <v>148</v>
      </c>
      <c r="C4212" t="s">
        <v>157</v>
      </c>
      <c r="D4212" t="s">
        <v>286</v>
      </c>
      <c r="E4212" t="s">
        <v>415</v>
      </c>
      <c r="F4212">
        <f>HYPERLINK("https://www.wikidata.org/wiki/Q33756706", "Q33756706")</f>
        <v>0</v>
      </c>
      <c r="G4212" t="s">
        <v>2689</v>
      </c>
      <c r="H4212" t="s">
        <v>7221</v>
      </c>
      <c r="I4212" t="s">
        <v>10367</v>
      </c>
      <c r="J4212" t="s">
        <v>13330</v>
      </c>
      <c r="K4212" t="s">
        <v>17730</v>
      </c>
      <c r="L4212">
        <f>HYPERLINK("https://www2.assemblee-nationale.fr/sycomore/fiche/(num_dept)/7098", "7098")</f>
        <v>0</v>
      </c>
      <c r="N4212">
        <f>HYPERLINK("https://www.wikidata.org/wiki/Q16026562", "Q16026562")</f>
        <v>0</v>
      </c>
      <c r="O4212" t="s">
        <v>19986</v>
      </c>
      <c r="P4212" t="s">
        <v>20457</v>
      </c>
      <c r="Q4212" t="s">
        <v>13445</v>
      </c>
      <c r="R4212" t="s">
        <v>21463</v>
      </c>
      <c r="S4212">
        <v>1515</v>
      </c>
    </row>
    <row r="4213" spans="1:19">
      <c r="A4213" t="s">
        <v>25</v>
      </c>
      <c r="B4213" t="s">
        <v>148</v>
      </c>
      <c r="C4213" t="s">
        <v>157</v>
      </c>
      <c r="D4213" t="s">
        <v>286</v>
      </c>
      <c r="E4213" t="s">
        <v>415</v>
      </c>
      <c r="F4213">
        <f>HYPERLINK("https://www.wikidata.org/wiki/Q33756706", "Q33756706")</f>
        <v>0</v>
      </c>
      <c r="G4213" t="s">
        <v>2690</v>
      </c>
      <c r="H4213" t="s">
        <v>7222</v>
      </c>
      <c r="I4213" t="s">
        <v>10368</v>
      </c>
      <c r="J4213" t="s">
        <v>13331</v>
      </c>
      <c r="K4213" t="s">
        <v>17731</v>
      </c>
      <c r="L4213">
        <f>HYPERLINK("https://www2.assemblee-nationale.fr/sycomore/fiche/(num_dept)/7137", "7137")</f>
        <v>0</v>
      </c>
      <c r="M4213">
        <f>HYPERLINK("https://www.senat.fr/senateur-3eme-republique/treille_alcide0693r3.html", "treille_alcide0693r3")</f>
        <v>0</v>
      </c>
      <c r="N4213">
        <f>HYPERLINK("https://www.wikidata.org/wiki/Q16798572", "Q16798572")</f>
        <v>0</v>
      </c>
      <c r="O4213" t="s">
        <v>20000</v>
      </c>
      <c r="P4213" t="s">
        <v>20459</v>
      </c>
      <c r="Q4213" t="s">
        <v>13445</v>
      </c>
      <c r="R4213" t="s">
        <v>21463</v>
      </c>
      <c r="S4213">
        <v>1515</v>
      </c>
    </row>
    <row r="4214" spans="1:19">
      <c r="A4214" t="s">
        <v>25</v>
      </c>
      <c r="B4214" t="s">
        <v>148</v>
      </c>
      <c r="C4214" t="s">
        <v>157</v>
      </c>
      <c r="D4214" t="s">
        <v>286</v>
      </c>
      <c r="E4214" t="s">
        <v>415</v>
      </c>
      <c r="F4214">
        <f>HYPERLINK("https://www.wikidata.org/wiki/Q33756706", "Q33756706")</f>
        <v>0</v>
      </c>
      <c r="G4214" t="s">
        <v>2691</v>
      </c>
      <c r="H4214" t="s">
        <v>7223</v>
      </c>
      <c r="I4214" t="s">
        <v>10369</v>
      </c>
      <c r="J4214" t="s">
        <v>13332</v>
      </c>
      <c r="K4214" t="s">
        <v>17732</v>
      </c>
      <c r="L4214">
        <f>HYPERLINK("https://www2.assemblee-nationale.fr/sycomore/fiche/(num_dept)/7174", "7174")</f>
        <v>0</v>
      </c>
      <c r="N4214">
        <f>HYPERLINK("https://www.wikidata.org/wiki/Q3174122", "Q3174122")</f>
        <v>0</v>
      </c>
      <c r="O4214" t="s">
        <v>20032</v>
      </c>
      <c r="P4214" t="s">
        <v>20456</v>
      </c>
      <c r="Q4214" t="s">
        <v>13445</v>
      </c>
      <c r="R4214" t="s">
        <v>21463</v>
      </c>
      <c r="S4214">
        <v>1515</v>
      </c>
    </row>
    <row r="4215" spans="1:19">
      <c r="A4215" t="s">
        <v>25</v>
      </c>
      <c r="B4215" t="s">
        <v>148</v>
      </c>
      <c r="C4215" t="s">
        <v>157</v>
      </c>
      <c r="D4215" t="s">
        <v>286</v>
      </c>
      <c r="E4215" t="s">
        <v>415</v>
      </c>
      <c r="F4215">
        <f>HYPERLINK("https://www.wikidata.org/wiki/Q33756706", "Q33756706")</f>
        <v>0</v>
      </c>
      <c r="G4215" t="s">
        <v>2692</v>
      </c>
      <c r="H4215" t="s">
        <v>7224</v>
      </c>
      <c r="I4215" t="s">
        <v>9602</v>
      </c>
      <c r="J4215" t="s">
        <v>13333</v>
      </c>
      <c r="K4215" t="s">
        <v>17733</v>
      </c>
      <c r="L4215">
        <f>HYPERLINK("https://www2.assemblee-nationale.fr/sycomore/fiche/(num_dept)/7178", "7178")</f>
        <v>0</v>
      </c>
      <c r="N4215">
        <f>HYPERLINK("https://www.wikidata.org/wiki/Q3048008", "Q3048008")</f>
        <v>0</v>
      </c>
      <c r="O4215" t="s">
        <v>20015</v>
      </c>
      <c r="Q4215" t="s">
        <v>13445</v>
      </c>
      <c r="R4215" t="s">
        <v>21463</v>
      </c>
      <c r="S4215">
        <v>1515</v>
      </c>
    </row>
    <row r="4216" spans="1:19">
      <c r="A4216" t="s">
        <v>25</v>
      </c>
      <c r="B4216" t="s">
        <v>148</v>
      </c>
      <c r="C4216" t="s">
        <v>157</v>
      </c>
      <c r="D4216" t="s">
        <v>286</v>
      </c>
      <c r="E4216" t="s">
        <v>415</v>
      </c>
      <c r="F4216">
        <f>HYPERLINK("https://www.wikidata.org/wiki/Q33756706", "Q33756706")</f>
        <v>0</v>
      </c>
      <c r="G4216" t="s">
        <v>2693</v>
      </c>
      <c r="H4216" t="s">
        <v>7225</v>
      </c>
      <c r="I4216" t="s">
        <v>10370</v>
      </c>
      <c r="J4216" t="s">
        <v>13334</v>
      </c>
      <c r="K4216" t="s">
        <v>17734</v>
      </c>
      <c r="L4216">
        <f>HYPERLINK("https://www2.assemblee-nationale.fr/sycomore/fiche/(num_dept)/7191", "7191")</f>
        <v>0</v>
      </c>
      <c r="N4216">
        <f>HYPERLINK("https://www.wikidata.org/wiki/Q16026577", "Q16026577")</f>
        <v>0</v>
      </c>
      <c r="O4216" t="s">
        <v>20020</v>
      </c>
      <c r="P4216" t="s">
        <v>20459</v>
      </c>
      <c r="Q4216" t="s">
        <v>13445</v>
      </c>
      <c r="R4216" t="s">
        <v>21463</v>
      </c>
      <c r="S4216">
        <v>1515</v>
      </c>
    </row>
    <row r="4217" spans="1:19">
      <c r="A4217" t="s">
        <v>25</v>
      </c>
      <c r="B4217" t="s">
        <v>148</v>
      </c>
      <c r="C4217" t="s">
        <v>157</v>
      </c>
      <c r="D4217" t="s">
        <v>286</v>
      </c>
      <c r="E4217" t="s">
        <v>415</v>
      </c>
      <c r="F4217">
        <f>HYPERLINK("https://www.wikidata.org/wiki/Q33756706", "Q33756706")</f>
        <v>0</v>
      </c>
      <c r="G4217" t="s">
        <v>2694</v>
      </c>
      <c r="H4217" t="s">
        <v>7226</v>
      </c>
      <c r="I4217" t="s">
        <v>9488</v>
      </c>
      <c r="J4217" t="s">
        <v>13335</v>
      </c>
      <c r="K4217" t="s">
        <v>17735</v>
      </c>
      <c r="L4217">
        <f>HYPERLINK("https://www2.assemblee-nationale.fr/sycomore/fiche/(num_dept)/7442", "7442")</f>
        <v>0</v>
      </c>
      <c r="N4217">
        <f>HYPERLINK("https://www.wikidata.org/wiki/Q3014816", "Q3014816")</f>
        <v>0</v>
      </c>
      <c r="O4217" t="s">
        <v>20008</v>
      </c>
      <c r="P4217" t="s">
        <v>20461</v>
      </c>
      <c r="Q4217" t="s">
        <v>13445</v>
      </c>
      <c r="R4217" t="s">
        <v>21463</v>
      </c>
      <c r="S4217">
        <v>1515</v>
      </c>
    </row>
    <row r="4218" spans="1:19">
      <c r="A4218" t="s">
        <v>25</v>
      </c>
      <c r="B4218" t="s">
        <v>148</v>
      </c>
      <c r="C4218" t="s">
        <v>157</v>
      </c>
      <c r="D4218" t="s">
        <v>286</v>
      </c>
      <c r="E4218" t="s">
        <v>415</v>
      </c>
      <c r="F4218">
        <f>HYPERLINK("https://www.wikidata.org/wiki/Q33756706", "Q33756706")</f>
        <v>0</v>
      </c>
      <c r="G4218" t="s">
        <v>2695</v>
      </c>
      <c r="H4218" t="s">
        <v>7227</v>
      </c>
      <c r="I4218" t="s">
        <v>9449</v>
      </c>
      <c r="J4218" t="s">
        <v>13336</v>
      </c>
      <c r="K4218" t="s">
        <v>17736</v>
      </c>
      <c r="L4218">
        <f>HYPERLINK("https://www2.assemblee-nationale.fr/sycomore/fiche/(num_dept)/7450", "7450")</f>
        <v>0</v>
      </c>
      <c r="N4218">
        <f>HYPERLINK("https://www.wikidata.org/wiki/Q3188959", "Q3188959")</f>
        <v>0</v>
      </c>
      <c r="O4218" t="s">
        <v>19973</v>
      </c>
      <c r="Q4218" t="s">
        <v>13445</v>
      </c>
      <c r="R4218" t="s">
        <v>21463</v>
      </c>
      <c r="S4218">
        <v>1515</v>
      </c>
    </row>
    <row r="4219" spans="1:19">
      <c r="A4219" t="s">
        <v>25</v>
      </c>
      <c r="B4219" t="s">
        <v>148</v>
      </c>
      <c r="C4219" t="s">
        <v>157</v>
      </c>
      <c r="D4219" t="s">
        <v>286</v>
      </c>
      <c r="E4219" t="s">
        <v>415</v>
      </c>
      <c r="F4219">
        <f>HYPERLINK("https://www.wikidata.org/wiki/Q33756706", "Q33756706")</f>
        <v>0</v>
      </c>
      <c r="G4219" t="s">
        <v>2696</v>
      </c>
      <c r="H4219" t="s">
        <v>7228</v>
      </c>
      <c r="I4219" t="s">
        <v>10371</v>
      </c>
      <c r="J4219" t="s">
        <v>13337</v>
      </c>
      <c r="K4219" t="s">
        <v>17737</v>
      </c>
      <c r="L4219">
        <f>HYPERLINK("https://www2.assemblee-nationale.fr/sycomore/fiche/(num_dept)/7458", "7458")</f>
        <v>0</v>
      </c>
      <c r="N4219">
        <f>HYPERLINK("https://www.wikidata.org/wiki/Q16026591", "Q16026591")</f>
        <v>0</v>
      </c>
      <c r="O4219" t="s">
        <v>7411</v>
      </c>
      <c r="P4219" t="s">
        <v>20456</v>
      </c>
      <c r="Q4219" t="s">
        <v>13445</v>
      </c>
      <c r="R4219" t="s">
        <v>21463</v>
      </c>
      <c r="S4219">
        <v>1515</v>
      </c>
    </row>
    <row r="4220" spans="1:19">
      <c r="A4220" t="s">
        <v>25</v>
      </c>
      <c r="B4220" t="s">
        <v>148</v>
      </c>
      <c r="C4220" t="s">
        <v>157</v>
      </c>
      <c r="D4220" t="s">
        <v>286</v>
      </c>
      <c r="E4220" t="s">
        <v>415</v>
      </c>
      <c r="F4220">
        <f>HYPERLINK("https://www.wikidata.org/wiki/Q33756706", "Q33756706")</f>
        <v>0</v>
      </c>
      <c r="G4220" t="s">
        <v>2697</v>
      </c>
      <c r="H4220" t="s">
        <v>7229</v>
      </c>
      <c r="I4220" t="s">
        <v>9506</v>
      </c>
      <c r="J4220" t="s">
        <v>13338</v>
      </c>
      <c r="K4220" t="s">
        <v>17738</v>
      </c>
      <c r="L4220">
        <f>HYPERLINK("https://www2.assemblee-nationale.fr/sycomore/fiche/(num_dept)/7461", "7461")</f>
        <v>0</v>
      </c>
      <c r="N4220">
        <f>HYPERLINK("https://www.wikidata.org/wiki/Q15971948", "Q15971948")</f>
        <v>0</v>
      </c>
      <c r="O4220" t="s">
        <v>20007</v>
      </c>
      <c r="P4220" t="s">
        <v>20459</v>
      </c>
      <c r="Q4220" t="s">
        <v>13445</v>
      </c>
      <c r="R4220" t="s">
        <v>21463</v>
      </c>
      <c r="S4220">
        <v>1515</v>
      </c>
    </row>
    <row r="4221" spans="1:19">
      <c r="A4221" t="s">
        <v>25</v>
      </c>
      <c r="B4221" t="s">
        <v>148</v>
      </c>
      <c r="C4221" t="s">
        <v>157</v>
      </c>
      <c r="D4221" t="s">
        <v>286</v>
      </c>
      <c r="E4221" t="s">
        <v>415</v>
      </c>
      <c r="F4221">
        <f>HYPERLINK("https://www.wikidata.org/wiki/Q33756706", "Q33756706")</f>
        <v>0</v>
      </c>
      <c r="G4221" t="s">
        <v>2698</v>
      </c>
      <c r="H4221" t="s">
        <v>7230</v>
      </c>
      <c r="I4221" t="s">
        <v>6495</v>
      </c>
      <c r="J4221" t="s">
        <v>13339</v>
      </c>
      <c r="K4221" t="s">
        <v>17739</v>
      </c>
      <c r="L4221">
        <f>HYPERLINK("https://www2.assemblee-nationale.fr/sycomore/fiche/(num_dept)/7463", "7463")</f>
        <v>0</v>
      </c>
      <c r="M4221">
        <f>HYPERLINK("https://www.senat.fr/senateur-3eme-republique/vignancour_louis1056r3.html", "vignancour_louis1056r3")</f>
        <v>0</v>
      </c>
      <c r="N4221">
        <f>HYPERLINK("https://www.wikidata.org/wiki/Q3263285", "Q3263285")</f>
        <v>0</v>
      </c>
      <c r="O4221" t="s">
        <v>19970</v>
      </c>
      <c r="Q4221" t="s">
        <v>13445</v>
      </c>
      <c r="R4221" t="s">
        <v>21463</v>
      </c>
      <c r="S4221">
        <v>1515</v>
      </c>
    </row>
    <row r="4222" spans="1:19">
      <c r="A4222" t="s">
        <v>25</v>
      </c>
      <c r="B4222" t="s">
        <v>148</v>
      </c>
      <c r="C4222" t="s">
        <v>157</v>
      </c>
      <c r="D4222" t="s">
        <v>286</v>
      </c>
      <c r="E4222" t="s">
        <v>415</v>
      </c>
      <c r="F4222">
        <f>HYPERLINK("https://www.wikidata.org/wiki/Q33756706", "Q33756706")</f>
        <v>0</v>
      </c>
      <c r="G4222" t="s">
        <v>2699</v>
      </c>
      <c r="H4222" t="s">
        <v>7231</v>
      </c>
      <c r="I4222" t="s">
        <v>10372</v>
      </c>
      <c r="J4222" t="s">
        <v>13340</v>
      </c>
      <c r="K4222" t="s">
        <v>17740</v>
      </c>
      <c r="L4222">
        <f>HYPERLINK("https://www2.assemblee-nationale.fr/sycomore/fiche/(num_dept)/7467", "7467")</f>
        <v>0</v>
      </c>
      <c r="M4222">
        <f>HYPERLINK("https://www.senat.fr/senateur-3eme-republique/waddington_richard1606r3.html", "waddington_richard1606r3")</f>
        <v>0</v>
      </c>
      <c r="N4222">
        <f>HYPERLINK("https://www.wikidata.org/wiki/Q2150850", "Q2150850")</f>
        <v>0</v>
      </c>
      <c r="O4222" t="s">
        <v>19978</v>
      </c>
      <c r="P4222" t="s">
        <v>20457</v>
      </c>
      <c r="Q4222" t="s">
        <v>13445</v>
      </c>
      <c r="R4222" t="s">
        <v>21463</v>
      </c>
      <c r="S4222">
        <v>1515</v>
      </c>
    </row>
    <row r="4223" spans="1:19">
      <c r="A4223" t="s">
        <v>25</v>
      </c>
      <c r="B4223" t="s">
        <v>148</v>
      </c>
      <c r="C4223" t="s">
        <v>157</v>
      </c>
      <c r="D4223" t="s">
        <v>286</v>
      </c>
      <c r="E4223" t="s">
        <v>415</v>
      </c>
      <c r="F4223">
        <f>HYPERLINK("https://www.wikidata.org/wiki/Q33756706", "Q33756706")</f>
        <v>0</v>
      </c>
      <c r="G4223" t="s">
        <v>2700</v>
      </c>
      <c r="H4223" t="s">
        <v>7232</v>
      </c>
      <c r="I4223" t="s">
        <v>10373</v>
      </c>
      <c r="J4223" t="s">
        <v>13341</v>
      </c>
      <c r="K4223" t="s">
        <v>17741</v>
      </c>
      <c r="L4223">
        <f>HYPERLINK("https://www2.assemblee-nationale.fr/sycomore/fiche/(num_dept)/7469", "7469")</f>
        <v>0</v>
      </c>
      <c r="N4223">
        <f>HYPERLINK("https://www.wikidata.org/wiki/Q3173263", "Q3173263")</f>
        <v>0</v>
      </c>
      <c r="O4223" t="s">
        <v>20015</v>
      </c>
      <c r="P4223" t="s">
        <v>20459</v>
      </c>
      <c r="Q4223" t="s">
        <v>13445</v>
      </c>
      <c r="R4223" t="s">
        <v>21463</v>
      </c>
      <c r="S4223">
        <v>1515</v>
      </c>
    </row>
    <row r="4224" spans="1:19">
      <c r="A4224" t="s">
        <v>25</v>
      </c>
      <c r="B4224" t="s">
        <v>148</v>
      </c>
      <c r="C4224" t="s">
        <v>157</v>
      </c>
      <c r="D4224" t="s">
        <v>286</v>
      </c>
      <c r="E4224" t="s">
        <v>415</v>
      </c>
      <c r="F4224">
        <f>HYPERLINK("https://www.wikidata.org/wiki/Q33756706", "Q33756706")</f>
        <v>0</v>
      </c>
      <c r="G4224" t="s">
        <v>2701</v>
      </c>
      <c r="H4224" t="s">
        <v>7233</v>
      </c>
      <c r="I4224" t="s">
        <v>10374</v>
      </c>
      <c r="J4224" t="s">
        <v>13342</v>
      </c>
      <c r="K4224" t="s">
        <v>17742</v>
      </c>
      <c r="L4224">
        <f>HYPERLINK("https://www2.assemblee-nationale.fr/sycomore/fiche/(num_dept)/7471", "7471")</f>
        <v>0</v>
      </c>
      <c r="N4224">
        <f>HYPERLINK("https://www.wikidata.org/wiki/Q16026602", "Q16026602")</f>
        <v>0</v>
      </c>
      <c r="O4224" t="s">
        <v>19991</v>
      </c>
      <c r="P4224" t="s">
        <v>20461</v>
      </c>
      <c r="Q4224" t="s">
        <v>13445</v>
      </c>
      <c r="R4224" t="s">
        <v>21463</v>
      </c>
      <c r="S4224">
        <v>1515</v>
      </c>
    </row>
    <row r="4225" spans="1:19">
      <c r="A4225" t="s">
        <v>25</v>
      </c>
      <c r="B4225" t="s">
        <v>148</v>
      </c>
      <c r="C4225" t="s">
        <v>157</v>
      </c>
      <c r="D4225" t="s">
        <v>286</v>
      </c>
      <c r="E4225" t="s">
        <v>415</v>
      </c>
      <c r="F4225">
        <f>HYPERLINK("https://www.wikidata.org/wiki/Q33756706", "Q33756706")</f>
        <v>0</v>
      </c>
      <c r="G4225" t="s">
        <v>2702</v>
      </c>
      <c r="H4225" t="s">
        <v>7234</v>
      </c>
      <c r="I4225" t="s">
        <v>6860</v>
      </c>
      <c r="J4225" t="s">
        <v>13343</v>
      </c>
      <c r="K4225" t="s">
        <v>17743</v>
      </c>
      <c r="L4225">
        <f>HYPERLINK("https://www2.assemblee-nationale.fr/sycomore/fiche/(num_dept)/7473", "7473")</f>
        <v>0</v>
      </c>
      <c r="M4225">
        <f>HYPERLINK("https://www.senat.fr/senateur-3eme-republique/waldeck_rousseau_pierre1368r3.html", "waldeck_rousseau_pierre1368r3")</f>
        <v>0</v>
      </c>
      <c r="N4225">
        <f>HYPERLINK("https://www.wikidata.org/wiki/Q358452", "Q358452")</f>
        <v>0</v>
      </c>
      <c r="O4225" t="s">
        <v>19998</v>
      </c>
      <c r="P4225" t="s">
        <v>20459</v>
      </c>
      <c r="Q4225" t="s">
        <v>13445</v>
      </c>
      <c r="R4225" t="s">
        <v>21463</v>
      </c>
      <c r="S4225">
        <v>1515</v>
      </c>
    </row>
    <row r="4226" spans="1:19">
      <c r="A4226" t="s">
        <v>25</v>
      </c>
      <c r="B4226" t="s">
        <v>148</v>
      </c>
      <c r="C4226" t="s">
        <v>157</v>
      </c>
      <c r="D4226" t="s">
        <v>286</v>
      </c>
      <c r="E4226" t="s">
        <v>415</v>
      </c>
      <c r="F4226">
        <f>HYPERLINK("https://www.wikidata.org/wiki/Q33756706", "Q33756706")</f>
        <v>0</v>
      </c>
      <c r="G4226" t="s">
        <v>2703</v>
      </c>
      <c r="H4226" t="s">
        <v>7235</v>
      </c>
      <c r="I4226" t="s">
        <v>5528</v>
      </c>
      <c r="J4226" t="s">
        <v>13344</v>
      </c>
      <c r="K4226" t="s">
        <v>17744</v>
      </c>
      <c r="L4226">
        <f>HYPERLINK("https://www2.assemblee-nationale.fr/sycomore/fiche/(num_dept)/7496", "7496")</f>
        <v>0</v>
      </c>
      <c r="N4226">
        <f>HYPERLINK("https://www.wikidata.org/wiki/Q16025951", "Q16025951")</f>
        <v>0</v>
      </c>
      <c r="O4226" t="s">
        <v>19981</v>
      </c>
      <c r="P4226" t="s">
        <v>20459</v>
      </c>
      <c r="Q4226" t="s">
        <v>13445</v>
      </c>
      <c r="R4226" t="s">
        <v>21463</v>
      </c>
      <c r="S4226">
        <v>1515</v>
      </c>
    </row>
    <row r="4227" spans="1:19">
      <c r="A4227" t="s">
        <v>25</v>
      </c>
      <c r="B4227" t="s">
        <v>148</v>
      </c>
      <c r="C4227" t="s">
        <v>157</v>
      </c>
      <c r="D4227" t="s">
        <v>286</v>
      </c>
      <c r="E4227" t="s">
        <v>415</v>
      </c>
      <c r="F4227">
        <f>HYPERLINK("https://www.wikidata.org/wiki/Q33756706", "Q33756706")</f>
        <v>0</v>
      </c>
      <c r="G4227" t="s">
        <v>2704</v>
      </c>
      <c r="H4227" t="s">
        <v>6798</v>
      </c>
      <c r="I4227" t="s">
        <v>10375</v>
      </c>
      <c r="J4227" t="s">
        <v>13345</v>
      </c>
      <c r="K4227" t="s">
        <v>17745</v>
      </c>
      <c r="L4227">
        <f>HYPERLINK("https://www2.assemblee-nationale.fr/sycomore/fiche/(num_dept)/7528", "7528")</f>
        <v>0</v>
      </c>
      <c r="N4227">
        <f>HYPERLINK("https://www.wikidata.org/wiki/Q16025956", "Q16025956")</f>
        <v>0</v>
      </c>
      <c r="O4227" t="s">
        <v>20005</v>
      </c>
      <c r="P4227" t="s">
        <v>20459</v>
      </c>
      <c r="Q4227" t="s">
        <v>13445</v>
      </c>
      <c r="R4227" t="s">
        <v>21463</v>
      </c>
      <c r="S4227">
        <v>1515</v>
      </c>
    </row>
    <row r="4228" spans="1:19">
      <c r="A4228" t="s">
        <v>25</v>
      </c>
      <c r="B4228" t="s">
        <v>148</v>
      </c>
      <c r="C4228" t="s">
        <v>157</v>
      </c>
      <c r="D4228" t="s">
        <v>286</v>
      </c>
      <c r="E4228" t="s">
        <v>415</v>
      </c>
      <c r="F4228">
        <f>HYPERLINK("https://www.wikidata.org/wiki/Q33756706", "Q33756706")</f>
        <v>0</v>
      </c>
      <c r="G4228" t="s">
        <v>2705</v>
      </c>
      <c r="H4228" t="s">
        <v>7236</v>
      </c>
      <c r="I4228" t="s">
        <v>9376</v>
      </c>
      <c r="J4228" t="s">
        <v>13346</v>
      </c>
      <c r="K4228" t="s">
        <v>17746</v>
      </c>
      <c r="L4228">
        <f>HYPERLINK("https://www2.assemblee-nationale.fr/sycomore/fiche/(num_dept)/7555", "7555")</f>
        <v>0</v>
      </c>
      <c r="N4228">
        <f>HYPERLINK("https://www.wikidata.org/wiki/Q13080871", "Q13080871")</f>
        <v>0</v>
      </c>
      <c r="O4228" t="s">
        <v>19978</v>
      </c>
      <c r="P4228" t="s">
        <v>20457</v>
      </c>
      <c r="Q4228" t="s">
        <v>13445</v>
      </c>
      <c r="R4228" t="s">
        <v>21463</v>
      </c>
      <c r="S4228">
        <v>1515</v>
      </c>
    </row>
    <row r="4229" spans="1:19">
      <c r="A4229" t="s">
        <v>25</v>
      </c>
      <c r="B4229" t="s">
        <v>148</v>
      </c>
      <c r="C4229" t="s">
        <v>157</v>
      </c>
      <c r="D4229" t="s">
        <v>286</v>
      </c>
      <c r="E4229" t="s">
        <v>415</v>
      </c>
      <c r="F4229">
        <f>HYPERLINK("https://www.wikidata.org/wiki/Q33756706", "Q33756706")</f>
        <v>0</v>
      </c>
      <c r="G4229" t="s">
        <v>840</v>
      </c>
      <c r="H4229" t="s">
        <v>5597</v>
      </c>
      <c r="I4229" t="s">
        <v>9547</v>
      </c>
      <c r="J4229" t="s">
        <v>11587</v>
      </c>
      <c r="K4229" t="s">
        <v>15989</v>
      </c>
      <c r="L4229">
        <f>HYPERLINK("https://www2.assemblee-nationale.fr/sycomore/fiche/(num_dept)/7587", "7587")</f>
        <v>0</v>
      </c>
      <c r="N4229">
        <f>HYPERLINK("https://www.wikidata.org/wiki/Q3351149", "Q3351149")</f>
        <v>0</v>
      </c>
      <c r="O4229" t="s">
        <v>19998</v>
      </c>
      <c r="Q4229" t="s">
        <v>13445</v>
      </c>
      <c r="R4229" t="s">
        <v>21463</v>
      </c>
      <c r="S4229">
        <v>1515</v>
      </c>
    </row>
    <row r="4230" spans="1:19">
      <c r="A4230" t="s">
        <v>25</v>
      </c>
      <c r="B4230" t="s">
        <v>148</v>
      </c>
      <c r="C4230" t="s">
        <v>157</v>
      </c>
      <c r="D4230" t="s">
        <v>286</v>
      </c>
      <c r="E4230" t="s">
        <v>415</v>
      </c>
      <c r="F4230">
        <f>HYPERLINK("https://www.wikidata.org/wiki/Q33756706", "Q33756706")</f>
        <v>0</v>
      </c>
      <c r="G4230" t="s">
        <v>2706</v>
      </c>
      <c r="H4230" t="s">
        <v>6341</v>
      </c>
      <c r="I4230" t="s">
        <v>10376</v>
      </c>
      <c r="J4230" t="s">
        <v>13347</v>
      </c>
      <c r="K4230" t="s">
        <v>17747</v>
      </c>
      <c r="L4230">
        <f>HYPERLINK("https://www2.assemblee-nationale.fr/sycomore/fiche/(num_dept)/7613", "7613")</f>
        <v>0</v>
      </c>
      <c r="M4230">
        <f>HYPERLINK("https://www.senat.fr/senateur-3eme-republique/le_provost_de_launay_louis0584r3.html", "le_provost_de_launay_louis0584r3")</f>
        <v>0</v>
      </c>
      <c r="N4230">
        <f>HYPERLINK("https://www.wikidata.org/wiki/Q3262484", "Q3262484")</f>
        <v>0</v>
      </c>
      <c r="O4230" t="s">
        <v>19964</v>
      </c>
      <c r="P4230" t="s">
        <v>20464</v>
      </c>
      <c r="Q4230" t="s">
        <v>13445</v>
      </c>
      <c r="R4230" t="s">
        <v>21463</v>
      </c>
      <c r="S4230">
        <v>1515</v>
      </c>
    </row>
    <row r="4231" spans="1:19">
      <c r="A4231" t="s">
        <v>25</v>
      </c>
      <c r="B4231" t="s">
        <v>148</v>
      </c>
      <c r="C4231" t="s">
        <v>157</v>
      </c>
      <c r="D4231" t="s">
        <v>286</v>
      </c>
      <c r="E4231" t="s">
        <v>415</v>
      </c>
      <c r="F4231">
        <f>HYPERLINK("https://www.wikidata.org/wiki/Q33756706", "Q33756706")</f>
        <v>0</v>
      </c>
      <c r="G4231" t="s">
        <v>2707</v>
      </c>
      <c r="H4231" t="s">
        <v>6277</v>
      </c>
      <c r="I4231" t="s">
        <v>10377</v>
      </c>
      <c r="J4231" t="s">
        <v>13348</v>
      </c>
      <c r="K4231" t="s">
        <v>17748</v>
      </c>
      <c r="L4231">
        <f>HYPERLINK("https://www2.assemblee-nationale.fr/sycomore/fiche/(num_dept)/7616", "7616")</f>
        <v>0</v>
      </c>
      <c r="M4231">
        <f>HYPERLINK("https://www.senat.fr/senateur-3eme-republique/le_roux_paul1745r3.html", "le_roux_paul1745r3")</f>
        <v>0</v>
      </c>
      <c r="N4231">
        <f>HYPERLINK("https://www.wikidata.org/wiki/Q3371651", "Q3371651")</f>
        <v>0</v>
      </c>
      <c r="O4231" t="s">
        <v>19972</v>
      </c>
      <c r="P4231" t="s">
        <v>20464</v>
      </c>
      <c r="Q4231" t="s">
        <v>13445</v>
      </c>
      <c r="R4231" t="s">
        <v>21463</v>
      </c>
      <c r="S4231">
        <v>1515</v>
      </c>
    </row>
    <row r="4232" spans="1:19">
      <c r="A4232" t="s">
        <v>25</v>
      </c>
      <c r="B4232" t="s">
        <v>148</v>
      </c>
      <c r="C4232" t="s">
        <v>157</v>
      </c>
      <c r="D4232" t="s">
        <v>286</v>
      </c>
      <c r="E4232" t="s">
        <v>415</v>
      </c>
      <c r="F4232">
        <f>HYPERLINK("https://www.wikidata.org/wiki/Q33756706", "Q33756706")</f>
        <v>0</v>
      </c>
      <c r="G4232" t="s">
        <v>2708</v>
      </c>
      <c r="H4232" t="s">
        <v>7237</v>
      </c>
      <c r="I4232" t="s">
        <v>10378</v>
      </c>
      <c r="J4232" t="s">
        <v>13349</v>
      </c>
      <c r="K4232" t="s">
        <v>17749</v>
      </c>
      <c r="L4232">
        <f>HYPERLINK("https://www2.assemblee-nationale.fr/sycomore/fiche/(num_dept)/7637", "7637")</f>
        <v>0</v>
      </c>
      <c r="N4232">
        <f>HYPERLINK("https://www.wikidata.org/wiki/Q3121241", "Q3121241")</f>
        <v>0</v>
      </c>
      <c r="O4232" t="s">
        <v>19976</v>
      </c>
      <c r="Q4232" t="s">
        <v>13445</v>
      </c>
      <c r="R4232" t="s">
        <v>21463</v>
      </c>
      <c r="S4232">
        <v>1515</v>
      </c>
    </row>
    <row r="4233" spans="1:19">
      <c r="A4233" t="s">
        <v>25</v>
      </c>
      <c r="B4233" t="s">
        <v>148</v>
      </c>
      <c r="C4233" t="s">
        <v>157</v>
      </c>
      <c r="D4233" t="s">
        <v>286</v>
      </c>
      <c r="E4233" t="s">
        <v>415</v>
      </c>
      <c r="F4233">
        <f>HYPERLINK("https://www.wikidata.org/wiki/Q33756706", "Q33756706")</f>
        <v>0</v>
      </c>
      <c r="G4233" t="s">
        <v>2709</v>
      </c>
      <c r="H4233" t="s">
        <v>7238</v>
      </c>
      <c r="I4233" t="s">
        <v>9458</v>
      </c>
      <c r="J4233" t="s">
        <v>13350</v>
      </c>
      <c r="K4233" t="s">
        <v>17750</v>
      </c>
      <c r="L4233">
        <f>HYPERLINK("https://www2.assemblee-nationale.fr/sycomore/fiche/(num_dept)/7666", "7666")</f>
        <v>0</v>
      </c>
      <c r="N4233">
        <f>HYPERLINK("https://www.wikidata.org/wiki/Q15969923", "Q15969923")</f>
        <v>0</v>
      </c>
      <c r="O4233" t="s">
        <v>19975</v>
      </c>
      <c r="Q4233" t="s">
        <v>13445</v>
      </c>
      <c r="R4233" t="s">
        <v>21463</v>
      </c>
      <c r="S4233">
        <v>1515</v>
      </c>
    </row>
    <row r="4234" spans="1:19">
      <c r="A4234" t="s">
        <v>25</v>
      </c>
      <c r="B4234" t="s">
        <v>148</v>
      </c>
      <c r="C4234" t="s">
        <v>157</v>
      </c>
      <c r="D4234" t="s">
        <v>286</v>
      </c>
      <c r="E4234" t="s">
        <v>415</v>
      </c>
      <c r="F4234">
        <f>HYPERLINK("https://www.wikidata.org/wiki/Q33756706", "Q33756706")</f>
        <v>0</v>
      </c>
      <c r="G4234" t="s">
        <v>2710</v>
      </c>
      <c r="H4234" t="s">
        <v>6801</v>
      </c>
      <c r="I4234" t="s">
        <v>6158</v>
      </c>
      <c r="J4234" t="s">
        <v>13351</v>
      </c>
      <c r="K4234" t="s">
        <v>17751</v>
      </c>
      <c r="L4234">
        <f>HYPERLINK("https://www2.assemblee-nationale.fr/sycomore/fiche/(num_dept)/7718", "7718")</f>
        <v>0</v>
      </c>
      <c r="N4234">
        <f>HYPERLINK("https://www.wikidata.org/wiki/Q3092516", "Q3092516")</f>
        <v>0</v>
      </c>
      <c r="O4234" t="s">
        <v>19995</v>
      </c>
      <c r="P4234" t="s">
        <v>20459</v>
      </c>
      <c r="Q4234" t="s">
        <v>13445</v>
      </c>
      <c r="R4234" t="s">
        <v>21463</v>
      </c>
      <c r="S4234">
        <v>1515</v>
      </c>
    </row>
    <row r="4235" spans="1:19">
      <c r="A4235" t="s">
        <v>25</v>
      </c>
      <c r="B4235" t="s">
        <v>148</v>
      </c>
      <c r="C4235" t="s">
        <v>157</v>
      </c>
      <c r="D4235" t="s">
        <v>286</v>
      </c>
      <c r="E4235" t="s">
        <v>415</v>
      </c>
      <c r="F4235">
        <f>HYPERLINK("https://www.wikidata.org/wiki/Q33756706", "Q33756706")</f>
        <v>0</v>
      </c>
      <c r="G4235" t="s">
        <v>854</v>
      </c>
      <c r="H4235" t="s">
        <v>5610</v>
      </c>
      <c r="I4235" t="s">
        <v>9556</v>
      </c>
      <c r="J4235" t="s">
        <v>11600</v>
      </c>
      <c r="K4235" t="s">
        <v>16002</v>
      </c>
      <c r="L4235">
        <f>HYPERLINK("https://www2.assemblee-nationale.fr/sycomore/fiche/(num_dept)/7723", "7723")</f>
        <v>0</v>
      </c>
      <c r="N4235">
        <f>HYPERLINK("https://www.wikidata.org/wiki/Q8327019", "Q8327019")</f>
        <v>0</v>
      </c>
      <c r="O4235" t="s">
        <v>19985</v>
      </c>
      <c r="P4235" t="s">
        <v>20464</v>
      </c>
      <c r="Q4235" t="s">
        <v>13445</v>
      </c>
      <c r="R4235" t="s">
        <v>21463</v>
      </c>
      <c r="S4235">
        <v>1515</v>
      </c>
    </row>
    <row r="4236" spans="1:19">
      <c r="A4236" t="s">
        <v>25</v>
      </c>
      <c r="B4236" t="s">
        <v>148</v>
      </c>
      <c r="C4236" t="s">
        <v>157</v>
      </c>
      <c r="D4236" t="s">
        <v>286</v>
      </c>
      <c r="E4236" t="s">
        <v>415</v>
      </c>
      <c r="F4236">
        <f>HYPERLINK("https://www.wikidata.org/wiki/Q33756706", "Q33756706")</f>
        <v>0</v>
      </c>
      <c r="G4236" t="s">
        <v>2711</v>
      </c>
      <c r="H4236" t="s">
        <v>5610</v>
      </c>
      <c r="I4236" t="s">
        <v>6860</v>
      </c>
      <c r="J4236" t="s">
        <v>13352</v>
      </c>
      <c r="K4236" t="s">
        <v>17752</v>
      </c>
      <c r="L4236">
        <f>HYPERLINK("https://www2.assemblee-nationale.fr/sycomore/fiche/(num_dept)/7726", "7726")</f>
        <v>0</v>
      </c>
      <c r="N4236">
        <f>HYPERLINK("https://www.wikidata.org/wiki/Q3385905", "Q3385905")</f>
        <v>0</v>
      </c>
      <c r="O4236" t="s">
        <v>20013</v>
      </c>
      <c r="P4236" t="s">
        <v>20462</v>
      </c>
      <c r="Q4236" t="s">
        <v>13445</v>
      </c>
      <c r="R4236" t="s">
        <v>21463</v>
      </c>
      <c r="S4236">
        <v>1515</v>
      </c>
    </row>
    <row r="4237" spans="1:19">
      <c r="A4237" t="s">
        <v>25</v>
      </c>
      <c r="B4237" t="s">
        <v>148</v>
      </c>
      <c r="C4237" t="s">
        <v>157</v>
      </c>
      <c r="D4237" t="s">
        <v>286</v>
      </c>
      <c r="E4237" t="s">
        <v>415</v>
      </c>
      <c r="F4237">
        <f>HYPERLINK("https://www.wikidata.org/wiki/Q33756706", "Q33756706")</f>
        <v>0</v>
      </c>
      <c r="G4237" t="s">
        <v>2712</v>
      </c>
      <c r="H4237" t="s">
        <v>5612</v>
      </c>
      <c r="I4237" t="s">
        <v>9453</v>
      </c>
      <c r="J4237" t="s">
        <v>13353</v>
      </c>
      <c r="K4237" t="s">
        <v>17753</v>
      </c>
      <c r="L4237">
        <f>HYPERLINK("https://www2.assemblee-nationale.fr/sycomore/fiche/(num_dept)/7796", "7796")</f>
        <v>0</v>
      </c>
      <c r="N4237">
        <f>HYPERLINK("https://www.wikidata.org/wiki/Q16025990", "Q16025990")</f>
        <v>0</v>
      </c>
      <c r="O4237" t="s">
        <v>20002</v>
      </c>
      <c r="P4237" t="s">
        <v>20457</v>
      </c>
      <c r="Q4237" t="s">
        <v>13445</v>
      </c>
      <c r="R4237" t="s">
        <v>21463</v>
      </c>
      <c r="S4237">
        <v>1515</v>
      </c>
    </row>
    <row r="4238" spans="1:19">
      <c r="A4238" t="s">
        <v>25</v>
      </c>
      <c r="B4238" t="s">
        <v>148</v>
      </c>
      <c r="C4238" t="s">
        <v>157</v>
      </c>
      <c r="D4238" t="s">
        <v>286</v>
      </c>
      <c r="E4238" t="s">
        <v>415</v>
      </c>
      <c r="F4238">
        <f>HYPERLINK("https://www.wikidata.org/wiki/Q33756706", "Q33756706")</f>
        <v>0</v>
      </c>
      <c r="G4238" t="s">
        <v>2713</v>
      </c>
      <c r="H4238" t="s">
        <v>7239</v>
      </c>
      <c r="I4238" t="s">
        <v>10379</v>
      </c>
      <c r="J4238" t="s">
        <v>13354</v>
      </c>
      <c r="K4238" t="s">
        <v>17754</v>
      </c>
      <c r="L4238">
        <f>HYPERLINK("https://www2.assemblee-nationale.fr/sycomore/fiche/(num_dept)/7811", "7811")</f>
        <v>0</v>
      </c>
      <c r="N4238">
        <f>HYPERLINK("https://www.wikidata.org/wiki/Q3045142", "Q3045142")</f>
        <v>0</v>
      </c>
      <c r="O4238" t="s">
        <v>20015</v>
      </c>
      <c r="P4238" t="s">
        <v>20459</v>
      </c>
      <c r="Q4238" t="s">
        <v>13445</v>
      </c>
      <c r="R4238" t="s">
        <v>21463</v>
      </c>
      <c r="S4238">
        <v>1515</v>
      </c>
    </row>
    <row r="4239" spans="1:19">
      <c r="A4239" t="s">
        <v>25</v>
      </c>
      <c r="B4239" t="s">
        <v>148</v>
      </c>
      <c r="C4239" t="s">
        <v>157</v>
      </c>
      <c r="D4239" t="s">
        <v>286</v>
      </c>
      <c r="E4239" t="s">
        <v>415</v>
      </c>
      <c r="F4239">
        <f>HYPERLINK("https://www.wikidata.org/wiki/Q33756706", "Q33756706")</f>
        <v>0</v>
      </c>
      <c r="G4239" t="s">
        <v>2714</v>
      </c>
      <c r="H4239" t="s">
        <v>7240</v>
      </c>
      <c r="I4239" t="s">
        <v>9458</v>
      </c>
      <c r="J4239" t="s">
        <v>13355</v>
      </c>
      <c r="K4239" t="s">
        <v>17755</v>
      </c>
      <c r="L4239">
        <f>HYPERLINK("https://www2.assemblee-nationale.fr/sycomore/fiche/(num_dept)/7818", "7818")</f>
        <v>0</v>
      </c>
      <c r="N4239">
        <f>HYPERLINK("https://www.wikidata.org/wiki/Q16626137", "Q16626137")</f>
        <v>0</v>
      </c>
      <c r="O4239" t="s">
        <v>20000</v>
      </c>
      <c r="P4239" t="s">
        <v>20459</v>
      </c>
      <c r="Q4239" t="s">
        <v>13445</v>
      </c>
      <c r="R4239" t="s">
        <v>21463</v>
      </c>
      <c r="S4239">
        <v>1515</v>
      </c>
    </row>
    <row r="4240" spans="1:19">
      <c r="A4240" t="s">
        <v>25</v>
      </c>
      <c r="B4240" t="s">
        <v>148</v>
      </c>
      <c r="C4240" t="s">
        <v>157</v>
      </c>
      <c r="D4240" t="s">
        <v>286</v>
      </c>
      <c r="E4240" t="s">
        <v>415</v>
      </c>
      <c r="F4240">
        <f>HYPERLINK("https://www.wikidata.org/wiki/Q33756706", "Q33756706")</f>
        <v>0</v>
      </c>
      <c r="G4240" t="s">
        <v>2715</v>
      </c>
      <c r="H4240" t="s">
        <v>7241</v>
      </c>
      <c r="I4240" t="s">
        <v>10380</v>
      </c>
      <c r="J4240" t="s">
        <v>13356</v>
      </c>
      <c r="K4240" t="s">
        <v>17756</v>
      </c>
      <c r="L4240">
        <f>HYPERLINK("https://www2.assemblee-nationale.fr/sycomore/fiche/(num_dept)/7829", "7829")</f>
        <v>0</v>
      </c>
      <c r="N4240">
        <f>HYPERLINK("https://www.wikidata.org/wiki/Q16025995", "Q16025995")</f>
        <v>0</v>
      </c>
      <c r="O4240" t="s">
        <v>20002</v>
      </c>
      <c r="P4240" t="s">
        <v>20461</v>
      </c>
      <c r="Q4240" t="s">
        <v>13445</v>
      </c>
      <c r="R4240" t="s">
        <v>21463</v>
      </c>
      <c r="S4240">
        <v>1515</v>
      </c>
    </row>
    <row r="4241" spans="1:19">
      <c r="A4241" t="s">
        <v>25</v>
      </c>
      <c r="B4241" t="s">
        <v>148</v>
      </c>
      <c r="C4241" t="s">
        <v>157</v>
      </c>
      <c r="D4241" t="s">
        <v>286</v>
      </c>
      <c r="E4241" t="s">
        <v>415</v>
      </c>
      <c r="F4241">
        <f>HYPERLINK("https://www.wikidata.org/wiki/Q33756706", "Q33756706")</f>
        <v>0</v>
      </c>
      <c r="G4241" t="s">
        <v>2716</v>
      </c>
      <c r="H4241" t="s">
        <v>7242</v>
      </c>
      <c r="I4241" t="s">
        <v>10381</v>
      </c>
      <c r="J4241" t="s">
        <v>13357</v>
      </c>
      <c r="K4241" t="s">
        <v>17757</v>
      </c>
      <c r="L4241">
        <f>HYPERLINK("https://www2.assemblee-nationale.fr/sycomore/fiche/(num_dept)/7831", "7831")</f>
        <v>0</v>
      </c>
      <c r="N4241">
        <f>HYPERLINK("https://www.wikidata.org/wiki/Q8316737", "Q8316737")</f>
        <v>0</v>
      </c>
      <c r="O4241" t="s">
        <v>19997</v>
      </c>
      <c r="P4241" t="s">
        <v>20459</v>
      </c>
      <c r="Q4241" t="s">
        <v>13445</v>
      </c>
      <c r="R4241" t="s">
        <v>21463</v>
      </c>
      <c r="S4241">
        <v>1515</v>
      </c>
    </row>
    <row r="4242" spans="1:19">
      <c r="A4242" t="s">
        <v>25</v>
      </c>
      <c r="B4242" t="s">
        <v>148</v>
      </c>
      <c r="C4242" t="s">
        <v>157</v>
      </c>
      <c r="D4242" t="s">
        <v>286</v>
      </c>
      <c r="E4242" t="s">
        <v>415</v>
      </c>
      <c r="F4242">
        <f>HYPERLINK("https://www.wikidata.org/wiki/Q33756706", "Q33756706")</f>
        <v>0</v>
      </c>
      <c r="G4242" t="s">
        <v>2717</v>
      </c>
      <c r="H4242" t="s">
        <v>7243</v>
      </c>
      <c r="I4242" t="s">
        <v>9728</v>
      </c>
      <c r="J4242" t="s">
        <v>13358</v>
      </c>
      <c r="K4242" t="s">
        <v>17758</v>
      </c>
      <c r="L4242">
        <f>HYPERLINK("https://www2.assemblee-nationale.fr/sycomore/fiche/(num_dept)/7875", "7875")</f>
        <v>0</v>
      </c>
      <c r="N4242">
        <f>HYPERLINK("https://www.wikidata.org/wiki/Q733836", "Q733836")</f>
        <v>0</v>
      </c>
      <c r="O4242" t="s">
        <v>19969</v>
      </c>
      <c r="P4242" t="s">
        <v>20459</v>
      </c>
      <c r="Q4242" t="s">
        <v>13445</v>
      </c>
      <c r="R4242" t="s">
        <v>21463</v>
      </c>
      <c r="S4242">
        <v>1515</v>
      </c>
    </row>
    <row r="4243" spans="1:19">
      <c r="A4243" t="s">
        <v>25</v>
      </c>
      <c r="B4243" t="s">
        <v>148</v>
      </c>
      <c r="C4243" t="s">
        <v>157</v>
      </c>
      <c r="D4243" t="s">
        <v>286</v>
      </c>
      <c r="E4243" t="s">
        <v>415</v>
      </c>
      <c r="F4243">
        <f>HYPERLINK("https://www.wikidata.org/wiki/Q33756706", "Q33756706")</f>
        <v>0</v>
      </c>
      <c r="G4243" t="s">
        <v>2718</v>
      </c>
      <c r="H4243" t="s">
        <v>7244</v>
      </c>
      <c r="I4243" t="s">
        <v>6166</v>
      </c>
      <c r="J4243" t="s">
        <v>13359</v>
      </c>
      <c r="K4243" t="s">
        <v>17759</v>
      </c>
      <c r="L4243">
        <f>HYPERLINK("https://www2.assemblee-nationale.fr/sycomore/fiche/(num_dept)/7892", "7892")</f>
        <v>0</v>
      </c>
      <c r="N4243">
        <f>HYPERLINK("https://www.wikidata.org/wiki/Q2060426", "Q2060426")</f>
        <v>0</v>
      </c>
      <c r="O4243" t="s">
        <v>19969</v>
      </c>
      <c r="P4243" t="s">
        <v>20459</v>
      </c>
      <c r="Q4243" t="s">
        <v>13445</v>
      </c>
      <c r="R4243" t="s">
        <v>21463</v>
      </c>
      <c r="S4243">
        <v>1515</v>
      </c>
    </row>
    <row r="4244" spans="1:19">
      <c r="A4244" t="s">
        <v>25</v>
      </c>
      <c r="B4244" t="s">
        <v>148</v>
      </c>
      <c r="C4244" t="s">
        <v>157</v>
      </c>
      <c r="D4244" t="s">
        <v>286</v>
      </c>
      <c r="E4244" t="s">
        <v>415</v>
      </c>
      <c r="F4244">
        <f>HYPERLINK("https://www.wikidata.org/wiki/Q33756706", "Q33756706")</f>
        <v>0</v>
      </c>
      <c r="G4244" t="s">
        <v>2719</v>
      </c>
      <c r="H4244" t="s">
        <v>7245</v>
      </c>
      <c r="I4244" t="s">
        <v>10382</v>
      </c>
      <c r="J4244" t="s">
        <v>13360</v>
      </c>
      <c r="K4244" t="s">
        <v>17760</v>
      </c>
      <c r="L4244">
        <f>HYPERLINK("https://www2.assemblee-nationale.fr/sycomore/fiche/(num_dept)/7894", "7894")</f>
        <v>0</v>
      </c>
      <c r="N4244">
        <f>HYPERLINK("https://www.wikidata.org/wiki/Q13080813", "Q13080813")</f>
        <v>0</v>
      </c>
      <c r="O4244" t="s">
        <v>19965</v>
      </c>
      <c r="Q4244" t="s">
        <v>13445</v>
      </c>
      <c r="R4244" t="s">
        <v>21463</v>
      </c>
      <c r="S4244">
        <v>1515</v>
      </c>
    </row>
    <row r="4245" spans="1:19">
      <c r="A4245" t="s">
        <v>25</v>
      </c>
      <c r="B4245" t="s">
        <v>148</v>
      </c>
      <c r="C4245" t="s">
        <v>157</v>
      </c>
      <c r="D4245" t="s">
        <v>286</v>
      </c>
      <c r="E4245" t="s">
        <v>415</v>
      </c>
      <c r="F4245">
        <f>HYPERLINK("https://www.wikidata.org/wiki/Q33756706", "Q33756706")</f>
        <v>0</v>
      </c>
      <c r="G4245" t="s">
        <v>2720</v>
      </c>
      <c r="H4245" t="s">
        <v>6085</v>
      </c>
      <c r="I4245" t="s">
        <v>10383</v>
      </c>
      <c r="J4245" t="s">
        <v>13361</v>
      </c>
      <c r="K4245" t="s">
        <v>17761</v>
      </c>
      <c r="L4245">
        <f>HYPERLINK("https://www2.assemblee-nationale.fr/sycomore/fiche/(num_dept)/7899", "7899")</f>
        <v>0</v>
      </c>
      <c r="N4245">
        <f>HYPERLINK("https://www.wikidata.org/wiki/Q11984749", "Q11984749")</f>
        <v>0</v>
      </c>
      <c r="O4245" t="s">
        <v>19958</v>
      </c>
      <c r="Q4245" t="s">
        <v>13445</v>
      </c>
      <c r="R4245" t="s">
        <v>21463</v>
      </c>
      <c r="S4245">
        <v>1515</v>
      </c>
    </row>
    <row r="4246" spans="1:19">
      <c r="A4246" t="s">
        <v>25</v>
      </c>
      <c r="B4246" t="s">
        <v>148</v>
      </c>
      <c r="C4246" t="s">
        <v>157</v>
      </c>
      <c r="D4246" t="s">
        <v>286</v>
      </c>
      <c r="E4246" t="s">
        <v>415</v>
      </c>
      <c r="F4246">
        <f>HYPERLINK("https://www.wikidata.org/wiki/Q33756706", "Q33756706")</f>
        <v>0</v>
      </c>
      <c r="G4246" t="s">
        <v>2721</v>
      </c>
      <c r="H4246" t="s">
        <v>7246</v>
      </c>
      <c r="I4246" t="s">
        <v>9465</v>
      </c>
      <c r="J4246" t="s">
        <v>13362</v>
      </c>
      <c r="K4246" t="s">
        <v>17762</v>
      </c>
      <c r="L4246">
        <f>HYPERLINK("https://www2.assemblee-nationale.fr/sycomore/fiche/(num_dept)/7902", "7902")</f>
        <v>0</v>
      </c>
      <c r="N4246">
        <f>HYPERLINK("https://www.wikidata.org/wiki/Q3059734", "Q3059734")</f>
        <v>0</v>
      </c>
      <c r="O4246" t="s">
        <v>20025</v>
      </c>
      <c r="P4246" t="s">
        <v>20459</v>
      </c>
      <c r="Q4246" t="s">
        <v>13445</v>
      </c>
      <c r="R4246" t="s">
        <v>21463</v>
      </c>
      <c r="S4246">
        <v>1515</v>
      </c>
    </row>
    <row r="4247" spans="1:19">
      <c r="A4247" t="s">
        <v>25</v>
      </c>
      <c r="B4247" t="s">
        <v>148</v>
      </c>
      <c r="C4247" t="s">
        <v>157</v>
      </c>
      <c r="D4247" t="s">
        <v>286</v>
      </c>
      <c r="E4247" t="s">
        <v>415</v>
      </c>
      <c r="F4247">
        <f>HYPERLINK("https://www.wikidata.org/wiki/Q33756706", "Q33756706")</f>
        <v>0</v>
      </c>
      <c r="G4247" t="s">
        <v>2722</v>
      </c>
      <c r="H4247" t="s">
        <v>7247</v>
      </c>
      <c r="I4247" t="s">
        <v>10384</v>
      </c>
      <c r="J4247" t="s">
        <v>13363</v>
      </c>
      <c r="K4247" t="s">
        <v>17763</v>
      </c>
      <c r="L4247">
        <f>HYPERLINK("https://www2.assemblee-nationale.fr/sycomore/fiche/(num_dept)/7907", "7907")</f>
        <v>0</v>
      </c>
      <c r="N4247">
        <f>HYPERLINK("https://www.wikidata.org/wiki/Q15973946", "Q15973946")</f>
        <v>0</v>
      </c>
      <c r="O4247" t="s">
        <v>20017</v>
      </c>
      <c r="Q4247" t="s">
        <v>13445</v>
      </c>
      <c r="R4247" t="s">
        <v>21463</v>
      </c>
      <c r="S4247">
        <v>1515</v>
      </c>
    </row>
    <row r="4248" spans="1:19">
      <c r="A4248" t="s">
        <v>25</v>
      </c>
      <c r="B4248" t="s">
        <v>148</v>
      </c>
      <c r="C4248" t="s">
        <v>157</v>
      </c>
      <c r="D4248" t="s">
        <v>286</v>
      </c>
      <c r="E4248" t="s">
        <v>415</v>
      </c>
      <c r="F4248">
        <f>HYPERLINK("https://www.wikidata.org/wiki/Q33756706", "Q33756706")</f>
        <v>0</v>
      </c>
      <c r="G4248" t="s">
        <v>2723</v>
      </c>
      <c r="H4248" t="s">
        <v>7248</v>
      </c>
      <c r="I4248" t="s">
        <v>10385</v>
      </c>
      <c r="J4248" t="s">
        <v>13364</v>
      </c>
      <c r="K4248" t="s">
        <v>17764</v>
      </c>
      <c r="L4248">
        <f>HYPERLINK("https://www2.assemblee-nationale.fr/sycomore/fiche/(num_dept)/7910", "7910")</f>
        <v>0</v>
      </c>
      <c r="N4248">
        <f>HYPERLINK("https://www.wikidata.org/wiki/Q16025838", "Q16025838")</f>
        <v>0</v>
      </c>
      <c r="O4248" t="s">
        <v>20013</v>
      </c>
      <c r="P4248" t="s">
        <v>20460</v>
      </c>
      <c r="Q4248" t="s">
        <v>13445</v>
      </c>
      <c r="R4248" t="s">
        <v>21463</v>
      </c>
      <c r="S4248">
        <v>1515</v>
      </c>
    </row>
    <row r="4249" spans="1:19">
      <c r="A4249" t="s">
        <v>25</v>
      </c>
      <c r="B4249" t="s">
        <v>148</v>
      </c>
      <c r="C4249" t="s">
        <v>157</v>
      </c>
      <c r="D4249" t="s">
        <v>286</v>
      </c>
      <c r="E4249" t="s">
        <v>415</v>
      </c>
      <c r="F4249">
        <f>HYPERLINK("https://www.wikidata.org/wiki/Q33756706", "Q33756706")</f>
        <v>0</v>
      </c>
      <c r="G4249" t="s">
        <v>2724</v>
      </c>
      <c r="H4249" t="s">
        <v>7249</v>
      </c>
      <c r="I4249" t="s">
        <v>10386</v>
      </c>
      <c r="J4249" t="s">
        <v>13365</v>
      </c>
      <c r="K4249" t="s">
        <v>17765</v>
      </c>
      <c r="L4249">
        <f>HYPERLINK("https://www2.assemblee-nationale.fr/sycomore/fiche/(num_dept)/7912", "7912")</f>
        <v>0</v>
      </c>
      <c r="N4249">
        <f>HYPERLINK("https://www.wikidata.org/wiki/Q13080872", "Q13080872")</f>
        <v>0</v>
      </c>
      <c r="O4249" t="s">
        <v>19969</v>
      </c>
      <c r="P4249" t="s">
        <v>20456</v>
      </c>
      <c r="Q4249" t="s">
        <v>13445</v>
      </c>
      <c r="R4249" t="s">
        <v>21463</v>
      </c>
      <c r="S4249">
        <v>1515</v>
      </c>
    </row>
    <row r="4250" spans="1:19">
      <c r="A4250" t="s">
        <v>25</v>
      </c>
      <c r="B4250" t="s">
        <v>148</v>
      </c>
      <c r="C4250" t="s">
        <v>157</v>
      </c>
      <c r="D4250" t="s">
        <v>286</v>
      </c>
      <c r="E4250" t="s">
        <v>415</v>
      </c>
      <c r="F4250">
        <f>HYPERLINK("https://www.wikidata.org/wiki/Q33756706", "Q33756706")</f>
        <v>0</v>
      </c>
      <c r="G4250" t="s">
        <v>2725</v>
      </c>
      <c r="H4250" t="s">
        <v>7090</v>
      </c>
      <c r="I4250" t="s">
        <v>10387</v>
      </c>
      <c r="J4250" t="s">
        <v>13366</v>
      </c>
      <c r="K4250" t="s">
        <v>17766</v>
      </c>
      <c r="L4250">
        <f>HYPERLINK("https://www2.assemblee-nationale.fr/sycomore/fiche/(num_dept)/7916", "7916")</f>
        <v>0</v>
      </c>
      <c r="M4250">
        <f>HYPERLINK("https://www.senat.fr/senateur-3eme-republique/casimir_perier_paul1582r3.html", "casimir_perier_paul1582r3")</f>
        <v>0</v>
      </c>
      <c r="N4250">
        <f>HYPERLINK("https://www.wikidata.org/wiki/Q3370821", "Q3370821")</f>
        <v>0</v>
      </c>
      <c r="O4250" t="s">
        <v>19978</v>
      </c>
      <c r="P4250" t="s">
        <v>20459</v>
      </c>
      <c r="Q4250" t="s">
        <v>13445</v>
      </c>
      <c r="R4250" t="s">
        <v>21463</v>
      </c>
      <c r="S4250">
        <v>1515</v>
      </c>
    </row>
    <row r="4251" spans="1:19">
      <c r="A4251" t="s">
        <v>25</v>
      </c>
      <c r="B4251" t="s">
        <v>148</v>
      </c>
      <c r="C4251" t="s">
        <v>157</v>
      </c>
      <c r="D4251" t="s">
        <v>286</v>
      </c>
      <c r="E4251" t="s">
        <v>415</v>
      </c>
      <c r="F4251">
        <f>HYPERLINK("https://www.wikidata.org/wiki/Q33756706", "Q33756706")</f>
        <v>0</v>
      </c>
      <c r="G4251" t="s">
        <v>2726</v>
      </c>
      <c r="H4251" t="s">
        <v>7250</v>
      </c>
      <c r="I4251" t="s">
        <v>10388</v>
      </c>
      <c r="J4251" t="s">
        <v>13367</v>
      </c>
      <c r="K4251" t="s">
        <v>17767</v>
      </c>
      <c r="L4251">
        <f>HYPERLINK("https://www2.assemblee-nationale.fr/sycomore/fiche/(num_dept)/7917", "7917")</f>
        <v>0</v>
      </c>
      <c r="N4251">
        <f>HYPERLINK("https://www.wikidata.org/wiki/Q15974194", "Q15974194")</f>
        <v>0</v>
      </c>
      <c r="O4251" t="s">
        <v>19969</v>
      </c>
      <c r="P4251" t="s">
        <v>20401</v>
      </c>
      <c r="Q4251" t="s">
        <v>13445</v>
      </c>
      <c r="R4251" t="s">
        <v>21463</v>
      </c>
      <c r="S4251">
        <v>1515</v>
      </c>
    </row>
    <row r="4252" spans="1:19">
      <c r="A4252" t="s">
        <v>25</v>
      </c>
      <c r="B4252" t="s">
        <v>148</v>
      </c>
      <c r="C4252" t="s">
        <v>157</v>
      </c>
      <c r="D4252" t="s">
        <v>286</v>
      </c>
      <c r="E4252" t="s">
        <v>415</v>
      </c>
      <c r="F4252">
        <f>HYPERLINK("https://www.wikidata.org/wiki/Q33756706", "Q33756706")</f>
        <v>0</v>
      </c>
      <c r="G4252" t="s">
        <v>2727</v>
      </c>
      <c r="H4252" t="s">
        <v>7251</v>
      </c>
      <c r="I4252" t="s">
        <v>10389</v>
      </c>
      <c r="J4252" t="s">
        <v>13368</v>
      </c>
      <c r="K4252" t="s">
        <v>17768</v>
      </c>
      <c r="L4252">
        <f>HYPERLINK("https://www2.assemblee-nationale.fr/sycomore/fiche/(num_dept)/7920", "7920")</f>
        <v>0</v>
      </c>
      <c r="N4252">
        <f>HYPERLINK("https://www.wikidata.org/wiki/Q16025438", "Q16025438")</f>
        <v>0</v>
      </c>
      <c r="O4252" t="s">
        <v>19965</v>
      </c>
      <c r="P4252" t="s">
        <v>20456</v>
      </c>
      <c r="Q4252" t="s">
        <v>13445</v>
      </c>
      <c r="R4252" t="s">
        <v>21463</v>
      </c>
      <c r="S4252">
        <v>1515</v>
      </c>
    </row>
    <row r="4253" spans="1:19">
      <c r="A4253" t="s">
        <v>25</v>
      </c>
      <c r="B4253" t="s">
        <v>148</v>
      </c>
      <c r="C4253" t="s">
        <v>157</v>
      </c>
      <c r="D4253" t="s">
        <v>286</v>
      </c>
      <c r="E4253" t="s">
        <v>415</v>
      </c>
      <c r="F4253">
        <f>HYPERLINK("https://www.wikidata.org/wiki/Q33756706", "Q33756706")</f>
        <v>0</v>
      </c>
      <c r="G4253" t="s">
        <v>2728</v>
      </c>
      <c r="H4253" t="s">
        <v>5344</v>
      </c>
      <c r="I4253" t="s">
        <v>9534</v>
      </c>
      <c r="J4253" t="s">
        <v>13369</v>
      </c>
      <c r="K4253" t="s">
        <v>17649</v>
      </c>
      <c r="L4253">
        <f>HYPERLINK("https://www2.assemblee-nationale.fr/sycomore/fiche/(num_dept)/7924", "7924")</f>
        <v>0</v>
      </c>
      <c r="M4253">
        <f>HYPERLINK("https://www.senat.fr/senateur-3eme-republique/cochery_adolphe0505r3.html", "cochery_adolphe0505r3")</f>
        <v>0</v>
      </c>
      <c r="N4253">
        <f>HYPERLINK("https://www.wikidata.org/wiki/Q960751", "Q960751")</f>
        <v>0</v>
      </c>
      <c r="O4253" t="s">
        <v>19958</v>
      </c>
      <c r="P4253" t="s">
        <v>20461</v>
      </c>
      <c r="Q4253" t="s">
        <v>13445</v>
      </c>
      <c r="R4253" t="s">
        <v>21463</v>
      </c>
      <c r="S4253">
        <v>1515</v>
      </c>
    </row>
    <row r="4254" spans="1:19">
      <c r="A4254" t="s">
        <v>25</v>
      </c>
      <c r="B4254" t="s">
        <v>148</v>
      </c>
      <c r="C4254" t="s">
        <v>157</v>
      </c>
      <c r="D4254" t="s">
        <v>286</v>
      </c>
      <c r="E4254" t="s">
        <v>415</v>
      </c>
      <c r="F4254">
        <f>HYPERLINK("https://www.wikidata.org/wiki/Q33756706", "Q33756706")</f>
        <v>0</v>
      </c>
      <c r="G4254" t="s">
        <v>2729</v>
      </c>
      <c r="H4254" t="s">
        <v>6849</v>
      </c>
      <c r="I4254" t="s">
        <v>7911</v>
      </c>
      <c r="J4254" t="s">
        <v>13370</v>
      </c>
      <c r="K4254" t="s">
        <v>17769</v>
      </c>
      <c r="L4254">
        <f>HYPERLINK("https://www2.assemblee-nationale.fr/sycomore/fiche/(num_dept)/7926", "7926")</f>
        <v>0</v>
      </c>
      <c r="N4254">
        <f>HYPERLINK("https://www.wikidata.org/wiki/Q671676", "Q671676")</f>
        <v>0</v>
      </c>
      <c r="O4254" t="s">
        <v>19962</v>
      </c>
      <c r="P4254" t="s">
        <v>20459</v>
      </c>
      <c r="Q4254" t="s">
        <v>13445</v>
      </c>
      <c r="R4254" t="s">
        <v>21463</v>
      </c>
      <c r="S4254">
        <v>1515</v>
      </c>
    </row>
    <row r="4255" spans="1:19">
      <c r="A4255" t="s">
        <v>25</v>
      </c>
      <c r="B4255" t="s">
        <v>148</v>
      </c>
      <c r="C4255" t="s">
        <v>157</v>
      </c>
      <c r="D4255" t="s">
        <v>286</v>
      </c>
      <c r="E4255" t="s">
        <v>415</v>
      </c>
      <c r="F4255">
        <f>HYPERLINK("https://www.wikidata.org/wiki/Q33756706", "Q33756706")</f>
        <v>0</v>
      </c>
      <c r="G4255" t="s">
        <v>2730</v>
      </c>
      <c r="H4255" t="s">
        <v>7252</v>
      </c>
      <c r="I4255" t="s">
        <v>10390</v>
      </c>
      <c r="J4255" t="s">
        <v>13371</v>
      </c>
      <c r="K4255" t="s">
        <v>17770</v>
      </c>
      <c r="L4255">
        <f>HYPERLINK("https://www2.assemblee-nationale.fr/sycomore/fiche/(num_dept)/7936", "7936")</f>
        <v>0</v>
      </c>
      <c r="N4255">
        <f>HYPERLINK("https://www.wikidata.org/wiki/Q11984859", "Q11984859")</f>
        <v>0</v>
      </c>
      <c r="O4255" t="s">
        <v>19958</v>
      </c>
      <c r="P4255" t="s">
        <v>20457</v>
      </c>
      <c r="Q4255" t="s">
        <v>13445</v>
      </c>
      <c r="R4255" t="s">
        <v>21463</v>
      </c>
      <c r="S4255">
        <v>1515</v>
      </c>
    </row>
    <row r="4256" spans="1:19">
      <c r="A4256" t="s">
        <v>25</v>
      </c>
      <c r="B4256" t="s">
        <v>148</v>
      </c>
      <c r="C4256" t="s">
        <v>157</v>
      </c>
      <c r="D4256" t="s">
        <v>286</v>
      </c>
      <c r="E4256" t="s">
        <v>415</v>
      </c>
      <c r="F4256">
        <f>HYPERLINK("https://www.wikidata.org/wiki/Q33756706", "Q33756706")</f>
        <v>0</v>
      </c>
      <c r="G4256" t="s">
        <v>2731</v>
      </c>
      <c r="H4256" t="s">
        <v>7253</v>
      </c>
      <c r="I4256" t="s">
        <v>9449</v>
      </c>
      <c r="J4256" t="s">
        <v>13372</v>
      </c>
      <c r="K4256" t="s">
        <v>17771</v>
      </c>
      <c r="L4256">
        <f>HYPERLINK("https://www2.assemblee-nationale.fr/sycomore/fiche/(num_dept)/7943", "7943")</f>
        <v>0</v>
      </c>
      <c r="N4256">
        <f>HYPERLINK("https://www.wikidata.org/wiki/Q3188566", "Q3188566")</f>
        <v>0</v>
      </c>
      <c r="O4256" t="s">
        <v>20007</v>
      </c>
      <c r="P4256" t="s">
        <v>20457</v>
      </c>
      <c r="Q4256" t="s">
        <v>13445</v>
      </c>
      <c r="R4256" t="s">
        <v>21463</v>
      </c>
      <c r="S4256">
        <v>1515</v>
      </c>
    </row>
    <row r="4257" spans="1:19">
      <c r="A4257" t="s">
        <v>25</v>
      </c>
      <c r="B4257" t="s">
        <v>148</v>
      </c>
      <c r="C4257" t="s">
        <v>157</v>
      </c>
      <c r="D4257" t="s">
        <v>286</v>
      </c>
      <c r="E4257" t="s">
        <v>415</v>
      </c>
      <c r="F4257">
        <f>HYPERLINK("https://www.wikidata.org/wiki/Q33756706", "Q33756706")</f>
        <v>0</v>
      </c>
      <c r="G4257" t="s">
        <v>2732</v>
      </c>
      <c r="H4257" t="s">
        <v>5397</v>
      </c>
      <c r="I4257" t="s">
        <v>10391</v>
      </c>
      <c r="J4257" t="s">
        <v>13373</v>
      </c>
      <c r="K4257" t="s">
        <v>17772</v>
      </c>
      <c r="L4257">
        <f>HYPERLINK("https://www2.assemblee-nationale.fr/sycomore/fiche/(num_dept)/7944", "7944")</f>
        <v>0</v>
      </c>
      <c r="N4257">
        <f>HYPERLINK("https://www.wikidata.org/wiki/Q16025685", "Q16025685")</f>
        <v>0</v>
      </c>
      <c r="O4257" t="s">
        <v>20025</v>
      </c>
      <c r="Q4257" t="s">
        <v>13445</v>
      </c>
      <c r="R4257" t="s">
        <v>21463</v>
      </c>
      <c r="S4257">
        <v>1515</v>
      </c>
    </row>
    <row r="4258" spans="1:19">
      <c r="A4258" t="s">
        <v>25</v>
      </c>
      <c r="B4258" t="s">
        <v>148</v>
      </c>
      <c r="C4258" t="s">
        <v>157</v>
      </c>
      <c r="D4258" t="s">
        <v>286</v>
      </c>
      <c r="E4258" t="s">
        <v>415</v>
      </c>
      <c r="F4258">
        <f>HYPERLINK("https://www.wikidata.org/wiki/Q33756706", "Q33756706")</f>
        <v>0</v>
      </c>
      <c r="G4258" t="s">
        <v>2733</v>
      </c>
      <c r="H4258" t="s">
        <v>5400</v>
      </c>
      <c r="I4258" t="s">
        <v>9449</v>
      </c>
      <c r="J4258" t="s">
        <v>13374</v>
      </c>
      <c r="K4258" t="s">
        <v>17773</v>
      </c>
      <c r="L4258">
        <f>HYPERLINK("https://www2.assemblee-nationale.fr/sycomore/fiche/(num_dept)/7945", "7945")</f>
        <v>0</v>
      </c>
      <c r="M4258">
        <f>HYPERLINK("https://www.senat.fr/senateur-3eme-republique/ferry_jules1809r3.html", "ferry_jules1809r3")</f>
        <v>0</v>
      </c>
      <c r="N4258">
        <f>HYPERLINK("https://www.wikidata.org/wiki/Q959708", "Q959708")</f>
        <v>0</v>
      </c>
      <c r="O4258" t="s">
        <v>20017</v>
      </c>
      <c r="P4258" t="s">
        <v>20461</v>
      </c>
      <c r="Q4258" t="s">
        <v>13445</v>
      </c>
      <c r="R4258" t="s">
        <v>21463</v>
      </c>
      <c r="S4258">
        <v>1515</v>
      </c>
    </row>
    <row r="4259" spans="1:19">
      <c r="A4259" t="s">
        <v>25</v>
      </c>
      <c r="B4259" t="s">
        <v>148</v>
      </c>
      <c r="C4259" t="s">
        <v>157</v>
      </c>
      <c r="D4259" t="s">
        <v>286</v>
      </c>
      <c r="E4259" t="s">
        <v>415</v>
      </c>
      <c r="F4259">
        <f>HYPERLINK("https://www.wikidata.org/wiki/Q33756706", "Q33756706")</f>
        <v>0</v>
      </c>
      <c r="G4259" t="s">
        <v>2734</v>
      </c>
      <c r="H4259" t="s">
        <v>7254</v>
      </c>
      <c r="I4259" t="s">
        <v>10392</v>
      </c>
      <c r="J4259" t="s">
        <v>13375</v>
      </c>
      <c r="K4259" t="s">
        <v>17774</v>
      </c>
      <c r="L4259">
        <f>HYPERLINK("https://www2.assemblee-nationale.fr/sycomore/fiche/(num_dept)/7946", "7946")</f>
        <v>0</v>
      </c>
      <c r="N4259">
        <f>HYPERLINK("https://www.wikidata.org/wiki/Q2845612", "Q2845612")</f>
        <v>0</v>
      </c>
      <c r="O4259" t="s">
        <v>19969</v>
      </c>
      <c r="P4259" t="s">
        <v>20456</v>
      </c>
      <c r="Q4259" t="s">
        <v>13445</v>
      </c>
      <c r="R4259" t="s">
        <v>21463</v>
      </c>
      <c r="S4259">
        <v>1515</v>
      </c>
    </row>
    <row r="4260" spans="1:19">
      <c r="A4260" t="s">
        <v>25</v>
      </c>
      <c r="B4260" t="s">
        <v>148</v>
      </c>
      <c r="C4260" t="s">
        <v>157</v>
      </c>
      <c r="D4260" t="s">
        <v>286</v>
      </c>
      <c r="E4260" t="s">
        <v>415</v>
      </c>
      <c r="F4260">
        <f>HYPERLINK("https://www.wikidata.org/wiki/Q33756706", "Q33756706")</f>
        <v>0</v>
      </c>
      <c r="G4260" t="s">
        <v>2735</v>
      </c>
      <c r="H4260" t="s">
        <v>7255</v>
      </c>
      <c r="I4260" t="s">
        <v>10393</v>
      </c>
      <c r="J4260" t="s">
        <v>13376</v>
      </c>
      <c r="K4260" t="s">
        <v>12649</v>
      </c>
      <c r="L4260">
        <f>HYPERLINK("https://www2.assemblee-nationale.fr/sycomore/fiche/(num_dept)/7948", "7948")</f>
        <v>0</v>
      </c>
      <c r="M4260">
        <f>HYPERLINK("https://www.senat.fr/senateur-3eme-republique/fousset_ernest0498r3.html", "fousset_ernest0498r3")</f>
        <v>0</v>
      </c>
      <c r="N4260">
        <f>HYPERLINK("https://www.wikidata.org/wiki/Q3056963", "Q3056963")</f>
        <v>0</v>
      </c>
      <c r="O4260" t="s">
        <v>19958</v>
      </c>
      <c r="P4260" t="s">
        <v>20459</v>
      </c>
      <c r="Q4260" t="s">
        <v>13445</v>
      </c>
      <c r="R4260" t="s">
        <v>21463</v>
      </c>
      <c r="S4260">
        <v>1515</v>
      </c>
    </row>
    <row r="4261" spans="1:19">
      <c r="A4261" t="s">
        <v>25</v>
      </c>
      <c r="B4261" t="s">
        <v>148</v>
      </c>
      <c r="C4261" t="s">
        <v>157</v>
      </c>
      <c r="D4261" t="s">
        <v>286</v>
      </c>
      <c r="E4261" t="s">
        <v>415</v>
      </c>
      <c r="F4261">
        <f>HYPERLINK("https://www.wikidata.org/wiki/Q33756706", "Q33756706")</f>
        <v>0</v>
      </c>
      <c r="G4261" t="s">
        <v>2736</v>
      </c>
      <c r="H4261" t="s">
        <v>5420</v>
      </c>
      <c r="I4261" t="s">
        <v>10394</v>
      </c>
      <c r="J4261" t="s">
        <v>13377</v>
      </c>
      <c r="K4261" t="s">
        <v>17775</v>
      </c>
      <c r="L4261">
        <f>HYPERLINK("https://www2.assemblee-nationale.fr/sycomore/fiche/(num_dept)/7954", "7954")</f>
        <v>0</v>
      </c>
      <c r="N4261">
        <f>HYPERLINK("https://www.wikidata.org/wiki/Q8325403", "Q8325403")</f>
        <v>0</v>
      </c>
      <c r="O4261" t="s">
        <v>20023</v>
      </c>
      <c r="P4261" t="s">
        <v>20460</v>
      </c>
      <c r="Q4261" t="s">
        <v>13445</v>
      </c>
      <c r="R4261" t="s">
        <v>21463</v>
      </c>
      <c r="S4261">
        <v>1515</v>
      </c>
    </row>
    <row r="4262" spans="1:19">
      <c r="A4262" t="s">
        <v>25</v>
      </c>
      <c r="B4262" t="s">
        <v>148</v>
      </c>
      <c r="C4262" t="s">
        <v>157</v>
      </c>
      <c r="D4262" t="s">
        <v>286</v>
      </c>
      <c r="E4262" t="s">
        <v>415</v>
      </c>
      <c r="F4262">
        <f>HYPERLINK("https://www.wikidata.org/wiki/Q33756706", "Q33756706")</f>
        <v>0</v>
      </c>
      <c r="G4262" t="s">
        <v>2737</v>
      </c>
      <c r="H4262" t="s">
        <v>7256</v>
      </c>
      <c r="I4262" t="s">
        <v>9472</v>
      </c>
      <c r="J4262" t="s">
        <v>13378</v>
      </c>
      <c r="K4262" t="s">
        <v>17776</v>
      </c>
      <c r="L4262">
        <f>HYPERLINK("https://www2.assemblee-nationale.fr/sycomore/fiche/(num_dept)/7956", "7956")</f>
        <v>0</v>
      </c>
      <c r="M4262">
        <f>HYPERLINK("https://www.senat.fr/senateur-3eme-republique/gomot_hippolyte0986r3.html", "gomot_hippolyte0986r3")</f>
        <v>0</v>
      </c>
      <c r="N4262">
        <f>HYPERLINK("https://www.wikidata.org/wiki/Q3136064", "Q3136064")</f>
        <v>0</v>
      </c>
      <c r="O4262" t="s">
        <v>20005</v>
      </c>
      <c r="P4262" t="s">
        <v>20459</v>
      </c>
      <c r="Q4262" t="s">
        <v>13445</v>
      </c>
      <c r="R4262" t="s">
        <v>21463</v>
      </c>
      <c r="S4262">
        <v>1515</v>
      </c>
    </row>
    <row r="4263" spans="1:19">
      <c r="A4263" t="s">
        <v>25</v>
      </c>
      <c r="B4263" t="s">
        <v>148</v>
      </c>
      <c r="C4263" t="s">
        <v>157</v>
      </c>
      <c r="D4263" t="s">
        <v>286</v>
      </c>
      <c r="E4263" t="s">
        <v>415</v>
      </c>
      <c r="F4263">
        <f>HYPERLINK("https://www.wikidata.org/wiki/Q33756706", "Q33756706")</f>
        <v>0</v>
      </c>
      <c r="G4263" t="s">
        <v>2738</v>
      </c>
      <c r="H4263" t="s">
        <v>7257</v>
      </c>
      <c r="I4263" t="s">
        <v>10395</v>
      </c>
      <c r="J4263" t="s">
        <v>13379</v>
      </c>
      <c r="K4263" t="s">
        <v>17777</v>
      </c>
      <c r="L4263">
        <f>HYPERLINK("https://www2.assemblee-nationale.fr/sycomore/fiche/(num_dept)/7962", "7962")</f>
        <v>0</v>
      </c>
      <c r="N4263">
        <f>HYPERLINK("https://www.wikidata.org/wiki/Q3480822", "Q3480822")</f>
        <v>0</v>
      </c>
      <c r="O4263" t="s">
        <v>19969</v>
      </c>
      <c r="P4263" t="s">
        <v>20459</v>
      </c>
      <c r="Q4263" t="s">
        <v>13445</v>
      </c>
      <c r="R4263" t="s">
        <v>21463</v>
      </c>
      <c r="S4263">
        <v>1515</v>
      </c>
    </row>
    <row r="4264" spans="1:19">
      <c r="A4264" t="s">
        <v>25</v>
      </c>
      <c r="B4264" t="s">
        <v>148</v>
      </c>
      <c r="C4264" t="s">
        <v>157</v>
      </c>
      <c r="D4264" t="s">
        <v>286</v>
      </c>
      <c r="E4264" t="s">
        <v>415</v>
      </c>
      <c r="F4264">
        <f>HYPERLINK("https://www.wikidata.org/wiki/Q33756706", "Q33756706")</f>
        <v>0</v>
      </c>
      <c r="G4264" t="s">
        <v>2739</v>
      </c>
      <c r="H4264" t="s">
        <v>7258</v>
      </c>
      <c r="I4264" t="s">
        <v>10396</v>
      </c>
      <c r="J4264" t="s">
        <v>13380</v>
      </c>
      <c r="K4264" t="s">
        <v>17778</v>
      </c>
      <c r="L4264">
        <f>HYPERLINK("https://www2.assemblee-nationale.fr/sycomore/fiche/(num_dept)/7963", "7963")</f>
        <v>0</v>
      </c>
      <c r="M4264">
        <f>HYPERLINK("https://www.senat.fr/senateur-3eme-republique/herisson_sylvestre1236r3.html", "herisson_sylvestre1236r3")</f>
        <v>0</v>
      </c>
      <c r="N4264">
        <f>HYPERLINK("https://www.wikidata.org/wiki/Q3507186", "Q3507186")</f>
        <v>0</v>
      </c>
      <c r="O4264" t="s">
        <v>20032</v>
      </c>
      <c r="P4264" t="s">
        <v>20401</v>
      </c>
      <c r="Q4264" t="s">
        <v>13445</v>
      </c>
      <c r="R4264" t="s">
        <v>21463</v>
      </c>
      <c r="S4264">
        <v>1515</v>
      </c>
    </row>
    <row r="4265" spans="1:19">
      <c r="A4265" t="s">
        <v>25</v>
      </c>
      <c r="B4265" t="s">
        <v>148</v>
      </c>
      <c r="C4265" t="s">
        <v>157</v>
      </c>
      <c r="D4265" t="s">
        <v>286</v>
      </c>
      <c r="E4265" t="s">
        <v>415</v>
      </c>
      <c r="F4265">
        <f>HYPERLINK("https://www.wikidata.org/wiki/Q33756706", "Q33756706")</f>
        <v>0</v>
      </c>
      <c r="G4265" t="s">
        <v>2740</v>
      </c>
      <c r="H4265" t="s">
        <v>7259</v>
      </c>
      <c r="I4265" t="s">
        <v>10397</v>
      </c>
      <c r="J4265" t="s">
        <v>13381</v>
      </c>
      <c r="K4265" t="s">
        <v>17779</v>
      </c>
      <c r="L4265">
        <f>HYPERLINK("https://www2.assemblee-nationale.fr/sycomore/fiche/(num_dept)/7968", "7968")</f>
        <v>0</v>
      </c>
      <c r="M4265">
        <f>HYPERLINK("https://www.senat.fr/senateur-3eme-republique/jametel_gustave1667r3.html", "jametel_gustave1667r3")</f>
        <v>0</v>
      </c>
      <c r="N4265">
        <f>HYPERLINK("https://www.wikidata.org/wiki/Q3121093", "Q3121093")</f>
        <v>0</v>
      </c>
      <c r="O4265" t="s">
        <v>20012</v>
      </c>
      <c r="P4265" t="s">
        <v>20459</v>
      </c>
      <c r="Q4265" t="s">
        <v>13445</v>
      </c>
      <c r="R4265" t="s">
        <v>21463</v>
      </c>
      <c r="S4265">
        <v>1515</v>
      </c>
    </row>
    <row r="4266" spans="1:19">
      <c r="A4266" t="s">
        <v>25</v>
      </c>
      <c r="B4266" t="s">
        <v>148</v>
      </c>
      <c r="C4266" t="s">
        <v>157</v>
      </c>
      <c r="D4266" t="s">
        <v>286</v>
      </c>
      <c r="E4266" t="s">
        <v>415</v>
      </c>
      <c r="F4266">
        <f>HYPERLINK("https://www.wikidata.org/wiki/Q33756706", "Q33756706")</f>
        <v>0</v>
      </c>
      <c r="G4266" t="s">
        <v>2741</v>
      </c>
      <c r="H4266" t="s">
        <v>7260</v>
      </c>
      <c r="I4266" t="s">
        <v>10398</v>
      </c>
      <c r="J4266" t="s">
        <v>13382</v>
      </c>
      <c r="K4266" t="s">
        <v>17780</v>
      </c>
      <c r="L4266">
        <f>HYPERLINK("https://www2.assemblee-nationale.fr/sycomore/fiche/(num_dept)/7990", "7990")</f>
        <v>0</v>
      </c>
      <c r="N4266">
        <f>HYPERLINK("https://www.wikidata.org/wiki/Q16026527", "Q16026527")</f>
        <v>0</v>
      </c>
      <c r="O4266" t="s">
        <v>19968</v>
      </c>
      <c r="P4266" t="s">
        <v>20464</v>
      </c>
      <c r="Q4266" t="s">
        <v>13445</v>
      </c>
      <c r="R4266" t="s">
        <v>21463</v>
      </c>
      <c r="S4266">
        <v>1515</v>
      </c>
    </row>
    <row r="4267" spans="1:19">
      <c r="A4267" t="s">
        <v>25</v>
      </c>
      <c r="B4267" t="s">
        <v>148</v>
      </c>
      <c r="C4267" t="s">
        <v>157</v>
      </c>
      <c r="D4267" t="s">
        <v>286</v>
      </c>
      <c r="E4267" t="s">
        <v>415</v>
      </c>
      <c r="F4267">
        <f>HYPERLINK("https://www.wikidata.org/wiki/Q33756706", "Q33756706")</f>
        <v>0</v>
      </c>
      <c r="G4267" t="s">
        <v>2742</v>
      </c>
      <c r="H4267" t="s">
        <v>6349</v>
      </c>
      <c r="I4267" t="s">
        <v>9457</v>
      </c>
      <c r="J4267" t="s">
        <v>13383</v>
      </c>
      <c r="K4267" t="s">
        <v>17781</v>
      </c>
      <c r="L4267">
        <f>HYPERLINK("https://www2.assemblee-nationale.fr/sycomore/fiche/(num_dept)/7994", "7994")</f>
        <v>0</v>
      </c>
      <c r="N4267">
        <f>HYPERLINK("https://www.wikidata.org/wiki/Q3131496", "Q3131496")</f>
        <v>0</v>
      </c>
      <c r="O4267" t="s">
        <v>20030</v>
      </c>
      <c r="P4267" t="s">
        <v>20459</v>
      </c>
      <c r="Q4267" t="s">
        <v>13445</v>
      </c>
      <c r="R4267" t="s">
        <v>21463</v>
      </c>
      <c r="S4267">
        <v>1515</v>
      </c>
    </row>
    <row r="4268" spans="1:19">
      <c r="A4268" t="s">
        <v>25</v>
      </c>
      <c r="B4268" t="s">
        <v>148</v>
      </c>
      <c r="C4268" t="s">
        <v>157</v>
      </c>
      <c r="D4268" t="s">
        <v>286</v>
      </c>
      <c r="E4268" t="s">
        <v>415</v>
      </c>
      <c r="F4268">
        <f>HYPERLINK("https://www.wikidata.org/wiki/Q33756706", "Q33756706")</f>
        <v>0</v>
      </c>
      <c r="G4268" t="s">
        <v>2743</v>
      </c>
      <c r="H4268" t="s">
        <v>7261</v>
      </c>
      <c r="I4268" t="s">
        <v>9375</v>
      </c>
      <c r="J4268" t="s">
        <v>13384</v>
      </c>
      <c r="K4268" t="s">
        <v>17782</v>
      </c>
      <c r="L4268">
        <f>HYPERLINK("https://www2.assemblee-nationale.fr/sycomore/fiche/(num_dept)/7995", "7995")</f>
        <v>0</v>
      </c>
      <c r="N4268">
        <f>HYPERLINK("https://www.wikidata.org/wiki/Q3579939", "Q3579939")</f>
        <v>0</v>
      </c>
      <c r="O4268" t="s">
        <v>19961</v>
      </c>
      <c r="P4268" t="s">
        <v>20460</v>
      </c>
      <c r="Q4268" t="s">
        <v>13445</v>
      </c>
      <c r="R4268" t="s">
        <v>21463</v>
      </c>
      <c r="S4268">
        <v>1515</v>
      </c>
    </row>
    <row r="4269" spans="1:19">
      <c r="A4269" t="s">
        <v>25</v>
      </c>
      <c r="B4269" t="s">
        <v>148</v>
      </c>
      <c r="C4269" t="s">
        <v>157</v>
      </c>
      <c r="D4269" t="s">
        <v>286</v>
      </c>
      <c r="E4269" t="s">
        <v>415</v>
      </c>
      <c r="F4269">
        <f>HYPERLINK("https://www.wikidata.org/wiki/Q33756706", "Q33756706")</f>
        <v>0</v>
      </c>
      <c r="G4269" t="s">
        <v>2744</v>
      </c>
      <c r="H4269" t="s">
        <v>5481</v>
      </c>
      <c r="I4269" t="s">
        <v>10399</v>
      </c>
      <c r="J4269" t="s">
        <v>13385</v>
      </c>
      <c r="K4269" t="s">
        <v>17783</v>
      </c>
      <c r="L4269">
        <f>HYPERLINK("https://www2.assemblee-nationale.fr/sycomore/fiche/(num_dept)/7999", "7999")</f>
        <v>0</v>
      </c>
      <c r="M4269">
        <f>HYPERLINK("https://www.senat.fr/senateur-3eme-republique/margaine_henri0639r3.html", "margaine_henri0639r3")</f>
        <v>0</v>
      </c>
      <c r="N4269">
        <f>HYPERLINK("https://www.wikidata.org/wiki/Q2935008", "Q2935008")</f>
        <v>0</v>
      </c>
      <c r="O4269" t="s">
        <v>20025</v>
      </c>
      <c r="P4269" t="s">
        <v>20461</v>
      </c>
      <c r="Q4269" t="s">
        <v>13445</v>
      </c>
      <c r="R4269" t="s">
        <v>21463</v>
      </c>
      <c r="S4269">
        <v>1515</v>
      </c>
    </row>
    <row r="4270" spans="1:19">
      <c r="A4270" t="s">
        <v>25</v>
      </c>
      <c r="B4270" t="s">
        <v>148</v>
      </c>
      <c r="C4270" t="s">
        <v>157</v>
      </c>
      <c r="D4270" t="s">
        <v>286</v>
      </c>
      <c r="E4270" t="s">
        <v>415</v>
      </c>
      <c r="F4270">
        <f>HYPERLINK("https://www.wikidata.org/wiki/Q33756706", "Q33756706")</f>
        <v>0</v>
      </c>
      <c r="G4270" t="s">
        <v>2745</v>
      </c>
      <c r="H4270" t="s">
        <v>7262</v>
      </c>
      <c r="I4270" t="s">
        <v>10400</v>
      </c>
      <c r="J4270" t="s">
        <v>13386</v>
      </c>
      <c r="K4270" t="s">
        <v>17784</v>
      </c>
      <c r="L4270">
        <f>HYPERLINK("https://www2.assemblee-nationale.fr/sycomore/fiche/(num_dept)/8001", "8001")</f>
        <v>0</v>
      </c>
      <c r="N4270">
        <f>HYPERLINK("https://www.wikidata.org/wiki/Q16026050", "Q16026050")</f>
        <v>0</v>
      </c>
      <c r="O4270" t="s">
        <v>20036</v>
      </c>
      <c r="P4270" t="s">
        <v>20459</v>
      </c>
      <c r="Q4270" t="s">
        <v>13445</v>
      </c>
      <c r="R4270" t="s">
        <v>21463</v>
      </c>
      <c r="S4270">
        <v>1515</v>
      </c>
    </row>
    <row r="4271" spans="1:19">
      <c r="A4271" t="s">
        <v>25</v>
      </c>
      <c r="B4271" t="s">
        <v>148</v>
      </c>
      <c r="C4271" t="s">
        <v>157</v>
      </c>
      <c r="D4271" t="s">
        <v>286</v>
      </c>
      <c r="E4271" t="s">
        <v>415</v>
      </c>
      <c r="F4271">
        <f>HYPERLINK("https://www.wikidata.org/wiki/Q33756706", "Q33756706")</f>
        <v>0</v>
      </c>
      <c r="G4271" t="s">
        <v>2746</v>
      </c>
      <c r="H4271" t="s">
        <v>6229</v>
      </c>
      <c r="I4271" t="s">
        <v>10401</v>
      </c>
      <c r="J4271" t="s">
        <v>13387</v>
      </c>
      <c r="K4271" t="s">
        <v>17785</v>
      </c>
      <c r="L4271">
        <f>HYPERLINK("https://www2.assemblee-nationale.fr/sycomore/fiche/(num_dept)/8005", "8005")</f>
        <v>0</v>
      </c>
      <c r="N4271">
        <f>HYPERLINK("https://www.wikidata.org/wiki/Q15972153", "Q15972153")</f>
        <v>0</v>
      </c>
      <c r="O4271" t="s">
        <v>20042</v>
      </c>
      <c r="P4271" t="s">
        <v>20456</v>
      </c>
      <c r="Q4271" t="s">
        <v>13445</v>
      </c>
      <c r="R4271" t="s">
        <v>21463</v>
      </c>
      <c r="S4271">
        <v>1515</v>
      </c>
    </row>
    <row r="4272" spans="1:19">
      <c r="A4272" t="s">
        <v>25</v>
      </c>
      <c r="B4272" t="s">
        <v>148</v>
      </c>
      <c r="C4272" t="s">
        <v>157</v>
      </c>
      <c r="D4272" t="s">
        <v>286</v>
      </c>
      <c r="E4272" t="s">
        <v>415</v>
      </c>
      <c r="F4272">
        <f>HYPERLINK("https://www.wikidata.org/wiki/Q33756706", "Q33756706")</f>
        <v>0</v>
      </c>
      <c r="G4272" t="s">
        <v>2747</v>
      </c>
      <c r="H4272" t="s">
        <v>7263</v>
      </c>
      <c r="I4272" t="s">
        <v>10402</v>
      </c>
      <c r="J4272" t="s">
        <v>13388</v>
      </c>
      <c r="K4272" t="s">
        <v>17786</v>
      </c>
      <c r="L4272">
        <f>HYPERLINK("https://www2.assemblee-nationale.fr/sycomore/fiche/(num_dept)/8007", "8007")</f>
        <v>0</v>
      </c>
      <c r="N4272">
        <f>HYPERLINK("https://www.wikidata.org/wiki/Q16026076", "Q16026076")</f>
        <v>0</v>
      </c>
      <c r="O4272" t="s">
        <v>19972</v>
      </c>
      <c r="P4272" t="s">
        <v>20460</v>
      </c>
      <c r="Q4272" t="s">
        <v>13445</v>
      </c>
      <c r="R4272" t="s">
        <v>21463</v>
      </c>
      <c r="S4272">
        <v>1515</v>
      </c>
    </row>
    <row r="4273" spans="1:19">
      <c r="A4273" t="s">
        <v>25</v>
      </c>
      <c r="B4273" t="s">
        <v>148</v>
      </c>
      <c r="C4273" t="s">
        <v>157</v>
      </c>
      <c r="D4273" t="s">
        <v>286</v>
      </c>
      <c r="E4273" t="s">
        <v>415</v>
      </c>
      <c r="F4273">
        <f>HYPERLINK("https://www.wikidata.org/wiki/Q33756706", "Q33756706")</f>
        <v>0</v>
      </c>
      <c r="G4273" t="s">
        <v>2748</v>
      </c>
      <c r="H4273" t="s">
        <v>7264</v>
      </c>
      <c r="I4273" t="s">
        <v>10403</v>
      </c>
      <c r="J4273" t="s">
        <v>13389</v>
      </c>
      <c r="K4273" t="s">
        <v>17787</v>
      </c>
      <c r="L4273">
        <f>HYPERLINK("https://www2.assemblee-nationale.fr/sycomore/fiche/(num_dept)/8018", "8018")</f>
        <v>0</v>
      </c>
      <c r="N4273">
        <f>HYPERLINK("https://www.wikidata.org/wiki/Q2994832", "Q2994832")</f>
        <v>0</v>
      </c>
      <c r="O4273" t="s">
        <v>19956</v>
      </c>
      <c r="P4273" t="s">
        <v>20457</v>
      </c>
      <c r="Q4273" t="s">
        <v>13445</v>
      </c>
      <c r="R4273" t="s">
        <v>19398</v>
      </c>
      <c r="S4273">
        <v>151</v>
      </c>
    </row>
    <row r="4274" spans="1:19">
      <c r="A4274" t="s">
        <v>25</v>
      </c>
      <c r="B4274" t="s">
        <v>148</v>
      </c>
      <c r="C4274" t="s">
        <v>157</v>
      </c>
      <c r="D4274" t="s">
        <v>286</v>
      </c>
      <c r="E4274" t="s">
        <v>415</v>
      </c>
      <c r="F4274">
        <f>HYPERLINK("https://www.wikidata.org/wiki/Q33756706", "Q33756706")</f>
        <v>0</v>
      </c>
      <c r="G4274" t="s">
        <v>2749</v>
      </c>
      <c r="H4274" t="s">
        <v>5507</v>
      </c>
      <c r="I4274" t="s">
        <v>10404</v>
      </c>
      <c r="J4274" t="s">
        <v>13390</v>
      </c>
      <c r="K4274" t="s">
        <v>17788</v>
      </c>
      <c r="L4274">
        <f>HYPERLINK("https://www2.assemblee-nationale.fr/sycomore/fiche/(num_dept)/8019", "8019")</f>
        <v>0</v>
      </c>
      <c r="N4274">
        <f>HYPERLINK("https://www.wikidata.org/wiki/Q16026248", "Q16026248")</f>
        <v>0</v>
      </c>
      <c r="O4274" t="s">
        <v>19982</v>
      </c>
      <c r="P4274" t="s">
        <v>20464</v>
      </c>
      <c r="Q4274" t="s">
        <v>13445</v>
      </c>
      <c r="R4274" t="s">
        <v>21477</v>
      </c>
      <c r="S4274">
        <v>268</v>
      </c>
    </row>
    <row r="4275" spans="1:19">
      <c r="A4275" t="s">
        <v>25</v>
      </c>
      <c r="B4275" t="s">
        <v>148</v>
      </c>
      <c r="C4275" t="s">
        <v>157</v>
      </c>
      <c r="D4275" t="s">
        <v>286</v>
      </c>
      <c r="E4275" t="s">
        <v>415</v>
      </c>
      <c r="F4275">
        <f>HYPERLINK("https://www.wikidata.org/wiki/Q33756706", "Q33756706")</f>
        <v>0</v>
      </c>
      <c r="G4275" t="s">
        <v>2750</v>
      </c>
      <c r="H4275" t="s">
        <v>5509</v>
      </c>
      <c r="I4275" t="s">
        <v>9612</v>
      </c>
      <c r="J4275" t="s">
        <v>13391</v>
      </c>
      <c r="K4275" t="s">
        <v>17789</v>
      </c>
      <c r="L4275">
        <f>HYPERLINK("https://www2.assemblee-nationale.fr/sycomore/fiche/(num_dept)/8021", "8021")</f>
        <v>0</v>
      </c>
      <c r="N4275">
        <f>HYPERLINK("https://www.wikidata.org/wiki/Q180409", "Q180409")</f>
        <v>0</v>
      </c>
      <c r="O4275" t="s">
        <v>19969</v>
      </c>
      <c r="P4275" t="s">
        <v>20457</v>
      </c>
      <c r="Q4275" t="s">
        <v>13445</v>
      </c>
      <c r="R4275" t="s">
        <v>21463</v>
      </c>
      <c r="S4275">
        <v>1515</v>
      </c>
    </row>
    <row r="4276" spans="1:19">
      <c r="A4276" t="s">
        <v>25</v>
      </c>
      <c r="B4276" t="s">
        <v>148</v>
      </c>
      <c r="C4276" t="s">
        <v>157</v>
      </c>
      <c r="D4276" t="s">
        <v>286</v>
      </c>
      <c r="E4276" t="s">
        <v>415</v>
      </c>
      <c r="F4276">
        <f>HYPERLINK("https://www.wikidata.org/wiki/Q33756706", "Q33756706")</f>
        <v>0</v>
      </c>
      <c r="G4276" t="s">
        <v>2751</v>
      </c>
      <c r="H4276" t="s">
        <v>6951</v>
      </c>
      <c r="I4276" t="s">
        <v>10405</v>
      </c>
      <c r="J4276" t="s">
        <v>13392</v>
      </c>
      <c r="K4276" t="s">
        <v>17790</v>
      </c>
      <c r="L4276">
        <f>HYPERLINK("https://www2.assemblee-nationale.fr/sycomore/fiche/(num_dept)/8022", "8022")</f>
        <v>0</v>
      </c>
      <c r="N4276">
        <f>HYPERLINK("https://www.wikidata.org/wiki/Q3103377", "Q3103377")</f>
        <v>0</v>
      </c>
      <c r="O4276" t="s">
        <v>19977</v>
      </c>
      <c r="P4276" t="s">
        <v>20465</v>
      </c>
      <c r="Q4276" t="s">
        <v>13445</v>
      </c>
      <c r="R4276" t="s">
        <v>21463</v>
      </c>
      <c r="S4276">
        <v>1515</v>
      </c>
    </row>
    <row r="4277" spans="1:19">
      <c r="A4277" t="s">
        <v>25</v>
      </c>
      <c r="B4277" t="s">
        <v>148</v>
      </c>
      <c r="C4277" t="s">
        <v>157</v>
      </c>
      <c r="D4277" t="s">
        <v>286</v>
      </c>
      <c r="E4277" t="s">
        <v>415</v>
      </c>
      <c r="F4277">
        <f>HYPERLINK("https://www.wikidata.org/wiki/Q33756706", "Q33756706")</f>
        <v>0</v>
      </c>
      <c r="G4277" t="s">
        <v>2752</v>
      </c>
      <c r="H4277" t="s">
        <v>7265</v>
      </c>
      <c r="I4277" t="s">
        <v>10406</v>
      </c>
      <c r="J4277" t="s">
        <v>13393</v>
      </c>
      <c r="K4277" t="s">
        <v>17791</v>
      </c>
      <c r="L4277">
        <f>HYPERLINK("https://www2.assemblee-nationale.fr/sycomore/fiche/(num_dept)/8023", "8023")</f>
        <v>0</v>
      </c>
      <c r="N4277">
        <f>HYPERLINK("https://www.wikidata.org/wiki/Q3185480", "Q3185480")</f>
        <v>0</v>
      </c>
      <c r="O4277" t="s">
        <v>20018</v>
      </c>
      <c r="P4277" t="s">
        <v>20461</v>
      </c>
      <c r="Q4277" t="s">
        <v>13445</v>
      </c>
      <c r="R4277" t="s">
        <v>21463</v>
      </c>
      <c r="S4277">
        <v>1515</v>
      </c>
    </row>
    <row r="4278" spans="1:19">
      <c r="A4278" t="s">
        <v>25</v>
      </c>
      <c r="B4278" t="s">
        <v>148</v>
      </c>
      <c r="C4278" t="s">
        <v>157</v>
      </c>
      <c r="D4278" t="s">
        <v>286</v>
      </c>
      <c r="E4278" t="s">
        <v>415</v>
      </c>
      <c r="F4278">
        <f>HYPERLINK("https://www.wikidata.org/wiki/Q33756706", "Q33756706")</f>
        <v>0</v>
      </c>
      <c r="G4278" t="s">
        <v>2753</v>
      </c>
      <c r="H4278" t="s">
        <v>5520</v>
      </c>
      <c r="I4278" t="s">
        <v>10407</v>
      </c>
      <c r="J4278" t="s">
        <v>13394</v>
      </c>
      <c r="K4278" t="s">
        <v>17792</v>
      </c>
      <c r="L4278">
        <f>HYPERLINK("https://www2.assemblee-nationale.fr/sycomore/fiche/(num_dept)/8024", "8024")</f>
        <v>0</v>
      </c>
      <c r="N4278">
        <f>HYPERLINK("https://www.wikidata.org/wiki/Q2960028", "Q2960028")</f>
        <v>0</v>
      </c>
      <c r="O4278" t="s">
        <v>20013</v>
      </c>
      <c r="P4278" t="s">
        <v>20460</v>
      </c>
      <c r="Q4278" t="s">
        <v>13445</v>
      </c>
      <c r="R4278" t="s">
        <v>21463</v>
      </c>
      <c r="S4278">
        <v>1515</v>
      </c>
    </row>
    <row r="4279" spans="1:19">
      <c r="A4279" t="s">
        <v>25</v>
      </c>
      <c r="B4279" t="s">
        <v>148</v>
      </c>
      <c r="C4279" t="s">
        <v>157</v>
      </c>
      <c r="D4279" t="s">
        <v>286</v>
      </c>
      <c r="E4279" t="s">
        <v>415</v>
      </c>
      <c r="F4279">
        <f>HYPERLINK("https://www.wikidata.org/wiki/Q33756706", "Q33756706")</f>
        <v>0</v>
      </c>
      <c r="G4279" t="s">
        <v>2754</v>
      </c>
      <c r="H4279" t="s">
        <v>7266</v>
      </c>
      <c r="I4279" t="s">
        <v>10408</v>
      </c>
      <c r="J4279" t="s">
        <v>13395</v>
      </c>
      <c r="K4279" t="s">
        <v>17793</v>
      </c>
      <c r="L4279">
        <f>HYPERLINK("https://www2.assemblee-nationale.fr/sycomore/fiche/(num_dept)/8029", "8029")</f>
        <v>0</v>
      </c>
      <c r="N4279">
        <f>HYPERLINK("https://www.wikidata.org/wiki/Q2896210", "Q2896210")</f>
        <v>0</v>
      </c>
      <c r="O4279" t="s">
        <v>19969</v>
      </c>
      <c r="P4279" t="s">
        <v>20459</v>
      </c>
      <c r="Q4279" t="s">
        <v>13445</v>
      </c>
      <c r="R4279" t="s">
        <v>21463</v>
      </c>
      <c r="S4279">
        <v>1515</v>
      </c>
    </row>
    <row r="4280" spans="1:19">
      <c r="A4280" t="s">
        <v>25</v>
      </c>
      <c r="B4280" t="s">
        <v>148</v>
      </c>
      <c r="C4280" t="s">
        <v>157</v>
      </c>
      <c r="D4280" t="s">
        <v>286</v>
      </c>
      <c r="E4280" t="s">
        <v>415</v>
      </c>
      <c r="F4280">
        <f>HYPERLINK("https://www.wikidata.org/wiki/Q33756706", "Q33756706")</f>
        <v>0</v>
      </c>
      <c r="G4280" t="s">
        <v>2755</v>
      </c>
      <c r="H4280" t="s">
        <v>7267</v>
      </c>
      <c r="I4280" t="s">
        <v>10409</v>
      </c>
      <c r="J4280" t="s">
        <v>13396</v>
      </c>
      <c r="K4280" t="s">
        <v>17794</v>
      </c>
      <c r="L4280">
        <f>HYPERLINK("https://www2.assemblee-nationale.fr/sycomore/fiche/(num_dept)/8030", "8030")</f>
        <v>0</v>
      </c>
      <c r="N4280">
        <f>HYPERLINK("https://www.wikidata.org/wiki/Q16026403", "Q16026403")</f>
        <v>0</v>
      </c>
      <c r="O4280" t="s">
        <v>19976</v>
      </c>
      <c r="P4280" t="s">
        <v>20401</v>
      </c>
      <c r="Q4280" t="s">
        <v>13445</v>
      </c>
      <c r="R4280" t="s">
        <v>21463</v>
      </c>
      <c r="S4280">
        <v>1515</v>
      </c>
    </row>
    <row r="4281" spans="1:19">
      <c r="A4281" t="s">
        <v>25</v>
      </c>
      <c r="B4281" t="s">
        <v>148</v>
      </c>
      <c r="C4281" t="s">
        <v>157</v>
      </c>
      <c r="D4281" t="s">
        <v>286</v>
      </c>
      <c r="E4281" t="s">
        <v>415</v>
      </c>
      <c r="F4281">
        <f>HYPERLINK("https://www.wikidata.org/wiki/Q33756706", "Q33756706")</f>
        <v>0</v>
      </c>
      <c r="G4281" t="s">
        <v>2756</v>
      </c>
      <c r="H4281" t="s">
        <v>7268</v>
      </c>
      <c r="I4281" t="s">
        <v>10410</v>
      </c>
      <c r="J4281" t="s">
        <v>13397</v>
      </c>
      <c r="K4281" t="s">
        <v>17795</v>
      </c>
      <c r="L4281">
        <f>HYPERLINK("https://www2.assemblee-nationale.fr/sycomore/fiche/(num_dept)/8032", "8032")</f>
        <v>0</v>
      </c>
      <c r="M4281">
        <f>HYPERLINK("https://www.senat.fr/senateur-3eme-republique/reymond_francisque1336r3.html", "reymond_francisque1336r3")</f>
        <v>0</v>
      </c>
      <c r="N4281">
        <f>HYPERLINK("https://www.wikidata.org/wiki/Q3082014", "Q3082014")</f>
        <v>0</v>
      </c>
      <c r="O4281" t="s">
        <v>19997</v>
      </c>
      <c r="Q4281" t="s">
        <v>13445</v>
      </c>
      <c r="R4281" t="s">
        <v>21463</v>
      </c>
      <c r="S4281">
        <v>1515</v>
      </c>
    </row>
    <row r="4282" spans="1:19">
      <c r="A4282" t="s">
        <v>25</v>
      </c>
      <c r="B4282" t="s">
        <v>148</v>
      </c>
      <c r="C4282" t="s">
        <v>157</v>
      </c>
      <c r="D4282" t="s">
        <v>286</v>
      </c>
      <c r="E4282" t="s">
        <v>415</v>
      </c>
      <c r="F4282">
        <f>HYPERLINK("https://www.wikidata.org/wiki/Q33756706", "Q33756706")</f>
        <v>0</v>
      </c>
      <c r="G4282" t="s">
        <v>2757</v>
      </c>
      <c r="H4282" t="s">
        <v>7269</v>
      </c>
      <c r="I4282" t="s">
        <v>10411</v>
      </c>
      <c r="J4282" t="s">
        <v>13398</v>
      </c>
      <c r="K4282" t="s">
        <v>17796</v>
      </c>
      <c r="L4282">
        <f>HYPERLINK("https://www2.assemblee-nationale.fr/sycomore/fiche/(num_dept)/8035", "8035")</f>
        <v>0</v>
      </c>
      <c r="N4282">
        <f>HYPERLINK("https://www.wikidata.org/wiki/Q3056804", "Q3056804")</f>
        <v>0</v>
      </c>
      <c r="O4282" t="s">
        <v>20023</v>
      </c>
      <c r="P4282" t="s">
        <v>20460</v>
      </c>
      <c r="Q4282" t="s">
        <v>13445</v>
      </c>
      <c r="R4282" t="s">
        <v>21463</v>
      </c>
      <c r="S4282">
        <v>1515</v>
      </c>
    </row>
    <row r="4283" spans="1:19">
      <c r="A4283" t="s">
        <v>25</v>
      </c>
      <c r="B4283" t="s">
        <v>148</v>
      </c>
      <c r="C4283" t="s">
        <v>157</v>
      </c>
      <c r="D4283" t="s">
        <v>286</v>
      </c>
      <c r="E4283" t="s">
        <v>415</v>
      </c>
      <c r="F4283">
        <f>HYPERLINK("https://www.wikidata.org/wiki/Q33756706", "Q33756706")</f>
        <v>0</v>
      </c>
      <c r="G4283" t="s">
        <v>2758</v>
      </c>
      <c r="H4283" t="s">
        <v>7270</v>
      </c>
      <c r="I4283" t="s">
        <v>10412</v>
      </c>
      <c r="J4283" t="s">
        <v>13399</v>
      </c>
      <c r="K4283" t="s">
        <v>17797</v>
      </c>
      <c r="L4283">
        <f>HYPERLINK("https://www2.assemblee-nationale.fr/sycomore/fiche/(num_dept)/8036", "8036")</f>
        <v>0</v>
      </c>
      <c r="N4283">
        <f>HYPERLINK("https://www.wikidata.org/wiki/Q15974206", "Q15974206")</f>
        <v>0</v>
      </c>
      <c r="O4283" t="s">
        <v>19969</v>
      </c>
      <c r="P4283" t="s">
        <v>20456</v>
      </c>
      <c r="Q4283" t="s">
        <v>13445</v>
      </c>
      <c r="R4283" t="s">
        <v>21463</v>
      </c>
      <c r="S4283">
        <v>1515</v>
      </c>
    </row>
    <row r="4284" spans="1:19">
      <c r="A4284" t="s">
        <v>25</v>
      </c>
      <c r="B4284" t="s">
        <v>148</v>
      </c>
      <c r="C4284" t="s">
        <v>157</v>
      </c>
      <c r="D4284" t="s">
        <v>286</v>
      </c>
      <c r="E4284" t="s">
        <v>415</v>
      </c>
      <c r="F4284">
        <f>HYPERLINK("https://www.wikidata.org/wiki/Q33756706", "Q33756706")</f>
        <v>0</v>
      </c>
      <c r="G4284" t="s">
        <v>2759</v>
      </c>
      <c r="H4284" t="s">
        <v>7271</v>
      </c>
      <c r="I4284" t="s">
        <v>10413</v>
      </c>
      <c r="J4284" t="s">
        <v>13400</v>
      </c>
      <c r="K4284" t="s">
        <v>17798</v>
      </c>
      <c r="L4284">
        <f>HYPERLINK("https://www2.assemblee-nationale.fr/sycomore/fiche/(num_dept)/8042", "8042")</f>
        <v>0</v>
      </c>
      <c r="N4284">
        <f>HYPERLINK("https://www.wikidata.org/wiki/Q2825109", "Q2825109")</f>
        <v>0</v>
      </c>
      <c r="O4284" t="s">
        <v>19987</v>
      </c>
      <c r="P4284" t="s">
        <v>20401</v>
      </c>
      <c r="Q4284" t="s">
        <v>13445</v>
      </c>
      <c r="R4284" t="s">
        <v>21463</v>
      </c>
      <c r="S4284">
        <v>1515</v>
      </c>
    </row>
    <row r="4285" spans="1:19">
      <c r="A4285" t="s">
        <v>25</v>
      </c>
      <c r="B4285" t="s">
        <v>148</v>
      </c>
      <c r="C4285" t="s">
        <v>157</v>
      </c>
      <c r="D4285" t="s">
        <v>286</v>
      </c>
      <c r="E4285" t="s">
        <v>415</v>
      </c>
      <c r="F4285">
        <f>HYPERLINK("https://www.wikidata.org/wiki/Q33756706", "Q33756706")</f>
        <v>0</v>
      </c>
      <c r="G4285" t="s">
        <v>2760</v>
      </c>
      <c r="H4285" t="s">
        <v>7272</v>
      </c>
      <c r="I4285" t="s">
        <v>10414</v>
      </c>
      <c r="J4285" t="s">
        <v>13401</v>
      </c>
      <c r="K4285" t="s">
        <v>17799</v>
      </c>
      <c r="L4285">
        <f>HYPERLINK("https://www2.assemblee-nationale.fr/sycomore/fiche/(num_dept)/8046", "8046")</f>
        <v>0</v>
      </c>
      <c r="N4285">
        <f>HYPERLINK("https://www.wikidata.org/wiki/Q8302481", "Q8302481")</f>
        <v>0</v>
      </c>
      <c r="O4285" t="s">
        <v>20039</v>
      </c>
      <c r="P4285" t="s">
        <v>20459</v>
      </c>
      <c r="Q4285" t="s">
        <v>13445</v>
      </c>
      <c r="R4285" t="s">
        <v>21463</v>
      </c>
      <c r="S4285">
        <v>1515</v>
      </c>
    </row>
    <row r="4286" spans="1:19">
      <c r="A4286" t="s">
        <v>25</v>
      </c>
      <c r="B4286" t="s">
        <v>148</v>
      </c>
      <c r="C4286" t="s">
        <v>157</v>
      </c>
      <c r="D4286" t="s">
        <v>286</v>
      </c>
      <c r="E4286" t="s">
        <v>415</v>
      </c>
      <c r="F4286">
        <f>HYPERLINK("https://www.wikidata.org/wiki/Q33756706", "Q33756706")</f>
        <v>0</v>
      </c>
      <c r="G4286" t="s">
        <v>2761</v>
      </c>
      <c r="H4286" t="s">
        <v>7273</v>
      </c>
      <c r="I4286" t="s">
        <v>10415</v>
      </c>
      <c r="J4286" t="s">
        <v>13402</v>
      </c>
      <c r="K4286" t="s">
        <v>17800</v>
      </c>
      <c r="L4286">
        <f>HYPERLINK("https://www2.assemblee-nationale.fr/sycomore/fiche/(num_dept)/8049", "8049")</f>
        <v>0</v>
      </c>
      <c r="N4286">
        <f>HYPERLINK("https://www.wikidata.org/wiki/Q16026553", "Q16026553")</f>
        <v>0</v>
      </c>
      <c r="O4286" t="s">
        <v>19978</v>
      </c>
      <c r="P4286" t="s">
        <v>20459</v>
      </c>
      <c r="Q4286" t="s">
        <v>13445</v>
      </c>
      <c r="R4286" t="s">
        <v>21463</v>
      </c>
      <c r="S4286">
        <v>1515</v>
      </c>
    </row>
    <row r="4287" spans="1:19">
      <c r="A4287" t="s">
        <v>25</v>
      </c>
      <c r="B4287" t="s">
        <v>148</v>
      </c>
      <c r="C4287" t="s">
        <v>157</v>
      </c>
      <c r="D4287" t="s">
        <v>286</v>
      </c>
      <c r="E4287" t="s">
        <v>415</v>
      </c>
      <c r="F4287">
        <f>HYPERLINK("https://www.wikidata.org/wiki/Q33756706", "Q33756706")</f>
        <v>0</v>
      </c>
      <c r="G4287" t="s">
        <v>2762</v>
      </c>
      <c r="H4287" t="s">
        <v>7274</v>
      </c>
      <c r="I4287" t="s">
        <v>10416</v>
      </c>
      <c r="J4287" t="s">
        <v>13403</v>
      </c>
      <c r="K4287" t="s">
        <v>17801</v>
      </c>
      <c r="L4287">
        <f>HYPERLINK("https://www2.assemblee-nationale.fr/sycomore/fiche/(num_dept)/8050", "8050")</f>
        <v>0</v>
      </c>
      <c r="N4287">
        <f>HYPERLINK("https://www.wikidata.org/wiki/Q7128172", "Q7128172")</f>
        <v>0</v>
      </c>
      <c r="O4287" t="s">
        <v>20023</v>
      </c>
      <c r="P4287" t="s">
        <v>20464</v>
      </c>
      <c r="Q4287" t="s">
        <v>13445</v>
      </c>
      <c r="R4287" t="s">
        <v>21463</v>
      </c>
      <c r="S4287">
        <v>1515</v>
      </c>
    </row>
    <row r="4288" spans="1:19">
      <c r="A4288" t="s">
        <v>25</v>
      </c>
      <c r="B4288" t="s">
        <v>148</v>
      </c>
      <c r="C4288" t="s">
        <v>157</v>
      </c>
      <c r="D4288" t="s">
        <v>286</v>
      </c>
      <c r="E4288" t="s">
        <v>415</v>
      </c>
      <c r="F4288">
        <f>HYPERLINK("https://www.wikidata.org/wiki/Q33756706", "Q33756706")</f>
        <v>0</v>
      </c>
      <c r="G4288" t="s">
        <v>2763</v>
      </c>
      <c r="H4288" t="s">
        <v>7275</v>
      </c>
      <c r="I4288" t="s">
        <v>10417</v>
      </c>
      <c r="J4288" t="s">
        <v>13404</v>
      </c>
      <c r="K4288" t="s">
        <v>17802</v>
      </c>
      <c r="L4288">
        <f>HYPERLINK("https://www2.assemblee-nationale.fr/sycomore/fiche/(num_dept)/8051", "8051")</f>
        <v>0</v>
      </c>
      <c r="N4288">
        <f>HYPERLINK("https://www.wikidata.org/wiki/Q16026571", "Q16026571")</f>
        <v>0</v>
      </c>
      <c r="O4288" t="s">
        <v>19978</v>
      </c>
      <c r="P4288" t="s">
        <v>20459</v>
      </c>
      <c r="Q4288" t="s">
        <v>13445</v>
      </c>
      <c r="R4288" t="s">
        <v>21463</v>
      </c>
      <c r="S4288">
        <v>1515</v>
      </c>
    </row>
    <row r="4289" spans="1:19">
      <c r="A4289" t="s">
        <v>25</v>
      </c>
      <c r="B4289" t="s">
        <v>148</v>
      </c>
      <c r="C4289" t="s">
        <v>157</v>
      </c>
      <c r="D4289" t="s">
        <v>286</v>
      </c>
      <c r="E4289" t="s">
        <v>415</v>
      </c>
      <c r="F4289">
        <f>HYPERLINK("https://www.wikidata.org/wiki/Q33756706", "Q33756706")</f>
        <v>0</v>
      </c>
      <c r="G4289" t="s">
        <v>2764</v>
      </c>
      <c r="H4289" t="s">
        <v>7276</v>
      </c>
      <c r="I4289" t="s">
        <v>10418</v>
      </c>
      <c r="J4289" t="s">
        <v>13405</v>
      </c>
      <c r="K4289" t="s">
        <v>17803</v>
      </c>
      <c r="L4289">
        <f>HYPERLINK("https://www2.assemblee-nationale.fr/sycomore/fiche/(num_dept)/8054", "8054")</f>
        <v>0</v>
      </c>
      <c r="N4289">
        <f>HYPERLINK("https://www.wikidata.org/wiki/Q16026581", "Q16026581")</f>
        <v>0</v>
      </c>
      <c r="O4289" t="s">
        <v>19974</v>
      </c>
      <c r="P4289" t="s">
        <v>20460</v>
      </c>
      <c r="Q4289" t="s">
        <v>13445</v>
      </c>
      <c r="R4289" t="s">
        <v>21463</v>
      </c>
      <c r="S4289">
        <v>1515</v>
      </c>
    </row>
    <row r="4290" spans="1:19">
      <c r="A4290" t="s">
        <v>25</v>
      </c>
      <c r="B4290" t="s">
        <v>148</v>
      </c>
      <c r="C4290" t="s">
        <v>157</v>
      </c>
      <c r="D4290" t="s">
        <v>286</v>
      </c>
      <c r="E4290" t="s">
        <v>415</v>
      </c>
      <c r="F4290">
        <f>HYPERLINK("https://www.wikidata.org/wiki/Q33756706", "Q33756706")</f>
        <v>0</v>
      </c>
      <c r="G4290" t="s">
        <v>2765</v>
      </c>
      <c r="H4290" t="s">
        <v>7277</v>
      </c>
      <c r="I4290" t="s">
        <v>10419</v>
      </c>
      <c r="J4290" t="s">
        <v>13406</v>
      </c>
      <c r="K4290" t="s">
        <v>17804</v>
      </c>
      <c r="L4290">
        <f>HYPERLINK("https://www2.assemblee-nationale.fr/sycomore/fiche/(num_dept)/8056", "8056")</f>
        <v>0</v>
      </c>
      <c r="N4290">
        <f>HYPERLINK("https://www.wikidata.org/wiki/Q16026593", "Q16026593")</f>
        <v>0</v>
      </c>
      <c r="O4290" t="s">
        <v>20036</v>
      </c>
      <c r="P4290" t="s">
        <v>20461</v>
      </c>
      <c r="Q4290" t="s">
        <v>13445</v>
      </c>
      <c r="R4290" t="s">
        <v>21463</v>
      </c>
      <c r="S4290">
        <v>1515</v>
      </c>
    </row>
    <row r="4291" spans="1:19">
      <c r="A4291" t="s">
        <v>25</v>
      </c>
      <c r="B4291" t="s">
        <v>148</v>
      </c>
      <c r="C4291" t="s">
        <v>157</v>
      </c>
      <c r="D4291" t="s">
        <v>286</v>
      </c>
      <c r="E4291" t="s">
        <v>415</v>
      </c>
      <c r="F4291">
        <f>HYPERLINK("https://www.wikidata.org/wiki/Q33756706", "Q33756706")</f>
        <v>0</v>
      </c>
      <c r="G4291" t="s">
        <v>2766</v>
      </c>
      <c r="H4291" t="s">
        <v>7278</v>
      </c>
      <c r="I4291" t="s">
        <v>10420</v>
      </c>
      <c r="J4291" t="s">
        <v>13407</v>
      </c>
      <c r="K4291" t="s">
        <v>17805</v>
      </c>
      <c r="L4291">
        <f>HYPERLINK("https://www2.assemblee-nationale.fr/sycomore/fiche/(num_dept)/8057", "8057")</f>
        <v>0</v>
      </c>
      <c r="N4291">
        <f>HYPERLINK("https://www.wikidata.org/wiki/Q16026610", "Q16026610")</f>
        <v>0</v>
      </c>
      <c r="O4291" t="s">
        <v>19969</v>
      </c>
      <c r="P4291" t="s">
        <v>20401</v>
      </c>
      <c r="Q4291" t="s">
        <v>13445</v>
      </c>
      <c r="R4291" t="s">
        <v>21463</v>
      </c>
      <c r="S4291">
        <v>1515</v>
      </c>
    </row>
    <row r="4292" spans="1:19">
      <c r="A4292" t="s">
        <v>25</v>
      </c>
      <c r="B4292" t="s">
        <v>148</v>
      </c>
      <c r="C4292" t="s">
        <v>157</v>
      </c>
      <c r="D4292" t="s">
        <v>286</v>
      </c>
      <c r="E4292" t="s">
        <v>415</v>
      </c>
      <c r="F4292">
        <f>HYPERLINK("https://www.wikidata.org/wiki/Q33756706", "Q33756706")</f>
        <v>0</v>
      </c>
      <c r="G4292" t="s">
        <v>2767</v>
      </c>
      <c r="H4292" t="s">
        <v>7279</v>
      </c>
      <c r="I4292" t="s">
        <v>10421</v>
      </c>
      <c r="J4292" t="s">
        <v>13408</v>
      </c>
      <c r="K4292" t="s">
        <v>17806</v>
      </c>
      <c r="L4292">
        <f>HYPERLINK("https://www2.assemblee-nationale.fr/sycomore/fiche/(num_dept)/8058", "8058")</f>
        <v>0</v>
      </c>
      <c r="N4292">
        <f>HYPERLINK("https://www.wikidata.org/wiki/Q3526614", "Q3526614")</f>
        <v>0</v>
      </c>
      <c r="O4292" t="s">
        <v>19989</v>
      </c>
      <c r="P4292" t="s">
        <v>20464</v>
      </c>
      <c r="Q4292" t="s">
        <v>13445</v>
      </c>
      <c r="R4292" t="s">
        <v>21463</v>
      </c>
      <c r="S4292">
        <v>1515</v>
      </c>
    </row>
    <row r="4293" spans="1:19">
      <c r="A4293" t="s">
        <v>25</v>
      </c>
      <c r="B4293" t="s">
        <v>148</v>
      </c>
      <c r="C4293" t="s">
        <v>157</v>
      </c>
      <c r="D4293" t="s">
        <v>286</v>
      </c>
      <c r="E4293" t="s">
        <v>415</v>
      </c>
      <c r="F4293">
        <f>HYPERLINK("https://www.wikidata.org/wiki/Q33756706", "Q33756706")</f>
        <v>0</v>
      </c>
      <c r="G4293" t="s">
        <v>2768</v>
      </c>
      <c r="H4293" t="s">
        <v>7280</v>
      </c>
      <c r="I4293" t="s">
        <v>9426</v>
      </c>
      <c r="J4293" t="s">
        <v>13409</v>
      </c>
      <c r="K4293" t="s">
        <v>17807</v>
      </c>
      <c r="L4293">
        <f>HYPERLINK("https://www2.assemblee-nationale.fr/sycomore/fiche/(num_dept)/8059", "8059")</f>
        <v>0</v>
      </c>
      <c r="N4293">
        <f>HYPERLINK("https://www.wikidata.org/wiki/Q2839926", "Q2839926")</f>
        <v>0</v>
      </c>
      <c r="O4293" t="s">
        <v>20036</v>
      </c>
      <c r="P4293" t="s">
        <v>20457</v>
      </c>
      <c r="Q4293" t="s">
        <v>13445</v>
      </c>
      <c r="R4293" t="s">
        <v>21463</v>
      </c>
      <c r="S4293">
        <v>1515</v>
      </c>
    </row>
    <row r="4294" spans="1:19">
      <c r="A4294" t="s">
        <v>25</v>
      </c>
      <c r="B4294" t="s">
        <v>148</v>
      </c>
      <c r="C4294" t="s">
        <v>157</v>
      </c>
      <c r="D4294" t="s">
        <v>286</v>
      </c>
      <c r="E4294" t="s">
        <v>415</v>
      </c>
      <c r="F4294">
        <f>HYPERLINK("https://www.wikidata.org/wiki/Q33756706", "Q33756706")</f>
        <v>0</v>
      </c>
      <c r="G4294" t="s">
        <v>2769</v>
      </c>
      <c r="H4294" t="s">
        <v>7281</v>
      </c>
      <c r="I4294" t="s">
        <v>10422</v>
      </c>
      <c r="J4294" t="s">
        <v>13410</v>
      </c>
      <c r="K4294" t="s">
        <v>17808</v>
      </c>
      <c r="L4294">
        <f>HYPERLINK("https://www2.assemblee-nationale.fr/sycomore/fiche/(num_dept)/8060", "8060")</f>
        <v>0</v>
      </c>
      <c r="N4294">
        <f>HYPERLINK("https://www.wikidata.org/wiki/Q15974232", "Q15974232")</f>
        <v>0</v>
      </c>
      <c r="O4294" t="s">
        <v>20027</v>
      </c>
      <c r="P4294" t="s">
        <v>20464</v>
      </c>
      <c r="Q4294" t="s">
        <v>13445</v>
      </c>
      <c r="R4294" t="s">
        <v>21463</v>
      </c>
      <c r="S4294">
        <v>1515</v>
      </c>
    </row>
    <row r="4295" spans="1:19">
      <c r="A4295" t="s">
        <v>25</v>
      </c>
      <c r="B4295" t="s">
        <v>148</v>
      </c>
      <c r="C4295" t="s">
        <v>157</v>
      </c>
      <c r="D4295" t="s">
        <v>286</v>
      </c>
      <c r="E4295" t="s">
        <v>415</v>
      </c>
      <c r="F4295">
        <f>HYPERLINK("https://www.wikidata.org/wiki/Q33756706", "Q33756706")</f>
        <v>0</v>
      </c>
      <c r="G4295" t="s">
        <v>2770</v>
      </c>
      <c r="H4295" t="s">
        <v>7282</v>
      </c>
      <c r="I4295" t="s">
        <v>10423</v>
      </c>
      <c r="J4295" t="s">
        <v>13411</v>
      </c>
      <c r="K4295" t="s">
        <v>17809</v>
      </c>
      <c r="L4295">
        <f>HYPERLINK("https://www2.assemblee-nationale.fr/sycomore/fiche/(num_dept)/8061", "8061")</f>
        <v>0</v>
      </c>
      <c r="N4295">
        <f>HYPERLINK("https://www.wikidata.org/wiki/Q8301870", "Q8301870")</f>
        <v>0</v>
      </c>
      <c r="O4295" t="s">
        <v>19986</v>
      </c>
      <c r="P4295" t="s">
        <v>20456</v>
      </c>
      <c r="Q4295" t="s">
        <v>13445</v>
      </c>
      <c r="R4295" t="s">
        <v>17809</v>
      </c>
      <c r="S4295">
        <v>773</v>
      </c>
    </row>
    <row r="4296" spans="1:19">
      <c r="A4296" t="s">
        <v>25</v>
      </c>
      <c r="B4296" t="s">
        <v>148</v>
      </c>
      <c r="C4296" t="s">
        <v>157</v>
      </c>
      <c r="D4296" t="s">
        <v>286</v>
      </c>
      <c r="E4296" t="s">
        <v>415</v>
      </c>
      <c r="F4296">
        <f>HYPERLINK("https://www.wikidata.org/wiki/Q33756706", "Q33756706")</f>
        <v>0</v>
      </c>
      <c r="G4296" t="s">
        <v>2771</v>
      </c>
      <c r="H4296" t="s">
        <v>7283</v>
      </c>
      <c r="I4296" t="s">
        <v>10424</v>
      </c>
      <c r="J4296" t="s">
        <v>13412</v>
      </c>
      <c r="K4296" t="s">
        <v>17810</v>
      </c>
      <c r="L4296">
        <f>HYPERLINK("https://www2.assemblee-nationale.fr/sycomore/fiche/(num_dept)/8064", "8064")</f>
        <v>0</v>
      </c>
      <c r="N4296">
        <f>HYPERLINK("https://www.wikidata.org/wiki/Q16026612", "Q16026612")</f>
        <v>0</v>
      </c>
      <c r="O4296" t="s">
        <v>19999</v>
      </c>
      <c r="P4296" t="s">
        <v>20459</v>
      </c>
      <c r="Q4296" t="s">
        <v>13445</v>
      </c>
      <c r="R4296" t="s">
        <v>21478</v>
      </c>
      <c r="S4296">
        <v>290</v>
      </c>
    </row>
    <row r="4297" spans="1:19">
      <c r="A4297" t="s">
        <v>25</v>
      </c>
      <c r="B4297" t="s">
        <v>148</v>
      </c>
      <c r="C4297" t="s">
        <v>157</v>
      </c>
      <c r="D4297" t="s">
        <v>286</v>
      </c>
      <c r="E4297" t="s">
        <v>415</v>
      </c>
      <c r="F4297">
        <f>HYPERLINK("https://www.wikidata.org/wiki/Q33756706", "Q33756706")</f>
        <v>0</v>
      </c>
      <c r="G4297" t="s">
        <v>2772</v>
      </c>
      <c r="H4297" t="s">
        <v>7284</v>
      </c>
      <c r="I4297" t="s">
        <v>10425</v>
      </c>
      <c r="J4297" t="s">
        <v>13413</v>
      </c>
      <c r="K4297" t="s">
        <v>17811</v>
      </c>
      <c r="L4297">
        <f>HYPERLINK("https://www2.assemblee-nationale.fr/sycomore/fiche/(num_dept)/8067", "8067")</f>
        <v>0</v>
      </c>
      <c r="M4297">
        <f>HYPERLINK("https://www.senat.fr/senateur-3eme-republique/soustre_marius0057r3.html", "soustre_marius0057r3")</f>
        <v>0</v>
      </c>
      <c r="N4297">
        <f>HYPERLINK("https://www.wikidata.org/wiki/Q3293858", "Q3293858")</f>
        <v>0</v>
      </c>
      <c r="O4297" t="s">
        <v>20033</v>
      </c>
      <c r="P4297" t="s">
        <v>20461</v>
      </c>
      <c r="Q4297" t="s">
        <v>13445</v>
      </c>
      <c r="R4297" t="s">
        <v>21467</v>
      </c>
      <c r="S4297">
        <v>1264</v>
      </c>
    </row>
    <row r="4298" spans="1:19">
      <c r="A4298" t="s">
        <v>25</v>
      </c>
      <c r="B4298" t="s">
        <v>148</v>
      </c>
      <c r="C4298" t="s">
        <v>157</v>
      </c>
      <c r="D4298" t="s">
        <v>286</v>
      </c>
      <c r="E4298" t="s">
        <v>415</v>
      </c>
      <c r="F4298">
        <f>HYPERLINK("https://www.wikidata.org/wiki/Q33756706", "Q33756706")</f>
        <v>0</v>
      </c>
      <c r="G4298" t="s">
        <v>2773</v>
      </c>
      <c r="H4298" t="s">
        <v>7285</v>
      </c>
      <c r="I4298" t="s">
        <v>10426</v>
      </c>
      <c r="J4298" t="s">
        <v>11653</v>
      </c>
      <c r="K4298" t="s">
        <v>17812</v>
      </c>
      <c r="L4298">
        <f>HYPERLINK("https://www2.assemblee-nationale.fr/sycomore/fiche/(num_dept)/8069", "8069")</f>
        <v>0</v>
      </c>
      <c r="M4298">
        <f>HYPERLINK("https://www.senat.fr/senateur-3eme-republique/pradal_victor0138r3.html", "pradal_victor0138r3")</f>
        <v>0</v>
      </c>
      <c r="N4298">
        <f>HYPERLINK("https://www.wikidata.org/wiki/Q3557514", "Q3557514")</f>
        <v>0</v>
      </c>
      <c r="O4298" t="s">
        <v>19991</v>
      </c>
      <c r="P4298" t="s">
        <v>20459</v>
      </c>
      <c r="Q4298" t="s">
        <v>13445</v>
      </c>
      <c r="R4298" t="s">
        <v>21479</v>
      </c>
      <c r="S4298">
        <v>1262</v>
      </c>
    </row>
    <row r="4299" spans="1:19">
      <c r="A4299" t="s">
        <v>25</v>
      </c>
      <c r="B4299" t="s">
        <v>148</v>
      </c>
      <c r="C4299" t="s">
        <v>157</v>
      </c>
      <c r="D4299" t="s">
        <v>286</v>
      </c>
      <c r="E4299" t="s">
        <v>415</v>
      </c>
      <c r="F4299">
        <f>HYPERLINK("https://www.wikidata.org/wiki/Q33756706", "Q33756706")</f>
        <v>0</v>
      </c>
      <c r="G4299" t="s">
        <v>2774</v>
      </c>
      <c r="H4299" t="s">
        <v>7286</v>
      </c>
      <c r="I4299" t="s">
        <v>10427</v>
      </c>
      <c r="J4299" t="s">
        <v>13414</v>
      </c>
      <c r="K4299" t="s">
        <v>12757</v>
      </c>
      <c r="L4299">
        <f>HYPERLINK("https://www2.assemblee-nationale.fr/sycomore/fiche/(num_dept)/8070", "8070")</f>
        <v>0</v>
      </c>
      <c r="N4299">
        <f>HYPERLINK("https://www.wikidata.org/wiki/Q16026063", "Q16026063")</f>
        <v>0</v>
      </c>
      <c r="O4299" t="s">
        <v>20019</v>
      </c>
      <c r="P4299" t="s">
        <v>20459</v>
      </c>
      <c r="Q4299" t="s">
        <v>13445</v>
      </c>
      <c r="R4299" t="s">
        <v>12757</v>
      </c>
      <c r="S4299">
        <v>1484</v>
      </c>
    </row>
    <row r="4300" spans="1:19">
      <c r="A4300" t="s">
        <v>25</v>
      </c>
      <c r="B4300" t="s">
        <v>148</v>
      </c>
      <c r="C4300" t="s">
        <v>157</v>
      </c>
      <c r="D4300" t="s">
        <v>286</v>
      </c>
      <c r="E4300" t="s">
        <v>415</v>
      </c>
      <c r="F4300">
        <f>HYPERLINK("https://www.wikidata.org/wiki/Q33756706", "Q33756706")</f>
        <v>0</v>
      </c>
      <c r="G4300" t="s">
        <v>2775</v>
      </c>
      <c r="H4300" t="s">
        <v>7287</v>
      </c>
      <c r="I4300" t="s">
        <v>9389</v>
      </c>
      <c r="J4300" t="s">
        <v>13415</v>
      </c>
      <c r="K4300" t="s">
        <v>17813</v>
      </c>
      <c r="L4300">
        <f>HYPERLINK("https://www2.assemblee-nationale.fr/sycomore/fiche/(num_dept)/8073", "8073")</f>
        <v>0</v>
      </c>
      <c r="N4300">
        <f>HYPERLINK("https://www.wikidata.org/wiki/Q16025593", "Q16025593")</f>
        <v>0</v>
      </c>
      <c r="O4300" t="s">
        <v>19967</v>
      </c>
      <c r="P4300" t="s">
        <v>20459</v>
      </c>
      <c r="Q4300" t="s">
        <v>13445</v>
      </c>
      <c r="R4300" t="s">
        <v>21032</v>
      </c>
      <c r="S4300">
        <v>921</v>
      </c>
    </row>
    <row r="4301" spans="1:19">
      <c r="A4301" t="s">
        <v>25</v>
      </c>
      <c r="B4301" t="s">
        <v>148</v>
      </c>
      <c r="C4301" t="s">
        <v>157</v>
      </c>
      <c r="D4301" t="s">
        <v>286</v>
      </c>
      <c r="E4301" t="s">
        <v>415</v>
      </c>
      <c r="F4301">
        <f>HYPERLINK("https://www.wikidata.org/wiki/Q33756706", "Q33756706")</f>
        <v>0</v>
      </c>
      <c r="G4301" t="s">
        <v>2776</v>
      </c>
      <c r="H4301" t="s">
        <v>5395</v>
      </c>
      <c r="I4301" t="s">
        <v>10428</v>
      </c>
      <c r="J4301" t="s">
        <v>13416</v>
      </c>
      <c r="K4301" t="s">
        <v>17814</v>
      </c>
      <c r="L4301">
        <f>HYPERLINK("https://www2.assemblee-nationale.fr/sycomore/fiche/(num_dept)/8074", "8074")</f>
        <v>0</v>
      </c>
      <c r="M4301">
        <f>HYPERLINK("https://www.senat.fr/senateur-3eme-republique/fabre_joseph0293r3.html", "fabre_joseph0293r3")</f>
        <v>0</v>
      </c>
      <c r="N4301">
        <f>HYPERLINK("https://www.wikidata.org/wiki/Q3184922", "Q3184922")</f>
        <v>0</v>
      </c>
      <c r="O4301" t="s">
        <v>19967</v>
      </c>
      <c r="P4301" t="s">
        <v>20401</v>
      </c>
      <c r="Q4301" t="s">
        <v>13445</v>
      </c>
      <c r="R4301" t="s">
        <v>21463</v>
      </c>
      <c r="S4301">
        <v>1515</v>
      </c>
    </row>
    <row r="4302" spans="1:19">
      <c r="A4302" t="s">
        <v>25</v>
      </c>
      <c r="B4302" t="s">
        <v>148</v>
      </c>
      <c r="C4302" t="s">
        <v>157</v>
      </c>
      <c r="D4302" t="s">
        <v>286</v>
      </c>
      <c r="E4302" t="s">
        <v>415</v>
      </c>
      <c r="F4302">
        <f>HYPERLINK("https://www.wikidata.org/wiki/Q33756706", "Q33756706")</f>
        <v>0</v>
      </c>
      <c r="G4302" t="s">
        <v>2777</v>
      </c>
      <c r="H4302" t="s">
        <v>7288</v>
      </c>
      <c r="I4302" t="s">
        <v>10429</v>
      </c>
      <c r="J4302" t="s">
        <v>13417</v>
      </c>
      <c r="K4302" t="s">
        <v>17815</v>
      </c>
      <c r="L4302">
        <f>HYPERLINK("https://www2.assemblee-nationale.fr/sycomore/fiche/(num_dept)/8075", "8075")</f>
        <v>0</v>
      </c>
      <c r="N4302">
        <f>HYPERLINK("https://www.wikidata.org/wiki/Q16026032", "Q16026032")</f>
        <v>0</v>
      </c>
      <c r="O4302" t="s">
        <v>19967</v>
      </c>
      <c r="P4302" t="s">
        <v>20458</v>
      </c>
      <c r="Q4302" t="s">
        <v>13445</v>
      </c>
      <c r="R4302" t="s">
        <v>21463</v>
      </c>
      <c r="S4302">
        <v>1515</v>
      </c>
    </row>
    <row r="4303" spans="1:19">
      <c r="A4303" t="s">
        <v>25</v>
      </c>
      <c r="B4303" t="s">
        <v>148</v>
      </c>
      <c r="C4303" t="s">
        <v>157</v>
      </c>
      <c r="D4303" t="s">
        <v>286</v>
      </c>
      <c r="E4303" t="s">
        <v>415</v>
      </c>
      <c r="F4303">
        <f>HYPERLINK("https://www.wikidata.org/wiki/Q33756706", "Q33756706")</f>
        <v>0</v>
      </c>
      <c r="G4303" t="s">
        <v>2778</v>
      </c>
      <c r="H4303" t="s">
        <v>7289</v>
      </c>
      <c r="I4303" t="s">
        <v>10430</v>
      </c>
      <c r="J4303" t="s">
        <v>13418</v>
      </c>
      <c r="K4303" t="s">
        <v>17816</v>
      </c>
      <c r="L4303">
        <f>HYPERLINK("https://www2.assemblee-nationale.fr/sycomore/fiche/(num_dept)/8076", "8076")</f>
        <v>0</v>
      </c>
      <c r="N4303">
        <f>HYPERLINK("https://www.wikidata.org/wiki/Q15974247", "Q15974247")</f>
        <v>0</v>
      </c>
      <c r="O4303" t="s">
        <v>19967</v>
      </c>
      <c r="P4303" t="s">
        <v>20457</v>
      </c>
      <c r="Q4303" t="s">
        <v>13445</v>
      </c>
      <c r="R4303" t="s">
        <v>21463</v>
      </c>
      <c r="S4303">
        <v>1515</v>
      </c>
    </row>
    <row r="4304" spans="1:19">
      <c r="A4304" t="s">
        <v>25</v>
      </c>
      <c r="B4304" t="s">
        <v>148</v>
      </c>
      <c r="C4304" t="s">
        <v>157</v>
      </c>
      <c r="D4304" t="s">
        <v>286</v>
      </c>
      <c r="E4304" t="s">
        <v>415</v>
      </c>
      <c r="F4304">
        <f>HYPERLINK("https://www.wikidata.org/wiki/Q33756706", "Q33756706")</f>
        <v>0</v>
      </c>
      <c r="G4304" t="s">
        <v>2779</v>
      </c>
      <c r="H4304" t="s">
        <v>6478</v>
      </c>
      <c r="I4304" t="s">
        <v>9602</v>
      </c>
      <c r="J4304" t="s">
        <v>13419</v>
      </c>
      <c r="K4304" t="s">
        <v>17817</v>
      </c>
      <c r="L4304">
        <f>HYPERLINK("https://www2.assemblee-nationale.fr/sycomore/fiche/(num_dept)/8078", "8078")</f>
        <v>0</v>
      </c>
      <c r="N4304">
        <f>HYPERLINK("https://www.wikidata.org/wiki/Q3047861", "Q3047861")</f>
        <v>0</v>
      </c>
      <c r="O4304" t="s">
        <v>20009</v>
      </c>
      <c r="Q4304" t="s">
        <v>13445</v>
      </c>
      <c r="R4304" t="s">
        <v>21463</v>
      </c>
      <c r="S4304">
        <v>1515</v>
      </c>
    </row>
    <row r="4305" spans="1:19">
      <c r="A4305" t="s">
        <v>25</v>
      </c>
      <c r="B4305" t="s">
        <v>148</v>
      </c>
      <c r="C4305" t="s">
        <v>157</v>
      </c>
      <c r="D4305" t="s">
        <v>286</v>
      </c>
      <c r="E4305" t="s">
        <v>415</v>
      </c>
      <c r="F4305">
        <f>HYPERLINK("https://www.wikidata.org/wiki/Q33756706", "Q33756706")</f>
        <v>0</v>
      </c>
      <c r="G4305" t="s">
        <v>2780</v>
      </c>
      <c r="H4305" t="s">
        <v>5751</v>
      </c>
      <c r="I4305" t="s">
        <v>10431</v>
      </c>
      <c r="J4305" t="s">
        <v>13420</v>
      </c>
      <c r="K4305" t="s">
        <v>17818</v>
      </c>
      <c r="L4305">
        <f>HYPERLINK("https://www2.assemblee-nationale.fr/sycomore/fiche/(num_dept)/8079", "8079")</f>
        <v>0</v>
      </c>
      <c r="N4305">
        <f>HYPERLINK("https://www.wikidata.org/wiki/Q3588653", "Q3588653")</f>
        <v>0</v>
      </c>
      <c r="O4305" t="s">
        <v>20009</v>
      </c>
      <c r="P4305" t="s">
        <v>20462</v>
      </c>
      <c r="Q4305" t="s">
        <v>13445</v>
      </c>
      <c r="R4305" t="s">
        <v>21463</v>
      </c>
      <c r="S4305">
        <v>1515</v>
      </c>
    </row>
    <row r="4306" spans="1:19">
      <c r="A4306" t="s">
        <v>25</v>
      </c>
      <c r="B4306" t="s">
        <v>148</v>
      </c>
      <c r="C4306" t="s">
        <v>157</v>
      </c>
      <c r="D4306" t="s">
        <v>286</v>
      </c>
      <c r="E4306" t="s">
        <v>415</v>
      </c>
      <c r="F4306">
        <f>HYPERLINK("https://www.wikidata.org/wiki/Q33756706", "Q33756706")</f>
        <v>0</v>
      </c>
      <c r="G4306" t="s">
        <v>2781</v>
      </c>
      <c r="H4306" t="s">
        <v>7290</v>
      </c>
      <c r="I4306" t="s">
        <v>10432</v>
      </c>
      <c r="J4306" t="s">
        <v>13421</v>
      </c>
      <c r="K4306" t="s">
        <v>13020</v>
      </c>
      <c r="L4306">
        <f>HYPERLINK("https://www2.assemblee-nationale.fr/sycomore/fiche/(num_dept)/8080", "8080")</f>
        <v>0</v>
      </c>
      <c r="N4306">
        <f>HYPERLINK("https://www.wikidata.org/wiki/Q3190891", "Q3190891")</f>
        <v>0</v>
      </c>
      <c r="O4306" t="s">
        <v>20009</v>
      </c>
      <c r="P4306" t="s">
        <v>20458</v>
      </c>
      <c r="Q4306" t="s">
        <v>13445</v>
      </c>
      <c r="R4306" t="s">
        <v>21463</v>
      </c>
      <c r="S4306">
        <v>1515</v>
      </c>
    </row>
    <row r="4307" spans="1:19">
      <c r="A4307" t="s">
        <v>25</v>
      </c>
      <c r="B4307" t="s">
        <v>148</v>
      </c>
      <c r="C4307" t="s">
        <v>157</v>
      </c>
      <c r="D4307" t="s">
        <v>286</v>
      </c>
      <c r="E4307" t="s">
        <v>415</v>
      </c>
      <c r="F4307">
        <f>HYPERLINK("https://www.wikidata.org/wiki/Q33756706", "Q33756706")</f>
        <v>0</v>
      </c>
      <c r="G4307" t="s">
        <v>2782</v>
      </c>
      <c r="H4307" t="s">
        <v>6905</v>
      </c>
      <c r="I4307" t="s">
        <v>9388</v>
      </c>
      <c r="J4307" t="s">
        <v>13422</v>
      </c>
      <c r="K4307" t="s">
        <v>17819</v>
      </c>
      <c r="L4307">
        <f>HYPERLINK("https://www2.assemblee-nationale.fr/sycomore/fiche/(num_dept)/8081", "8081")</f>
        <v>0</v>
      </c>
      <c r="M4307">
        <f>HYPERLINK("https://www.senat.fr/senateur-3eme-republique/duchesne_fournet_paul0346r3.html", "duchesne_fournet_paul0346r3")</f>
        <v>0</v>
      </c>
      <c r="N4307">
        <f>HYPERLINK("https://www.wikidata.org/wiki/Q3371115", "Q3371115")</f>
        <v>0</v>
      </c>
      <c r="O4307" t="s">
        <v>20009</v>
      </c>
      <c r="Q4307" t="s">
        <v>13445</v>
      </c>
      <c r="R4307" t="s">
        <v>21463</v>
      </c>
      <c r="S4307">
        <v>1515</v>
      </c>
    </row>
    <row r="4308" spans="1:19">
      <c r="A4308" t="s">
        <v>25</v>
      </c>
      <c r="B4308" t="s">
        <v>148</v>
      </c>
      <c r="C4308" t="s">
        <v>157</v>
      </c>
      <c r="D4308" t="s">
        <v>286</v>
      </c>
      <c r="E4308" t="s">
        <v>415</v>
      </c>
      <c r="F4308">
        <f>HYPERLINK("https://www.wikidata.org/wiki/Q33756706", "Q33756706")</f>
        <v>0</v>
      </c>
      <c r="G4308" t="s">
        <v>2783</v>
      </c>
      <c r="H4308" t="s">
        <v>7291</v>
      </c>
      <c r="I4308" t="s">
        <v>6200</v>
      </c>
      <c r="J4308" t="s">
        <v>13423</v>
      </c>
      <c r="K4308" t="s">
        <v>12629</v>
      </c>
      <c r="L4308">
        <f>HYPERLINK("https://www2.assemblee-nationale.fr/sycomore/fiche/(num_dept)/8082", "8082")</f>
        <v>0</v>
      </c>
      <c r="N4308">
        <f>HYPERLINK("https://www.wikidata.org/wiki/Q16026051", "Q16026051")</f>
        <v>0</v>
      </c>
      <c r="O4308" t="s">
        <v>20031</v>
      </c>
      <c r="P4308" t="s">
        <v>20459</v>
      </c>
      <c r="Q4308" t="s">
        <v>13445</v>
      </c>
      <c r="R4308" t="s">
        <v>21463</v>
      </c>
      <c r="S4308">
        <v>1515</v>
      </c>
    </row>
    <row r="4309" spans="1:19">
      <c r="A4309" t="s">
        <v>25</v>
      </c>
      <c r="B4309" t="s">
        <v>148</v>
      </c>
      <c r="C4309" t="s">
        <v>157</v>
      </c>
      <c r="D4309" t="s">
        <v>286</v>
      </c>
      <c r="E4309" t="s">
        <v>415</v>
      </c>
      <c r="F4309">
        <f>HYPERLINK("https://www.wikidata.org/wiki/Q33756706", "Q33756706")</f>
        <v>0</v>
      </c>
      <c r="G4309" t="s">
        <v>2784</v>
      </c>
      <c r="H4309" t="s">
        <v>6493</v>
      </c>
      <c r="I4309" t="s">
        <v>10433</v>
      </c>
      <c r="J4309" t="s">
        <v>13424</v>
      </c>
      <c r="K4309" t="s">
        <v>17820</v>
      </c>
      <c r="L4309">
        <f>HYPERLINK("https://www2.assemblee-nationale.fr/sycomore/fiche/(num_dept)/8083", "8083")</f>
        <v>0</v>
      </c>
      <c r="N4309">
        <f>HYPERLINK("https://www.wikidata.org/wiki/Q3165358", "Q3165358")</f>
        <v>0</v>
      </c>
      <c r="O4309" t="s">
        <v>20031</v>
      </c>
      <c r="P4309" t="s">
        <v>20464</v>
      </c>
      <c r="Q4309" t="s">
        <v>13445</v>
      </c>
      <c r="R4309" t="s">
        <v>17820</v>
      </c>
      <c r="S4309">
        <v>1067</v>
      </c>
    </row>
    <row r="4310" spans="1:19">
      <c r="A4310" t="s">
        <v>25</v>
      </c>
      <c r="B4310" t="s">
        <v>148</v>
      </c>
      <c r="C4310" t="s">
        <v>157</v>
      </c>
      <c r="D4310" t="s">
        <v>286</v>
      </c>
      <c r="E4310" t="s">
        <v>415</v>
      </c>
      <c r="F4310">
        <f>HYPERLINK("https://www.wikidata.org/wiki/Q33756706", "Q33756706")</f>
        <v>0</v>
      </c>
      <c r="G4310" t="s">
        <v>2785</v>
      </c>
      <c r="H4310" t="s">
        <v>6585</v>
      </c>
      <c r="I4310" t="s">
        <v>10434</v>
      </c>
      <c r="J4310" t="s">
        <v>13425</v>
      </c>
      <c r="K4310" t="s">
        <v>17821</v>
      </c>
      <c r="L4310">
        <f>HYPERLINK("https://www2.assemblee-nationale.fr/sycomore/fiche/(num_dept)/8084", "8084")</f>
        <v>0</v>
      </c>
      <c r="N4310">
        <f>HYPERLINK("https://www.wikidata.org/wiki/Q15973274", "Q15973274")</f>
        <v>0</v>
      </c>
      <c r="O4310" t="s">
        <v>20031</v>
      </c>
      <c r="P4310" t="s">
        <v>20464</v>
      </c>
      <c r="Q4310" t="s">
        <v>13445</v>
      </c>
      <c r="R4310" t="s">
        <v>17821</v>
      </c>
      <c r="S4310">
        <v>829</v>
      </c>
    </row>
    <row r="4311" spans="1:19">
      <c r="A4311" t="s">
        <v>25</v>
      </c>
      <c r="B4311" t="s">
        <v>148</v>
      </c>
      <c r="C4311" t="s">
        <v>157</v>
      </c>
      <c r="D4311" t="s">
        <v>286</v>
      </c>
      <c r="E4311" t="s">
        <v>415</v>
      </c>
      <c r="F4311">
        <f>HYPERLINK("https://www.wikidata.org/wiki/Q33756706", "Q33756706")</f>
        <v>0</v>
      </c>
      <c r="G4311" t="s">
        <v>2786</v>
      </c>
      <c r="H4311" t="s">
        <v>7292</v>
      </c>
      <c r="I4311" t="s">
        <v>9612</v>
      </c>
      <c r="J4311" t="s">
        <v>13426</v>
      </c>
      <c r="K4311" t="s">
        <v>17802</v>
      </c>
      <c r="L4311">
        <f>HYPERLINK("https://www2.assemblee-nationale.fr/sycomore/fiche/(num_dept)/8085", "8085")</f>
        <v>0</v>
      </c>
      <c r="M4311">
        <f>HYPERLINK("https://www.senat.fr/senateur-3eme-republique/mestreau_frederic0404r3.html", "mestreau_frederic0404r3")</f>
        <v>0</v>
      </c>
      <c r="N4311">
        <f>HYPERLINK("https://www.wikidata.org/wiki/Q3090039", "Q3090039")</f>
        <v>0</v>
      </c>
      <c r="O4311" t="s">
        <v>20037</v>
      </c>
      <c r="P4311" t="s">
        <v>20461</v>
      </c>
      <c r="Q4311" t="s">
        <v>13445</v>
      </c>
      <c r="R4311" t="s">
        <v>21480</v>
      </c>
      <c r="S4311">
        <v>1268</v>
      </c>
    </row>
    <row r="4312" spans="1:19">
      <c r="A4312" t="s">
        <v>25</v>
      </c>
      <c r="B4312" t="s">
        <v>148</v>
      </c>
      <c r="C4312" t="s">
        <v>157</v>
      </c>
      <c r="D4312" t="s">
        <v>286</v>
      </c>
      <c r="E4312" t="s">
        <v>415</v>
      </c>
      <c r="F4312">
        <f>HYPERLINK("https://www.wikidata.org/wiki/Q33756706", "Q33756706")</f>
        <v>0</v>
      </c>
      <c r="G4312" t="s">
        <v>2787</v>
      </c>
      <c r="H4312" t="s">
        <v>7293</v>
      </c>
      <c r="I4312" t="s">
        <v>10435</v>
      </c>
      <c r="J4312" t="s">
        <v>13427</v>
      </c>
      <c r="K4312" t="s">
        <v>17822</v>
      </c>
      <c r="L4312">
        <f>HYPERLINK("https://www2.assemblee-nationale.fr/sycomore/fiche/(num_dept)/8086", "8086")</f>
        <v>0</v>
      </c>
      <c r="M4312">
        <f>HYPERLINK("https://www.senat.fr/senateur-3eme-republique/barbedette_pierre0411r3.html", "barbedette_pierre0411r3")</f>
        <v>0</v>
      </c>
      <c r="N4312">
        <f>HYPERLINK("https://www.wikidata.org/wiki/Q3383857", "Q3383857")</f>
        <v>0</v>
      </c>
      <c r="O4312" t="s">
        <v>20037</v>
      </c>
      <c r="Q4312" t="s">
        <v>13445</v>
      </c>
      <c r="R4312" t="s">
        <v>21481</v>
      </c>
      <c r="S4312">
        <v>1266</v>
      </c>
    </row>
    <row r="4313" spans="1:19">
      <c r="A4313" t="s">
        <v>25</v>
      </c>
      <c r="B4313" t="s">
        <v>148</v>
      </c>
      <c r="C4313" t="s">
        <v>157</v>
      </c>
      <c r="D4313" t="s">
        <v>286</v>
      </c>
      <c r="E4313" t="s">
        <v>415</v>
      </c>
      <c r="F4313">
        <f>HYPERLINK("https://www.wikidata.org/wiki/Q33756706", "Q33756706")</f>
        <v>0</v>
      </c>
      <c r="G4313" t="s">
        <v>2788</v>
      </c>
      <c r="H4313" t="s">
        <v>7294</v>
      </c>
      <c r="I4313" t="s">
        <v>10436</v>
      </c>
      <c r="J4313" t="s">
        <v>13428</v>
      </c>
      <c r="K4313" t="s">
        <v>17823</v>
      </c>
      <c r="L4313">
        <f>HYPERLINK("https://www2.assemblee-nationale.fr/sycomore/fiche/(num_dept)/8087", "8087")</f>
        <v>0</v>
      </c>
      <c r="M4313">
        <f>HYPERLINK("https://www.senat.fr/senateur-3eme-republique/bisseuil_eugene0418r3.html", "bisseuil_eugene0418r3")</f>
        <v>0</v>
      </c>
      <c r="N4313">
        <f>HYPERLINK("https://www.wikidata.org/wiki/Q3059728", "Q3059728")</f>
        <v>0</v>
      </c>
      <c r="O4313" t="s">
        <v>20037</v>
      </c>
      <c r="Q4313" t="s">
        <v>13445</v>
      </c>
      <c r="R4313" t="s">
        <v>21463</v>
      </c>
      <c r="S4313">
        <v>1515</v>
      </c>
    </row>
    <row r="4314" spans="1:19">
      <c r="A4314" t="s">
        <v>25</v>
      </c>
      <c r="B4314" t="s">
        <v>148</v>
      </c>
      <c r="C4314" t="s">
        <v>157</v>
      </c>
      <c r="D4314" t="s">
        <v>286</v>
      </c>
      <c r="E4314" t="s">
        <v>415</v>
      </c>
      <c r="F4314">
        <f>HYPERLINK("https://www.wikidata.org/wiki/Q33756706", "Q33756706")</f>
        <v>0</v>
      </c>
      <c r="G4314" t="s">
        <v>2789</v>
      </c>
      <c r="H4314" t="s">
        <v>7295</v>
      </c>
      <c r="I4314" t="s">
        <v>6200</v>
      </c>
      <c r="J4314" t="s">
        <v>13429</v>
      </c>
      <c r="K4314" t="s">
        <v>17824</v>
      </c>
      <c r="L4314">
        <f>HYPERLINK("https://www2.assemblee-nationale.fr/sycomore/fiche/(num_dept)/8090", "8090")</f>
        <v>0</v>
      </c>
      <c r="M4314">
        <f>HYPERLINK("https://www.senat.fr/senateur-3eme-republique/girault_jean0426r3.html", "girault_jean0426r3")</f>
        <v>0</v>
      </c>
      <c r="N4314">
        <f>HYPERLINK("https://www.wikidata.org/wiki/Q3172313", "Q3172313")</f>
        <v>0</v>
      </c>
      <c r="O4314" t="s">
        <v>19996</v>
      </c>
      <c r="P4314" t="s">
        <v>20459</v>
      </c>
      <c r="Q4314" t="s">
        <v>13445</v>
      </c>
      <c r="R4314" t="s">
        <v>21467</v>
      </c>
      <c r="S4314">
        <v>1264</v>
      </c>
    </row>
    <row r="4315" spans="1:19">
      <c r="A4315" t="s">
        <v>25</v>
      </c>
      <c r="B4315" t="s">
        <v>148</v>
      </c>
      <c r="C4315" t="s">
        <v>157</v>
      </c>
      <c r="D4315" t="s">
        <v>286</v>
      </c>
      <c r="E4315" t="s">
        <v>415</v>
      </c>
      <c r="F4315">
        <f>HYPERLINK("https://www.wikidata.org/wiki/Q33756706", "Q33756706")</f>
        <v>0</v>
      </c>
      <c r="G4315" t="s">
        <v>2790</v>
      </c>
      <c r="H4315" t="s">
        <v>7296</v>
      </c>
      <c r="I4315" t="s">
        <v>10437</v>
      </c>
      <c r="J4315" t="s">
        <v>13430</v>
      </c>
      <c r="K4315" t="s">
        <v>17825</v>
      </c>
      <c r="L4315">
        <f>HYPERLINK("https://www2.assemblee-nationale.fr/sycomore/fiche/(num_dept)/8092", "8092")</f>
        <v>0</v>
      </c>
      <c r="N4315">
        <f>HYPERLINK("https://www.wikidata.org/wiki/Q3057089", "Q3057089")</f>
        <v>0</v>
      </c>
      <c r="O4315" t="s">
        <v>19996</v>
      </c>
      <c r="P4315" t="s">
        <v>20459</v>
      </c>
      <c r="Q4315" t="s">
        <v>13445</v>
      </c>
      <c r="R4315" t="s">
        <v>21463</v>
      </c>
      <c r="S4315">
        <v>1515</v>
      </c>
    </row>
    <row r="4316" spans="1:19">
      <c r="A4316" t="s">
        <v>25</v>
      </c>
      <c r="B4316" t="s">
        <v>148</v>
      </c>
      <c r="C4316" t="s">
        <v>157</v>
      </c>
      <c r="D4316" t="s">
        <v>286</v>
      </c>
      <c r="E4316" t="s">
        <v>415</v>
      </c>
      <c r="F4316">
        <f>HYPERLINK("https://www.wikidata.org/wiki/Q33756706", "Q33756706")</f>
        <v>0</v>
      </c>
      <c r="G4316" t="s">
        <v>2791</v>
      </c>
      <c r="H4316" t="s">
        <v>7297</v>
      </c>
      <c r="I4316" t="s">
        <v>10438</v>
      </c>
      <c r="J4316" t="s">
        <v>13431</v>
      </c>
      <c r="K4316" t="s">
        <v>17826</v>
      </c>
      <c r="L4316">
        <f>HYPERLINK("https://www2.assemblee-nationale.fr/sycomore/fiche/(num_dept)/8093", "8093")</f>
        <v>0</v>
      </c>
      <c r="N4316">
        <f>HYPERLINK("https://www.wikidata.org/wiki/Q16025428", "Q16025428")</f>
        <v>0</v>
      </c>
      <c r="O4316" t="s">
        <v>20020</v>
      </c>
      <c r="P4316" t="s">
        <v>20461</v>
      </c>
      <c r="Q4316" t="s">
        <v>13445</v>
      </c>
      <c r="R4316" t="s">
        <v>17826</v>
      </c>
      <c r="S4316">
        <v>857</v>
      </c>
    </row>
    <row r="4317" spans="1:19">
      <c r="A4317" t="s">
        <v>25</v>
      </c>
      <c r="B4317" t="s">
        <v>148</v>
      </c>
      <c r="C4317" t="s">
        <v>157</v>
      </c>
      <c r="D4317" t="s">
        <v>286</v>
      </c>
      <c r="E4317" t="s">
        <v>415</v>
      </c>
      <c r="F4317">
        <f>HYPERLINK("https://www.wikidata.org/wiki/Q33756706", "Q33756706")</f>
        <v>0</v>
      </c>
      <c r="G4317" t="s">
        <v>2792</v>
      </c>
      <c r="H4317" t="s">
        <v>7298</v>
      </c>
      <c r="I4317" t="s">
        <v>10439</v>
      </c>
      <c r="J4317" t="s">
        <v>13432</v>
      </c>
      <c r="K4317" t="s">
        <v>17827</v>
      </c>
      <c r="L4317">
        <f>HYPERLINK("https://www2.assemblee-nationale.fr/sycomore/fiche/(num_dept)/8095", "8095")</f>
        <v>0</v>
      </c>
      <c r="N4317">
        <f>HYPERLINK("https://www.wikidata.org/wiki/Q16026300", "Q16026300")</f>
        <v>0</v>
      </c>
      <c r="O4317" t="s">
        <v>20020</v>
      </c>
      <c r="P4317" t="s">
        <v>20461</v>
      </c>
      <c r="Q4317" t="s">
        <v>13445</v>
      </c>
      <c r="R4317" t="s">
        <v>21463</v>
      </c>
      <c r="S4317">
        <v>1515</v>
      </c>
    </row>
    <row r="4318" spans="1:19">
      <c r="A4318" t="s">
        <v>25</v>
      </c>
      <c r="B4318" t="s">
        <v>148</v>
      </c>
      <c r="C4318" t="s">
        <v>157</v>
      </c>
      <c r="D4318" t="s">
        <v>286</v>
      </c>
      <c r="E4318" t="s">
        <v>415</v>
      </c>
      <c r="F4318">
        <f>HYPERLINK("https://www.wikidata.org/wiki/Q33756706", "Q33756706")</f>
        <v>0</v>
      </c>
      <c r="G4318" t="s">
        <v>2793</v>
      </c>
      <c r="H4318" t="s">
        <v>7299</v>
      </c>
      <c r="I4318" t="s">
        <v>10440</v>
      </c>
      <c r="J4318" t="s">
        <v>13433</v>
      </c>
      <c r="K4318" t="s">
        <v>17828</v>
      </c>
      <c r="L4318">
        <f>HYPERLINK("https://www2.assemblee-nationale.fr/sycomore/fiche/(num_dept)/8096", "8096")</f>
        <v>0</v>
      </c>
      <c r="M4318">
        <f>HYPERLINK("https://www.senat.fr/senateur-3eme-republique/le_cherbonnier_auguste0461r3.html", "le_cherbonnier_auguste0461r3")</f>
        <v>0</v>
      </c>
      <c r="N4318">
        <f>HYPERLINK("https://www.wikidata.org/wiki/Q2871272", "Q2871272")</f>
        <v>0</v>
      </c>
      <c r="O4318" t="s">
        <v>20020</v>
      </c>
      <c r="P4318" t="s">
        <v>20459</v>
      </c>
      <c r="Q4318" t="s">
        <v>13445</v>
      </c>
      <c r="R4318" t="s">
        <v>21482</v>
      </c>
      <c r="S4318">
        <v>1261</v>
      </c>
    </row>
    <row r="4319" spans="1:19">
      <c r="A4319" t="s">
        <v>25</v>
      </c>
      <c r="B4319" t="s">
        <v>148</v>
      </c>
      <c r="C4319" t="s">
        <v>157</v>
      </c>
      <c r="D4319" t="s">
        <v>286</v>
      </c>
      <c r="E4319" t="s">
        <v>415</v>
      </c>
      <c r="F4319">
        <f>HYPERLINK("https://www.wikidata.org/wiki/Q33756706", "Q33756706")</f>
        <v>0</v>
      </c>
      <c r="G4319" t="s">
        <v>2794</v>
      </c>
      <c r="H4319" t="s">
        <v>6917</v>
      </c>
      <c r="I4319" t="s">
        <v>10441</v>
      </c>
      <c r="J4319" t="s">
        <v>13434</v>
      </c>
      <c r="K4319" t="s">
        <v>17829</v>
      </c>
      <c r="L4319">
        <f>HYPERLINK("https://www2.assemblee-nationale.fr/sycomore/fiche/(num_dept)/8098", "8098")</f>
        <v>0</v>
      </c>
      <c r="N4319">
        <f>HYPERLINK("https://www.wikidata.org/wiki/Q16025809", "Q16025809")</f>
        <v>0</v>
      </c>
      <c r="O4319" t="s">
        <v>19955</v>
      </c>
      <c r="P4319" t="s">
        <v>20461</v>
      </c>
      <c r="Q4319" t="s">
        <v>13445</v>
      </c>
      <c r="R4319" t="s">
        <v>415</v>
      </c>
      <c r="S4319">
        <v>1541</v>
      </c>
    </row>
    <row r="4320" spans="1:19">
      <c r="A4320" t="s">
        <v>25</v>
      </c>
      <c r="B4320" t="s">
        <v>148</v>
      </c>
      <c r="C4320" t="s">
        <v>157</v>
      </c>
      <c r="D4320" t="s">
        <v>286</v>
      </c>
      <c r="E4320" t="s">
        <v>415</v>
      </c>
      <c r="F4320">
        <f>HYPERLINK("https://www.wikidata.org/wiki/Q33756706", "Q33756706")</f>
        <v>0</v>
      </c>
      <c r="G4320" t="s">
        <v>2795</v>
      </c>
      <c r="H4320" t="s">
        <v>7300</v>
      </c>
      <c r="I4320" t="s">
        <v>10442</v>
      </c>
      <c r="J4320" t="s">
        <v>13435</v>
      </c>
      <c r="K4320" t="s">
        <v>17830</v>
      </c>
      <c r="L4320">
        <f>HYPERLINK("https://www2.assemblee-nationale.fr/sycomore/fiche/(num_dept)/8101", "8101")</f>
        <v>0</v>
      </c>
      <c r="M4320">
        <f>HYPERLINK("https://www.senat.fr/senateur-3eme-republique/hugot_louis0531r3.html", "hugot_louis0531r3")</f>
        <v>0</v>
      </c>
      <c r="N4320">
        <f>HYPERLINK("https://www.wikidata.org/wiki/Q3262207", "Q3262207")</f>
        <v>0</v>
      </c>
      <c r="O4320" t="s">
        <v>20002</v>
      </c>
      <c r="Q4320" t="s">
        <v>13445</v>
      </c>
      <c r="R4320" t="s">
        <v>21482</v>
      </c>
      <c r="S4320">
        <v>1261</v>
      </c>
    </row>
    <row r="4321" spans="1:19">
      <c r="A4321" t="s">
        <v>25</v>
      </c>
      <c r="B4321" t="s">
        <v>148</v>
      </c>
      <c r="C4321" t="s">
        <v>157</v>
      </c>
      <c r="D4321" t="s">
        <v>286</v>
      </c>
      <c r="E4321" t="s">
        <v>415</v>
      </c>
      <c r="F4321">
        <f>HYPERLINK("https://www.wikidata.org/wiki/Q33756706", "Q33756706")</f>
        <v>0</v>
      </c>
      <c r="G4321" t="s">
        <v>2796</v>
      </c>
      <c r="H4321" t="s">
        <v>7301</v>
      </c>
      <c r="I4321" t="s">
        <v>10443</v>
      </c>
      <c r="J4321" t="s">
        <v>13436</v>
      </c>
      <c r="K4321" t="s">
        <v>17831</v>
      </c>
      <c r="L4321">
        <f>HYPERLINK("https://www2.assemblee-nationale.fr/sycomore/fiche/(num_dept)/8102", "8102")</f>
        <v>0</v>
      </c>
      <c r="N4321">
        <f>HYPERLINK("https://www.wikidata.org/wiki/Q3293116", "Q3293116")</f>
        <v>0</v>
      </c>
      <c r="O4321" t="s">
        <v>19964</v>
      </c>
      <c r="P4321" t="s">
        <v>20460</v>
      </c>
      <c r="Q4321" t="s">
        <v>13445</v>
      </c>
      <c r="R4321" t="s">
        <v>21483</v>
      </c>
      <c r="S4321">
        <v>111</v>
      </c>
    </row>
    <row r="4322" spans="1:19">
      <c r="A4322" t="s">
        <v>25</v>
      </c>
      <c r="B4322" t="s">
        <v>148</v>
      </c>
      <c r="C4322" t="s">
        <v>157</v>
      </c>
      <c r="D4322" t="s">
        <v>286</v>
      </c>
      <c r="E4322" t="s">
        <v>415</v>
      </c>
      <c r="F4322">
        <f>HYPERLINK("https://www.wikidata.org/wiki/Q33756706", "Q33756706")</f>
        <v>0</v>
      </c>
      <c r="G4322" t="s">
        <v>2797</v>
      </c>
      <c r="H4322" t="s">
        <v>7302</v>
      </c>
      <c r="I4322" t="s">
        <v>10444</v>
      </c>
      <c r="J4322" t="s">
        <v>13437</v>
      </c>
      <c r="K4322" t="s">
        <v>17832</v>
      </c>
      <c r="L4322">
        <f>HYPERLINK("https://www2.assemblee-nationale.fr/sycomore/fiche/(num_dept)/8103", "8103")</f>
        <v>0</v>
      </c>
      <c r="N4322">
        <f>HYPERLINK("https://www.wikidata.org/wiki/Q2958231", "Q2958231")</f>
        <v>0</v>
      </c>
      <c r="O4322" t="s">
        <v>19964</v>
      </c>
      <c r="Q4322" t="s">
        <v>13445</v>
      </c>
      <c r="R4322" t="s">
        <v>21463</v>
      </c>
      <c r="S4322">
        <v>1515</v>
      </c>
    </row>
    <row r="4323" spans="1:19">
      <c r="A4323" t="s">
        <v>25</v>
      </c>
      <c r="B4323" t="s">
        <v>148</v>
      </c>
      <c r="C4323" t="s">
        <v>157</v>
      </c>
      <c r="D4323" t="s">
        <v>286</v>
      </c>
      <c r="E4323" t="s">
        <v>415</v>
      </c>
      <c r="F4323">
        <f>HYPERLINK("https://www.wikidata.org/wiki/Q33756706", "Q33756706")</f>
        <v>0</v>
      </c>
      <c r="G4323" t="s">
        <v>2798</v>
      </c>
      <c r="H4323" t="s">
        <v>5705</v>
      </c>
      <c r="I4323" t="s">
        <v>10445</v>
      </c>
      <c r="J4323" t="s">
        <v>13438</v>
      </c>
      <c r="K4323" t="s">
        <v>17833</v>
      </c>
      <c r="L4323">
        <f>HYPERLINK("https://www2.assemblee-nationale.fr/sycomore/fiche/(num_dept)/8104", "8104")</f>
        <v>0</v>
      </c>
      <c r="N4323">
        <f>HYPERLINK("https://www.wikidata.org/wiki/Q3159566", "Q3159566")</f>
        <v>0</v>
      </c>
      <c r="O4323" t="s">
        <v>19964</v>
      </c>
      <c r="P4323" t="s">
        <v>20461</v>
      </c>
      <c r="Q4323" t="s">
        <v>13445</v>
      </c>
      <c r="R4323" t="s">
        <v>21463</v>
      </c>
      <c r="S4323">
        <v>1515</v>
      </c>
    </row>
    <row r="4324" spans="1:19">
      <c r="A4324" t="s">
        <v>25</v>
      </c>
      <c r="B4324" t="s">
        <v>148</v>
      </c>
      <c r="C4324" t="s">
        <v>157</v>
      </c>
      <c r="D4324" t="s">
        <v>286</v>
      </c>
      <c r="E4324" t="s">
        <v>415</v>
      </c>
      <c r="F4324">
        <f>HYPERLINK("https://www.wikidata.org/wiki/Q33756706", "Q33756706")</f>
        <v>0</v>
      </c>
      <c r="G4324" t="s">
        <v>2799</v>
      </c>
      <c r="H4324" t="s">
        <v>7303</v>
      </c>
      <c r="I4324" t="s">
        <v>10446</v>
      </c>
      <c r="J4324" t="s">
        <v>13439</v>
      </c>
      <c r="K4324" t="s">
        <v>17834</v>
      </c>
      <c r="L4324">
        <f>HYPERLINK("https://www2.assemblee-nationale.fr/sycomore/fiche/(num_dept)/8105", "8105")</f>
        <v>0</v>
      </c>
      <c r="N4324">
        <f>HYPERLINK("https://www.wikidata.org/wiki/Q2960118", "Q2960118")</f>
        <v>0</v>
      </c>
      <c r="O4324" t="s">
        <v>19964</v>
      </c>
      <c r="P4324" t="s">
        <v>20460</v>
      </c>
      <c r="Q4324" t="s">
        <v>13445</v>
      </c>
      <c r="R4324" t="s">
        <v>17834</v>
      </c>
      <c r="S4324">
        <v>849</v>
      </c>
    </row>
    <row r="4325" spans="1:19">
      <c r="A4325" t="s">
        <v>25</v>
      </c>
      <c r="B4325" t="s">
        <v>148</v>
      </c>
      <c r="C4325" t="s">
        <v>157</v>
      </c>
      <c r="D4325" t="s">
        <v>286</v>
      </c>
      <c r="E4325" t="s">
        <v>415</v>
      </c>
      <c r="F4325">
        <f>HYPERLINK("https://www.wikidata.org/wiki/Q33756706", "Q33756706")</f>
        <v>0</v>
      </c>
      <c r="G4325" t="s">
        <v>2800</v>
      </c>
      <c r="H4325" t="s">
        <v>7304</v>
      </c>
      <c r="I4325" t="s">
        <v>10447</v>
      </c>
      <c r="J4325" t="s">
        <v>13440</v>
      </c>
      <c r="K4325" t="s">
        <v>12902</v>
      </c>
      <c r="L4325">
        <f>HYPERLINK("https://www2.assemblee-nationale.fr/sycomore/fiche/(num_dept)/8108", "8108")</f>
        <v>0</v>
      </c>
      <c r="N4325">
        <f>HYPERLINK("https://www.wikidata.org/wiki/Q16025727", "Q16025727")</f>
        <v>0</v>
      </c>
      <c r="O4325" t="s">
        <v>19979</v>
      </c>
      <c r="P4325" t="s">
        <v>20461</v>
      </c>
      <c r="Q4325" t="s">
        <v>13445</v>
      </c>
      <c r="R4325" t="s">
        <v>12902</v>
      </c>
      <c r="S4325">
        <v>256</v>
      </c>
    </row>
    <row r="4326" spans="1:19">
      <c r="A4326" t="s">
        <v>25</v>
      </c>
      <c r="B4326" t="s">
        <v>148</v>
      </c>
      <c r="C4326" t="s">
        <v>157</v>
      </c>
      <c r="D4326" t="s">
        <v>286</v>
      </c>
      <c r="E4326" t="s">
        <v>415</v>
      </c>
      <c r="F4326">
        <f>HYPERLINK("https://www.wikidata.org/wiki/Q33756706", "Q33756706")</f>
        <v>0</v>
      </c>
      <c r="G4326" t="s">
        <v>2801</v>
      </c>
      <c r="H4326" t="s">
        <v>5397</v>
      </c>
      <c r="I4326" t="s">
        <v>10448</v>
      </c>
      <c r="J4326" t="s">
        <v>13441</v>
      </c>
      <c r="K4326" t="s">
        <v>17835</v>
      </c>
      <c r="L4326">
        <f>HYPERLINK("https://www2.assemblee-nationale.fr/sycomore/fiche/(num_dept)/8109", "8109")</f>
        <v>0</v>
      </c>
      <c r="N4326">
        <f>HYPERLINK("https://www.wikidata.org/wiki/Q8326855", "Q8326855")</f>
        <v>0</v>
      </c>
      <c r="O4326" t="s">
        <v>19979</v>
      </c>
      <c r="P4326" t="s">
        <v>20459</v>
      </c>
      <c r="Q4326" t="s">
        <v>13445</v>
      </c>
      <c r="R4326" t="s">
        <v>17835</v>
      </c>
      <c r="S4326">
        <v>94</v>
      </c>
    </row>
    <row r="4327" spans="1:19">
      <c r="A4327" t="s">
        <v>25</v>
      </c>
      <c r="B4327" t="s">
        <v>148</v>
      </c>
      <c r="C4327" t="s">
        <v>157</v>
      </c>
      <c r="D4327" t="s">
        <v>286</v>
      </c>
      <c r="E4327" t="s">
        <v>415</v>
      </c>
      <c r="F4327">
        <f>HYPERLINK("https://www.wikidata.org/wiki/Q33756706", "Q33756706")</f>
        <v>0</v>
      </c>
      <c r="G4327" t="s">
        <v>2802</v>
      </c>
      <c r="H4327" t="s">
        <v>7305</v>
      </c>
      <c r="I4327" t="s">
        <v>10449</v>
      </c>
      <c r="J4327" t="s">
        <v>13442</v>
      </c>
      <c r="K4327" t="s">
        <v>17836</v>
      </c>
      <c r="L4327">
        <f>HYPERLINK("https://www2.assemblee-nationale.fr/sycomore/fiche/(num_dept)/8110", "8110")</f>
        <v>0</v>
      </c>
      <c r="M4327">
        <f>HYPERLINK("https://www.senat.fr/senateur-3eme-republique/parry_eugene0623r3.html", "parry_eugene0623r3")</f>
        <v>0</v>
      </c>
      <c r="N4327">
        <f>HYPERLINK("https://www.wikidata.org/wiki/Q3060079", "Q3060079")</f>
        <v>0</v>
      </c>
      <c r="O4327" t="s">
        <v>19979</v>
      </c>
      <c r="P4327" t="s">
        <v>20461</v>
      </c>
      <c r="Q4327" t="s">
        <v>13445</v>
      </c>
      <c r="R4327" t="s">
        <v>21467</v>
      </c>
      <c r="S4327">
        <v>1264</v>
      </c>
    </row>
    <row r="4328" spans="1:19">
      <c r="A4328" t="s">
        <v>25</v>
      </c>
      <c r="B4328" t="s">
        <v>148</v>
      </c>
      <c r="C4328" t="s">
        <v>157</v>
      </c>
      <c r="D4328" t="s">
        <v>286</v>
      </c>
      <c r="E4328" t="s">
        <v>415</v>
      </c>
      <c r="F4328">
        <f>HYPERLINK("https://www.wikidata.org/wiki/Q33756706", "Q33756706")</f>
        <v>0</v>
      </c>
      <c r="G4328" t="s">
        <v>2803</v>
      </c>
      <c r="H4328" t="s">
        <v>7306</v>
      </c>
      <c r="I4328" t="s">
        <v>6200</v>
      </c>
      <c r="J4328" t="s">
        <v>13443</v>
      </c>
      <c r="K4328" t="s">
        <v>17837</v>
      </c>
      <c r="L4328">
        <f>HYPERLINK("https://www2.assemblee-nationale.fr/sycomore/fiche/(num_dept)/8112", "8112")</f>
        <v>0</v>
      </c>
      <c r="M4328">
        <f>HYPERLINK("https://www.senat.fr/senateur-3eme-republique/garrigat_jean0659r3.html", "garrigat_jean0659r3")</f>
        <v>0</v>
      </c>
      <c r="N4328">
        <f>HYPERLINK("https://www.wikidata.org/wiki/Q3172227", "Q3172227")</f>
        <v>0</v>
      </c>
      <c r="O4328" t="s">
        <v>20010</v>
      </c>
      <c r="P4328" t="s">
        <v>20461</v>
      </c>
      <c r="Q4328" t="s">
        <v>13445</v>
      </c>
      <c r="R4328" t="s">
        <v>21479</v>
      </c>
      <c r="S4328">
        <v>1262</v>
      </c>
    </row>
    <row r="4329" spans="1:19">
      <c r="A4329" t="s">
        <v>25</v>
      </c>
      <c r="B4329" t="s">
        <v>148</v>
      </c>
      <c r="C4329" t="s">
        <v>157</v>
      </c>
      <c r="D4329" t="s">
        <v>286</v>
      </c>
      <c r="E4329" t="s">
        <v>415</v>
      </c>
      <c r="F4329">
        <f>HYPERLINK("https://www.wikidata.org/wiki/Q33756706", "Q33756706")</f>
        <v>0</v>
      </c>
      <c r="G4329" t="s">
        <v>2804</v>
      </c>
      <c r="H4329" t="s">
        <v>7307</v>
      </c>
      <c r="I4329" t="s">
        <v>10450</v>
      </c>
      <c r="J4329" t="s">
        <v>13444</v>
      </c>
      <c r="K4329" t="s">
        <v>17838</v>
      </c>
      <c r="L4329">
        <f>HYPERLINK("https://www2.assemblee-nationale.fr/sycomore/fiche/(num_dept)/8113", "8113")</f>
        <v>0</v>
      </c>
      <c r="M4329">
        <f>HYPERLINK("https://www.senat.fr/senateur-3eme-republique/dusolier_alcide0667r3.html", "dusolier_alcide0667r3")</f>
        <v>0</v>
      </c>
      <c r="N4329">
        <f>HYPERLINK("https://www.wikidata.org/wiki/Q765905", "Q765905")</f>
        <v>0</v>
      </c>
      <c r="O4329" t="s">
        <v>20010</v>
      </c>
      <c r="Q4329" t="s">
        <v>13445</v>
      </c>
      <c r="R4329" t="s">
        <v>21482</v>
      </c>
      <c r="S4329">
        <v>1261</v>
      </c>
    </row>
    <row r="4330" spans="1:19">
      <c r="A4330" t="s">
        <v>25</v>
      </c>
      <c r="B4330" t="s">
        <v>148</v>
      </c>
      <c r="C4330" t="s">
        <v>157</v>
      </c>
      <c r="D4330" t="s">
        <v>286</v>
      </c>
      <c r="E4330" t="s">
        <v>415</v>
      </c>
      <c r="F4330">
        <f>HYPERLINK("https://www.wikidata.org/wiki/Q33756706", "Q33756706")</f>
        <v>0</v>
      </c>
      <c r="G4330" t="s">
        <v>2805</v>
      </c>
      <c r="H4330" t="s">
        <v>5893</v>
      </c>
      <c r="I4330" t="s">
        <v>9474</v>
      </c>
      <c r="J4330" t="s">
        <v>13445</v>
      </c>
      <c r="K4330" t="s">
        <v>12662</v>
      </c>
      <c r="L4330">
        <f>HYPERLINK("https://www2.assemblee-nationale.fr/sycomore/fiche/(num_dept)/8114", "8114")</f>
        <v>0</v>
      </c>
      <c r="N4330">
        <f>HYPERLINK("https://www.wikidata.org/wiki/Q16025441", "Q16025441")</f>
        <v>0</v>
      </c>
      <c r="O4330" t="s">
        <v>20010</v>
      </c>
      <c r="P4330" t="s">
        <v>20469</v>
      </c>
      <c r="Q4330" t="s">
        <v>13445</v>
      </c>
      <c r="R4330" t="s">
        <v>12662</v>
      </c>
      <c r="S4330">
        <v>26</v>
      </c>
    </row>
    <row r="4331" spans="1:19">
      <c r="A4331" t="s">
        <v>25</v>
      </c>
      <c r="B4331" t="s">
        <v>148</v>
      </c>
      <c r="C4331" t="s">
        <v>157</v>
      </c>
      <c r="D4331" t="s">
        <v>286</v>
      </c>
      <c r="E4331" t="s">
        <v>415</v>
      </c>
      <c r="F4331">
        <f>HYPERLINK("https://www.wikidata.org/wiki/Q33756706", "Q33756706")</f>
        <v>0</v>
      </c>
      <c r="G4331" t="s">
        <v>2806</v>
      </c>
      <c r="H4331" t="s">
        <v>7308</v>
      </c>
      <c r="I4331" t="s">
        <v>9714</v>
      </c>
      <c r="J4331" t="s">
        <v>13446</v>
      </c>
      <c r="K4331" t="s">
        <v>17839</v>
      </c>
      <c r="L4331">
        <f>HYPERLINK("https://www2.assemblee-nationale.fr/sycomore/fiche/(num_dept)/8115", "8115")</f>
        <v>0</v>
      </c>
      <c r="N4331">
        <f>HYPERLINK("https://www.wikidata.org/wiki/Q3170240", "Q3170240")</f>
        <v>0</v>
      </c>
      <c r="O4331" t="s">
        <v>20010</v>
      </c>
      <c r="P4331" t="s">
        <v>20461</v>
      </c>
      <c r="Q4331" t="s">
        <v>13445</v>
      </c>
      <c r="R4331" t="s">
        <v>21482</v>
      </c>
      <c r="S4331">
        <v>1261</v>
      </c>
    </row>
    <row r="4332" spans="1:19">
      <c r="A4332" t="s">
        <v>25</v>
      </c>
      <c r="B4332" t="s">
        <v>148</v>
      </c>
      <c r="C4332" t="s">
        <v>157</v>
      </c>
      <c r="D4332" t="s">
        <v>286</v>
      </c>
      <c r="E4332" t="s">
        <v>415</v>
      </c>
      <c r="F4332">
        <f>HYPERLINK("https://www.wikidata.org/wiki/Q33756706", "Q33756706")</f>
        <v>0</v>
      </c>
      <c r="G4332" t="s">
        <v>2807</v>
      </c>
      <c r="H4332" t="s">
        <v>7309</v>
      </c>
      <c r="I4332" t="s">
        <v>10451</v>
      </c>
      <c r="J4332" t="s">
        <v>13447</v>
      </c>
      <c r="K4332" t="s">
        <v>13041</v>
      </c>
      <c r="L4332">
        <f>HYPERLINK("https://www2.assemblee-nationale.fr/sycomore/fiche/(num_dept)/8116", "8116")</f>
        <v>0</v>
      </c>
      <c r="M4332">
        <f>HYPERLINK("https://www.senat.fr/senateur-3eme-republique/gaudy_felix0676r3.html", "gaudy_felix0676r3")</f>
        <v>0</v>
      </c>
      <c r="N4332">
        <f>HYPERLINK("https://www.wikidata.org/wiki/Q3092448", "Q3092448")</f>
        <v>0</v>
      </c>
      <c r="O4332" t="s">
        <v>19973</v>
      </c>
      <c r="P4332" t="s">
        <v>20459</v>
      </c>
      <c r="Q4332" t="s">
        <v>13445</v>
      </c>
      <c r="R4332" t="s">
        <v>21481</v>
      </c>
      <c r="S4332">
        <v>1266</v>
      </c>
    </row>
    <row r="4333" spans="1:19">
      <c r="A4333" t="s">
        <v>25</v>
      </c>
      <c r="B4333" t="s">
        <v>148</v>
      </c>
      <c r="C4333" t="s">
        <v>157</v>
      </c>
      <c r="D4333" t="s">
        <v>286</v>
      </c>
      <c r="E4333" t="s">
        <v>415</v>
      </c>
      <c r="F4333">
        <f>HYPERLINK("https://www.wikidata.org/wiki/Q33756706", "Q33756706")</f>
        <v>0</v>
      </c>
      <c r="G4333" t="s">
        <v>2808</v>
      </c>
      <c r="H4333" t="s">
        <v>7310</v>
      </c>
      <c r="I4333" t="s">
        <v>9437</v>
      </c>
      <c r="J4333" t="s">
        <v>13448</v>
      </c>
      <c r="K4333" t="s">
        <v>17840</v>
      </c>
      <c r="L4333">
        <f>HYPERLINK("https://www2.assemblee-nationale.fr/sycomore/fiche/(num_dept)/8117", "8117")</f>
        <v>0</v>
      </c>
      <c r="M4333">
        <f>HYPERLINK("https://www.senat.fr/senateur-3eme-republique/loubet_emile0714r3.html", "loubet_emile0714r3")</f>
        <v>0</v>
      </c>
      <c r="N4333">
        <f>HYPERLINK("https://www.wikidata.org/wiki/Q169502", "Q169502")</f>
        <v>0</v>
      </c>
      <c r="O4333" t="s">
        <v>20044</v>
      </c>
      <c r="P4333" t="s">
        <v>20458</v>
      </c>
      <c r="Q4333" t="s">
        <v>13445</v>
      </c>
      <c r="R4333" t="s">
        <v>13033</v>
      </c>
      <c r="S4333">
        <v>1273</v>
      </c>
    </row>
    <row r="4334" spans="1:19">
      <c r="A4334" t="s">
        <v>25</v>
      </c>
      <c r="B4334" t="s">
        <v>148</v>
      </c>
      <c r="C4334" t="s">
        <v>157</v>
      </c>
      <c r="D4334" t="s">
        <v>286</v>
      </c>
      <c r="E4334" t="s">
        <v>415</v>
      </c>
      <c r="F4334">
        <f>HYPERLINK("https://www.wikidata.org/wiki/Q33756706", "Q33756706")</f>
        <v>0</v>
      </c>
      <c r="G4334" t="s">
        <v>2809</v>
      </c>
      <c r="H4334" t="s">
        <v>7311</v>
      </c>
      <c r="I4334" t="s">
        <v>9955</v>
      </c>
      <c r="J4334" t="s">
        <v>13449</v>
      </c>
      <c r="K4334" t="s">
        <v>12552</v>
      </c>
      <c r="L4334">
        <f>HYPERLINK("https://www2.assemblee-nationale.fr/sycomore/fiche/(num_dept)/8118", "8118")</f>
        <v>0</v>
      </c>
      <c r="M4334">
        <f>HYPERLINK("https://www.senat.fr/senateur-3eme-republique/lepouze_jean_louis0734r3.html", "lepouze_jean_louis0734r3")</f>
        <v>0</v>
      </c>
      <c r="N4334">
        <f>HYPERLINK("https://www.wikidata.org/wiki/Q3166857", "Q3166857")</f>
        <v>0</v>
      </c>
      <c r="O4334" t="s">
        <v>19992</v>
      </c>
      <c r="P4334" t="s">
        <v>20462</v>
      </c>
      <c r="Q4334" t="s">
        <v>13445</v>
      </c>
      <c r="R4334" t="s">
        <v>12552</v>
      </c>
      <c r="S4334">
        <v>179</v>
      </c>
    </row>
    <row r="4335" spans="1:19">
      <c r="A4335" t="s">
        <v>25</v>
      </c>
      <c r="B4335" t="s">
        <v>148</v>
      </c>
      <c r="C4335" t="s">
        <v>157</v>
      </c>
      <c r="D4335" t="s">
        <v>286</v>
      </c>
      <c r="E4335" t="s">
        <v>415</v>
      </c>
      <c r="F4335">
        <f>HYPERLINK("https://www.wikidata.org/wiki/Q33756706", "Q33756706")</f>
        <v>0</v>
      </c>
      <c r="G4335" t="s">
        <v>2810</v>
      </c>
      <c r="H4335" t="s">
        <v>7312</v>
      </c>
      <c r="I4335" t="s">
        <v>10452</v>
      </c>
      <c r="J4335" t="s">
        <v>13450</v>
      </c>
      <c r="K4335" t="s">
        <v>17841</v>
      </c>
      <c r="L4335">
        <f>HYPERLINK("https://www2.assemblee-nationale.fr/sycomore/fiche/(num_dept)/8119", "8119")</f>
        <v>0</v>
      </c>
      <c r="N4335">
        <f>HYPERLINK("https://www.wikidata.org/wiki/Q82730", "Q82730")</f>
        <v>0</v>
      </c>
      <c r="O4335" t="s">
        <v>19992</v>
      </c>
      <c r="P4335" t="s">
        <v>20464</v>
      </c>
      <c r="Q4335" t="s">
        <v>13445</v>
      </c>
      <c r="R4335" t="s">
        <v>17841</v>
      </c>
      <c r="S4335">
        <v>919</v>
      </c>
    </row>
    <row r="4336" spans="1:19">
      <c r="A4336" t="s">
        <v>25</v>
      </c>
      <c r="B4336" t="s">
        <v>148</v>
      </c>
      <c r="C4336" t="s">
        <v>157</v>
      </c>
      <c r="D4336" t="s">
        <v>286</v>
      </c>
      <c r="E4336" t="s">
        <v>415</v>
      </c>
      <c r="F4336">
        <f>HYPERLINK("https://www.wikidata.org/wiki/Q33756706", "Q33756706")</f>
        <v>0</v>
      </c>
      <c r="G4336" t="s">
        <v>2811</v>
      </c>
      <c r="H4336" t="s">
        <v>7313</v>
      </c>
      <c r="I4336" t="s">
        <v>9385</v>
      </c>
      <c r="J4336" t="s">
        <v>13451</v>
      </c>
      <c r="K4336" t="s">
        <v>17842</v>
      </c>
      <c r="L4336">
        <f>HYPERLINK("https://www2.assemblee-nationale.fr/sycomore/fiche/(num_dept)/8120", "8120")</f>
        <v>0</v>
      </c>
      <c r="M4336">
        <f>HYPERLINK("https://www.senat.fr/senateur-3eme-republique/d_osmoy_charles0755r3.html", "d_osmoy_charles0755r3")</f>
        <v>0</v>
      </c>
      <c r="N4336">
        <f>HYPERLINK("https://www.wikidata.org/wiki/Q2960511", "Q2960511")</f>
        <v>0</v>
      </c>
      <c r="O4336" t="s">
        <v>19992</v>
      </c>
      <c r="P4336" t="s">
        <v>20458</v>
      </c>
      <c r="Q4336" t="s">
        <v>13445</v>
      </c>
      <c r="R4336" t="s">
        <v>21484</v>
      </c>
      <c r="S4336">
        <v>1289</v>
      </c>
    </row>
    <row r="4337" spans="1:19">
      <c r="A4337" t="s">
        <v>25</v>
      </c>
      <c r="B4337" t="s">
        <v>148</v>
      </c>
      <c r="C4337" t="s">
        <v>157</v>
      </c>
      <c r="D4337" t="s">
        <v>286</v>
      </c>
      <c r="E4337" t="s">
        <v>415</v>
      </c>
      <c r="F4337">
        <f>HYPERLINK("https://www.wikidata.org/wiki/Q33756706", "Q33756706")</f>
        <v>0</v>
      </c>
      <c r="G4337" t="s">
        <v>2812</v>
      </c>
      <c r="H4337" t="s">
        <v>7314</v>
      </c>
      <c r="I4337" t="s">
        <v>10453</v>
      </c>
      <c r="J4337" t="s">
        <v>13452</v>
      </c>
      <c r="K4337" t="s">
        <v>17843</v>
      </c>
      <c r="L4337">
        <f>HYPERLINK("https://www2.assemblee-nationale.fr/sycomore/fiche/(num_dept)/8121", "8121")</f>
        <v>0</v>
      </c>
      <c r="M4337">
        <f>HYPERLINK("https://www.senat.fr/senateur-3eme-republique/dreux_pierre0766r3.html", "dreux_pierre0766r3")</f>
        <v>0</v>
      </c>
      <c r="N4337">
        <f>HYPERLINK("https://www.wikidata.org/wiki/Q16025612", "Q16025612")</f>
        <v>0</v>
      </c>
      <c r="O4337" t="s">
        <v>19971</v>
      </c>
      <c r="P4337" t="s">
        <v>20458</v>
      </c>
      <c r="Q4337" t="s">
        <v>13445</v>
      </c>
      <c r="R4337" t="s">
        <v>21463</v>
      </c>
      <c r="S4337">
        <v>1515</v>
      </c>
    </row>
    <row r="4338" spans="1:19">
      <c r="A4338" t="s">
        <v>25</v>
      </c>
      <c r="B4338" t="s">
        <v>148</v>
      </c>
      <c r="C4338" t="s">
        <v>157</v>
      </c>
      <c r="D4338" t="s">
        <v>286</v>
      </c>
      <c r="E4338" t="s">
        <v>415</v>
      </c>
      <c r="F4338">
        <f>HYPERLINK("https://www.wikidata.org/wiki/Q33756706", "Q33756706")</f>
        <v>0</v>
      </c>
      <c r="G4338" t="s">
        <v>2813</v>
      </c>
      <c r="H4338" t="s">
        <v>7315</v>
      </c>
      <c r="I4338" t="s">
        <v>10454</v>
      </c>
      <c r="J4338" t="s">
        <v>13453</v>
      </c>
      <c r="K4338" t="s">
        <v>17844</v>
      </c>
      <c r="L4338">
        <f>HYPERLINK("https://www2.assemblee-nationale.fr/sycomore/fiche/(num_dept)/8122", "8122")</f>
        <v>0</v>
      </c>
      <c r="N4338">
        <f>HYPERLINK("https://www.wikidata.org/wiki/Q16025751", "Q16025751")</f>
        <v>0</v>
      </c>
      <c r="O4338" t="s">
        <v>19971</v>
      </c>
      <c r="P4338" t="s">
        <v>20401</v>
      </c>
      <c r="Q4338" t="s">
        <v>13445</v>
      </c>
      <c r="R4338" t="s">
        <v>17844</v>
      </c>
      <c r="S4338">
        <v>1299</v>
      </c>
    </row>
    <row r="4339" spans="1:19">
      <c r="A4339" t="s">
        <v>25</v>
      </c>
      <c r="B4339" t="s">
        <v>148</v>
      </c>
      <c r="C4339" t="s">
        <v>157</v>
      </c>
      <c r="D4339" t="s">
        <v>286</v>
      </c>
      <c r="E4339" t="s">
        <v>415</v>
      </c>
      <c r="F4339">
        <f>HYPERLINK("https://www.wikidata.org/wiki/Q33756706", "Q33756706")</f>
        <v>0</v>
      </c>
      <c r="G4339" t="s">
        <v>2814</v>
      </c>
      <c r="H4339" t="s">
        <v>7316</v>
      </c>
      <c r="I4339" t="s">
        <v>10455</v>
      </c>
      <c r="J4339" t="s">
        <v>13454</v>
      </c>
      <c r="K4339" t="s">
        <v>17845</v>
      </c>
      <c r="L4339">
        <f>HYPERLINK("https://www2.assemblee-nationale.fr/sycomore/fiche/(num_dept)/8123", "8123")</f>
        <v>0</v>
      </c>
      <c r="N4339">
        <f>HYPERLINK("https://www.wikidata.org/wiki/Q2957890", "Q2957890")</f>
        <v>0</v>
      </c>
      <c r="O4339" t="s">
        <v>19971</v>
      </c>
      <c r="P4339" t="s">
        <v>20461</v>
      </c>
      <c r="Q4339" t="s">
        <v>13445</v>
      </c>
      <c r="R4339" t="s">
        <v>21463</v>
      </c>
      <c r="S4339">
        <v>1515</v>
      </c>
    </row>
    <row r="4340" spans="1:19">
      <c r="A4340" t="s">
        <v>25</v>
      </c>
      <c r="B4340" t="s">
        <v>148</v>
      </c>
      <c r="C4340" t="s">
        <v>157</v>
      </c>
      <c r="D4340" t="s">
        <v>286</v>
      </c>
      <c r="E4340" t="s">
        <v>415</v>
      </c>
      <c r="F4340">
        <f>HYPERLINK("https://www.wikidata.org/wiki/Q33756706", "Q33756706")</f>
        <v>0</v>
      </c>
      <c r="G4340" t="s">
        <v>2815</v>
      </c>
      <c r="H4340" t="s">
        <v>5587</v>
      </c>
      <c r="I4340" t="s">
        <v>10456</v>
      </c>
      <c r="J4340" t="s">
        <v>13455</v>
      </c>
      <c r="K4340" t="s">
        <v>17846</v>
      </c>
      <c r="L4340">
        <f>HYPERLINK("https://www2.assemblee-nationale.fr/sycomore/fiche/(num_dept)/8125", "8125")</f>
        <v>0</v>
      </c>
      <c r="N4340">
        <f>HYPERLINK("https://www.wikidata.org/wiki/Q3083565", "Q3083565")</f>
        <v>0</v>
      </c>
      <c r="O4340" t="s">
        <v>20011</v>
      </c>
      <c r="P4340" t="s">
        <v>20460</v>
      </c>
      <c r="Q4340" t="s">
        <v>13445</v>
      </c>
      <c r="R4340" t="s">
        <v>17846</v>
      </c>
      <c r="S4340">
        <v>1285</v>
      </c>
    </row>
    <row r="4341" spans="1:19">
      <c r="A4341" t="s">
        <v>25</v>
      </c>
      <c r="B4341" t="s">
        <v>148</v>
      </c>
      <c r="C4341" t="s">
        <v>157</v>
      </c>
      <c r="D4341" t="s">
        <v>286</v>
      </c>
      <c r="E4341" t="s">
        <v>415</v>
      </c>
      <c r="F4341">
        <f>HYPERLINK("https://www.wikidata.org/wiki/Q33756706", "Q33756706")</f>
        <v>0</v>
      </c>
      <c r="G4341" t="s">
        <v>2816</v>
      </c>
      <c r="H4341" t="s">
        <v>7317</v>
      </c>
      <c r="I4341" t="s">
        <v>9472</v>
      </c>
      <c r="J4341" t="s">
        <v>13456</v>
      </c>
      <c r="K4341" t="s">
        <v>17847</v>
      </c>
      <c r="L4341">
        <f>HYPERLINK("https://www2.assemblee-nationale.fr/sycomore/fiche/(num_dept)/8126", "8126")</f>
        <v>0</v>
      </c>
      <c r="N4341">
        <f>HYPERLINK("https://www.wikidata.org/wiki/Q3136036", "Q3136036")</f>
        <v>0</v>
      </c>
      <c r="O4341" t="s">
        <v>20011</v>
      </c>
      <c r="P4341" t="s">
        <v>20458</v>
      </c>
      <c r="Q4341" t="s">
        <v>13445</v>
      </c>
      <c r="R4341" t="s">
        <v>21463</v>
      </c>
      <c r="S4341">
        <v>1515</v>
      </c>
    </row>
    <row r="4342" spans="1:19">
      <c r="A4342" t="s">
        <v>25</v>
      </c>
      <c r="B4342" t="s">
        <v>148</v>
      </c>
      <c r="C4342" t="s">
        <v>157</v>
      </c>
      <c r="D4342" t="s">
        <v>286</v>
      </c>
      <c r="E4342" t="s">
        <v>415</v>
      </c>
      <c r="F4342">
        <f>HYPERLINK("https://www.wikidata.org/wiki/Q33756706", "Q33756706")</f>
        <v>0</v>
      </c>
      <c r="G4342" t="s">
        <v>2817</v>
      </c>
      <c r="H4342" t="s">
        <v>7318</v>
      </c>
      <c r="I4342" t="s">
        <v>7790</v>
      </c>
      <c r="J4342" t="s">
        <v>13457</v>
      </c>
      <c r="K4342" t="s">
        <v>17848</v>
      </c>
      <c r="L4342">
        <f>HYPERLINK("https://www2.assemblee-nationale.fr/sycomore/fiche/(num_dept)/8127", "8127")</f>
        <v>0</v>
      </c>
      <c r="M4342">
        <f>HYPERLINK("https://www.senat.fr/senateur-3eme-republique/rousseau_armand0808r3.html", "rousseau_armand0808r3")</f>
        <v>0</v>
      </c>
      <c r="N4342">
        <f>HYPERLINK("https://www.wikidata.org/wiki/Q2861960", "Q2861960")</f>
        <v>0</v>
      </c>
      <c r="O4342" t="s">
        <v>20011</v>
      </c>
      <c r="P4342" t="s">
        <v>20461</v>
      </c>
      <c r="Q4342" t="s">
        <v>13445</v>
      </c>
      <c r="R4342" t="s">
        <v>21463</v>
      </c>
      <c r="S4342">
        <v>1515</v>
      </c>
    </row>
    <row r="4343" spans="1:19">
      <c r="A4343" t="s">
        <v>25</v>
      </c>
      <c r="B4343" t="s">
        <v>148</v>
      </c>
      <c r="C4343" t="s">
        <v>157</v>
      </c>
      <c r="D4343" t="s">
        <v>286</v>
      </c>
      <c r="E4343" t="s">
        <v>415</v>
      </c>
      <c r="F4343">
        <f>HYPERLINK("https://www.wikidata.org/wiki/Q33756706", "Q33756706")</f>
        <v>0</v>
      </c>
      <c r="G4343" t="s">
        <v>2818</v>
      </c>
      <c r="H4343" t="s">
        <v>7319</v>
      </c>
      <c r="I4343" t="s">
        <v>6175</v>
      </c>
      <c r="J4343" t="s">
        <v>13458</v>
      </c>
      <c r="K4343" t="s">
        <v>17849</v>
      </c>
      <c r="L4343">
        <f>HYPERLINK("https://www2.assemblee-nationale.fr/sycomore/fiche/(num_dept)/8128", "8128")</f>
        <v>0</v>
      </c>
      <c r="N4343">
        <f>HYPERLINK("https://www.wikidata.org/wiki/Q3102198", "Q3102198")</f>
        <v>0</v>
      </c>
      <c r="O4343" t="s">
        <v>20011</v>
      </c>
      <c r="P4343" t="s">
        <v>20458</v>
      </c>
      <c r="Q4343" t="s">
        <v>13445</v>
      </c>
      <c r="R4343" t="s">
        <v>21463</v>
      </c>
      <c r="S4343">
        <v>1515</v>
      </c>
    </row>
    <row r="4344" spans="1:19">
      <c r="A4344" t="s">
        <v>25</v>
      </c>
      <c r="B4344" t="s">
        <v>148</v>
      </c>
      <c r="C4344" t="s">
        <v>157</v>
      </c>
      <c r="D4344" t="s">
        <v>286</v>
      </c>
      <c r="E4344" t="s">
        <v>415</v>
      </c>
      <c r="F4344">
        <f>HYPERLINK("https://www.wikidata.org/wiki/Q33756706", "Q33756706")</f>
        <v>0</v>
      </c>
      <c r="G4344" t="s">
        <v>2819</v>
      </c>
      <c r="H4344" t="s">
        <v>6400</v>
      </c>
      <c r="I4344" t="s">
        <v>10457</v>
      </c>
      <c r="J4344" t="s">
        <v>13459</v>
      </c>
      <c r="K4344" t="s">
        <v>17850</v>
      </c>
      <c r="L4344">
        <f>HYPERLINK("https://www2.assemblee-nationale.fr/sycomore/fiche/(num_dept)/8130", "8130")</f>
        <v>0</v>
      </c>
      <c r="N4344">
        <f>HYPERLINK("https://www.wikidata.org/wiki/Q2824778", "Q2824778")</f>
        <v>0</v>
      </c>
      <c r="O4344" t="s">
        <v>20014</v>
      </c>
      <c r="P4344" t="s">
        <v>20456</v>
      </c>
      <c r="Q4344" t="s">
        <v>13445</v>
      </c>
      <c r="R4344" t="s">
        <v>17850</v>
      </c>
      <c r="S4344">
        <v>150</v>
      </c>
    </row>
    <row r="4345" spans="1:19">
      <c r="A4345" t="s">
        <v>25</v>
      </c>
      <c r="B4345" t="s">
        <v>148</v>
      </c>
      <c r="C4345" t="s">
        <v>157</v>
      </c>
      <c r="D4345" t="s">
        <v>286</v>
      </c>
      <c r="E4345" t="s">
        <v>415</v>
      </c>
      <c r="F4345">
        <f>HYPERLINK("https://www.wikidata.org/wiki/Q33756706", "Q33756706")</f>
        <v>0</v>
      </c>
      <c r="G4345" t="s">
        <v>2820</v>
      </c>
      <c r="H4345" t="s">
        <v>7320</v>
      </c>
      <c r="I4345" t="s">
        <v>10458</v>
      </c>
      <c r="J4345" t="s">
        <v>13460</v>
      </c>
      <c r="K4345" t="s">
        <v>17851</v>
      </c>
      <c r="L4345">
        <f>HYPERLINK("https://www2.assemblee-nationale.fr/sycomore/fiche/(num_dept)/8131", "8131")</f>
        <v>0</v>
      </c>
      <c r="N4345">
        <f>HYPERLINK("https://www.wikidata.org/wiki/Q3289608", "Q3289608")</f>
        <v>0</v>
      </c>
      <c r="O4345" t="s">
        <v>20014</v>
      </c>
      <c r="P4345" t="s">
        <v>20459</v>
      </c>
      <c r="Q4345" t="s">
        <v>13445</v>
      </c>
      <c r="R4345" t="s">
        <v>21463</v>
      </c>
      <c r="S4345">
        <v>1515</v>
      </c>
    </row>
    <row r="4346" spans="1:19">
      <c r="A4346" t="s">
        <v>25</v>
      </c>
      <c r="B4346" t="s">
        <v>148</v>
      </c>
      <c r="C4346" t="s">
        <v>157</v>
      </c>
      <c r="D4346" t="s">
        <v>286</v>
      </c>
      <c r="E4346" t="s">
        <v>415</v>
      </c>
      <c r="F4346">
        <f>HYPERLINK("https://www.wikidata.org/wiki/Q33756706", "Q33756706")</f>
        <v>0</v>
      </c>
      <c r="G4346" t="s">
        <v>2821</v>
      </c>
      <c r="H4346" t="s">
        <v>5638</v>
      </c>
      <c r="I4346" t="s">
        <v>9483</v>
      </c>
      <c r="J4346" t="s">
        <v>13461</v>
      </c>
      <c r="K4346" t="s">
        <v>17852</v>
      </c>
      <c r="L4346">
        <f>HYPERLINK("https://www2.assemblee-nationale.fr/sycomore/fiche/(num_dept)/8133", "8133")</f>
        <v>0</v>
      </c>
      <c r="M4346">
        <f>HYPERLINK("https://www.senat.fr/senateur-3eme-republique/bougues_victor0094r3.html", "bougues_victor0094r3")</f>
        <v>0</v>
      </c>
      <c r="N4346">
        <f>HYPERLINK("https://www.wikidata.org/wiki/Q3557176", "Q3557176")</f>
        <v>0</v>
      </c>
      <c r="O4346" t="s">
        <v>20016</v>
      </c>
      <c r="Q4346" t="s">
        <v>13445</v>
      </c>
      <c r="R4346" t="s">
        <v>21463</v>
      </c>
      <c r="S4346">
        <v>1515</v>
      </c>
    </row>
    <row r="4347" spans="1:19">
      <c r="A4347" t="s">
        <v>25</v>
      </c>
      <c r="B4347" t="s">
        <v>148</v>
      </c>
      <c r="C4347" t="s">
        <v>157</v>
      </c>
      <c r="D4347" t="s">
        <v>286</v>
      </c>
      <c r="E4347" t="s">
        <v>415</v>
      </c>
      <c r="F4347">
        <f>HYPERLINK("https://www.wikidata.org/wiki/Q33756706", "Q33756706")</f>
        <v>0</v>
      </c>
      <c r="G4347" t="s">
        <v>2822</v>
      </c>
      <c r="H4347" t="s">
        <v>7321</v>
      </c>
      <c r="I4347" t="s">
        <v>10459</v>
      </c>
      <c r="J4347" t="s">
        <v>13462</v>
      </c>
      <c r="K4347" t="s">
        <v>17853</v>
      </c>
      <c r="L4347">
        <f>HYPERLINK("https://www2.assemblee-nationale.fr/sycomore/fiche/(num_dept)/8134", "8134")</f>
        <v>0</v>
      </c>
      <c r="N4347">
        <f>HYPERLINK("https://www.wikidata.org/wiki/Q16798498", "Q16798498")</f>
        <v>0</v>
      </c>
      <c r="O4347" t="s">
        <v>20016</v>
      </c>
      <c r="P4347" t="s">
        <v>20461</v>
      </c>
      <c r="Q4347" t="s">
        <v>13445</v>
      </c>
      <c r="R4347" t="s">
        <v>21463</v>
      </c>
      <c r="S4347">
        <v>1515</v>
      </c>
    </row>
    <row r="4348" spans="1:19">
      <c r="A4348" t="s">
        <v>25</v>
      </c>
      <c r="B4348" t="s">
        <v>148</v>
      </c>
      <c r="C4348" t="s">
        <v>157</v>
      </c>
      <c r="D4348" t="s">
        <v>286</v>
      </c>
      <c r="E4348" t="s">
        <v>415</v>
      </c>
      <c r="F4348">
        <f>HYPERLINK("https://www.wikidata.org/wiki/Q33756706", "Q33756706")</f>
        <v>0</v>
      </c>
      <c r="G4348" t="s">
        <v>2823</v>
      </c>
      <c r="H4348" t="s">
        <v>7322</v>
      </c>
      <c r="I4348" t="s">
        <v>10460</v>
      </c>
      <c r="J4348" t="s">
        <v>13463</v>
      </c>
      <c r="K4348" t="s">
        <v>17854</v>
      </c>
      <c r="L4348">
        <f>HYPERLINK("https://www2.assemblee-nationale.fr/sycomore/fiche/(num_dept)/8135", "8135")</f>
        <v>0</v>
      </c>
      <c r="N4348">
        <f>HYPERLINK("https://www.wikidata.org/wiki/Q16026128", "Q16026128")</f>
        <v>0</v>
      </c>
      <c r="O4348" t="s">
        <v>20016</v>
      </c>
      <c r="P4348" t="s">
        <v>20461</v>
      </c>
      <c r="Q4348" t="s">
        <v>13445</v>
      </c>
      <c r="R4348" t="s">
        <v>21463</v>
      </c>
      <c r="S4348">
        <v>1515</v>
      </c>
    </row>
    <row r="4349" spans="1:19">
      <c r="A4349" t="s">
        <v>25</v>
      </c>
      <c r="B4349" t="s">
        <v>148</v>
      </c>
      <c r="C4349" t="s">
        <v>157</v>
      </c>
      <c r="D4349" t="s">
        <v>286</v>
      </c>
      <c r="E4349" t="s">
        <v>415</v>
      </c>
      <c r="F4349">
        <f>HYPERLINK("https://www.wikidata.org/wiki/Q33756706", "Q33756706")</f>
        <v>0</v>
      </c>
      <c r="G4349" t="s">
        <v>2824</v>
      </c>
      <c r="H4349" t="s">
        <v>5361</v>
      </c>
      <c r="I4349" t="s">
        <v>10461</v>
      </c>
      <c r="J4349" t="s">
        <v>13464</v>
      </c>
      <c r="K4349" t="s">
        <v>17855</v>
      </c>
      <c r="L4349">
        <f>HYPERLINK("https://www2.assemblee-nationale.fr/sycomore/fiche/(num_dept)/8136", "8136")</f>
        <v>0</v>
      </c>
      <c r="N4349">
        <f>HYPERLINK("https://www.wikidata.org/wiki/Q3171584", "Q3171584")</f>
        <v>0</v>
      </c>
      <c r="O4349" t="s">
        <v>20003</v>
      </c>
      <c r="P4349" t="s">
        <v>20401</v>
      </c>
      <c r="Q4349" t="s">
        <v>13445</v>
      </c>
      <c r="R4349" t="s">
        <v>21463</v>
      </c>
      <c r="S4349">
        <v>1515</v>
      </c>
    </row>
    <row r="4350" spans="1:19">
      <c r="A4350" t="s">
        <v>25</v>
      </c>
      <c r="B4350" t="s">
        <v>148</v>
      </c>
      <c r="C4350" t="s">
        <v>157</v>
      </c>
      <c r="D4350" t="s">
        <v>286</v>
      </c>
      <c r="E4350" t="s">
        <v>415</v>
      </c>
      <c r="F4350">
        <f>HYPERLINK("https://www.wikidata.org/wiki/Q33756706", "Q33756706")</f>
        <v>0</v>
      </c>
      <c r="G4350" t="s">
        <v>2825</v>
      </c>
      <c r="H4350" t="s">
        <v>7323</v>
      </c>
      <c r="I4350" t="s">
        <v>5948</v>
      </c>
      <c r="J4350" t="s">
        <v>13465</v>
      </c>
      <c r="K4350" t="s">
        <v>17596</v>
      </c>
      <c r="L4350">
        <f>HYPERLINK("https://www2.assemblee-nationale.fr/sycomore/fiche/(num_dept)/8138", "8138")</f>
        <v>0</v>
      </c>
      <c r="N4350">
        <f>HYPERLINK("https://www.wikidata.org/wiki/Q2898548", "Q2898548")</f>
        <v>0</v>
      </c>
      <c r="O4350" t="s">
        <v>19987</v>
      </c>
      <c r="P4350" t="s">
        <v>20459</v>
      </c>
      <c r="Q4350" t="s">
        <v>13445</v>
      </c>
      <c r="R4350" t="s">
        <v>21463</v>
      </c>
      <c r="S4350">
        <v>1515</v>
      </c>
    </row>
    <row r="4351" spans="1:19">
      <c r="A4351" t="s">
        <v>25</v>
      </c>
      <c r="B4351" t="s">
        <v>148</v>
      </c>
      <c r="C4351" t="s">
        <v>157</v>
      </c>
      <c r="D4351" t="s">
        <v>286</v>
      </c>
      <c r="E4351" t="s">
        <v>415</v>
      </c>
      <c r="F4351">
        <f>HYPERLINK("https://www.wikidata.org/wiki/Q33756706", "Q33756706")</f>
        <v>0</v>
      </c>
      <c r="G4351" t="s">
        <v>2826</v>
      </c>
      <c r="H4351" t="s">
        <v>5836</v>
      </c>
      <c r="I4351" t="s">
        <v>10462</v>
      </c>
      <c r="J4351" t="s">
        <v>13466</v>
      </c>
      <c r="K4351" t="s">
        <v>17856</v>
      </c>
      <c r="L4351">
        <f>HYPERLINK("https://www2.assemblee-nationale.fr/sycomore/fiche/(num_dept)/8139", "8139")</f>
        <v>0</v>
      </c>
      <c r="N4351">
        <f>HYPERLINK("https://www.wikidata.org/wiki/Q16025927", "Q16025927")</f>
        <v>0</v>
      </c>
      <c r="O4351" t="s">
        <v>19987</v>
      </c>
      <c r="P4351" t="s">
        <v>20461</v>
      </c>
      <c r="Q4351" t="s">
        <v>13445</v>
      </c>
      <c r="R4351" t="s">
        <v>17856</v>
      </c>
      <c r="S4351">
        <v>975</v>
      </c>
    </row>
    <row r="4352" spans="1:19">
      <c r="A4352" t="s">
        <v>25</v>
      </c>
      <c r="B4352" t="s">
        <v>148</v>
      </c>
      <c r="C4352" t="s">
        <v>157</v>
      </c>
      <c r="D4352" t="s">
        <v>286</v>
      </c>
      <c r="E4352" t="s">
        <v>415</v>
      </c>
      <c r="F4352">
        <f>HYPERLINK("https://www.wikidata.org/wiki/Q33756706", "Q33756706")</f>
        <v>0</v>
      </c>
      <c r="G4352" t="s">
        <v>2827</v>
      </c>
      <c r="H4352" t="s">
        <v>5803</v>
      </c>
      <c r="I4352" t="s">
        <v>9389</v>
      </c>
      <c r="J4352" t="s">
        <v>13467</v>
      </c>
      <c r="K4352" t="s">
        <v>17857</v>
      </c>
      <c r="L4352">
        <f>HYPERLINK("https://www2.assemblee-nationale.fr/sycomore/fiche/(num_dept)/8142", "8142")</f>
        <v>0</v>
      </c>
      <c r="N4352">
        <f>HYPERLINK("https://www.wikidata.org/wiki/Q16026533", "Q16026533")</f>
        <v>0</v>
      </c>
      <c r="O4352" t="s">
        <v>7411</v>
      </c>
      <c r="P4352" t="s">
        <v>20459</v>
      </c>
      <c r="Q4352" t="s">
        <v>13445</v>
      </c>
      <c r="R4352" t="s">
        <v>17857</v>
      </c>
      <c r="S4352">
        <v>1257</v>
      </c>
    </row>
    <row r="4353" spans="1:19">
      <c r="A4353" t="s">
        <v>25</v>
      </c>
      <c r="B4353" t="s">
        <v>148</v>
      </c>
      <c r="C4353" t="s">
        <v>157</v>
      </c>
      <c r="D4353" t="s">
        <v>286</v>
      </c>
      <c r="E4353" t="s">
        <v>415</v>
      </c>
      <c r="F4353">
        <f>HYPERLINK("https://www.wikidata.org/wiki/Q33756706", "Q33756706")</f>
        <v>0</v>
      </c>
      <c r="G4353" t="s">
        <v>2828</v>
      </c>
      <c r="H4353" t="s">
        <v>7324</v>
      </c>
      <c r="I4353" t="s">
        <v>6860</v>
      </c>
      <c r="J4353" t="s">
        <v>13468</v>
      </c>
      <c r="K4353" t="s">
        <v>17858</v>
      </c>
      <c r="L4353">
        <f>HYPERLINK("https://www2.assemblee-nationale.fr/sycomore/fiche/(num_dept)/8143", "8143")</f>
        <v>0</v>
      </c>
      <c r="M4353">
        <f>HYPERLINK("https://www.senat.fr/senateur-3eme-republique/frain_de_la_villegontier_pierre0553r3.html", "frain_de_la_villegontier_pierre0553r3")</f>
        <v>0</v>
      </c>
      <c r="N4353">
        <f>HYPERLINK("https://www.wikidata.org/wiki/Q3383345", "Q3383345")</f>
        <v>0</v>
      </c>
      <c r="O4353" t="s">
        <v>19998</v>
      </c>
      <c r="P4353" t="s">
        <v>20460</v>
      </c>
      <c r="Q4353" t="s">
        <v>13445</v>
      </c>
      <c r="R4353" t="s">
        <v>21485</v>
      </c>
      <c r="S4353">
        <v>99</v>
      </c>
    </row>
    <row r="4354" spans="1:19">
      <c r="A4354" t="s">
        <v>25</v>
      </c>
      <c r="B4354" t="s">
        <v>148</v>
      </c>
      <c r="C4354" t="s">
        <v>157</v>
      </c>
      <c r="D4354" t="s">
        <v>286</v>
      </c>
      <c r="E4354" t="s">
        <v>415</v>
      </c>
      <c r="F4354">
        <f>HYPERLINK("https://www.wikidata.org/wiki/Q33756706", "Q33756706")</f>
        <v>0</v>
      </c>
      <c r="G4354" t="s">
        <v>2829</v>
      </c>
      <c r="H4354" t="s">
        <v>5361</v>
      </c>
      <c r="I4354" t="s">
        <v>10463</v>
      </c>
      <c r="J4354" t="s">
        <v>13469</v>
      </c>
      <c r="K4354" t="s">
        <v>17859</v>
      </c>
      <c r="L4354">
        <f>HYPERLINK("https://www2.assemblee-nationale.fr/sycomore/fiche/(num_dept)/8146", "8146")</f>
        <v>0</v>
      </c>
      <c r="N4354">
        <f>HYPERLINK("https://www.wikidata.org/wiki/Q16025523", "Q16025523")</f>
        <v>0</v>
      </c>
      <c r="O4354" t="s">
        <v>19975</v>
      </c>
      <c r="P4354" t="s">
        <v>20461</v>
      </c>
      <c r="Q4354" t="s">
        <v>13445</v>
      </c>
      <c r="R4354" t="s">
        <v>21463</v>
      </c>
      <c r="S4354">
        <v>1515</v>
      </c>
    </row>
    <row r="4355" spans="1:19">
      <c r="A4355" t="s">
        <v>25</v>
      </c>
      <c r="B4355" t="s">
        <v>148</v>
      </c>
      <c r="C4355" t="s">
        <v>157</v>
      </c>
      <c r="D4355" t="s">
        <v>286</v>
      </c>
      <c r="E4355" t="s">
        <v>415</v>
      </c>
      <c r="F4355">
        <f>HYPERLINK("https://www.wikidata.org/wiki/Q33756706", "Q33756706")</f>
        <v>0</v>
      </c>
      <c r="G4355" t="s">
        <v>2830</v>
      </c>
      <c r="H4355" t="s">
        <v>7325</v>
      </c>
      <c r="I4355" t="s">
        <v>5528</v>
      </c>
      <c r="J4355" t="s">
        <v>13470</v>
      </c>
      <c r="K4355" t="s">
        <v>17860</v>
      </c>
      <c r="L4355">
        <f>HYPERLINK("https://www2.assemblee-nationale.fr/sycomore/fiche/(num_dept)/8147", "8147")</f>
        <v>0</v>
      </c>
      <c r="N4355">
        <f>HYPERLINK("https://www.wikidata.org/wiki/Q3271087", "Q3271087")</f>
        <v>0</v>
      </c>
      <c r="O4355" t="s">
        <v>20008</v>
      </c>
      <c r="P4355" t="s">
        <v>20461</v>
      </c>
      <c r="Q4355" t="s">
        <v>13445</v>
      </c>
      <c r="R4355" t="s">
        <v>17860</v>
      </c>
      <c r="S4355">
        <v>1429</v>
      </c>
    </row>
    <row r="4356" spans="1:19">
      <c r="A4356" t="s">
        <v>25</v>
      </c>
      <c r="B4356" t="s">
        <v>148</v>
      </c>
      <c r="C4356" t="s">
        <v>157</v>
      </c>
      <c r="D4356" t="s">
        <v>286</v>
      </c>
      <c r="E4356" t="s">
        <v>415</v>
      </c>
      <c r="F4356">
        <f>HYPERLINK("https://www.wikidata.org/wiki/Q33756706", "Q33756706")</f>
        <v>0</v>
      </c>
      <c r="G4356" t="s">
        <v>2831</v>
      </c>
      <c r="H4356" t="s">
        <v>6650</v>
      </c>
      <c r="I4356" t="s">
        <v>9858</v>
      </c>
      <c r="J4356" t="s">
        <v>13471</v>
      </c>
      <c r="K4356" t="s">
        <v>12319</v>
      </c>
      <c r="L4356">
        <f>HYPERLINK("https://www2.assemblee-nationale.fr/sycomore/fiche/(num_dept)/8148", "8148")</f>
        <v>0</v>
      </c>
      <c r="N4356">
        <f>HYPERLINK("https://www.wikidata.org/wiki/Q15973901", "Q15973901")</f>
        <v>0</v>
      </c>
      <c r="O4356" t="s">
        <v>20006</v>
      </c>
      <c r="P4356" t="s">
        <v>20458</v>
      </c>
      <c r="Q4356" t="s">
        <v>13445</v>
      </c>
      <c r="R4356" t="s">
        <v>12319</v>
      </c>
      <c r="S4356">
        <v>495</v>
      </c>
    </row>
    <row r="4357" spans="1:19">
      <c r="A4357" t="s">
        <v>25</v>
      </c>
      <c r="B4357" t="s">
        <v>148</v>
      </c>
      <c r="C4357" t="s">
        <v>157</v>
      </c>
      <c r="D4357" t="s">
        <v>286</v>
      </c>
      <c r="E4357" t="s">
        <v>415</v>
      </c>
      <c r="F4357">
        <f>HYPERLINK("https://www.wikidata.org/wiki/Q33756706", "Q33756706")</f>
        <v>0</v>
      </c>
      <c r="G4357" t="s">
        <v>2832</v>
      </c>
      <c r="H4357" t="s">
        <v>7326</v>
      </c>
      <c r="I4357" t="s">
        <v>10464</v>
      </c>
      <c r="J4357" t="s">
        <v>13472</v>
      </c>
      <c r="K4357" t="s">
        <v>17861</v>
      </c>
      <c r="L4357">
        <f>HYPERLINK("https://www2.assemblee-nationale.fr/sycomore/fiche/(num_dept)/8149", "8149")</f>
        <v>0</v>
      </c>
      <c r="M4357">
        <f>HYPERLINK("https://www.senat.fr/senateur-3eme-republique/marion_de_faverges_joseph1196r3.html", "marion_de_faverges_joseph1196r3")</f>
        <v>0</v>
      </c>
      <c r="N4357">
        <f>HYPERLINK("https://www.wikidata.org/wiki/Q2385779", "Q2385779")</f>
        <v>0</v>
      </c>
      <c r="O4357" t="s">
        <v>20006</v>
      </c>
      <c r="P4357" t="s">
        <v>20459</v>
      </c>
      <c r="Q4357" t="s">
        <v>13445</v>
      </c>
      <c r="R4357" t="s">
        <v>21479</v>
      </c>
      <c r="S4357">
        <v>1262</v>
      </c>
    </row>
    <row r="4358" spans="1:19">
      <c r="A4358" t="s">
        <v>25</v>
      </c>
      <c r="B4358" t="s">
        <v>148</v>
      </c>
      <c r="C4358" t="s">
        <v>157</v>
      </c>
      <c r="D4358" t="s">
        <v>286</v>
      </c>
      <c r="E4358" t="s">
        <v>415</v>
      </c>
      <c r="F4358">
        <f>HYPERLINK("https://www.wikidata.org/wiki/Q33756706", "Q33756706")</f>
        <v>0</v>
      </c>
      <c r="G4358" t="s">
        <v>2833</v>
      </c>
      <c r="H4358" t="s">
        <v>7327</v>
      </c>
      <c r="I4358" t="s">
        <v>10465</v>
      </c>
      <c r="J4358" t="s">
        <v>13473</v>
      </c>
      <c r="K4358" t="s">
        <v>17862</v>
      </c>
      <c r="L4358">
        <f>HYPERLINK("https://www2.assemblee-nationale.fr/sycomore/fiche/(num_dept)/8150", "8150")</f>
        <v>0</v>
      </c>
      <c r="M4358">
        <f>HYPERLINK("https://www.senat.fr/senateur-3eme-republique/couturier_jean1185r3.html", "couturier_jean1185r3")</f>
        <v>0</v>
      </c>
      <c r="N4358">
        <f>HYPERLINK("https://www.wikidata.org/wiki/Q3171477", "Q3171477")</f>
        <v>0</v>
      </c>
      <c r="O4358" t="s">
        <v>20006</v>
      </c>
      <c r="P4358" t="s">
        <v>20461</v>
      </c>
      <c r="Q4358" t="s">
        <v>13445</v>
      </c>
      <c r="R4358" t="s">
        <v>21482</v>
      </c>
      <c r="S4358">
        <v>1261</v>
      </c>
    </row>
    <row r="4359" spans="1:19">
      <c r="A4359" t="s">
        <v>25</v>
      </c>
      <c r="B4359" t="s">
        <v>148</v>
      </c>
      <c r="C4359" t="s">
        <v>157</v>
      </c>
      <c r="D4359" t="s">
        <v>286</v>
      </c>
      <c r="E4359" t="s">
        <v>415</v>
      </c>
      <c r="F4359">
        <f>HYPERLINK("https://www.wikidata.org/wiki/Q33756706", "Q33756706")</f>
        <v>0</v>
      </c>
      <c r="G4359" t="s">
        <v>2834</v>
      </c>
      <c r="H4359" t="s">
        <v>7328</v>
      </c>
      <c r="I4359" t="s">
        <v>9534</v>
      </c>
      <c r="J4359" t="s">
        <v>13147</v>
      </c>
      <c r="K4359" t="s">
        <v>17863</v>
      </c>
      <c r="L4359">
        <f>HYPERLINK("https://www2.assemblee-nationale.fr/sycomore/fiche/(num_dept)/8153", "8153")</f>
        <v>0</v>
      </c>
      <c r="M4359">
        <f>HYPERLINK("https://www.senat.fr/senateur-3eme-republique/lelievre_adolphe0450r3.html", "lelievre_adolphe0450r3")</f>
        <v>0</v>
      </c>
      <c r="N4359">
        <f>HYPERLINK("https://www.wikidata.org/wiki/Q2824861", "Q2824861")</f>
        <v>0</v>
      </c>
      <c r="O4359" t="s">
        <v>20041</v>
      </c>
      <c r="P4359" t="s">
        <v>20462</v>
      </c>
      <c r="Q4359" t="s">
        <v>13445</v>
      </c>
      <c r="R4359" t="s">
        <v>21463</v>
      </c>
      <c r="S4359">
        <v>1515</v>
      </c>
    </row>
    <row r="4360" spans="1:19">
      <c r="A4360" t="s">
        <v>25</v>
      </c>
      <c r="B4360" t="s">
        <v>148</v>
      </c>
      <c r="C4360" t="s">
        <v>157</v>
      </c>
      <c r="D4360" t="s">
        <v>286</v>
      </c>
      <c r="E4360" t="s">
        <v>415</v>
      </c>
      <c r="F4360">
        <f>HYPERLINK("https://www.wikidata.org/wiki/Q33756706", "Q33756706")</f>
        <v>0</v>
      </c>
      <c r="G4360" t="s">
        <v>2835</v>
      </c>
      <c r="H4360" t="s">
        <v>7329</v>
      </c>
      <c r="I4360" t="s">
        <v>9516</v>
      </c>
      <c r="J4360" t="s">
        <v>13474</v>
      </c>
      <c r="K4360" t="s">
        <v>17864</v>
      </c>
      <c r="L4360">
        <f>HYPERLINK("https://www2.assemblee-nationale.fr/sycomore/fiche/(num_dept)/8154", "8154")</f>
        <v>0</v>
      </c>
      <c r="M4360">
        <f>HYPERLINK("https://www.senat.fr/senateur-3eme-republique/brossard_etienne1319r3.html", "brossard_etienne1319r3")</f>
        <v>0</v>
      </c>
      <c r="N4360">
        <f>HYPERLINK("https://www.wikidata.org/wiki/Q3592085", "Q3592085")</f>
        <v>0</v>
      </c>
      <c r="O4360" t="s">
        <v>19997</v>
      </c>
      <c r="Q4360" t="s">
        <v>13445</v>
      </c>
      <c r="R4360" t="s">
        <v>21482</v>
      </c>
      <c r="S4360">
        <v>1261</v>
      </c>
    </row>
    <row r="4361" spans="1:19">
      <c r="A4361" t="s">
        <v>25</v>
      </c>
      <c r="B4361" t="s">
        <v>148</v>
      </c>
      <c r="C4361" t="s">
        <v>157</v>
      </c>
      <c r="D4361" t="s">
        <v>286</v>
      </c>
      <c r="E4361" t="s">
        <v>415</v>
      </c>
      <c r="F4361">
        <f>HYPERLINK("https://www.wikidata.org/wiki/Q33756706", "Q33756706")</f>
        <v>0</v>
      </c>
      <c r="G4361" t="s">
        <v>2836</v>
      </c>
      <c r="H4361" t="s">
        <v>7330</v>
      </c>
      <c r="I4361" t="s">
        <v>10466</v>
      </c>
      <c r="J4361" t="s">
        <v>13475</v>
      </c>
      <c r="K4361" t="s">
        <v>17865</v>
      </c>
      <c r="L4361">
        <f>HYPERLINK("https://www2.assemblee-nationale.fr/sycomore/fiche/(num_dept)/8155", "8155")</f>
        <v>0</v>
      </c>
      <c r="N4361">
        <f>HYPERLINK("https://www.wikidata.org/wiki/Q15973655", "Q15973655")</f>
        <v>0</v>
      </c>
      <c r="O4361" t="s">
        <v>19997</v>
      </c>
      <c r="P4361" t="s">
        <v>20401</v>
      </c>
      <c r="Q4361" t="s">
        <v>13445</v>
      </c>
      <c r="R4361" t="s">
        <v>17865</v>
      </c>
      <c r="S4361">
        <v>1234</v>
      </c>
    </row>
    <row r="4362" spans="1:19">
      <c r="A4362" t="s">
        <v>25</v>
      </c>
      <c r="B4362" t="s">
        <v>148</v>
      </c>
      <c r="C4362" t="s">
        <v>157</v>
      </c>
      <c r="D4362" t="s">
        <v>286</v>
      </c>
      <c r="E4362" t="s">
        <v>415</v>
      </c>
      <c r="F4362">
        <f>HYPERLINK("https://www.wikidata.org/wiki/Q33756706", "Q33756706")</f>
        <v>0</v>
      </c>
      <c r="G4362" t="s">
        <v>2837</v>
      </c>
      <c r="H4362" t="s">
        <v>7331</v>
      </c>
      <c r="I4362" t="s">
        <v>10467</v>
      </c>
      <c r="J4362" t="s">
        <v>13476</v>
      </c>
      <c r="K4362" t="s">
        <v>17866</v>
      </c>
      <c r="L4362">
        <f>HYPERLINK("https://www2.assemblee-nationale.fr/sycomore/fiche/(num_dept)/8158", "8158")</f>
        <v>0</v>
      </c>
      <c r="N4362">
        <f>HYPERLINK("https://www.wikidata.org/wiki/Q16025882", "Q16025882")</f>
        <v>0</v>
      </c>
      <c r="O4362" t="s">
        <v>19993</v>
      </c>
      <c r="P4362" t="s">
        <v>20461</v>
      </c>
      <c r="Q4362" t="s">
        <v>13445</v>
      </c>
      <c r="R4362" t="s">
        <v>21463</v>
      </c>
      <c r="S4362">
        <v>1515</v>
      </c>
    </row>
    <row r="4363" spans="1:19">
      <c r="A4363" t="s">
        <v>25</v>
      </c>
      <c r="B4363" t="s">
        <v>148</v>
      </c>
      <c r="C4363" t="s">
        <v>157</v>
      </c>
      <c r="D4363" t="s">
        <v>286</v>
      </c>
      <c r="E4363" t="s">
        <v>415</v>
      </c>
      <c r="F4363">
        <f>HYPERLINK("https://www.wikidata.org/wiki/Q33756706", "Q33756706")</f>
        <v>0</v>
      </c>
      <c r="G4363" t="s">
        <v>2838</v>
      </c>
      <c r="H4363" t="s">
        <v>7332</v>
      </c>
      <c r="I4363" t="s">
        <v>10468</v>
      </c>
      <c r="J4363" t="s">
        <v>13477</v>
      </c>
      <c r="K4363" t="s">
        <v>12939</v>
      </c>
      <c r="L4363">
        <f>HYPERLINK("https://www2.assemblee-nationale.fr/sycomore/fiche/(num_dept)/8159", "8159")</f>
        <v>0</v>
      </c>
      <c r="N4363">
        <f>HYPERLINK("https://www.wikidata.org/wiki/Q3588282", "Q3588282")</f>
        <v>0</v>
      </c>
      <c r="O4363" t="s">
        <v>20023</v>
      </c>
      <c r="P4363" t="s">
        <v>20464</v>
      </c>
      <c r="Q4363" t="s">
        <v>13445</v>
      </c>
      <c r="R4363" t="s">
        <v>12939</v>
      </c>
      <c r="S4363">
        <v>1029</v>
      </c>
    </row>
    <row r="4364" spans="1:19">
      <c r="A4364" t="s">
        <v>25</v>
      </c>
      <c r="B4364" t="s">
        <v>148</v>
      </c>
      <c r="C4364" t="s">
        <v>157</v>
      </c>
      <c r="D4364" t="s">
        <v>286</v>
      </c>
      <c r="E4364" t="s">
        <v>415</v>
      </c>
      <c r="F4364">
        <f>HYPERLINK("https://www.wikidata.org/wiki/Q33756706", "Q33756706")</f>
        <v>0</v>
      </c>
      <c r="G4364" t="s">
        <v>2839</v>
      </c>
      <c r="H4364" t="s">
        <v>7333</v>
      </c>
      <c r="I4364" t="s">
        <v>10469</v>
      </c>
      <c r="J4364" t="s">
        <v>13478</v>
      </c>
      <c r="K4364" t="s">
        <v>17867</v>
      </c>
      <c r="L4364">
        <f>HYPERLINK("https://www2.assemblee-nationale.fr/sycomore/fiche/(num_dept)/8160", "8160")</f>
        <v>0</v>
      </c>
      <c r="N4364">
        <f>HYPERLINK("https://www.wikidata.org/wiki/Q3158506", "Q3158506")</f>
        <v>0</v>
      </c>
      <c r="O4364" t="s">
        <v>19958</v>
      </c>
      <c r="Q4364" t="s">
        <v>13445</v>
      </c>
      <c r="R4364" t="s">
        <v>21463</v>
      </c>
      <c r="S4364">
        <v>1515</v>
      </c>
    </row>
    <row r="4365" spans="1:19">
      <c r="A4365" t="s">
        <v>25</v>
      </c>
      <c r="B4365" t="s">
        <v>148</v>
      </c>
      <c r="C4365" t="s">
        <v>157</v>
      </c>
      <c r="D4365" t="s">
        <v>286</v>
      </c>
      <c r="E4365" t="s">
        <v>415</v>
      </c>
      <c r="F4365">
        <f>HYPERLINK("https://www.wikidata.org/wiki/Q33756706", "Q33756706")</f>
        <v>0</v>
      </c>
      <c r="G4365" t="s">
        <v>2840</v>
      </c>
      <c r="H4365" t="s">
        <v>7334</v>
      </c>
      <c r="I4365" t="s">
        <v>10470</v>
      </c>
      <c r="J4365" t="s">
        <v>13479</v>
      </c>
      <c r="K4365" t="s">
        <v>17868</v>
      </c>
      <c r="L4365">
        <f>HYPERLINK("https://www2.assemblee-nationale.fr/sycomore/fiche/(num_dept)/8161", "8161")</f>
        <v>0</v>
      </c>
      <c r="N4365">
        <f>HYPERLINK("https://www.wikidata.org/wiki/Q16026548", "Q16026548")</f>
        <v>0</v>
      </c>
      <c r="O4365" t="s">
        <v>19974</v>
      </c>
      <c r="P4365" t="s">
        <v>20459</v>
      </c>
      <c r="Q4365" t="s">
        <v>13445</v>
      </c>
      <c r="R4365" t="s">
        <v>21486</v>
      </c>
      <c r="S4365">
        <v>536</v>
      </c>
    </row>
    <row r="4366" spans="1:19">
      <c r="A4366" t="s">
        <v>25</v>
      </c>
      <c r="B4366" t="s">
        <v>148</v>
      </c>
      <c r="C4366" t="s">
        <v>157</v>
      </c>
      <c r="D4366" t="s">
        <v>286</v>
      </c>
      <c r="E4366" t="s">
        <v>415</v>
      </c>
      <c r="F4366">
        <f>HYPERLINK("https://www.wikidata.org/wiki/Q33756706", "Q33756706")</f>
        <v>0</v>
      </c>
      <c r="G4366" t="s">
        <v>2841</v>
      </c>
      <c r="H4366" t="s">
        <v>7335</v>
      </c>
      <c r="I4366" t="s">
        <v>10471</v>
      </c>
      <c r="J4366" t="s">
        <v>13480</v>
      </c>
      <c r="K4366" t="s">
        <v>17869</v>
      </c>
      <c r="L4366">
        <f>HYPERLINK("https://www2.assemblee-nationale.fr/sycomore/fiche/(num_dept)/8163", "8163")</f>
        <v>0</v>
      </c>
      <c r="N4366">
        <f>HYPERLINK("https://www.wikidata.org/wiki/Q16025920", "Q16025920")</f>
        <v>0</v>
      </c>
      <c r="O4366" t="s">
        <v>20043</v>
      </c>
      <c r="P4366" t="s">
        <v>20464</v>
      </c>
      <c r="Q4366" t="s">
        <v>13445</v>
      </c>
      <c r="R4366" t="s">
        <v>21463</v>
      </c>
      <c r="S4366">
        <v>1515</v>
      </c>
    </row>
    <row r="4367" spans="1:19">
      <c r="A4367" t="s">
        <v>25</v>
      </c>
      <c r="B4367" t="s">
        <v>148</v>
      </c>
      <c r="C4367" t="s">
        <v>157</v>
      </c>
      <c r="D4367" t="s">
        <v>286</v>
      </c>
      <c r="E4367" t="s">
        <v>415</v>
      </c>
      <c r="F4367">
        <f>HYPERLINK("https://www.wikidata.org/wiki/Q33756706", "Q33756706")</f>
        <v>0</v>
      </c>
      <c r="G4367" t="s">
        <v>2842</v>
      </c>
      <c r="H4367" t="s">
        <v>7336</v>
      </c>
      <c r="I4367" t="s">
        <v>10472</v>
      </c>
      <c r="J4367" t="s">
        <v>13481</v>
      </c>
      <c r="K4367" t="s">
        <v>17870</v>
      </c>
      <c r="L4367">
        <f>HYPERLINK("https://www2.assemblee-nationale.fr/sycomore/fiche/(num_dept)/8165", "8165")</f>
        <v>0</v>
      </c>
      <c r="N4367">
        <f>HYPERLINK("https://www.wikidata.org/wiki/Q16026296", "Q16026296")</f>
        <v>0</v>
      </c>
      <c r="O4367" t="s">
        <v>20004</v>
      </c>
      <c r="P4367" t="s">
        <v>20459</v>
      </c>
      <c r="Q4367" t="s">
        <v>13445</v>
      </c>
      <c r="R4367" t="s">
        <v>21463</v>
      </c>
      <c r="S4367">
        <v>1515</v>
      </c>
    </row>
    <row r="4368" spans="1:19">
      <c r="A4368" t="s">
        <v>25</v>
      </c>
      <c r="B4368" t="s">
        <v>148</v>
      </c>
      <c r="C4368" t="s">
        <v>157</v>
      </c>
      <c r="D4368" t="s">
        <v>286</v>
      </c>
      <c r="E4368" t="s">
        <v>415</v>
      </c>
      <c r="F4368">
        <f>HYPERLINK("https://www.wikidata.org/wiki/Q33756706", "Q33756706")</f>
        <v>0</v>
      </c>
      <c r="G4368" t="s">
        <v>2843</v>
      </c>
      <c r="H4368" t="s">
        <v>7337</v>
      </c>
      <c r="I4368" t="s">
        <v>9868</v>
      </c>
      <c r="J4368" t="s">
        <v>13482</v>
      </c>
      <c r="K4368" t="s">
        <v>17871</v>
      </c>
      <c r="L4368">
        <f>HYPERLINK("https://www2.assemblee-nationale.fr/sycomore/fiche/(num_dept)/8166", "8166")</f>
        <v>0</v>
      </c>
      <c r="N4368">
        <f>HYPERLINK("https://www.wikidata.org/wiki/Q15973896", "Q15973896")</f>
        <v>0</v>
      </c>
      <c r="O4368" t="s">
        <v>20004</v>
      </c>
      <c r="P4368" t="s">
        <v>20463</v>
      </c>
      <c r="Q4368" t="s">
        <v>13445</v>
      </c>
      <c r="R4368" t="s">
        <v>21463</v>
      </c>
      <c r="S4368">
        <v>1515</v>
      </c>
    </row>
    <row r="4369" spans="1:19">
      <c r="A4369" t="s">
        <v>25</v>
      </c>
      <c r="B4369" t="s">
        <v>148</v>
      </c>
      <c r="C4369" t="s">
        <v>157</v>
      </c>
      <c r="D4369" t="s">
        <v>286</v>
      </c>
      <c r="E4369" t="s">
        <v>415</v>
      </c>
      <c r="F4369">
        <f>HYPERLINK("https://www.wikidata.org/wiki/Q33756706", "Q33756706")</f>
        <v>0</v>
      </c>
      <c r="G4369" t="s">
        <v>2844</v>
      </c>
      <c r="H4369" t="s">
        <v>7338</v>
      </c>
      <c r="I4369" t="s">
        <v>10389</v>
      </c>
      <c r="J4369" t="s">
        <v>13483</v>
      </c>
      <c r="K4369" t="s">
        <v>17872</v>
      </c>
      <c r="L4369">
        <f>HYPERLINK("https://www2.assemblee-nationale.fr/sycomore/fiche/(num_dept)/8167", "8167")</f>
        <v>0</v>
      </c>
      <c r="N4369">
        <f>HYPERLINK("https://www.wikidata.org/wiki/Q2834581", "Q2834581")</f>
        <v>0</v>
      </c>
      <c r="O4369" t="s">
        <v>19980</v>
      </c>
      <c r="P4369" t="s">
        <v>20461</v>
      </c>
      <c r="Q4369" t="s">
        <v>13445</v>
      </c>
      <c r="R4369" t="s">
        <v>21463</v>
      </c>
      <c r="S4369">
        <v>1515</v>
      </c>
    </row>
    <row r="4370" spans="1:19">
      <c r="A4370" t="s">
        <v>25</v>
      </c>
      <c r="B4370" t="s">
        <v>148</v>
      </c>
      <c r="C4370" t="s">
        <v>157</v>
      </c>
      <c r="D4370" t="s">
        <v>286</v>
      </c>
      <c r="E4370" t="s">
        <v>415</v>
      </c>
      <c r="F4370">
        <f>HYPERLINK("https://www.wikidata.org/wiki/Q33756706", "Q33756706")</f>
        <v>0</v>
      </c>
      <c r="G4370" t="s">
        <v>2845</v>
      </c>
      <c r="H4370" t="s">
        <v>7339</v>
      </c>
      <c r="I4370" t="s">
        <v>6584</v>
      </c>
      <c r="J4370" t="s">
        <v>13484</v>
      </c>
      <c r="K4370" t="s">
        <v>17873</v>
      </c>
      <c r="L4370">
        <f>HYPERLINK("https://www2.assemblee-nationale.fr/sycomore/fiche/(num_dept)/8168", "8168")</f>
        <v>0</v>
      </c>
      <c r="N4370">
        <f>HYPERLINK("https://www.wikidata.org/wiki/Q15973591", "Q15973591")</f>
        <v>0</v>
      </c>
      <c r="O4370" t="s">
        <v>19980</v>
      </c>
      <c r="P4370" t="s">
        <v>20459</v>
      </c>
      <c r="Q4370" t="s">
        <v>13445</v>
      </c>
      <c r="R4370" t="s">
        <v>21463</v>
      </c>
      <c r="S4370">
        <v>1515</v>
      </c>
    </row>
    <row r="4371" spans="1:19">
      <c r="A4371" t="s">
        <v>25</v>
      </c>
      <c r="B4371" t="s">
        <v>148</v>
      </c>
      <c r="C4371" t="s">
        <v>157</v>
      </c>
      <c r="D4371" t="s">
        <v>286</v>
      </c>
      <c r="E4371" t="s">
        <v>415</v>
      </c>
      <c r="F4371">
        <f>HYPERLINK("https://www.wikidata.org/wiki/Q33756706", "Q33756706")</f>
        <v>0</v>
      </c>
      <c r="G4371" t="s">
        <v>2846</v>
      </c>
      <c r="H4371" t="s">
        <v>7340</v>
      </c>
      <c r="I4371" t="s">
        <v>10473</v>
      </c>
      <c r="J4371" t="s">
        <v>13485</v>
      </c>
      <c r="K4371" t="s">
        <v>17595</v>
      </c>
      <c r="L4371">
        <f>HYPERLINK("https://www2.assemblee-nationale.fr/sycomore/fiche/(num_dept)/8169", "8169")</f>
        <v>0</v>
      </c>
      <c r="N4371">
        <f>HYPERLINK("https://www.wikidata.org/wiki/Q3131510", "Q3131510")</f>
        <v>0</v>
      </c>
      <c r="O4371" t="s">
        <v>19980</v>
      </c>
      <c r="P4371" t="s">
        <v>20460</v>
      </c>
      <c r="Q4371" t="s">
        <v>13445</v>
      </c>
      <c r="R4371" t="s">
        <v>17595</v>
      </c>
      <c r="S4371">
        <v>914</v>
      </c>
    </row>
    <row r="4372" spans="1:19">
      <c r="A4372" t="s">
        <v>25</v>
      </c>
      <c r="B4372" t="s">
        <v>148</v>
      </c>
      <c r="C4372" t="s">
        <v>157</v>
      </c>
      <c r="D4372" t="s">
        <v>286</v>
      </c>
      <c r="E4372" t="s">
        <v>415</v>
      </c>
      <c r="F4372">
        <f>HYPERLINK("https://www.wikidata.org/wiki/Q33756706", "Q33756706")</f>
        <v>0</v>
      </c>
      <c r="G4372" t="s">
        <v>2847</v>
      </c>
      <c r="H4372" t="s">
        <v>7341</v>
      </c>
      <c r="I4372" t="s">
        <v>10474</v>
      </c>
      <c r="J4372" t="s">
        <v>13486</v>
      </c>
      <c r="K4372" t="s">
        <v>17874</v>
      </c>
      <c r="L4372">
        <f>HYPERLINK("https://www2.assemblee-nationale.fr/sycomore/fiche/(num_dept)/8170", "8170")</f>
        <v>0</v>
      </c>
      <c r="N4372">
        <f>HYPERLINK("https://www.wikidata.org/wiki/Q8338864", "Q8338864")</f>
        <v>0</v>
      </c>
      <c r="O4372" t="s">
        <v>19980</v>
      </c>
      <c r="P4372" t="s">
        <v>20459</v>
      </c>
      <c r="Q4372" t="s">
        <v>13445</v>
      </c>
      <c r="R4372" t="s">
        <v>21463</v>
      </c>
      <c r="S4372">
        <v>1515</v>
      </c>
    </row>
    <row r="4373" spans="1:19">
      <c r="A4373" t="s">
        <v>25</v>
      </c>
      <c r="B4373" t="s">
        <v>148</v>
      </c>
      <c r="C4373" t="s">
        <v>157</v>
      </c>
      <c r="D4373" t="s">
        <v>286</v>
      </c>
      <c r="E4373" t="s">
        <v>415</v>
      </c>
      <c r="F4373">
        <f>HYPERLINK("https://www.wikidata.org/wiki/Q33756706", "Q33756706")</f>
        <v>0</v>
      </c>
      <c r="G4373" t="s">
        <v>2848</v>
      </c>
      <c r="H4373" t="s">
        <v>5498</v>
      </c>
      <c r="I4373" t="s">
        <v>10475</v>
      </c>
      <c r="J4373" t="s">
        <v>13487</v>
      </c>
      <c r="K4373" t="s">
        <v>17875</v>
      </c>
      <c r="L4373">
        <f>HYPERLINK("https://www2.assemblee-nationale.fr/sycomore/fiche/(num_dept)/8172", "8172")</f>
        <v>0</v>
      </c>
      <c r="M4373">
        <f>HYPERLINK("https://www.senat.fr/senateur-3eme-republique/morel_hippolyte1043r3.html", "morel_hippolyte1043r3")</f>
        <v>0</v>
      </c>
      <c r="N4373">
        <f>HYPERLINK("https://www.wikidata.org/wiki/Q3136093", "Q3136093")</f>
        <v>0</v>
      </c>
      <c r="O4373" t="s">
        <v>19985</v>
      </c>
      <c r="P4373" t="s">
        <v>20458</v>
      </c>
      <c r="Q4373" t="s">
        <v>13445</v>
      </c>
      <c r="R4373" t="s">
        <v>21463</v>
      </c>
      <c r="S4373">
        <v>1515</v>
      </c>
    </row>
    <row r="4374" spans="1:19">
      <c r="A4374" t="s">
        <v>25</v>
      </c>
      <c r="B4374" t="s">
        <v>148</v>
      </c>
      <c r="C4374" t="s">
        <v>157</v>
      </c>
      <c r="D4374" t="s">
        <v>286</v>
      </c>
      <c r="E4374" t="s">
        <v>415</v>
      </c>
      <c r="F4374">
        <f>HYPERLINK("https://www.wikidata.org/wiki/Q33756706", "Q33756706")</f>
        <v>0</v>
      </c>
      <c r="G4374" t="s">
        <v>2849</v>
      </c>
      <c r="H4374" t="s">
        <v>7342</v>
      </c>
      <c r="I4374" t="s">
        <v>10476</v>
      </c>
      <c r="J4374" t="s">
        <v>13488</v>
      </c>
      <c r="K4374" t="s">
        <v>17876</v>
      </c>
      <c r="L4374">
        <f>HYPERLINK("https://www2.assemblee-nationale.fr/sycomore/fiche/(num_dept)/8173", "8173")</f>
        <v>0</v>
      </c>
      <c r="N4374">
        <f>HYPERLINK("https://www.wikidata.org/wiki/Q3085049", "Q3085049")</f>
        <v>0</v>
      </c>
      <c r="O4374" t="s">
        <v>19985</v>
      </c>
      <c r="P4374" t="s">
        <v>20462</v>
      </c>
      <c r="Q4374" t="s">
        <v>13445</v>
      </c>
      <c r="R4374" t="s">
        <v>21463</v>
      </c>
      <c r="S4374">
        <v>1515</v>
      </c>
    </row>
    <row r="4375" spans="1:19">
      <c r="A4375" t="s">
        <v>25</v>
      </c>
      <c r="B4375" t="s">
        <v>148</v>
      </c>
      <c r="C4375" t="s">
        <v>157</v>
      </c>
      <c r="D4375" t="s">
        <v>286</v>
      </c>
      <c r="E4375" t="s">
        <v>415</v>
      </c>
      <c r="F4375">
        <f>HYPERLINK("https://www.wikidata.org/wiki/Q33756706", "Q33756706")</f>
        <v>0</v>
      </c>
      <c r="G4375" t="s">
        <v>2850</v>
      </c>
      <c r="H4375" t="s">
        <v>7343</v>
      </c>
      <c r="I4375" t="s">
        <v>9385</v>
      </c>
      <c r="J4375" t="s">
        <v>13489</v>
      </c>
      <c r="K4375" t="s">
        <v>17877</v>
      </c>
      <c r="L4375">
        <f>HYPERLINK("https://www2.assemblee-nationale.fr/sycomore/fiche/(num_dept)/8174", "8174")</f>
        <v>0</v>
      </c>
      <c r="N4375">
        <f>HYPERLINK("https://www.wikidata.org/wiki/Q2960196", "Q2960196")</f>
        <v>0</v>
      </c>
      <c r="O4375" t="s">
        <v>19985</v>
      </c>
      <c r="P4375" t="s">
        <v>20458</v>
      </c>
      <c r="Q4375" t="s">
        <v>13445</v>
      </c>
      <c r="R4375" t="s">
        <v>21475</v>
      </c>
      <c r="S4375">
        <v>575</v>
      </c>
    </row>
    <row r="4376" spans="1:19">
      <c r="A4376" t="s">
        <v>25</v>
      </c>
      <c r="B4376" t="s">
        <v>148</v>
      </c>
      <c r="C4376" t="s">
        <v>157</v>
      </c>
      <c r="D4376" t="s">
        <v>286</v>
      </c>
      <c r="E4376" t="s">
        <v>415</v>
      </c>
      <c r="F4376">
        <f>HYPERLINK("https://www.wikidata.org/wiki/Q33756706", "Q33756706")</f>
        <v>0</v>
      </c>
      <c r="G4376" t="s">
        <v>2851</v>
      </c>
      <c r="H4376" t="s">
        <v>7344</v>
      </c>
      <c r="I4376" t="s">
        <v>10232</v>
      </c>
      <c r="J4376" t="s">
        <v>13490</v>
      </c>
      <c r="K4376" t="s">
        <v>17878</v>
      </c>
      <c r="L4376">
        <f>HYPERLINK("https://www2.assemblee-nationale.fr/sycomore/fiche/(num_dept)/8175", "8175")</f>
        <v>0</v>
      </c>
      <c r="N4376">
        <f>HYPERLINK("https://www.wikidata.org/wiki/Q3134582", "Q3134582")</f>
        <v>0</v>
      </c>
      <c r="O4376" t="s">
        <v>19985</v>
      </c>
      <c r="P4376" t="s">
        <v>20459</v>
      </c>
      <c r="Q4376" t="s">
        <v>13445</v>
      </c>
      <c r="R4376" t="s">
        <v>21463</v>
      </c>
      <c r="S4376">
        <v>1515</v>
      </c>
    </row>
    <row r="4377" spans="1:19">
      <c r="A4377" t="s">
        <v>25</v>
      </c>
      <c r="B4377" t="s">
        <v>148</v>
      </c>
      <c r="C4377" t="s">
        <v>157</v>
      </c>
      <c r="D4377" t="s">
        <v>286</v>
      </c>
      <c r="E4377" t="s">
        <v>415</v>
      </c>
      <c r="F4377">
        <f>HYPERLINK("https://www.wikidata.org/wiki/Q33756706", "Q33756706")</f>
        <v>0</v>
      </c>
      <c r="G4377" t="s">
        <v>2852</v>
      </c>
      <c r="H4377" t="s">
        <v>7345</v>
      </c>
      <c r="I4377" t="s">
        <v>9451</v>
      </c>
      <c r="J4377" t="s">
        <v>13491</v>
      </c>
      <c r="K4377" t="s">
        <v>17879</v>
      </c>
      <c r="L4377">
        <f>HYPERLINK("https://www2.assemblee-nationale.fr/sycomore/fiche/(num_dept)/8177", "8177")</f>
        <v>0</v>
      </c>
      <c r="N4377">
        <f>HYPERLINK("https://www.wikidata.org/wiki/Q8311130", "Q8311130")</f>
        <v>0</v>
      </c>
      <c r="O4377" t="s">
        <v>19984</v>
      </c>
      <c r="P4377" t="s">
        <v>20458</v>
      </c>
      <c r="Q4377" t="s">
        <v>13445</v>
      </c>
      <c r="R4377" t="s">
        <v>21463</v>
      </c>
      <c r="S4377">
        <v>1515</v>
      </c>
    </row>
    <row r="4378" spans="1:19">
      <c r="A4378" t="s">
        <v>25</v>
      </c>
      <c r="B4378" t="s">
        <v>148</v>
      </c>
      <c r="C4378" t="s">
        <v>157</v>
      </c>
      <c r="D4378" t="s">
        <v>286</v>
      </c>
      <c r="E4378" t="s">
        <v>415</v>
      </c>
      <c r="F4378">
        <f>HYPERLINK("https://www.wikidata.org/wiki/Q33756706", "Q33756706")</f>
        <v>0</v>
      </c>
      <c r="G4378" t="s">
        <v>2853</v>
      </c>
      <c r="H4378" t="s">
        <v>7346</v>
      </c>
      <c r="I4378" t="s">
        <v>10477</v>
      </c>
      <c r="J4378" t="s">
        <v>13492</v>
      </c>
      <c r="K4378" t="s">
        <v>17880</v>
      </c>
      <c r="L4378">
        <f>HYPERLINK("https://www2.assemblee-nationale.fr/sycomore/fiche/(num_dept)/8178", "8178")</f>
        <v>0</v>
      </c>
      <c r="N4378">
        <f>HYPERLINK("https://www.wikidata.org/wiki/Q2959619", "Q2959619")</f>
        <v>0</v>
      </c>
      <c r="O4378" t="s">
        <v>19984</v>
      </c>
      <c r="P4378" t="s">
        <v>20462</v>
      </c>
      <c r="Q4378" t="s">
        <v>13445</v>
      </c>
      <c r="R4378" t="s">
        <v>21463</v>
      </c>
      <c r="S4378">
        <v>1515</v>
      </c>
    </row>
    <row r="4379" spans="1:19">
      <c r="A4379" t="s">
        <v>25</v>
      </c>
      <c r="B4379" t="s">
        <v>148</v>
      </c>
      <c r="C4379" t="s">
        <v>157</v>
      </c>
      <c r="D4379" t="s">
        <v>286</v>
      </c>
      <c r="E4379" t="s">
        <v>415</v>
      </c>
      <c r="F4379">
        <f>HYPERLINK("https://www.wikidata.org/wiki/Q33756706", "Q33756706")</f>
        <v>0</v>
      </c>
      <c r="G4379" t="s">
        <v>2854</v>
      </c>
      <c r="H4379" t="s">
        <v>5850</v>
      </c>
      <c r="I4379" t="s">
        <v>10478</v>
      </c>
      <c r="J4379" t="s">
        <v>13493</v>
      </c>
      <c r="K4379" t="s">
        <v>17881</v>
      </c>
      <c r="L4379">
        <f>HYPERLINK("https://www2.assemblee-nationale.fr/sycomore/fiche/(num_dept)/8179", "8179")</f>
        <v>0</v>
      </c>
      <c r="N4379">
        <f>HYPERLINK("https://www.wikidata.org/wiki/Q2830920", "Q2830920")</f>
        <v>0</v>
      </c>
      <c r="O4379" t="s">
        <v>19984</v>
      </c>
      <c r="P4379" t="s">
        <v>20460</v>
      </c>
      <c r="Q4379" t="s">
        <v>13445</v>
      </c>
      <c r="R4379" t="s">
        <v>21463</v>
      </c>
      <c r="S4379">
        <v>1515</v>
      </c>
    </row>
    <row r="4380" spans="1:19">
      <c r="A4380" t="s">
        <v>25</v>
      </c>
      <c r="B4380" t="s">
        <v>148</v>
      </c>
      <c r="C4380" t="s">
        <v>157</v>
      </c>
      <c r="D4380" t="s">
        <v>286</v>
      </c>
      <c r="E4380" t="s">
        <v>415</v>
      </c>
      <c r="F4380">
        <f>HYPERLINK("https://www.wikidata.org/wiki/Q33756706", "Q33756706")</f>
        <v>0</v>
      </c>
      <c r="G4380" t="s">
        <v>2855</v>
      </c>
      <c r="H4380" t="s">
        <v>7347</v>
      </c>
      <c r="I4380" t="s">
        <v>10479</v>
      </c>
      <c r="J4380" t="s">
        <v>13494</v>
      </c>
      <c r="K4380" t="s">
        <v>17882</v>
      </c>
      <c r="L4380">
        <f>HYPERLINK("https://www2.assemblee-nationale.fr/sycomore/fiche/(num_dept)/8180", "8180")</f>
        <v>0</v>
      </c>
      <c r="N4380">
        <f>HYPERLINK("https://www.wikidata.org/wiki/Q3561151", "Q3561151")</f>
        <v>0</v>
      </c>
      <c r="O4380" t="s">
        <v>19984</v>
      </c>
      <c r="P4380" t="s">
        <v>20461</v>
      </c>
      <c r="Q4380" t="s">
        <v>13445</v>
      </c>
      <c r="R4380" t="s">
        <v>21463</v>
      </c>
      <c r="S4380">
        <v>1515</v>
      </c>
    </row>
    <row r="4381" spans="1:19">
      <c r="A4381" t="s">
        <v>25</v>
      </c>
      <c r="B4381" t="s">
        <v>148</v>
      </c>
      <c r="C4381" t="s">
        <v>157</v>
      </c>
      <c r="D4381" t="s">
        <v>286</v>
      </c>
      <c r="E4381" t="s">
        <v>415</v>
      </c>
      <c r="F4381">
        <f>HYPERLINK("https://www.wikidata.org/wiki/Q33756706", "Q33756706")</f>
        <v>0</v>
      </c>
      <c r="G4381" t="s">
        <v>2856</v>
      </c>
      <c r="H4381" t="s">
        <v>7113</v>
      </c>
      <c r="I4381" t="s">
        <v>10480</v>
      </c>
      <c r="J4381" t="s">
        <v>13495</v>
      </c>
      <c r="K4381" t="s">
        <v>17883</v>
      </c>
      <c r="L4381">
        <f>HYPERLINK("https://www2.assemblee-nationale.fr/sycomore/fiche/(num_dept)/8181", "8181")</f>
        <v>0</v>
      </c>
      <c r="M4381">
        <f>HYPERLINK("https://www.senat.fr/senateur-3eme-republique/develle_edmond1012r3.html", "develle_edmond1012r3")</f>
        <v>0</v>
      </c>
      <c r="N4381">
        <f>HYPERLINK("https://www.wikidata.org/wiki/Q3047803", "Q3047803")</f>
        <v>0</v>
      </c>
      <c r="O4381" t="s">
        <v>20030</v>
      </c>
      <c r="P4381" t="s">
        <v>20461</v>
      </c>
      <c r="Q4381" t="s">
        <v>13445</v>
      </c>
      <c r="R4381" t="s">
        <v>21479</v>
      </c>
      <c r="S4381">
        <v>1262</v>
      </c>
    </row>
    <row r="4382" spans="1:19">
      <c r="A4382" t="s">
        <v>25</v>
      </c>
      <c r="B4382" t="s">
        <v>148</v>
      </c>
      <c r="C4382" t="s">
        <v>157</v>
      </c>
      <c r="D4382" t="s">
        <v>286</v>
      </c>
      <c r="E4382" t="s">
        <v>415</v>
      </c>
      <c r="F4382">
        <f>HYPERLINK("https://www.wikidata.org/wiki/Q33756706", "Q33756706")</f>
        <v>0</v>
      </c>
      <c r="G4382" t="s">
        <v>2857</v>
      </c>
      <c r="H4382" t="s">
        <v>7348</v>
      </c>
      <c r="I4382" t="s">
        <v>10481</v>
      </c>
      <c r="J4382" t="s">
        <v>13496</v>
      </c>
      <c r="K4382" t="s">
        <v>17884</v>
      </c>
      <c r="L4382">
        <f>HYPERLINK("https://www2.assemblee-nationale.fr/sycomore/fiche/(num_dept)/8182", "8182")</f>
        <v>0</v>
      </c>
      <c r="N4382">
        <f>HYPERLINK("https://www.wikidata.org/wiki/Q16026328", "Q16026328")</f>
        <v>0</v>
      </c>
      <c r="O4382" t="s">
        <v>20007</v>
      </c>
      <c r="P4382" t="s">
        <v>20461</v>
      </c>
      <c r="Q4382" t="s">
        <v>13445</v>
      </c>
      <c r="R4382" t="s">
        <v>21463</v>
      </c>
      <c r="S4382">
        <v>1515</v>
      </c>
    </row>
    <row r="4383" spans="1:19">
      <c r="A4383" t="s">
        <v>25</v>
      </c>
      <c r="B4383" t="s">
        <v>148</v>
      </c>
      <c r="C4383" t="s">
        <v>157</v>
      </c>
      <c r="D4383" t="s">
        <v>286</v>
      </c>
      <c r="E4383" t="s">
        <v>415</v>
      </c>
      <c r="F4383">
        <f>HYPERLINK("https://www.wikidata.org/wiki/Q33756706", "Q33756706")</f>
        <v>0</v>
      </c>
      <c r="G4383" t="s">
        <v>2858</v>
      </c>
      <c r="H4383" t="s">
        <v>6736</v>
      </c>
      <c r="I4383" t="s">
        <v>10482</v>
      </c>
      <c r="J4383" t="s">
        <v>13497</v>
      </c>
      <c r="L4383">
        <f>HYPERLINK("https://www2.assemblee-nationale.fr/sycomore/fiche/(num_dept)/8183", "8183")</f>
        <v>0</v>
      </c>
      <c r="N4383">
        <f>HYPERLINK("https://www.wikidata.org/wiki/Q3579957", "Q3579957")</f>
        <v>0</v>
      </c>
      <c r="O4383" t="s">
        <v>19961</v>
      </c>
      <c r="P4383" t="s">
        <v>20401</v>
      </c>
      <c r="Q4383" t="s">
        <v>13445</v>
      </c>
      <c r="R4383" t="s">
        <v>21463</v>
      </c>
      <c r="S4383">
        <v>1515</v>
      </c>
    </row>
    <row r="4384" spans="1:19">
      <c r="A4384" t="s">
        <v>25</v>
      </c>
      <c r="B4384" t="s">
        <v>148</v>
      </c>
      <c r="C4384" t="s">
        <v>157</v>
      </c>
      <c r="D4384" t="s">
        <v>286</v>
      </c>
      <c r="E4384" t="s">
        <v>415</v>
      </c>
      <c r="F4384">
        <f>HYPERLINK("https://www.wikidata.org/wiki/Q33756706", "Q33756706")</f>
        <v>0</v>
      </c>
      <c r="G4384" t="s">
        <v>2859</v>
      </c>
      <c r="H4384" t="s">
        <v>7349</v>
      </c>
      <c r="I4384" t="s">
        <v>9442</v>
      </c>
      <c r="J4384" t="s">
        <v>13498</v>
      </c>
      <c r="K4384" t="s">
        <v>17885</v>
      </c>
      <c r="L4384">
        <f>HYPERLINK("https://www2.assemblee-nationale.fr/sycomore/fiche/(num_dept)/8187", "8187")</f>
        <v>0</v>
      </c>
      <c r="N4384">
        <f>HYPERLINK("https://www.wikidata.org/wiki/Q16634879", "Q16634879")</f>
        <v>0</v>
      </c>
      <c r="O4384" t="s">
        <v>20013</v>
      </c>
      <c r="P4384" t="s">
        <v>20461</v>
      </c>
      <c r="Q4384" t="s">
        <v>13445</v>
      </c>
      <c r="R4384" t="s">
        <v>17885</v>
      </c>
      <c r="S4384">
        <v>1483</v>
      </c>
    </row>
    <row r="4385" spans="1:19">
      <c r="A4385" t="s">
        <v>25</v>
      </c>
      <c r="B4385" t="s">
        <v>148</v>
      </c>
      <c r="C4385" t="s">
        <v>157</v>
      </c>
      <c r="D4385" t="s">
        <v>286</v>
      </c>
      <c r="E4385" t="s">
        <v>415</v>
      </c>
      <c r="F4385">
        <f>HYPERLINK("https://www.wikidata.org/wiki/Q33756706", "Q33756706")</f>
        <v>0</v>
      </c>
      <c r="G4385" t="s">
        <v>2860</v>
      </c>
      <c r="H4385" t="s">
        <v>7350</v>
      </c>
      <c r="I4385" t="s">
        <v>9389</v>
      </c>
      <c r="J4385" t="s">
        <v>13499</v>
      </c>
      <c r="K4385" t="s">
        <v>17886</v>
      </c>
      <c r="L4385">
        <f>HYPERLINK("https://www2.assemblee-nationale.fr/sycomore/fiche/(num_dept)/8188", "8188")</f>
        <v>0</v>
      </c>
      <c r="M4385">
        <f>HYPERLINK("https://www.senat.fr/senateur-3eme-republique/deshayes_de_marcere_emile1513r3.html", "deshayes_de_marcere_emile1513r3")</f>
        <v>0</v>
      </c>
      <c r="N4385">
        <f>HYPERLINK("https://www.wikidata.org/wiki/Q2793541", "Q2793541")</f>
        <v>0</v>
      </c>
      <c r="O4385" t="s">
        <v>20013</v>
      </c>
      <c r="P4385" t="s">
        <v>20462</v>
      </c>
      <c r="Q4385" t="s">
        <v>13445</v>
      </c>
      <c r="R4385" t="s">
        <v>21487</v>
      </c>
      <c r="S4385">
        <v>925</v>
      </c>
    </row>
    <row r="4386" spans="1:19">
      <c r="A4386" t="s">
        <v>25</v>
      </c>
      <c r="B4386" t="s">
        <v>148</v>
      </c>
      <c r="C4386" t="s">
        <v>157</v>
      </c>
      <c r="D4386" t="s">
        <v>286</v>
      </c>
      <c r="E4386" t="s">
        <v>415</v>
      </c>
      <c r="F4386">
        <f>HYPERLINK("https://www.wikidata.org/wiki/Q33756706", "Q33756706")</f>
        <v>0</v>
      </c>
      <c r="G4386" t="s">
        <v>2861</v>
      </c>
      <c r="H4386" t="s">
        <v>5948</v>
      </c>
      <c r="I4386" t="s">
        <v>10483</v>
      </c>
      <c r="J4386" t="s">
        <v>13500</v>
      </c>
      <c r="K4386" t="s">
        <v>17887</v>
      </c>
      <c r="L4386">
        <f>HYPERLINK("https://www2.assemblee-nationale.fr/sycomore/fiche/(num_dept)/8189", "8189")</f>
        <v>0</v>
      </c>
      <c r="N4386">
        <f>HYPERLINK("https://www.wikidata.org/wiki/Q2870998", "Q2870998")</f>
        <v>0</v>
      </c>
      <c r="O4386" t="s">
        <v>20013</v>
      </c>
      <c r="P4386" t="s">
        <v>20459</v>
      </c>
      <c r="Q4386" t="s">
        <v>13445</v>
      </c>
      <c r="R4386" t="s">
        <v>21463</v>
      </c>
      <c r="S4386">
        <v>1515</v>
      </c>
    </row>
    <row r="4387" spans="1:19">
      <c r="A4387" t="s">
        <v>25</v>
      </c>
      <c r="B4387" t="s">
        <v>148</v>
      </c>
      <c r="C4387" t="s">
        <v>157</v>
      </c>
      <c r="D4387" t="s">
        <v>286</v>
      </c>
      <c r="E4387" t="s">
        <v>415</v>
      </c>
      <c r="F4387">
        <f>HYPERLINK("https://www.wikidata.org/wiki/Q33756706", "Q33756706")</f>
        <v>0</v>
      </c>
      <c r="G4387" t="s">
        <v>2862</v>
      </c>
      <c r="H4387" t="s">
        <v>7351</v>
      </c>
      <c r="I4387" t="s">
        <v>10484</v>
      </c>
      <c r="J4387" t="s">
        <v>13501</v>
      </c>
      <c r="K4387" t="s">
        <v>17888</v>
      </c>
      <c r="L4387">
        <f>HYPERLINK("https://www2.assemblee-nationale.fr/sycomore/fiche/(num_dept)/8190", "8190")</f>
        <v>0</v>
      </c>
      <c r="M4387">
        <f>HYPERLINK("https://www.senat.fr/senateur-3eme-republique/cirier_victor1378r3.html", "cirier_victor1378r3")</f>
        <v>0</v>
      </c>
      <c r="N4387">
        <f>HYPERLINK("https://www.wikidata.org/wiki/Q3557222", "Q3557222")</f>
        <v>0</v>
      </c>
      <c r="O4387" t="s">
        <v>20013</v>
      </c>
      <c r="P4387" t="s">
        <v>20461</v>
      </c>
      <c r="Q4387" t="s">
        <v>13445</v>
      </c>
      <c r="R4387" t="s">
        <v>21463</v>
      </c>
      <c r="S4387">
        <v>1515</v>
      </c>
    </row>
    <row r="4388" spans="1:19">
      <c r="A4388" t="s">
        <v>25</v>
      </c>
      <c r="B4388" t="s">
        <v>148</v>
      </c>
      <c r="C4388" t="s">
        <v>157</v>
      </c>
      <c r="D4388" t="s">
        <v>286</v>
      </c>
      <c r="E4388" t="s">
        <v>415</v>
      </c>
      <c r="F4388">
        <f>HYPERLINK("https://www.wikidata.org/wiki/Q33756706", "Q33756706")</f>
        <v>0</v>
      </c>
      <c r="G4388" t="s">
        <v>2863</v>
      </c>
      <c r="H4388" t="s">
        <v>7352</v>
      </c>
      <c r="I4388" t="s">
        <v>10485</v>
      </c>
      <c r="J4388" t="s">
        <v>13502</v>
      </c>
      <c r="K4388" t="s">
        <v>17889</v>
      </c>
      <c r="L4388">
        <f>HYPERLINK("https://www2.assemblee-nationale.fr/sycomore/fiche/(num_dept)/8191", "8191")</f>
        <v>0</v>
      </c>
      <c r="N4388">
        <f>HYPERLINK("https://www.wikidata.org/wiki/Q16025787", "Q16025787")</f>
        <v>0</v>
      </c>
      <c r="O4388" t="s">
        <v>20013</v>
      </c>
      <c r="P4388" t="s">
        <v>20458</v>
      </c>
      <c r="Q4388" t="s">
        <v>13445</v>
      </c>
      <c r="R4388" t="s">
        <v>21463</v>
      </c>
      <c r="S4388">
        <v>1515</v>
      </c>
    </row>
    <row r="4389" spans="1:19">
      <c r="A4389" t="s">
        <v>25</v>
      </c>
      <c r="B4389" t="s">
        <v>148</v>
      </c>
      <c r="C4389" t="s">
        <v>157</v>
      </c>
      <c r="D4389" t="s">
        <v>286</v>
      </c>
      <c r="E4389" t="s">
        <v>415</v>
      </c>
      <c r="F4389">
        <f>HYPERLINK("https://www.wikidata.org/wiki/Q33756706", "Q33756706")</f>
        <v>0</v>
      </c>
      <c r="G4389" t="s">
        <v>2864</v>
      </c>
      <c r="H4389" t="s">
        <v>7353</v>
      </c>
      <c r="I4389" t="s">
        <v>9385</v>
      </c>
      <c r="J4389" t="s">
        <v>13503</v>
      </c>
      <c r="K4389" t="s">
        <v>17890</v>
      </c>
      <c r="L4389">
        <f>HYPERLINK("https://www2.assemblee-nationale.fr/sycomore/fiche/(num_dept)/8192", "8192")</f>
        <v>0</v>
      </c>
      <c r="N4389">
        <f>HYPERLINK("https://www.wikidata.org/wiki/Q16025580", "Q16025580")</f>
        <v>0</v>
      </c>
      <c r="O4389" t="s">
        <v>20013</v>
      </c>
      <c r="P4389" t="s">
        <v>20458</v>
      </c>
      <c r="Q4389" t="s">
        <v>13445</v>
      </c>
      <c r="R4389" t="s">
        <v>21463</v>
      </c>
      <c r="S4389">
        <v>1515</v>
      </c>
    </row>
    <row r="4390" spans="1:19">
      <c r="A4390" t="s">
        <v>25</v>
      </c>
      <c r="B4390" t="s">
        <v>148</v>
      </c>
      <c r="C4390" t="s">
        <v>157</v>
      </c>
      <c r="D4390" t="s">
        <v>286</v>
      </c>
      <c r="E4390" t="s">
        <v>415</v>
      </c>
      <c r="F4390">
        <f>HYPERLINK("https://www.wikidata.org/wiki/Q33756706", "Q33756706")</f>
        <v>0</v>
      </c>
      <c r="G4390" t="s">
        <v>2865</v>
      </c>
      <c r="H4390" t="s">
        <v>7354</v>
      </c>
      <c r="I4390" t="s">
        <v>10486</v>
      </c>
      <c r="J4390" t="s">
        <v>13504</v>
      </c>
      <c r="K4390" t="s">
        <v>17891</v>
      </c>
      <c r="L4390">
        <f>HYPERLINK("https://www2.assemblee-nationale.fr/sycomore/fiche/(num_dept)/8193", "8193")</f>
        <v>0</v>
      </c>
      <c r="N4390">
        <f>HYPERLINK("https://www.wikidata.org/wiki/Q3164470", "Q3164470")</f>
        <v>0</v>
      </c>
      <c r="O4390" t="s">
        <v>20013</v>
      </c>
      <c r="P4390" t="s">
        <v>20461</v>
      </c>
      <c r="Q4390" t="s">
        <v>13445</v>
      </c>
      <c r="R4390" t="s">
        <v>21463</v>
      </c>
      <c r="S4390">
        <v>1515</v>
      </c>
    </row>
    <row r="4391" spans="1:19">
      <c r="A4391" t="s">
        <v>25</v>
      </c>
      <c r="B4391" t="s">
        <v>148</v>
      </c>
      <c r="C4391" t="s">
        <v>157</v>
      </c>
      <c r="D4391" t="s">
        <v>286</v>
      </c>
      <c r="E4391" t="s">
        <v>415</v>
      </c>
      <c r="F4391">
        <f>HYPERLINK("https://www.wikidata.org/wiki/Q33756706", "Q33756706")</f>
        <v>0</v>
      </c>
      <c r="G4391" t="s">
        <v>2866</v>
      </c>
      <c r="H4391" t="s">
        <v>7355</v>
      </c>
      <c r="I4391" t="s">
        <v>10487</v>
      </c>
      <c r="J4391" t="s">
        <v>13505</v>
      </c>
      <c r="K4391" t="s">
        <v>17892</v>
      </c>
      <c r="L4391">
        <f>HYPERLINK("https://www2.assemblee-nationale.fr/sycomore/fiche/(num_dept)/8194", "8194")</f>
        <v>0</v>
      </c>
      <c r="N4391">
        <f>HYPERLINK("https://www.wikidata.org/wiki/Q2839932", "Q2839932")</f>
        <v>0</v>
      </c>
      <c r="O4391" t="s">
        <v>20013</v>
      </c>
      <c r="P4391" t="s">
        <v>20461</v>
      </c>
      <c r="Q4391" t="s">
        <v>13445</v>
      </c>
      <c r="R4391" t="s">
        <v>415</v>
      </c>
      <c r="S4391">
        <v>1541</v>
      </c>
    </row>
    <row r="4392" spans="1:19">
      <c r="A4392" t="s">
        <v>25</v>
      </c>
      <c r="B4392" t="s">
        <v>148</v>
      </c>
      <c r="C4392" t="s">
        <v>157</v>
      </c>
      <c r="D4392" t="s">
        <v>286</v>
      </c>
      <c r="E4392" t="s">
        <v>415</v>
      </c>
      <c r="F4392">
        <f>HYPERLINK("https://www.wikidata.org/wiki/Q33756706", "Q33756706")</f>
        <v>0</v>
      </c>
      <c r="G4392" t="s">
        <v>2867</v>
      </c>
      <c r="H4392" t="s">
        <v>7356</v>
      </c>
      <c r="I4392" t="s">
        <v>10397</v>
      </c>
      <c r="J4392" t="s">
        <v>13506</v>
      </c>
      <c r="K4392" t="s">
        <v>17893</v>
      </c>
      <c r="L4392">
        <f>HYPERLINK("https://www2.assemblee-nationale.fr/sycomore/fiche/(num_dept)/8195", "8195")</f>
        <v>0</v>
      </c>
      <c r="N4392">
        <f>HYPERLINK("https://www.wikidata.org/wiki/Q8311630", "Q8311630")</f>
        <v>0</v>
      </c>
      <c r="O4392" t="s">
        <v>20013</v>
      </c>
      <c r="P4392" t="s">
        <v>20457</v>
      </c>
      <c r="Q4392" t="s">
        <v>13445</v>
      </c>
      <c r="R4392" t="s">
        <v>21463</v>
      </c>
      <c r="S4392">
        <v>1515</v>
      </c>
    </row>
    <row r="4393" spans="1:19">
      <c r="A4393" t="s">
        <v>25</v>
      </c>
      <c r="B4393" t="s">
        <v>148</v>
      </c>
      <c r="C4393" t="s">
        <v>157</v>
      </c>
      <c r="D4393" t="s">
        <v>286</v>
      </c>
      <c r="E4393" t="s">
        <v>415</v>
      </c>
      <c r="F4393">
        <f>HYPERLINK("https://www.wikidata.org/wiki/Q33756706", "Q33756706")</f>
        <v>0</v>
      </c>
      <c r="G4393" t="s">
        <v>2868</v>
      </c>
      <c r="H4393" t="s">
        <v>7357</v>
      </c>
      <c r="I4393" t="s">
        <v>9681</v>
      </c>
      <c r="J4393" t="s">
        <v>13507</v>
      </c>
      <c r="K4393" t="s">
        <v>17894</v>
      </c>
      <c r="L4393">
        <f>HYPERLINK("https://www2.assemblee-nationale.fr/sycomore/fiche/(num_dept)/8196", "8196")</f>
        <v>0</v>
      </c>
      <c r="M4393">
        <f>HYPERLINK("https://www.senat.fr/senateur-3eme-republique/screpel_achille1392r3.html", "screpel_achille1392r3")</f>
        <v>0</v>
      </c>
      <c r="N4393">
        <f>HYPERLINK("https://www.wikidata.org/wiki/Q2823098", "Q2823098")</f>
        <v>0</v>
      </c>
      <c r="O4393" t="s">
        <v>20013</v>
      </c>
      <c r="P4393" t="s">
        <v>20461</v>
      </c>
      <c r="Q4393" t="s">
        <v>13445</v>
      </c>
      <c r="R4393" t="s">
        <v>21463</v>
      </c>
      <c r="S4393">
        <v>1515</v>
      </c>
    </row>
    <row r="4394" spans="1:19">
      <c r="A4394" t="s">
        <v>25</v>
      </c>
      <c r="B4394" t="s">
        <v>148</v>
      </c>
      <c r="C4394" t="s">
        <v>157</v>
      </c>
      <c r="D4394" t="s">
        <v>286</v>
      </c>
      <c r="E4394" t="s">
        <v>415</v>
      </c>
      <c r="F4394">
        <f>HYPERLINK("https://www.wikidata.org/wiki/Q33756706", "Q33756706")</f>
        <v>0</v>
      </c>
      <c r="G4394" t="s">
        <v>2869</v>
      </c>
      <c r="H4394" t="s">
        <v>7358</v>
      </c>
      <c r="I4394" t="s">
        <v>10488</v>
      </c>
      <c r="J4394" t="s">
        <v>13508</v>
      </c>
      <c r="K4394" t="s">
        <v>12983</v>
      </c>
      <c r="L4394">
        <f>HYPERLINK("https://www2.assemblee-nationale.fr/sycomore/fiche/(num_dept)/8198", "8198")</f>
        <v>0</v>
      </c>
      <c r="N4394">
        <f>HYPERLINK("https://www.wikidata.org/wiki/Q8342560", "Q8342560")</f>
        <v>0</v>
      </c>
      <c r="O4394" t="s">
        <v>20013</v>
      </c>
      <c r="P4394" t="s">
        <v>20460</v>
      </c>
      <c r="Q4394" t="s">
        <v>13445</v>
      </c>
      <c r="R4394" t="s">
        <v>12983</v>
      </c>
      <c r="S4394">
        <v>1011</v>
      </c>
    </row>
    <row r="4395" spans="1:19">
      <c r="A4395" t="s">
        <v>25</v>
      </c>
      <c r="B4395" t="s">
        <v>148</v>
      </c>
      <c r="C4395" t="s">
        <v>157</v>
      </c>
      <c r="D4395" t="s">
        <v>286</v>
      </c>
      <c r="E4395" t="s">
        <v>415</v>
      </c>
      <c r="F4395">
        <f>HYPERLINK("https://www.wikidata.org/wiki/Q33756706", "Q33756706")</f>
        <v>0</v>
      </c>
      <c r="G4395" t="s">
        <v>2870</v>
      </c>
      <c r="H4395" t="s">
        <v>5610</v>
      </c>
      <c r="I4395" t="s">
        <v>10489</v>
      </c>
      <c r="J4395" t="s">
        <v>13509</v>
      </c>
      <c r="K4395" t="s">
        <v>17895</v>
      </c>
      <c r="L4395">
        <f>HYPERLINK("https://www2.assemblee-nationale.fr/sycomore/fiche/(num_dept)/8200", "8200")</f>
        <v>0</v>
      </c>
      <c r="N4395">
        <f>HYPERLINK("https://www.wikidata.org/wiki/Q3260458", "Q3260458")</f>
        <v>0</v>
      </c>
      <c r="O4395" t="s">
        <v>20013</v>
      </c>
      <c r="P4395" t="s">
        <v>20462</v>
      </c>
      <c r="Q4395" t="s">
        <v>13445</v>
      </c>
      <c r="R4395" t="s">
        <v>21488</v>
      </c>
      <c r="S4395">
        <v>445</v>
      </c>
    </row>
    <row r="4396" spans="1:19">
      <c r="A4396" t="s">
        <v>25</v>
      </c>
      <c r="B4396" t="s">
        <v>148</v>
      </c>
      <c r="C4396" t="s">
        <v>157</v>
      </c>
      <c r="D4396" t="s">
        <v>286</v>
      </c>
      <c r="E4396" t="s">
        <v>415</v>
      </c>
      <c r="F4396">
        <f>HYPERLINK("https://www.wikidata.org/wiki/Q33756706", "Q33756706")</f>
        <v>0</v>
      </c>
      <c r="G4396" t="s">
        <v>2871</v>
      </c>
      <c r="H4396" t="s">
        <v>5856</v>
      </c>
      <c r="I4396" t="s">
        <v>10490</v>
      </c>
      <c r="J4396" t="s">
        <v>13172</v>
      </c>
      <c r="K4396" t="s">
        <v>17896</v>
      </c>
      <c r="L4396">
        <f>HYPERLINK("https://www2.assemblee-nationale.fr/sycomore/fiche/(num_dept)/8201", "8201")</f>
        <v>0</v>
      </c>
      <c r="M4396">
        <f>HYPERLINK("https://www.senat.fr/senateur-3eme-republique/girard_alfred1403r3.html", "girard_alfred1403r3")</f>
        <v>0</v>
      </c>
      <c r="N4396">
        <f>HYPERLINK("https://www.wikidata.org/wiki/Q2835150", "Q2835150")</f>
        <v>0</v>
      </c>
      <c r="O4396" t="s">
        <v>20013</v>
      </c>
      <c r="P4396" t="s">
        <v>20459</v>
      </c>
      <c r="Q4396" t="s">
        <v>13445</v>
      </c>
      <c r="R4396" t="s">
        <v>21463</v>
      </c>
      <c r="S4396">
        <v>1515</v>
      </c>
    </row>
    <row r="4397" spans="1:19">
      <c r="A4397" t="s">
        <v>25</v>
      </c>
      <c r="B4397" t="s">
        <v>148</v>
      </c>
      <c r="C4397" t="s">
        <v>157</v>
      </c>
      <c r="D4397" t="s">
        <v>286</v>
      </c>
      <c r="E4397" t="s">
        <v>415</v>
      </c>
      <c r="F4397">
        <f>HYPERLINK("https://www.wikidata.org/wiki/Q33756706", "Q33756706")</f>
        <v>0</v>
      </c>
      <c r="G4397" t="s">
        <v>2872</v>
      </c>
      <c r="H4397" t="s">
        <v>6759</v>
      </c>
      <c r="I4397" t="s">
        <v>10491</v>
      </c>
      <c r="J4397" t="s">
        <v>13510</v>
      </c>
      <c r="K4397" t="s">
        <v>17897</v>
      </c>
      <c r="L4397">
        <f>HYPERLINK("https://www2.assemblee-nationale.fr/sycomore/fiche/(num_dept)/8203", "8203")</f>
        <v>0</v>
      </c>
      <c r="N4397">
        <f>HYPERLINK("https://www.wikidata.org/wiki/Q8316291", "Q8316291")</f>
        <v>0</v>
      </c>
      <c r="O4397" t="s">
        <v>19989</v>
      </c>
      <c r="P4397" t="s">
        <v>20461</v>
      </c>
      <c r="Q4397" t="s">
        <v>13445</v>
      </c>
      <c r="R4397" t="s">
        <v>21463</v>
      </c>
      <c r="S4397">
        <v>1515</v>
      </c>
    </row>
    <row r="4398" spans="1:19">
      <c r="A4398" t="s">
        <v>25</v>
      </c>
      <c r="B4398" t="s">
        <v>148</v>
      </c>
      <c r="C4398" t="s">
        <v>157</v>
      </c>
      <c r="D4398" t="s">
        <v>286</v>
      </c>
      <c r="E4398" t="s">
        <v>415</v>
      </c>
      <c r="F4398">
        <f>HYPERLINK("https://www.wikidata.org/wiki/Q33756706", "Q33756706")</f>
        <v>0</v>
      </c>
      <c r="G4398" t="s">
        <v>2873</v>
      </c>
      <c r="H4398" t="s">
        <v>7359</v>
      </c>
      <c r="I4398" t="s">
        <v>10492</v>
      </c>
      <c r="J4398" t="s">
        <v>13511</v>
      </c>
      <c r="K4398" t="s">
        <v>17898</v>
      </c>
      <c r="L4398">
        <f>HYPERLINK("https://www2.assemblee-nationale.fr/sycomore/fiche/(num_dept)/8204", "8204")</f>
        <v>0</v>
      </c>
      <c r="M4398">
        <f>HYPERLINK("https://www.senat.fr/senateur-3eme-republique/chauveau_franck0884r3.html", "chauveau_franck0884r3")</f>
        <v>0</v>
      </c>
      <c r="N4398">
        <f>HYPERLINK("https://www.wikidata.org/wiki/Q3082109", "Q3082109")</f>
        <v>0</v>
      </c>
      <c r="O4398" t="s">
        <v>19989</v>
      </c>
      <c r="P4398" t="s">
        <v>20458</v>
      </c>
      <c r="Q4398" t="s">
        <v>13445</v>
      </c>
      <c r="R4398" t="s">
        <v>21463</v>
      </c>
      <c r="S4398">
        <v>1515</v>
      </c>
    </row>
    <row r="4399" spans="1:19">
      <c r="A4399" t="s">
        <v>25</v>
      </c>
      <c r="B4399" t="s">
        <v>148</v>
      </c>
      <c r="C4399" t="s">
        <v>157</v>
      </c>
      <c r="D4399" t="s">
        <v>286</v>
      </c>
      <c r="E4399" t="s">
        <v>415</v>
      </c>
      <c r="F4399">
        <f>HYPERLINK("https://www.wikidata.org/wiki/Q33756706", "Q33756706")</f>
        <v>0</v>
      </c>
      <c r="G4399" t="s">
        <v>2874</v>
      </c>
      <c r="H4399" t="s">
        <v>6994</v>
      </c>
      <c r="I4399" t="s">
        <v>10493</v>
      </c>
      <c r="J4399" t="s">
        <v>13512</v>
      </c>
      <c r="K4399" t="s">
        <v>17899</v>
      </c>
      <c r="L4399">
        <f>HYPERLINK("https://www2.assemblee-nationale.fr/sycomore/fiche/(num_dept)/8205", "8205")</f>
        <v>0</v>
      </c>
      <c r="N4399">
        <f>HYPERLINK("https://www.wikidata.org/wiki/Q16025709", "Q16025709")</f>
        <v>0</v>
      </c>
      <c r="O4399" t="s">
        <v>19957</v>
      </c>
      <c r="P4399" t="s">
        <v>20461</v>
      </c>
      <c r="Q4399" t="s">
        <v>13445</v>
      </c>
      <c r="R4399" t="s">
        <v>21489</v>
      </c>
      <c r="S4399">
        <v>1241</v>
      </c>
    </row>
    <row r="4400" spans="1:19">
      <c r="A4400" t="s">
        <v>25</v>
      </c>
      <c r="B4400" t="s">
        <v>148</v>
      </c>
      <c r="C4400" t="s">
        <v>157</v>
      </c>
      <c r="D4400" t="s">
        <v>286</v>
      </c>
      <c r="E4400" t="s">
        <v>415</v>
      </c>
      <c r="F4400">
        <f>HYPERLINK("https://www.wikidata.org/wiki/Q33756706", "Q33756706")</f>
        <v>0</v>
      </c>
      <c r="G4400" t="s">
        <v>2875</v>
      </c>
      <c r="H4400" t="s">
        <v>7360</v>
      </c>
      <c r="I4400" t="s">
        <v>10494</v>
      </c>
      <c r="J4400" t="s">
        <v>13513</v>
      </c>
      <c r="K4400" t="s">
        <v>17770</v>
      </c>
      <c r="L4400">
        <f>HYPERLINK("https://www2.assemblee-nationale.fr/sycomore/fiche/(num_dept)/8206", "8206")</f>
        <v>0</v>
      </c>
      <c r="N4400">
        <f>HYPERLINK("https://www.wikidata.org/wiki/Q15973858", "Q15973858")</f>
        <v>0</v>
      </c>
      <c r="O4400" t="s">
        <v>19968</v>
      </c>
      <c r="P4400" t="s">
        <v>20461</v>
      </c>
      <c r="Q4400" t="s">
        <v>13445</v>
      </c>
      <c r="R4400" t="s">
        <v>21463</v>
      </c>
      <c r="S4400">
        <v>1515</v>
      </c>
    </row>
    <row r="4401" spans="1:19">
      <c r="A4401" t="s">
        <v>25</v>
      </c>
      <c r="B4401" t="s">
        <v>148</v>
      </c>
      <c r="C4401" t="s">
        <v>157</v>
      </c>
      <c r="D4401" t="s">
        <v>286</v>
      </c>
      <c r="E4401" t="s">
        <v>415</v>
      </c>
      <c r="F4401">
        <f>HYPERLINK("https://www.wikidata.org/wiki/Q33756706", "Q33756706")</f>
        <v>0</v>
      </c>
      <c r="G4401" t="s">
        <v>2876</v>
      </c>
      <c r="H4401" t="s">
        <v>7361</v>
      </c>
      <c r="I4401" t="s">
        <v>6495</v>
      </c>
      <c r="J4401" t="s">
        <v>13514</v>
      </c>
      <c r="K4401" t="s">
        <v>17900</v>
      </c>
      <c r="L4401">
        <f>HYPERLINK("https://www2.assemblee-nationale.fr/sycomore/fiche/(num_dept)/8207", "8207")</f>
        <v>0</v>
      </c>
      <c r="N4401">
        <f>HYPERLINK("https://www.wikidata.org/wiki/Q16025711", "Q16025711")</f>
        <v>0</v>
      </c>
      <c r="O4401" t="s">
        <v>19968</v>
      </c>
      <c r="P4401" t="s">
        <v>20458</v>
      </c>
      <c r="Q4401" t="s">
        <v>13445</v>
      </c>
      <c r="R4401" t="s">
        <v>21463</v>
      </c>
      <c r="S4401">
        <v>1515</v>
      </c>
    </row>
    <row r="4402" spans="1:19">
      <c r="A4402" t="s">
        <v>25</v>
      </c>
      <c r="B4402" t="s">
        <v>148</v>
      </c>
      <c r="C4402" t="s">
        <v>157</v>
      </c>
      <c r="D4402" t="s">
        <v>286</v>
      </c>
      <c r="E4402" t="s">
        <v>415</v>
      </c>
      <c r="F4402">
        <f>HYPERLINK("https://www.wikidata.org/wiki/Q33756706", "Q33756706")</f>
        <v>0</v>
      </c>
      <c r="G4402" t="s">
        <v>2877</v>
      </c>
      <c r="H4402" t="s">
        <v>7362</v>
      </c>
      <c r="I4402" t="s">
        <v>10495</v>
      </c>
      <c r="J4402" t="s">
        <v>13515</v>
      </c>
      <c r="K4402" t="s">
        <v>17901</v>
      </c>
      <c r="L4402">
        <f>HYPERLINK("https://www2.assemblee-nationale.fr/sycomore/fiche/(num_dept)/8208", "8208")</f>
        <v>0</v>
      </c>
      <c r="M4402">
        <f>HYPERLINK("https://www.senat.fr/senateur-3eme-republique/devaux_louis0955r3.html", "devaux_louis0955r3")</f>
        <v>0</v>
      </c>
      <c r="N4402">
        <f>HYPERLINK("https://www.wikidata.org/wiki/Q3261723", "Q3261723")</f>
        <v>0</v>
      </c>
      <c r="O4402" t="s">
        <v>19968</v>
      </c>
      <c r="P4402" t="s">
        <v>20461</v>
      </c>
      <c r="Q4402" t="s">
        <v>13445</v>
      </c>
      <c r="R4402" t="s">
        <v>21019</v>
      </c>
      <c r="S4402">
        <v>148</v>
      </c>
    </row>
    <row r="4403" spans="1:19">
      <c r="A4403" t="s">
        <v>25</v>
      </c>
      <c r="B4403" t="s">
        <v>148</v>
      </c>
      <c r="C4403" t="s">
        <v>157</v>
      </c>
      <c r="D4403" t="s">
        <v>286</v>
      </c>
      <c r="E4403" t="s">
        <v>415</v>
      </c>
      <c r="F4403">
        <f>HYPERLINK("https://www.wikidata.org/wiki/Q33756706", "Q33756706")</f>
        <v>0</v>
      </c>
      <c r="G4403" t="s">
        <v>2878</v>
      </c>
      <c r="H4403" t="s">
        <v>7363</v>
      </c>
      <c r="I4403" t="s">
        <v>10496</v>
      </c>
      <c r="J4403" t="s">
        <v>11305</v>
      </c>
      <c r="K4403" t="s">
        <v>17902</v>
      </c>
      <c r="L4403">
        <f>HYPERLINK("https://www2.assemblee-nationale.fr/sycomore/fiche/(num_dept)/8209", "8209")</f>
        <v>0</v>
      </c>
      <c r="M4403">
        <f>HYPERLINK("https://www.senat.fr/senateur-3eme-republique/deprez_louis0925r3.html", "deprez_louis0925r3")</f>
        <v>0</v>
      </c>
      <c r="N4403">
        <f>HYPERLINK("https://www.wikidata.org/wiki/Q2847076", "Q2847076")</f>
        <v>0</v>
      </c>
      <c r="O4403" t="s">
        <v>19968</v>
      </c>
      <c r="Q4403" t="s">
        <v>13445</v>
      </c>
      <c r="R4403" t="s">
        <v>21463</v>
      </c>
      <c r="S4403">
        <v>1515</v>
      </c>
    </row>
    <row r="4404" spans="1:19">
      <c r="A4404" t="s">
        <v>25</v>
      </c>
      <c r="B4404" t="s">
        <v>148</v>
      </c>
      <c r="C4404" t="s">
        <v>157</v>
      </c>
      <c r="D4404" t="s">
        <v>286</v>
      </c>
      <c r="E4404" t="s">
        <v>415</v>
      </c>
      <c r="F4404">
        <f>HYPERLINK("https://www.wikidata.org/wiki/Q33756706", "Q33756706")</f>
        <v>0</v>
      </c>
      <c r="G4404" t="s">
        <v>2879</v>
      </c>
      <c r="H4404" t="s">
        <v>7364</v>
      </c>
      <c r="I4404" t="s">
        <v>10497</v>
      </c>
      <c r="J4404" t="s">
        <v>13516</v>
      </c>
      <c r="K4404" t="s">
        <v>17903</v>
      </c>
      <c r="L4404">
        <f>HYPERLINK("https://www2.assemblee-nationale.fr/sycomore/fiche/(num_dept)/8210", "8210")</f>
        <v>0</v>
      </c>
      <c r="N4404">
        <f>HYPERLINK("https://www.wikidata.org/wiki/Q3047728", "Q3047728")</f>
        <v>0</v>
      </c>
      <c r="O4404" t="s">
        <v>19968</v>
      </c>
      <c r="P4404" t="s">
        <v>20458</v>
      </c>
      <c r="Q4404" t="s">
        <v>13445</v>
      </c>
      <c r="R4404" t="s">
        <v>21463</v>
      </c>
      <c r="S4404">
        <v>1515</v>
      </c>
    </row>
    <row r="4405" spans="1:19">
      <c r="A4405" t="s">
        <v>25</v>
      </c>
      <c r="B4405" t="s">
        <v>148</v>
      </c>
      <c r="C4405" t="s">
        <v>157</v>
      </c>
      <c r="D4405" t="s">
        <v>286</v>
      </c>
      <c r="E4405" t="s">
        <v>415</v>
      </c>
      <c r="F4405">
        <f>HYPERLINK("https://www.wikidata.org/wiki/Q33756706", "Q33756706")</f>
        <v>0</v>
      </c>
      <c r="G4405" t="s">
        <v>2880</v>
      </c>
      <c r="H4405" t="s">
        <v>7365</v>
      </c>
      <c r="I4405" t="s">
        <v>10498</v>
      </c>
      <c r="J4405" t="s">
        <v>13517</v>
      </c>
      <c r="K4405" t="s">
        <v>17904</v>
      </c>
      <c r="L4405">
        <f>HYPERLINK("https://www2.assemblee-nationale.fr/sycomore/fiche/(num_dept)/8211", "8211")</f>
        <v>0</v>
      </c>
      <c r="M4405">
        <f>HYPERLINK("https://www.senat.fr/senateur-3eme-republique/hamille_francois0923r3.html", "hamille_francois0923r3")</f>
        <v>0</v>
      </c>
      <c r="N4405">
        <f>HYPERLINK("https://www.wikidata.org/wiki/Q3084825", "Q3084825")</f>
        <v>0</v>
      </c>
      <c r="O4405" t="s">
        <v>19968</v>
      </c>
      <c r="P4405" t="s">
        <v>20464</v>
      </c>
      <c r="Q4405" t="s">
        <v>13445</v>
      </c>
      <c r="R4405" t="s">
        <v>21481</v>
      </c>
      <c r="S4405">
        <v>1266</v>
      </c>
    </row>
    <row r="4406" spans="1:19">
      <c r="A4406" t="s">
        <v>25</v>
      </c>
      <c r="B4406" t="s">
        <v>148</v>
      </c>
      <c r="C4406" t="s">
        <v>157</v>
      </c>
      <c r="D4406" t="s">
        <v>286</v>
      </c>
      <c r="E4406" t="s">
        <v>415</v>
      </c>
      <c r="F4406">
        <f>HYPERLINK("https://www.wikidata.org/wiki/Q33756706", "Q33756706")</f>
        <v>0</v>
      </c>
      <c r="G4406" t="s">
        <v>2881</v>
      </c>
      <c r="H4406" t="s">
        <v>7366</v>
      </c>
      <c r="I4406" t="s">
        <v>10499</v>
      </c>
      <c r="J4406" t="s">
        <v>13518</v>
      </c>
      <c r="K4406" t="s">
        <v>17905</v>
      </c>
      <c r="L4406">
        <f>HYPERLINK("https://www2.assemblee-nationale.fr/sycomore/fiche/(num_dept)/8212", "8212")</f>
        <v>0</v>
      </c>
      <c r="N4406">
        <f>HYPERLINK("https://www.wikidata.org/wiki/Q10643738", "Q10643738")</f>
        <v>0</v>
      </c>
      <c r="O4406" t="s">
        <v>20005</v>
      </c>
      <c r="P4406" t="s">
        <v>20458</v>
      </c>
      <c r="Q4406" t="s">
        <v>13445</v>
      </c>
      <c r="R4406" t="s">
        <v>21463</v>
      </c>
      <c r="S4406">
        <v>1515</v>
      </c>
    </row>
    <row r="4407" spans="1:19">
      <c r="A4407" t="s">
        <v>25</v>
      </c>
      <c r="B4407" t="s">
        <v>148</v>
      </c>
      <c r="C4407" t="s">
        <v>157</v>
      </c>
      <c r="D4407" t="s">
        <v>286</v>
      </c>
      <c r="E4407" t="s">
        <v>415</v>
      </c>
      <c r="F4407">
        <f>HYPERLINK("https://www.wikidata.org/wiki/Q33756706", "Q33756706")</f>
        <v>0</v>
      </c>
      <c r="G4407" t="s">
        <v>2882</v>
      </c>
      <c r="H4407" t="s">
        <v>7367</v>
      </c>
      <c r="I4407" t="s">
        <v>6495</v>
      </c>
      <c r="J4407" t="s">
        <v>13512</v>
      </c>
      <c r="K4407" t="s">
        <v>17906</v>
      </c>
      <c r="L4407">
        <f>HYPERLINK("https://www2.assemblee-nationale.fr/sycomore/fiche/(num_dept)/8213", "8213")</f>
        <v>0</v>
      </c>
      <c r="N4407">
        <f>HYPERLINK("https://www.wikidata.org/wiki/Q16026560", "Q16026560")</f>
        <v>0</v>
      </c>
      <c r="O4407" t="s">
        <v>20005</v>
      </c>
      <c r="P4407" t="s">
        <v>20459</v>
      </c>
      <c r="Q4407" t="s">
        <v>13445</v>
      </c>
      <c r="R4407" t="s">
        <v>17906</v>
      </c>
      <c r="S4407">
        <v>560</v>
      </c>
    </row>
    <row r="4408" spans="1:19">
      <c r="A4408" t="s">
        <v>25</v>
      </c>
      <c r="B4408" t="s">
        <v>148</v>
      </c>
      <c r="C4408" t="s">
        <v>157</v>
      </c>
      <c r="D4408" t="s">
        <v>286</v>
      </c>
      <c r="E4408" t="s">
        <v>415</v>
      </c>
      <c r="F4408">
        <f>HYPERLINK("https://www.wikidata.org/wiki/Q33756706", "Q33756706")</f>
        <v>0</v>
      </c>
      <c r="G4408" t="s">
        <v>2883</v>
      </c>
      <c r="H4408" t="s">
        <v>7368</v>
      </c>
      <c r="I4408" t="s">
        <v>9458</v>
      </c>
      <c r="J4408" t="s">
        <v>13519</v>
      </c>
      <c r="K4408" t="s">
        <v>17907</v>
      </c>
      <c r="L4408">
        <f>HYPERLINK("https://www2.assemblee-nationale.fr/sycomore/fiche/(num_dept)/8214", "8214")</f>
        <v>0</v>
      </c>
      <c r="N4408">
        <f>HYPERLINK("https://www.wikidata.org/wiki/Q16026530", "Q16026530")</f>
        <v>0</v>
      </c>
      <c r="O4408" t="s">
        <v>20005</v>
      </c>
      <c r="P4408" t="s">
        <v>20461</v>
      </c>
      <c r="Q4408" t="s">
        <v>13445</v>
      </c>
      <c r="R4408" t="s">
        <v>21463</v>
      </c>
      <c r="S4408">
        <v>1515</v>
      </c>
    </row>
    <row r="4409" spans="1:19">
      <c r="A4409" t="s">
        <v>25</v>
      </c>
      <c r="B4409" t="s">
        <v>148</v>
      </c>
      <c r="C4409" t="s">
        <v>157</v>
      </c>
      <c r="D4409" t="s">
        <v>286</v>
      </c>
      <c r="E4409" t="s">
        <v>415</v>
      </c>
      <c r="F4409">
        <f>HYPERLINK("https://www.wikidata.org/wiki/Q33756706", "Q33756706")</f>
        <v>0</v>
      </c>
      <c r="G4409" t="s">
        <v>2884</v>
      </c>
      <c r="H4409" t="s">
        <v>7369</v>
      </c>
      <c r="I4409" t="s">
        <v>10500</v>
      </c>
      <c r="J4409" t="s">
        <v>13520</v>
      </c>
      <c r="K4409" t="s">
        <v>17908</v>
      </c>
      <c r="L4409">
        <f>HYPERLINK("https://www2.assemblee-nationale.fr/sycomore/fiche/(num_dept)/8215", "8215")</f>
        <v>0</v>
      </c>
      <c r="M4409">
        <f>HYPERLINK("https://www.senat.fr/senateur-3eme-republique/girot_pouzol_francois1003r3.html", "girot_pouzol_francois1003r3")</f>
        <v>0</v>
      </c>
      <c r="N4409">
        <f>HYPERLINK("https://www.wikidata.org/wiki/Q3084738", "Q3084738")</f>
        <v>0</v>
      </c>
      <c r="O4409" t="s">
        <v>20005</v>
      </c>
      <c r="P4409" t="s">
        <v>20461</v>
      </c>
      <c r="Q4409" t="s">
        <v>13445</v>
      </c>
      <c r="R4409" t="s">
        <v>21463</v>
      </c>
      <c r="S4409">
        <v>1515</v>
      </c>
    </row>
    <row r="4410" spans="1:19">
      <c r="A4410" t="s">
        <v>25</v>
      </c>
      <c r="B4410" t="s">
        <v>148</v>
      </c>
      <c r="C4410" t="s">
        <v>157</v>
      </c>
      <c r="D4410" t="s">
        <v>286</v>
      </c>
      <c r="E4410" t="s">
        <v>415</v>
      </c>
      <c r="F4410">
        <f>HYPERLINK("https://www.wikidata.org/wiki/Q33756706", "Q33756706")</f>
        <v>0</v>
      </c>
      <c r="G4410" t="s">
        <v>2885</v>
      </c>
      <c r="H4410" t="s">
        <v>7370</v>
      </c>
      <c r="I4410" t="s">
        <v>10501</v>
      </c>
      <c r="J4410" t="s">
        <v>13521</v>
      </c>
      <c r="K4410" t="s">
        <v>17909</v>
      </c>
      <c r="L4410">
        <f>HYPERLINK("https://www2.assemblee-nationale.fr/sycomore/fiche/(num_dept)/8216", "8216")</f>
        <v>0</v>
      </c>
      <c r="M4410">
        <f>HYPERLINK("https://www.senat.fr/senateur-3eme-republique/plantie_jean_baptiste1066r3.html", "plantie_jean_baptiste1066r3")</f>
        <v>0</v>
      </c>
      <c r="N4410">
        <f>HYPERLINK("https://www.wikidata.org/wiki/Q3164364", "Q3164364")</f>
        <v>0</v>
      </c>
      <c r="O4410" t="s">
        <v>19970</v>
      </c>
      <c r="P4410" t="s">
        <v>20461</v>
      </c>
      <c r="Q4410" t="s">
        <v>13445</v>
      </c>
      <c r="R4410" t="s">
        <v>21468</v>
      </c>
      <c r="S4410">
        <v>1364</v>
      </c>
    </row>
    <row r="4411" spans="1:19">
      <c r="A4411" t="s">
        <v>25</v>
      </c>
      <c r="B4411" t="s">
        <v>148</v>
      </c>
      <c r="C4411" t="s">
        <v>157</v>
      </c>
      <c r="D4411" t="s">
        <v>286</v>
      </c>
      <c r="E4411" t="s">
        <v>415</v>
      </c>
      <c r="F4411">
        <f>HYPERLINK("https://www.wikidata.org/wiki/Q33756706", "Q33756706")</f>
        <v>0</v>
      </c>
      <c r="G4411" t="s">
        <v>2886</v>
      </c>
      <c r="H4411" t="s">
        <v>5548</v>
      </c>
      <c r="I4411" t="s">
        <v>10502</v>
      </c>
      <c r="J4411" t="s">
        <v>13393</v>
      </c>
      <c r="K4411" t="s">
        <v>17910</v>
      </c>
      <c r="L4411">
        <f>HYPERLINK("https://www2.assemblee-nationale.fr/sycomore/fiche/(num_dept)/8217", "8217")</f>
        <v>0</v>
      </c>
      <c r="N4411">
        <f>HYPERLINK("https://www.wikidata.org/wiki/Q15233823", "Q15233823")</f>
        <v>0</v>
      </c>
      <c r="O4411" t="s">
        <v>19970</v>
      </c>
      <c r="P4411" t="s">
        <v>20461</v>
      </c>
      <c r="Q4411" t="s">
        <v>13445</v>
      </c>
      <c r="R4411" t="s">
        <v>17910</v>
      </c>
      <c r="S4411">
        <v>1487</v>
      </c>
    </row>
    <row r="4412" spans="1:19">
      <c r="A4412" t="s">
        <v>25</v>
      </c>
      <c r="B4412" t="s">
        <v>148</v>
      </c>
      <c r="C4412" t="s">
        <v>157</v>
      </c>
      <c r="D4412" t="s">
        <v>286</v>
      </c>
      <c r="E4412" t="s">
        <v>415</v>
      </c>
      <c r="F4412">
        <f>HYPERLINK("https://www.wikidata.org/wiki/Q33756706", "Q33756706")</f>
        <v>0</v>
      </c>
      <c r="G4412" t="s">
        <v>2887</v>
      </c>
      <c r="H4412" t="s">
        <v>7371</v>
      </c>
      <c r="I4412" t="s">
        <v>10503</v>
      </c>
      <c r="J4412" t="s">
        <v>13522</v>
      </c>
      <c r="K4412" t="s">
        <v>17911</v>
      </c>
      <c r="L4412">
        <f>HYPERLINK("https://www2.assemblee-nationale.fr/sycomore/fiche/(num_dept)/8218", "8218")</f>
        <v>0</v>
      </c>
      <c r="M4412">
        <f>HYPERLINK("https://www.senat.fr/senateur-3eme-republique/la_caze_louis1055r3.html", "la_caze_louis1055r3")</f>
        <v>0</v>
      </c>
      <c r="N4412">
        <f>HYPERLINK("https://www.wikidata.org/wiki/Q16025909", "Q16025909")</f>
        <v>0</v>
      </c>
      <c r="O4412" t="s">
        <v>19970</v>
      </c>
      <c r="P4412" t="s">
        <v>20458</v>
      </c>
      <c r="Q4412" t="s">
        <v>13445</v>
      </c>
      <c r="R4412" t="s">
        <v>21019</v>
      </c>
      <c r="S4412">
        <v>148</v>
      </c>
    </row>
    <row r="4413" spans="1:19">
      <c r="A4413" t="s">
        <v>25</v>
      </c>
      <c r="B4413" t="s">
        <v>148</v>
      </c>
      <c r="C4413" t="s">
        <v>157</v>
      </c>
      <c r="D4413" t="s">
        <v>286</v>
      </c>
      <c r="E4413" t="s">
        <v>415</v>
      </c>
      <c r="F4413">
        <f>HYPERLINK("https://www.wikidata.org/wiki/Q33756706", "Q33756706")</f>
        <v>0</v>
      </c>
      <c r="G4413" t="s">
        <v>2888</v>
      </c>
      <c r="H4413" t="s">
        <v>7372</v>
      </c>
      <c r="I4413" t="s">
        <v>10504</v>
      </c>
      <c r="J4413" t="s">
        <v>13523</v>
      </c>
      <c r="K4413" t="s">
        <v>17912</v>
      </c>
      <c r="L4413">
        <f>HYPERLINK("https://www2.assemblee-nationale.fr/sycomore/fiche/(num_dept)/8221", "8221")</f>
        <v>0</v>
      </c>
      <c r="N4413">
        <f>HYPERLINK("https://www.wikidata.org/wiki/Q16026542", "Q16026542")</f>
        <v>0</v>
      </c>
      <c r="O4413" t="s">
        <v>20027</v>
      </c>
      <c r="P4413" t="s">
        <v>20461</v>
      </c>
      <c r="Q4413" t="s">
        <v>13445</v>
      </c>
      <c r="R4413" t="s">
        <v>21463</v>
      </c>
      <c r="S4413">
        <v>1515</v>
      </c>
    </row>
    <row r="4414" spans="1:19">
      <c r="A4414" t="s">
        <v>25</v>
      </c>
      <c r="B4414" t="s">
        <v>148</v>
      </c>
      <c r="C4414" t="s">
        <v>157</v>
      </c>
      <c r="D4414" t="s">
        <v>286</v>
      </c>
      <c r="E4414" t="s">
        <v>415</v>
      </c>
      <c r="F4414">
        <f>HYPERLINK("https://www.wikidata.org/wiki/Q33756706", "Q33756706")</f>
        <v>0</v>
      </c>
      <c r="G4414" t="s">
        <v>2889</v>
      </c>
      <c r="H4414" t="s">
        <v>7373</v>
      </c>
      <c r="I4414" t="s">
        <v>10505</v>
      </c>
      <c r="J4414" t="s">
        <v>13524</v>
      </c>
      <c r="K4414" t="s">
        <v>17913</v>
      </c>
      <c r="L4414">
        <f>HYPERLINK("https://www2.assemblee-nationale.fr/sycomore/fiche/(num_dept)/8222", "8222")</f>
        <v>0</v>
      </c>
      <c r="M4414">
        <f>HYPERLINK("https://www.senat.fr/senateur-3eme-republique/escarguel_lazare1096r3.html", "escarguel_lazare1096r3")</f>
        <v>0</v>
      </c>
      <c r="N4414">
        <f>HYPERLINK("https://www.wikidata.org/wiki/Q3220004", "Q3220004")</f>
        <v>0</v>
      </c>
      <c r="O4414" t="s">
        <v>20001</v>
      </c>
      <c r="P4414" t="s">
        <v>20459</v>
      </c>
      <c r="Q4414" t="s">
        <v>13445</v>
      </c>
      <c r="R4414" t="s">
        <v>12511</v>
      </c>
      <c r="S4414">
        <v>337</v>
      </c>
    </row>
    <row r="4415" spans="1:19">
      <c r="A4415" t="s">
        <v>25</v>
      </c>
      <c r="B4415" t="s">
        <v>148</v>
      </c>
      <c r="C4415" t="s">
        <v>157</v>
      </c>
      <c r="D4415" t="s">
        <v>286</v>
      </c>
      <c r="E4415" t="s">
        <v>415</v>
      </c>
      <c r="F4415">
        <f>HYPERLINK("https://www.wikidata.org/wiki/Q33756706", "Q33756706")</f>
        <v>0</v>
      </c>
      <c r="G4415" t="s">
        <v>2890</v>
      </c>
      <c r="H4415" t="s">
        <v>7374</v>
      </c>
      <c r="I4415" t="s">
        <v>10506</v>
      </c>
      <c r="J4415" t="s">
        <v>13525</v>
      </c>
      <c r="L4415">
        <f>HYPERLINK("https://www2.assemblee-nationale.fr/sycomore/fiche/(num_dept)/8223", "8223")</f>
        <v>0</v>
      </c>
      <c r="N4415">
        <f>HYPERLINK("https://www.wikidata.org/wiki/Q14301063", "Q14301063")</f>
        <v>0</v>
      </c>
      <c r="O4415" t="s">
        <v>20001</v>
      </c>
      <c r="P4415" t="s">
        <v>20459</v>
      </c>
      <c r="Q4415" t="s">
        <v>13445</v>
      </c>
      <c r="R4415" t="s">
        <v>21463</v>
      </c>
      <c r="S4415">
        <v>1515</v>
      </c>
    </row>
    <row r="4416" spans="1:19">
      <c r="A4416" t="s">
        <v>25</v>
      </c>
      <c r="B4416" t="s">
        <v>148</v>
      </c>
      <c r="C4416" t="s">
        <v>157</v>
      </c>
      <c r="D4416" t="s">
        <v>286</v>
      </c>
      <c r="E4416" t="s">
        <v>415</v>
      </c>
      <c r="F4416">
        <f>HYPERLINK("https://www.wikidata.org/wiki/Q33756706", "Q33756706")</f>
        <v>0</v>
      </c>
      <c r="G4416" t="s">
        <v>2891</v>
      </c>
      <c r="H4416" t="s">
        <v>7375</v>
      </c>
      <c r="I4416" t="s">
        <v>9958</v>
      </c>
      <c r="J4416" t="s">
        <v>13526</v>
      </c>
      <c r="K4416" t="s">
        <v>17914</v>
      </c>
      <c r="L4416">
        <f>HYPERLINK("https://www2.assemblee-nationale.fr/sycomore/fiche/(num_dept)/8224", "8224")</f>
        <v>0</v>
      </c>
      <c r="M4416">
        <f>HYPERLINK("https://www.senat.fr/senateur-3eme-republique/frery_charles1816r3.html", "frery_charles1816r3")</f>
        <v>0</v>
      </c>
      <c r="N4416">
        <f>HYPERLINK("https://www.wikidata.org/wiki/Q2959142", "Q2959142")</f>
        <v>0</v>
      </c>
      <c r="O4416" t="s">
        <v>20040</v>
      </c>
      <c r="P4416" t="s">
        <v>20461</v>
      </c>
      <c r="Q4416" t="s">
        <v>13445</v>
      </c>
      <c r="R4416" t="s">
        <v>21463</v>
      </c>
      <c r="S4416">
        <v>1515</v>
      </c>
    </row>
    <row r="4417" spans="1:19">
      <c r="A4417" t="s">
        <v>25</v>
      </c>
      <c r="B4417" t="s">
        <v>148</v>
      </c>
      <c r="C4417" t="s">
        <v>157</v>
      </c>
      <c r="D4417" t="s">
        <v>286</v>
      </c>
      <c r="E4417" t="s">
        <v>415</v>
      </c>
      <c r="F4417">
        <f>HYPERLINK("https://www.wikidata.org/wiki/Q33756706", "Q33756706")</f>
        <v>0</v>
      </c>
      <c r="G4417" t="s">
        <v>2892</v>
      </c>
      <c r="H4417" t="s">
        <v>7376</v>
      </c>
      <c r="I4417" t="s">
        <v>6166</v>
      </c>
      <c r="J4417" t="s">
        <v>13527</v>
      </c>
      <c r="K4417" t="s">
        <v>17915</v>
      </c>
      <c r="L4417">
        <f>HYPERLINK("https://www2.assemblee-nationale.fr/sycomore/fiche/(num_dept)/8226", "8226")</f>
        <v>0</v>
      </c>
      <c r="N4417">
        <f>HYPERLINK("https://www.wikidata.org/wiki/Q3085976", "Q3085976")</f>
        <v>0</v>
      </c>
      <c r="O4417" t="s">
        <v>19965</v>
      </c>
      <c r="P4417" t="s">
        <v>20459</v>
      </c>
      <c r="Q4417" t="s">
        <v>13445</v>
      </c>
      <c r="R4417" t="s">
        <v>21490</v>
      </c>
      <c r="S4417">
        <v>613</v>
      </c>
    </row>
    <row r="4418" spans="1:19">
      <c r="A4418" t="s">
        <v>25</v>
      </c>
      <c r="B4418" t="s">
        <v>148</v>
      </c>
      <c r="C4418" t="s">
        <v>157</v>
      </c>
      <c r="D4418" t="s">
        <v>286</v>
      </c>
      <c r="E4418" t="s">
        <v>415</v>
      </c>
      <c r="F4418">
        <f>HYPERLINK("https://www.wikidata.org/wiki/Q33756706", "Q33756706")</f>
        <v>0</v>
      </c>
      <c r="G4418" t="s">
        <v>2893</v>
      </c>
      <c r="H4418" t="s">
        <v>7377</v>
      </c>
      <c r="I4418" t="s">
        <v>10507</v>
      </c>
      <c r="J4418" t="s">
        <v>13528</v>
      </c>
      <c r="K4418" t="s">
        <v>17916</v>
      </c>
      <c r="L4418">
        <f>HYPERLINK("https://www2.assemblee-nationale.fr/sycomore/fiche/(num_dept)/8227", "8227")</f>
        <v>0</v>
      </c>
      <c r="M4418">
        <f>HYPERLINK("https://www.senat.fr/senateur-3eme-republique/perras_jean_claude1141r3.html", "perras_jean_claude1141r3")</f>
        <v>0</v>
      </c>
      <c r="N4418">
        <f>HYPERLINK("https://www.wikidata.org/wiki/Q3165165", "Q3165165")</f>
        <v>0</v>
      </c>
      <c r="O4418" t="s">
        <v>19965</v>
      </c>
      <c r="P4418" t="s">
        <v>20461</v>
      </c>
      <c r="Q4418" t="s">
        <v>13445</v>
      </c>
      <c r="R4418" t="s">
        <v>21491</v>
      </c>
      <c r="S4418">
        <v>1259</v>
      </c>
    </row>
    <row r="4419" spans="1:19">
      <c r="A4419" t="s">
        <v>25</v>
      </c>
      <c r="B4419" t="s">
        <v>148</v>
      </c>
      <c r="C4419" t="s">
        <v>157</v>
      </c>
      <c r="D4419" t="s">
        <v>286</v>
      </c>
      <c r="E4419" t="s">
        <v>415</v>
      </c>
      <c r="F4419">
        <f>HYPERLINK("https://www.wikidata.org/wiki/Q33756706", "Q33756706")</f>
        <v>0</v>
      </c>
      <c r="G4419" t="s">
        <v>2894</v>
      </c>
      <c r="H4419" t="s">
        <v>7378</v>
      </c>
      <c r="I4419" t="s">
        <v>9389</v>
      </c>
      <c r="J4419" t="s">
        <v>13529</v>
      </c>
      <c r="K4419" t="s">
        <v>17917</v>
      </c>
      <c r="L4419">
        <f>HYPERLINK("https://www2.assemblee-nationale.fr/sycomore/fiche/(num_dept)/8230", "8230")</f>
        <v>0</v>
      </c>
      <c r="M4419">
        <f>HYPERLINK("https://www.senat.fr/senateur-3eme-republique/guyot_emile1127r3.html", "guyot_emile1127r3")</f>
        <v>0</v>
      </c>
      <c r="N4419">
        <f>HYPERLINK("https://www.wikidata.org/wiki/Q3588551", "Q3588551")</f>
        <v>0</v>
      </c>
      <c r="O4419" t="s">
        <v>19965</v>
      </c>
      <c r="P4419" t="s">
        <v>20459</v>
      </c>
      <c r="Q4419" t="s">
        <v>13445</v>
      </c>
      <c r="R4419" t="s">
        <v>21492</v>
      </c>
      <c r="S4419">
        <v>144</v>
      </c>
    </row>
    <row r="4420" spans="1:19">
      <c r="A4420" t="s">
        <v>25</v>
      </c>
      <c r="B4420" t="s">
        <v>148</v>
      </c>
      <c r="C4420" t="s">
        <v>157</v>
      </c>
      <c r="D4420" t="s">
        <v>286</v>
      </c>
      <c r="E4420" t="s">
        <v>415</v>
      </c>
      <c r="F4420">
        <f>HYPERLINK("https://www.wikidata.org/wiki/Q33756706", "Q33756706")</f>
        <v>0</v>
      </c>
      <c r="G4420" t="s">
        <v>2895</v>
      </c>
      <c r="H4420" t="s">
        <v>7379</v>
      </c>
      <c r="I4420" t="s">
        <v>10508</v>
      </c>
      <c r="J4420" t="s">
        <v>13530</v>
      </c>
      <c r="K4420" t="s">
        <v>17918</v>
      </c>
      <c r="L4420">
        <f>HYPERLINK("https://www2.assemblee-nationale.fr/sycomore/fiche/(num_dept)/8231", "8231")</f>
        <v>0</v>
      </c>
      <c r="N4420">
        <f>HYPERLINK("https://www.wikidata.org/wiki/Q16025771", "Q16025771")</f>
        <v>0</v>
      </c>
      <c r="O4420" t="s">
        <v>19994</v>
      </c>
      <c r="P4420" t="s">
        <v>20461</v>
      </c>
      <c r="Q4420" t="s">
        <v>13445</v>
      </c>
      <c r="R4420" t="s">
        <v>21463</v>
      </c>
      <c r="S4420">
        <v>1515</v>
      </c>
    </row>
    <row r="4421" spans="1:19">
      <c r="A4421" t="s">
        <v>25</v>
      </c>
      <c r="B4421" t="s">
        <v>148</v>
      </c>
      <c r="C4421" t="s">
        <v>157</v>
      </c>
      <c r="D4421" t="s">
        <v>286</v>
      </c>
      <c r="E4421" t="s">
        <v>415</v>
      </c>
      <c r="F4421">
        <f>HYPERLINK("https://www.wikidata.org/wiki/Q33756706", "Q33756706")</f>
        <v>0</v>
      </c>
      <c r="G4421" t="s">
        <v>2896</v>
      </c>
      <c r="H4421" t="s">
        <v>7380</v>
      </c>
      <c r="I4421" t="s">
        <v>9389</v>
      </c>
      <c r="J4421" t="s">
        <v>13531</v>
      </c>
      <c r="K4421" t="s">
        <v>17919</v>
      </c>
      <c r="L4421">
        <f>HYPERLINK("https://www2.assemblee-nationale.fr/sycomore/fiche/(num_dept)/8232", "8232")</f>
        <v>0</v>
      </c>
      <c r="N4421">
        <f>HYPERLINK("https://www.wikidata.org/wiki/Q8328910", "Q8328910")</f>
        <v>0</v>
      </c>
      <c r="O4421" t="s">
        <v>19994</v>
      </c>
      <c r="P4421" t="s">
        <v>20461</v>
      </c>
      <c r="Q4421" t="s">
        <v>13445</v>
      </c>
      <c r="R4421" t="s">
        <v>17919</v>
      </c>
      <c r="S4421">
        <v>966</v>
      </c>
    </row>
    <row r="4422" spans="1:19">
      <c r="A4422" t="s">
        <v>25</v>
      </c>
      <c r="B4422" t="s">
        <v>148</v>
      </c>
      <c r="C4422" t="s">
        <v>157</v>
      </c>
      <c r="D4422" t="s">
        <v>286</v>
      </c>
      <c r="E4422" t="s">
        <v>415</v>
      </c>
      <c r="F4422">
        <f>HYPERLINK("https://www.wikidata.org/wiki/Q33756706", "Q33756706")</f>
        <v>0</v>
      </c>
      <c r="G4422" t="s">
        <v>2897</v>
      </c>
      <c r="H4422" t="s">
        <v>7381</v>
      </c>
      <c r="I4422" t="s">
        <v>10509</v>
      </c>
      <c r="J4422" t="s">
        <v>13532</v>
      </c>
      <c r="K4422" t="s">
        <v>17920</v>
      </c>
      <c r="L4422">
        <f>HYPERLINK("https://www2.assemblee-nationale.fr/sycomore/fiche/(num_dept)/8233", "8233")</f>
        <v>0</v>
      </c>
      <c r="N4422">
        <f>HYPERLINK("https://www.wikidata.org/wiki/Q8305659", "Q8305659")</f>
        <v>0</v>
      </c>
      <c r="O4422" t="s">
        <v>19994</v>
      </c>
      <c r="P4422" t="s">
        <v>20459</v>
      </c>
      <c r="Q4422" t="s">
        <v>13445</v>
      </c>
      <c r="R4422" t="s">
        <v>17920</v>
      </c>
      <c r="S4422">
        <v>698</v>
      </c>
    </row>
    <row r="4423" spans="1:19">
      <c r="A4423" t="s">
        <v>25</v>
      </c>
      <c r="B4423" t="s">
        <v>148</v>
      </c>
      <c r="C4423" t="s">
        <v>157</v>
      </c>
      <c r="D4423" t="s">
        <v>286</v>
      </c>
      <c r="E4423" t="s">
        <v>415</v>
      </c>
      <c r="F4423">
        <f>HYPERLINK("https://www.wikidata.org/wiki/Q33756706", "Q33756706")</f>
        <v>0</v>
      </c>
      <c r="G4423" t="s">
        <v>2898</v>
      </c>
      <c r="H4423" t="s">
        <v>7382</v>
      </c>
      <c r="I4423" t="s">
        <v>9449</v>
      </c>
      <c r="J4423" t="s">
        <v>13533</v>
      </c>
      <c r="K4423" t="s">
        <v>12151</v>
      </c>
      <c r="L4423">
        <f>HYPERLINK("https://www2.assemblee-nationale.fr/sycomore/fiche/(num_dept)/8234", "8234")</f>
        <v>0</v>
      </c>
      <c r="N4423">
        <f>HYPERLINK("https://www.wikidata.org/wiki/Q3188742", "Q3188742")</f>
        <v>0</v>
      </c>
      <c r="O4423" t="s">
        <v>19994</v>
      </c>
      <c r="P4423" t="s">
        <v>20461</v>
      </c>
      <c r="Q4423" t="s">
        <v>13445</v>
      </c>
      <c r="R4423" t="s">
        <v>12151</v>
      </c>
      <c r="S4423">
        <v>962</v>
      </c>
    </row>
    <row r="4424" spans="1:19">
      <c r="A4424" t="s">
        <v>25</v>
      </c>
      <c r="B4424" t="s">
        <v>148</v>
      </c>
      <c r="C4424" t="s">
        <v>157</v>
      </c>
      <c r="D4424" t="s">
        <v>286</v>
      </c>
      <c r="E4424" t="s">
        <v>415</v>
      </c>
      <c r="F4424">
        <f>HYPERLINK("https://www.wikidata.org/wiki/Q33756706", "Q33756706")</f>
        <v>0</v>
      </c>
      <c r="G4424" t="s">
        <v>2899</v>
      </c>
      <c r="H4424" t="s">
        <v>7383</v>
      </c>
      <c r="I4424" t="s">
        <v>9423</v>
      </c>
      <c r="J4424" t="s">
        <v>13534</v>
      </c>
      <c r="K4424" t="s">
        <v>17921</v>
      </c>
      <c r="L4424">
        <f>HYPERLINK("https://www2.assemblee-nationale.fr/sycomore/fiche/(num_dept)/8236", "8236")</f>
        <v>0</v>
      </c>
      <c r="N4424">
        <f>HYPERLINK("https://www.wikidata.org/wiki/Q2400323", "Q2400323")</f>
        <v>0</v>
      </c>
      <c r="O4424" t="s">
        <v>19994</v>
      </c>
      <c r="P4424" t="s">
        <v>20459</v>
      </c>
      <c r="Q4424" t="s">
        <v>13445</v>
      </c>
      <c r="R4424" t="s">
        <v>21463</v>
      </c>
      <c r="S4424">
        <v>1515</v>
      </c>
    </row>
    <row r="4425" spans="1:19">
      <c r="A4425" t="s">
        <v>25</v>
      </c>
      <c r="B4425" t="s">
        <v>148</v>
      </c>
      <c r="C4425" t="s">
        <v>157</v>
      </c>
      <c r="D4425" t="s">
        <v>286</v>
      </c>
      <c r="E4425" t="s">
        <v>415</v>
      </c>
      <c r="F4425">
        <f>HYPERLINK("https://www.wikidata.org/wiki/Q33756706", "Q33756706")</f>
        <v>0</v>
      </c>
      <c r="G4425" t="s">
        <v>2900</v>
      </c>
      <c r="H4425" t="s">
        <v>5412</v>
      </c>
      <c r="I4425" t="s">
        <v>10510</v>
      </c>
      <c r="J4425" t="s">
        <v>13535</v>
      </c>
      <c r="K4425" t="s">
        <v>17922</v>
      </c>
      <c r="L4425">
        <f>HYPERLINK("https://www2.assemblee-nationale.fr/sycomore/fiche/(num_dept)/8237", "8237")</f>
        <v>0</v>
      </c>
      <c r="N4425">
        <f>HYPERLINK("https://www.wikidata.org/wiki/Q8314091", "Q8314091")</f>
        <v>0</v>
      </c>
      <c r="O4425" t="s">
        <v>19956</v>
      </c>
      <c r="P4425" t="s">
        <v>20458</v>
      </c>
      <c r="Q4425" t="s">
        <v>13445</v>
      </c>
      <c r="R4425" t="s">
        <v>17922</v>
      </c>
      <c r="S4425">
        <v>1212</v>
      </c>
    </row>
    <row r="4426" spans="1:19">
      <c r="A4426" t="s">
        <v>25</v>
      </c>
      <c r="B4426" t="s">
        <v>148</v>
      </c>
      <c r="C4426" t="s">
        <v>157</v>
      </c>
      <c r="D4426" t="s">
        <v>286</v>
      </c>
      <c r="E4426" t="s">
        <v>415</v>
      </c>
      <c r="F4426">
        <f>HYPERLINK("https://www.wikidata.org/wiki/Q33756706", "Q33756706")</f>
        <v>0</v>
      </c>
      <c r="G4426" t="s">
        <v>2901</v>
      </c>
      <c r="H4426" t="s">
        <v>7384</v>
      </c>
      <c r="I4426" t="s">
        <v>10511</v>
      </c>
      <c r="J4426" t="s">
        <v>13536</v>
      </c>
      <c r="K4426" t="s">
        <v>17923</v>
      </c>
      <c r="L4426">
        <f>HYPERLINK("https://www2.assemblee-nationale.fr/sycomore/fiche/(num_dept)/8240", "8240")</f>
        <v>0</v>
      </c>
      <c r="N4426">
        <f>HYPERLINK("https://www.wikidata.org/wiki/Q16026323", "Q16026323")</f>
        <v>0</v>
      </c>
      <c r="O4426" t="s">
        <v>19956</v>
      </c>
      <c r="P4426" t="s">
        <v>20460</v>
      </c>
      <c r="Q4426" t="s">
        <v>13445</v>
      </c>
      <c r="R4426" t="s">
        <v>17923</v>
      </c>
      <c r="S4426">
        <v>109</v>
      </c>
    </row>
    <row r="4427" spans="1:19">
      <c r="A4427" t="s">
        <v>25</v>
      </c>
      <c r="B4427" t="s">
        <v>148</v>
      </c>
      <c r="C4427" t="s">
        <v>157</v>
      </c>
      <c r="D4427" t="s">
        <v>286</v>
      </c>
      <c r="E4427" t="s">
        <v>415</v>
      </c>
      <c r="F4427">
        <f>HYPERLINK("https://www.wikidata.org/wiki/Q33756706", "Q33756706")</f>
        <v>0</v>
      </c>
      <c r="G4427" t="s">
        <v>2902</v>
      </c>
      <c r="H4427" t="s">
        <v>7385</v>
      </c>
      <c r="I4427" t="s">
        <v>10512</v>
      </c>
      <c r="J4427" t="s">
        <v>13537</v>
      </c>
      <c r="K4427" t="s">
        <v>17924</v>
      </c>
      <c r="L4427">
        <f>HYPERLINK("https://www2.assemblee-nationale.fr/sycomore/fiche/(num_dept)/8241", "8241")</f>
        <v>0</v>
      </c>
      <c r="M4427">
        <f>HYPERLINK("https://www.senat.fr/senateur-3eme-republique/le_monnier_pierre1250r3.html", "le_monnier_pierre1250r3")</f>
        <v>0</v>
      </c>
      <c r="N4427">
        <f>HYPERLINK("https://www.wikidata.org/wiki/Q3385859", "Q3385859")</f>
        <v>0</v>
      </c>
      <c r="O4427" t="s">
        <v>19956</v>
      </c>
      <c r="P4427" t="s">
        <v>20462</v>
      </c>
      <c r="Q4427" t="s">
        <v>13445</v>
      </c>
      <c r="R4427" t="s">
        <v>19398</v>
      </c>
      <c r="S4427">
        <v>151</v>
      </c>
    </row>
    <row r="4428" spans="1:19">
      <c r="A4428" t="s">
        <v>25</v>
      </c>
      <c r="B4428" t="s">
        <v>148</v>
      </c>
      <c r="C4428" t="s">
        <v>157</v>
      </c>
      <c r="D4428" t="s">
        <v>286</v>
      </c>
      <c r="E4428" t="s">
        <v>415</v>
      </c>
      <c r="F4428">
        <f>HYPERLINK("https://www.wikidata.org/wiki/Q33756706", "Q33756706")</f>
        <v>0</v>
      </c>
      <c r="G4428" t="s">
        <v>2903</v>
      </c>
      <c r="H4428" t="s">
        <v>7386</v>
      </c>
      <c r="I4428" t="s">
        <v>10513</v>
      </c>
      <c r="J4428" t="s">
        <v>13538</v>
      </c>
      <c r="K4428" t="s">
        <v>17925</v>
      </c>
      <c r="L4428">
        <f>HYPERLINK("https://www2.assemblee-nationale.fr/sycomore/fiche/(num_dept)/8242", "8242")</f>
        <v>0</v>
      </c>
      <c r="N4428">
        <f>HYPERLINK("https://www.wikidata.org/wiki/Q7122252", "Q7122252")</f>
        <v>0</v>
      </c>
      <c r="O4428" t="s">
        <v>19988</v>
      </c>
      <c r="P4428" t="s">
        <v>20458</v>
      </c>
      <c r="Q4428" t="s">
        <v>13445</v>
      </c>
      <c r="R4428" t="s">
        <v>17925</v>
      </c>
      <c r="S4428">
        <v>540</v>
      </c>
    </row>
    <row r="4429" spans="1:19">
      <c r="A4429" t="s">
        <v>25</v>
      </c>
      <c r="B4429" t="s">
        <v>148</v>
      </c>
      <c r="C4429" t="s">
        <v>157</v>
      </c>
      <c r="D4429" t="s">
        <v>286</v>
      </c>
      <c r="E4429" t="s">
        <v>415</v>
      </c>
      <c r="F4429">
        <f>HYPERLINK("https://www.wikidata.org/wiki/Q33756706", "Q33756706")</f>
        <v>0</v>
      </c>
      <c r="G4429" t="s">
        <v>2904</v>
      </c>
      <c r="H4429" t="s">
        <v>7387</v>
      </c>
      <c r="I4429" t="s">
        <v>6166</v>
      </c>
      <c r="J4429" t="s">
        <v>13539</v>
      </c>
      <c r="K4429" t="s">
        <v>17926</v>
      </c>
      <c r="L4429">
        <f>HYPERLINK("https://www2.assemblee-nationale.fr/sycomore/fiche/(num_dept)/8243", "8243")</f>
        <v>0</v>
      </c>
      <c r="N4429">
        <f>HYPERLINK("https://www.wikidata.org/wiki/Q3083927", "Q3083927")</f>
        <v>0</v>
      </c>
      <c r="O4429" t="s">
        <v>19988</v>
      </c>
      <c r="P4429" t="s">
        <v>20461</v>
      </c>
      <c r="Q4429" t="s">
        <v>13445</v>
      </c>
      <c r="R4429" t="s">
        <v>21463</v>
      </c>
      <c r="S4429">
        <v>1515</v>
      </c>
    </row>
    <row r="4430" spans="1:19">
      <c r="A4430" t="s">
        <v>25</v>
      </c>
      <c r="B4430" t="s">
        <v>148</v>
      </c>
      <c r="C4430" t="s">
        <v>157</v>
      </c>
      <c r="D4430" t="s">
        <v>286</v>
      </c>
      <c r="E4430" t="s">
        <v>415</v>
      </c>
      <c r="F4430">
        <f>HYPERLINK("https://www.wikidata.org/wiki/Q33756706", "Q33756706")</f>
        <v>0</v>
      </c>
      <c r="G4430" t="s">
        <v>2905</v>
      </c>
      <c r="H4430" t="s">
        <v>7388</v>
      </c>
      <c r="I4430" t="s">
        <v>10514</v>
      </c>
      <c r="J4430" t="s">
        <v>13540</v>
      </c>
      <c r="K4430" t="s">
        <v>17927</v>
      </c>
      <c r="L4430">
        <f>HYPERLINK("https://www2.assemblee-nationale.fr/sycomore/fiche/(num_dept)/8244", "8244")</f>
        <v>0</v>
      </c>
      <c r="N4430">
        <f>HYPERLINK("https://www.wikidata.org/wiki/Q8303863", "Q8303863")</f>
        <v>0</v>
      </c>
      <c r="O4430" t="s">
        <v>19988</v>
      </c>
      <c r="P4430" t="s">
        <v>20461</v>
      </c>
      <c r="Q4430" t="s">
        <v>13445</v>
      </c>
      <c r="R4430" t="s">
        <v>21463</v>
      </c>
      <c r="S4430">
        <v>1515</v>
      </c>
    </row>
    <row r="4431" spans="1:19">
      <c r="A4431" t="s">
        <v>25</v>
      </c>
      <c r="B4431" t="s">
        <v>148</v>
      </c>
      <c r="C4431" t="s">
        <v>157</v>
      </c>
      <c r="D4431" t="s">
        <v>286</v>
      </c>
      <c r="E4431" t="s">
        <v>415</v>
      </c>
      <c r="F4431">
        <f>HYPERLINK("https://www.wikidata.org/wiki/Q33756706", "Q33756706")</f>
        <v>0</v>
      </c>
      <c r="G4431" t="s">
        <v>2906</v>
      </c>
      <c r="H4431" t="s">
        <v>5864</v>
      </c>
      <c r="I4431" t="s">
        <v>10515</v>
      </c>
      <c r="J4431" t="s">
        <v>13541</v>
      </c>
      <c r="K4431" t="s">
        <v>13027</v>
      </c>
      <c r="L4431">
        <f>HYPERLINK("https://www2.assemblee-nationale.fr/sycomore/fiche/(num_dept)/8245", "8245")</f>
        <v>0</v>
      </c>
      <c r="N4431">
        <f>HYPERLINK("https://www.wikidata.org/wiki/Q3526338", "Q3526338")</f>
        <v>0</v>
      </c>
      <c r="O4431" t="s">
        <v>20018</v>
      </c>
      <c r="P4431" t="s">
        <v>20461</v>
      </c>
      <c r="Q4431" t="s">
        <v>13445</v>
      </c>
      <c r="R4431" t="s">
        <v>13027</v>
      </c>
      <c r="S4431">
        <v>581</v>
      </c>
    </row>
    <row r="4432" spans="1:19">
      <c r="A4432" t="s">
        <v>25</v>
      </c>
      <c r="B4432" t="s">
        <v>148</v>
      </c>
      <c r="C4432" t="s">
        <v>157</v>
      </c>
      <c r="D4432" t="s">
        <v>286</v>
      </c>
      <c r="E4432" t="s">
        <v>415</v>
      </c>
      <c r="F4432">
        <f>HYPERLINK("https://www.wikidata.org/wiki/Q33756706", "Q33756706")</f>
        <v>0</v>
      </c>
      <c r="G4432" t="s">
        <v>2907</v>
      </c>
      <c r="H4432" t="s">
        <v>7389</v>
      </c>
      <c r="I4432" t="s">
        <v>6860</v>
      </c>
      <c r="J4432" t="s">
        <v>13542</v>
      </c>
      <c r="K4432" t="s">
        <v>17928</v>
      </c>
      <c r="L4432">
        <f>HYPERLINK("https://www2.assemblee-nationale.fr/sycomore/fiche/(num_dept)/8246", "8246")</f>
        <v>0</v>
      </c>
      <c r="M4432">
        <f>HYPERLINK("https://www.senat.fr/senateur-3eme-republique/tirard_pierre1538r3.html", "tirard_pierre1538r3")</f>
        <v>0</v>
      </c>
      <c r="N4432">
        <f>HYPERLINK("https://www.wikidata.org/wiki/Q708359", "Q708359")</f>
        <v>0</v>
      </c>
      <c r="O4432" t="s">
        <v>19969</v>
      </c>
      <c r="P4432" t="s">
        <v>20459</v>
      </c>
      <c r="Q4432" t="s">
        <v>13445</v>
      </c>
      <c r="R4432" t="s">
        <v>12052</v>
      </c>
      <c r="S4432">
        <v>676</v>
      </c>
    </row>
    <row r="4433" spans="1:19">
      <c r="A4433" t="s">
        <v>25</v>
      </c>
      <c r="B4433" t="s">
        <v>148</v>
      </c>
      <c r="C4433" t="s">
        <v>157</v>
      </c>
      <c r="D4433" t="s">
        <v>286</v>
      </c>
      <c r="E4433" t="s">
        <v>415</v>
      </c>
      <c r="F4433">
        <f>HYPERLINK("https://www.wikidata.org/wiki/Q33756706", "Q33756706")</f>
        <v>0</v>
      </c>
      <c r="G4433" t="s">
        <v>2908</v>
      </c>
      <c r="H4433" t="s">
        <v>7053</v>
      </c>
      <c r="I4433" t="s">
        <v>10516</v>
      </c>
      <c r="J4433" t="s">
        <v>13543</v>
      </c>
      <c r="K4433" t="s">
        <v>17929</v>
      </c>
      <c r="L4433">
        <f>HYPERLINK("https://www2.assemblee-nationale.fr/sycomore/fiche/(num_dept)/8248", "8248")</f>
        <v>0</v>
      </c>
      <c r="N4433">
        <f>HYPERLINK("https://www.wikidata.org/wiki/Q13080800", "Q13080800")</f>
        <v>0</v>
      </c>
      <c r="O4433" t="s">
        <v>19969</v>
      </c>
      <c r="P4433" t="s">
        <v>20465</v>
      </c>
      <c r="Q4433" t="s">
        <v>13445</v>
      </c>
      <c r="R4433" t="s">
        <v>21463</v>
      </c>
      <c r="S4433">
        <v>1515</v>
      </c>
    </row>
    <row r="4434" spans="1:19">
      <c r="A4434" t="s">
        <v>25</v>
      </c>
      <c r="B4434" t="s">
        <v>148</v>
      </c>
      <c r="C4434" t="s">
        <v>157</v>
      </c>
      <c r="D4434" t="s">
        <v>286</v>
      </c>
      <c r="E4434" t="s">
        <v>415</v>
      </c>
      <c r="F4434">
        <f>HYPERLINK("https://www.wikidata.org/wiki/Q33756706", "Q33756706")</f>
        <v>0</v>
      </c>
      <c r="G4434" t="s">
        <v>2909</v>
      </c>
      <c r="H4434" t="s">
        <v>7258</v>
      </c>
      <c r="I4434" t="s">
        <v>10517</v>
      </c>
      <c r="J4434" t="s">
        <v>13544</v>
      </c>
      <c r="K4434" t="s">
        <v>17930</v>
      </c>
      <c r="L4434">
        <f>HYPERLINK("https://www2.assemblee-nationale.fr/sycomore/fiche/(num_dept)/8251", "8251")</f>
        <v>0</v>
      </c>
      <c r="N4434">
        <f>HYPERLINK("https://www.wikidata.org/wiki/Q2850753", "Q2850753")</f>
        <v>0</v>
      </c>
      <c r="O4434" t="s">
        <v>19969</v>
      </c>
      <c r="Q4434" t="s">
        <v>13445</v>
      </c>
      <c r="R4434" t="s">
        <v>21463</v>
      </c>
      <c r="S4434">
        <v>1515</v>
      </c>
    </row>
    <row r="4435" spans="1:19">
      <c r="A4435" t="s">
        <v>25</v>
      </c>
      <c r="B4435" t="s">
        <v>148</v>
      </c>
      <c r="C4435" t="s">
        <v>157</v>
      </c>
      <c r="D4435" t="s">
        <v>286</v>
      </c>
      <c r="E4435" t="s">
        <v>415</v>
      </c>
      <c r="F4435">
        <f>HYPERLINK("https://www.wikidata.org/wiki/Q33756706", "Q33756706")</f>
        <v>0</v>
      </c>
      <c r="G4435" t="s">
        <v>2910</v>
      </c>
      <c r="H4435" t="s">
        <v>7390</v>
      </c>
      <c r="I4435" t="s">
        <v>10518</v>
      </c>
      <c r="J4435" t="s">
        <v>13545</v>
      </c>
      <c r="K4435" t="s">
        <v>17931</v>
      </c>
      <c r="L4435">
        <f>HYPERLINK("https://www2.assemblee-nationale.fr/sycomore/fiche/(num_dept)/8252", "8252")</f>
        <v>0</v>
      </c>
      <c r="N4435">
        <f>HYPERLINK("https://www.wikidata.org/wiki/Q13080835", "Q13080835")</f>
        <v>0</v>
      </c>
      <c r="O4435" t="s">
        <v>19978</v>
      </c>
      <c r="P4435" t="s">
        <v>20461</v>
      </c>
      <c r="Q4435" t="s">
        <v>13445</v>
      </c>
      <c r="R4435" t="s">
        <v>17931</v>
      </c>
      <c r="S4435">
        <v>798</v>
      </c>
    </row>
    <row r="4436" spans="1:19">
      <c r="A4436" t="s">
        <v>25</v>
      </c>
      <c r="B4436" t="s">
        <v>148</v>
      </c>
      <c r="C4436" t="s">
        <v>157</v>
      </c>
      <c r="D4436" t="s">
        <v>286</v>
      </c>
      <c r="E4436" t="s">
        <v>415</v>
      </c>
      <c r="F4436">
        <f>HYPERLINK("https://www.wikidata.org/wiki/Q33756706", "Q33756706")</f>
        <v>0</v>
      </c>
      <c r="G4436" t="s">
        <v>2911</v>
      </c>
      <c r="H4436" t="s">
        <v>7391</v>
      </c>
      <c r="I4436" t="s">
        <v>10519</v>
      </c>
      <c r="J4436" t="s">
        <v>13546</v>
      </c>
      <c r="K4436" t="s">
        <v>17932</v>
      </c>
      <c r="L4436">
        <f>HYPERLINK("https://www2.assemblee-nationale.fr/sycomore/fiche/(num_dept)/8254", "8254")</f>
        <v>0</v>
      </c>
      <c r="N4436">
        <f>HYPERLINK("https://www.wikidata.org/wiki/Q16026331", "Q16026331")</f>
        <v>0</v>
      </c>
      <c r="O4436" t="s">
        <v>19978</v>
      </c>
      <c r="P4436" t="s">
        <v>20459</v>
      </c>
      <c r="Q4436" t="s">
        <v>13445</v>
      </c>
      <c r="R4436" t="s">
        <v>17932</v>
      </c>
      <c r="S4436">
        <v>1402</v>
      </c>
    </row>
    <row r="4437" spans="1:19">
      <c r="A4437" t="s">
        <v>25</v>
      </c>
      <c r="B4437" t="s">
        <v>148</v>
      </c>
      <c r="C4437" t="s">
        <v>157</v>
      </c>
      <c r="D4437" t="s">
        <v>286</v>
      </c>
      <c r="E4437" t="s">
        <v>415</v>
      </c>
      <c r="F4437">
        <f>HYPERLINK("https://www.wikidata.org/wiki/Q33756706", "Q33756706")</f>
        <v>0</v>
      </c>
      <c r="G4437" t="s">
        <v>2912</v>
      </c>
      <c r="H4437" t="s">
        <v>7392</v>
      </c>
      <c r="I4437" t="s">
        <v>10520</v>
      </c>
      <c r="J4437" t="s">
        <v>13152</v>
      </c>
      <c r="K4437" t="s">
        <v>15825</v>
      </c>
      <c r="L4437">
        <f>HYPERLINK("https://www2.assemblee-nationale.fr/sycomore/fiche/(num_dept)/8256", "8256")</f>
        <v>0</v>
      </c>
      <c r="N4437">
        <f>HYPERLINK("https://www.wikidata.org/wiki/Q3300681", "Q3300681")</f>
        <v>0</v>
      </c>
      <c r="O4437" t="s">
        <v>19978</v>
      </c>
      <c r="P4437" t="s">
        <v>20460</v>
      </c>
      <c r="Q4437" t="s">
        <v>13445</v>
      </c>
      <c r="R4437" t="s">
        <v>21463</v>
      </c>
      <c r="S4437">
        <v>1515</v>
      </c>
    </row>
    <row r="4438" spans="1:19">
      <c r="A4438" t="s">
        <v>25</v>
      </c>
      <c r="B4438" t="s">
        <v>148</v>
      </c>
      <c r="C4438" t="s">
        <v>157</v>
      </c>
      <c r="D4438" t="s">
        <v>286</v>
      </c>
      <c r="E4438" t="s">
        <v>415</v>
      </c>
      <c r="F4438">
        <f>HYPERLINK("https://www.wikidata.org/wiki/Q33756706", "Q33756706")</f>
        <v>0</v>
      </c>
      <c r="G4438" t="s">
        <v>2913</v>
      </c>
      <c r="H4438" t="s">
        <v>7393</v>
      </c>
      <c r="I4438" t="s">
        <v>10498</v>
      </c>
      <c r="J4438" t="s">
        <v>13547</v>
      </c>
      <c r="K4438" t="s">
        <v>17933</v>
      </c>
      <c r="L4438">
        <f>HYPERLINK("https://www2.assemblee-nationale.fr/sycomore/fiche/(num_dept)/8257", "8257")</f>
        <v>0</v>
      </c>
      <c r="N4438">
        <f>HYPERLINK("https://www.wikidata.org/wiki/Q16026348", "Q16026348")</f>
        <v>0</v>
      </c>
      <c r="O4438" t="s">
        <v>20026</v>
      </c>
      <c r="P4438" t="s">
        <v>20461</v>
      </c>
      <c r="Q4438" t="s">
        <v>13445</v>
      </c>
      <c r="R4438" t="s">
        <v>21463</v>
      </c>
      <c r="S4438">
        <v>1515</v>
      </c>
    </row>
    <row r="4439" spans="1:19">
      <c r="A4439" t="s">
        <v>25</v>
      </c>
      <c r="B4439" t="s">
        <v>148</v>
      </c>
      <c r="C4439" t="s">
        <v>157</v>
      </c>
      <c r="D4439" t="s">
        <v>286</v>
      </c>
      <c r="E4439" t="s">
        <v>415</v>
      </c>
      <c r="F4439">
        <f>HYPERLINK("https://www.wikidata.org/wiki/Q33756706", "Q33756706")</f>
        <v>0</v>
      </c>
      <c r="G4439" t="s">
        <v>2914</v>
      </c>
      <c r="H4439" t="s">
        <v>7394</v>
      </c>
      <c r="I4439" t="s">
        <v>10521</v>
      </c>
      <c r="J4439" t="s">
        <v>13548</v>
      </c>
      <c r="K4439" t="s">
        <v>17934</v>
      </c>
      <c r="L4439">
        <f>HYPERLINK("https://www2.assemblee-nationale.fr/sycomore/fiche/(num_dept)/8260", "8260")</f>
        <v>0</v>
      </c>
      <c r="N4439">
        <f>HYPERLINK("https://www.wikidata.org/wiki/Q16026473", "Q16026473")</f>
        <v>0</v>
      </c>
      <c r="O4439" t="s">
        <v>20026</v>
      </c>
      <c r="P4439" t="s">
        <v>20459</v>
      </c>
      <c r="Q4439" t="s">
        <v>13445</v>
      </c>
      <c r="R4439" t="s">
        <v>17934</v>
      </c>
      <c r="S4439">
        <v>127</v>
      </c>
    </row>
    <row r="4440" spans="1:19">
      <c r="A4440" t="s">
        <v>25</v>
      </c>
      <c r="B4440" t="s">
        <v>148</v>
      </c>
      <c r="C4440" t="s">
        <v>157</v>
      </c>
      <c r="D4440" t="s">
        <v>286</v>
      </c>
      <c r="E4440" t="s">
        <v>415</v>
      </c>
      <c r="F4440">
        <f>HYPERLINK("https://www.wikidata.org/wiki/Q33756706", "Q33756706")</f>
        <v>0</v>
      </c>
      <c r="G4440" t="s">
        <v>2915</v>
      </c>
      <c r="H4440" t="s">
        <v>7395</v>
      </c>
      <c r="I4440" t="s">
        <v>10522</v>
      </c>
      <c r="J4440" t="s">
        <v>13549</v>
      </c>
      <c r="K4440" t="s">
        <v>17935</v>
      </c>
      <c r="L4440">
        <f>HYPERLINK("https://www2.assemblee-nationale.fr/sycomore/fiche/(num_dept)/8262", "8262")</f>
        <v>0</v>
      </c>
      <c r="N4440">
        <f>HYPERLINK("https://www.wikidata.org/wiki/Q7128428", "Q7128428")</f>
        <v>0</v>
      </c>
      <c r="O4440" t="s">
        <v>19976</v>
      </c>
      <c r="P4440" t="s">
        <v>20401</v>
      </c>
      <c r="Q4440" t="s">
        <v>13445</v>
      </c>
      <c r="R4440" t="s">
        <v>21463</v>
      </c>
      <c r="S4440">
        <v>1515</v>
      </c>
    </row>
    <row r="4441" spans="1:19">
      <c r="A4441" t="s">
        <v>25</v>
      </c>
      <c r="B4441" t="s">
        <v>148</v>
      </c>
      <c r="C4441" t="s">
        <v>157</v>
      </c>
      <c r="D4441" t="s">
        <v>286</v>
      </c>
      <c r="E4441" t="s">
        <v>415</v>
      </c>
      <c r="F4441">
        <f>HYPERLINK("https://www.wikidata.org/wiki/Q33756706", "Q33756706")</f>
        <v>0</v>
      </c>
      <c r="G4441" t="s">
        <v>2916</v>
      </c>
      <c r="H4441" t="s">
        <v>7396</v>
      </c>
      <c r="I4441" t="s">
        <v>9472</v>
      </c>
      <c r="J4441" t="s">
        <v>13550</v>
      </c>
      <c r="K4441" t="s">
        <v>17936</v>
      </c>
      <c r="L4441">
        <f>HYPERLINK("https://www2.assemblee-nationale.fr/sycomore/fiche/(num_dept)/8263", "8263")</f>
        <v>0</v>
      </c>
      <c r="M4441">
        <f>HYPERLINK("https://www.senat.fr/senateur-3eme-republique/maze_hippolyte1652r3.html", "maze_hippolyte1652r3")</f>
        <v>0</v>
      </c>
      <c r="N4441">
        <f>HYPERLINK("https://www.wikidata.org/wiki/Q3136091", "Q3136091")</f>
        <v>0</v>
      </c>
      <c r="O4441" t="s">
        <v>19976</v>
      </c>
      <c r="P4441" t="s">
        <v>20461</v>
      </c>
      <c r="Q4441" t="s">
        <v>13445</v>
      </c>
      <c r="R4441" t="s">
        <v>21463</v>
      </c>
      <c r="S4441">
        <v>1515</v>
      </c>
    </row>
    <row r="4442" spans="1:19">
      <c r="A4442" t="s">
        <v>25</v>
      </c>
      <c r="B4442" t="s">
        <v>148</v>
      </c>
      <c r="C4442" t="s">
        <v>157</v>
      </c>
      <c r="D4442" t="s">
        <v>286</v>
      </c>
      <c r="E4442" t="s">
        <v>415</v>
      </c>
      <c r="F4442">
        <f>HYPERLINK("https://www.wikidata.org/wiki/Q33756706", "Q33756706")</f>
        <v>0</v>
      </c>
      <c r="G4442" t="s">
        <v>2917</v>
      </c>
      <c r="H4442" t="s">
        <v>7397</v>
      </c>
      <c r="I4442" t="s">
        <v>9376</v>
      </c>
      <c r="J4442" t="s">
        <v>13551</v>
      </c>
      <c r="K4442" t="s">
        <v>17937</v>
      </c>
      <c r="L4442">
        <f>HYPERLINK("https://www2.assemblee-nationale.fr/sycomore/fiche/(num_dept)/8264", "8264")</f>
        <v>0</v>
      </c>
      <c r="M4442">
        <f>HYPERLINK("https://www.senat.fr/senateur-3eme-republique/dreyfus_ferdinand1631r3.html", "dreyfus_ferdinand1631r3")</f>
        <v>0</v>
      </c>
      <c r="N4442">
        <f>HYPERLINK("https://www.wikidata.org/wiki/Q2934821", "Q2934821")</f>
        <v>0</v>
      </c>
      <c r="O4442" t="s">
        <v>19976</v>
      </c>
      <c r="P4442" t="s">
        <v>20459</v>
      </c>
      <c r="Q4442" t="s">
        <v>13445</v>
      </c>
      <c r="R4442" t="s">
        <v>21463</v>
      </c>
      <c r="S4442">
        <v>1515</v>
      </c>
    </row>
    <row r="4443" spans="1:19">
      <c r="A4443" t="s">
        <v>25</v>
      </c>
      <c r="B4443" t="s">
        <v>148</v>
      </c>
      <c r="C4443" t="s">
        <v>157</v>
      </c>
      <c r="D4443" t="s">
        <v>286</v>
      </c>
      <c r="E4443" t="s">
        <v>415</v>
      </c>
      <c r="F4443">
        <f>HYPERLINK("https://www.wikidata.org/wiki/Q33756706", "Q33756706")</f>
        <v>0</v>
      </c>
      <c r="G4443" t="s">
        <v>2918</v>
      </c>
      <c r="H4443" t="s">
        <v>7398</v>
      </c>
      <c r="I4443" t="s">
        <v>10523</v>
      </c>
      <c r="J4443" t="s">
        <v>13552</v>
      </c>
      <c r="K4443" t="s">
        <v>17938</v>
      </c>
      <c r="L4443">
        <f>HYPERLINK("https://www2.assemblee-nationale.fr/sycomore/fiche/(num_dept)/8265", "8265")</f>
        <v>0</v>
      </c>
      <c r="N4443">
        <f>HYPERLINK("https://www.wikidata.org/wiki/Q2844675", "Q2844675")</f>
        <v>0</v>
      </c>
      <c r="O4443" t="s">
        <v>19976</v>
      </c>
      <c r="P4443" t="s">
        <v>20461</v>
      </c>
      <c r="Q4443" t="s">
        <v>13445</v>
      </c>
      <c r="R4443" t="s">
        <v>21463</v>
      </c>
      <c r="S4443">
        <v>1515</v>
      </c>
    </row>
    <row r="4444" spans="1:19">
      <c r="A4444" t="s">
        <v>25</v>
      </c>
      <c r="B4444" t="s">
        <v>148</v>
      </c>
      <c r="C4444" t="s">
        <v>157</v>
      </c>
      <c r="D4444" t="s">
        <v>286</v>
      </c>
      <c r="E4444" t="s">
        <v>415</v>
      </c>
      <c r="F4444">
        <f>HYPERLINK("https://www.wikidata.org/wiki/Q33756706", "Q33756706")</f>
        <v>0</v>
      </c>
      <c r="G4444" t="s">
        <v>2919</v>
      </c>
      <c r="H4444" t="s">
        <v>7399</v>
      </c>
      <c r="I4444" t="s">
        <v>10524</v>
      </c>
      <c r="J4444" t="s">
        <v>13553</v>
      </c>
      <c r="K4444" t="s">
        <v>17939</v>
      </c>
      <c r="L4444">
        <f>HYPERLINK("https://www2.assemblee-nationale.fr/sycomore/fiche/(num_dept)/8266", "8266")</f>
        <v>0</v>
      </c>
      <c r="M4444">
        <f>HYPERLINK("https://www.senat.fr/senateur-3eme-republique/journault_louis1660r3.html", "journault_louis1660r3")</f>
        <v>0</v>
      </c>
      <c r="N4444">
        <f>HYPERLINK("https://www.wikidata.org/wiki/Q3262381", "Q3262381")</f>
        <v>0</v>
      </c>
      <c r="O4444" t="s">
        <v>19976</v>
      </c>
      <c r="P4444" t="s">
        <v>20459</v>
      </c>
      <c r="Q4444" t="s">
        <v>13445</v>
      </c>
      <c r="R4444" t="s">
        <v>21463</v>
      </c>
      <c r="S4444">
        <v>1515</v>
      </c>
    </row>
    <row r="4445" spans="1:19">
      <c r="A4445" t="s">
        <v>25</v>
      </c>
      <c r="B4445" t="s">
        <v>148</v>
      </c>
      <c r="C4445" t="s">
        <v>157</v>
      </c>
      <c r="D4445" t="s">
        <v>286</v>
      </c>
      <c r="E4445" t="s">
        <v>415</v>
      </c>
      <c r="F4445">
        <f>HYPERLINK("https://www.wikidata.org/wiki/Q33756706", "Q33756706")</f>
        <v>0</v>
      </c>
      <c r="G4445" t="s">
        <v>2920</v>
      </c>
      <c r="H4445" t="s">
        <v>7400</v>
      </c>
      <c r="I4445" t="s">
        <v>10525</v>
      </c>
      <c r="J4445" t="s">
        <v>13554</v>
      </c>
      <c r="K4445" t="s">
        <v>17940</v>
      </c>
      <c r="L4445">
        <f>HYPERLINK("https://www2.assemblee-nationale.fr/sycomore/fiche/(num_dept)/8267", "8267")</f>
        <v>0</v>
      </c>
      <c r="N4445">
        <f>HYPERLINK("https://www.wikidata.org/wiki/Q8328738", "Q8328738")</f>
        <v>0</v>
      </c>
      <c r="O4445" t="s">
        <v>19976</v>
      </c>
      <c r="P4445" t="s">
        <v>20461</v>
      </c>
      <c r="Q4445" t="s">
        <v>13445</v>
      </c>
      <c r="R4445" t="s">
        <v>21463</v>
      </c>
      <c r="S4445">
        <v>1515</v>
      </c>
    </row>
    <row r="4446" spans="1:19">
      <c r="A4446" t="s">
        <v>25</v>
      </c>
      <c r="B4446" t="s">
        <v>148</v>
      </c>
      <c r="C4446" t="s">
        <v>157</v>
      </c>
      <c r="D4446" t="s">
        <v>286</v>
      </c>
      <c r="E4446" t="s">
        <v>415</v>
      </c>
      <c r="F4446">
        <f>HYPERLINK("https://www.wikidata.org/wiki/Q33756706", "Q33756706")</f>
        <v>0</v>
      </c>
      <c r="G4446" t="s">
        <v>2921</v>
      </c>
      <c r="H4446" t="s">
        <v>6176</v>
      </c>
      <c r="I4446" t="s">
        <v>10526</v>
      </c>
      <c r="J4446" t="s">
        <v>13555</v>
      </c>
      <c r="K4446" t="s">
        <v>17941</v>
      </c>
      <c r="L4446">
        <f>HYPERLINK("https://www2.assemblee-nationale.fr/sycomore/fiche/(num_dept)/8268", "8268")</f>
        <v>0</v>
      </c>
      <c r="N4446">
        <f>HYPERLINK("https://www.wikidata.org/wiki/Q16025780", "Q16025780")</f>
        <v>0</v>
      </c>
      <c r="O4446" t="s">
        <v>20021</v>
      </c>
      <c r="P4446" t="s">
        <v>20402</v>
      </c>
      <c r="Q4446" t="s">
        <v>13445</v>
      </c>
      <c r="R4446" t="s">
        <v>21463</v>
      </c>
      <c r="S4446">
        <v>1515</v>
      </c>
    </row>
    <row r="4447" spans="1:19">
      <c r="A4447" t="s">
        <v>25</v>
      </c>
      <c r="B4447" t="s">
        <v>148</v>
      </c>
      <c r="C4447" t="s">
        <v>157</v>
      </c>
      <c r="D4447" t="s">
        <v>286</v>
      </c>
      <c r="E4447" t="s">
        <v>415</v>
      </c>
      <c r="F4447">
        <f>HYPERLINK("https://www.wikidata.org/wiki/Q33756706", "Q33756706")</f>
        <v>0</v>
      </c>
      <c r="G4447" t="s">
        <v>2922</v>
      </c>
      <c r="H4447" t="s">
        <v>7401</v>
      </c>
      <c r="I4447" t="s">
        <v>10527</v>
      </c>
      <c r="J4447" t="s">
        <v>13533</v>
      </c>
      <c r="K4447" t="s">
        <v>17942</v>
      </c>
      <c r="L4447">
        <f>HYPERLINK("https://www2.assemblee-nationale.fr/sycomore/fiche/(num_dept)/8269", "8269")</f>
        <v>0</v>
      </c>
      <c r="M4447">
        <f>HYPERLINK("https://www.senat.fr/senateur-3eme-republique/labitte_porphyre1676r3.html", "labitte_porphyre1676r3")</f>
        <v>0</v>
      </c>
      <c r="N4447">
        <f>HYPERLINK("https://www.wikidata.org/wiki/Q3131388", "Q3131388")</f>
        <v>0</v>
      </c>
      <c r="O4447" t="s">
        <v>20012</v>
      </c>
      <c r="P4447" t="s">
        <v>20458</v>
      </c>
      <c r="Q4447" t="s">
        <v>13445</v>
      </c>
      <c r="R4447" t="s">
        <v>21019</v>
      </c>
      <c r="S4447">
        <v>148</v>
      </c>
    </row>
    <row r="4448" spans="1:19">
      <c r="A4448" t="s">
        <v>25</v>
      </c>
      <c r="B4448" t="s">
        <v>148</v>
      </c>
      <c r="C4448" t="s">
        <v>157</v>
      </c>
      <c r="D4448" t="s">
        <v>286</v>
      </c>
      <c r="E4448" t="s">
        <v>415</v>
      </c>
      <c r="F4448">
        <f>HYPERLINK("https://www.wikidata.org/wiki/Q33756706", "Q33756706")</f>
        <v>0</v>
      </c>
      <c r="G4448" t="s">
        <v>2923</v>
      </c>
      <c r="H4448" t="s">
        <v>7402</v>
      </c>
      <c r="I4448" t="s">
        <v>9442</v>
      </c>
      <c r="J4448" t="s">
        <v>13556</v>
      </c>
      <c r="L4448">
        <f>HYPERLINK("https://www2.assemblee-nationale.fr/sycomore/fiche/(num_dept)/8270", "8270")</f>
        <v>0</v>
      </c>
      <c r="N4448">
        <f>HYPERLINK("https://www.wikidata.org/wiki/Q16025598", "Q16025598")</f>
        <v>0</v>
      </c>
      <c r="O4448" t="s">
        <v>20012</v>
      </c>
      <c r="P4448" t="s">
        <v>20461</v>
      </c>
      <c r="Q4448" t="s">
        <v>13445</v>
      </c>
      <c r="R4448" t="s">
        <v>21463</v>
      </c>
      <c r="S4448">
        <v>1515</v>
      </c>
    </row>
    <row r="4449" spans="1:19">
      <c r="A4449" t="s">
        <v>25</v>
      </c>
      <c r="B4449" t="s">
        <v>148</v>
      </c>
      <c r="C4449" t="s">
        <v>157</v>
      </c>
      <c r="D4449" t="s">
        <v>286</v>
      </c>
      <c r="E4449" t="s">
        <v>415</v>
      </c>
      <c r="F4449">
        <f>HYPERLINK("https://www.wikidata.org/wiki/Q33756706", "Q33756706")</f>
        <v>0</v>
      </c>
      <c r="G4449" t="s">
        <v>2924</v>
      </c>
      <c r="H4449" t="s">
        <v>7403</v>
      </c>
      <c r="I4449" t="s">
        <v>10528</v>
      </c>
      <c r="J4449" t="s">
        <v>13557</v>
      </c>
      <c r="K4449" t="s">
        <v>17943</v>
      </c>
      <c r="L4449">
        <f>HYPERLINK("https://www2.assemblee-nationale.fr/sycomore/fiche/(num_dept)/8271", "8271")</f>
        <v>0</v>
      </c>
      <c r="M4449">
        <f>HYPERLINK("https://www.senat.fr/senateur-3eme-republique/bernot_achille1669r3.html", "bernot_achille1669r3")</f>
        <v>0</v>
      </c>
      <c r="N4449">
        <f>HYPERLINK("https://www.wikidata.org/wiki/Q2823026", "Q2823026")</f>
        <v>0</v>
      </c>
      <c r="O4449" t="s">
        <v>20012</v>
      </c>
      <c r="P4449" t="s">
        <v>20461</v>
      </c>
      <c r="Q4449" t="s">
        <v>13445</v>
      </c>
      <c r="R4449" t="s">
        <v>21463</v>
      </c>
      <c r="S4449">
        <v>1515</v>
      </c>
    </row>
    <row r="4450" spans="1:19">
      <c r="A4450" t="s">
        <v>25</v>
      </c>
      <c r="B4450" t="s">
        <v>148</v>
      </c>
      <c r="C4450" t="s">
        <v>157</v>
      </c>
      <c r="D4450" t="s">
        <v>286</v>
      </c>
      <c r="E4450" t="s">
        <v>415</v>
      </c>
      <c r="F4450">
        <f>HYPERLINK("https://www.wikidata.org/wiki/Q33756706", "Q33756706")</f>
        <v>0</v>
      </c>
      <c r="G4450" t="s">
        <v>2925</v>
      </c>
      <c r="H4450" t="s">
        <v>5743</v>
      </c>
      <c r="I4450" t="s">
        <v>10529</v>
      </c>
      <c r="J4450" t="s">
        <v>13558</v>
      </c>
      <c r="K4450" t="s">
        <v>17944</v>
      </c>
      <c r="L4450">
        <f>HYPERLINK("https://www2.assemblee-nationale.fr/sycomore/fiche/(num_dept)/8272", "8272")</f>
        <v>0</v>
      </c>
      <c r="M4450">
        <f>HYPERLINK("https://www.senat.fr/senateur-3eme-republique/magniez_victor1665r3.html", "magniez_victor1665r3")</f>
        <v>0</v>
      </c>
      <c r="N4450">
        <f>HYPERLINK("https://www.wikidata.org/wiki/Q3557435", "Q3557435")</f>
        <v>0</v>
      </c>
      <c r="O4450" t="s">
        <v>20012</v>
      </c>
      <c r="P4450" t="s">
        <v>20458</v>
      </c>
      <c r="Q4450" t="s">
        <v>13445</v>
      </c>
      <c r="R4450" t="s">
        <v>21019</v>
      </c>
      <c r="S4450">
        <v>148</v>
      </c>
    </row>
    <row r="4451" spans="1:19">
      <c r="A4451" t="s">
        <v>25</v>
      </c>
      <c r="B4451" t="s">
        <v>148</v>
      </c>
      <c r="C4451" t="s">
        <v>157</v>
      </c>
      <c r="D4451" t="s">
        <v>286</v>
      </c>
      <c r="E4451" t="s">
        <v>415</v>
      </c>
      <c r="F4451">
        <f>HYPERLINK("https://www.wikidata.org/wiki/Q33756706", "Q33756706")</f>
        <v>0</v>
      </c>
      <c r="G4451" t="s">
        <v>2926</v>
      </c>
      <c r="H4451" t="s">
        <v>7404</v>
      </c>
      <c r="I4451" t="s">
        <v>10530</v>
      </c>
      <c r="J4451" t="s">
        <v>13559</v>
      </c>
      <c r="K4451" t="s">
        <v>17945</v>
      </c>
      <c r="L4451">
        <f>HYPERLINK("https://www2.assemblee-nationale.fr/sycomore/fiche/(num_dept)/8277", "8277")</f>
        <v>0</v>
      </c>
      <c r="M4451">
        <f>HYPERLINK("https://www.senat.fr/senateur-3eme-republique/lavergne_bernard1682r3.html", "lavergne_bernard1682r3")</f>
        <v>0</v>
      </c>
      <c r="N4451">
        <f>HYPERLINK("https://www.wikidata.org/wiki/Q2899599", "Q2899599")</f>
        <v>0</v>
      </c>
      <c r="O4451" t="s">
        <v>19962</v>
      </c>
      <c r="P4451" t="s">
        <v>20457</v>
      </c>
      <c r="Q4451" t="s">
        <v>13445</v>
      </c>
      <c r="R4451" t="s">
        <v>21463</v>
      </c>
      <c r="S4451">
        <v>1515</v>
      </c>
    </row>
    <row r="4452" spans="1:19">
      <c r="A4452" t="s">
        <v>25</v>
      </c>
      <c r="B4452" t="s">
        <v>148</v>
      </c>
      <c r="C4452" t="s">
        <v>157</v>
      </c>
      <c r="D4452" t="s">
        <v>286</v>
      </c>
      <c r="E4452" t="s">
        <v>415</v>
      </c>
      <c r="F4452">
        <f>HYPERLINK("https://www.wikidata.org/wiki/Q33756706", "Q33756706")</f>
        <v>0</v>
      </c>
      <c r="G4452" t="s">
        <v>2927</v>
      </c>
      <c r="H4452" t="s">
        <v>7405</v>
      </c>
      <c r="I4452" t="s">
        <v>5528</v>
      </c>
      <c r="J4452" t="s">
        <v>13560</v>
      </c>
      <c r="K4452" t="s">
        <v>17946</v>
      </c>
      <c r="L4452">
        <f>HYPERLINK("https://www2.assemblee-nationale.fr/sycomore/fiche/(num_dept)/8278", "8278")</f>
        <v>0</v>
      </c>
      <c r="N4452">
        <f>HYPERLINK("https://www.wikidata.org/wiki/Q16026246", "Q16026246")</f>
        <v>0</v>
      </c>
      <c r="O4452" t="s">
        <v>20045</v>
      </c>
      <c r="P4452" t="s">
        <v>20458</v>
      </c>
      <c r="Q4452" t="s">
        <v>13445</v>
      </c>
      <c r="R4452" t="s">
        <v>21463</v>
      </c>
      <c r="S4452">
        <v>1515</v>
      </c>
    </row>
    <row r="4453" spans="1:19">
      <c r="A4453" t="s">
        <v>25</v>
      </c>
      <c r="B4453" t="s">
        <v>148</v>
      </c>
      <c r="C4453" t="s">
        <v>157</v>
      </c>
      <c r="D4453" t="s">
        <v>286</v>
      </c>
      <c r="E4453" t="s">
        <v>415</v>
      </c>
      <c r="F4453">
        <f>HYPERLINK("https://www.wikidata.org/wiki/Q33756706", "Q33756706")</f>
        <v>0</v>
      </c>
      <c r="G4453" t="s">
        <v>2928</v>
      </c>
      <c r="H4453" t="s">
        <v>7406</v>
      </c>
      <c r="I4453" t="s">
        <v>10531</v>
      </c>
      <c r="J4453" t="s">
        <v>13561</v>
      </c>
      <c r="K4453" t="s">
        <v>17947</v>
      </c>
      <c r="L4453">
        <f>HYPERLINK("https://www2.assemblee-nationale.fr/sycomore/fiche/(num_dept)/8279", "8279")</f>
        <v>0</v>
      </c>
      <c r="N4453">
        <f>HYPERLINK("https://www.wikidata.org/wiki/Q16025611", "Q16025611")</f>
        <v>0</v>
      </c>
      <c r="O4453" t="s">
        <v>20042</v>
      </c>
      <c r="P4453" t="s">
        <v>20459</v>
      </c>
      <c r="Q4453" t="s">
        <v>13445</v>
      </c>
      <c r="R4453" t="s">
        <v>17947</v>
      </c>
      <c r="S4453">
        <v>386</v>
      </c>
    </row>
    <row r="4454" spans="1:19">
      <c r="A4454" t="s">
        <v>25</v>
      </c>
      <c r="B4454" t="s">
        <v>148</v>
      </c>
      <c r="C4454" t="s">
        <v>157</v>
      </c>
      <c r="D4454" t="s">
        <v>286</v>
      </c>
      <c r="E4454" t="s">
        <v>415</v>
      </c>
      <c r="F4454">
        <f>HYPERLINK("https://www.wikidata.org/wiki/Q33756706", "Q33756706")</f>
        <v>0</v>
      </c>
      <c r="G4454" t="s">
        <v>2929</v>
      </c>
      <c r="H4454" t="s">
        <v>7407</v>
      </c>
      <c r="I4454" t="s">
        <v>10532</v>
      </c>
      <c r="J4454" t="s">
        <v>13562</v>
      </c>
      <c r="K4454" t="s">
        <v>17948</v>
      </c>
      <c r="L4454">
        <f>HYPERLINK("https://www2.assemblee-nationale.fr/sycomore/fiche/(num_dept)/8280", "8280")</f>
        <v>0</v>
      </c>
      <c r="N4454">
        <f>HYPERLINK("https://www.wikidata.org/wiki/Q3261629", "Q3261629")</f>
        <v>0</v>
      </c>
      <c r="O4454" t="s">
        <v>20047</v>
      </c>
      <c r="P4454" t="s">
        <v>20459</v>
      </c>
      <c r="Q4454" t="s">
        <v>13445</v>
      </c>
      <c r="R4454" t="s">
        <v>21463</v>
      </c>
      <c r="S4454">
        <v>1515</v>
      </c>
    </row>
    <row r="4455" spans="1:19">
      <c r="A4455" t="s">
        <v>25</v>
      </c>
      <c r="B4455" t="s">
        <v>148</v>
      </c>
      <c r="C4455" t="s">
        <v>157</v>
      </c>
      <c r="D4455" t="s">
        <v>286</v>
      </c>
      <c r="E4455" t="s">
        <v>415</v>
      </c>
      <c r="F4455">
        <f>HYPERLINK("https://www.wikidata.org/wiki/Q33756706", "Q33756706")</f>
        <v>0</v>
      </c>
      <c r="G4455" t="s">
        <v>2930</v>
      </c>
      <c r="H4455" t="s">
        <v>7408</v>
      </c>
      <c r="I4455" t="s">
        <v>10533</v>
      </c>
      <c r="J4455" t="s">
        <v>13563</v>
      </c>
      <c r="K4455" t="s">
        <v>17949</v>
      </c>
      <c r="L4455">
        <f>HYPERLINK("https://www2.assemblee-nationale.fr/sycomore/fiche/(num_dept)/8282", "8282")</f>
        <v>0</v>
      </c>
      <c r="M4455">
        <f>HYPERLINK("https://www.senat.fr/senateur-3eme-republique/gent_alphonse1701r3.html", "gent_alphonse1701r3")</f>
        <v>0</v>
      </c>
      <c r="N4455">
        <f>HYPERLINK("https://www.wikidata.org/wiki/Q2839812", "Q2839812")</f>
        <v>0</v>
      </c>
      <c r="O4455" t="s">
        <v>20047</v>
      </c>
      <c r="P4455" t="s">
        <v>20459</v>
      </c>
      <c r="Q4455" t="s">
        <v>13445</v>
      </c>
      <c r="R4455" t="s">
        <v>460</v>
      </c>
      <c r="S4455">
        <v>158</v>
      </c>
    </row>
    <row r="4456" spans="1:19">
      <c r="A4456" t="s">
        <v>25</v>
      </c>
      <c r="B4456" t="s">
        <v>148</v>
      </c>
      <c r="C4456" t="s">
        <v>157</v>
      </c>
      <c r="D4456" t="s">
        <v>286</v>
      </c>
      <c r="E4456" t="s">
        <v>415</v>
      </c>
      <c r="F4456">
        <f>HYPERLINK("https://www.wikidata.org/wiki/Q33756706", "Q33756706")</f>
        <v>0</v>
      </c>
      <c r="G4456" t="s">
        <v>2931</v>
      </c>
      <c r="H4456" t="s">
        <v>7409</v>
      </c>
      <c r="I4456" t="s">
        <v>10125</v>
      </c>
      <c r="J4456" t="s">
        <v>13564</v>
      </c>
      <c r="K4456" t="s">
        <v>17950</v>
      </c>
      <c r="L4456">
        <f>HYPERLINK("https://www2.assemblee-nationale.fr/sycomore/fiche/(num_dept)/8283", "8283")</f>
        <v>0</v>
      </c>
      <c r="N4456">
        <f>HYPERLINK("https://www.wikidata.org/wiki/Q17634506", "Q17634506")</f>
        <v>0</v>
      </c>
      <c r="O4456" t="s">
        <v>19972</v>
      </c>
      <c r="P4456" t="s">
        <v>20461</v>
      </c>
      <c r="Q4456" t="s">
        <v>13445</v>
      </c>
      <c r="R4456" t="s">
        <v>21463</v>
      </c>
      <c r="S4456">
        <v>1515</v>
      </c>
    </row>
    <row r="4457" spans="1:19">
      <c r="A4457" t="s">
        <v>25</v>
      </c>
      <c r="B4457" t="s">
        <v>148</v>
      </c>
      <c r="C4457" t="s">
        <v>157</v>
      </c>
      <c r="D4457" t="s">
        <v>286</v>
      </c>
      <c r="E4457" t="s">
        <v>415</v>
      </c>
      <c r="F4457">
        <f>HYPERLINK("https://www.wikidata.org/wiki/Q33756706", "Q33756706")</f>
        <v>0</v>
      </c>
      <c r="G4457" t="s">
        <v>2932</v>
      </c>
      <c r="H4457" t="s">
        <v>7410</v>
      </c>
      <c r="I4457" t="s">
        <v>10534</v>
      </c>
      <c r="J4457" t="s">
        <v>13565</v>
      </c>
      <c r="K4457" t="s">
        <v>17951</v>
      </c>
      <c r="L4457">
        <f>HYPERLINK("https://www2.assemblee-nationale.fr/sycomore/fiche/(num_dept)/8284", "8284")</f>
        <v>0</v>
      </c>
      <c r="N4457">
        <f>HYPERLINK("https://www.wikidata.org/wiki/Q3579970", "Q3579970")</f>
        <v>0</v>
      </c>
      <c r="O4457" t="s">
        <v>19972</v>
      </c>
      <c r="P4457" t="s">
        <v>20470</v>
      </c>
      <c r="Q4457" t="s">
        <v>13445</v>
      </c>
      <c r="R4457" t="s">
        <v>21463</v>
      </c>
      <c r="S4457">
        <v>1515</v>
      </c>
    </row>
    <row r="4458" spans="1:19">
      <c r="A4458" t="s">
        <v>25</v>
      </c>
      <c r="B4458" t="s">
        <v>148</v>
      </c>
      <c r="C4458" t="s">
        <v>157</v>
      </c>
      <c r="D4458" t="s">
        <v>286</v>
      </c>
      <c r="E4458" t="s">
        <v>415</v>
      </c>
      <c r="F4458">
        <f>HYPERLINK("https://www.wikidata.org/wiki/Q33756706", "Q33756706")</f>
        <v>0</v>
      </c>
      <c r="G4458" t="s">
        <v>2933</v>
      </c>
      <c r="H4458" t="s">
        <v>7411</v>
      </c>
      <c r="I4458" t="s">
        <v>9458</v>
      </c>
      <c r="J4458" t="s">
        <v>13566</v>
      </c>
      <c r="K4458" t="s">
        <v>17952</v>
      </c>
      <c r="L4458">
        <f>HYPERLINK("https://www2.assemblee-nationale.fr/sycomore/fiche/(num_dept)/8285", "8285")</f>
        <v>0</v>
      </c>
      <c r="N4458">
        <f>HYPERLINK("https://www.wikidata.org/wiki/Q2835190", "Q2835190")</f>
        <v>0</v>
      </c>
      <c r="O4458" t="s">
        <v>19982</v>
      </c>
      <c r="Q4458" t="s">
        <v>13445</v>
      </c>
      <c r="R4458" t="s">
        <v>21463</v>
      </c>
      <c r="S4458">
        <v>1515</v>
      </c>
    </row>
    <row r="4459" spans="1:19">
      <c r="A4459" t="s">
        <v>25</v>
      </c>
      <c r="B4459" t="s">
        <v>148</v>
      </c>
      <c r="C4459" t="s">
        <v>157</v>
      </c>
      <c r="D4459" t="s">
        <v>286</v>
      </c>
      <c r="E4459" t="s">
        <v>415</v>
      </c>
      <c r="F4459">
        <f>HYPERLINK("https://www.wikidata.org/wiki/Q33756706", "Q33756706")</f>
        <v>0</v>
      </c>
      <c r="G4459" t="s">
        <v>2934</v>
      </c>
      <c r="H4459" t="s">
        <v>7412</v>
      </c>
      <c r="I4459" t="s">
        <v>9457</v>
      </c>
      <c r="J4459" t="s">
        <v>13567</v>
      </c>
      <c r="K4459" t="s">
        <v>17953</v>
      </c>
      <c r="L4459">
        <f>HYPERLINK("https://www2.assemblee-nationale.fr/sycomore/fiche/(num_dept)/8286", "8286")</f>
        <v>0</v>
      </c>
      <c r="M4459">
        <f>HYPERLINK("https://www.senat.fr/senateur-3eme-republique/salomon_henri1769r3.html", "salomon_henri1769r3")</f>
        <v>0</v>
      </c>
      <c r="N4459">
        <f>HYPERLINK("https://www.wikidata.org/wiki/Q3131977", "Q3131977")</f>
        <v>0</v>
      </c>
      <c r="O4459" t="s">
        <v>19982</v>
      </c>
      <c r="P4459" t="s">
        <v>20458</v>
      </c>
      <c r="Q4459" t="s">
        <v>13445</v>
      </c>
      <c r="R4459" t="s">
        <v>21463</v>
      </c>
      <c r="S4459">
        <v>1515</v>
      </c>
    </row>
    <row r="4460" spans="1:19">
      <c r="A4460" t="s">
        <v>25</v>
      </c>
      <c r="B4460" t="s">
        <v>148</v>
      </c>
      <c r="C4460" t="s">
        <v>157</v>
      </c>
      <c r="D4460" t="s">
        <v>286</v>
      </c>
      <c r="E4460" t="s">
        <v>415</v>
      </c>
      <c r="F4460">
        <f>HYPERLINK("https://www.wikidata.org/wiki/Q33756706", "Q33756706")</f>
        <v>0</v>
      </c>
      <c r="G4460" t="s">
        <v>2935</v>
      </c>
      <c r="H4460" t="s">
        <v>7413</v>
      </c>
      <c r="I4460" t="s">
        <v>9605</v>
      </c>
      <c r="J4460" t="s">
        <v>13568</v>
      </c>
      <c r="K4460" t="s">
        <v>17954</v>
      </c>
      <c r="L4460">
        <f>HYPERLINK("https://www2.assemblee-nationale.fr/sycomore/fiche/(num_dept)/8287", "8287")</f>
        <v>0</v>
      </c>
      <c r="N4460">
        <f>HYPERLINK("https://www.wikidata.org/wiki/Q3190464", "Q3190464")</f>
        <v>0</v>
      </c>
      <c r="O4460" t="s">
        <v>19977</v>
      </c>
      <c r="P4460" t="s">
        <v>20461</v>
      </c>
      <c r="Q4460" t="s">
        <v>13445</v>
      </c>
      <c r="R4460" t="s">
        <v>21463</v>
      </c>
      <c r="S4460">
        <v>1515</v>
      </c>
    </row>
    <row r="4461" spans="1:19">
      <c r="A4461" t="s">
        <v>25</v>
      </c>
      <c r="B4461" t="s">
        <v>148</v>
      </c>
      <c r="C4461" t="s">
        <v>157</v>
      </c>
      <c r="D4461" t="s">
        <v>286</v>
      </c>
      <c r="E4461" t="s">
        <v>415</v>
      </c>
      <c r="F4461">
        <f>HYPERLINK("https://www.wikidata.org/wiki/Q33756706", "Q33756706")</f>
        <v>0</v>
      </c>
      <c r="G4461" t="s">
        <v>2936</v>
      </c>
      <c r="H4461" t="s">
        <v>7414</v>
      </c>
      <c r="I4461" t="s">
        <v>10535</v>
      </c>
      <c r="J4461" t="s">
        <v>13569</v>
      </c>
      <c r="K4461" t="s">
        <v>17955</v>
      </c>
      <c r="L4461">
        <f>HYPERLINK("https://www2.assemblee-nationale.fr/sycomore/fiche/(num_dept)/8289", "8289")</f>
        <v>0</v>
      </c>
      <c r="M4461">
        <f>HYPERLINK("https://www.senat.fr/senateur-3eme-republique/donnet_jules1789r3.html", "donnet_jules1789r3")</f>
        <v>0</v>
      </c>
      <c r="N4461">
        <f>HYPERLINK("https://www.wikidata.org/wiki/Q3188540", "Q3188540")</f>
        <v>0</v>
      </c>
      <c r="O4461" t="s">
        <v>19977</v>
      </c>
      <c r="P4461" t="s">
        <v>20458</v>
      </c>
      <c r="Q4461" t="s">
        <v>13445</v>
      </c>
      <c r="R4461" t="s">
        <v>21463</v>
      </c>
      <c r="S4461">
        <v>1515</v>
      </c>
    </row>
    <row r="4462" spans="1:19">
      <c r="A4462" t="s">
        <v>25</v>
      </c>
      <c r="B4462" t="s">
        <v>148</v>
      </c>
      <c r="C4462" t="s">
        <v>157</v>
      </c>
      <c r="D4462" t="s">
        <v>286</v>
      </c>
      <c r="E4462" t="s">
        <v>415</v>
      </c>
      <c r="F4462">
        <f>HYPERLINK("https://www.wikidata.org/wiki/Q33756706", "Q33756706")</f>
        <v>0</v>
      </c>
      <c r="G4462" t="s">
        <v>2937</v>
      </c>
      <c r="H4462" t="s">
        <v>7415</v>
      </c>
      <c r="I4462" t="s">
        <v>10536</v>
      </c>
      <c r="J4462" t="s">
        <v>13570</v>
      </c>
      <c r="K4462" t="s">
        <v>17956</v>
      </c>
      <c r="L4462">
        <f>HYPERLINK("https://www2.assemblee-nationale.fr/sycomore/fiche/(num_dept)/8291", "8291")</f>
        <v>0</v>
      </c>
      <c r="M4462">
        <f>HYPERLINK("https://www.senat.fr/senateur-3eme-republique/penicaud_rene1784r3.html", "penicaud_rene1784r3")</f>
        <v>0</v>
      </c>
      <c r="N4462">
        <f>HYPERLINK("https://www.wikidata.org/wiki/Q3426787", "Q3426787")</f>
        <v>0</v>
      </c>
      <c r="O4462" t="s">
        <v>19977</v>
      </c>
      <c r="P4462" t="s">
        <v>20461</v>
      </c>
      <c r="Q4462" t="s">
        <v>13445</v>
      </c>
      <c r="R4462" t="s">
        <v>21463</v>
      </c>
      <c r="S4462">
        <v>1515</v>
      </c>
    </row>
    <row r="4463" spans="1:19">
      <c r="A4463" t="s">
        <v>25</v>
      </c>
      <c r="B4463" t="s">
        <v>148</v>
      </c>
      <c r="C4463" t="s">
        <v>157</v>
      </c>
      <c r="D4463" t="s">
        <v>286</v>
      </c>
      <c r="E4463" t="s">
        <v>415</v>
      </c>
      <c r="F4463">
        <f>HYPERLINK("https://www.wikidata.org/wiki/Q33756706", "Q33756706")</f>
        <v>0</v>
      </c>
      <c r="G4463" t="s">
        <v>2938</v>
      </c>
      <c r="H4463" t="s">
        <v>7416</v>
      </c>
      <c r="I4463" t="s">
        <v>9449</v>
      </c>
      <c r="J4463" t="s">
        <v>13571</v>
      </c>
      <c r="K4463" t="s">
        <v>12895</v>
      </c>
      <c r="L4463">
        <f>HYPERLINK("https://www2.assemblee-nationale.fr/sycomore/fiche/(num_dept)/8292", "8292")</f>
        <v>0</v>
      </c>
      <c r="N4463">
        <f>HYPERLINK("https://www.wikidata.org/wiki/Q18215255", "Q18215255")</f>
        <v>0</v>
      </c>
      <c r="O4463" t="s">
        <v>20034</v>
      </c>
      <c r="P4463" t="s">
        <v>20459</v>
      </c>
      <c r="Q4463" t="s">
        <v>13445</v>
      </c>
      <c r="R4463" t="s">
        <v>12895</v>
      </c>
      <c r="S4463">
        <v>1130</v>
      </c>
    </row>
    <row r="4464" spans="1:19">
      <c r="A4464" t="s">
        <v>25</v>
      </c>
      <c r="B4464" t="s">
        <v>148</v>
      </c>
      <c r="C4464" t="s">
        <v>157</v>
      </c>
      <c r="D4464" t="s">
        <v>286</v>
      </c>
      <c r="E4464" t="s">
        <v>415</v>
      </c>
      <c r="F4464">
        <f>HYPERLINK("https://www.wikidata.org/wiki/Q33756706", "Q33756706")</f>
        <v>0</v>
      </c>
      <c r="G4464" t="s">
        <v>2939</v>
      </c>
      <c r="H4464" t="s">
        <v>5723</v>
      </c>
      <c r="I4464" t="s">
        <v>9483</v>
      </c>
      <c r="J4464" t="s">
        <v>13572</v>
      </c>
      <c r="K4464" t="s">
        <v>17957</v>
      </c>
      <c r="L4464">
        <f>HYPERLINK("https://www2.assemblee-nationale.fr/sycomore/fiche/(num_dept)/8293", "8293")</f>
        <v>0</v>
      </c>
      <c r="N4464">
        <f>HYPERLINK("https://www.wikidata.org/wiki/Q3557347", "Q3557347")</f>
        <v>0</v>
      </c>
      <c r="O4464" t="s">
        <v>20034</v>
      </c>
      <c r="P4464" t="s">
        <v>20461</v>
      </c>
      <c r="Q4464" t="s">
        <v>13445</v>
      </c>
      <c r="R4464" t="s">
        <v>17957</v>
      </c>
      <c r="S4464">
        <v>1178</v>
      </c>
    </row>
    <row r="4465" spans="1:19">
      <c r="A4465" t="s">
        <v>25</v>
      </c>
      <c r="B4465" t="s">
        <v>148</v>
      </c>
      <c r="C4465" t="s">
        <v>157</v>
      </c>
      <c r="D4465" t="s">
        <v>286</v>
      </c>
      <c r="E4465" t="s">
        <v>415</v>
      </c>
      <c r="F4465">
        <f>HYPERLINK("https://www.wikidata.org/wiki/Q33756706", "Q33756706")</f>
        <v>0</v>
      </c>
      <c r="G4465" t="s">
        <v>2940</v>
      </c>
      <c r="H4465" t="s">
        <v>7417</v>
      </c>
      <c r="I4465" t="s">
        <v>10537</v>
      </c>
      <c r="J4465" t="s">
        <v>13573</v>
      </c>
      <c r="K4465" t="s">
        <v>17958</v>
      </c>
      <c r="L4465">
        <f>HYPERLINK("https://www2.assemblee-nationale.fr/sycomore/fiche/(num_dept)/8294", "8294")</f>
        <v>0</v>
      </c>
      <c r="N4465">
        <f>HYPERLINK("https://www.wikidata.org/wiki/Q670573", "Q670573")</f>
        <v>0</v>
      </c>
      <c r="O4465" t="s">
        <v>20034</v>
      </c>
      <c r="P4465" t="s">
        <v>20401</v>
      </c>
      <c r="Q4465" t="s">
        <v>13445</v>
      </c>
      <c r="R4465" t="s">
        <v>17958</v>
      </c>
      <c r="S4465">
        <v>1477</v>
      </c>
    </row>
    <row r="4466" spans="1:19">
      <c r="A4466" t="s">
        <v>25</v>
      </c>
      <c r="B4466" t="s">
        <v>148</v>
      </c>
      <c r="C4466" t="s">
        <v>157</v>
      </c>
      <c r="D4466" t="s">
        <v>286</v>
      </c>
      <c r="E4466" t="s">
        <v>415</v>
      </c>
      <c r="F4466">
        <f>HYPERLINK("https://www.wikidata.org/wiki/Q33756706", "Q33756706")</f>
        <v>0</v>
      </c>
      <c r="G4466" t="s">
        <v>2941</v>
      </c>
      <c r="H4466" t="s">
        <v>7418</v>
      </c>
      <c r="I4466" t="s">
        <v>9553</v>
      </c>
      <c r="J4466" t="s">
        <v>13574</v>
      </c>
      <c r="K4466" t="s">
        <v>17959</v>
      </c>
      <c r="L4466">
        <f>HYPERLINK("https://www2.assemblee-nationale.fr/sycomore/fiche/(num_dept)/8295", "8295")</f>
        <v>0</v>
      </c>
      <c r="M4466">
        <f>HYPERLINK("https://www.senat.fr/senateur-3eme-republique/mauguin_alexandre0837r3.html", "mauguin_alexandre0837r3")</f>
        <v>0</v>
      </c>
      <c r="N4466">
        <f>HYPERLINK("https://www.wikidata.org/wiki/Q16798518", "Q16798518")</f>
        <v>0</v>
      </c>
      <c r="O4466" t="s">
        <v>20000</v>
      </c>
      <c r="P4466" t="s">
        <v>20462</v>
      </c>
      <c r="Q4466" t="s">
        <v>13445</v>
      </c>
      <c r="R4466" t="s">
        <v>21467</v>
      </c>
      <c r="S4466">
        <v>1264</v>
      </c>
    </row>
    <row r="4467" spans="1:19">
      <c r="A4467" t="s">
        <v>25</v>
      </c>
      <c r="B4467" t="s">
        <v>148</v>
      </c>
      <c r="C4467" t="s">
        <v>157</v>
      </c>
      <c r="D4467" t="s">
        <v>286</v>
      </c>
      <c r="E4467" t="s">
        <v>415</v>
      </c>
      <c r="F4467">
        <f>HYPERLINK("https://www.wikidata.org/wiki/Q33756706", "Q33756706")</f>
        <v>0</v>
      </c>
      <c r="G4467" t="s">
        <v>2942</v>
      </c>
      <c r="H4467" t="s">
        <v>7419</v>
      </c>
      <c r="I4467" t="s">
        <v>9979</v>
      </c>
      <c r="J4467" t="s">
        <v>13575</v>
      </c>
      <c r="K4467" t="s">
        <v>17960</v>
      </c>
      <c r="L4467">
        <f>HYPERLINK("https://www2.assemblee-nationale.fr/sycomore/fiche/(num_dept)/8297", "8297")</f>
        <v>0</v>
      </c>
      <c r="M4467">
        <f>HYPERLINK("https://www.senat.fr/senateur-3eme-republique/jacques_remy1822r3.html", "jacques_remy1822r3")</f>
        <v>0</v>
      </c>
      <c r="N4467">
        <f>HYPERLINK("https://www.wikidata.org/wiki/Q16025864", "Q16025864")</f>
        <v>0</v>
      </c>
      <c r="O4467" t="s">
        <v>20000</v>
      </c>
      <c r="P4467" t="s">
        <v>20459</v>
      </c>
      <c r="Q4467" t="s">
        <v>13445</v>
      </c>
      <c r="R4467" t="s">
        <v>460</v>
      </c>
      <c r="S4467">
        <v>158</v>
      </c>
    </row>
    <row r="4468" spans="1:19">
      <c r="A4468" t="s">
        <v>25</v>
      </c>
      <c r="B4468" t="s">
        <v>148</v>
      </c>
      <c r="C4468" t="s">
        <v>157</v>
      </c>
      <c r="D4468" t="s">
        <v>286</v>
      </c>
      <c r="E4468" t="s">
        <v>415</v>
      </c>
      <c r="F4468">
        <f>HYPERLINK("https://www.wikidata.org/wiki/Q33756706", "Q33756706")</f>
        <v>0</v>
      </c>
      <c r="G4468" t="s">
        <v>2943</v>
      </c>
      <c r="H4468" t="s">
        <v>7420</v>
      </c>
      <c r="I4468" t="s">
        <v>10538</v>
      </c>
      <c r="J4468" t="s">
        <v>13576</v>
      </c>
      <c r="K4468" t="s">
        <v>17961</v>
      </c>
      <c r="L4468">
        <f>HYPERLINK("https://www2.assemblee-nationale.fr/sycomore/fiche/(num_dept)/8319", "8319")</f>
        <v>0</v>
      </c>
      <c r="N4468">
        <f>HYPERLINK("https://www.wikidata.org/wiki/Q15973528", "Q15973528")</f>
        <v>0</v>
      </c>
      <c r="O4468" t="s">
        <v>19955</v>
      </c>
      <c r="P4468" t="s">
        <v>20401</v>
      </c>
      <c r="Q4468" t="s">
        <v>13445</v>
      </c>
      <c r="R4468" t="s">
        <v>17961</v>
      </c>
      <c r="S4468">
        <v>805</v>
      </c>
    </row>
    <row r="4469" spans="1:19">
      <c r="A4469" t="s">
        <v>25</v>
      </c>
      <c r="B4469" t="s">
        <v>148</v>
      </c>
      <c r="C4469" t="s">
        <v>157</v>
      </c>
      <c r="D4469" t="s">
        <v>286</v>
      </c>
      <c r="E4469" t="s">
        <v>415</v>
      </c>
      <c r="F4469">
        <f>HYPERLINK("https://www.wikidata.org/wiki/Q33756706", "Q33756706")</f>
        <v>0</v>
      </c>
      <c r="G4469" t="s">
        <v>2944</v>
      </c>
      <c r="H4469" t="s">
        <v>7421</v>
      </c>
      <c r="I4469" t="s">
        <v>9449</v>
      </c>
      <c r="J4469" t="s">
        <v>13577</v>
      </c>
      <c r="K4469" t="s">
        <v>17962</v>
      </c>
      <c r="L4469">
        <f>HYPERLINK("https://www2.assemblee-nationale.fr/sycomore/fiche/(num_dept)/8535", "8535")</f>
        <v>0</v>
      </c>
      <c r="N4469">
        <f>HYPERLINK("https://www.wikidata.org/wiki/Q16026394", "Q16026394")</f>
        <v>0</v>
      </c>
      <c r="O4469" t="s">
        <v>20034</v>
      </c>
      <c r="P4469" t="s">
        <v>20459</v>
      </c>
      <c r="Q4469" t="s">
        <v>13445</v>
      </c>
      <c r="R4469" t="s">
        <v>21463</v>
      </c>
      <c r="S4469">
        <v>1515</v>
      </c>
    </row>
    <row r="4470" spans="1:19">
      <c r="A4470" t="s">
        <v>25</v>
      </c>
      <c r="B4470" t="s">
        <v>148</v>
      </c>
      <c r="C4470" t="s">
        <v>157</v>
      </c>
      <c r="D4470" t="s">
        <v>286</v>
      </c>
      <c r="E4470" t="s">
        <v>415</v>
      </c>
      <c r="F4470">
        <f>HYPERLINK("https://www.wikidata.org/wiki/Q33756706", "Q33756706")</f>
        <v>0</v>
      </c>
      <c r="G4470" t="s">
        <v>2945</v>
      </c>
      <c r="H4470" t="s">
        <v>6249</v>
      </c>
      <c r="I4470" t="s">
        <v>10539</v>
      </c>
      <c r="J4470" t="s">
        <v>13578</v>
      </c>
      <c r="K4470" t="s">
        <v>17963</v>
      </c>
      <c r="L4470">
        <f>HYPERLINK("https://www2.assemblee-nationale.fr/sycomore/fiche/(num_dept)/9219", "9219")</f>
        <v>0</v>
      </c>
      <c r="N4470">
        <f>HYPERLINK("https://www.wikidata.org/wiki/Q3179471", "Q3179471")</f>
        <v>0</v>
      </c>
      <c r="O4470" t="s">
        <v>19974</v>
      </c>
      <c r="P4470" t="s">
        <v>20464</v>
      </c>
      <c r="Q4470" t="s">
        <v>13445</v>
      </c>
      <c r="R4470" t="s">
        <v>21463</v>
      </c>
      <c r="S4470">
        <v>1515</v>
      </c>
    </row>
    <row r="4471" spans="1:19">
      <c r="A4471" t="s">
        <v>25</v>
      </c>
      <c r="B4471" t="s">
        <v>148</v>
      </c>
      <c r="C4471" t="s">
        <v>157</v>
      </c>
      <c r="D4471" t="s">
        <v>286</v>
      </c>
      <c r="E4471" t="s">
        <v>415</v>
      </c>
      <c r="F4471">
        <f>HYPERLINK("https://www.wikidata.org/wiki/Q33756706", "Q33756706")</f>
        <v>0</v>
      </c>
      <c r="G4471" t="s">
        <v>2946</v>
      </c>
      <c r="H4471" t="s">
        <v>5276</v>
      </c>
      <c r="I4471" t="s">
        <v>10540</v>
      </c>
      <c r="J4471" t="s">
        <v>13579</v>
      </c>
      <c r="K4471" t="s">
        <v>17964</v>
      </c>
      <c r="L4471">
        <f>HYPERLINK("https://www2.assemblee-nationale.fr/sycomore/fiche/(num_dept)/444", "444")</f>
        <v>0</v>
      </c>
      <c r="M4471">
        <f>HYPERLINK("https://www.senat.fr/senateur-3eme-republique/barthe_marcel1046r3.html", "barthe_marcel1046r3")</f>
        <v>0</v>
      </c>
      <c r="N4471">
        <f>HYPERLINK("https://www.wikidata.org/wiki/Q3288644", "Q3288644")</f>
        <v>0</v>
      </c>
      <c r="O4471" t="s">
        <v>19970</v>
      </c>
      <c r="P4471" t="s">
        <v>20458</v>
      </c>
      <c r="Q4471" t="s">
        <v>20654</v>
      </c>
      <c r="R4471" t="s">
        <v>19398</v>
      </c>
      <c r="S4471">
        <v>137</v>
      </c>
    </row>
    <row r="4472" spans="1:19">
      <c r="A4472" t="s">
        <v>25</v>
      </c>
      <c r="B4472" t="s">
        <v>148</v>
      </c>
      <c r="C4472" t="s">
        <v>157</v>
      </c>
      <c r="D4472" t="s">
        <v>286</v>
      </c>
      <c r="E4472" t="s">
        <v>415</v>
      </c>
      <c r="F4472">
        <f>HYPERLINK("https://www.wikidata.org/wiki/Q33756706", "Q33756706")</f>
        <v>0</v>
      </c>
      <c r="G4472" t="s">
        <v>517</v>
      </c>
      <c r="H4472" t="s">
        <v>5281</v>
      </c>
      <c r="I4472" t="s">
        <v>9385</v>
      </c>
      <c r="J4472" t="s">
        <v>11269</v>
      </c>
      <c r="K4472" t="s">
        <v>15669</v>
      </c>
      <c r="L4472">
        <f>HYPERLINK("https://www2.assemblee-nationale.fr/sycomore/fiche/(num_dept)/538", "538")</f>
        <v>0</v>
      </c>
      <c r="N4472">
        <f>HYPERLINK("https://www.wikidata.org/wiki/Q2958509", "Q2958509")</f>
        <v>0</v>
      </c>
      <c r="O4472" t="s">
        <v>19973</v>
      </c>
      <c r="Q4472" t="s">
        <v>20654</v>
      </c>
      <c r="R4472" t="s">
        <v>21463</v>
      </c>
      <c r="S4472">
        <v>1501</v>
      </c>
    </row>
    <row r="4473" spans="1:19">
      <c r="A4473" t="s">
        <v>25</v>
      </c>
      <c r="B4473" t="s">
        <v>148</v>
      </c>
      <c r="C4473" t="s">
        <v>157</v>
      </c>
      <c r="D4473" t="s">
        <v>286</v>
      </c>
      <c r="E4473" t="s">
        <v>415</v>
      </c>
      <c r="F4473">
        <f>HYPERLINK("https://www.wikidata.org/wiki/Q33756706", "Q33756706")</f>
        <v>0</v>
      </c>
      <c r="G4473" t="s">
        <v>2947</v>
      </c>
      <c r="H4473" t="s">
        <v>7422</v>
      </c>
      <c r="I4473" t="s">
        <v>9849</v>
      </c>
      <c r="J4473" t="s">
        <v>13580</v>
      </c>
      <c r="K4473" t="s">
        <v>17965</v>
      </c>
      <c r="L4473">
        <f>HYPERLINK("https://www2.assemblee-nationale.fr/sycomore/fiche/(num_dept)/1331", "1331")</f>
        <v>0</v>
      </c>
      <c r="M4473">
        <f>HYPERLINK("https://www.senat.fr/senateur-3eme-republique/buvignier_jean1022r3.html", "buvignier_jean1022r3")</f>
        <v>0</v>
      </c>
      <c r="N4473">
        <f>HYPERLINK("https://www.wikidata.org/wiki/Q3171041", "Q3171041")</f>
        <v>0</v>
      </c>
      <c r="O4473" t="s">
        <v>20030</v>
      </c>
      <c r="P4473" t="s">
        <v>20459</v>
      </c>
      <c r="Q4473" t="s">
        <v>20654</v>
      </c>
      <c r="R4473" t="s">
        <v>21463</v>
      </c>
      <c r="S4473">
        <v>1501</v>
      </c>
    </row>
    <row r="4474" spans="1:19">
      <c r="A4474" t="s">
        <v>25</v>
      </c>
      <c r="B4474" t="s">
        <v>148</v>
      </c>
      <c r="C4474" t="s">
        <v>157</v>
      </c>
      <c r="D4474" t="s">
        <v>286</v>
      </c>
      <c r="E4474" t="s">
        <v>415</v>
      </c>
      <c r="F4474">
        <f>HYPERLINK("https://www.wikidata.org/wiki/Q33756706", "Q33756706")</f>
        <v>0</v>
      </c>
      <c r="G4474" t="s">
        <v>2948</v>
      </c>
      <c r="H4474" t="s">
        <v>5326</v>
      </c>
      <c r="I4474" t="s">
        <v>9468</v>
      </c>
      <c r="J4474" t="s">
        <v>13581</v>
      </c>
      <c r="K4474" t="s">
        <v>17966</v>
      </c>
      <c r="L4474">
        <f>HYPERLINK("https://www2.assemblee-nationale.fr/sycomore/fiche/(num_dept)/1554", "1554")</f>
        <v>0</v>
      </c>
      <c r="N4474">
        <f>HYPERLINK("https://www.wikidata.org/wiki/Q15974256", "Q15974256")</f>
        <v>0</v>
      </c>
      <c r="O4474" t="s">
        <v>19987</v>
      </c>
      <c r="P4474" t="s">
        <v>20459</v>
      </c>
      <c r="Q4474" t="s">
        <v>20654</v>
      </c>
      <c r="R4474" t="s">
        <v>21463</v>
      </c>
      <c r="S4474">
        <v>1501</v>
      </c>
    </row>
    <row r="4475" spans="1:19">
      <c r="A4475" t="s">
        <v>25</v>
      </c>
      <c r="B4475" t="s">
        <v>148</v>
      </c>
      <c r="C4475" t="s">
        <v>157</v>
      </c>
      <c r="D4475" t="s">
        <v>286</v>
      </c>
      <c r="E4475" t="s">
        <v>415</v>
      </c>
      <c r="F4475">
        <f>HYPERLINK("https://www.wikidata.org/wiki/Q33756706", "Q33756706")</f>
        <v>0</v>
      </c>
      <c r="G4475" t="s">
        <v>2949</v>
      </c>
      <c r="H4475" t="s">
        <v>7423</v>
      </c>
      <c r="I4475" t="s">
        <v>9376</v>
      </c>
      <c r="J4475" t="s">
        <v>13582</v>
      </c>
      <c r="K4475" t="s">
        <v>17967</v>
      </c>
      <c r="L4475">
        <f>HYPERLINK("https://www2.assemblee-nationale.fr/sycomore/fiche/(num_dept)/2182", "2182")</f>
        <v>0</v>
      </c>
      <c r="N4475">
        <f>HYPERLINK("https://www.wikidata.org/wiki/Q16025524", "Q16025524")</f>
        <v>0</v>
      </c>
      <c r="O4475" t="s">
        <v>20003</v>
      </c>
      <c r="P4475" t="s">
        <v>20464</v>
      </c>
      <c r="Q4475" t="s">
        <v>20654</v>
      </c>
      <c r="R4475" t="s">
        <v>21463</v>
      </c>
      <c r="S4475">
        <v>1501</v>
      </c>
    </row>
    <row r="4476" spans="1:19">
      <c r="A4476" t="s">
        <v>25</v>
      </c>
      <c r="B4476" t="s">
        <v>148</v>
      </c>
      <c r="C4476" t="s">
        <v>157</v>
      </c>
      <c r="D4476" t="s">
        <v>286</v>
      </c>
      <c r="E4476" t="s">
        <v>415</v>
      </c>
      <c r="F4476">
        <f>HYPERLINK("https://www.wikidata.org/wiki/Q33756706", "Q33756706")</f>
        <v>0</v>
      </c>
      <c r="G4476" t="s">
        <v>2950</v>
      </c>
      <c r="H4476" t="s">
        <v>7424</v>
      </c>
      <c r="I4476" t="s">
        <v>9612</v>
      </c>
      <c r="J4476" t="s">
        <v>13583</v>
      </c>
      <c r="K4476" t="s">
        <v>17968</v>
      </c>
      <c r="L4476">
        <f>HYPERLINK("https://www2.assemblee-nationale.fr/sycomore/fiche/(num_dept)/2445", "2445")</f>
        <v>0</v>
      </c>
      <c r="M4476">
        <f>HYPERLINK("https://www.senat.fr/senateur-3eme-republique/desmons_frederic0832r3.html", "desmons_frederic0832r3")</f>
        <v>0</v>
      </c>
      <c r="N4476">
        <f>HYPERLINK("https://www.wikidata.org/wiki/Q346783", "Q346783")</f>
        <v>0</v>
      </c>
      <c r="O4476" t="s">
        <v>20014</v>
      </c>
      <c r="P4476" t="s">
        <v>20465</v>
      </c>
      <c r="Q4476" t="s">
        <v>20654</v>
      </c>
      <c r="R4476" t="s">
        <v>21463</v>
      </c>
      <c r="S4476">
        <v>1501</v>
      </c>
    </row>
    <row r="4477" spans="1:19">
      <c r="A4477" t="s">
        <v>25</v>
      </c>
      <c r="B4477" t="s">
        <v>148</v>
      </c>
      <c r="C4477" t="s">
        <v>157</v>
      </c>
      <c r="D4477" t="s">
        <v>286</v>
      </c>
      <c r="E4477" t="s">
        <v>415</v>
      </c>
      <c r="F4477">
        <f>HYPERLINK("https://www.wikidata.org/wiki/Q33756706", "Q33756706")</f>
        <v>0</v>
      </c>
      <c r="G4477" t="s">
        <v>2951</v>
      </c>
      <c r="H4477" t="s">
        <v>7425</v>
      </c>
      <c r="I4477" t="s">
        <v>7790</v>
      </c>
      <c r="J4477" t="s">
        <v>13584</v>
      </c>
      <c r="K4477" t="s">
        <v>17969</v>
      </c>
      <c r="L4477">
        <f>HYPERLINK("https://www2.assemblee-nationale.fr/sycomore/fiche/(num_dept)/2724", "2724")</f>
        <v>0</v>
      </c>
      <c r="N4477">
        <f>HYPERLINK("https://www.wikidata.org/wiki/Q2861835", "Q2861835")</f>
        <v>0</v>
      </c>
      <c r="O4477" t="s">
        <v>20016</v>
      </c>
      <c r="Q4477" t="s">
        <v>20654</v>
      </c>
      <c r="R4477" t="s">
        <v>21463</v>
      </c>
      <c r="S4477">
        <v>1501</v>
      </c>
    </row>
    <row r="4478" spans="1:19">
      <c r="A4478" t="s">
        <v>25</v>
      </c>
      <c r="B4478" t="s">
        <v>148</v>
      </c>
      <c r="C4478" t="s">
        <v>157</v>
      </c>
      <c r="D4478" t="s">
        <v>286</v>
      </c>
      <c r="E4478" t="s">
        <v>415</v>
      </c>
      <c r="F4478">
        <f>HYPERLINK("https://www.wikidata.org/wiki/Q33756706", "Q33756706")</f>
        <v>0</v>
      </c>
      <c r="G4478" t="s">
        <v>2952</v>
      </c>
      <c r="H4478" t="s">
        <v>7426</v>
      </c>
      <c r="I4478" t="s">
        <v>10541</v>
      </c>
      <c r="J4478" t="s">
        <v>13585</v>
      </c>
      <c r="K4478" t="s">
        <v>17970</v>
      </c>
      <c r="L4478">
        <f>HYPERLINK("https://www2.assemblee-nationale.fr/sycomore/fiche/(num_dept)/2769", "2769")</f>
        <v>0</v>
      </c>
      <c r="N4478">
        <f>HYPERLINK("https://www.wikidata.org/wiki/Q2958978", "Q2958978")</f>
        <v>0</v>
      </c>
      <c r="O4478" t="s">
        <v>19963</v>
      </c>
      <c r="P4478" t="s">
        <v>20459</v>
      </c>
      <c r="Q4478" t="s">
        <v>20654</v>
      </c>
      <c r="R4478" t="s">
        <v>21463</v>
      </c>
      <c r="S4478">
        <v>1501</v>
      </c>
    </row>
    <row r="4479" spans="1:19">
      <c r="A4479" t="s">
        <v>25</v>
      </c>
      <c r="B4479" t="s">
        <v>148</v>
      </c>
      <c r="C4479" t="s">
        <v>157</v>
      </c>
      <c r="D4479" t="s">
        <v>286</v>
      </c>
      <c r="E4479" t="s">
        <v>415</v>
      </c>
      <c r="F4479">
        <f>HYPERLINK("https://www.wikidata.org/wiki/Q33756706", "Q33756706")</f>
        <v>0</v>
      </c>
      <c r="G4479" t="s">
        <v>2953</v>
      </c>
      <c r="H4479" t="s">
        <v>7427</v>
      </c>
      <c r="I4479" t="s">
        <v>9421</v>
      </c>
      <c r="J4479" t="s">
        <v>13586</v>
      </c>
      <c r="K4479" t="s">
        <v>17971</v>
      </c>
      <c r="L4479">
        <f>HYPERLINK("https://www2.assemblee-nationale.fr/sycomore/fiche/(num_dept)/2788", "2788")</f>
        <v>0</v>
      </c>
      <c r="N4479">
        <f>HYPERLINK("https://www.wikidata.org/wiki/Q3121176", "Q3121176")</f>
        <v>0</v>
      </c>
      <c r="O4479" t="s">
        <v>20022</v>
      </c>
      <c r="P4479" t="s">
        <v>20456</v>
      </c>
      <c r="Q4479" t="s">
        <v>20654</v>
      </c>
      <c r="R4479" t="s">
        <v>21463</v>
      </c>
      <c r="S4479">
        <v>1501</v>
      </c>
    </row>
    <row r="4480" spans="1:19">
      <c r="A4480" t="s">
        <v>25</v>
      </c>
      <c r="B4480" t="s">
        <v>148</v>
      </c>
      <c r="C4480" t="s">
        <v>157</v>
      </c>
      <c r="D4480" t="s">
        <v>286</v>
      </c>
      <c r="E4480" t="s">
        <v>415</v>
      </c>
      <c r="F4480">
        <f>HYPERLINK("https://www.wikidata.org/wiki/Q33756706", "Q33756706")</f>
        <v>0</v>
      </c>
      <c r="G4480" t="s">
        <v>2954</v>
      </c>
      <c r="H4480" t="s">
        <v>7428</v>
      </c>
      <c r="I4480" t="s">
        <v>9458</v>
      </c>
      <c r="J4480" t="s">
        <v>13587</v>
      </c>
      <c r="K4480" t="s">
        <v>17972</v>
      </c>
      <c r="L4480">
        <f>HYPERLINK("https://www2.assemblee-nationale.fr/sycomore/fiche/(num_dept)/3272", "3272")</f>
        <v>0</v>
      </c>
      <c r="N4480">
        <f>HYPERLINK("https://www.wikidata.org/wiki/Q2835142", "Q2835142")</f>
        <v>0</v>
      </c>
      <c r="O4480" t="s">
        <v>20046</v>
      </c>
      <c r="P4480" t="s">
        <v>20459</v>
      </c>
      <c r="Q4480" t="s">
        <v>20654</v>
      </c>
      <c r="R4480" t="s">
        <v>21463</v>
      </c>
      <c r="S4480">
        <v>1501</v>
      </c>
    </row>
    <row r="4481" spans="1:19">
      <c r="A4481" t="s">
        <v>25</v>
      </c>
      <c r="B4481" t="s">
        <v>148</v>
      </c>
      <c r="C4481" t="s">
        <v>157</v>
      </c>
      <c r="D4481" t="s">
        <v>286</v>
      </c>
      <c r="E4481" t="s">
        <v>415</v>
      </c>
      <c r="F4481">
        <f>HYPERLINK("https://www.wikidata.org/wiki/Q33756706", "Q33756706")</f>
        <v>0</v>
      </c>
      <c r="G4481" t="s">
        <v>2955</v>
      </c>
      <c r="H4481" t="s">
        <v>6171</v>
      </c>
      <c r="I4481" t="s">
        <v>5834</v>
      </c>
      <c r="J4481" t="s">
        <v>13588</v>
      </c>
      <c r="K4481" t="s">
        <v>17973</v>
      </c>
      <c r="L4481">
        <f>HYPERLINK("https://www2.assemblee-nationale.fr/sycomore/fiche/(num_dept)/3315", "3315")</f>
        <v>0</v>
      </c>
      <c r="N4481">
        <f>HYPERLINK("https://www.wikidata.org/wiki/Q3022696", "Q3022696")</f>
        <v>0</v>
      </c>
      <c r="O4481" t="s">
        <v>19955</v>
      </c>
      <c r="P4481" t="s">
        <v>20464</v>
      </c>
      <c r="Q4481" t="s">
        <v>20654</v>
      </c>
      <c r="R4481" t="s">
        <v>21463</v>
      </c>
      <c r="S4481">
        <v>1501</v>
      </c>
    </row>
    <row r="4482" spans="1:19">
      <c r="A4482" t="s">
        <v>25</v>
      </c>
      <c r="B4482" t="s">
        <v>148</v>
      </c>
      <c r="C4482" t="s">
        <v>157</v>
      </c>
      <c r="D4482" t="s">
        <v>286</v>
      </c>
      <c r="E4482" t="s">
        <v>415</v>
      </c>
      <c r="F4482">
        <f>HYPERLINK("https://www.wikidata.org/wiki/Q33756706", "Q33756706")</f>
        <v>0</v>
      </c>
      <c r="G4482" t="s">
        <v>2956</v>
      </c>
      <c r="H4482" t="s">
        <v>5417</v>
      </c>
      <c r="I4482" t="s">
        <v>10542</v>
      </c>
      <c r="J4482" t="s">
        <v>13589</v>
      </c>
      <c r="K4482" t="s">
        <v>17974</v>
      </c>
      <c r="L4482">
        <f>HYPERLINK("https://www2.assemblee-nationale.fr/sycomore/fiche/(num_dept)/3361", "3361")</f>
        <v>0</v>
      </c>
      <c r="N4482">
        <f>HYPERLINK("https://www.wikidata.org/wiki/Q3131251", "Q3131251")</f>
        <v>0</v>
      </c>
      <c r="O4482" t="s">
        <v>20009</v>
      </c>
      <c r="P4482" t="s">
        <v>20460</v>
      </c>
      <c r="Q4482" t="s">
        <v>20654</v>
      </c>
      <c r="R4482" t="s">
        <v>21463</v>
      </c>
      <c r="S4482">
        <v>1501</v>
      </c>
    </row>
    <row r="4483" spans="1:19">
      <c r="A4483" t="s">
        <v>25</v>
      </c>
      <c r="B4483" t="s">
        <v>148</v>
      </c>
      <c r="C4483" t="s">
        <v>157</v>
      </c>
      <c r="D4483" t="s">
        <v>286</v>
      </c>
      <c r="E4483" t="s">
        <v>415</v>
      </c>
      <c r="F4483">
        <f>HYPERLINK("https://www.wikidata.org/wiki/Q33756706", "Q33756706")</f>
        <v>0</v>
      </c>
      <c r="G4483" t="s">
        <v>2957</v>
      </c>
      <c r="H4483" t="s">
        <v>7429</v>
      </c>
      <c r="I4483" t="s">
        <v>10543</v>
      </c>
      <c r="J4483" t="s">
        <v>11365</v>
      </c>
      <c r="K4483" t="s">
        <v>17975</v>
      </c>
      <c r="L4483">
        <f>HYPERLINK("https://www2.assemblee-nationale.fr/sycomore/fiche/(num_dept)/3387", "3387")</f>
        <v>0</v>
      </c>
      <c r="N4483">
        <f>HYPERLINK("https://www.wikidata.org/wiki/Q3099023", "Q3099023")</f>
        <v>0</v>
      </c>
      <c r="O4483" t="s">
        <v>20028</v>
      </c>
      <c r="P4483" t="s">
        <v>20456</v>
      </c>
      <c r="Q4483" t="s">
        <v>20654</v>
      </c>
      <c r="R4483" t="s">
        <v>21463</v>
      </c>
      <c r="S4483">
        <v>1501</v>
      </c>
    </row>
    <row r="4484" spans="1:19">
      <c r="A4484" t="s">
        <v>25</v>
      </c>
      <c r="B4484" t="s">
        <v>148</v>
      </c>
      <c r="C4484" t="s">
        <v>157</v>
      </c>
      <c r="D4484" t="s">
        <v>286</v>
      </c>
      <c r="E4484" t="s">
        <v>415</v>
      </c>
      <c r="F4484">
        <f>HYPERLINK("https://www.wikidata.org/wiki/Q33756706", "Q33756706")</f>
        <v>0</v>
      </c>
      <c r="G4484" t="s">
        <v>2958</v>
      </c>
      <c r="H4484" t="s">
        <v>6192</v>
      </c>
      <c r="I4484" t="s">
        <v>10544</v>
      </c>
      <c r="J4484" t="s">
        <v>13590</v>
      </c>
      <c r="K4484" t="s">
        <v>17976</v>
      </c>
      <c r="L4484">
        <f>HYPERLINK("https://www2.assemblee-nationale.fr/sycomore/fiche/(num_dept)/3896", "3896")</f>
        <v>0</v>
      </c>
      <c r="N4484">
        <f>HYPERLINK("https://www.wikidata.org/wiki/Q352287", "Q352287")</f>
        <v>0</v>
      </c>
      <c r="O4484" t="s">
        <v>19990</v>
      </c>
      <c r="P4484" t="s">
        <v>20456</v>
      </c>
      <c r="Q4484" t="s">
        <v>20654</v>
      </c>
      <c r="R4484" t="s">
        <v>21463</v>
      </c>
      <c r="S4484">
        <v>1501</v>
      </c>
    </row>
    <row r="4485" spans="1:19">
      <c r="A4485" t="s">
        <v>25</v>
      </c>
      <c r="B4485" t="s">
        <v>148</v>
      </c>
      <c r="C4485" t="s">
        <v>157</v>
      </c>
      <c r="D4485" t="s">
        <v>286</v>
      </c>
      <c r="E4485" t="s">
        <v>415</v>
      </c>
      <c r="F4485">
        <f>HYPERLINK("https://www.wikidata.org/wiki/Q33756706", "Q33756706")</f>
        <v>0</v>
      </c>
      <c r="G4485" t="s">
        <v>2959</v>
      </c>
      <c r="H4485" t="s">
        <v>7430</v>
      </c>
      <c r="I4485" t="s">
        <v>10545</v>
      </c>
      <c r="J4485" t="s">
        <v>13591</v>
      </c>
      <c r="K4485" t="s">
        <v>17977</v>
      </c>
      <c r="L4485">
        <f>HYPERLINK("https://www2.assemblee-nationale.fr/sycomore/fiche/(num_dept)/4126", "4126")</f>
        <v>0</v>
      </c>
      <c r="N4485">
        <f>HYPERLINK("https://www.wikidata.org/wiki/Q8326442", "Q8326442")</f>
        <v>0</v>
      </c>
      <c r="O4485" t="s">
        <v>19993</v>
      </c>
      <c r="P4485" t="s">
        <v>20460</v>
      </c>
      <c r="Q4485" t="s">
        <v>20654</v>
      </c>
      <c r="R4485" t="s">
        <v>21463</v>
      </c>
      <c r="S4485">
        <v>1501</v>
      </c>
    </row>
    <row r="4486" spans="1:19">
      <c r="A4486" t="s">
        <v>25</v>
      </c>
      <c r="B4486" t="s">
        <v>148</v>
      </c>
      <c r="C4486" t="s">
        <v>157</v>
      </c>
      <c r="D4486" t="s">
        <v>286</v>
      </c>
      <c r="E4486" t="s">
        <v>415</v>
      </c>
      <c r="F4486">
        <f>HYPERLINK("https://www.wikidata.org/wiki/Q33756706", "Q33756706")</f>
        <v>0</v>
      </c>
      <c r="G4486" t="s">
        <v>2960</v>
      </c>
      <c r="H4486" t="s">
        <v>7431</v>
      </c>
      <c r="I4486" t="s">
        <v>9552</v>
      </c>
      <c r="J4486" t="s">
        <v>13592</v>
      </c>
      <c r="K4486" t="s">
        <v>17978</v>
      </c>
      <c r="L4486">
        <f>HYPERLINK("https://www2.assemblee-nationale.fr/sycomore/fiche/(num_dept)/4231", "4231")</f>
        <v>0</v>
      </c>
      <c r="N4486">
        <f>HYPERLINK("https://www.wikidata.org/wiki/Q16025913", "Q16025913")</f>
        <v>0</v>
      </c>
      <c r="O4486" t="s">
        <v>19979</v>
      </c>
      <c r="P4486" t="s">
        <v>20459</v>
      </c>
      <c r="Q4486" t="s">
        <v>20654</v>
      </c>
      <c r="R4486" t="s">
        <v>21463</v>
      </c>
      <c r="S4486">
        <v>1501</v>
      </c>
    </row>
    <row r="4487" spans="1:19">
      <c r="A4487" t="s">
        <v>25</v>
      </c>
      <c r="B4487" t="s">
        <v>148</v>
      </c>
      <c r="C4487" t="s">
        <v>157</v>
      </c>
      <c r="D4487" t="s">
        <v>286</v>
      </c>
      <c r="E4487" t="s">
        <v>415</v>
      </c>
      <c r="F4487">
        <f>HYPERLINK("https://www.wikidata.org/wiki/Q33756706", "Q33756706")</f>
        <v>0</v>
      </c>
      <c r="G4487" t="s">
        <v>2961</v>
      </c>
      <c r="H4487" t="s">
        <v>7432</v>
      </c>
      <c r="I4487" t="s">
        <v>6166</v>
      </c>
      <c r="J4487" t="s">
        <v>13593</v>
      </c>
      <c r="K4487" t="s">
        <v>17979</v>
      </c>
      <c r="L4487">
        <f>HYPERLINK("https://www2.assemblee-nationale.fr/sycomore/fiche/(num_dept)/4286", "4286")</f>
        <v>0</v>
      </c>
      <c r="N4487">
        <f>HYPERLINK("https://www.wikidata.org/wiki/Q16798496", "Q16798496")</f>
        <v>0</v>
      </c>
      <c r="O4487" t="s">
        <v>19987</v>
      </c>
      <c r="P4487" t="s">
        <v>20402</v>
      </c>
      <c r="Q4487" t="s">
        <v>20654</v>
      </c>
      <c r="R4487" t="s">
        <v>21463</v>
      </c>
      <c r="S4487">
        <v>1501</v>
      </c>
    </row>
    <row r="4488" spans="1:19">
      <c r="A4488" t="s">
        <v>25</v>
      </c>
      <c r="B4488" t="s">
        <v>148</v>
      </c>
      <c r="C4488" t="s">
        <v>157</v>
      </c>
      <c r="D4488" t="s">
        <v>286</v>
      </c>
      <c r="E4488" t="s">
        <v>415</v>
      </c>
      <c r="F4488">
        <f>HYPERLINK("https://www.wikidata.org/wiki/Q33756706", "Q33756706")</f>
        <v>0</v>
      </c>
      <c r="G4488" t="s">
        <v>2962</v>
      </c>
      <c r="H4488" t="s">
        <v>6492</v>
      </c>
      <c r="I4488" t="s">
        <v>9470</v>
      </c>
      <c r="J4488" t="s">
        <v>13594</v>
      </c>
      <c r="K4488" t="s">
        <v>17980</v>
      </c>
      <c r="L4488">
        <f>HYPERLINK("https://www2.assemblee-nationale.fr/sycomore/fiche/(num_dept)/4346", "4346")</f>
        <v>0</v>
      </c>
      <c r="N4488">
        <f>HYPERLINK("https://www.wikidata.org/wiki/Q8318772", "Q8318772")</f>
        <v>0</v>
      </c>
      <c r="O4488" t="s">
        <v>20032</v>
      </c>
      <c r="P4488" t="s">
        <v>20456</v>
      </c>
      <c r="Q4488" t="s">
        <v>20654</v>
      </c>
      <c r="R4488" t="s">
        <v>21463</v>
      </c>
      <c r="S4488">
        <v>1501</v>
      </c>
    </row>
    <row r="4489" spans="1:19">
      <c r="A4489" t="s">
        <v>25</v>
      </c>
      <c r="B4489" t="s">
        <v>148</v>
      </c>
      <c r="C4489" t="s">
        <v>157</v>
      </c>
      <c r="D4489" t="s">
        <v>286</v>
      </c>
      <c r="E4489" t="s">
        <v>415</v>
      </c>
      <c r="F4489">
        <f>HYPERLINK("https://www.wikidata.org/wiki/Q33756706", "Q33756706")</f>
        <v>0</v>
      </c>
      <c r="G4489" t="s">
        <v>2963</v>
      </c>
      <c r="H4489" t="s">
        <v>7433</v>
      </c>
      <c r="I4489" t="s">
        <v>9458</v>
      </c>
      <c r="J4489" t="s">
        <v>13595</v>
      </c>
      <c r="K4489" t="s">
        <v>17981</v>
      </c>
      <c r="L4489">
        <f>HYPERLINK("https://www2.assemblee-nationale.fr/sycomore/fiche/(num_dept)/4365", "4365")</f>
        <v>0</v>
      </c>
      <c r="N4489">
        <f>HYPERLINK("https://www.wikidata.org/wiki/Q2835251", "Q2835251")</f>
        <v>0</v>
      </c>
      <c r="O4489" t="s">
        <v>19987</v>
      </c>
      <c r="P4489" t="s">
        <v>20459</v>
      </c>
      <c r="Q4489" t="s">
        <v>20654</v>
      </c>
      <c r="R4489" t="s">
        <v>21463</v>
      </c>
      <c r="S4489">
        <v>1501</v>
      </c>
    </row>
    <row r="4490" spans="1:19">
      <c r="A4490" t="s">
        <v>25</v>
      </c>
      <c r="B4490" t="s">
        <v>148</v>
      </c>
      <c r="C4490" t="s">
        <v>157</v>
      </c>
      <c r="D4490" t="s">
        <v>286</v>
      </c>
      <c r="E4490" t="s">
        <v>415</v>
      </c>
      <c r="F4490">
        <f>HYPERLINK("https://www.wikidata.org/wiki/Q33756706", "Q33756706")</f>
        <v>0</v>
      </c>
      <c r="G4490" t="s">
        <v>2964</v>
      </c>
      <c r="H4490" t="s">
        <v>7434</v>
      </c>
      <c r="I4490" t="s">
        <v>6166</v>
      </c>
      <c r="J4490" t="s">
        <v>13596</v>
      </c>
      <c r="K4490" t="s">
        <v>17982</v>
      </c>
      <c r="L4490">
        <f>HYPERLINK("https://www2.assemblee-nationale.fr/sycomore/fiche/(num_dept)/4897", "4897")</f>
        <v>0</v>
      </c>
      <c r="N4490">
        <f>HYPERLINK("https://www.wikidata.org/wiki/Q962478", "Q962478")</f>
        <v>0</v>
      </c>
      <c r="O4490" t="s">
        <v>19963</v>
      </c>
      <c r="P4490" t="s">
        <v>20461</v>
      </c>
      <c r="Q4490" t="s">
        <v>20654</v>
      </c>
      <c r="R4490" t="s">
        <v>21463</v>
      </c>
      <c r="S4490">
        <v>1501</v>
      </c>
    </row>
    <row r="4491" spans="1:19">
      <c r="A4491" t="s">
        <v>25</v>
      </c>
      <c r="B4491" t="s">
        <v>148</v>
      </c>
      <c r="C4491" t="s">
        <v>157</v>
      </c>
      <c r="D4491" t="s">
        <v>286</v>
      </c>
      <c r="E4491" t="s">
        <v>415</v>
      </c>
      <c r="F4491">
        <f>HYPERLINK("https://www.wikidata.org/wiki/Q33756706", "Q33756706")</f>
        <v>0</v>
      </c>
      <c r="G4491" t="s">
        <v>2965</v>
      </c>
      <c r="H4491" t="s">
        <v>5848</v>
      </c>
      <c r="I4491" t="s">
        <v>9388</v>
      </c>
      <c r="J4491" t="s">
        <v>13597</v>
      </c>
      <c r="K4491" t="s">
        <v>17983</v>
      </c>
      <c r="L4491">
        <f>HYPERLINK("https://www2.assemblee-nationale.fr/sycomore/fiche/(num_dept)/5873", "5873")</f>
        <v>0</v>
      </c>
      <c r="M4491">
        <f>HYPERLINK("https://www.senat.fr/senateur-3eme-republique/peytral_paul0322r3.html", "peytral_paul0322r3")</f>
        <v>0</v>
      </c>
      <c r="N4491">
        <f>HYPERLINK("https://www.wikidata.org/wiki/Q179491", "Q179491")</f>
        <v>0</v>
      </c>
      <c r="O4491" t="s">
        <v>19990</v>
      </c>
      <c r="P4491" t="s">
        <v>20471</v>
      </c>
      <c r="Q4491" t="s">
        <v>20654</v>
      </c>
      <c r="R4491" t="s">
        <v>21463</v>
      </c>
      <c r="S4491">
        <v>1501</v>
      </c>
    </row>
    <row r="4492" spans="1:19">
      <c r="A4492" t="s">
        <v>25</v>
      </c>
      <c r="B4492" t="s">
        <v>148</v>
      </c>
      <c r="C4492" t="s">
        <v>157</v>
      </c>
      <c r="D4492" t="s">
        <v>286</v>
      </c>
      <c r="E4492" t="s">
        <v>415</v>
      </c>
      <c r="F4492">
        <f>HYPERLINK("https://www.wikidata.org/wiki/Q33756706", "Q33756706")</f>
        <v>0</v>
      </c>
      <c r="G4492" t="s">
        <v>2966</v>
      </c>
      <c r="H4492" t="s">
        <v>6806</v>
      </c>
      <c r="I4492" t="s">
        <v>10546</v>
      </c>
      <c r="J4492" t="s">
        <v>13598</v>
      </c>
      <c r="K4492" t="s">
        <v>17984</v>
      </c>
      <c r="L4492">
        <f>HYPERLINK("https://www2.assemblee-nationale.fr/sycomore/fiche/(num_dept)/6005", "6005")</f>
        <v>0</v>
      </c>
      <c r="N4492">
        <f>HYPERLINK("https://www.wikidata.org/wiki/Q2861955", "Q2861955")</f>
        <v>0</v>
      </c>
      <c r="O4492" t="s">
        <v>20008</v>
      </c>
      <c r="P4492" t="s">
        <v>20401</v>
      </c>
      <c r="Q4492" t="s">
        <v>20654</v>
      </c>
      <c r="R4492" t="s">
        <v>21463</v>
      </c>
      <c r="S4492">
        <v>1501</v>
      </c>
    </row>
    <row r="4493" spans="1:19">
      <c r="A4493" t="s">
        <v>25</v>
      </c>
      <c r="B4493" t="s">
        <v>148</v>
      </c>
      <c r="C4493" t="s">
        <v>157</v>
      </c>
      <c r="D4493" t="s">
        <v>286</v>
      </c>
      <c r="E4493" t="s">
        <v>415</v>
      </c>
      <c r="F4493">
        <f>HYPERLINK("https://www.wikidata.org/wiki/Q33756706", "Q33756706")</f>
        <v>0</v>
      </c>
      <c r="G4493" t="s">
        <v>2967</v>
      </c>
      <c r="H4493" t="s">
        <v>7435</v>
      </c>
      <c r="I4493" t="s">
        <v>10547</v>
      </c>
      <c r="J4493" t="s">
        <v>13599</v>
      </c>
      <c r="K4493" t="s">
        <v>17985</v>
      </c>
      <c r="L4493">
        <f>HYPERLINK("https://www2.assemblee-nationale.fr/sycomore/fiche/(num_dept)/6228", "6228")</f>
        <v>0</v>
      </c>
      <c r="M4493">
        <f>HYPERLINK("https://www.senat.fr/senateur-3eme-republique/saint_prix_oscar0141r3.html", "saint_prix_oscar0141r3")</f>
        <v>0</v>
      </c>
      <c r="N4493">
        <f>HYPERLINK("https://www.wikidata.org/wiki/Q3357039", "Q3357039")</f>
        <v>0</v>
      </c>
      <c r="O4493" t="s">
        <v>19991</v>
      </c>
      <c r="Q4493" t="s">
        <v>20654</v>
      </c>
      <c r="R4493" t="s">
        <v>21463</v>
      </c>
      <c r="S4493">
        <v>1501</v>
      </c>
    </row>
    <row r="4494" spans="1:19">
      <c r="A4494" t="s">
        <v>25</v>
      </c>
      <c r="B4494" t="s">
        <v>148</v>
      </c>
      <c r="C4494" t="s">
        <v>157</v>
      </c>
      <c r="D4494" t="s">
        <v>286</v>
      </c>
      <c r="E4494" t="s">
        <v>415</v>
      </c>
      <c r="F4494">
        <f>HYPERLINK("https://www.wikidata.org/wiki/Q33756706", "Q33756706")</f>
        <v>0</v>
      </c>
      <c r="G4494" t="s">
        <v>2968</v>
      </c>
      <c r="H4494" t="s">
        <v>7436</v>
      </c>
      <c r="I4494" t="s">
        <v>10548</v>
      </c>
      <c r="J4494" t="s">
        <v>13600</v>
      </c>
      <c r="K4494" t="s">
        <v>17986</v>
      </c>
      <c r="L4494">
        <f>HYPERLINK("https://www2.assemblee-nationale.fr/sycomore/fiche/(num_dept)/6651", "6651")</f>
        <v>0</v>
      </c>
      <c r="N4494">
        <f>HYPERLINK("https://www.wikidata.org/wiki/Q16026400", "Q16026400")</f>
        <v>0</v>
      </c>
      <c r="O4494" t="s">
        <v>19985</v>
      </c>
      <c r="P4494" t="s">
        <v>20460</v>
      </c>
      <c r="Q4494" t="s">
        <v>20654</v>
      </c>
      <c r="R4494" t="s">
        <v>21463</v>
      </c>
      <c r="S4494">
        <v>1501</v>
      </c>
    </row>
    <row r="4495" spans="1:19">
      <c r="A4495" t="s">
        <v>25</v>
      </c>
      <c r="B4495" t="s">
        <v>148</v>
      </c>
      <c r="C4495" t="s">
        <v>157</v>
      </c>
      <c r="D4495" t="s">
        <v>286</v>
      </c>
      <c r="E4495" t="s">
        <v>415</v>
      </c>
      <c r="F4495">
        <f>HYPERLINK("https://www.wikidata.org/wiki/Q33756706", "Q33756706")</f>
        <v>0</v>
      </c>
      <c r="G4495" t="s">
        <v>2969</v>
      </c>
      <c r="H4495" t="s">
        <v>7437</v>
      </c>
      <c r="I4495" t="s">
        <v>9602</v>
      </c>
      <c r="J4495" t="s">
        <v>13601</v>
      </c>
      <c r="K4495" t="s">
        <v>17987</v>
      </c>
      <c r="L4495">
        <f>HYPERLINK("https://www2.assemblee-nationale.fr/sycomore/fiche/(num_dept)/7072", "7072")</f>
        <v>0</v>
      </c>
      <c r="N4495">
        <f>HYPERLINK("https://www.wikidata.org/wiki/Q11918029", "Q11918029")</f>
        <v>0</v>
      </c>
      <c r="O4495" t="s">
        <v>19986</v>
      </c>
      <c r="P4495" t="s">
        <v>20459</v>
      </c>
      <c r="Q4495" t="s">
        <v>20654</v>
      </c>
      <c r="R4495" t="s">
        <v>17987</v>
      </c>
      <c r="S4495">
        <v>504</v>
      </c>
    </row>
    <row r="4496" spans="1:19">
      <c r="A4496" t="s">
        <v>25</v>
      </c>
      <c r="B4496" t="s">
        <v>148</v>
      </c>
      <c r="C4496" t="s">
        <v>157</v>
      </c>
      <c r="D4496" t="s">
        <v>286</v>
      </c>
      <c r="E4496" t="s">
        <v>415</v>
      </c>
      <c r="F4496">
        <f>HYPERLINK("https://www.wikidata.org/wiki/Q33756706", "Q33756706")</f>
        <v>0</v>
      </c>
      <c r="G4496" t="s">
        <v>2970</v>
      </c>
      <c r="H4496" t="s">
        <v>7438</v>
      </c>
      <c r="I4496" t="s">
        <v>10549</v>
      </c>
      <c r="J4496" t="s">
        <v>13602</v>
      </c>
      <c r="K4496" t="s">
        <v>17988</v>
      </c>
      <c r="L4496">
        <f>HYPERLINK("https://www2.assemblee-nationale.fr/sycomore/fiche/(num_dept)/7484", "7484")</f>
        <v>0</v>
      </c>
      <c r="N4496">
        <f>HYPERLINK("https://www.wikidata.org/wiki/Q16026584", "Q16026584")</f>
        <v>0</v>
      </c>
      <c r="O4496" t="s">
        <v>19991</v>
      </c>
      <c r="P4496" t="s">
        <v>20459</v>
      </c>
      <c r="Q4496" t="s">
        <v>20654</v>
      </c>
      <c r="R4496" t="s">
        <v>21463</v>
      </c>
      <c r="S4496">
        <v>1501</v>
      </c>
    </row>
    <row r="4497" spans="1:19">
      <c r="A4497" t="s">
        <v>25</v>
      </c>
      <c r="B4497" t="s">
        <v>148</v>
      </c>
      <c r="C4497" t="s">
        <v>157</v>
      </c>
      <c r="D4497" t="s">
        <v>286</v>
      </c>
      <c r="E4497" t="s">
        <v>415</v>
      </c>
      <c r="F4497">
        <f>HYPERLINK("https://www.wikidata.org/wiki/Q33756706", "Q33756706")</f>
        <v>0</v>
      </c>
      <c r="G4497" t="s">
        <v>2971</v>
      </c>
      <c r="H4497" t="s">
        <v>7439</v>
      </c>
      <c r="I4497" t="s">
        <v>6860</v>
      </c>
      <c r="J4497" t="s">
        <v>13603</v>
      </c>
      <c r="K4497" t="s">
        <v>17989</v>
      </c>
      <c r="L4497">
        <f>HYPERLINK("https://www2.assemblee-nationale.fr/sycomore/fiche/(num_dept)/7901", "7901")</f>
        <v>0</v>
      </c>
      <c r="M4497">
        <f>HYPERLINK("https://www.senat.fr/senateur-3eme-republique/bizot_de_fonteny_pierre0864r3.html", "bizot_de_fonteny_pierre0864r3")</f>
        <v>0</v>
      </c>
      <c r="N4497">
        <f>HYPERLINK("https://www.wikidata.org/wiki/Q3384017", "Q3384017")</f>
        <v>0</v>
      </c>
      <c r="O4497" t="s">
        <v>20022</v>
      </c>
      <c r="P4497" t="s">
        <v>20459</v>
      </c>
      <c r="Q4497" t="s">
        <v>20654</v>
      </c>
      <c r="R4497" t="s">
        <v>21463</v>
      </c>
      <c r="S4497">
        <v>1501</v>
      </c>
    </row>
    <row r="4498" spans="1:19">
      <c r="A4498" t="s">
        <v>25</v>
      </c>
      <c r="B4498" t="s">
        <v>148</v>
      </c>
      <c r="C4498" t="s">
        <v>157</v>
      </c>
      <c r="D4498" t="s">
        <v>286</v>
      </c>
      <c r="E4498" t="s">
        <v>415</v>
      </c>
      <c r="F4498">
        <f>HYPERLINK("https://www.wikidata.org/wiki/Q33756706", "Q33756706")</f>
        <v>0</v>
      </c>
      <c r="G4498" t="s">
        <v>2972</v>
      </c>
      <c r="H4498" t="s">
        <v>7440</v>
      </c>
      <c r="I4498" t="s">
        <v>10550</v>
      </c>
      <c r="J4498" t="s">
        <v>13604</v>
      </c>
      <c r="K4498" t="s">
        <v>17990</v>
      </c>
      <c r="L4498">
        <f>HYPERLINK("https://www2.assemblee-nationale.fr/sycomore/fiche/(num_dept)/7931", "7931")</f>
        <v>0</v>
      </c>
      <c r="N4498">
        <f>HYPERLINK("https://www.wikidata.org/wiki/Q13080865", "Q13080865")</f>
        <v>0</v>
      </c>
      <c r="O4498" t="s">
        <v>19969</v>
      </c>
      <c r="P4498" t="s">
        <v>20456</v>
      </c>
      <c r="Q4498" t="s">
        <v>20654</v>
      </c>
      <c r="R4498" t="s">
        <v>21463</v>
      </c>
      <c r="S4498">
        <v>1501</v>
      </c>
    </row>
    <row r="4499" spans="1:19">
      <c r="A4499" t="s">
        <v>25</v>
      </c>
      <c r="B4499" t="s">
        <v>148</v>
      </c>
      <c r="C4499" t="s">
        <v>157</v>
      </c>
      <c r="D4499" t="s">
        <v>286</v>
      </c>
      <c r="E4499" t="s">
        <v>415</v>
      </c>
      <c r="F4499">
        <f>HYPERLINK("https://www.wikidata.org/wiki/Q33756706", "Q33756706")</f>
        <v>0</v>
      </c>
      <c r="G4499" t="s">
        <v>2973</v>
      </c>
      <c r="H4499" t="s">
        <v>5700</v>
      </c>
      <c r="I4499" t="s">
        <v>10551</v>
      </c>
      <c r="J4499" t="s">
        <v>13605</v>
      </c>
      <c r="K4499" t="s">
        <v>17991</v>
      </c>
      <c r="L4499">
        <f>HYPERLINK("https://www2.assemblee-nationale.fr/sycomore/fiche/(num_dept)/7939", "7939")</f>
        <v>0</v>
      </c>
      <c r="N4499">
        <f>HYPERLINK("https://www.wikidata.org/wiki/Q16025629", "Q16025629")</f>
        <v>0</v>
      </c>
      <c r="O4499" t="s">
        <v>19974</v>
      </c>
      <c r="P4499" t="s">
        <v>20460</v>
      </c>
      <c r="Q4499" t="s">
        <v>20654</v>
      </c>
      <c r="R4499" t="s">
        <v>21463</v>
      </c>
      <c r="S4499">
        <v>1501</v>
      </c>
    </row>
    <row r="4500" spans="1:19">
      <c r="A4500" t="s">
        <v>25</v>
      </c>
      <c r="B4500" t="s">
        <v>148</v>
      </c>
      <c r="C4500" t="s">
        <v>157</v>
      </c>
      <c r="D4500" t="s">
        <v>286</v>
      </c>
      <c r="E4500" t="s">
        <v>415</v>
      </c>
      <c r="F4500">
        <f>HYPERLINK("https://www.wikidata.org/wiki/Q33756706", "Q33756706")</f>
        <v>0</v>
      </c>
      <c r="G4500" t="s">
        <v>2974</v>
      </c>
      <c r="H4500" t="s">
        <v>7441</v>
      </c>
      <c r="I4500" t="s">
        <v>10552</v>
      </c>
      <c r="J4500" t="s">
        <v>13606</v>
      </c>
      <c r="K4500" t="s">
        <v>17992</v>
      </c>
      <c r="L4500">
        <f>HYPERLINK("https://www2.assemblee-nationale.fr/sycomore/fiche/(num_dept)/7950", "7950")</f>
        <v>0</v>
      </c>
      <c r="N4500">
        <f>HYPERLINK("https://www.wikidata.org/wiki/Q16025744", "Q16025744")</f>
        <v>0</v>
      </c>
      <c r="O4500" t="s">
        <v>20021</v>
      </c>
      <c r="Q4500" t="s">
        <v>20654</v>
      </c>
      <c r="R4500" t="s">
        <v>21463</v>
      </c>
      <c r="S4500">
        <v>1501</v>
      </c>
    </row>
    <row r="4501" spans="1:19">
      <c r="A4501" t="s">
        <v>25</v>
      </c>
      <c r="B4501" t="s">
        <v>148</v>
      </c>
      <c r="C4501" t="s">
        <v>157</v>
      </c>
      <c r="D4501" t="s">
        <v>286</v>
      </c>
      <c r="E4501" t="s">
        <v>415</v>
      </c>
      <c r="F4501">
        <f>HYPERLINK("https://www.wikidata.org/wiki/Q33756706", "Q33756706")</f>
        <v>0</v>
      </c>
      <c r="G4501" t="s">
        <v>2975</v>
      </c>
      <c r="H4501" t="s">
        <v>7378</v>
      </c>
      <c r="I4501" t="s">
        <v>9388</v>
      </c>
      <c r="J4501" t="s">
        <v>13607</v>
      </c>
      <c r="K4501" t="s">
        <v>17993</v>
      </c>
      <c r="L4501">
        <f>HYPERLINK("https://www2.assemblee-nationale.fr/sycomore/fiche/(num_dept)/7959", "7959")</f>
        <v>0</v>
      </c>
      <c r="N4501">
        <f>HYPERLINK("https://www.wikidata.org/wiki/Q16025835", "Q16025835")</f>
        <v>0</v>
      </c>
      <c r="O4501" t="s">
        <v>20025</v>
      </c>
      <c r="P4501" t="s">
        <v>20459</v>
      </c>
      <c r="Q4501" t="s">
        <v>20654</v>
      </c>
      <c r="R4501" t="s">
        <v>21463</v>
      </c>
      <c r="S4501">
        <v>1501</v>
      </c>
    </row>
    <row r="4502" spans="1:19">
      <c r="A4502" t="s">
        <v>25</v>
      </c>
      <c r="B4502" t="s">
        <v>148</v>
      </c>
      <c r="C4502" t="s">
        <v>157</v>
      </c>
      <c r="D4502" t="s">
        <v>286</v>
      </c>
      <c r="E4502" t="s">
        <v>415</v>
      </c>
      <c r="F4502">
        <f>HYPERLINK("https://www.wikidata.org/wiki/Q33756706", "Q33756706")</f>
        <v>0</v>
      </c>
      <c r="G4502" t="s">
        <v>2976</v>
      </c>
      <c r="H4502" t="s">
        <v>5939</v>
      </c>
      <c r="I4502" t="s">
        <v>10553</v>
      </c>
      <c r="J4502" t="s">
        <v>13608</v>
      </c>
      <c r="K4502" t="s">
        <v>17994</v>
      </c>
      <c r="L4502">
        <f>HYPERLINK("https://www2.assemblee-nationale.fr/sycomore/fiche/(num_dept)/7982", "7982")</f>
        <v>0</v>
      </c>
      <c r="N4502">
        <f>HYPERLINK("https://www.wikidata.org/wiki/Q16011460", "Q16011460")</f>
        <v>0</v>
      </c>
      <c r="O4502" t="s">
        <v>20026</v>
      </c>
      <c r="P4502" t="s">
        <v>20401</v>
      </c>
      <c r="Q4502" t="s">
        <v>20654</v>
      </c>
      <c r="R4502" t="s">
        <v>21463</v>
      </c>
      <c r="S4502">
        <v>1501</v>
      </c>
    </row>
    <row r="4503" spans="1:19">
      <c r="A4503" t="s">
        <v>25</v>
      </c>
      <c r="B4503" t="s">
        <v>148</v>
      </c>
      <c r="C4503" t="s">
        <v>157</v>
      </c>
      <c r="D4503" t="s">
        <v>286</v>
      </c>
      <c r="E4503" t="s">
        <v>415</v>
      </c>
      <c r="F4503">
        <f>HYPERLINK("https://www.wikidata.org/wiki/Q33756706", "Q33756706")</f>
        <v>0</v>
      </c>
      <c r="G4503" t="s">
        <v>2977</v>
      </c>
      <c r="H4503" t="s">
        <v>7442</v>
      </c>
      <c r="I4503" t="s">
        <v>10554</v>
      </c>
      <c r="J4503" t="s">
        <v>13609</v>
      </c>
      <c r="K4503" t="s">
        <v>17995</v>
      </c>
      <c r="L4503">
        <f>HYPERLINK("https://www2.assemblee-nationale.fr/sycomore/fiche/(num_dept)/8004", "8004")</f>
        <v>0</v>
      </c>
      <c r="N4503">
        <f>HYPERLINK("https://www.wikidata.org/wiki/Q3185327", "Q3185327")</f>
        <v>0</v>
      </c>
      <c r="O4503" t="s">
        <v>19961</v>
      </c>
      <c r="P4503" t="s">
        <v>20470</v>
      </c>
      <c r="Q4503" t="s">
        <v>20654</v>
      </c>
      <c r="R4503" t="s">
        <v>21463</v>
      </c>
      <c r="S4503">
        <v>1501</v>
      </c>
    </row>
    <row r="4504" spans="1:19">
      <c r="A4504" t="s">
        <v>25</v>
      </c>
      <c r="B4504" t="s">
        <v>148</v>
      </c>
      <c r="C4504" t="s">
        <v>157</v>
      </c>
      <c r="D4504" t="s">
        <v>286</v>
      </c>
      <c r="E4504" t="s">
        <v>415</v>
      </c>
      <c r="F4504">
        <f>HYPERLINK("https://www.wikidata.org/wiki/Q33756706", "Q33756706")</f>
        <v>0</v>
      </c>
      <c r="G4504" t="s">
        <v>2978</v>
      </c>
      <c r="H4504" t="s">
        <v>7443</v>
      </c>
      <c r="I4504" t="s">
        <v>9465</v>
      </c>
      <c r="J4504" t="s">
        <v>13610</v>
      </c>
      <c r="K4504" t="s">
        <v>17996</v>
      </c>
      <c r="L4504">
        <f>HYPERLINK("https://www2.assemblee-nationale.fr/sycomore/fiche/(num_dept)/8071", "8071")</f>
        <v>0</v>
      </c>
      <c r="N4504">
        <f>HYPERLINK("https://www.wikidata.org/wiki/Q15973428", "Q15973428")</f>
        <v>0</v>
      </c>
      <c r="O4504" t="s">
        <v>8449</v>
      </c>
      <c r="P4504" t="s">
        <v>20459</v>
      </c>
      <c r="Q4504" t="s">
        <v>20654</v>
      </c>
      <c r="R4504" t="s">
        <v>21463</v>
      </c>
      <c r="S4504">
        <v>1501</v>
      </c>
    </row>
    <row r="4505" spans="1:19">
      <c r="A4505" t="s">
        <v>25</v>
      </c>
      <c r="B4505" t="s">
        <v>148</v>
      </c>
      <c r="C4505" t="s">
        <v>157</v>
      </c>
      <c r="D4505" t="s">
        <v>286</v>
      </c>
      <c r="E4505" t="s">
        <v>415</v>
      </c>
      <c r="F4505">
        <f>HYPERLINK("https://www.wikidata.org/wiki/Q33756706", "Q33756706")</f>
        <v>0</v>
      </c>
      <c r="G4505" t="s">
        <v>2979</v>
      </c>
      <c r="H4505" t="s">
        <v>6934</v>
      </c>
      <c r="I4505" t="s">
        <v>9407</v>
      </c>
      <c r="J4505" t="s">
        <v>13611</v>
      </c>
      <c r="K4505" t="s">
        <v>17997</v>
      </c>
      <c r="L4505">
        <f>HYPERLINK("https://www2.assemblee-nationale.fr/sycomore/fiche/(num_dept)/8072", "8072")</f>
        <v>0</v>
      </c>
      <c r="N4505">
        <f>HYPERLINK("https://www.wikidata.org/wiki/Q16026033", "Q16026033")</f>
        <v>0</v>
      </c>
      <c r="O4505" t="s">
        <v>19960</v>
      </c>
      <c r="P4505" t="s">
        <v>20456</v>
      </c>
      <c r="Q4505" t="s">
        <v>20654</v>
      </c>
      <c r="R4505" t="s">
        <v>21490</v>
      </c>
      <c r="S4505">
        <v>599</v>
      </c>
    </row>
    <row r="4506" spans="1:19">
      <c r="A4506" t="s">
        <v>25</v>
      </c>
      <c r="B4506" t="s">
        <v>148</v>
      </c>
      <c r="C4506" t="s">
        <v>157</v>
      </c>
      <c r="D4506" t="s">
        <v>286</v>
      </c>
      <c r="E4506" t="s">
        <v>415</v>
      </c>
      <c r="F4506">
        <f>HYPERLINK("https://www.wikidata.org/wiki/Q33756706", "Q33756706")</f>
        <v>0</v>
      </c>
      <c r="G4506" t="s">
        <v>2980</v>
      </c>
      <c r="H4506" t="s">
        <v>7444</v>
      </c>
      <c r="I4506" t="s">
        <v>9461</v>
      </c>
      <c r="J4506" t="s">
        <v>13612</v>
      </c>
      <c r="K4506" t="s">
        <v>17704</v>
      </c>
      <c r="L4506">
        <f>HYPERLINK("https://www2.assemblee-nationale.fr/sycomore/fiche/(num_dept)/8088", "8088")</f>
        <v>0</v>
      </c>
      <c r="N4506">
        <f>HYPERLINK("https://www.wikidata.org/wiki/Q8323148", "Q8323148")</f>
        <v>0</v>
      </c>
      <c r="O4506" t="s">
        <v>19996</v>
      </c>
      <c r="P4506" t="s">
        <v>20401</v>
      </c>
      <c r="Q4506" t="s">
        <v>20654</v>
      </c>
      <c r="R4506" t="s">
        <v>21463</v>
      </c>
      <c r="S4506">
        <v>1501</v>
      </c>
    </row>
    <row r="4507" spans="1:19">
      <c r="A4507" t="s">
        <v>25</v>
      </c>
      <c r="B4507" t="s">
        <v>148</v>
      </c>
      <c r="C4507" t="s">
        <v>157</v>
      </c>
      <c r="D4507" t="s">
        <v>286</v>
      </c>
      <c r="E4507" t="s">
        <v>415</v>
      </c>
      <c r="F4507">
        <f>HYPERLINK("https://www.wikidata.org/wiki/Q33756706", "Q33756706")</f>
        <v>0</v>
      </c>
      <c r="G4507" t="s">
        <v>2981</v>
      </c>
      <c r="H4507" t="s">
        <v>7445</v>
      </c>
      <c r="I4507" t="s">
        <v>10555</v>
      </c>
      <c r="J4507" t="s">
        <v>13613</v>
      </c>
      <c r="K4507" t="s">
        <v>12350</v>
      </c>
      <c r="L4507">
        <f>HYPERLINK("https://www2.assemblee-nationale.fr/sycomore/fiche/(num_dept)/8089", "8089")</f>
        <v>0</v>
      </c>
      <c r="N4507">
        <f>HYPERLINK("https://www.wikidata.org/wiki/Q2871085", "Q2871085")</f>
        <v>0</v>
      </c>
      <c r="O4507" t="s">
        <v>19996</v>
      </c>
      <c r="Q4507" t="s">
        <v>20654</v>
      </c>
      <c r="R4507" t="s">
        <v>21463</v>
      </c>
      <c r="S4507">
        <v>1501</v>
      </c>
    </row>
    <row r="4508" spans="1:19">
      <c r="A4508" t="s">
        <v>25</v>
      </c>
      <c r="B4508" t="s">
        <v>148</v>
      </c>
      <c r="C4508" t="s">
        <v>157</v>
      </c>
      <c r="D4508" t="s">
        <v>286</v>
      </c>
      <c r="E4508" t="s">
        <v>415</v>
      </c>
      <c r="F4508">
        <f>HYPERLINK("https://www.wikidata.org/wiki/Q33756706", "Q33756706")</f>
        <v>0</v>
      </c>
      <c r="G4508" t="s">
        <v>2982</v>
      </c>
      <c r="H4508" t="s">
        <v>7446</v>
      </c>
      <c r="I4508" t="s">
        <v>6941</v>
      </c>
      <c r="J4508" t="s">
        <v>13614</v>
      </c>
      <c r="K4508" t="s">
        <v>17998</v>
      </c>
      <c r="L4508">
        <f>HYPERLINK("https://www2.assemblee-nationale.fr/sycomore/fiche/(num_dept)/8091", "8091")</f>
        <v>0</v>
      </c>
      <c r="N4508">
        <f>HYPERLINK("https://www.wikidata.org/wiki/Q3308976", "Q3308976")</f>
        <v>0</v>
      </c>
      <c r="O4508" t="s">
        <v>19996</v>
      </c>
      <c r="Q4508" t="s">
        <v>20654</v>
      </c>
      <c r="R4508" t="s">
        <v>21463</v>
      </c>
      <c r="S4508">
        <v>1501</v>
      </c>
    </row>
    <row r="4509" spans="1:19">
      <c r="A4509" t="s">
        <v>25</v>
      </c>
      <c r="B4509" t="s">
        <v>148</v>
      </c>
      <c r="C4509" t="s">
        <v>157</v>
      </c>
      <c r="D4509" t="s">
        <v>286</v>
      </c>
      <c r="E4509" t="s">
        <v>415</v>
      </c>
      <c r="F4509">
        <f>HYPERLINK("https://www.wikidata.org/wiki/Q33756706", "Q33756706")</f>
        <v>0</v>
      </c>
      <c r="G4509" t="s">
        <v>2983</v>
      </c>
      <c r="H4509" t="s">
        <v>7447</v>
      </c>
      <c r="I4509" t="s">
        <v>10556</v>
      </c>
      <c r="J4509" t="s">
        <v>13615</v>
      </c>
      <c r="K4509" t="s">
        <v>17999</v>
      </c>
      <c r="L4509">
        <f>HYPERLINK("https://www2.assemblee-nationale.fr/sycomore/fiche/(num_dept)/8094", "8094")</f>
        <v>0</v>
      </c>
      <c r="N4509">
        <f>HYPERLINK("https://www.wikidata.org/wiki/Q16026576", "Q16026576")</f>
        <v>0</v>
      </c>
      <c r="O4509" t="s">
        <v>20020</v>
      </c>
      <c r="P4509" t="s">
        <v>20461</v>
      </c>
      <c r="Q4509" t="s">
        <v>20654</v>
      </c>
      <c r="R4509" t="s">
        <v>21463</v>
      </c>
      <c r="S4509">
        <v>1501</v>
      </c>
    </row>
    <row r="4510" spans="1:19">
      <c r="A4510" t="s">
        <v>25</v>
      </c>
      <c r="B4510" t="s">
        <v>148</v>
      </c>
      <c r="C4510" t="s">
        <v>157</v>
      </c>
      <c r="D4510" t="s">
        <v>286</v>
      </c>
      <c r="E4510" t="s">
        <v>415</v>
      </c>
      <c r="F4510">
        <f>HYPERLINK("https://www.wikidata.org/wiki/Q33756706", "Q33756706")</f>
        <v>0</v>
      </c>
      <c r="G4510" t="s">
        <v>2984</v>
      </c>
      <c r="H4510" t="s">
        <v>7448</v>
      </c>
      <c r="I4510" t="s">
        <v>10557</v>
      </c>
      <c r="J4510" t="s">
        <v>13616</v>
      </c>
      <c r="K4510" t="s">
        <v>18000</v>
      </c>
      <c r="L4510">
        <f>HYPERLINK("https://www2.assemblee-nationale.fr/sycomore/fiche/(num_dept)/8097", "8097")</f>
        <v>0</v>
      </c>
      <c r="M4510">
        <f>HYPERLINK("https://www.senat.fr/senateur-3eme-republique/peraldi_nicolas0476r3.html", "peraldi_nicolas0476r3")</f>
        <v>0</v>
      </c>
      <c r="N4510">
        <f>HYPERLINK("https://www.wikidata.org/wiki/Q3340709", "Q3340709")</f>
        <v>0</v>
      </c>
      <c r="O4510" t="s">
        <v>19955</v>
      </c>
      <c r="P4510" t="s">
        <v>20461</v>
      </c>
      <c r="Q4510" t="s">
        <v>20654</v>
      </c>
      <c r="R4510" t="s">
        <v>13033</v>
      </c>
      <c r="S4510">
        <v>1259</v>
      </c>
    </row>
    <row r="4511" spans="1:19">
      <c r="A4511" t="s">
        <v>25</v>
      </c>
      <c r="B4511" t="s">
        <v>148</v>
      </c>
      <c r="C4511" t="s">
        <v>157</v>
      </c>
      <c r="D4511" t="s">
        <v>286</v>
      </c>
      <c r="E4511" t="s">
        <v>415</v>
      </c>
      <c r="F4511">
        <f>HYPERLINK("https://www.wikidata.org/wiki/Q33756706", "Q33756706")</f>
        <v>0</v>
      </c>
      <c r="G4511" t="s">
        <v>2985</v>
      </c>
      <c r="H4511" t="s">
        <v>7449</v>
      </c>
      <c r="I4511" t="s">
        <v>10558</v>
      </c>
      <c r="J4511" t="s">
        <v>13617</v>
      </c>
      <c r="K4511" t="s">
        <v>17766</v>
      </c>
      <c r="L4511">
        <f>HYPERLINK("https://www2.assemblee-nationale.fr/sycomore/fiche/(num_dept)/8124", "8124")</f>
        <v>0</v>
      </c>
      <c r="M4511">
        <f>HYPERLINK("https://www.senat.fr/senateur-3eme-republique/camescasse_jean0957r3.html", "camescasse_jean0957r3")</f>
        <v>0</v>
      </c>
      <c r="N4511">
        <f>HYPERLINK("https://www.wikidata.org/wiki/Q3056871", "Q3056871")</f>
        <v>0</v>
      </c>
      <c r="O4511" t="s">
        <v>20011</v>
      </c>
      <c r="P4511" t="s">
        <v>20461</v>
      </c>
      <c r="Q4511" t="s">
        <v>20654</v>
      </c>
      <c r="R4511" t="s">
        <v>21463</v>
      </c>
      <c r="S4511">
        <v>1501</v>
      </c>
    </row>
    <row r="4512" spans="1:19">
      <c r="A4512" t="s">
        <v>25</v>
      </c>
      <c r="B4512" t="s">
        <v>148</v>
      </c>
      <c r="C4512" t="s">
        <v>157</v>
      </c>
      <c r="D4512" t="s">
        <v>286</v>
      </c>
      <c r="E4512" t="s">
        <v>415</v>
      </c>
      <c r="F4512">
        <f>HYPERLINK("https://www.wikidata.org/wiki/Q33756706", "Q33756706")</f>
        <v>0</v>
      </c>
      <c r="G4512" t="s">
        <v>2986</v>
      </c>
      <c r="H4512" t="s">
        <v>7450</v>
      </c>
      <c r="I4512" t="s">
        <v>6166</v>
      </c>
      <c r="J4512" t="s">
        <v>13618</v>
      </c>
      <c r="K4512" t="s">
        <v>18001</v>
      </c>
      <c r="L4512">
        <f>HYPERLINK("https://www2.assemblee-nationale.fr/sycomore/fiche/(num_dept)/8129", "8129")</f>
        <v>0</v>
      </c>
      <c r="M4512">
        <f>HYPERLINK("https://www.senat.fr/senateur-3eme-republique/silhol_francois0820r3.html", "silhol_francois0820r3")</f>
        <v>0</v>
      </c>
      <c r="N4512">
        <f>HYPERLINK("https://www.wikidata.org/wiki/Q2645925", "Q2645925")</f>
        <v>0</v>
      </c>
      <c r="O4512" t="s">
        <v>20014</v>
      </c>
      <c r="P4512" t="s">
        <v>20461</v>
      </c>
      <c r="Q4512" t="s">
        <v>20654</v>
      </c>
      <c r="R4512" t="s">
        <v>21463</v>
      </c>
      <c r="S4512">
        <v>1501</v>
      </c>
    </row>
    <row r="4513" spans="1:19">
      <c r="A4513" t="s">
        <v>25</v>
      </c>
      <c r="B4513" t="s">
        <v>148</v>
      </c>
      <c r="C4513" t="s">
        <v>157</v>
      </c>
      <c r="D4513" t="s">
        <v>286</v>
      </c>
      <c r="E4513" t="s">
        <v>415</v>
      </c>
      <c r="F4513">
        <f>HYPERLINK("https://www.wikidata.org/wiki/Q33756706", "Q33756706")</f>
        <v>0</v>
      </c>
      <c r="G4513" t="s">
        <v>2987</v>
      </c>
      <c r="H4513" t="s">
        <v>7451</v>
      </c>
      <c r="I4513" t="s">
        <v>10559</v>
      </c>
      <c r="J4513" t="s">
        <v>13619</v>
      </c>
      <c r="K4513" t="s">
        <v>18002</v>
      </c>
      <c r="L4513">
        <f>HYPERLINK("https://www2.assemblee-nationale.fr/sycomore/fiche/(num_dept)/8137", "8137")</f>
        <v>0</v>
      </c>
      <c r="N4513">
        <f>HYPERLINK("https://www.wikidata.org/wiki/Q5624537", "Q5624537")</f>
        <v>0</v>
      </c>
      <c r="O4513" t="s">
        <v>19987</v>
      </c>
      <c r="P4513" t="s">
        <v>20464</v>
      </c>
      <c r="Q4513" t="s">
        <v>20654</v>
      </c>
      <c r="R4513" t="s">
        <v>21463</v>
      </c>
      <c r="S4513">
        <v>1501</v>
      </c>
    </row>
    <row r="4514" spans="1:19">
      <c r="A4514" t="s">
        <v>25</v>
      </c>
      <c r="B4514" t="s">
        <v>148</v>
      </c>
      <c r="C4514" t="s">
        <v>157</v>
      </c>
      <c r="D4514" t="s">
        <v>286</v>
      </c>
      <c r="E4514" t="s">
        <v>415</v>
      </c>
      <c r="F4514">
        <f>HYPERLINK("https://www.wikidata.org/wiki/Q33756706", "Q33756706")</f>
        <v>0</v>
      </c>
      <c r="G4514" t="s">
        <v>2988</v>
      </c>
      <c r="H4514" t="s">
        <v>7452</v>
      </c>
      <c r="I4514" t="s">
        <v>10560</v>
      </c>
      <c r="J4514" t="s">
        <v>13620</v>
      </c>
      <c r="K4514" t="s">
        <v>18003</v>
      </c>
      <c r="L4514">
        <f>HYPERLINK("https://www2.assemblee-nationale.fr/sycomore/fiche/(num_dept)/8140", "8140")</f>
        <v>0</v>
      </c>
      <c r="N4514">
        <f>HYPERLINK("https://www.wikidata.org/wiki/Q16025723", "Q16025723")</f>
        <v>0</v>
      </c>
      <c r="O4514" t="s">
        <v>19987</v>
      </c>
      <c r="P4514" t="s">
        <v>20461</v>
      </c>
      <c r="Q4514" t="s">
        <v>20654</v>
      </c>
      <c r="R4514" t="s">
        <v>21463</v>
      </c>
      <c r="S4514">
        <v>1501</v>
      </c>
    </row>
    <row r="4515" spans="1:19">
      <c r="A4515" t="s">
        <v>25</v>
      </c>
      <c r="B4515" t="s">
        <v>148</v>
      </c>
      <c r="C4515" t="s">
        <v>157</v>
      </c>
      <c r="D4515" t="s">
        <v>286</v>
      </c>
      <c r="E4515" t="s">
        <v>415</v>
      </c>
      <c r="F4515">
        <f>HYPERLINK("https://www.wikidata.org/wiki/Q33756706", "Q33756706")</f>
        <v>0</v>
      </c>
      <c r="G4515" t="s">
        <v>2989</v>
      </c>
      <c r="H4515" t="s">
        <v>7453</v>
      </c>
      <c r="I4515" t="s">
        <v>9388</v>
      </c>
      <c r="J4515" t="s">
        <v>13621</v>
      </c>
      <c r="K4515" t="s">
        <v>18004</v>
      </c>
      <c r="L4515">
        <f>HYPERLINK("https://www2.assemblee-nationale.fr/sycomore/fiche/(num_dept)/8141", "8141")</f>
        <v>0</v>
      </c>
      <c r="M4515">
        <f>HYPERLINK("https://www.senat.fr/senateur-3eme-republique/deves_paul0369r3.html", "deves_paul0369r3")</f>
        <v>0</v>
      </c>
      <c r="N4515">
        <f>HYPERLINK("https://www.wikidata.org/wiki/Q572361", "Q572361")</f>
        <v>0</v>
      </c>
      <c r="O4515" t="s">
        <v>7411</v>
      </c>
      <c r="P4515" t="s">
        <v>20461</v>
      </c>
      <c r="Q4515" t="s">
        <v>20654</v>
      </c>
      <c r="R4515" t="s">
        <v>21492</v>
      </c>
      <c r="S4515">
        <v>130</v>
      </c>
    </row>
    <row r="4516" spans="1:19">
      <c r="A4516" t="s">
        <v>25</v>
      </c>
      <c r="B4516" t="s">
        <v>148</v>
      </c>
      <c r="C4516" t="s">
        <v>157</v>
      </c>
      <c r="D4516" t="s">
        <v>286</v>
      </c>
      <c r="E4516" t="s">
        <v>415</v>
      </c>
      <c r="F4516">
        <f>HYPERLINK("https://www.wikidata.org/wiki/Q33756706", "Q33756706")</f>
        <v>0</v>
      </c>
      <c r="G4516" t="s">
        <v>2990</v>
      </c>
      <c r="H4516" t="s">
        <v>7454</v>
      </c>
      <c r="I4516" t="s">
        <v>10561</v>
      </c>
      <c r="J4516" t="s">
        <v>13622</v>
      </c>
      <c r="K4516" t="s">
        <v>18005</v>
      </c>
      <c r="L4516">
        <f>HYPERLINK("https://www2.assemblee-nationale.fr/sycomore/fiche/(num_dept)/8145", "8145")</f>
        <v>0</v>
      </c>
      <c r="N4516">
        <f>HYPERLINK("https://www.wikidata.org/wiki/Q16026307", "Q16026307")</f>
        <v>0</v>
      </c>
      <c r="O4516" t="s">
        <v>19975</v>
      </c>
      <c r="P4516" t="s">
        <v>20461</v>
      </c>
      <c r="Q4516" t="s">
        <v>20654</v>
      </c>
      <c r="R4516" t="s">
        <v>21463</v>
      </c>
      <c r="S4516">
        <v>1501</v>
      </c>
    </row>
    <row r="4517" spans="1:19">
      <c r="A4517" t="s">
        <v>25</v>
      </c>
      <c r="B4517" t="s">
        <v>148</v>
      </c>
      <c r="C4517" t="s">
        <v>157</v>
      </c>
      <c r="D4517" t="s">
        <v>286</v>
      </c>
      <c r="E4517" t="s">
        <v>415</v>
      </c>
      <c r="F4517">
        <f>HYPERLINK("https://www.wikidata.org/wiki/Q33756706", "Q33756706")</f>
        <v>0</v>
      </c>
      <c r="G4517" t="s">
        <v>2991</v>
      </c>
      <c r="H4517" t="s">
        <v>7455</v>
      </c>
      <c r="I4517" t="s">
        <v>10562</v>
      </c>
      <c r="J4517" t="s">
        <v>13623</v>
      </c>
      <c r="K4517" t="s">
        <v>14737</v>
      </c>
      <c r="L4517">
        <f>HYPERLINK("https://www2.assemblee-nationale.fr/sycomore/fiche/(num_dept)/8151", "8151")</f>
        <v>0</v>
      </c>
      <c r="N4517">
        <f>HYPERLINK("https://www.wikidata.org/wiki/Q16026005", "Q16026005")</f>
        <v>0</v>
      </c>
      <c r="O4517" t="s">
        <v>20041</v>
      </c>
      <c r="P4517" t="s">
        <v>20459</v>
      </c>
      <c r="Q4517" t="s">
        <v>20654</v>
      </c>
      <c r="R4517" t="s">
        <v>21463</v>
      </c>
      <c r="S4517">
        <v>1501</v>
      </c>
    </row>
    <row r="4518" spans="1:19">
      <c r="A4518" t="s">
        <v>25</v>
      </c>
      <c r="B4518" t="s">
        <v>148</v>
      </c>
      <c r="C4518" t="s">
        <v>157</v>
      </c>
      <c r="D4518" t="s">
        <v>286</v>
      </c>
      <c r="E4518" t="s">
        <v>415</v>
      </c>
      <c r="F4518">
        <f>HYPERLINK("https://www.wikidata.org/wiki/Q33756706", "Q33756706")</f>
        <v>0</v>
      </c>
      <c r="G4518" t="s">
        <v>2992</v>
      </c>
      <c r="H4518" t="s">
        <v>7456</v>
      </c>
      <c r="I4518" t="s">
        <v>10563</v>
      </c>
      <c r="J4518" t="s">
        <v>13624</v>
      </c>
      <c r="K4518" t="s">
        <v>18006</v>
      </c>
      <c r="L4518">
        <f>HYPERLINK("https://www2.assemblee-nationale.fr/sycomore/fiche/(num_dept)/8152", "8152")</f>
        <v>0</v>
      </c>
      <c r="N4518">
        <f>HYPERLINK("https://www.wikidata.org/wiki/Q15973585", "Q15973585")</f>
        <v>0</v>
      </c>
      <c r="O4518" t="s">
        <v>20041</v>
      </c>
      <c r="P4518" t="s">
        <v>20459</v>
      </c>
      <c r="Q4518" t="s">
        <v>20654</v>
      </c>
      <c r="R4518" t="s">
        <v>21463</v>
      </c>
      <c r="S4518">
        <v>1501</v>
      </c>
    </row>
    <row r="4519" spans="1:19">
      <c r="A4519" t="s">
        <v>25</v>
      </c>
      <c r="B4519" t="s">
        <v>148</v>
      </c>
      <c r="C4519" t="s">
        <v>157</v>
      </c>
      <c r="D4519" t="s">
        <v>286</v>
      </c>
      <c r="E4519" t="s">
        <v>415</v>
      </c>
      <c r="F4519">
        <f>HYPERLINK("https://www.wikidata.org/wiki/Q33756706", "Q33756706")</f>
        <v>0</v>
      </c>
      <c r="G4519" t="s">
        <v>2993</v>
      </c>
      <c r="H4519" t="s">
        <v>7251</v>
      </c>
      <c r="I4519" t="s">
        <v>9593</v>
      </c>
      <c r="J4519" t="s">
        <v>13625</v>
      </c>
      <c r="K4519" t="s">
        <v>18007</v>
      </c>
      <c r="L4519">
        <f>HYPERLINK("https://www2.assemblee-nationale.fr/sycomore/fiche/(num_dept)/8156", "8156")</f>
        <v>0</v>
      </c>
      <c r="N4519">
        <f>HYPERLINK("https://www.wikidata.org/wiki/Q16025439", "Q16025439")</f>
        <v>0</v>
      </c>
      <c r="O4519" t="s">
        <v>19997</v>
      </c>
      <c r="P4519" t="s">
        <v>20401</v>
      </c>
      <c r="Q4519" t="s">
        <v>20654</v>
      </c>
      <c r="R4519" t="s">
        <v>21463</v>
      </c>
      <c r="S4519">
        <v>1501</v>
      </c>
    </row>
    <row r="4520" spans="1:19">
      <c r="A4520" t="s">
        <v>25</v>
      </c>
      <c r="B4520" t="s">
        <v>148</v>
      </c>
      <c r="C4520" t="s">
        <v>157</v>
      </c>
      <c r="D4520" t="s">
        <v>286</v>
      </c>
      <c r="E4520" t="s">
        <v>415</v>
      </c>
      <c r="F4520">
        <f>HYPERLINK("https://www.wikidata.org/wiki/Q33756706", "Q33756706")</f>
        <v>0</v>
      </c>
      <c r="G4520" t="s">
        <v>2994</v>
      </c>
      <c r="H4520" t="s">
        <v>7457</v>
      </c>
      <c r="I4520" t="s">
        <v>10564</v>
      </c>
      <c r="J4520" t="s">
        <v>13607</v>
      </c>
      <c r="K4520" t="s">
        <v>18008</v>
      </c>
      <c r="L4520">
        <f>HYPERLINK("https://www2.assemblee-nationale.fr/sycomore/fiche/(num_dept)/8164", "8164")</f>
        <v>0</v>
      </c>
      <c r="N4520">
        <f>HYPERLINK("https://www.wikidata.org/wiki/Q3170685", "Q3170685")</f>
        <v>0</v>
      </c>
      <c r="O4520" t="s">
        <v>20004</v>
      </c>
      <c r="P4520" t="s">
        <v>20461</v>
      </c>
      <c r="Q4520" t="s">
        <v>20654</v>
      </c>
      <c r="R4520" t="s">
        <v>21463</v>
      </c>
      <c r="S4520">
        <v>1501</v>
      </c>
    </row>
    <row r="4521" spans="1:19">
      <c r="A4521" t="s">
        <v>25</v>
      </c>
      <c r="B4521" t="s">
        <v>148</v>
      </c>
      <c r="C4521" t="s">
        <v>157</v>
      </c>
      <c r="D4521" t="s">
        <v>286</v>
      </c>
      <c r="E4521" t="s">
        <v>415</v>
      </c>
      <c r="F4521">
        <f>HYPERLINK("https://www.wikidata.org/wiki/Q33756706", "Q33756706")</f>
        <v>0</v>
      </c>
      <c r="G4521" t="s">
        <v>2995</v>
      </c>
      <c r="H4521" t="s">
        <v>7458</v>
      </c>
      <c r="I4521" t="s">
        <v>10565</v>
      </c>
      <c r="J4521" t="s">
        <v>13626</v>
      </c>
      <c r="K4521" t="s">
        <v>18009</v>
      </c>
      <c r="L4521">
        <f>HYPERLINK("https://www2.assemblee-nationale.fr/sycomore/fiche/(num_dept)/8176", "8176")</f>
        <v>0</v>
      </c>
      <c r="N4521">
        <f>HYPERLINK("https://www.wikidata.org/wiki/Q3059789", "Q3059789")</f>
        <v>0</v>
      </c>
      <c r="O4521" t="s">
        <v>20025</v>
      </c>
      <c r="P4521" t="s">
        <v>20401</v>
      </c>
      <c r="Q4521" t="s">
        <v>20654</v>
      </c>
      <c r="R4521" t="s">
        <v>21463</v>
      </c>
      <c r="S4521">
        <v>1501</v>
      </c>
    </row>
    <row r="4522" spans="1:19">
      <c r="A4522" t="s">
        <v>25</v>
      </c>
      <c r="B4522" t="s">
        <v>148</v>
      </c>
      <c r="C4522" t="s">
        <v>157</v>
      </c>
      <c r="D4522" t="s">
        <v>286</v>
      </c>
      <c r="E4522" t="s">
        <v>415</v>
      </c>
      <c r="F4522">
        <f>HYPERLINK("https://www.wikidata.org/wiki/Q33756706", "Q33756706")</f>
        <v>0</v>
      </c>
      <c r="G4522" t="s">
        <v>2996</v>
      </c>
      <c r="H4522" t="s">
        <v>7459</v>
      </c>
      <c r="I4522" t="s">
        <v>10566</v>
      </c>
      <c r="J4522" t="s">
        <v>13408</v>
      </c>
      <c r="K4522" t="s">
        <v>18010</v>
      </c>
      <c r="L4522">
        <f>HYPERLINK("https://www2.assemblee-nationale.fr/sycomore/fiche/(num_dept)/8185", "8185")</f>
        <v>0</v>
      </c>
      <c r="N4522">
        <f>HYPERLINK("https://www.wikidata.org/wiki/Q3380109", "Q3380109")</f>
        <v>0</v>
      </c>
      <c r="O4522" t="s">
        <v>20032</v>
      </c>
      <c r="P4522" t="s">
        <v>20464</v>
      </c>
      <c r="Q4522" t="s">
        <v>20654</v>
      </c>
      <c r="R4522" t="s">
        <v>18010</v>
      </c>
      <c r="S4522">
        <v>228</v>
      </c>
    </row>
    <row r="4523" spans="1:19">
      <c r="A4523" t="s">
        <v>25</v>
      </c>
      <c r="B4523" t="s">
        <v>148</v>
      </c>
      <c r="C4523" t="s">
        <v>157</v>
      </c>
      <c r="D4523" t="s">
        <v>286</v>
      </c>
      <c r="E4523" t="s">
        <v>415</v>
      </c>
      <c r="F4523">
        <f>HYPERLINK("https://www.wikidata.org/wiki/Q33756706", "Q33756706")</f>
        <v>0</v>
      </c>
      <c r="G4523" t="s">
        <v>2997</v>
      </c>
      <c r="H4523" t="s">
        <v>7460</v>
      </c>
      <c r="I4523" t="s">
        <v>10567</v>
      </c>
      <c r="J4523" t="s">
        <v>13627</v>
      </c>
      <c r="K4523" t="s">
        <v>18011</v>
      </c>
      <c r="L4523">
        <f>HYPERLINK("https://www2.assemblee-nationale.fr/sycomore/fiche/(num_dept)/8202", "8202")</f>
        <v>0</v>
      </c>
      <c r="N4523">
        <f>HYPERLINK("https://www.wikidata.org/wiki/Q16025993", "Q16025993")</f>
        <v>0</v>
      </c>
      <c r="O4523" t="s">
        <v>19989</v>
      </c>
      <c r="P4523" t="s">
        <v>20458</v>
      </c>
      <c r="Q4523" t="s">
        <v>20654</v>
      </c>
      <c r="R4523" t="s">
        <v>21463</v>
      </c>
      <c r="S4523">
        <v>1501</v>
      </c>
    </row>
    <row r="4524" spans="1:19">
      <c r="A4524" t="s">
        <v>25</v>
      </c>
      <c r="B4524" t="s">
        <v>148</v>
      </c>
      <c r="C4524" t="s">
        <v>157</v>
      </c>
      <c r="D4524" t="s">
        <v>286</v>
      </c>
      <c r="E4524" t="s">
        <v>415</v>
      </c>
      <c r="F4524">
        <f>HYPERLINK("https://www.wikidata.org/wiki/Q33756706", "Q33756706")</f>
        <v>0</v>
      </c>
      <c r="G4524" t="s">
        <v>2998</v>
      </c>
      <c r="H4524" t="s">
        <v>7461</v>
      </c>
      <c r="I4524" t="s">
        <v>10568</v>
      </c>
      <c r="J4524" t="s">
        <v>13628</v>
      </c>
      <c r="K4524" t="s">
        <v>18012</v>
      </c>
      <c r="L4524">
        <f>HYPERLINK("https://www2.assemblee-nationale.fr/sycomore/fiche/(num_dept)/8228", "8228")</f>
        <v>0</v>
      </c>
      <c r="N4524">
        <f>HYPERLINK("https://www.wikidata.org/wiki/Q13091120", "Q13091120")</f>
        <v>0</v>
      </c>
      <c r="O4524" t="s">
        <v>19965</v>
      </c>
      <c r="Q4524" t="s">
        <v>20654</v>
      </c>
      <c r="R4524" t="s">
        <v>18012</v>
      </c>
      <c r="S4524">
        <v>446</v>
      </c>
    </row>
    <row r="4525" spans="1:19">
      <c r="A4525" t="s">
        <v>25</v>
      </c>
      <c r="B4525" t="s">
        <v>148</v>
      </c>
      <c r="C4525" t="s">
        <v>157</v>
      </c>
      <c r="D4525" t="s">
        <v>286</v>
      </c>
      <c r="E4525" t="s">
        <v>415</v>
      </c>
      <c r="F4525">
        <f>HYPERLINK("https://www.wikidata.org/wiki/Q33756706", "Q33756706")</f>
        <v>0</v>
      </c>
      <c r="G4525" t="s">
        <v>2999</v>
      </c>
      <c r="H4525" t="s">
        <v>7462</v>
      </c>
      <c r="I4525" t="s">
        <v>9453</v>
      </c>
      <c r="J4525" t="s">
        <v>13629</v>
      </c>
      <c r="K4525" t="s">
        <v>18013</v>
      </c>
      <c r="L4525">
        <f>HYPERLINK("https://www2.assemblee-nationale.fr/sycomore/fiche/(num_dept)/8247", "8247")</f>
        <v>0</v>
      </c>
      <c r="M4525">
        <f>HYPERLINK("https://www.senat.fr/senateur-3eme-republique/ranc_arthur1342r3.html", "ranc_arthur1342r3")</f>
        <v>0</v>
      </c>
      <c r="N4525">
        <f>HYPERLINK("https://www.wikidata.org/wiki/Q2021981", "Q2021981")</f>
        <v>0</v>
      </c>
      <c r="O4525" t="s">
        <v>19969</v>
      </c>
      <c r="P4525" t="s">
        <v>20459</v>
      </c>
      <c r="Q4525" t="s">
        <v>20654</v>
      </c>
      <c r="R4525" t="s">
        <v>21463</v>
      </c>
      <c r="S4525">
        <v>1501</v>
      </c>
    </row>
    <row r="4526" spans="1:19">
      <c r="A4526" t="s">
        <v>25</v>
      </c>
      <c r="B4526" t="s">
        <v>148</v>
      </c>
      <c r="C4526" t="s">
        <v>157</v>
      </c>
      <c r="D4526" t="s">
        <v>286</v>
      </c>
      <c r="E4526" t="s">
        <v>415</v>
      </c>
      <c r="F4526">
        <f>HYPERLINK("https://www.wikidata.org/wiki/Q33756706", "Q33756706")</f>
        <v>0</v>
      </c>
      <c r="G4526" t="s">
        <v>3000</v>
      </c>
      <c r="H4526" t="s">
        <v>7463</v>
      </c>
      <c r="I4526" t="s">
        <v>10569</v>
      </c>
      <c r="J4526" t="s">
        <v>13630</v>
      </c>
      <c r="K4526" t="s">
        <v>18014</v>
      </c>
      <c r="L4526">
        <f>HYPERLINK("https://www2.assemblee-nationale.fr/sycomore/fiche/(num_dept)/8259", "8259")</f>
        <v>0</v>
      </c>
      <c r="N4526">
        <f>HYPERLINK("https://www.wikidata.org/wiki/Q16025589", "Q16025589")</f>
        <v>0</v>
      </c>
      <c r="O4526" t="s">
        <v>20026</v>
      </c>
      <c r="P4526" t="s">
        <v>20459</v>
      </c>
      <c r="Q4526" t="s">
        <v>20654</v>
      </c>
      <c r="R4526" t="s">
        <v>21463</v>
      </c>
      <c r="S4526">
        <v>1501</v>
      </c>
    </row>
    <row r="4527" spans="1:19">
      <c r="A4527" t="s">
        <v>25</v>
      </c>
      <c r="B4527" t="s">
        <v>148</v>
      </c>
      <c r="C4527" t="s">
        <v>157</v>
      </c>
      <c r="D4527" t="s">
        <v>286</v>
      </c>
      <c r="E4527" t="s">
        <v>415</v>
      </c>
      <c r="F4527">
        <f>HYPERLINK("https://www.wikidata.org/wiki/Q33756706", "Q33756706")</f>
        <v>0</v>
      </c>
      <c r="G4527" t="s">
        <v>3001</v>
      </c>
      <c r="H4527" t="s">
        <v>7464</v>
      </c>
      <c r="I4527" t="s">
        <v>10570</v>
      </c>
      <c r="J4527" t="s">
        <v>13631</v>
      </c>
      <c r="K4527" t="s">
        <v>18015</v>
      </c>
      <c r="L4527">
        <f>HYPERLINK("https://www2.assemblee-nationale.fr/sycomore/fiche/(num_dept)/8261", "8261")</f>
        <v>0</v>
      </c>
      <c r="N4527">
        <f>HYPERLINK("https://www.wikidata.org/wiki/Q8320094", "Q8320094")</f>
        <v>0</v>
      </c>
      <c r="O4527" t="s">
        <v>19976</v>
      </c>
      <c r="P4527" t="s">
        <v>20461</v>
      </c>
      <c r="Q4527" t="s">
        <v>20654</v>
      </c>
      <c r="R4527" t="s">
        <v>21463</v>
      </c>
      <c r="S4527">
        <v>1501</v>
      </c>
    </row>
    <row r="4528" spans="1:19">
      <c r="A4528" t="s">
        <v>25</v>
      </c>
      <c r="B4528" t="s">
        <v>148</v>
      </c>
      <c r="C4528" t="s">
        <v>157</v>
      </c>
      <c r="D4528" t="s">
        <v>286</v>
      </c>
      <c r="E4528" t="s">
        <v>415</v>
      </c>
      <c r="F4528">
        <f>HYPERLINK("https://www.wikidata.org/wiki/Q33756706", "Q33756706")</f>
        <v>0</v>
      </c>
      <c r="G4528" t="s">
        <v>3002</v>
      </c>
      <c r="H4528" t="s">
        <v>6367</v>
      </c>
      <c r="I4528" t="s">
        <v>9612</v>
      </c>
      <c r="J4528" t="s">
        <v>13632</v>
      </c>
      <c r="K4528" t="s">
        <v>18016</v>
      </c>
      <c r="L4528">
        <f>HYPERLINK("https://www2.assemblee-nationale.fr/sycomore/fiche/(num_dept)/8276", "8276")</f>
        <v>0</v>
      </c>
      <c r="N4528">
        <f>HYPERLINK("https://www.wikidata.org/wiki/Q17628707", "Q17628707")</f>
        <v>0</v>
      </c>
      <c r="O4528" t="s">
        <v>19962</v>
      </c>
      <c r="P4528" t="s">
        <v>20461</v>
      </c>
      <c r="Q4528" t="s">
        <v>20654</v>
      </c>
      <c r="R4528" t="s">
        <v>18016</v>
      </c>
      <c r="S4528">
        <v>875</v>
      </c>
    </row>
    <row r="4529" spans="1:19">
      <c r="A4529" t="s">
        <v>25</v>
      </c>
      <c r="B4529" t="s">
        <v>148</v>
      </c>
      <c r="C4529" t="s">
        <v>157</v>
      </c>
      <c r="D4529" t="s">
        <v>286</v>
      </c>
      <c r="E4529" t="s">
        <v>415</v>
      </c>
      <c r="F4529">
        <f>HYPERLINK("https://www.wikidata.org/wiki/Q33756706", "Q33756706")</f>
        <v>0</v>
      </c>
      <c r="G4529" t="s">
        <v>3003</v>
      </c>
      <c r="H4529" t="s">
        <v>7465</v>
      </c>
      <c r="I4529" t="s">
        <v>9593</v>
      </c>
      <c r="J4529" t="s">
        <v>13633</v>
      </c>
      <c r="K4529" t="s">
        <v>18017</v>
      </c>
      <c r="L4529">
        <f>HYPERLINK("https://www2.assemblee-nationale.fr/sycomore/fiche/(num_dept)/3912", "3912")</f>
        <v>0</v>
      </c>
      <c r="N4529">
        <f>HYPERLINK("https://www.wikidata.org/wiki/Q3293811", "Q3293811")</f>
        <v>0</v>
      </c>
      <c r="O4529" t="s">
        <v>20035</v>
      </c>
      <c r="P4529" t="s">
        <v>20459</v>
      </c>
      <c r="Q4529" t="s">
        <v>20655</v>
      </c>
      <c r="R4529" t="s">
        <v>21463</v>
      </c>
      <c r="S4529">
        <v>1487</v>
      </c>
    </row>
    <row r="4530" spans="1:19">
      <c r="A4530" t="s">
        <v>25</v>
      </c>
      <c r="B4530" t="s">
        <v>148</v>
      </c>
      <c r="C4530" t="s">
        <v>157</v>
      </c>
      <c r="D4530" t="s">
        <v>286</v>
      </c>
      <c r="E4530" t="s">
        <v>415</v>
      </c>
      <c r="F4530">
        <f>HYPERLINK("https://www.wikidata.org/wiki/Q33756706", "Q33756706")</f>
        <v>0</v>
      </c>
      <c r="G4530" t="s">
        <v>3004</v>
      </c>
      <c r="H4530" t="s">
        <v>7466</v>
      </c>
      <c r="I4530" t="s">
        <v>9470</v>
      </c>
      <c r="J4530" t="s">
        <v>13634</v>
      </c>
      <c r="K4530" t="s">
        <v>18018</v>
      </c>
      <c r="L4530">
        <f>HYPERLINK("https://www2.assemblee-nationale.fr/sycomore/fiche/(num_dept)/6290", "6290")</f>
        <v>0</v>
      </c>
      <c r="N4530">
        <f>HYPERLINK("https://www.wikidata.org/wiki/Q28467659", "Q28467659")</f>
        <v>0</v>
      </c>
      <c r="O4530" t="s">
        <v>20028</v>
      </c>
      <c r="P4530" t="s">
        <v>20459</v>
      </c>
      <c r="Q4530" t="s">
        <v>20656</v>
      </c>
      <c r="R4530" t="s">
        <v>21463</v>
      </c>
      <c r="S4530">
        <v>1473</v>
      </c>
    </row>
    <row r="4531" spans="1:19">
      <c r="A4531" t="s">
        <v>25</v>
      </c>
      <c r="B4531" t="s">
        <v>148</v>
      </c>
      <c r="C4531" t="s">
        <v>157</v>
      </c>
      <c r="D4531" t="s">
        <v>286</v>
      </c>
      <c r="E4531" t="s">
        <v>415</v>
      </c>
      <c r="F4531">
        <f>HYPERLINK("https://www.wikidata.org/wiki/Q33756706", "Q33756706")</f>
        <v>0</v>
      </c>
      <c r="G4531" t="s">
        <v>3005</v>
      </c>
      <c r="H4531" t="s">
        <v>7467</v>
      </c>
      <c r="I4531" t="s">
        <v>6584</v>
      </c>
      <c r="J4531" t="s">
        <v>13635</v>
      </c>
      <c r="K4531" t="s">
        <v>18019</v>
      </c>
      <c r="L4531">
        <f>HYPERLINK("https://www2.assemblee-nationale.fr/sycomore/fiche/(num_dept)/5837", "5837")</f>
        <v>0</v>
      </c>
      <c r="N4531">
        <f>HYPERLINK("https://www.wikidata.org/wiki/Q11984911", "Q11984911")</f>
        <v>0</v>
      </c>
      <c r="O4531" t="s">
        <v>20008</v>
      </c>
      <c r="P4531" t="s">
        <v>20459</v>
      </c>
      <c r="Q4531" t="s">
        <v>12165</v>
      </c>
      <c r="R4531" t="s">
        <v>21493</v>
      </c>
      <c r="S4531">
        <v>2932</v>
      </c>
    </row>
    <row r="4532" spans="1:19">
      <c r="A4532" t="s">
        <v>25</v>
      </c>
      <c r="B4532" t="s">
        <v>148</v>
      </c>
      <c r="C4532" t="s">
        <v>157</v>
      </c>
      <c r="D4532" t="s">
        <v>286</v>
      </c>
      <c r="E4532" t="s">
        <v>415</v>
      </c>
      <c r="F4532">
        <f>HYPERLINK("https://www.wikidata.org/wiki/Q33756706", "Q33756706")</f>
        <v>0</v>
      </c>
      <c r="G4532" t="s">
        <v>3006</v>
      </c>
      <c r="H4532" t="s">
        <v>7468</v>
      </c>
      <c r="I4532" t="s">
        <v>9414</v>
      </c>
      <c r="J4532" t="s">
        <v>12227</v>
      </c>
      <c r="K4532" t="s">
        <v>18020</v>
      </c>
      <c r="L4532">
        <f>HYPERLINK("https://www2.assemblee-nationale.fr/sycomore/fiche/(num_dept)/188", "188")</f>
        <v>0</v>
      </c>
      <c r="M4532">
        <f>HYPERLINK("https://www.senat.fr/senateur-3eme-republique/arene_emmanuel0489r3.html", "arene_emmanuel0489r3")</f>
        <v>0</v>
      </c>
      <c r="N4532">
        <f>HYPERLINK("https://www.wikidata.org/wiki/Q3052547", "Q3052547")</f>
        <v>0</v>
      </c>
      <c r="O4532" t="s">
        <v>19955</v>
      </c>
      <c r="Q4532" t="s">
        <v>20657</v>
      </c>
      <c r="R4532" t="s">
        <v>21463</v>
      </c>
      <c r="S4532">
        <v>1410</v>
      </c>
    </row>
    <row r="4533" spans="1:19">
      <c r="A4533" t="s">
        <v>25</v>
      </c>
      <c r="B4533" t="s">
        <v>148</v>
      </c>
      <c r="C4533" t="s">
        <v>157</v>
      </c>
      <c r="D4533" t="s">
        <v>286</v>
      </c>
      <c r="E4533" t="s">
        <v>415</v>
      </c>
      <c r="F4533">
        <f>HYPERLINK("https://www.wikidata.org/wiki/Q33756706", "Q33756706")</f>
        <v>0</v>
      </c>
      <c r="G4533" t="s">
        <v>1159</v>
      </c>
      <c r="H4533" t="s">
        <v>5893</v>
      </c>
      <c r="I4533" t="s">
        <v>9687</v>
      </c>
      <c r="J4533" t="s">
        <v>11892</v>
      </c>
      <c r="K4533" t="s">
        <v>16294</v>
      </c>
      <c r="L4533">
        <f>HYPERLINK("https://www2.assemblee-nationale.fr/sycomore/fiche/(num_dept)/1744", "1744")</f>
        <v>0</v>
      </c>
      <c r="N4533">
        <f>HYPERLINK("https://www.wikidata.org/wiki/Q16025440", "Q16025440")</f>
        <v>0</v>
      </c>
      <c r="O4533" t="s">
        <v>20010</v>
      </c>
      <c r="Q4533" t="s">
        <v>20657</v>
      </c>
      <c r="R4533" t="s">
        <v>21463</v>
      </c>
      <c r="S4533">
        <v>1410</v>
      </c>
    </row>
    <row r="4534" spans="1:19">
      <c r="A4534" t="s">
        <v>25</v>
      </c>
      <c r="B4534" t="s">
        <v>148</v>
      </c>
      <c r="C4534" t="s">
        <v>157</v>
      </c>
      <c r="D4534" t="s">
        <v>286</v>
      </c>
      <c r="E4534" t="s">
        <v>415</v>
      </c>
      <c r="F4534">
        <f>HYPERLINK("https://www.wikidata.org/wiki/Q33756706", "Q33756706")</f>
        <v>0</v>
      </c>
      <c r="G4534" t="s">
        <v>3007</v>
      </c>
      <c r="H4534" t="s">
        <v>5607</v>
      </c>
      <c r="I4534" t="s">
        <v>10571</v>
      </c>
      <c r="J4534" t="s">
        <v>13636</v>
      </c>
      <c r="K4534" t="s">
        <v>18021</v>
      </c>
      <c r="L4534">
        <f>HYPERLINK("https://www2.assemblee-nationale.fr/sycomore/fiche/(num_dept)/7981", "7981")</f>
        <v>0</v>
      </c>
      <c r="N4534">
        <f>HYPERLINK("https://www.wikidata.org/wiki/Q3732116", "Q3732116")</f>
        <v>0</v>
      </c>
      <c r="O4534" t="s">
        <v>19969</v>
      </c>
      <c r="P4534" t="s">
        <v>20456</v>
      </c>
      <c r="Q4534" t="s">
        <v>20657</v>
      </c>
      <c r="R4534" t="s">
        <v>21463</v>
      </c>
      <c r="S4534">
        <v>1410</v>
      </c>
    </row>
    <row r="4535" spans="1:19">
      <c r="A4535" t="s">
        <v>25</v>
      </c>
      <c r="B4535" t="s">
        <v>148</v>
      </c>
      <c r="C4535" t="s">
        <v>157</v>
      </c>
      <c r="D4535" t="s">
        <v>286</v>
      </c>
      <c r="E4535" t="s">
        <v>415</v>
      </c>
      <c r="F4535">
        <f>HYPERLINK("https://www.wikidata.org/wiki/Q33756706", "Q33756706")</f>
        <v>0</v>
      </c>
      <c r="G4535" t="s">
        <v>3008</v>
      </c>
      <c r="H4535" t="s">
        <v>7469</v>
      </c>
      <c r="I4535" t="s">
        <v>6158</v>
      </c>
      <c r="J4535" t="s">
        <v>13637</v>
      </c>
      <c r="K4535" t="s">
        <v>18022</v>
      </c>
      <c r="L4535">
        <f>HYPERLINK("https://www2.assemblee-nationale.fr/sycomore/fiche/(num_dept)/3547", "3547")</f>
        <v>0</v>
      </c>
      <c r="N4535">
        <f>HYPERLINK("https://www.wikidata.org/wiki/Q3092454", "Q3092454")</f>
        <v>0</v>
      </c>
      <c r="O4535" t="s">
        <v>19990</v>
      </c>
      <c r="P4535" t="s">
        <v>20465</v>
      </c>
      <c r="Q4535" t="s">
        <v>20658</v>
      </c>
      <c r="R4535" t="s">
        <v>21463</v>
      </c>
      <c r="S4535">
        <v>1396</v>
      </c>
    </row>
    <row r="4536" spans="1:19">
      <c r="A4536" t="s">
        <v>25</v>
      </c>
      <c r="B4536" t="s">
        <v>148</v>
      </c>
      <c r="C4536" t="s">
        <v>157</v>
      </c>
      <c r="D4536" t="s">
        <v>286</v>
      </c>
      <c r="E4536" t="s">
        <v>415</v>
      </c>
      <c r="F4536">
        <f>HYPERLINK("https://www.wikidata.org/wiki/Q33756706", "Q33756706")</f>
        <v>0</v>
      </c>
      <c r="G4536" t="s">
        <v>3009</v>
      </c>
      <c r="H4536" t="s">
        <v>6926</v>
      </c>
      <c r="I4536" t="s">
        <v>10572</v>
      </c>
      <c r="J4536" t="s">
        <v>11702</v>
      </c>
      <c r="K4536" t="s">
        <v>17862</v>
      </c>
      <c r="L4536">
        <f>HYPERLINK("https://www2.assemblee-nationale.fr/sycomore/fiche/(num_dept)/4270", "4270")</f>
        <v>0</v>
      </c>
      <c r="N4536">
        <f>HYPERLINK("https://www.wikidata.org/wiki/Q16025923", "Q16025923")</f>
        <v>0</v>
      </c>
      <c r="O4536" t="s">
        <v>19965</v>
      </c>
      <c r="Q4536" t="s">
        <v>20658</v>
      </c>
      <c r="R4536" t="s">
        <v>21463</v>
      </c>
      <c r="S4536">
        <v>1396</v>
      </c>
    </row>
    <row r="4537" spans="1:19">
      <c r="A4537" t="s">
        <v>25</v>
      </c>
      <c r="B4537" t="s">
        <v>148</v>
      </c>
      <c r="C4537" t="s">
        <v>157</v>
      </c>
      <c r="D4537" t="s">
        <v>286</v>
      </c>
      <c r="E4537" t="s">
        <v>415</v>
      </c>
      <c r="F4537">
        <f>HYPERLINK("https://www.wikidata.org/wiki/Q33756706", "Q33756706")</f>
        <v>0</v>
      </c>
      <c r="G4537" t="s">
        <v>3010</v>
      </c>
      <c r="H4537" t="s">
        <v>7470</v>
      </c>
      <c r="I4537" t="s">
        <v>9483</v>
      </c>
      <c r="J4537" t="s">
        <v>13638</v>
      </c>
      <c r="K4537" t="s">
        <v>18023</v>
      </c>
      <c r="L4537">
        <f>HYPERLINK("https://www2.assemblee-nationale.fr/sycomore/fiche/(num_dept)/7839", "7839")</f>
        <v>0</v>
      </c>
      <c r="M4537">
        <f>HYPERLINK("https://www.senat.fr/senateur-3eme-republique/leydet_victor0316r3.html", "leydet_victor0316r3")</f>
        <v>0</v>
      </c>
      <c r="N4537">
        <f>HYPERLINK("https://www.wikidata.org/wiki/Q2522455", "Q2522455")</f>
        <v>0</v>
      </c>
      <c r="O4537" t="s">
        <v>19990</v>
      </c>
      <c r="P4537" t="s">
        <v>20456</v>
      </c>
      <c r="Q4537" t="s">
        <v>20658</v>
      </c>
      <c r="R4537" t="s">
        <v>21463</v>
      </c>
      <c r="S4537">
        <v>1396</v>
      </c>
    </row>
    <row r="4538" spans="1:19">
      <c r="A4538" t="s">
        <v>25</v>
      </c>
      <c r="B4538" t="s">
        <v>148</v>
      </c>
      <c r="C4538" t="s">
        <v>157</v>
      </c>
      <c r="D4538" t="s">
        <v>286</v>
      </c>
      <c r="E4538" t="s">
        <v>415</v>
      </c>
      <c r="F4538">
        <f>HYPERLINK("https://www.wikidata.org/wiki/Q33756706", "Q33756706")</f>
        <v>0</v>
      </c>
      <c r="G4538" t="s">
        <v>3011</v>
      </c>
      <c r="H4538" t="s">
        <v>5992</v>
      </c>
      <c r="I4538" t="s">
        <v>10573</v>
      </c>
      <c r="J4538" t="s">
        <v>13639</v>
      </c>
      <c r="K4538" t="s">
        <v>18024</v>
      </c>
      <c r="L4538">
        <f>HYPERLINK("https://www2.assemblee-nationale.fr/sycomore/fiche/(num_dept)/7976", "7976")</f>
        <v>0</v>
      </c>
      <c r="N4538">
        <f>HYPERLINK("https://www.wikidata.org/wiki/Q19628657", "Q19628657")</f>
        <v>0</v>
      </c>
      <c r="O4538" t="s">
        <v>19969</v>
      </c>
      <c r="P4538" t="s">
        <v>20465</v>
      </c>
      <c r="Q4538" t="s">
        <v>20658</v>
      </c>
      <c r="R4538" t="s">
        <v>21463</v>
      </c>
      <c r="S4538">
        <v>1396</v>
      </c>
    </row>
    <row r="4539" spans="1:19">
      <c r="A4539" t="s">
        <v>25</v>
      </c>
      <c r="B4539" t="s">
        <v>148</v>
      </c>
      <c r="C4539" t="s">
        <v>157</v>
      </c>
      <c r="D4539" t="s">
        <v>286</v>
      </c>
      <c r="E4539" t="s">
        <v>415</v>
      </c>
      <c r="F4539">
        <f>HYPERLINK("https://www.wikidata.org/wiki/Q33756706", "Q33756706")</f>
        <v>0</v>
      </c>
      <c r="G4539" t="s">
        <v>2989</v>
      </c>
      <c r="H4539" t="s">
        <v>7453</v>
      </c>
      <c r="I4539" t="s">
        <v>9388</v>
      </c>
      <c r="J4539" t="s">
        <v>13621</v>
      </c>
      <c r="K4539" t="s">
        <v>18004</v>
      </c>
      <c r="L4539">
        <f>HYPERLINK("https://www2.assemblee-nationale.fr/sycomore/fiche/(num_dept)/8141", "8141")</f>
        <v>0</v>
      </c>
      <c r="M4539">
        <f>HYPERLINK("https://www.senat.fr/senateur-3eme-republique/deves_paul0369r3.html", "deves_paul0369r3")</f>
        <v>0</v>
      </c>
      <c r="N4539">
        <f>HYPERLINK("https://www.wikidata.org/wiki/Q572361", "Q572361")</f>
        <v>0</v>
      </c>
      <c r="O4539" t="s">
        <v>20027</v>
      </c>
      <c r="P4539" t="s">
        <v>20461</v>
      </c>
      <c r="Q4539" t="s">
        <v>20658</v>
      </c>
      <c r="R4539" t="s">
        <v>21463</v>
      </c>
      <c r="S4539">
        <v>1396</v>
      </c>
    </row>
    <row r="4540" spans="1:19">
      <c r="A4540" t="s">
        <v>25</v>
      </c>
      <c r="B4540" t="s">
        <v>148</v>
      </c>
      <c r="C4540" t="s">
        <v>157</v>
      </c>
      <c r="D4540" t="s">
        <v>286</v>
      </c>
      <c r="E4540" t="s">
        <v>415</v>
      </c>
      <c r="F4540">
        <f>HYPERLINK("https://www.wikidata.org/wiki/Q33756706", "Q33756706")</f>
        <v>0</v>
      </c>
      <c r="G4540" t="s">
        <v>2486</v>
      </c>
      <c r="H4540" t="s">
        <v>7059</v>
      </c>
      <c r="I4540" t="s">
        <v>10239</v>
      </c>
      <c r="J4540" t="s">
        <v>13130</v>
      </c>
      <c r="K4540" t="s">
        <v>17540</v>
      </c>
      <c r="L4540">
        <f>HYPERLINK("https://www2.assemblee-nationale.fr/sycomore/fiche/(num_dept)/105", "105")</f>
        <v>0</v>
      </c>
      <c r="N4540">
        <f>HYPERLINK("https://www.wikidata.org/wiki/Q15973236", "Q15973236")</f>
        <v>0</v>
      </c>
      <c r="O4540" t="s">
        <v>19966</v>
      </c>
      <c r="Q4540" t="s">
        <v>20659</v>
      </c>
      <c r="R4540" t="s">
        <v>21463</v>
      </c>
      <c r="S4540">
        <v>1354</v>
      </c>
    </row>
    <row r="4541" spans="1:19">
      <c r="A4541" t="s">
        <v>25</v>
      </c>
      <c r="B4541" t="s">
        <v>148</v>
      </c>
      <c r="C4541" t="s">
        <v>157</v>
      </c>
      <c r="D4541" t="s">
        <v>286</v>
      </c>
      <c r="E4541" t="s">
        <v>415</v>
      </c>
      <c r="F4541">
        <f>HYPERLINK("https://www.wikidata.org/wiki/Q33756706", "Q33756706")</f>
        <v>0</v>
      </c>
      <c r="G4541" t="s">
        <v>3012</v>
      </c>
      <c r="H4541" t="s">
        <v>7471</v>
      </c>
      <c r="I4541" t="s">
        <v>10574</v>
      </c>
      <c r="J4541" t="s">
        <v>13640</v>
      </c>
      <c r="K4541" t="s">
        <v>18025</v>
      </c>
      <c r="L4541">
        <f>HYPERLINK("https://www2.assemblee-nationale.fr/sycomore/fiche/(num_dept)/3997", "3997")</f>
        <v>0</v>
      </c>
      <c r="N4541">
        <f>HYPERLINK("https://www.wikidata.org/wiki/Q2958373", "Q2958373")</f>
        <v>0</v>
      </c>
      <c r="O4541" t="s">
        <v>19964</v>
      </c>
      <c r="P4541" t="s">
        <v>20458</v>
      </c>
      <c r="Q4541" t="s">
        <v>20659</v>
      </c>
      <c r="R4541" t="s">
        <v>21463</v>
      </c>
      <c r="S4541">
        <v>1354</v>
      </c>
    </row>
    <row r="4542" spans="1:19">
      <c r="A4542" t="s">
        <v>25</v>
      </c>
      <c r="B4542" t="s">
        <v>148</v>
      </c>
      <c r="C4542" t="s">
        <v>157</v>
      </c>
      <c r="D4542" t="s">
        <v>286</v>
      </c>
      <c r="E4542" t="s">
        <v>415</v>
      </c>
      <c r="F4542">
        <f>HYPERLINK("https://www.wikidata.org/wiki/Q33756706", "Q33756706")</f>
        <v>0</v>
      </c>
      <c r="G4542" t="s">
        <v>3013</v>
      </c>
      <c r="H4542" t="s">
        <v>5705</v>
      </c>
      <c r="I4542" t="s">
        <v>10575</v>
      </c>
      <c r="J4542" t="s">
        <v>13641</v>
      </c>
      <c r="K4542" t="s">
        <v>18026</v>
      </c>
      <c r="L4542">
        <f>HYPERLINK("https://www2.assemblee-nationale.fr/sycomore/fiche/(num_dept)/8107", "8107")</f>
        <v>0</v>
      </c>
      <c r="N4542">
        <f>HYPERLINK("https://www.wikidata.org/wiki/Q3166507", "Q3166507")</f>
        <v>0</v>
      </c>
      <c r="O4542" t="s">
        <v>19964</v>
      </c>
      <c r="P4542" t="s">
        <v>20458</v>
      </c>
      <c r="Q4542" t="s">
        <v>20659</v>
      </c>
      <c r="R4542" t="s">
        <v>18026</v>
      </c>
      <c r="S4542">
        <v>268</v>
      </c>
    </row>
    <row r="4543" spans="1:19">
      <c r="A4543" t="s">
        <v>25</v>
      </c>
      <c r="B4543" t="s">
        <v>148</v>
      </c>
      <c r="C4543" t="s">
        <v>157</v>
      </c>
      <c r="D4543" t="s">
        <v>286</v>
      </c>
      <c r="E4543" t="s">
        <v>415</v>
      </c>
      <c r="F4543">
        <f>HYPERLINK("https://www.wikidata.org/wiki/Q33756706", "Q33756706")</f>
        <v>0</v>
      </c>
      <c r="G4543" t="s">
        <v>3014</v>
      </c>
      <c r="H4543" t="s">
        <v>7472</v>
      </c>
      <c r="I4543" t="s">
        <v>10576</v>
      </c>
      <c r="J4543" t="s">
        <v>13642</v>
      </c>
      <c r="K4543" t="s">
        <v>18027</v>
      </c>
      <c r="L4543">
        <f>HYPERLINK("https://www2.assemblee-nationale.fr/sycomore/fiche/(num_dept)/8144", "8144")</f>
        <v>0</v>
      </c>
      <c r="N4543">
        <f>HYPERLINK("https://www.wikidata.org/wiki/Q16026414", "Q16026414")</f>
        <v>0</v>
      </c>
      <c r="O4543" t="s">
        <v>19998</v>
      </c>
      <c r="P4543" t="s">
        <v>20458</v>
      </c>
      <c r="Q4543" t="s">
        <v>20659</v>
      </c>
      <c r="R4543" t="s">
        <v>21494</v>
      </c>
      <c r="S4543">
        <v>48</v>
      </c>
    </row>
    <row r="4544" spans="1:19">
      <c r="A4544" t="s">
        <v>25</v>
      </c>
      <c r="B4544" t="s">
        <v>148</v>
      </c>
      <c r="C4544" t="s">
        <v>157</v>
      </c>
      <c r="D4544" t="s">
        <v>286</v>
      </c>
      <c r="E4544" t="s">
        <v>415</v>
      </c>
      <c r="F4544">
        <f>HYPERLINK("https://www.wikidata.org/wiki/Q33756706", "Q33756706")</f>
        <v>0</v>
      </c>
      <c r="G4544" t="s">
        <v>3015</v>
      </c>
      <c r="H4544" t="s">
        <v>7473</v>
      </c>
      <c r="I4544" t="s">
        <v>10577</v>
      </c>
      <c r="J4544" t="s">
        <v>13643</v>
      </c>
      <c r="K4544" t="s">
        <v>18028</v>
      </c>
      <c r="L4544">
        <f>HYPERLINK("https://www2.assemblee-nationale.fr/sycomore/fiche/(num_dept)/8290", "8290")</f>
        <v>0</v>
      </c>
      <c r="N4544">
        <f>HYPERLINK("https://www.wikidata.org/wiki/Q16026359", "Q16026359")</f>
        <v>0</v>
      </c>
      <c r="O4544" t="s">
        <v>19977</v>
      </c>
      <c r="P4544" t="s">
        <v>20461</v>
      </c>
      <c r="Q4544" t="s">
        <v>20659</v>
      </c>
      <c r="R4544" t="s">
        <v>18028</v>
      </c>
      <c r="S4544">
        <v>346</v>
      </c>
    </row>
    <row r="4545" spans="1:19">
      <c r="A4545" t="s">
        <v>25</v>
      </c>
      <c r="B4545" t="s">
        <v>148</v>
      </c>
      <c r="C4545" t="s">
        <v>157</v>
      </c>
      <c r="D4545" t="s">
        <v>286</v>
      </c>
      <c r="E4545" t="s">
        <v>415</v>
      </c>
      <c r="F4545">
        <f>HYPERLINK("https://www.wikidata.org/wiki/Q33756706", "Q33756706")</f>
        <v>0</v>
      </c>
      <c r="G4545" t="s">
        <v>3016</v>
      </c>
      <c r="H4545" t="s">
        <v>7025</v>
      </c>
      <c r="I4545" t="s">
        <v>10578</v>
      </c>
      <c r="J4545" t="s">
        <v>13644</v>
      </c>
      <c r="K4545" t="s">
        <v>17719</v>
      </c>
      <c r="L4545">
        <f>HYPERLINK("https://www2.assemblee-nationale.fr/sycomore/fiche/(num_dept)/50", "50")</f>
        <v>0</v>
      </c>
      <c r="N4545">
        <f>HYPERLINK("https://www.wikidata.org/wiki/Q2871509", "Q2871509")</f>
        <v>0</v>
      </c>
      <c r="O4545" t="s">
        <v>19956</v>
      </c>
      <c r="P4545" t="s">
        <v>20460</v>
      </c>
      <c r="Q4545" t="s">
        <v>19268</v>
      </c>
      <c r="R4545" t="s">
        <v>21463</v>
      </c>
      <c r="S4545">
        <v>1340</v>
      </c>
    </row>
    <row r="4546" spans="1:19">
      <c r="A4546" t="s">
        <v>25</v>
      </c>
      <c r="B4546" t="s">
        <v>148</v>
      </c>
      <c r="C4546" t="s">
        <v>157</v>
      </c>
      <c r="D4546" t="s">
        <v>286</v>
      </c>
      <c r="E4546" t="s">
        <v>415</v>
      </c>
      <c r="F4546">
        <f>HYPERLINK("https://www.wikidata.org/wiki/Q33756706", "Q33756706")</f>
        <v>0</v>
      </c>
      <c r="G4546" t="s">
        <v>3017</v>
      </c>
      <c r="H4546" t="s">
        <v>7474</v>
      </c>
      <c r="I4546" t="s">
        <v>10296</v>
      </c>
      <c r="J4546" t="s">
        <v>13645</v>
      </c>
      <c r="K4546" t="s">
        <v>18029</v>
      </c>
      <c r="L4546">
        <f>HYPERLINK("https://www2.assemblee-nationale.fr/sycomore/fiche/(num_dept)/8258", "8258")</f>
        <v>0</v>
      </c>
      <c r="N4546">
        <f>HYPERLINK("https://www.wikidata.org/wiki/Q16025985", "Q16025985")</f>
        <v>0</v>
      </c>
      <c r="O4546" t="s">
        <v>20026</v>
      </c>
      <c r="P4546" t="s">
        <v>20462</v>
      </c>
      <c r="Q4546" t="s">
        <v>19268</v>
      </c>
      <c r="R4546" t="s">
        <v>21463</v>
      </c>
      <c r="S4546">
        <v>1340</v>
      </c>
    </row>
    <row r="4547" spans="1:19">
      <c r="A4547" t="s">
        <v>25</v>
      </c>
      <c r="B4547" t="s">
        <v>148</v>
      </c>
      <c r="C4547" t="s">
        <v>157</v>
      </c>
      <c r="D4547" t="s">
        <v>286</v>
      </c>
      <c r="E4547" t="s">
        <v>415</v>
      </c>
      <c r="F4547">
        <f>HYPERLINK("https://www.wikidata.org/wiki/Q33756706", "Q33756706")</f>
        <v>0</v>
      </c>
      <c r="G4547" t="s">
        <v>3018</v>
      </c>
      <c r="H4547" t="s">
        <v>7475</v>
      </c>
      <c r="I4547" t="s">
        <v>10579</v>
      </c>
      <c r="J4547" t="s">
        <v>13646</v>
      </c>
      <c r="K4547" t="s">
        <v>18030</v>
      </c>
      <c r="L4547">
        <f>HYPERLINK("https://www2.assemblee-nationale.fr/sycomore/fiche/(num_dept)/1978", "1978")</f>
        <v>0</v>
      </c>
      <c r="N4547">
        <f>HYPERLINK("https://www.wikidata.org/wiki/Q3588430", "Q3588430")</f>
        <v>0</v>
      </c>
      <c r="O4547" t="s">
        <v>19979</v>
      </c>
      <c r="P4547" t="s">
        <v>20459</v>
      </c>
      <c r="Q4547" t="s">
        <v>20660</v>
      </c>
      <c r="R4547" t="s">
        <v>21463</v>
      </c>
      <c r="S4547">
        <v>1339</v>
      </c>
    </row>
    <row r="4548" spans="1:19">
      <c r="A4548" t="s">
        <v>25</v>
      </c>
      <c r="B4548" t="s">
        <v>148</v>
      </c>
      <c r="C4548" t="s">
        <v>157</v>
      </c>
      <c r="D4548" t="s">
        <v>286</v>
      </c>
      <c r="E4548" t="s">
        <v>415</v>
      </c>
      <c r="F4548">
        <f>HYPERLINK("https://www.wikidata.org/wiki/Q33756706", "Q33756706")</f>
        <v>0</v>
      </c>
      <c r="G4548" t="s">
        <v>3019</v>
      </c>
      <c r="H4548" t="s">
        <v>7476</v>
      </c>
      <c r="I4548" t="s">
        <v>10580</v>
      </c>
      <c r="J4548" t="s">
        <v>13647</v>
      </c>
      <c r="K4548" t="s">
        <v>18031</v>
      </c>
      <c r="L4548">
        <f>HYPERLINK("https://www2.assemblee-nationale.fr/sycomore/fiche/(num_dept)/1539", "1539")</f>
        <v>0</v>
      </c>
      <c r="N4548">
        <f>HYPERLINK("https://www.wikidata.org/wiki/Q573739", "Q573739")</f>
        <v>0</v>
      </c>
      <c r="O4548" t="s">
        <v>19956</v>
      </c>
      <c r="P4548" t="s">
        <v>20459</v>
      </c>
      <c r="Q4548" t="s">
        <v>20661</v>
      </c>
      <c r="R4548" t="s">
        <v>21463</v>
      </c>
      <c r="S4548">
        <v>1326</v>
      </c>
    </row>
    <row r="4549" spans="1:19">
      <c r="A4549" t="s">
        <v>25</v>
      </c>
      <c r="B4549" t="s">
        <v>148</v>
      </c>
      <c r="C4549" t="s">
        <v>157</v>
      </c>
      <c r="D4549" t="s">
        <v>286</v>
      </c>
      <c r="E4549" t="s">
        <v>415</v>
      </c>
      <c r="F4549">
        <f>HYPERLINK("https://www.wikidata.org/wiki/Q33756706", "Q33756706")</f>
        <v>0</v>
      </c>
      <c r="G4549" t="s">
        <v>3020</v>
      </c>
      <c r="H4549" t="s">
        <v>7477</v>
      </c>
      <c r="I4549" t="s">
        <v>9449</v>
      </c>
      <c r="J4549" t="s">
        <v>13648</v>
      </c>
      <c r="K4549" t="s">
        <v>18032</v>
      </c>
      <c r="L4549">
        <f>HYPERLINK("https://www2.assemblee-nationale.fr/sycomore/fiche/(num_dept)/3201", "3201")</f>
        <v>0</v>
      </c>
      <c r="N4549">
        <f>HYPERLINK("https://www.wikidata.org/wiki/Q3188602", "Q3188602")</f>
        <v>0</v>
      </c>
      <c r="O4549" t="s">
        <v>20047</v>
      </c>
      <c r="P4549" t="s">
        <v>20456</v>
      </c>
      <c r="Q4549" t="s">
        <v>20661</v>
      </c>
      <c r="R4549" t="s">
        <v>21463</v>
      </c>
      <c r="S4549">
        <v>1326</v>
      </c>
    </row>
    <row r="4550" spans="1:19">
      <c r="A4550" t="s">
        <v>25</v>
      </c>
      <c r="B4550" t="s">
        <v>148</v>
      </c>
      <c r="C4550" t="s">
        <v>157</v>
      </c>
      <c r="D4550" t="s">
        <v>286</v>
      </c>
      <c r="E4550" t="s">
        <v>415</v>
      </c>
      <c r="F4550">
        <f>HYPERLINK("https://www.wikidata.org/wiki/Q33756706", "Q33756706")</f>
        <v>0</v>
      </c>
      <c r="G4550" t="s">
        <v>3021</v>
      </c>
      <c r="H4550" t="s">
        <v>7478</v>
      </c>
      <c r="I4550" t="s">
        <v>9426</v>
      </c>
      <c r="J4550" t="s">
        <v>13649</v>
      </c>
      <c r="K4550" t="s">
        <v>18033</v>
      </c>
      <c r="L4550">
        <f>HYPERLINK("https://www2.assemblee-nationale.fr/sycomore/fiche/(num_dept)/7987", "7987")</f>
        <v>0</v>
      </c>
      <c r="M4550">
        <f>HYPERLINK("https://www.senat.fr/senateur-3eme-republique/leporche_alphonse1246r3.html", "leporche_alphonse1246r3")</f>
        <v>0</v>
      </c>
      <c r="N4550">
        <f>HYPERLINK("https://www.wikidata.org/wiki/Q2839867", "Q2839867")</f>
        <v>0</v>
      </c>
      <c r="O4550" t="s">
        <v>19956</v>
      </c>
      <c r="P4550" t="s">
        <v>20459</v>
      </c>
      <c r="Q4550" t="s">
        <v>20661</v>
      </c>
      <c r="R4550" t="s">
        <v>21463</v>
      </c>
      <c r="S4550">
        <v>1326</v>
      </c>
    </row>
    <row r="4551" spans="1:19">
      <c r="A4551" t="s">
        <v>25</v>
      </c>
      <c r="B4551" t="s">
        <v>148</v>
      </c>
      <c r="C4551" t="s">
        <v>157</v>
      </c>
      <c r="D4551" t="s">
        <v>286</v>
      </c>
      <c r="E4551" t="s">
        <v>415</v>
      </c>
      <c r="F4551">
        <f>HYPERLINK("https://www.wikidata.org/wiki/Q33756706", "Q33756706")</f>
        <v>0</v>
      </c>
      <c r="G4551" t="s">
        <v>3022</v>
      </c>
      <c r="H4551" t="s">
        <v>7479</v>
      </c>
      <c r="I4551" t="s">
        <v>9626</v>
      </c>
      <c r="J4551" t="s">
        <v>13650</v>
      </c>
      <c r="K4551" t="s">
        <v>18034</v>
      </c>
      <c r="L4551">
        <f>HYPERLINK("https://www2.assemblee-nationale.fr/sycomore/fiche/(num_dept)/8068", "8068")</f>
        <v>0</v>
      </c>
      <c r="M4551">
        <f>HYPERLINK("https://www.senat.fr/senateur-3eme-republique/renault_leon0113r3.html", "renault_leon0113r3")</f>
        <v>0</v>
      </c>
      <c r="N4551">
        <f>HYPERLINK("https://www.wikidata.org/wiki/Q3271290", "Q3271290")</f>
        <v>0</v>
      </c>
      <c r="O4551" t="s">
        <v>20024</v>
      </c>
      <c r="P4551" t="s">
        <v>20458</v>
      </c>
      <c r="Q4551" t="s">
        <v>20661</v>
      </c>
      <c r="R4551" t="s">
        <v>21467</v>
      </c>
      <c r="S4551">
        <v>1075</v>
      </c>
    </row>
    <row r="4552" spans="1:19">
      <c r="A4552" t="s">
        <v>25</v>
      </c>
      <c r="B4552" t="s">
        <v>148</v>
      </c>
      <c r="C4552" t="s">
        <v>157</v>
      </c>
      <c r="D4552" t="s">
        <v>286</v>
      </c>
      <c r="E4552" t="s">
        <v>415</v>
      </c>
      <c r="F4552">
        <f>HYPERLINK("https://www.wikidata.org/wiki/Q33756706", "Q33756706")</f>
        <v>0</v>
      </c>
      <c r="G4552" t="s">
        <v>3023</v>
      </c>
      <c r="H4552" t="s">
        <v>7480</v>
      </c>
      <c r="I4552" t="s">
        <v>10581</v>
      </c>
      <c r="J4552" t="s">
        <v>13651</v>
      </c>
      <c r="K4552" t="s">
        <v>18035</v>
      </c>
      <c r="L4552">
        <f>HYPERLINK("https://www2.assemblee-nationale.fr/sycomore/fiche/(num_dept)/8219", "8219")</f>
        <v>0</v>
      </c>
      <c r="N4552">
        <f>HYPERLINK("https://www.wikidata.org/wiki/Q16026409", "Q16026409")</f>
        <v>0</v>
      </c>
      <c r="O4552" t="s">
        <v>19970</v>
      </c>
      <c r="P4552" t="s">
        <v>20461</v>
      </c>
      <c r="Q4552" t="s">
        <v>20661</v>
      </c>
      <c r="R4552" t="s">
        <v>21463</v>
      </c>
      <c r="S4552">
        <v>1326</v>
      </c>
    </row>
    <row r="4553" spans="1:19">
      <c r="A4553" t="s">
        <v>25</v>
      </c>
      <c r="B4553" t="s">
        <v>148</v>
      </c>
      <c r="C4553" t="s">
        <v>157</v>
      </c>
      <c r="D4553" t="s">
        <v>286</v>
      </c>
      <c r="E4553" t="s">
        <v>415</v>
      </c>
      <c r="F4553">
        <f>HYPERLINK("https://www.wikidata.org/wiki/Q33756706", "Q33756706")</f>
        <v>0</v>
      </c>
      <c r="G4553" t="s">
        <v>3024</v>
      </c>
      <c r="H4553" t="s">
        <v>7481</v>
      </c>
      <c r="I4553" t="s">
        <v>10582</v>
      </c>
      <c r="J4553" t="s">
        <v>13652</v>
      </c>
      <c r="K4553" t="s">
        <v>18036</v>
      </c>
      <c r="L4553">
        <f>HYPERLINK("https://www2.assemblee-nationale.fr/sycomore/fiche/(num_dept)/8220", "8220")</f>
        <v>0</v>
      </c>
      <c r="N4553">
        <f>HYPERLINK("https://www.wikidata.org/wiki/Q3588524", "Q3588524")</f>
        <v>0</v>
      </c>
      <c r="O4553" t="s">
        <v>19970</v>
      </c>
      <c r="P4553" t="s">
        <v>20458</v>
      </c>
      <c r="Q4553" t="s">
        <v>20661</v>
      </c>
      <c r="R4553" t="s">
        <v>21463</v>
      </c>
      <c r="S4553">
        <v>1326</v>
      </c>
    </row>
    <row r="4554" spans="1:19">
      <c r="A4554" t="s">
        <v>25</v>
      </c>
      <c r="B4554" t="s">
        <v>148</v>
      </c>
      <c r="C4554" t="s">
        <v>157</v>
      </c>
      <c r="D4554" t="s">
        <v>286</v>
      </c>
      <c r="E4554" t="s">
        <v>415</v>
      </c>
      <c r="F4554">
        <f>HYPERLINK("https://www.wikidata.org/wiki/Q33756706", "Q33756706")</f>
        <v>0</v>
      </c>
      <c r="G4554" t="s">
        <v>3025</v>
      </c>
      <c r="H4554" t="s">
        <v>7482</v>
      </c>
      <c r="I4554" t="s">
        <v>10583</v>
      </c>
      <c r="J4554" t="s">
        <v>13653</v>
      </c>
      <c r="K4554" t="s">
        <v>18037</v>
      </c>
      <c r="L4554">
        <f>HYPERLINK("https://www2.assemblee-nationale.fr/sycomore/fiche/(num_dept)/8239", "8239")</f>
        <v>0</v>
      </c>
      <c r="N4554">
        <f>HYPERLINK("https://www.wikidata.org/wiki/Q2839650", "Q2839650")</f>
        <v>0</v>
      </c>
      <c r="O4554" t="s">
        <v>19956</v>
      </c>
      <c r="P4554" t="s">
        <v>20464</v>
      </c>
      <c r="Q4554" t="s">
        <v>20661</v>
      </c>
      <c r="R4554" t="s">
        <v>18037</v>
      </c>
      <c r="S4554">
        <v>775</v>
      </c>
    </row>
    <row r="4555" spans="1:19">
      <c r="A4555" t="s">
        <v>25</v>
      </c>
      <c r="B4555" t="s">
        <v>148</v>
      </c>
      <c r="C4555" t="s">
        <v>157</v>
      </c>
      <c r="D4555" t="s">
        <v>286</v>
      </c>
      <c r="E4555" t="s">
        <v>415</v>
      </c>
      <c r="F4555">
        <f>HYPERLINK("https://www.wikidata.org/wiki/Q33756706", "Q33756706")</f>
        <v>0</v>
      </c>
      <c r="G4555" t="s">
        <v>3026</v>
      </c>
      <c r="H4555" t="s">
        <v>7483</v>
      </c>
      <c r="I4555" t="s">
        <v>10584</v>
      </c>
      <c r="J4555" t="s">
        <v>13654</v>
      </c>
      <c r="K4555" t="s">
        <v>12932</v>
      </c>
      <c r="L4555">
        <f>HYPERLINK("https://www2.assemblee-nationale.fr/sycomore/fiche/(num_dept)/8250", "8250")</f>
        <v>0</v>
      </c>
      <c r="N4555">
        <f>HYPERLINK("https://www.wikidata.org/wiki/Q13080929", "Q13080929")</f>
        <v>0</v>
      </c>
      <c r="O4555" t="s">
        <v>19969</v>
      </c>
      <c r="P4555" t="s">
        <v>20459</v>
      </c>
      <c r="Q4555" t="s">
        <v>20661</v>
      </c>
      <c r="R4555" t="s">
        <v>21463</v>
      </c>
      <c r="S4555">
        <v>1326</v>
      </c>
    </row>
    <row r="4556" spans="1:19">
      <c r="A4556" t="s">
        <v>25</v>
      </c>
      <c r="B4556" t="s">
        <v>148</v>
      </c>
      <c r="C4556" t="s">
        <v>157</v>
      </c>
      <c r="D4556" t="s">
        <v>286</v>
      </c>
      <c r="E4556" t="s">
        <v>415</v>
      </c>
      <c r="F4556">
        <f>HYPERLINK("https://www.wikidata.org/wiki/Q33756706", "Q33756706")</f>
        <v>0</v>
      </c>
      <c r="G4556" t="s">
        <v>3027</v>
      </c>
      <c r="H4556" t="s">
        <v>7484</v>
      </c>
      <c r="I4556" t="s">
        <v>10585</v>
      </c>
      <c r="J4556" t="s">
        <v>13655</v>
      </c>
      <c r="K4556" t="s">
        <v>18038</v>
      </c>
      <c r="L4556">
        <f>HYPERLINK("https://www2.assemblee-nationale.fr/sycomore/fiche/(num_dept)/8273", "8273")</f>
        <v>0</v>
      </c>
      <c r="N4556">
        <f>HYPERLINK("https://www.wikidata.org/wiki/Q2830875", "Q2830875")</f>
        <v>0</v>
      </c>
      <c r="O4556" t="s">
        <v>20012</v>
      </c>
      <c r="P4556" t="s">
        <v>20459</v>
      </c>
      <c r="Q4556" t="s">
        <v>20661</v>
      </c>
      <c r="R4556" t="s">
        <v>21463</v>
      </c>
      <c r="S4556">
        <v>1326</v>
      </c>
    </row>
    <row r="4557" spans="1:19">
      <c r="A4557" t="s">
        <v>25</v>
      </c>
      <c r="B4557" t="s">
        <v>148</v>
      </c>
      <c r="C4557" t="s">
        <v>157</v>
      </c>
      <c r="D4557" t="s">
        <v>286</v>
      </c>
      <c r="E4557" t="s">
        <v>415</v>
      </c>
      <c r="F4557">
        <f>HYPERLINK("https://www.wikidata.org/wiki/Q33756706", "Q33756706")</f>
        <v>0</v>
      </c>
      <c r="G4557" t="s">
        <v>3028</v>
      </c>
      <c r="H4557" t="s">
        <v>7485</v>
      </c>
      <c r="I4557" t="s">
        <v>10182</v>
      </c>
      <c r="J4557" t="s">
        <v>13656</v>
      </c>
      <c r="K4557" t="s">
        <v>18039</v>
      </c>
      <c r="L4557">
        <f>HYPERLINK("https://www2.assemblee-nationale.fr/sycomore/fiche/(num_dept)/8296", "8296")</f>
        <v>0</v>
      </c>
      <c r="N4557">
        <f>HYPERLINK("https://www.wikidata.org/wiki/Q16798452", "Q16798452")</f>
        <v>0</v>
      </c>
      <c r="O4557" t="s">
        <v>20000</v>
      </c>
      <c r="P4557" t="s">
        <v>20461</v>
      </c>
      <c r="Q4557" t="s">
        <v>13052</v>
      </c>
      <c r="R4557" t="s">
        <v>415</v>
      </c>
      <c r="S4557">
        <v>1345</v>
      </c>
    </row>
    <row r="4558" spans="1:19">
      <c r="A4558" t="s">
        <v>25</v>
      </c>
      <c r="B4558" t="s">
        <v>148</v>
      </c>
      <c r="C4558" t="s">
        <v>157</v>
      </c>
      <c r="D4558" t="s">
        <v>286</v>
      </c>
      <c r="E4558" t="s">
        <v>415</v>
      </c>
      <c r="F4558">
        <f>HYPERLINK("https://www.wikidata.org/wiki/Q33756706", "Q33756706")</f>
        <v>0</v>
      </c>
      <c r="G4558" t="s">
        <v>3029</v>
      </c>
      <c r="H4558" t="s">
        <v>7486</v>
      </c>
      <c r="I4558" t="s">
        <v>6495</v>
      </c>
      <c r="J4558" t="s">
        <v>13657</v>
      </c>
      <c r="K4558" t="s">
        <v>18040</v>
      </c>
      <c r="L4558">
        <f>HYPERLINK("https://www2.assemblee-nationale.fr/sycomore/fiche/(num_dept)/2398", "2398")</f>
        <v>0</v>
      </c>
      <c r="N4558">
        <f>HYPERLINK("https://www.wikidata.org/wiki/Q3056924", "Q3056924")</f>
        <v>0</v>
      </c>
      <c r="O4558" t="s">
        <v>20035</v>
      </c>
      <c r="Q4558" t="s">
        <v>20662</v>
      </c>
      <c r="R4558" t="s">
        <v>21463</v>
      </c>
      <c r="S4558">
        <v>1318</v>
      </c>
    </row>
    <row r="4559" spans="1:19">
      <c r="A4559" t="s">
        <v>25</v>
      </c>
      <c r="B4559" t="s">
        <v>148</v>
      </c>
      <c r="C4559" t="s">
        <v>157</v>
      </c>
      <c r="D4559" t="s">
        <v>286</v>
      </c>
      <c r="E4559" t="s">
        <v>415</v>
      </c>
      <c r="F4559">
        <f>HYPERLINK("https://www.wikidata.org/wiki/Q33756706", "Q33756706")</f>
        <v>0</v>
      </c>
      <c r="G4559" t="s">
        <v>3030</v>
      </c>
      <c r="H4559" t="s">
        <v>7487</v>
      </c>
      <c r="I4559" t="s">
        <v>6495</v>
      </c>
      <c r="J4559" t="s">
        <v>13658</v>
      </c>
      <c r="K4559" t="s">
        <v>18041</v>
      </c>
      <c r="L4559">
        <f>HYPERLINK("https://www2.assemblee-nationale.fr/sycomore/fiche/(num_dept)/5289", "5289")</f>
        <v>0</v>
      </c>
      <c r="M4559">
        <f>HYPERLINK("https://www.senat.fr/senateur-3eme-republique/million_louis1142r3.html", "million_louis1142r3")</f>
        <v>0</v>
      </c>
      <c r="N4559">
        <f>HYPERLINK("https://www.wikidata.org/wiki/Q3262708", "Q3262708")</f>
        <v>0</v>
      </c>
      <c r="O4559" t="s">
        <v>19965</v>
      </c>
      <c r="P4559" t="s">
        <v>20459</v>
      </c>
      <c r="Q4559" t="s">
        <v>12812</v>
      </c>
      <c r="R4559" t="s">
        <v>21463</v>
      </c>
      <c r="S4559">
        <v>1312</v>
      </c>
    </row>
    <row r="4560" spans="1:19">
      <c r="A4560" t="s">
        <v>25</v>
      </c>
      <c r="B4560" t="s">
        <v>148</v>
      </c>
      <c r="C4560" t="s">
        <v>157</v>
      </c>
      <c r="D4560" t="s">
        <v>286</v>
      </c>
      <c r="E4560" t="s">
        <v>415</v>
      </c>
      <c r="F4560">
        <f>HYPERLINK("https://www.wikidata.org/wiki/Q33756706", "Q33756706")</f>
        <v>0</v>
      </c>
      <c r="G4560" t="s">
        <v>3031</v>
      </c>
      <c r="H4560" t="s">
        <v>7488</v>
      </c>
      <c r="I4560" t="s">
        <v>10586</v>
      </c>
      <c r="J4560" t="s">
        <v>13659</v>
      </c>
      <c r="K4560" t="s">
        <v>17738</v>
      </c>
      <c r="L4560">
        <f>HYPERLINK("https://www2.assemblee-nationale.fr/sycomore/fiche/(num_dept)/7983", "7983")</f>
        <v>0</v>
      </c>
      <c r="N4560">
        <f>HYPERLINK("https://www.wikidata.org/wiki/Q3047922", "Q3047922")</f>
        <v>0</v>
      </c>
      <c r="O4560" t="s">
        <v>19968</v>
      </c>
      <c r="P4560" t="s">
        <v>20460</v>
      </c>
      <c r="Q4560" t="s">
        <v>12812</v>
      </c>
      <c r="R4560" t="s">
        <v>21463</v>
      </c>
      <c r="S4560">
        <v>1312</v>
      </c>
    </row>
    <row r="4561" spans="1:19">
      <c r="A4561" t="s">
        <v>25</v>
      </c>
      <c r="B4561" t="s">
        <v>148</v>
      </c>
      <c r="C4561" t="s">
        <v>157</v>
      </c>
      <c r="D4561" t="s">
        <v>286</v>
      </c>
      <c r="E4561" t="s">
        <v>415</v>
      </c>
      <c r="F4561">
        <f>HYPERLINK("https://www.wikidata.org/wiki/Q33756706", "Q33756706")</f>
        <v>0</v>
      </c>
      <c r="G4561" t="s">
        <v>3032</v>
      </c>
      <c r="H4561" t="s">
        <v>7489</v>
      </c>
      <c r="I4561" t="s">
        <v>10587</v>
      </c>
      <c r="J4561" t="s">
        <v>13660</v>
      </c>
      <c r="K4561" t="s">
        <v>18042</v>
      </c>
      <c r="L4561">
        <f>HYPERLINK("https://www2.assemblee-nationale.fr/sycomore/fiche/(num_dept)/8274", "8274")</f>
        <v>0</v>
      </c>
      <c r="N4561">
        <f>HYPERLINK("https://www.wikidata.org/wiki/Q16026564", "Q16026564")</f>
        <v>0</v>
      </c>
      <c r="O4561" t="s">
        <v>20012</v>
      </c>
      <c r="P4561" t="s">
        <v>20459</v>
      </c>
      <c r="Q4561" t="s">
        <v>12812</v>
      </c>
      <c r="R4561" t="s">
        <v>21463</v>
      </c>
      <c r="S4561">
        <v>1312</v>
      </c>
    </row>
    <row r="4562" spans="1:19">
      <c r="A4562" t="s">
        <v>25</v>
      </c>
      <c r="B4562" t="s">
        <v>148</v>
      </c>
      <c r="C4562" t="s">
        <v>157</v>
      </c>
      <c r="D4562" t="s">
        <v>286</v>
      </c>
      <c r="E4562" t="s">
        <v>415</v>
      </c>
      <c r="F4562">
        <f>HYPERLINK("https://www.wikidata.org/wiki/Q33756706", "Q33756706")</f>
        <v>0</v>
      </c>
      <c r="G4562" t="s">
        <v>3033</v>
      </c>
      <c r="H4562" t="s">
        <v>7490</v>
      </c>
      <c r="I4562" t="s">
        <v>10588</v>
      </c>
      <c r="J4562" t="s">
        <v>13661</v>
      </c>
      <c r="K4562" t="s">
        <v>18043</v>
      </c>
      <c r="L4562">
        <f>HYPERLINK("https://www2.assemblee-nationale.fr/sycomore/fiche/(num_dept)/7459", "7459")</f>
        <v>0</v>
      </c>
      <c r="N4562">
        <f>HYPERLINK("https://www.wikidata.org/wiki/Q16026592", "Q16026592")</f>
        <v>0</v>
      </c>
      <c r="O4562" t="s">
        <v>7411</v>
      </c>
      <c r="P4562" t="s">
        <v>20456</v>
      </c>
      <c r="Q4562" t="s">
        <v>19250</v>
      </c>
      <c r="R4562" t="s">
        <v>21463</v>
      </c>
      <c r="S4562">
        <v>1311</v>
      </c>
    </row>
    <row r="4563" spans="1:19">
      <c r="A4563" t="s">
        <v>25</v>
      </c>
      <c r="B4563" t="s">
        <v>148</v>
      </c>
      <c r="C4563" t="s">
        <v>157</v>
      </c>
      <c r="D4563" t="s">
        <v>286</v>
      </c>
      <c r="E4563" t="s">
        <v>415</v>
      </c>
      <c r="F4563">
        <f>HYPERLINK("https://www.wikidata.org/wiki/Q33756706", "Q33756706")</f>
        <v>0</v>
      </c>
      <c r="G4563" t="s">
        <v>3034</v>
      </c>
      <c r="H4563" t="s">
        <v>7491</v>
      </c>
      <c r="I4563" t="s">
        <v>10589</v>
      </c>
      <c r="J4563" t="s">
        <v>13662</v>
      </c>
      <c r="K4563" t="s">
        <v>18044</v>
      </c>
      <c r="L4563">
        <f>HYPERLINK("https://www2.assemblee-nationale.fr/sycomore/fiche/(num_dept)/8132", "8132")</f>
        <v>0</v>
      </c>
      <c r="N4563">
        <f>HYPERLINK("https://www.wikidata.org/wiki/Q2824888", "Q2824888")</f>
        <v>0</v>
      </c>
      <c r="O4563" t="s">
        <v>20014</v>
      </c>
      <c r="P4563" t="s">
        <v>20460</v>
      </c>
      <c r="Q4563" t="s">
        <v>19250</v>
      </c>
      <c r="R4563" t="s">
        <v>21463</v>
      </c>
      <c r="S4563">
        <v>1311</v>
      </c>
    </row>
    <row r="4564" spans="1:19">
      <c r="A4564" t="s">
        <v>25</v>
      </c>
      <c r="B4564" t="s">
        <v>148</v>
      </c>
      <c r="C4564" t="s">
        <v>157</v>
      </c>
      <c r="D4564" t="s">
        <v>286</v>
      </c>
      <c r="E4564" t="s">
        <v>415</v>
      </c>
      <c r="F4564">
        <f>HYPERLINK("https://www.wikidata.org/wiki/Q33756706", "Q33756706")</f>
        <v>0</v>
      </c>
      <c r="G4564" t="s">
        <v>1509</v>
      </c>
      <c r="H4564" t="s">
        <v>6206</v>
      </c>
      <c r="I4564" t="s">
        <v>9376</v>
      </c>
      <c r="J4564" t="s">
        <v>12227</v>
      </c>
      <c r="K4564" t="s">
        <v>16632</v>
      </c>
      <c r="L4564">
        <f>HYPERLINK("https://www2.assemblee-nationale.fr/sycomore/fiche/(num_dept)/4185", "4185")</f>
        <v>0</v>
      </c>
      <c r="M4564">
        <f>HYPERLINK("https://www.senat.fr/senateur-3eme-republique/baston_de_la_riboisiere_ferdinand0556r3.html", "baston_de_la_riboisiere_ferdinand0556r3")</f>
        <v>0</v>
      </c>
      <c r="N4564">
        <f>HYPERLINK("https://www.wikidata.org/wiki/Q3068526", "Q3068526")</f>
        <v>0</v>
      </c>
      <c r="O4564" t="s">
        <v>19998</v>
      </c>
      <c r="Q4564" t="s">
        <v>20663</v>
      </c>
      <c r="R4564" t="s">
        <v>21463</v>
      </c>
      <c r="S4564">
        <v>1263</v>
      </c>
    </row>
    <row r="4565" spans="1:19">
      <c r="A4565" t="s">
        <v>25</v>
      </c>
      <c r="B4565" t="s">
        <v>148</v>
      </c>
      <c r="C4565" t="s">
        <v>157</v>
      </c>
      <c r="D4565" t="s">
        <v>286</v>
      </c>
      <c r="E4565" t="s">
        <v>415</v>
      </c>
      <c r="F4565">
        <f>HYPERLINK("https://www.wikidata.org/wiki/Q33756706", "Q33756706")</f>
        <v>0</v>
      </c>
      <c r="G4565" t="s">
        <v>3035</v>
      </c>
      <c r="H4565" t="s">
        <v>7492</v>
      </c>
      <c r="I4565" t="s">
        <v>10590</v>
      </c>
      <c r="J4565" t="s">
        <v>13663</v>
      </c>
      <c r="K4565" t="s">
        <v>18045</v>
      </c>
      <c r="L4565">
        <f>HYPERLINK("https://www2.assemblee-nationale.fr/sycomore/fiche/(num_dept)/1308", "1308")</f>
        <v>0</v>
      </c>
      <c r="N4565">
        <f>HYPERLINK("https://www.wikidata.org/wiki/Q8315771", "Q8315771")</f>
        <v>0</v>
      </c>
      <c r="O4565" t="s">
        <v>19992</v>
      </c>
      <c r="P4565" t="s">
        <v>20401</v>
      </c>
      <c r="Q4565" t="s">
        <v>20664</v>
      </c>
      <c r="R4565" t="s">
        <v>21463</v>
      </c>
      <c r="S4565">
        <v>1249</v>
      </c>
    </row>
    <row r="4566" spans="1:19">
      <c r="A4566" t="s">
        <v>25</v>
      </c>
      <c r="B4566" t="s">
        <v>148</v>
      </c>
      <c r="C4566" t="s">
        <v>157</v>
      </c>
      <c r="D4566" t="s">
        <v>286</v>
      </c>
      <c r="E4566" t="s">
        <v>415</v>
      </c>
      <c r="F4566">
        <f>HYPERLINK("https://www.wikidata.org/wiki/Q33756706", "Q33756706")</f>
        <v>0</v>
      </c>
      <c r="G4566" t="s">
        <v>3036</v>
      </c>
      <c r="H4566" t="s">
        <v>5525</v>
      </c>
      <c r="I4566" t="s">
        <v>9574</v>
      </c>
      <c r="J4566" t="s">
        <v>13664</v>
      </c>
      <c r="K4566" t="s">
        <v>18046</v>
      </c>
      <c r="L4566">
        <f>HYPERLINK("https://www2.assemblee-nationale.fr/sycomore/fiche/(num_dept)/6030", "6030")</f>
        <v>0</v>
      </c>
      <c r="N4566">
        <f>HYPERLINK("https://www.wikidata.org/wiki/Q16026434", "Q16026434")</f>
        <v>0</v>
      </c>
      <c r="O4566" t="s">
        <v>20037</v>
      </c>
      <c r="P4566" t="s">
        <v>20460</v>
      </c>
      <c r="Q4566" t="s">
        <v>20665</v>
      </c>
      <c r="R4566" t="s">
        <v>21463</v>
      </c>
      <c r="S4566">
        <v>1248</v>
      </c>
    </row>
    <row r="4567" spans="1:19">
      <c r="A4567" t="s">
        <v>25</v>
      </c>
      <c r="B4567" t="s">
        <v>148</v>
      </c>
      <c r="C4567" t="s">
        <v>157</v>
      </c>
      <c r="D4567" t="s">
        <v>286</v>
      </c>
      <c r="E4567" t="s">
        <v>415</v>
      </c>
      <c r="F4567">
        <f>HYPERLINK("https://www.wikidata.org/wiki/Q33756706", "Q33756706")</f>
        <v>0</v>
      </c>
      <c r="G4567" t="s">
        <v>3037</v>
      </c>
      <c r="H4567" t="s">
        <v>7493</v>
      </c>
      <c r="I4567" t="s">
        <v>10591</v>
      </c>
      <c r="J4567" t="s">
        <v>13665</v>
      </c>
      <c r="K4567" t="s">
        <v>18047</v>
      </c>
      <c r="L4567">
        <f>HYPERLINK("https://www2.assemblee-nationale.fr/sycomore/fiche/(num_dept)/6494", "6494")</f>
        <v>0</v>
      </c>
      <c r="N4567">
        <f>HYPERLINK("https://www.wikidata.org/wiki/Q2898056", "Q2898056")</f>
        <v>0</v>
      </c>
      <c r="O4567" t="s">
        <v>19999</v>
      </c>
      <c r="P4567" t="s">
        <v>20465</v>
      </c>
      <c r="Q4567" t="s">
        <v>20665</v>
      </c>
      <c r="R4567" t="s">
        <v>21463</v>
      </c>
      <c r="S4567">
        <v>1248</v>
      </c>
    </row>
    <row r="4568" spans="1:19">
      <c r="A4568" t="s">
        <v>25</v>
      </c>
      <c r="B4568" t="s">
        <v>148</v>
      </c>
      <c r="C4568" t="s">
        <v>157</v>
      </c>
      <c r="D4568" t="s">
        <v>286</v>
      </c>
      <c r="E4568" t="s">
        <v>415</v>
      </c>
      <c r="F4568">
        <f>HYPERLINK("https://www.wikidata.org/wiki/Q33756706", "Q33756706")</f>
        <v>0</v>
      </c>
      <c r="G4568" t="s">
        <v>3038</v>
      </c>
      <c r="H4568" t="s">
        <v>7494</v>
      </c>
      <c r="I4568" t="s">
        <v>10592</v>
      </c>
      <c r="J4568" t="s">
        <v>11620</v>
      </c>
      <c r="K4568" t="s">
        <v>18048</v>
      </c>
      <c r="L4568">
        <f>HYPERLINK("https://www2.assemblee-nationale.fr/sycomore/fiche/(num_dept)/8111", "8111")</f>
        <v>0</v>
      </c>
      <c r="N4568">
        <f>HYPERLINK("https://www.wikidata.org/wiki/Q16026079", "Q16026079")</f>
        <v>0</v>
      </c>
      <c r="O4568" t="s">
        <v>19979</v>
      </c>
      <c r="P4568" t="s">
        <v>20462</v>
      </c>
      <c r="Q4568" t="s">
        <v>20666</v>
      </c>
      <c r="R4568" t="s">
        <v>21463</v>
      </c>
      <c r="S4568">
        <v>1221</v>
      </c>
    </row>
    <row r="4569" spans="1:19">
      <c r="A4569" t="s">
        <v>25</v>
      </c>
      <c r="B4569" t="s">
        <v>148</v>
      </c>
      <c r="C4569" t="s">
        <v>157</v>
      </c>
      <c r="D4569" t="s">
        <v>286</v>
      </c>
      <c r="E4569" t="s">
        <v>415</v>
      </c>
      <c r="F4569">
        <f>HYPERLINK("https://www.wikidata.org/wiki/Q33756706", "Q33756706")</f>
        <v>0</v>
      </c>
      <c r="G4569" t="s">
        <v>3039</v>
      </c>
      <c r="H4569" t="s">
        <v>7495</v>
      </c>
      <c r="I4569" t="s">
        <v>10593</v>
      </c>
      <c r="J4569" t="s">
        <v>13666</v>
      </c>
      <c r="K4569" t="s">
        <v>18049</v>
      </c>
      <c r="L4569">
        <f>HYPERLINK("https://www2.assemblee-nationale.fr/sycomore/fiche/(num_dept)/8186", "8186")</f>
        <v>0</v>
      </c>
      <c r="N4569">
        <f>HYPERLINK("https://www.wikidata.org/wiki/Q2959051", "Q2959051")</f>
        <v>0</v>
      </c>
      <c r="O4569" t="s">
        <v>20032</v>
      </c>
      <c r="P4569" t="s">
        <v>20456</v>
      </c>
      <c r="Q4569" t="s">
        <v>20667</v>
      </c>
      <c r="R4569" t="s">
        <v>21463</v>
      </c>
      <c r="S4569">
        <v>1206</v>
      </c>
    </row>
    <row r="4570" spans="1:19">
      <c r="A4570" t="s">
        <v>25</v>
      </c>
      <c r="B4570" t="s">
        <v>148</v>
      </c>
      <c r="C4570" t="s">
        <v>157</v>
      </c>
      <c r="D4570" t="s">
        <v>286</v>
      </c>
      <c r="E4570" t="s">
        <v>415</v>
      </c>
      <c r="F4570">
        <f>HYPERLINK("https://www.wikidata.org/wiki/Q33756706", "Q33756706")</f>
        <v>0</v>
      </c>
      <c r="G4570" t="s">
        <v>2661</v>
      </c>
      <c r="H4570" t="s">
        <v>7201</v>
      </c>
      <c r="I4570" t="s">
        <v>10346</v>
      </c>
      <c r="J4570" t="s">
        <v>13302</v>
      </c>
      <c r="K4570" t="s">
        <v>17702</v>
      </c>
      <c r="L4570">
        <f>HYPERLINK("https://www2.assemblee-nationale.fr/sycomore/fiche/(num_dept)/6397", "6397")</f>
        <v>0</v>
      </c>
      <c r="N4570">
        <f>HYPERLINK("https://www.wikidata.org/wiki/Q3121020", "Q3121020")</f>
        <v>0</v>
      </c>
      <c r="O4570" t="s">
        <v>19982</v>
      </c>
      <c r="P4570" t="s">
        <v>20460</v>
      </c>
      <c r="Q4570" t="s">
        <v>20668</v>
      </c>
      <c r="R4570" t="s">
        <v>21463</v>
      </c>
      <c r="S4570">
        <v>1200</v>
      </c>
    </row>
    <row r="4571" spans="1:19">
      <c r="A4571" t="s">
        <v>25</v>
      </c>
      <c r="B4571" t="s">
        <v>148</v>
      </c>
      <c r="C4571" t="s">
        <v>157</v>
      </c>
      <c r="D4571" t="s">
        <v>286</v>
      </c>
      <c r="E4571" t="s">
        <v>415</v>
      </c>
      <c r="F4571">
        <f>HYPERLINK("https://www.wikidata.org/wiki/Q33756706", "Q33756706")</f>
        <v>0</v>
      </c>
      <c r="G4571" t="s">
        <v>2749</v>
      </c>
      <c r="H4571" t="s">
        <v>5507</v>
      </c>
      <c r="I4571" t="s">
        <v>10404</v>
      </c>
      <c r="J4571" t="s">
        <v>13390</v>
      </c>
      <c r="K4571" t="s">
        <v>17788</v>
      </c>
      <c r="L4571">
        <f>HYPERLINK("https://www2.assemblee-nationale.fr/sycomore/fiche/(num_dept)/8019", "8019")</f>
        <v>0</v>
      </c>
      <c r="N4571">
        <f>HYPERLINK("https://www.wikidata.org/wiki/Q16026248", "Q16026248")</f>
        <v>0</v>
      </c>
      <c r="O4571" t="s">
        <v>19982</v>
      </c>
      <c r="P4571" t="s">
        <v>20464</v>
      </c>
      <c r="Q4571" t="s">
        <v>20668</v>
      </c>
      <c r="R4571" t="s">
        <v>21463</v>
      </c>
      <c r="S4571">
        <v>1200</v>
      </c>
    </row>
    <row r="4572" spans="1:19">
      <c r="A4572" t="s">
        <v>25</v>
      </c>
      <c r="B4572" t="s">
        <v>148</v>
      </c>
      <c r="C4572" t="s">
        <v>157</v>
      </c>
      <c r="D4572" t="s">
        <v>286</v>
      </c>
      <c r="E4572" t="s">
        <v>415</v>
      </c>
      <c r="F4572">
        <f>HYPERLINK("https://www.wikidata.org/wiki/Q33756706", "Q33756706")</f>
        <v>0</v>
      </c>
      <c r="G4572" t="s">
        <v>3040</v>
      </c>
      <c r="H4572" t="s">
        <v>7496</v>
      </c>
      <c r="I4572" t="s">
        <v>5528</v>
      </c>
      <c r="J4572" t="s">
        <v>13667</v>
      </c>
      <c r="K4572" t="s">
        <v>362</v>
      </c>
      <c r="L4572">
        <f>HYPERLINK("https://www2.assemblee-nationale.fr/sycomore/fiche/(num_dept)/8065", "8065")</f>
        <v>0</v>
      </c>
      <c r="N4572">
        <f>HYPERLINK("https://www.wikidata.org/wiki/Q8317387", "Q8317387")</f>
        <v>0</v>
      </c>
      <c r="O4572" t="s">
        <v>19999</v>
      </c>
      <c r="P4572" t="s">
        <v>20461</v>
      </c>
      <c r="Q4572" t="s">
        <v>20669</v>
      </c>
      <c r="R4572" t="s">
        <v>21463</v>
      </c>
      <c r="S4572">
        <v>1137</v>
      </c>
    </row>
    <row r="4573" spans="1:19">
      <c r="A4573" t="s">
        <v>25</v>
      </c>
      <c r="B4573" t="s">
        <v>148</v>
      </c>
      <c r="C4573" t="s">
        <v>157</v>
      </c>
      <c r="D4573" t="s">
        <v>286</v>
      </c>
      <c r="E4573" t="s">
        <v>415</v>
      </c>
      <c r="F4573">
        <f>HYPERLINK("https://www.wikidata.org/wiki/Q33756706", "Q33756706")</f>
        <v>0</v>
      </c>
      <c r="G4573" t="s">
        <v>2578</v>
      </c>
      <c r="H4573" t="s">
        <v>7131</v>
      </c>
      <c r="I4573" t="s">
        <v>9385</v>
      </c>
      <c r="J4573" t="s">
        <v>13222</v>
      </c>
      <c r="K4573" t="s">
        <v>17625</v>
      </c>
      <c r="L4573">
        <f>HYPERLINK("https://www2.assemblee-nationale.fr/sycomore/fiche/(num_dept)/3032", "3032")</f>
        <v>0</v>
      </c>
      <c r="M4573">
        <f>HYPERLINK("https://www.senat.fr/senateur-3eme-republique/floquet_charles1411r3.html", "floquet_charles1411r3")</f>
        <v>0</v>
      </c>
      <c r="N4573">
        <f>HYPERLINK("https://www.wikidata.org/wiki/Q471311", "Q471311")</f>
        <v>0</v>
      </c>
      <c r="O4573" t="s">
        <v>20001</v>
      </c>
      <c r="P4573" t="s">
        <v>20401</v>
      </c>
      <c r="Q4573" t="s">
        <v>20670</v>
      </c>
      <c r="R4573" t="s">
        <v>21463</v>
      </c>
      <c r="S4573">
        <v>1088</v>
      </c>
    </row>
    <row r="4574" spans="1:19">
      <c r="A4574" t="s">
        <v>25</v>
      </c>
      <c r="B4574" t="s">
        <v>148</v>
      </c>
      <c r="C4574" t="s">
        <v>157</v>
      </c>
      <c r="D4574" t="s">
        <v>286</v>
      </c>
      <c r="E4574" t="s">
        <v>415</v>
      </c>
      <c r="F4574">
        <f>HYPERLINK("https://www.wikidata.org/wiki/Q33756706", "Q33756706")</f>
        <v>0</v>
      </c>
      <c r="G4574" t="s">
        <v>3041</v>
      </c>
      <c r="H4574" t="s">
        <v>7497</v>
      </c>
      <c r="I4574" t="s">
        <v>10594</v>
      </c>
      <c r="J4574" t="s">
        <v>13668</v>
      </c>
      <c r="K4574" t="s">
        <v>18050</v>
      </c>
      <c r="L4574">
        <f>HYPERLINK("https://www2.assemblee-nationale.fr/sycomore/fiche/(num_dept)/8281", "8281")</f>
        <v>0</v>
      </c>
      <c r="N4574">
        <f>HYPERLINK("https://www.wikidata.org/wiki/Q16026357", "Q16026357")</f>
        <v>0</v>
      </c>
      <c r="O4574" t="s">
        <v>20042</v>
      </c>
      <c r="P4574" t="s">
        <v>20456</v>
      </c>
      <c r="Q4574" t="s">
        <v>20670</v>
      </c>
      <c r="R4574" t="s">
        <v>21463</v>
      </c>
      <c r="S4574">
        <v>1088</v>
      </c>
    </row>
    <row r="4575" spans="1:19">
      <c r="A4575" t="s">
        <v>25</v>
      </c>
      <c r="B4575" t="s">
        <v>148</v>
      </c>
      <c r="C4575" t="s">
        <v>157</v>
      </c>
      <c r="D4575" t="s">
        <v>286</v>
      </c>
      <c r="E4575" t="s">
        <v>415</v>
      </c>
      <c r="F4575">
        <f>HYPERLINK("https://www.wikidata.org/wiki/Q33756706", "Q33756706")</f>
        <v>0</v>
      </c>
      <c r="G4575" t="s">
        <v>3042</v>
      </c>
      <c r="H4575" t="s">
        <v>7498</v>
      </c>
      <c r="I4575" t="s">
        <v>9388</v>
      </c>
      <c r="J4575" t="s">
        <v>13669</v>
      </c>
      <c r="K4575" t="s">
        <v>18051</v>
      </c>
      <c r="L4575">
        <f>HYPERLINK("https://www2.assemblee-nationale.fr/sycomore/fiche/(num_dept)/6268", "6268")</f>
        <v>0</v>
      </c>
      <c r="N4575">
        <f>HYPERLINK("https://www.wikidata.org/wiki/Q16026479", "Q16026479")</f>
        <v>0</v>
      </c>
      <c r="O4575" t="s">
        <v>20015</v>
      </c>
      <c r="P4575" t="s">
        <v>20459</v>
      </c>
      <c r="Q4575" t="s">
        <v>20671</v>
      </c>
      <c r="R4575" t="s">
        <v>21463</v>
      </c>
      <c r="S4575">
        <v>1052</v>
      </c>
    </row>
    <row r="4576" spans="1:19">
      <c r="A4576" t="s">
        <v>25</v>
      </c>
      <c r="B4576" t="s">
        <v>148</v>
      </c>
      <c r="C4576" t="s">
        <v>157</v>
      </c>
      <c r="D4576" t="s">
        <v>286</v>
      </c>
      <c r="E4576" t="s">
        <v>415</v>
      </c>
      <c r="F4576">
        <f>HYPERLINK("https://www.wikidata.org/wiki/Q33756706", "Q33756706")</f>
        <v>0</v>
      </c>
      <c r="G4576" t="s">
        <v>3043</v>
      </c>
      <c r="H4576" t="s">
        <v>7499</v>
      </c>
      <c r="I4576" t="s">
        <v>10595</v>
      </c>
      <c r="J4576" t="s">
        <v>13670</v>
      </c>
      <c r="K4576" t="s">
        <v>13021</v>
      </c>
      <c r="L4576">
        <f>HYPERLINK("https://www2.assemblee-nationale.fr/sycomore/fiche/(num_dept)/8106", "8106")</f>
        <v>0</v>
      </c>
      <c r="N4576">
        <f>HYPERLINK("https://www.wikidata.org/wiki/Q3184837", "Q3184837")</f>
        <v>0</v>
      </c>
      <c r="O4576" t="s">
        <v>19964</v>
      </c>
      <c r="Q4576" t="s">
        <v>12078</v>
      </c>
      <c r="R4576" t="s">
        <v>21463</v>
      </c>
      <c r="S4576">
        <v>1046</v>
      </c>
    </row>
    <row r="4577" spans="1:19">
      <c r="A4577" t="s">
        <v>25</v>
      </c>
      <c r="B4577" t="s">
        <v>148</v>
      </c>
      <c r="C4577" t="s">
        <v>157</v>
      </c>
      <c r="D4577" t="s">
        <v>286</v>
      </c>
      <c r="E4577" t="s">
        <v>415</v>
      </c>
      <c r="F4577">
        <f>HYPERLINK("https://www.wikidata.org/wiki/Q33756706", "Q33756706")</f>
        <v>0</v>
      </c>
      <c r="G4577" t="s">
        <v>3044</v>
      </c>
      <c r="H4577" t="s">
        <v>7500</v>
      </c>
      <c r="I4577" t="s">
        <v>10596</v>
      </c>
      <c r="J4577" t="s">
        <v>13671</v>
      </c>
      <c r="K4577" t="s">
        <v>18052</v>
      </c>
      <c r="L4577">
        <f>HYPERLINK("https://www2.assemblee-nationale.fr/sycomore/fiche/(num_dept)/8199", "8199")</f>
        <v>0</v>
      </c>
      <c r="N4577">
        <f>HYPERLINK("https://www.wikidata.org/wiki/Q322638", "Q322638")</f>
        <v>0</v>
      </c>
      <c r="O4577" t="s">
        <v>20013</v>
      </c>
      <c r="P4577" t="s">
        <v>20401</v>
      </c>
      <c r="Q4577" t="s">
        <v>20672</v>
      </c>
      <c r="R4577" t="s">
        <v>21463</v>
      </c>
      <c r="S4577">
        <v>1032</v>
      </c>
    </row>
    <row r="4578" spans="1:19">
      <c r="A4578" t="s">
        <v>25</v>
      </c>
      <c r="B4578" t="s">
        <v>148</v>
      </c>
      <c r="C4578" t="s">
        <v>157</v>
      </c>
      <c r="D4578" t="s">
        <v>286</v>
      </c>
      <c r="E4578" t="s">
        <v>415</v>
      </c>
      <c r="F4578">
        <f>HYPERLINK("https://www.wikidata.org/wiki/Q33756706", "Q33756706")</f>
        <v>0</v>
      </c>
      <c r="G4578" t="s">
        <v>3045</v>
      </c>
      <c r="H4578" t="s">
        <v>7501</v>
      </c>
      <c r="I4578" t="s">
        <v>6175</v>
      </c>
      <c r="J4578" t="s">
        <v>13672</v>
      </c>
      <c r="K4578" t="s">
        <v>18053</v>
      </c>
      <c r="L4578">
        <f>HYPERLINK("https://www2.assemblee-nationale.fr/sycomore/fiche/(num_dept)/8225", "8225")</f>
        <v>0</v>
      </c>
      <c r="N4578">
        <f>HYPERLINK("https://www.wikidata.org/wiki/Q15973917", "Q15973917")</f>
        <v>0</v>
      </c>
      <c r="O4578" t="s">
        <v>19965</v>
      </c>
      <c r="P4578" t="s">
        <v>20456</v>
      </c>
      <c r="Q4578" t="s">
        <v>20673</v>
      </c>
      <c r="R4578" t="s">
        <v>21463</v>
      </c>
      <c r="S4578">
        <v>1004</v>
      </c>
    </row>
    <row r="4579" spans="1:19">
      <c r="A4579" t="s">
        <v>25</v>
      </c>
      <c r="B4579" t="s">
        <v>148</v>
      </c>
      <c r="C4579" t="s">
        <v>157</v>
      </c>
      <c r="D4579" t="s">
        <v>286</v>
      </c>
      <c r="E4579" t="s">
        <v>415</v>
      </c>
      <c r="F4579">
        <f>HYPERLINK("https://www.wikidata.org/wiki/Q33756706", "Q33756706")</f>
        <v>0</v>
      </c>
      <c r="G4579" t="s">
        <v>3046</v>
      </c>
      <c r="H4579" t="s">
        <v>7502</v>
      </c>
      <c r="I4579" t="s">
        <v>10597</v>
      </c>
      <c r="J4579" t="s">
        <v>13673</v>
      </c>
      <c r="K4579" t="s">
        <v>18054</v>
      </c>
      <c r="L4579">
        <f>HYPERLINK("https://www2.assemblee-nationale.fr/sycomore/fiche/(num_dept)/7905", "7905")</f>
        <v>0</v>
      </c>
      <c r="N4579">
        <f>HYPERLINK("https://www.wikidata.org/wiki/Q725491", "Q725491")</f>
        <v>0</v>
      </c>
      <c r="O4579" t="s">
        <v>19969</v>
      </c>
      <c r="P4579" t="s">
        <v>20401</v>
      </c>
      <c r="Q4579" t="s">
        <v>20674</v>
      </c>
      <c r="R4579" t="s">
        <v>21463</v>
      </c>
      <c r="S4579">
        <v>983</v>
      </c>
    </row>
    <row r="4580" spans="1:19">
      <c r="A4580" t="s">
        <v>25</v>
      </c>
      <c r="B4580" t="s">
        <v>148</v>
      </c>
      <c r="C4580" t="s">
        <v>157</v>
      </c>
      <c r="D4580" t="s">
        <v>286</v>
      </c>
      <c r="E4580" t="s">
        <v>415</v>
      </c>
      <c r="F4580">
        <f>HYPERLINK("https://www.wikidata.org/wiki/Q33756706", "Q33756706")</f>
        <v>0</v>
      </c>
      <c r="G4580" t="s">
        <v>2540</v>
      </c>
      <c r="H4580" t="s">
        <v>7100</v>
      </c>
      <c r="I4580" t="s">
        <v>10276</v>
      </c>
      <c r="J4580" t="s">
        <v>13184</v>
      </c>
      <c r="K4580" t="s">
        <v>17589</v>
      </c>
      <c r="L4580">
        <f>HYPERLINK("https://www2.assemblee-nationale.fr/sycomore/fiche/(num_dept)/1878", "1878")</f>
        <v>0</v>
      </c>
      <c r="M4580">
        <f>HYPERLINK("https://www.senat.fr/senateur-3eme-republique/codet_jean1786r3.html", "codet_jean1786r3")</f>
        <v>0</v>
      </c>
      <c r="N4580">
        <f>HYPERLINK("https://www.wikidata.org/wiki/Q3171361", "Q3171361")</f>
        <v>0</v>
      </c>
      <c r="O4580" t="s">
        <v>19977</v>
      </c>
      <c r="Q4580" t="s">
        <v>20675</v>
      </c>
      <c r="R4580" t="s">
        <v>21463</v>
      </c>
      <c r="S4580">
        <v>969</v>
      </c>
    </row>
    <row r="4581" spans="1:19">
      <c r="A4581" t="s">
        <v>25</v>
      </c>
      <c r="B4581" t="s">
        <v>148</v>
      </c>
      <c r="C4581" t="s">
        <v>157</v>
      </c>
      <c r="D4581" t="s">
        <v>286</v>
      </c>
      <c r="E4581" t="s">
        <v>415</v>
      </c>
      <c r="F4581">
        <f>HYPERLINK("https://www.wikidata.org/wiki/Q33756706", "Q33756706")</f>
        <v>0</v>
      </c>
      <c r="G4581" t="s">
        <v>3047</v>
      </c>
      <c r="H4581" t="s">
        <v>7503</v>
      </c>
      <c r="I4581" t="s">
        <v>9421</v>
      </c>
      <c r="J4581" t="s">
        <v>13674</v>
      </c>
      <c r="K4581" t="s">
        <v>18055</v>
      </c>
      <c r="L4581">
        <f>HYPERLINK("https://www2.assemblee-nationale.fr/sycomore/fiche/(num_dept)/6001", "6001")</f>
        <v>0</v>
      </c>
      <c r="M4581">
        <f>HYPERLINK("https://www.senat.fr/senateur-3eme-republique/rivet_gustave1198r3.html", "rivet_gustave1198r3")</f>
        <v>0</v>
      </c>
      <c r="N4581">
        <f>HYPERLINK("https://www.wikidata.org/wiki/Q3121310", "Q3121310")</f>
        <v>0</v>
      </c>
      <c r="O4581" t="s">
        <v>20006</v>
      </c>
      <c r="P4581" t="s">
        <v>20401</v>
      </c>
      <c r="Q4581" t="s">
        <v>20675</v>
      </c>
      <c r="R4581" t="s">
        <v>21463</v>
      </c>
      <c r="S4581">
        <v>969</v>
      </c>
    </row>
    <row r="4582" spans="1:19">
      <c r="A4582" t="s">
        <v>25</v>
      </c>
      <c r="B4582" t="s">
        <v>148</v>
      </c>
      <c r="C4582" t="s">
        <v>157</v>
      </c>
      <c r="D4582" t="s">
        <v>286</v>
      </c>
      <c r="E4582" t="s">
        <v>415</v>
      </c>
      <c r="F4582">
        <f>HYPERLINK("https://www.wikidata.org/wiki/Q33756706", "Q33756706")</f>
        <v>0</v>
      </c>
      <c r="G4582" t="s">
        <v>2529</v>
      </c>
      <c r="H4582" t="s">
        <v>7090</v>
      </c>
      <c r="I4582" t="s">
        <v>6200</v>
      </c>
      <c r="J4582" t="s">
        <v>13173</v>
      </c>
      <c r="K4582" t="s">
        <v>17579</v>
      </c>
      <c r="L4582">
        <f>HYPERLINK("https://www2.assemblee-nationale.fr/sycomore/fiche/(num_dept)/1484", "1484")</f>
        <v>0</v>
      </c>
      <c r="N4582">
        <f>HYPERLINK("https://www.wikidata.org/wiki/Q315656", "Q315656")</f>
        <v>0</v>
      </c>
      <c r="O4582" t="s">
        <v>8449</v>
      </c>
      <c r="P4582" t="s">
        <v>20461</v>
      </c>
      <c r="Q4582" t="s">
        <v>20676</v>
      </c>
      <c r="R4582" t="s">
        <v>21463</v>
      </c>
      <c r="S4582">
        <v>941</v>
      </c>
    </row>
    <row r="4583" spans="1:19">
      <c r="A4583" t="s">
        <v>25</v>
      </c>
      <c r="B4583" t="s">
        <v>148</v>
      </c>
      <c r="C4583" t="s">
        <v>157</v>
      </c>
      <c r="D4583" t="s">
        <v>286</v>
      </c>
      <c r="E4583" t="s">
        <v>415</v>
      </c>
      <c r="F4583">
        <f>HYPERLINK("https://www.wikidata.org/wiki/Q33756706", "Q33756706")</f>
        <v>0</v>
      </c>
      <c r="G4583" t="s">
        <v>3048</v>
      </c>
      <c r="H4583" t="s">
        <v>7504</v>
      </c>
      <c r="I4583" t="s">
        <v>10598</v>
      </c>
      <c r="J4583" t="s">
        <v>13675</v>
      </c>
      <c r="L4583">
        <f>HYPERLINK("https://www2.assemblee-nationale.fr/sycomore/fiche/(num_dept)/8249", "8249")</f>
        <v>0</v>
      </c>
      <c r="N4583">
        <f>HYPERLINK("https://www.wikidata.org/wiki/Q3261404", "Q3261404")</f>
        <v>0</v>
      </c>
      <c r="O4583" t="s">
        <v>19969</v>
      </c>
      <c r="Q4583" t="s">
        <v>20677</v>
      </c>
      <c r="R4583" t="s">
        <v>21463</v>
      </c>
      <c r="S4583">
        <v>939</v>
      </c>
    </row>
    <row r="4584" spans="1:19">
      <c r="A4584" t="s">
        <v>25</v>
      </c>
      <c r="B4584" t="s">
        <v>148</v>
      </c>
      <c r="C4584" t="s">
        <v>157</v>
      </c>
      <c r="D4584" t="s">
        <v>286</v>
      </c>
      <c r="E4584" t="s">
        <v>415</v>
      </c>
      <c r="F4584">
        <f>HYPERLINK("https://www.wikidata.org/wiki/Q33756706", "Q33756706")</f>
        <v>0</v>
      </c>
      <c r="G4584" t="s">
        <v>3049</v>
      </c>
      <c r="H4584" t="s">
        <v>7505</v>
      </c>
      <c r="I4584" t="s">
        <v>10599</v>
      </c>
      <c r="J4584" t="s">
        <v>13676</v>
      </c>
      <c r="K4584" t="s">
        <v>18056</v>
      </c>
      <c r="L4584">
        <f>HYPERLINK("https://www2.assemblee-nationale.fr/sycomore/fiche/(num_dept)/7975", "7975")</f>
        <v>0</v>
      </c>
      <c r="N4584">
        <f>HYPERLINK("https://www.wikidata.org/wiki/Q13091116", "Q13091116")</f>
        <v>0</v>
      </c>
      <c r="O4584" t="s">
        <v>19969</v>
      </c>
      <c r="P4584" t="s">
        <v>20401</v>
      </c>
      <c r="Q4584" t="s">
        <v>13027</v>
      </c>
      <c r="R4584" t="s">
        <v>21463</v>
      </c>
      <c r="S4584">
        <v>934</v>
      </c>
    </row>
    <row r="4585" spans="1:19">
      <c r="A4585" t="s">
        <v>25</v>
      </c>
      <c r="B4585" t="s">
        <v>148</v>
      </c>
      <c r="C4585" t="s">
        <v>157</v>
      </c>
      <c r="D4585" t="s">
        <v>286</v>
      </c>
      <c r="E4585" t="s">
        <v>415</v>
      </c>
      <c r="F4585">
        <f>HYPERLINK("https://www.wikidata.org/wiki/Q33756706", "Q33756706")</f>
        <v>0</v>
      </c>
      <c r="G4585" t="s">
        <v>3050</v>
      </c>
      <c r="H4585" t="s">
        <v>7506</v>
      </c>
      <c r="I4585" t="s">
        <v>10600</v>
      </c>
      <c r="J4585" t="s">
        <v>13677</v>
      </c>
      <c r="K4585" t="s">
        <v>18057</v>
      </c>
      <c r="L4585">
        <f>HYPERLINK("https://www2.assemblee-nationale.fr/sycomore/fiche/(num_dept)/8162", "8162")</f>
        <v>0</v>
      </c>
      <c r="N4585">
        <f>HYPERLINK("https://www.wikidata.org/wiki/Q16026460", "Q16026460")</f>
        <v>0</v>
      </c>
      <c r="O4585" t="s">
        <v>19974</v>
      </c>
      <c r="P4585" t="s">
        <v>20461</v>
      </c>
      <c r="Q4585" t="s">
        <v>19344</v>
      </c>
      <c r="R4585" t="s">
        <v>21463</v>
      </c>
      <c r="S4585">
        <v>927</v>
      </c>
    </row>
    <row r="4586" spans="1:19">
      <c r="A4586" t="s">
        <v>25</v>
      </c>
      <c r="B4586" t="s">
        <v>148</v>
      </c>
      <c r="C4586" t="s">
        <v>157</v>
      </c>
      <c r="D4586" t="s">
        <v>286</v>
      </c>
      <c r="E4586" t="s">
        <v>415</v>
      </c>
      <c r="F4586">
        <f>HYPERLINK("https://www.wikidata.org/wiki/Q33756706", "Q33756706")</f>
        <v>0</v>
      </c>
      <c r="G4586" t="s">
        <v>3051</v>
      </c>
      <c r="H4586" t="s">
        <v>7477</v>
      </c>
      <c r="I4586" t="s">
        <v>7671</v>
      </c>
      <c r="J4586" t="s">
        <v>13351</v>
      </c>
      <c r="K4586" t="s">
        <v>18058</v>
      </c>
      <c r="L4586">
        <f>HYPERLINK("https://www2.assemblee-nationale.fr/sycomore/fiche/(num_dept)/7949", "7949")</f>
        <v>0</v>
      </c>
      <c r="M4586">
        <f>HYPERLINK("https://www.senat.fr/senateur-3eme-republique/gaillard_gilbert0997r3.html", "gaillard_gilbert0997r3")</f>
        <v>0</v>
      </c>
      <c r="N4586">
        <f>HYPERLINK("https://www.wikidata.org/wiki/Q3105720", "Q3105720")</f>
        <v>0</v>
      </c>
      <c r="O4586" t="s">
        <v>20005</v>
      </c>
      <c r="P4586" t="s">
        <v>20459</v>
      </c>
      <c r="Q4586" t="s">
        <v>11774</v>
      </c>
      <c r="R4586" t="s">
        <v>21463</v>
      </c>
      <c r="S4586">
        <v>920</v>
      </c>
    </row>
    <row r="4587" spans="1:19">
      <c r="A4587" t="s">
        <v>25</v>
      </c>
      <c r="B4587" t="s">
        <v>148</v>
      </c>
      <c r="C4587" t="s">
        <v>157</v>
      </c>
      <c r="D4587" t="s">
        <v>286</v>
      </c>
      <c r="E4587" t="s">
        <v>415</v>
      </c>
      <c r="F4587">
        <f>HYPERLINK("https://www.wikidata.org/wiki/Q33756706", "Q33756706")</f>
        <v>0</v>
      </c>
      <c r="G4587" t="s">
        <v>3052</v>
      </c>
      <c r="H4587" t="s">
        <v>7507</v>
      </c>
      <c r="I4587" t="s">
        <v>10601</v>
      </c>
      <c r="J4587" t="s">
        <v>13678</v>
      </c>
      <c r="K4587" t="s">
        <v>18059</v>
      </c>
      <c r="L4587">
        <f>HYPERLINK("https://www2.assemblee-nationale.fr/sycomore/fiche/(num_dept)/5987", "5987")</f>
        <v>0</v>
      </c>
      <c r="M4587">
        <f>HYPERLINK("https://www.senat.fr/senateur-3eme-republique/pochon_joseph0015r3.html", "pochon_joseph0015r3")</f>
        <v>0</v>
      </c>
      <c r="N4587">
        <f>HYPERLINK("https://www.wikidata.org/wiki/Q3185501", "Q3185501")</f>
        <v>0</v>
      </c>
      <c r="O4587" t="s">
        <v>19986</v>
      </c>
      <c r="P4587" t="s">
        <v>20456</v>
      </c>
      <c r="Q4587" t="s">
        <v>20678</v>
      </c>
      <c r="R4587" t="s">
        <v>21463</v>
      </c>
      <c r="S4587">
        <v>913</v>
      </c>
    </row>
    <row r="4588" spans="1:19">
      <c r="A4588" t="s">
        <v>25</v>
      </c>
      <c r="B4588" t="s">
        <v>148</v>
      </c>
      <c r="C4588" t="s">
        <v>157</v>
      </c>
      <c r="D4588" t="s">
        <v>286</v>
      </c>
      <c r="E4588" t="s">
        <v>415</v>
      </c>
      <c r="F4588">
        <f>HYPERLINK("https://www.wikidata.org/wiki/Q33756706", "Q33756706")</f>
        <v>0</v>
      </c>
      <c r="G4588" t="s">
        <v>3053</v>
      </c>
      <c r="H4588" t="s">
        <v>7508</v>
      </c>
      <c r="I4588" t="s">
        <v>9449</v>
      </c>
      <c r="J4588" t="s">
        <v>13679</v>
      </c>
      <c r="K4588" t="s">
        <v>18060</v>
      </c>
      <c r="L4588">
        <f>HYPERLINK("https://www2.assemblee-nationale.fr/sycomore/fiche/(num_dept)/7914", "7914")</f>
        <v>0</v>
      </c>
      <c r="N4588">
        <f>HYPERLINK("https://www.wikidata.org/wiki/Q3188470", "Q3188470")</f>
        <v>0</v>
      </c>
      <c r="O4588" t="s">
        <v>19988</v>
      </c>
      <c r="P4588" t="s">
        <v>20401</v>
      </c>
      <c r="Q4588" t="s">
        <v>20679</v>
      </c>
      <c r="R4588" t="s">
        <v>21463</v>
      </c>
      <c r="S4588">
        <v>906</v>
      </c>
    </row>
    <row r="4589" spans="1:19">
      <c r="A4589" t="s">
        <v>25</v>
      </c>
      <c r="B4589" t="s">
        <v>148</v>
      </c>
      <c r="C4589" t="s">
        <v>157</v>
      </c>
      <c r="D4589" t="s">
        <v>286</v>
      </c>
      <c r="E4589" t="s">
        <v>415</v>
      </c>
      <c r="F4589">
        <f>HYPERLINK("https://www.wikidata.org/wiki/Q33756706", "Q33756706")</f>
        <v>0</v>
      </c>
      <c r="G4589" t="s">
        <v>3054</v>
      </c>
      <c r="H4589" t="s">
        <v>7509</v>
      </c>
      <c r="I4589" t="s">
        <v>10571</v>
      </c>
      <c r="J4589" t="s">
        <v>13680</v>
      </c>
      <c r="K4589" t="s">
        <v>18061</v>
      </c>
      <c r="L4589">
        <f>HYPERLINK("https://www2.assemblee-nationale.fr/sycomore/fiche/(num_dept)/1224", "1224")</f>
        <v>0</v>
      </c>
      <c r="M4589">
        <f>HYPERLINK("https://www.senat.fr/senateur-3eme-republique/briens_ernest1030r3.html", "briens_ernest1030r3")</f>
        <v>0</v>
      </c>
      <c r="N4589">
        <f>HYPERLINK("https://www.wikidata.org/wiki/Q3056863", "Q3056863")</f>
        <v>0</v>
      </c>
      <c r="O4589" t="s">
        <v>19985</v>
      </c>
      <c r="Q4589" t="s">
        <v>20680</v>
      </c>
      <c r="R4589" t="s">
        <v>21463</v>
      </c>
      <c r="S4589">
        <v>892</v>
      </c>
    </row>
    <row r="4590" spans="1:19">
      <c r="A4590" t="s">
        <v>25</v>
      </c>
      <c r="B4590" t="s">
        <v>148</v>
      </c>
      <c r="C4590" t="s">
        <v>157</v>
      </c>
      <c r="D4590" t="s">
        <v>286</v>
      </c>
      <c r="E4590" t="s">
        <v>415</v>
      </c>
      <c r="F4590">
        <f>HYPERLINK("https://www.wikidata.org/wiki/Q33756706", "Q33756706")</f>
        <v>0</v>
      </c>
      <c r="G4590" t="s">
        <v>3055</v>
      </c>
      <c r="H4590" t="s">
        <v>6149</v>
      </c>
      <c r="I4590" t="s">
        <v>9538</v>
      </c>
      <c r="J4590" t="s">
        <v>13681</v>
      </c>
      <c r="K4590" t="s">
        <v>18062</v>
      </c>
      <c r="L4590">
        <f>HYPERLINK("https://www2.assemblee-nationale.fr/sycomore/fiche/(num_dept)/2799", "2799")</f>
        <v>0</v>
      </c>
      <c r="M4590">
        <f>HYPERLINK("https://www.senat.fr/senateur-3eme-republique/duval_cesar1318r3.html", "duval_cesar1318r3")</f>
        <v>0</v>
      </c>
      <c r="N4590">
        <f>HYPERLINK("https://www.wikidata.org/wiki/Q3010446", "Q3010446")</f>
        <v>0</v>
      </c>
      <c r="O4590" t="s">
        <v>20018</v>
      </c>
      <c r="Q4590" t="s">
        <v>20680</v>
      </c>
      <c r="R4590" t="s">
        <v>21463</v>
      </c>
      <c r="S4590">
        <v>892</v>
      </c>
    </row>
    <row r="4591" spans="1:19">
      <c r="A4591" t="s">
        <v>25</v>
      </c>
      <c r="B4591" t="s">
        <v>148</v>
      </c>
      <c r="C4591" t="s">
        <v>157</v>
      </c>
      <c r="D4591" t="s">
        <v>286</v>
      </c>
      <c r="E4591" t="s">
        <v>415</v>
      </c>
      <c r="F4591">
        <f>HYPERLINK("https://www.wikidata.org/wiki/Q33756706", "Q33756706")</f>
        <v>0</v>
      </c>
      <c r="G4591" t="s">
        <v>3056</v>
      </c>
      <c r="H4591" t="s">
        <v>7510</v>
      </c>
      <c r="I4591" t="s">
        <v>6495</v>
      </c>
      <c r="J4591" t="s">
        <v>13682</v>
      </c>
      <c r="K4591" t="s">
        <v>18063</v>
      </c>
      <c r="L4591">
        <f>HYPERLINK("https://www2.assemblee-nationale.fr/sycomore/fiche/(num_dept)/8229", "8229")</f>
        <v>0</v>
      </c>
      <c r="N4591">
        <f>HYPERLINK("https://www.wikidata.org/wiki/Q10644316", "Q10644316")</f>
        <v>0</v>
      </c>
      <c r="O4591" t="s">
        <v>19965</v>
      </c>
      <c r="P4591" t="s">
        <v>20456</v>
      </c>
      <c r="Q4591" t="s">
        <v>20681</v>
      </c>
      <c r="R4591" t="s">
        <v>21463</v>
      </c>
      <c r="S4591">
        <v>878</v>
      </c>
    </row>
    <row r="4592" spans="1:19">
      <c r="A4592" t="s">
        <v>25</v>
      </c>
      <c r="B4592" t="s">
        <v>148</v>
      </c>
      <c r="C4592" t="s">
        <v>157</v>
      </c>
      <c r="D4592" t="s">
        <v>286</v>
      </c>
      <c r="E4592" t="s">
        <v>415</v>
      </c>
      <c r="F4592">
        <f>HYPERLINK("https://www.wikidata.org/wiki/Q33756706", "Q33756706")</f>
        <v>0</v>
      </c>
      <c r="G4592" t="s">
        <v>3057</v>
      </c>
      <c r="H4592" t="s">
        <v>7511</v>
      </c>
      <c r="I4592" t="s">
        <v>10602</v>
      </c>
      <c r="J4592" t="s">
        <v>13683</v>
      </c>
      <c r="K4592" t="s">
        <v>18064</v>
      </c>
      <c r="L4592">
        <f>HYPERLINK("https://www2.assemblee-nationale.fr/sycomore/fiche/(num_dept)/3076", "3076")</f>
        <v>0</v>
      </c>
      <c r="M4592">
        <f>HYPERLINK("https://www.senat.fr/senateur-3eme-republique/fougeirol_edouard0132r3.html", "fougeirol_edouard0132r3")</f>
        <v>0</v>
      </c>
      <c r="N4592">
        <f>HYPERLINK("https://www.wikidata.org/wiki/Q3579840", "Q3579840")</f>
        <v>0</v>
      </c>
      <c r="O4592" t="s">
        <v>19991</v>
      </c>
      <c r="Q4592" t="s">
        <v>20682</v>
      </c>
      <c r="R4592" t="s">
        <v>21463</v>
      </c>
      <c r="S4592">
        <v>843</v>
      </c>
    </row>
    <row r="4593" spans="1:19">
      <c r="A4593" t="s">
        <v>25</v>
      </c>
      <c r="B4593" t="s">
        <v>148</v>
      </c>
      <c r="C4593" t="s">
        <v>157</v>
      </c>
      <c r="D4593" t="s">
        <v>286</v>
      </c>
      <c r="E4593" t="s">
        <v>415</v>
      </c>
      <c r="F4593">
        <f>HYPERLINK("https://www.wikidata.org/wiki/Q33756706", "Q33756706")</f>
        <v>0</v>
      </c>
      <c r="G4593" t="s">
        <v>3058</v>
      </c>
      <c r="H4593" t="s">
        <v>7512</v>
      </c>
      <c r="I4593" t="s">
        <v>6860</v>
      </c>
      <c r="J4593" t="s">
        <v>11513</v>
      </c>
      <c r="K4593" t="s">
        <v>18065</v>
      </c>
      <c r="L4593">
        <f>HYPERLINK("https://www2.assemblee-nationale.fr/sycomore/fiche/(num_dept)/5672", "5672")</f>
        <v>0</v>
      </c>
      <c r="N4593">
        <f>HYPERLINK("https://www.wikidata.org/wiki/Q16026257", "Q16026257")</f>
        <v>0</v>
      </c>
      <c r="O4593" t="s">
        <v>19960</v>
      </c>
      <c r="P4593" t="s">
        <v>20459</v>
      </c>
      <c r="Q4593" t="s">
        <v>12188</v>
      </c>
      <c r="R4593" t="s">
        <v>21463</v>
      </c>
      <c r="S4593">
        <v>801</v>
      </c>
    </row>
    <row r="4594" spans="1:19">
      <c r="A4594" t="s">
        <v>25</v>
      </c>
      <c r="B4594" t="s">
        <v>148</v>
      </c>
      <c r="C4594" t="s">
        <v>157</v>
      </c>
      <c r="D4594" t="s">
        <v>286</v>
      </c>
      <c r="E4594" t="s">
        <v>415</v>
      </c>
      <c r="F4594">
        <f>HYPERLINK("https://www.wikidata.org/wiki/Q33756706", "Q33756706")</f>
        <v>0</v>
      </c>
      <c r="G4594" t="s">
        <v>3059</v>
      </c>
      <c r="H4594" t="s">
        <v>7513</v>
      </c>
      <c r="I4594" t="s">
        <v>10603</v>
      </c>
      <c r="J4594" t="s">
        <v>13396</v>
      </c>
      <c r="K4594" t="s">
        <v>18066</v>
      </c>
      <c r="L4594">
        <f>HYPERLINK("https://www2.assemblee-nationale.fr/sycomore/fiche/(num_dept)/8017", "8017")</f>
        <v>0</v>
      </c>
      <c r="N4594">
        <f>HYPERLINK("https://www.wikidata.org/wiki/Q14476970", "Q14476970")</f>
        <v>0</v>
      </c>
      <c r="O4594" t="s">
        <v>20007</v>
      </c>
      <c r="P4594" t="s">
        <v>20459</v>
      </c>
      <c r="Q4594" t="s">
        <v>12702</v>
      </c>
      <c r="R4594" t="s">
        <v>21463</v>
      </c>
      <c r="S4594">
        <v>780</v>
      </c>
    </row>
    <row r="4595" spans="1:19">
      <c r="A4595" t="s">
        <v>25</v>
      </c>
      <c r="B4595" t="s">
        <v>148</v>
      </c>
      <c r="C4595" t="s">
        <v>157</v>
      </c>
      <c r="D4595" t="s">
        <v>286</v>
      </c>
      <c r="E4595" t="s">
        <v>415</v>
      </c>
      <c r="F4595">
        <f>HYPERLINK("https://www.wikidata.org/wiki/Q33756706", "Q33756706")</f>
        <v>0</v>
      </c>
      <c r="G4595" t="s">
        <v>3060</v>
      </c>
      <c r="H4595" t="s">
        <v>5406</v>
      </c>
      <c r="I4595" t="s">
        <v>6076</v>
      </c>
      <c r="J4595" t="s">
        <v>13684</v>
      </c>
      <c r="K4595" t="s">
        <v>18067</v>
      </c>
      <c r="L4595">
        <f>HYPERLINK("https://www2.assemblee-nationale.fr/sycomore/fiche/(num_dept)/7947", "7947")</f>
        <v>0</v>
      </c>
      <c r="N4595">
        <f>HYPERLINK("https://www.wikidata.org/wiki/Q13080818", "Q13080818")</f>
        <v>0</v>
      </c>
      <c r="O4595" t="s">
        <v>19969</v>
      </c>
      <c r="P4595" t="s">
        <v>20465</v>
      </c>
      <c r="Q4595" t="s">
        <v>20683</v>
      </c>
      <c r="R4595" t="s">
        <v>21463</v>
      </c>
      <c r="S4595">
        <v>766</v>
      </c>
    </row>
    <row r="4596" spans="1:19">
      <c r="A4596" t="s">
        <v>25</v>
      </c>
      <c r="B4596" t="s">
        <v>148</v>
      </c>
      <c r="C4596" t="s">
        <v>157</v>
      </c>
      <c r="D4596" t="s">
        <v>286</v>
      </c>
      <c r="E4596" t="s">
        <v>415</v>
      </c>
      <c r="F4596">
        <f>HYPERLINK("https://www.wikidata.org/wiki/Q33756706", "Q33756706")</f>
        <v>0</v>
      </c>
      <c r="G4596" t="s">
        <v>3061</v>
      </c>
      <c r="H4596" t="s">
        <v>7514</v>
      </c>
      <c r="I4596" t="s">
        <v>9481</v>
      </c>
      <c r="J4596" t="s">
        <v>13685</v>
      </c>
      <c r="K4596" t="s">
        <v>18068</v>
      </c>
      <c r="L4596">
        <f>HYPERLINK("https://www2.assemblee-nationale.fr/sycomore/fiche/(num_dept)/7996", "7996")</f>
        <v>0</v>
      </c>
      <c r="N4596">
        <f>HYPERLINK("https://www.wikidata.org/wiki/Q16026007", "Q16026007")</f>
        <v>0</v>
      </c>
      <c r="O4596" t="s">
        <v>19994</v>
      </c>
      <c r="P4596" t="s">
        <v>20401</v>
      </c>
      <c r="Q4596" t="s">
        <v>20684</v>
      </c>
      <c r="R4596" t="s">
        <v>21463</v>
      </c>
      <c r="S4596">
        <v>752</v>
      </c>
    </row>
    <row r="4597" spans="1:19">
      <c r="A4597" t="s">
        <v>25</v>
      </c>
      <c r="B4597" t="s">
        <v>148</v>
      </c>
      <c r="C4597" t="s">
        <v>157</v>
      </c>
      <c r="D4597" t="s">
        <v>286</v>
      </c>
      <c r="E4597" t="s">
        <v>415</v>
      </c>
      <c r="F4597">
        <f>HYPERLINK("https://www.wikidata.org/wiki/Q33756706", "Q33756706")</f>
        <v>0</v>
      </c>
      <c r="G4597" t="s">
        <v>981</v>
      </c>
      <c r="H4597" t="s">
        <v>5733</v>
      </c>
      <c r="I4597" t="s">
        <v>6175</v>
      </c>
      <c r="J4597" t="s">
        <v>11719</v>
      </c>
      <c r="K4597" t="s">
        <v>16123</v>
      </c>
      <c r="L4597">
        <f>HYPERLINK("https://www2.assemblee-nationale.fr/sycomore/fiche/(num_dept)/4272", "4272")</f>
        <v>0</v>
      </c>
      <c r="N4597">
        <f>HYPERLINK("https://www.wikidata.org/wiki/Q3103015", "Q3103015")</f>
        <v>0</v>
      </c>
      <c r="O4597" t="s">
        <v>20047</v>
      </c>
      <c r="P4597" t="s">
        <v>20401</v>
      </c>
      <c r="Q4597" t="s">
        <v>20685</v>
      </c>
      <c r="R4597" t="s">
        <v>21463</v>
      </c>
      <c r="S4597">
        <v>745</v>
      </c>
    </row>
    <row r="4598" spans="1:19">
      <c r="A4598" t="s">
        <v>25</v>
      </c>
      <c r="B4598" t="s">
        <v>148</v>
      </c>
      <c r="C4598" t="s">
        <v>157</v>
      </c>
      <c r="D4598" t="s">
        <v>286</v>
      </c>
      <c r="E4598" t="s">
        <v>415</v>
      </c>
      <c r="F4598">
        <f>HYPERLINK("https://www.wikidata.org/wiki/Q33756706", "Q33756706")</f>
        <v>0</v>
      </c>
      <c r="G4598" t="s">
        <v>3062</v>
      </c>
      <c r="H4598" t="s">
        <v>7515</v>
      </c>
      <c r="I4598" t="s">
        <v>9552</v>
      </c>
      <c r="J4598" t="s">
        <v>13686</v>
      </c>
      <c r="K4598" t="s">
        <v>18069</v>
      </c>
      <c r="L4598">
        <f>HYPERLINK("https://www2.assemblee-nationale.fr/sycomore/fiche/(num_dept)/3230", "3230")</f>
        <v>0</v>
      </c>
      <c r="M4598">
        <f>HYPERLINK("https://www.senat.fr/senateur-3eme-republique/galtier_jean0238r3.html", "galtier_jean0238r3")</f>
        <v>0</v>
      </c>
      <c r="N4598">
        <f>HYPERLINK("https://www.wikidata.org/wiki/Q3172204", "Q3172204")</f>
        <v>0</v>
      </c>
      <c r="O4598" t="s">
        <v>7411</v>
      </c>
      <c r="P4598" t="s">
        <v>20401</v>
      </c>
      <c r="Q4598" t="s">
        <v>20686</v>
      </c>
      <c r="R4598" t="s">
        <v>21463</v>
      </c>
      <c r="S4598">
        <v>689</v>
      </c>
    </row>
    <row r="4599" spans="1:19">
      <c r="A4599" t="s">
        <v>25</v>
      </c>
      <c r="B4599" t="s">
        <v>148</v>
      </c>
      <c r="C4599" t="s">
        <v>157</v>
      </c>
      <c r="D4599" t="s">
        <v>286</v>
      </c>
      <c r="E4599" t="s">
        <v>415</v>
      </c>
      <c r="F4599">
        <f>HYPERLINK("https://www.wikidata.org/wiki/Q33756706", "Q33756706")</f>
        <v>0</v>
      </c>
      <c r="G4599" t="s">
        <v>3063</v>
      </c>
      <c r="H4599" t="s">
        <v>7516</v>
      </c>
      <c r="I4599" t="s">
        <v>9438</v>
      </c>
      <c r="J4599" t="s">
        <v>13687</v>
      </c>
      <c r="K4599" t="s">
        <v>18070</v>
      </c>
      <c r="L4599">
        <f>HYPERLINK("https://www2.assemblee-nationale.fr/sycomore/fiche/(num_dept)/3405", "3405")</f>
        <v>0</v>
      </c>
      <c r="M4599">
        <f>HYPERLINK("https://www.senat.fr/senateur-3eme-republique/giguet_honore0009r3.html", "giguet_honore0009r3")</f>
        <v>0</v>
      </c>
      <c r="N4599">
        <f>HYPERLINK("https://www.wikidata.org/wiki/Q3140225", "Q3140225")</f>
        <v>0</v>
      </c>
      <c r="O4599" t="s">
        <v>19986</v>
      </c>
      <c r="P4599" t="s">
        <v>20459</v>
      </c>
      <c r="Q4599" t="s">
        <v>20686</v>
      </c>
      <c r="R4599" t="s">
        <v>21463</v>
      </c>
      <c r="S4599">
        <v>689</v>
      </c>
    </row>
    <row r="4600" spans="1:19">
      <c r="A4600" t="s">
        <v>25</v>
      </c>
      <c r="B4600" t="s">
        <v>148</v>
      </c>
      <c r="C4600" t="s">
        <v>157</v>
      </c>
      <c r="D4600" t="s">
        <v>286</v>
      </c>
      <c r="E4600" t="s">
        <v>415</v>
      </c>
      <c r="F4600">
        <f>HYPERLINK("https://www.wikidata.org/wiki/Q33756706", "Q33756706")</f>
        <v>0</v>
      </c>
      <c r="G4600" t="s">
        <v>3064</v>
      </c>
      <c r="H4600" t="s">
        <v>7517</v>
      </c>
      <c r="I4600" t="s">
        <v>10604</v>
      </c>
      <c r="J4600" t="s">
        <v>13688</v>
      </c>
      <c r="K4600" t="s">
        <v>18071</v>
      </c>
      <c r="L4600">
        <f>HYPERLINK("https://www2.assemblee-nationale.fr/sycomore/fiche/(num_dept)/205", "205")</f>
        <v>0</v>
      </c>
      <c r="N4600">
        <f>HYPERLINK("https://www.wikidata.org/wiki/Q15973359", "Q15973359")</f>
        <v>0</v>
      </c>
      <c r="O4600" t="s">
        <v>20031</v>
      </c>
      <c r="P4600" t="s">
        <v>20460</v>
      </c>
      <c r="Q4600" t="s">
        <v>20687</v>
      </c>
      <c r="R4600" t="s">
        <v>21463</v>
      </c>
      <c r="S4600">
        <v>633</v>
      </c>
    </row>
    <row r="4601" spans="1:19">
      <c r="A4601" t="s">
        <v>25</v>
      </c>
      <c r="B4601" t="s">
        <v>148</v>
      </c>
      <c r="C4601" t="s">
        <v>157</v>
      </c>
      <c r="D4601" t="s">
        <v>286</v>
      </c>
      <c r="E4601" t="s">
        <v>415</v>
      </c>
      <c r="F4601">
        <f>HYPERLINK("https://www.wikidata.org/wiki/Q33756706", "Q33756706")</f>
        <v>0</v>
      </c>
      <c r="G4601" t="s">
        <v>3065</v>
      </c>
      <c r="H4601" t="s">
        <v>7420</v>
      </c>
      <c r="I4601" t="s">
        <v>10605</v>
      </c>
      <c r="J4601" t="s">
        <v>13689</v>
      </c>
      <c r="K4601" t="s">
        <v>18072</v>
      </c>
      <c r="L4601">
        <f>HYPERLINK("https://www2.assemblee-nationale.fr/sycomore/fiche/(num_dept)/8100", "8100")</f>
        <v>0</v>
      </c>
      <c r="N4601">
        <f>HYPERLINK("https://www.wikidata.org/wiki/Q15973523", "Q15973523")</f>
        <v>0</v>
      </c>
      <c r="O4601" t="s">
        <v>19955</v>
      </c>
      <c r="P4601" t="s">
        <v>20401</v>
      </c>
      <c r="Q4601" t="s">
        <v>20687</v>
      </c>
      <c r="R4601" t="s">
        <v>21463</v>
      </c>
      <c r="S4601">
        <v>633</v>
      </c>
    </row>
    <row r="4602" spans="1:19">
      <c r="A4602" t="s">
        <v>25</v>
      </c>
      <c r="B4602" t="s">
        <v>148</v>
      </c>
      <c r="C4602" t="s">
        <v>157</v>
      </c>
      <c r="D4602" t="s">
        <v>286</v>
      </c>
      <c r="E4602" t="s">
        <v>415</v>
      </c>
      <c r="F4602">
        <f>HYPERLINK("https://www.wikidata.org/wiki/Q33756706", "Q33756706")</f>
        <v>0</v>
      </c>
      <c r="G4602" t="s">
        <v>3066</v>
      </c>
      <c r="H4602" t="s">
        <v>7518</v>
      </c>
      <c r="I4602" t="s">
        <v>10606</v>
      </c>
      <c r="J4602" t="s">
        <v>13690</v>
      </c>
      <c r="K4602" t="s">
        <v>18073</v>
      </c>
      <c r="L4602">
        <f>HYPERLINK("https://www2.assemblee-nationale.fr/sycomore/fiche/(num_dept)/8255", "8255")</f>
        <v>0</v>
      </c>
      <c r="N4602">
        <f>HYPERLINK("https://www.wikidata.org/wiki/Q16025815", "Q16025815")</f>
        <v>0</v>
      </c>
      <c r="O4602" t="s">
        <v>19978</v>
      </c>
      <c r="P4602" t="s">
        <v>20460</v>
      </c>
      <c r="Q4602" t="s">
        <v>20687</v>
      </c>
      <c r="R4602" t="s">
        <v>415</v>
      </c>
      <c r="S4602">
        <v>659</v>
      </c>
    </row>
    <row r="4603" spans="1:19">
      <c r="A4603" t="s">
        <v>25</v>
      </c>
      <c r="B4603" t="s">
        <v>148</v>
      </c>
      <c r="C4603" t="s">
        <v>157</v>
      </c>
      <c r="D4603" t="s">
        <v>286</v>
      </c>
      <c r="E4603" t="s">
        <v>415</v>
      </c>
      <c r="F4603">
        <f>HYPERLINK("https://www.wikidata.org/wiki/Q33756706", "Q33756706")</f>
        <v>0</v>
      </c>
      <c r="G4603" t="s">
        <v>3067</v>
      </c>
      <c r="H4603" t="s">
        <v>7519</v>
      </c>
      <c r="I4603" t="s">
        <v>10607</v>
      </c>
      <c r="J4603" t="s">
        <v>13691</v>
      </c>
      <c r="K4603" t="s">
        <v>18074</v>
      </c>
      <c r="L4603">
        <f>HYPERLINK("https://www2.assemblee-nationale.fr/sycomore/fiche/(num_dept)/4209", "4209")</f>
        <v>0</v>
      </c>
      <c r="M4603">
        <f>HYPERLINK("https://www.senat.fr/senateur-3eme-republique/labrousse_philippe0456r3.html", "labrousse_philippe0456r3")</f>
        <v>0</v>
      </c>
      <c r="N4603">
        <f>HYPERLINK("https://www.wikidata.org/wiki/Q3380114", "Q3380114")</f>
        <v>0</v>
      </c>
      <c r="O4603" t="s">
        <v>20020</v>
      </c>
      <c r="Q4603" t="s">
        <v>20688</v>
      </c>
      <c r="R4603" t="s">
        <v>21463</v>
      </c>
      <c r="S4603">
        <v>598</v>
      </c>
    </row>
    <row r="4604" spans="1:19">
      <c r="A4604" t="s">
        <v>25</v>
      </c>
      <c r="B4604" t="s">
        <v>148</v>
      </c>
      <c r="C4604" t="s">
        <v>157</v>
      </c>
      <c r="D4604" t="s">
        <v>286</v>
      </c>
      <c r="E4604" t="s">
        <v>415</v>
      </c>
      <c r="F4604">
        <f>HYPERLINK("https://www.wikidata.org/wiki/Q33756706", "Q33756706")</f>
        <v>0</v>
      </c>
      <c r="G4604" t="s">
        <v>3068</v>
      </c>
      <c r="H4604" t="s">
        <v>7303</v>
      </c>
      <c r="I4604" t="s">
        <v>10608</v>
      </c>
      <c r="J4604" t="s">
        <v>13692</v>
      </c>
      <c r="K4604" t="s">
        <v>18075</v>
      </c>
      <c r="L4604">
        <f>HYPERLINK("https://www2.assemblee-nationale.fr/sycomore/fiche/(num_dept)/6785", "6785")</f>
        <v>0</v>
      </c>
      <c r="N4604">
        <f>HYPERLINK("https://www.wikidata.org/wiki/Q3090160", "Q3090160")</f>
        <v>0</v>
      </c>
      <c r="O4604" t="s">
        <v>19964</v>
      </c>
      <c r="P4604" t="s">
        <v>20460</v>
      </c>
      <c r="Q4604" t="s">
        <v>20688</v>
      </c>
      <c r="R4604" t="s">
        <v>21463</v>
      </c>
      <c r="S4604">
        <v>598</v>
      </c>
    </row>
    <row r="4605" spans="1:19">
      <c r="A4605" t="s">
        <v>25</v>
      </c>
      <c r="B4605" t="s">
        <v>148</v>
      </c>
      <c r="C4605" t="s">
        <v>157</v>
      </c>
      <c r="D4605" t="s">
        <v>286</v>
      </c>
      <c r="E4605" t="s">
        <v>415</v>
      </c>
      <c r="F4605">
        <f>HYPERLINK("https://www.wikidata.org/wiki/Q33756706", "Q33756706")</f>
        <v>0</v>
      </c>
      <c r="G4605" t="s">
        <v>3069</v>
      </c>
      <c r="H4605" t="s">
        <v>7520</v>
      </c>
      <c r="I4605" t="s">
        <v>10609</v>
      </c>
      <c r="J4605" t="s">
        <v>13693</v>
      </c>
      <c r="K4605" t="s">
        <v>18076</v>
      </c>
      <c r="L4605">
        <f>HYPERLINK("https://www2.assemblee-nationale.fr/sycomore/fiche/(num_dept)/25", "25")</f>
        <v>0</v>
      </c>
      <c r="N4605">
        <f>HYPERLINK("https://www.wikidata.org/wiki/Q15302973", "Q15302973")</f>
        <v>0</v>
      </c>
      <c r="O4605" t="s">
        <v>19962</v>
      </c>
      <c r="Q4605" t="s">
        <v>20689</v>
      </c>
      <c r="R4605" t="s">
        <v>21463</v>
      </c>
      <c r="S4605">
        <v>570</v>
      </c>
    </row>
    <row r="4606" spans="1:19">
      <c r="A4606" t="s">
        <v>25</v>
      </c>
      <c r="B4606" t="s">
        <v>148</v>
      </c>
      <c r="C4606" t="s">
        <v>157</v>
      </c>
      <c r="D4606" t="s">
        <v>286</v>
      </c>
      <c r="E4606" t="s">
        <v>415</v>
      </c>
      <c r="F4606">
        <f>HYPERLINK("https://www.wikidata.org/wiki/Q33756706", "Q33756706")</f>
        <v>0</v>
      </c>
      <c r="G4606" t="s">
        <v>3070</v>
      </c>
      <c r="H4606" t="s">
        <v>7521</v>
      </c>
      <c r="I4606" t="s">
        <v>10610</v>
      </c>
      <c r="J4606" t="s">
        <v>13694</v>
      </c>
      <c r="K4606" t="s">
        <v>18077</v>
      </c>
      <c r="L4606">
        <f>HYPERLINK("https://www2.assemblee-nationale.fr/sycomore/fiche/(num_dept)/8077", "8077")</f>
        <v>0</v>
      </c>
      <c r="N4606">
        <f>HYPERLINK("https://www.wikidata.org/wiki/Q20892706", "Q20892706")</f>
        <v>0</v>
      </c>
      <c r="O4606" t="s">
        <v>19967</v>
      </c>
      <c r="P4606" t="s">
        <v>20458</v>
      </c>
      <c r="Q4606" t="s">
        <v>20690</v>
      </c>
      <c r="R4606" t="s">
        <v>415</v>
      </c>
      <c r="S4606">
        <v>586</v>
      </c>
    </row>
    <row r="4607" spans="1:19">
      <c r="A4607" t="s">
        <v>25</v>
      </c>
      <c r="B4607" t="s">
        <v>148</v>
      </c>
      <c r="C4607" t="s">
        <v>157</v>
      </c>
      <c r="D4607" t="s">
        <v>286</v>
      </c>
      <c r="E4607" t="s">
        <v>415</v>
      </c>
      <c r="F4607">
        <f>HYPERLINK("https://www.wikidata.org/wiki/Q33756706", "Q33756706")</f>
        <v>0</v>
      </c>
      <c r="G4607" t="s">
        <v>3071</v>
      </c>
      <c r="H4607" t="s">
        <v>7522</v>
      </c>
      <c r="I4607" t="s">
        <v>9500</v>
      </c>
      <c r="J4607" t="s">
        <v>13695</v>
      </c>
      <c r="K4607" t="s">
        <v>18078</v>
      </c>
      <c r="L4607">
        <f>HYPERLINK("https://www2.assemblee-nationale.fr/sycomore/fiche/(num_dept)/4172", "4172")</f>
        <v>0</v>
      </c>
      <c r="M4607">
        <f>HYPERLINK("https://www.senat.fr/senateur-3eme-republique/de_la_bourdonnaye_raoul1062r3.html", "de_la_bourdonnaye_raoul1062r3")</f>
        <v>0</v>
      </c>
      <c r="N4607">
        <f>HYPERLINK("https://www.wikidata.org/wiki/Q3292518", "Q3292518")</f>
        <v>0</v>
      </c>
      <c r="O4607" t="s">
        <v>19980</v>
      </c>
      <c r="P4607" t="s">
        <v>20460</v>
      </c>
      <c r="Q4607" t="s">
        <v>20691</v>
      </c>
      <c r="R4607" t="s">
        <v>21463</v>
      </c>
      <c r="S4607">
        <v>556</v>
      </c>
    </row>
    <row r="4608" spans="1:19">
      <c r="A4608" t="s">
        <v>25</v>
      </c>
      <c r="B4608" t="s">
        <v>148</v>
      </c>
      <c r="C4608" t="s">
        <v>157</v>
      </c>
      <c r="D4608" t="s">
        <v>286</v>
      </c>
      <c r="E4608" t="s">
        <v>415</v>
      </c>
      <c r="F4608">
        <f>HYPERLINK("https://www.wikidata.org/wiki/Q33756706", "Q33756706")</f>
        <v>0</v>
      </c>
      <c r="G4608" t="s">
        <v>3072</v>
      </c>
      <c r="H4608" t="s">
        <v>7346</v>
      </c>
      <c r="I4608" t="s">
        <v>9554</v>
      </c>
      <c r="J4608" t="s">
        <v>13696</v>
      </c>
      <c r="K4608" t="s">
        <v>18079</v>
      </c>
      <c r="L4608">
        <f>HYPERLINK("https://www2.assemblee-nationale.fr/sycomore/fiche/(num_dept)/7665", "7665")</f>
        <v>0</v>
      </c>
      <c r="M4608">
        <f>HYPERLINK("https://www.senat.fr/senateur-3eme-republique/lecomte_maxime1379r3.html", "lecomte_maxime1379r3")</f>
        <v>0</v>
      </c>
      <c r="N4608">
        <f>HYPERLINK("https://www.wikidata.org/wiki/Q3302622", "Q3302622")</f>
        <v>0</v>
      </c>
      <c r="O4608" t="s">
        <v>20013</v>
      </c>
      <c r="Q4608" t="s">
        <v>20691</v>
      </c>
      <c r="R4608" t="s">
        <v>21463</v>
      </c>
      <c r="S4608">
        <v>556</v>
      </c>
    </row>
    <row r="4609" spans="1:19">
      <c r="A4609" t="s">
        <v>25</v>
      </c>
      <c r="B4609" t="s">
        <v>148</v>
      </c>
      <c r="C4609" t="s">
        <v>157</v>
      </c>
      <c r="D4609" t="s">
        <v>286</v>
      </c>
      <c r="E4609" t="s">
        <v>415</v>
      </c>
      <c r="F4609">
        <f>HYPERLINK("https://www.wikidata.org/wiki/Q33756706", "Q33756706")</f>
        <v>0</v>
      </c>
      <c r="G4609" t="s">
        <v>3073</v>
      </c>
      <c r="H4609" t="s">
        <v>7523</v>
      </c>
      <c r="I4609" t="s">
        <v>10611</v>
      </c>
      <c r="J4609" t="s">
        <v>13697</v>
      </c>
      <c r="K4609" t="s">
        <v>18080</v>
      </c>
      <c r="L4609">
        <f>HYPERLINK("https://www2.assemblee-nationale.fr/sycomore/fiche/(num_dept)/8066", "8066")</f>
        <v>0</v>
      </c>
      <c r="M4609">
        <f>HYPERLINK("https://www.senat.fr/senateur-3eme-republique/bruel_eugene0042r3.html", "bruel_eugene0042r3")</f>
        <v>0</v>
      </c>
      <c r="N4609">
        <f>HYPERLINK("https://www.wikidata.org/wiki/Q3059749", "Q3059749")</f>
        <v>0</v>
      </c>
      <c r="O4609" t="s">
        <v>19999</v>
      </c>
      <c r="Q4609" t="s">
        <v>20691</v>
      </c>
      <c r="R4609" t="s">
        <v>21484</v>
      </c>
      <c r="S4609">
        <v>330</v>
      </c>
    </row>
    <row r="4610" spans="1:19">
      <c r="A4610" t="s">
        <v>25</v>
      </c>
      <c r="B4610" t="s">
        <v>148</v>
      </c>
      <c r="C4610" t="s">
        <v>157</v>
      </c>
      <c r="D4610" t="s">
        <v>286</v>
      </c>
      <c r="E4610" t="s">
        <v>415</v>
      </c>
      <c r="F4610">
        <f>HYPERLINK("https://www.wikidata.org/wiki/Q33756706", "Q33756706")</f>
        <v>0</v>
      </c>
      <c r="G4610" t="s">
        <v>3074</v>
      </c>
      <c r="H4610" t="s">
        <v>7524</v>
      </c>
      <c r="I4610" t="s">
        <v>10612</v>
      </c>
      <c r="J4610" t="s">
        <v>13698</v>
      </c>
      <c r="K4610" t="s">
        <v>18081</v>
      </c>
      <c r="L4610">
        <f>HYPERLINK("https://www2.assemblee-nationale.fr/sycomore/fiche/(num_dept)/6600", "6600")</f>
        <v>0</v>
      </c>
      <c r="N4610">
        <f>HYPERLINK("https://www.wikidata.org/wiki/Q3047479", "Q3047479")</f>
        <v>0</v>
      </c>
      <c r="O4610" t="s">
        <v>19992</v>
      </c>
      <c r="P4610" t="s">
        <v>20460</v>
      </c>
      <c r="Q4610" t="s">
        <v>20692</v>
      </c>
      <c r="R4610" t="s">
        <v>21463</v>
      </c>
      <c r="S4610">
        <v>507</v>
      </c>
    </row>
    <row r="4611" spans="1:19">
      <c r="A4611" t="s">
        <v>25</v>
      </c>
      <c r="B4611" t="s">
        <v>148</v>
      </c>
      <c r="C4611" t="s">
        <v>157</v>
      </c>
      <c r="D4611" t="s">
        <v>286</v>
      </c>
      <c r="E4611" t="s">
        <v>415</v>
      </c>
      <c r="F4611">
        <f>HYPERLINK("https://www.wikidata.org/wiki/Q33756706", "Q33756706")</f>
        <v>0</v>
      </c>
      <c r="G4611" t="s">
        <v>2748</v>
      </c>
      <c r="H4611" t="s">
        <v>7264</v>
      </c>
      <c r="I4611" t="s">
        <v>10403</v>
      </c>
      <c r="J4611" t="s">
        <v>13389</v>
      </c>
      <c r="K4611" t="s">
        <v>17787</v>
      </c>
      <c r="L4611">
        <f>HYPERLINK("https://www2.assemblee-nationale.fr/sycomore/fiche/(num_dept)/8018", "8018")</f>
        <v>0</v>
      </c>
      <c r="N4611">
        <f>HYPERLINK("https://www.wikidata.org/wiki/Q2994832", "Q2994832")</f>
        <v>0</v>
      </c>
      <c r="O4611" t="s">
        <v>19956</v>
      </c>
      <c r="P4611" t="s">
        <v>20457</v>
      </c>
      <c r="Q4611" t="s">
        <v>20692</v>
      </c>
      <c r="R4611" t="s">
        <v>21463</v>
      </c>
      <c r="S4611">
        <v>507</v>
      </c>
    </row>
    <row r="4612" spans="1:19">
      <c r="A4612" t="s">
        <v>25</v>
      </c>
      <c r="B4612" t="s">
        <v>148</v>
      </c>
      <c r="C4612" t="s">
        <v>157</v>
      </c>
      <c r="D4612" t="s">
        <v>286</v>
      </c>
      <c r="E4612" t="s">
        <v>415</v>
      </c>
      <c r="F4612">
        <f>HYPERLINK("https://www.wikidata.org/wiki/Q33756706", "Q33756706")</f>
        <v>0</v>
      </c>
      <c r="G4612" t="s">
        <v>3075</v>
      </c>
      <c r="H4612" t="s">
        <v>7525</v>
      </c>
      <c r="I4612" t="s">
        <v>9455</v>
      </c>
      <c r="J4612" t="s">
        <v>13699</v>
      </c>
      <c r="K4612" t="s">
        <v>18082</v>
      </c>
      <c r="L4612">
        <f>HYPERLINK("https://www2.assemblee-nationale.fr/sycomore/fiche/(num_dept)/3674", "3674")</f>
        <v>0</v>
      </c>
      <c r="M4612">
        <f>HYPERLINK("https://www.senat.fr/senateur-3eme-republique/guillemaut_lucien1225r3.html", "guillemaut_lucien1225r3")</f>
        <v>0</v>
      </c>
      <c r="N4612">
        <f>HYPERLINK("https://www.wikidata.org/wiki/Q3265536", "Q3265536")</f>
        <v>0</v>
      </c>
      <c r="O4612" t="s">
        <v>19994</v>
      </c>
      <c r="P4612" t="s">
        <v>20401</v>
      </c>
      <c r="Q4612" t="s">
        <v>20693</v>
      </c>
      <c r="R4612" t="s">
        <v>21463</v>
      </c>
      <c r="S4612">
        <v>493</v>
      </c>
    </row>
    <row r="4613" spans="1:19">
      <c r="A4613" t="s">
        <v>25</v>
      </c>
      <c r="B4613" t="s">
        <v>148</v>
      </c>
      <c r="C4613" t="s">
        <v>157</v>
      </c>
      <c r="D4613" t="s">
        <v>286</v>
      </c>
      <c r="E4613" t="s">
        <v>415</v>
      </c>
      <c r="F4613">
        <f>HYPERLINK("https://www.wikidata.org/wiki/Q33756706", "Q33756706")</f>
        <v>0</v>
      </c>
      <c r="G4613" t="s">
        <v>3076</v>
      </c>
      <c r="H4613" t="s">
        <v>7526</v>
      </c>
      <c r="I4613" t="s">
        <v>10613</v>
      </c>
      <c r="J4613" t="s">
        <v>13700</v>
      </c>
      <c r="K4613" t="s">
        <v>18083</v>
      </c>
      <c r="L4613">
        <f>HYPERLINK("https://www2.assemblee-nationale.fr/sycomore/fiche/(num_dept)/8235", "8235")</f>
        <v>0</v>
      </c>
      <c r="M4613">
        <f>HYPERLINK("https://www.senat.fr/senateur-3eme-republique/martin_felix1214r3.html", "martin_felix1214r3")</f>
        <v>0</v>
      </c>
      <c r="N4613">
        <f>HYPERLINK("https://www.wikidata.org/wiki/Q3092530", "Q3092530")</f>
        <v>0</v>
      </c>
      <c r="O4613" t="s">
        <v>19994</v>
      </c>
      <c r="P4613" t="s">
        <v>20458</v>
      </c>
      <c r="Q4613" t="s">
        <v>20693</v>
      </c>
      <c r="R4613" t="s">
        <v>21463</v>
      </c>
      <c r="S4613">
        <v>493</v>
      </c>
    </row>
    <row r="4614" spans="1:19">
      <c r="A4614" t="s">
        <v>25</v>
      </c>
      <c r="B4614" t="s">
        <v>148</v>
      </c>
      <c r="C4614" t="s">
        <v>157</v>
      </c>
      <c r="D4614" t="s">
        <v>286</v>
      </c>
      <c r="E4614" t="s">
        <v>415</v>
      </c>
      <c r="F4614">
        <f>HYPERLINK("https://www.wikidata.org/wiki/Q33756706", "Q33756706")</f>
        <v>0</v>
      </c>
      <c r="G4614" t="s">
        <v>3077</v>
      </c>
      <c r="H4614" t="s">
        <v>7195</v>
      </c>
      <c r="I4614" t="s">
        <v>10614</v>
      </c>
      <c r="J4614" t="s">
        <v>13701</v>
      </c>
      <c r="K4614" t="s">
        <v>18084</v>
      </c>
      <c r="L4614">
        <f>HYPERLINK("https://www2.assemblee-nationale.fr/sycomore/fiche/(num_dept)/5591", "5591")</f>
        <v>0</v>
      </c>
      <c r="M4614">
        <f>HYPERLINK("https://www.senat.fr/senateur-3eme-republique/obissier_louis0200r3.html", "obissier_louis0200r3")</f>
        <v>0</v>
      </c>
      <c r="N4614">
        <f>HYPERLINK("https://www.wikidata.org/wiki/Q16026221", "Q16026221")</f>
        <v>0</v>
      </c>
      <c r="O4614" t="s">
        <v>19987</v>
      </c>
      <c r="P4614" t="s">
        <v>20403</v>
      </c>
      <c r="Q4614" t="s">
        <v>20694</v>
      </c>
      <c r="R4614" t="s">
        <v>21463</v>
      </c>
      <c r="S4614">
        <v>465</v>
      </c>
    </row>
    <row r="4615" spans="1:19">
      <c r="A4615" t="s">
        <v>25</v>
      </c>
      <c r="B4615" t="s">
        <v>148</v>
      </c>
      <c r="C4615" t="s">
        <v>157</v>
      </c>
      <c r="D4615" t="s">
        <v>286</v>
      </c>
      <c r="E4615" t="s">
        <v>415</v>
      </c>
      <c r="F4615">
        <f>HYPERLINK("https://www.wikidata.org/wiki/Q33756706", "Q33756706")</f>
        <v>0</v>
      </c>
      <c r="G4615" t="s">
        <v>3078</v>
      </c>
      <c r="H4615" t="s">
        <v>7527</v>
      </c>
      <c r="I4615" t="s">
        <v>9385</v>
      </c>
      <c r="J4615" t="s">
        <v>13702</v>
      </c>
      <c r="K4615" t="s">
        <v>17981</v>
      </c>
      <c r="L4615">
        <f>HYPERLINK("https://www2.assemblee-nationale.fr/sycomore/fiche/(num_dept)/7970", "7970")</f>
        <v>0</v>
      </c>
      <c r="N4615">
        <f>HYPERLINK("https://www.wikidata.org/wiki/Q8342589", "Q8342589")</f>
        <v>0</v>
      </c>
      <c r="O4615" t="s">
        <v>20013</v>
      </c>
      <c r="Q4615" t="s">
        <v>20695</v>
      </c>
      <c r="R4615" t="s">
        <v>21463</v>
      </c>
      <c r="S4615">
        <v>451</v>
      </c>
    </row>
    <row r="4616" spans="1:19">
      <c r="A4616" t="s">
        <v>25</v>
      </c>
      <c r="B4616" t="s">
        <v>148</v>
      </c>
      <c r="C4616" t="s">
        <v>157</v>
      </c>
      <c r="D4616" t="s">
        <v>286</v>
      </c>
      <c r="E4616" t="s">
        <v>415</v>
      </c>
      <c r="F4616">
        <f>HYPERLINK("https://www.wikidata.org/wiki/Q33756706", "Q33756706")</f>
        <v>0</v>
      </c>
      <c r="G4616" t="s">
        <v>3079</v>
      </c>
      <c r="H4616" t="s">
        <v>7528</v>
      </c>
      <c r="I4616" t="s">
        <v>10615</v>
      </c>
      <c r="J4616" t="s">
        <v>13448</v>
      </c>
      <c r="K4616" t="s">
        <v>18085</v>
      </c>
      <c r="L4616">
        <f>HYPERLINK("https://www2.assemblee-nationale.fr/sycomore/fiche/(num_dept)/1564", "1564")</f>
        <v>0</v>
      </c>
      <c r="N4616">
        <f>HYPERLINK("https://www.wikidata.org/wiki/Q3580075", "Q3580075")</f>
        <v>0</v>
      </c>
      <c r="O4616" t="s">
        <v>20023</v>
      </c>
      <c r="P4616" t="s">
        <v>20460</v>
      </c>
      <c r="Q4616" t="s">
        <v>20696</v>
      </c>
      <c r="R4616" t="s">
        <v>21463</v>
      </c>
      <c r="S4616">
        <v>395</v>
      </c>
    </row>
    <row r="4617" spans="1:19">
      <c r="A4617" t="s">
        <v>25</v>
      </c>
      <c r="B4617" t="s">
        <v>148</v>
      </c>
      <c r="C4617" t="s">
        <v>157</v>
      </c>
      <c r="D4617" t="s">
        <v>286</v>
      </c>
      <c r="E4617" t="s">
        <v>415</v>
      </c>
      <c r="F4617">
        <f>HYPERLINK("https://www.wikidata.org/wiki/Q33756706", "Q33756706")</f>
        <v>0</v>
      </c>
      <c r="G4617" t="s">
        <v>3080</v>
      </c>
      <c r="H4617" t="s">
        <v>6493</v>
      </c>
      <c r="I4617" t="s">
        <v>10616</v>
      </c>
      <c r="J4617" t="s">
        <v>13703</v>
      </c>
      <c r="K4617" t="s">
        <v>18086</v>
      </c>
      <c r="L4617">
        <f>HYPERLINK("https://www2.assemblee-nationale.fr/sycomore/fiche/(num_dept)/4363", "4363")</f>
        <v>0</v>
      </c>
      <c r="N4617">
        <f>HYPERLINK("https://www.wikidata.org/wiki/Q3047523", "Q3047523")</f>
        <v>0</v>
      </c>
      <c r="O4617" t="s">
        <v>20031</v>
      </c>
      <c r="P4617" t="s">
        <v>20468</v>
      </c>
      <c r="Q4617" t="s">
        <v>20696</v>
      </c>
      <c r="R4617" t="s">
        <v>21463</v>
      </c>
      <c r="S4617">
        <v>395</v>
      </c>
    </row>
    <row r="4618" spans="1:19">
      <c r="A4618" t="s">
        <v>25</v>
      </c>
      <c r="B4618" t="s">
        <v>148</v>
      </c>
      <c r="C4618" t="s">
        <v>157</v>
      </c>
      <c r="D4618" t="s">
        <v>286</v>
      </c>
      <c r="E4618" t="s">
        <v>415</v>
      </c>
      <c r="F4618">
        <f>HYPERLINK("https://www.wikidata.org/wiki/Q33756706", "Q33756706")</f>
        <v>0</v>
      </c>
      <c r="G4618" t="s">
        <v>3081</v>
      </c>
      <c r="H4618" t="s">
        <v>7529</v>
      </c>
      <c r="I4618" t="s">
        <v>10617</v>
      </c>
      <c r="J4618" t="s">
        <v>13704</v>
      </c>
      <c r="K4618" t="s">
        <v>18087</v>
      </c>
      <c r="L4618">
        <f>HYPERLINK("https://www2.assemblee-nationale.fr/sycomore/fiche/(num_dept)/3262", "3262")</f>
        <v>0</v>
      </c>
      <c r="N4618">
        <f>HYPERLINK("https://www.wikidata.org/wiki/Q16025746", "Q16025746")</f>
        <v>0</v>
      </c>
      <c r="O4618" t="s">
        <v>20034</v>
      </c>
      <c r="P4618" t="s">
        <v>20460</v>
      </c>
      <c r="Q4618" t="s">
        <v>20697</v>
      </c>
      <c r="R4618" t="s">
        <v>21463</v>
      </c>
      <c r="S4618">
        <v>343</v>
      </c>
    </row>
    <row r="4619" spans="1:19">
      <c r="A4619" t="s">
        <v>25</v>
      </c>
      <c r="B4619" t="s">
        <v>148</v>
      </c>
      <c r="C4619" t="s">
        <v>157</v>
      </c>
      <c r="D4619" t="s">
        <v>286</v>
      </c>
      <c r="E4619" t="s">
        <v>415</v>
      </c>
      <c r="F4619">
        <f>HYPERLINK("https://www.wikidata.org/wiki/Q33756706", "Q33756706")</f>
        <v>0</v>
      </c>
      <c r="G4619" t="s">
        <v>3082</v>
      </c>
      <c r="H4619" t="s">
        <v>5449</v>
      </c>
      <c r="I4619" t="s">
        <v>10618</v>
      </c>
      <c r="J4619" t="s">
        <v>13705</v>
      </c>
      <c r="K4619" t="s">
        <v>18088</v>
      </c>
      <c r="L4619">
        <f>HYPERLINK("https://www2.assemblee-nationale.fr/sycomore/fiche/(num_dept)/4013", "4013")</f>
        <v>0</v>
      </c>
      <c r="N4619">
        <f>HYPERLINK("https://www.wikidata.org/wiki/Q286028", "Q286028")</f>
        <v>0</v>
      </c>
      <c r="O4619" t="s">
        <v>20034</v>
      </c>
      <c r="P4619" t="s">
        <v>20459</v>
      </c>
      <c r="Q4619" t="s">
        <v>20698</v>
      </c>
      <c r="R4619" t="s">
        <v>21463</v>
      </c>
      <c r="S4619">
        <v>269</v>
      </c>
    </row>
    <row r="4620" spans="1:19">
      <c r="A4620" t="s">
        <v>25</v>
      </c>
      <c r="B4620" t="s">
        <v>148</v>
      </c>
      <c r="C4620" t="s">
        <v>157</v>
      </c>
      <c r="D4620" t="s">
        <v>286</v>
      </c>
      <c r="E4620" t="s">
        <v>415</v>
      </c>
      <c r="F4620">
        <f>HYPERLINK("https://www.wikidata.org/wiki/Q33756706", "Q33756706")</f>
        <v>0</v>
      </c>
      <c r="G4620" t="s">
        <v>3083</v>
      </c>
      <c r="H4620" t="s">
        <v>7530</v>
      </c>
      <c r="I4620" t="s">
        <v>10619</v>
      </c>
      <c r="J4620" t="s">
        <v>13706</v>
      </c>
      <c r="K4620" t="s">
        <v>18089</v>
      </c>
      <c r="L4620">
        <f>HYPERLINK("https://www2.assemblee-nationale.fr/sycomore/fiche/(num_dept)/8238", "8238")</f>
        <v>0</v>
      </c>
      <c r="M4620">
        <f>HYPERLINK("https://www.senat.fr/senateur-3eme-republique/legludic_prosper1251r3.html", "legludic_prosper1251r3")</f>
        <v>0</v>
      </c>
      <c r="N4620">
        <f>HYPERLINK("https://www.wikidata.org/wiki/Q3407790", "Q3407790")</f>
        <v>0</v>
      </c>
      <c r="O4620" t="s">
        <v>19956</v>
      </c>
      <c r="P4620" t="s">
        <v>20401</v>
      </c>
      <c r="Q4620" t="s">
        <v>20699</v>
      </c>
      <c r="R4620" t="s">
        <v>21463</v>
      </c>
      <c r="S4620">
        <v>213</v>
      </c>
    </row>
    <row r="4621" spans="1:19">
      <c r="A4621" t="s">
        <v>25</v>
      </c>
      <c r="B4621" t="s">
        <v>148</v>
      </c>
      <c r="C4621" t="s">
        <v>157</v>
      </c>
      <c r="D4621" t="s">
        <v>286</v>
      </c>
      <c r="E4621" t="s">
        <v>415</v>
      </c>
      <c r="F4621">
        <f>HYPERLINK("https://www.wikidata.org/wiki/Q33756706", "Q33756706")</f>
        <v>0</v>
      </c>
      <c r="G4621" t="s">
        <v>3084</v>
      </c>
      <c r="H4621" t="s">
        <v>7531</v>
      </c>
      <c r="I4621" t="s">
        <v>9385</v>
      </c>
      <c r="J4621" t="s">
        <v>13707</v>
      </c>
      <c r="K4621" t="s">
        <v>18090</v>
      </c>
      <c r="L4621">
        <f>HYPERLINK("https://www2.assemblee-nationale.fr/sycomore/fiche/(num_dept)/8157", "8157")</f>
        <v>0</v>
      </c>
      <c r="N4621">
        <f>HYPERLINK("https://www.wikidata.org/wiki/Q2958387", "Q2958387")</f>
        <v>0</v>
      </c>
      <c r="O4621" t="s">
        <v>19997</v>
      </c>
      <c r="P4621" t="s">
        <v>20465</v>
      </c>
      <c r="Q4621" t="s">
        <v>20700</v>
      </c>
      <c r="R4621" t="s">
        <v>18090</v>
      </c>
      <c r="S4621">
        <v>48</v>
      </c>
    </row>
    <row r="4622" spans="1:19">
      <c r="A4622" t="s">
        <v>26</v>
      </c>
      <c r="B4622" t="s">
        <v>148</v>
      </c>
      <c r="C4622" t="s">
        <v>158</v>
      </c>
      <c r="D4622" t="s">
        <v>287</v>
      </c>
      <c r="E4622" t="s">
        <v>416</v>
      </c>
      <c r="F4622">
        <f>HYPERLINK("https://www.wikidata.org/wiki/Q33756209", "Q33756209")</f>
        <v>0</v>
      </c>
      <c r="G4622" t="s">
        <v>3085</v>
      </c>
      <c r="H4622" t="s">
        <v>7532</v>
      </c>
      <c r="I4622" t="s">
        <v>10620</v>
      </c>
      <c r="J4622" t="s">
        <v>13708</v>
      </c>
      <c r="K4622" t="s">
        <v>18091</v>
      </c>
      <c r="L4622">
        <f>HYPERLINK("https://www2.assemblee-nationale.fr/sycomore/fiche/(num_dept)/36", "36")</f>
        <v>0</v>
      </c>
      <c r="N4622">
        <f>HYPERLINK("https://www.wikidata.org/wiki/Q2823031", "Q2823031")</f>
        <v>0</v>
      </c>
      <c r="O4622" t="s">
        <v>19968</v>
      </c>
      <c r="P4622" t="s">
        <v>20460</v>
      </c>
      <c r="Q4622" t="s">
        <v>11935</v>
      </c>
      <c r="R4622" t="s">
        <v>18091</v>
      </c>
      <c r="S4622">
        <v>493</v>
      </c>
    </row>
    <row r="4623" spans="1:19">
      <c r="A4623" t="s">
        <v>26</v>
      </c>
      <c r="B4623" t="s">
        <v>148</v>
      </c>
      <c r="C4623" t="s">
        <v>158</v>
      </c>
      <c r="D4623" t="s">
        <v>287</v>
      </c>
      <c r="E4623" t="s">
        <v>416</v>
      </c>
      <c r="F4623">
        <f>HYPERLINK("https://www.wikidata.org/wiki/Q33756209", "Q33756209")</f>
        <v>0</v>
      </c>
      <c r="G4623" t="s">
        <v>3016</v>
      </c>
      <c r="H4623" t="s">
        <v>7025</v>
      </c>
      <c r="I4623" t="s">
        <v>10578</v>
      </c>
      <c r="J4623" t="s">
        <v>13644</v>
      </c>
      <c r="K4623" t="s">
        <v>17719</v>
      </c>
      <c r="L4623">
        <f>HYPERLINK("https://www2.assemblee-nationale.fr/sycomore/fiche/(num_dept)/50", "50")</f>
        <v>0</v>
      </c>
      <c r="N4623">
        <f>HYPERLINK("https://www.wikidata.org/wiki/Q2871509", "Q2871509")</f>
        <v>0</v>
      </c>
      <c r="O4623" t="s">
        <v>19956</v>
      </c>
      <c r="P4623" t="s">
        <v>20460</v>
      </c>
      <c r="Q4623" t="s">
        <v>11935</v>
      </c>
      <c r="R4623" t="s">
        <v>21493</v>
      </c>
      <c r="S4623">
        <v>1471</v>
      </c>
    </row>
    <row r="4624" spans="1:19">
      <c r="A4624" t="s">
        <v>26</v>
      </c>
      <c r="B4624" t="s">
        <v>148</v>
      </c>
      <c r="C4624" t="s">
        <v>158</v>
      </c>
      <c r="D4624" t="s">
        <v>287</v>
      </c>
      <c r="E4624" t="s">
        <v>416</v>
      </c>
      <c r="F4624">
        <f>HYPERLINK("https://www.wikidata.org/wiki/Q33756209", "Q33756209")</f>
        <v>0</v>
      </c>
      <c r="G4624" t="s">
        <v>3086</v>
      </c>
      <c r="H4624" t="s">
        <v>7533</v>
      </c>
      <c r="I4624" t="s">
        <v>10621</v>
      </c>
      <c r="J4624" t="s">
        <v>13709</v>
      </c>
      <c r="K4624" t="s">
        <v>333</v>
      </c>
      <c r="L4624">
        <f>HYPERLINK("https://www2.assemblee-nationale.fr/sycomore/fiche/(num_dept)/201", "201")</f>
        <v>0</v>
      </c>
      <c r="N4624">
        <f>HYPERLINK("https://www.wikidata.org/wiki/Q15973335", "Q15973335")</f>
        <v>0</v>
      </c>
      <c r="O4624" t="s">
        <v>20045</v>
      </c>
      <c r="Q4624" t="s">
        <v>11935</v>
      </c>
      <c r="R4624" t="s">
        <v>21495</v>
      </c>
      <c r="S4624">
        <v>48</v>
      </c>
    </row>
    <row r="4625" spans="1:19">
      <c r="A4625" t="s">
        <v>26</v>
      </c>
      <c r="B4625" t="s">
        <v>148</v>
      </c>
      <c r="C4625" t="s">
        <v>158</v>
      </c>
      <c r="D4625" t="s">
        <v>287</v>
      </c>
      <c r="E4625" t="s">
        <v>416</v>
      </c>
      <c r="F4625">
        <f>HYPERLINK("https://www.wikidata.org/wiki/Q33756209", "Q33756209")</f>
        <v>0</v>
      </c>
      <c r="G4625" t="s">
        <v>3064</v>
      </c>
      <c r="H4625" t="s">
        <v>7517</v>
      </c>
      <c r="I4625" t="s">
        <v>10604</v>
      </c>
      <c r="J4625" t="s">
        <v>13688</v>
      </c>
      <c r="K4625" t="s">
        <v>18071</v>
      </c>
      <c r="L4625">
        <f>HYPERLINK("https://www2.assemblee-nationale.fr/sycomore/fiche/(num_dept)/205", "205")</f>
        <v>0</v>
      </c>
      <c r="N4625">
        <f>HYPERLINK("https://www.wikidata.org/wiki/Q15973359", "Q15973359")</f>
        <v>0</v>
      </c>
      <c r="O4625" t="s">
        <v>20031</v>
      </c>
      <c r="P4625" t="s">
        <v>20460</v>
      </c>
      <c r="Q4625" t="s">
        <v>11935</v>
      </c>
      <c r="R4625" t="s">
        <v>21493</v>
      </c>
      <c r="S4625">
        <v>1471</v>
      </c>
    </row>
    <row r="4626" spans="1:19">
      <c r="A4626" t="s">
        <v>26</v>
      </c>
      <c r="B4626" t="s">
        <v>148</v>
      </c>
      <c r="C4626" t="s">
        <v>158</v>
      </c>
      <c r="D4626" t="s">
        <v>287</v>
      </c>
      <c r="E4626" t="s">
        <v>416</v>
      </c>
      <c r="F4626">
        <f>HYPERLINK("https://www.wikidata.org/wiki/Q33756209", "Q33756209")</f>
        <v>0</v>
      </c>
      <c r="G4626" t="s">
        <v>3087</v>
      </c>
      <c r="H4626" t="s">
        <v>7534</v>
      </c>
      <c r="I4626" t="s">
        <v>9784</v>
      </c>
      <c r="J4626" t="s">
        <v>13137</v>
      </c>
      <c r="K4626" t="s">
        <v>18092</v>
      </c>
      <c r="L4626">
        <f>HYPERLINK("https://www2.assemblee-nationale.fr/sycomore/fiche/(num_dept)/270", "270")</f>
        <v>0</v>
      </c>
      <c r="N4626">
        <f>HYPERLINK("https://www.wikidata.org/wiki/Q15973413", "Q15973413")</f>
        <v>0</v>
      </c>
      <c r="O4626" t="s">
        <v>19999</v>
      </c>
      <c r="P4626" t="s">
        <v>20459</v>
      </c>
      <c r="Q4626" t="s">
        <v>11935</v>
      </c>
      <c r="R4626" t="s">
        <v>21493</v>
      </c>
      <c r="S4626">
        <v>1471</v>
      </c>
    </row>
    <row r="4627" spans="1:19">
      <c r="A4627" t="s">
        <v>26</v>
      </c>
      <c r="B4627" t="s">
        <v>148</v>
      </c>
      <c r="C4627" t="s">
        <v>158</v>
      </c>
      <c r="D4627" t="s">
        <v>287</v>
      </c>
      <c r="E4627" t="s">
        <v>416</v>
      </c>
      <c r="F4627">
        <f>HYPERLINK("https://www.wikidata.org/wiki/Q33756209", "Q33756209")</f>
        <v>0</v>
      </c>
      <c r="G4627" t="s">
        <v>2489</v>
      </c>
      <c r="H4627" t="s">
        <v>7062</v>
      </c>
      <c r="I4627" t="s">
        <v>9385</v>
      </c>
      <c r="J4627" t="s">
        <v>13133</v>
      </c>
      <c r="K4627" t="s">
        <v>17542</v>
      </c>
      <c r="L4627">
        <f>HYPERLINK("https://www2.assemblee-nationale.fr/sycomore/fiche/(num_dept)/337", "337")</f>
        <v>0</v>
      </c>
      <c r="N4627">
        <f>HYPERLINK("https://www.wikidata.org/wiki/Q2958501", "Q2958501")</f>
        <v>0</v>
      </c>
      <c r="O4627" t="s">
        <v>20036</v>
      </c>
      <c r="P4627" t="s">
        <v>20459</v>
      </c>
      <c r="Q4627" t="s">
        <v>11935</v>
      </c>
      <c r="R4627" t="s">
        <v>21493</v>
      </c>
      <c r="S4627">
        <v>1471</v>
      </c>
    </row>
    <row r="4628" spans="1:19">
      <c r="A4628" t="s">
        <v>26</v>
      </c>
      <c r="B4628" t="s">
        <v>148</v>
      </c>
      <c r="C4628" t="s">
        <v>158</v>
      </c>
      <c r="D4628" t="s">
        <v>287</v>
      </c>
      <c r="E4628" t="s">
        <v>416</v>
      </c>
      <c r="F4628">
        <f>HYPERLINK("https://www.wikidata.org/wiki/Q33756209", "Q33756209")</f>
        <v>0</v>
      </c>
      <c r="G4628" t="s">
        <v>3088</v>
      </c>
      <c r="H4628" t="s">
        <v>7535</v>
      </c>
      <c r="I4628" t="s">
        <v>10622</v>
      </c>
      <c r="J4628" t="s">
        <v>13710</v>
      </c>
      <c r="K4628" t="s">
        <v>18093</v>
      </c>
      <c r="L4628">
        <f>HYPERLINK("https://www2.assemblee-nationale.fr/sycomore/fiche/(num_dept)/376", "376")</f>
        <v>0</v>
      </c>
      <c r="N4628">
        <f>HYPERLINK("https://www.wikidata.org/wiki/Q15973464", "Q15973464")</f>
        <v>0</v>
      </c>
      <c r="O4628" t="s">
        <v>19967</v>
      </c>
      <c r="P4628" t="s">
        <v>20460</v>
      </c>
      <c r="Q4628" t="s">
        <v>11935</v>
      </c>
      <c r="R4628" t="s">
        <v>21493</v>
      </c>
      <c r="S4628">
        <v>1471</v>
      </c>
    </row>
    <row r="4629" spans="1:19">
      <c r="A4629" t="s">
        <v>26</v>
      </c>
      <c r="B4629" t="s">
        <v>148</v>
      </c>
      <c r="C4629" t="s">
        <v>158</v>
      </c>
      <c r="D4629" t="s">
        <v>287</v>
      </c>
      <c r="E4629" t="s">
        <v>416</v>
      </c>
      <c r="F4629">
        <f>HYPERLINK("https://www.wikidata.org/wiki/Q33756209", "Q33756209")</f>
        <v>0</v>
      </c>
      <c r="G4629" t="s">
        <v>2491</v>
      </c>
      <c r="H4629" t="s">
        <v>7064</v>
      </c>
      <c r="I4629" t="s">
        <v>10242</v>
      </c>
      <c r="J4629" t="s">
        <v>13135</v>
      </c>
      <c r="K4629" t="s">
        <v>17544</v>
      </c>
      <c r="L4629">
        <f>HYPERLINK("https://www2.assemblee-nationale.fr/sycomore/fiche/(num_dept)/420", "420")</f>
        <v>0</v>
      </c>
      <c r="M4629">
        <f>HYPERLINK("https://www.senat.fr/senateur-3eme-republique/barodet_desire1412r3.html", "barodet_desire1412r3")</f>
        <v>0</v>
      </c>
      <c r="N4629">
        <f>HYPERLINK("https://www.wikidata.org/wiki/Q1096310", "Q1096310")</f>
        <v>0</v>
      </c>
      <c r="O4629" t="s">
        <v>19969</v>
      </c>
      <c r="P4629" t="s">
        <v>20459</v>
      </c>
      <c r="Q4629" t="s">
        <v>11935</v>
      </c>
      <c r="R4629" t="s">
        <v>21493</v>
      </c>
      <c r="S4629">
        <v>1471</v>
      </c>
    </row>
    <row r="4630" spans="1:19">
      <c r="A4630" t="s">
        <v>26</v>
      </c>
      <c r="B4630" t="s">
        <v>148</v>
      </c>
      <c r="C4630" t="s">
        <v>158</v>
      </c>
      <c r="D4630" t="s">
        <v>287</v>
      </c>
      <c r="E4630" t="s">
        <v>416</v>
      </c>
      <c r="F4630">
        <f>HYPERLINK("https://www.wikidata.org/wiki/Q33756209", "Q33756209")</f>
        <v>0</v>
      </c>
      <c r="G4630" t="s">
        <v>513</v>
      </c>
      <c r="H4630" t="s">
        <v>5278</v>
      </c>
      <c r="I4630" t="s">
        <v>9381</v>
      </c>
      <c r="J4630" t="s">
        <v>11265</v>
      </c>
      <c r="K4630" t="s">
        <v>15665</v>
      </c>
      <c r="L4630">
        <f>HYPERLINK("https://www2.assemblee-nationale.fr/sycomore/fiche/(num_dept)/462", "462")</f>
        <v>0</v>
      </c>
      <c r="N4630">
        <f>HYPERLINK("https://www.wikidata.org/wiki/Q3588329", "Q3588329")</f>
        <v>0</v>
      </c>
      <c r="O4630" t="s">
        <v>19968</v>
      </c>
      <c r="Q4630" t="s">
        <v>11935</v>
      </c>
      <c r="R4630" t="s">
        <v>21493</v>
      </c>
      <c r="S4630">
        <v>1471</v>
      </c>
    </row>
    <row r="4631" spans="1:19">
      <c r="A4631" t="s">
        <v>26</v>
      </c>
      <c r="B4631" t="s">
        <v>148</v>
      </c>
      <c r="C4631" t="s">
        <v>158</v>
      </c>
      <c r="D4631" t="s">
        <v>287</v>
      </c>
      <c r="E4631" t="s">
        <v>416</v>
      </c>
      <c r="F4631">
        <f>HYPERLINK("https://www.wikidata.org/wiki/Q33756209", "Q33756209")</f>
        <v>0</v>
      </c>
      <c r="G4631" t="s">
        <v>2492</v>
      </c>
      <c r="H4631" t="s">
        <v>6386</v>
      </c>
      <c r="I4631" t="s">
        <v>10243</v>
      </c>
      <c r="J4631" t="s">
        <v>13136</v>
      </c>
      <c r="K4631" t="s">
        <v>17545</v>
      </c>
      <c r="L4631">
        <f>HYPERLINK("https://www2.assemblee-nationale.fr/sycomore/fiche/(num_dept)/470", "470")</f>
        <v>0</v>
      </c>
      <c r="N4631">
        <f>HYPERLINK("https://www.wikidata.org/wiki/Q15973504", "Q15973504")</f>
        <v>0</v>
      </c>
      <c r="O4631" t="s">
        <v>19966</v>
      </c>
      <c r="P4631" t="s">
        <v>20458</v>
      </c>
      <c r="Q4631" t="s">
        <v>11935</v>
      </c>
      <c r="R4631" t="s">
        <v>21493</v>
      </c>
      <c r="S4631">
        <v>1471</v>
      </c>
    </row>
    <row r="4632" spans="1:19">
      <c r="A4632" t="s">
        <v>26</v>
      </c>
      <c r="B4632" t="s">
        <v>148</v>
      </c>
      <c r="C4632" t="s">
        <v>158</v>
      </c>
      <c r="D4632" t="s">
        <v>287</v>
      </c>
      <c r="E4632" t="s">
        <v>416</v>
      </c>
      <c r="F4632">
        <f>HYPERLINK("https://www.wikidata.org/wiki/Q33756209", "Q33756209")</f>
        <v>0</v>
      </c>
      <c r="G4632" t="s">
        <v>3089</v>
      </c>
      <c r="H4632" t="s">
        <v>7536</v>
      </c>
      <c r="I4632" t="s">
        <v>6495</v>
      </c>
      <c r="J4632" t="s">
        <v>13711</v>
      </c>
      <c r="K4632" t="s">
        <v>18094</v>
      </c>
      <c r="L4632">
        <f>HYPERLINK("https://www2.assemblee-nationale.fr/sycomore/fiche/(num_dept)/486", "486")</f>
        <v>0</v>
      </c>
      <c r="N4632">
        <f>HYPERLINK("https://www.wikidata.org/wiki/Q15973538", "Q15973538")</f>
        <v>0</v>
      </c>
      <c r="O4632" t="s">
        <v>20013</v>
      </c>
      <c r="P4632" t="s">
        <v>20460</v>
      </c>
      <c r="Q4632" t="s">
        <v>11935</v>
      </c>
      <c r="R4632" t="s">
        <v>18094</v>
      </c>
      <c r="S4632">
        <v>1145</v>
      </c>
    </row>
    <row r="4633" spans="1:19">
      <c r="A4633" t="s">
        <v>26</v>
      </c>
      <c r="B4633" t="s">
        <v>148</v>
      </c>
      <c r="C4633" t="s">
        <v>158</v>
      </c>
      <c r="D4633" t="s">
        <v>287</v>
      </c>
      <c r="E4633" t="s">
        <v>416</v>
      </c>
      <c r="F4633">
        <f>HYPERLINK("https://www.wikidata.org/wiki/Q33756209", "Q33756209")</f>
        <v>0</v>
      </c>
      <c r="G4633" t="s">
        <v>516</v>
      </c>
      <c r="H4633" t="s">
        <v>5280</v>
      </c>
      <c r="I4633" t="s">
        <v>9384</v>
      </c>
      <c r="J4633" t="s">
        <v>11268</v>
      </c>
      <c r="K4633" t="s">
        <v>15668</v>
      </c>
      <c r="L4633">
        <f>HYPERLINK("https://www2.assemblee-nationale.fr/sycomore/fiche/(num_dept)/501", "501")</f>
        <v>0</v>
      </c>
      <c r="N4633">
        <f>HYPERLINK("https://www.wikidata.org/wiki/Q2861911", "Q2861911")</f>
        <v>0</v>
      </c>
      <c r="O4633" t="s">
        <v>19972</v>
      </c>
      <c r="P4633" t="s">
        <v>20460</v>
      </c>
      <c r="Q4633" t="s">
        <v>11935</v>
      </c>
      <c r="R4633" t="s">
        <v>21493</v>
      </c>
      <c r="S4633">
        <v>1471</v>
      </c>
    </row>
    <row r="4634" spans="1:19">
      <c r="A4634" t="s">
        <v>26</v>
      </c>
      <c r="B4634" t="s">
        <v>148</v>
      </c>
      <c r="C4634" t="s">
        <v>158</v>
      </c>
      <c r="D4634" t="s">
        <v>287</v>
      </c>
      <c r="E4634" t="s">
        <v>416</v>
      </c>
      <c r="F4634">
        <f>HYPERLINK("https://www.wikidata.org/wiki/Q33756209", "Q33756209")</f>
        <v>0</v>
      </c>
      <c r="G4634" t="s">
        <v>517</v>
      </c>
      <c r="H4634" t="s">
        <v>5281</v>
      </c>
      <c r="I4634" t="s">
        <v>9385</v>
      </c>
      <c r="J4634" t="s">
        <v>11269</v>
      </c>
      <c r="K4634" t="s">
        <v>15669</v>
      </c>
      <c r="L4634">
        <f>HYPERLINK("https://www2.assemblee-nationale.fr/sycomore/fiche/(num_dept)/538", "538")</f>
        <v>0</v>
      </c>
      <c r="N4634">
        <f>HYPERLINK("https://www.wikidata.org/wiki/Q2958509", "Q2958509")</f>
        <v>0</v>
      </c>
      <c r="O4634" t="s">
        <v>19973</v>
      </c>
      <c r="Q4634" t="s">
        <v>11935</v>
      </c>
      <c r="R4634" t="s">
        <v>21493</v>
      </c>
      <c r="S4634">
        <v>1471</v>
      </c>
    </row>
    <row r="4635" spans="1:19">
      <c r="A4635" t="s">
        <v>26</v>
      </c>
      <c r="B4635" t="s">
        <v>148</v>
      </c>
      <c r="C4635" t="s">
        <v>158</v>
      </c>
      <c r="D4635" t="s">
        <v>287</v>
      </c>
      <c r="E4635" t="s">
        <v>416</v>
      </c>
      <c r="F4635">
        <f>HYPERLINK("https://www.wikidata.org/wiki/Q33756209", "Q33756209")</f>
        <v>0</v>
      </c>
      <c r="G4635" t="s">
        <v>2493</v>
      </c>
      <c r="H4635" t="s">
        <v>7065</v>
      </c>
      <c r="I4635" t="s">
        <v>10244</v>
      </c>
      <c r="J4635" t="s">
        <v>13137</v>
      </c>
      <c r="K4635" t="s">
        <v>17546</v>
      </c>
      <c r="L4635">
        <f>HYPERLINK("https://www2.assemblee-nationale.fr/sycomore/fiche/(num_dept)/584", "584")</f>
        <v>0</v>
      </c>
      <c r="N4635">
        <f>HYPERLINK("https://www.wikidata.org/wiki/Q3260311", "Q3260311")</f>
        <v>0</v>
      </c>
      <c r="O4635" t="s">
        <v>19964</v>
      </c>
      <c r="P4635" t="s">
        <v>20460</v>
      </c>
      <c r="Q4635" t="s">
        <v>11935</v>
      </c>
      <c r="R4635" t="s">
        <v>17546</v>
      </c>
      <c r="S4635">
        <v>1083</v>
      </c>
    </row>
    <row r="4636" spans="1:19">
      <c r="A4636" t="s">
        <v>26</v>
      </c>
      <c r="B4636" t="s">
        <v>148</v>
      </c>
      <c r="C4636" t="s">
        <v>158</v>
      </c>
      <c r="D4636" t="s">
        <v>287</v>
      </c>
      <c r="E4636" t="s">
        <v>416</v>
      </c>
      <c r="F4636">
        <f>HYPERLINK("https://www.wikidata.org/wiki/Q33756209", "Q33756209")</f>
        <v>0</v>
      </c>
      <c r="G4636" t="s">
        <v>2494</v>
      </c>
      <c r="H4636" t="s">
        <v>7066</v>
      </c>
      <c r="I4636" t="s">
        <v>10245</v>
      </c>
      <c r="J4636" t="s">
        <v>13138</v>
      </c>
      <c r="K4636" t="s">
        <v>17547</v>
      </c>
      <c r="L4636">
        <f>HYPERLINK("https://www2.assemblee-nationale.fr/sycomore/fiche/(num_dept)/587", "587")</f>
        <v>0</v>
      </c>
      <c r="M4636">
        <f>HYPERLINK("https://www.senat.fr/senateur-3eme-republique/belle_antoine0299r3.html", "belle_antoine0299r3")</f>
        <v>0</v>
      </c>
      <c r="N4636">
        <f>HYPERLINK("https://www.wikidata.org/wiki/Q2853457", "Q2853457")</f>
        <v>0</v>
      </c>
      <c r="O4636" t="s">
        <v>20008</v>
      </c>
      <c r="P4636" t="s">
        <v>20459</v>
      </c>
      <c r="Q4636" t="s">
        <v>11935</v>
      </c>
      <c r="R4636" t="s">
        <v>21493</v>
      </c>
      <c r="S4636">
        <v>1471</v>
      </c>
    </row>
    <row r="4637" spans="1:19">
      <c r="A4637" t="s">
        <v>26</v>
      </c>
      <c r="B4637" t="s">
        <v>148</v>
      </c>
      <c r="C4637" t="s">
        <v>158</v>
      </c>
      <c r="D4637" t="s">
        <v>287</v>
      </c>
      <c r="E4637" t="s">
        <v>416</v>
      </c>
      <c r="F4637">
        <f>HYPERLINK("https://www.wikidata.org/wiki/Q33756209", "Q33756209")</f>
        <v>0</v>
      </c>
      <c r="G4637" t="s">
        <v>2495</v>
      </c>
      <c r="H4637" t="s">
        <v>7067</v>
      </c>
      <c r="I4637" t="s">
        <v>9401</v>
      </c>
      <c r="J4637" t="s">
        <v>13139</v>
      </c>
      <c r="K4637" t="s">
        <v>15720</v>
      </c>
      <c r="L4637">
        <f>HYPERLINK("https://www2.assemblee-nationale.fr/sycomore/fiche/(num_dept)/609", "609")</f>
        <v>0</v>
      </c>
      <c r="M4637">
        <f>HYPERLINK("https://www.senat.fr/senateur-3eme-republique/benazet_paul_antoine0262r3.html", "benazet_paul_antoine0262r3")</f>
        <v>0</v>
      </c>
      <c r="N4637">
        <f>HYPERLINK("https://www.wikidata.org/wiki/Q3370245", "Q3370245")</f>
        <v>0</v>
      </c>
      <c r="O4637" t="s">
        <v>19975</v>
      </c>
      <c r="P4637" t="s">
        <v>20460</v>
      </c>
      <c r="Q4637" t="s">
        <v>11935</v>
      </c>
      <c r="R4637" t="s">
        <v>21493</v>
      </c>
      <c r="S4637">
        <v>1471</v>
      </c>
    </row>
    <row r="4638" spans="1:19">
      <c r="A4638" t="s">
        <v>26</v>
      </c>
      <c r="B4638" t="s">
        <v>148</v>
      </c>
      <c r="C4638" t="s">
        <v>158</v>
      </c>
      <c r="D4638" t="s">
        <v>287</v>
      </c>
      <c r="E4638" t="s">
        <v>416</v>
      </c>
      <c r="F4638">
        <f>HYPERLINK("https://www.wikidata.org/wiki/Q33756209", "Q33756209")</f>
        <v>0</v>
      </c>
      <c r="G4638" t="s">
        <v>3090</v>
      </c>
      <c r="H4638" t="s">
        <v>7537</v>
      </c>
      <c r="I4638" t="s">
        <v>10623</v>
      </c>
      <c r="J4638" t="s">
        <v>13712</v>
      </c>
      <c r="K4638" t="s">
        <v>18095</v>
      </c>
      <c r="L4638">
        <f>HYPERLINK("https://www2.assemblee-nationale.fr/sycomore/fiche/(num_dept)/636", "636")</f>
        <v>0</v>
      </c>
      <c r="N4638">
        <f>HYPERLINK("https://www.wikidata.org/wiki/Q16025420", "Q16025420")</f>
        <v>0</v>
      </c>
      <c r="O4638" t="s">
        <v>19967</v>
      </c>
      <c r="P4638" t="s">
        <v>20460</v>
      </c>
      <c r="Q4638" t="s">
        <v>11935</v>
      </c>
      <c r="R4638" t="s">
        <v>21493</v>
      </c>
      <c r="S4638">
        <v>1471</v>
      </c>
    </row>
    <row r="4639" spans="1:19">
      <c r="A4639" t="s">
        <v>26</v>
      </c>
      <c r="B4639" t="s">
        <v>148</v>
      </c>
      <c r="C4639" t="s">
        <v>158</v>
      </c>
      <c r="D4639" t="s">
        <v>287</v>
      </c>
      <c r="E4639" t="s">
        <v>416</v>
      </c>
      <c r="F4639">
        <f>HYPERLINK("https://www.wikidata.org/wiki/Q33756209", "Q33756209")</f>
        <v>0</v>
      </c>
      <c r="G4639" t="s">
        <v>3091</v>
      </c>
      <c r="H4639" t="s">
        <v>5946</v>
      </c>
      <c r="I4639" t="s">
        <v>10624</v>
      </c>
      <c r="J4639" t="s">
        <v>13713</v>
      </c>
      <c r="K4639" t="s">
        <v>18096</v>
      </c>
      <c r="L4639">
        <f>HYPERLINK("https://www2.assemblee-nationale.fr/sycomore/fiche/(num_dept)/663", "663")</f>
        <v>0</v>
      </c>
      <c r="N4639">
        <f>HYPERLINK("https://www.wikidata.org/wiki/Q8307059", "Q8307059")</f>
        <v>0</v>
      </c>
      <c r="O4639" t="s">
        <v>19980</v>
      </c>
      <c r="P4639" t="s">
        <v>20460</v>
      </c>
      <c r="Q4639" t="s">
        <v>11935</v>
      </c>
      <c r="R4639" t="s">
        <v>21493</v>
      </c>
      <c r="S4639">
        <v>1471</v>
      </c>
    </row>
    <row r="4640" spans="1:19">
      <c r="A4640" t="s">
        <v>26</v>
      </c>
      <c r="B4640" t="s">
        <v>148</v>
      </c>
      <c r="C4640" t="s">
        <v>158</v>
      </c>
      <c r="D4640" t="s">
        <v>287</v>
      </c>
      <c r="E4640" t="s">
        <v>416</v>
      </c>
      <c r="F4640">
        <f>HYPERLINK("https://www.wikidata.org/wiki/Q33756209", "Q33756209")</f>
        <v>0</v>
      </c>
      <c r="G4640" t="s">
        <v>2496</v>
      </c>
      <c r="H4640" t="s">
        <v>6635</v>
      </c>
      <c r="I4640" t="s">
        <v>10246</v>
      </c>
      <c r="J4640" t="s">
        <v>13140</v>
      </c>
      <c r="K4640" t="s">
        <v>17548</v>
      </c>
      <c r="L4640">
        <f>HYPERLINK("https://www2.assemblee-nationale.fr/sycomore/fiche/(num_dept)/670", "670")</f>
        <v>0</v>
      </c>
      <c r="N4640">
        <f>HYPERLINK("https://www.wikidata.org/wiki/Q15973639", "Q15973639")</f>
        <v>0</v>
      </c>
      <c r="O4640" t="s">
        <v>20013</v>
      </c>
      <c r="P4640" t="s">
        <v>20460</v>
      </c>
      <c r="Q4640" t="s">
        <v>11935</v>
      </c>
      <c r="R4640" t="s">
        <v>21493</v>
      </c>
      <c r="S4640">
        <v>1471</v>
      </c>
    </row>
    <row r="4641" spans="1:19">
      <c r="A4641" t="s">
        <v>26</v>
      </c>
      <c r="B4641" t="s">
        <v>148</v>
      </c>
      <c r="C4641" t="s">
        <v>158</v>
      </c>
      <c r="D4641" t="s">
        <v>287</v>
      </c>
      <c r="E4641" t="s">
        <v>416</v>
      </c>
      <c r="F4641">
        <f>HYPERLINK("https://www.wikidata.org/wiki/Q33756209", "Q33756209")</f>
        <v>0</v>
      </c>
      <c r="G4641" t="s">
        <v>2498</v>
      </c>
      <c r="H4641" t="s">
        <v>5948</v>
      </c>
      <c r="I4641" t="s">
        <v>10247</v>
      </c>
      <c r="J4641" t="s">
        <v>13142</v>
      </c>
      <c r="K4641" t="s">
        <v>17550</v>
      </c>
      <c r="L4641">
        <f>HYPERLINK("https://www2.assemblee-nationale.fr/sycomore/fiche/(num_dept)/685", "685")</f>
        <v>0</v>
      </c>
      <c r="M4641">
        <f>HYPERLINK("https://www.senat.fr/senateur-3eme-republique/bernard_jean0686r3.html", "bernard_jean0686r3")</f>
        <v>0</v>
      </c>
      <c r="N4641">
        <f>HYPERLINK("https://www.wikidata.org/wiki/Q3170720", "Q3170720")</f>
        <v>0</v>
      </c>
      <c r="O4641" t="s">
        <v>19973</v>
      </c>
      <c r="P4641" t="s">
        <v>20401</v>
      </c>
      <c r="Q4641" t="s">
        <v>11935</v>
      </c>
      <c r="R4641" t="s">
        <v>21496</v>
      </c>
      <c r="S4641">
        <v>1352</v>
      </c>
    </row>
    <row r="4642" spans="1:19">
      <c r="A4642" t="s">
        <v>26</v>
      </c>
      <c r="B4642" t="s">
        <v>148</v>
      </c>
      <c r="C4642" t="s">
        <v>158</v>
      </c>
      <c r="D4642" t="s">
        <v>287</v>
      </c>
      <c r="E4642" t="s">
        <v>416</v>
      </c>
      <c r="F4642">
        <f>HYPERLINK("https://www.wikidata.org/wiki/Q33756209", "Q33756209")</f>
        <v>0</v>
      </c>
      <c r="G4642" t="s">
        <v>3092</v>
      </c>
      <c r="H4642" t="s">
        <v>7538</v>
      </c>
      <c r="I4642" t="s">
        <v>10625</v>
      </c>
      <c r="J4642" t="s">
        <v>13714</v>
      </c>
      <c r="K4642" t="s">
        <v>18097</v>
      </c>
      <c r="L4642">
        <f>HYPERLINK("https://www2.assemblee-nationale.fr/sycomore/fiche/(num_dept)/709", "709")</f>
        <v>0</v>
      </c>
      <c r="N4642">
        <f>HYPERLINK("https://www.wikidata.org/wiki/Q8317133", "Q8317133")</f>
        <v>0</v>
      </c>
      <c r="O4642" t="s">
        <v>19991</v>
      </c>
      <c r="P4642" t="s">
        <v>20460</v>
      </c>
      <c r="Q4642" t="s">
        <v>11935</v>
      </c>
      <c r="R4642" t="s">
        <v>21497</v>
      </c>
      <c r="S4642">
        <v>72</v>
      </c>
    </row>
    <row r="4643" spans="1:19">
      <c r="A4643" t="s">
        <v>26</v>
      </c>
      <c r="B4643" t="s">
        <v>148</v>
      </c>
      <c r="C4643" t="s">
        <v>158</v>
      </c>
      <c r="D4643" t="s">
        <v>287</v>
      </c>
      <c r="E4643" t="s">
        <v>416</v>
      </c>
      <c r="F4643">
        <f>HYPERLINK("https://www.wikidata.org/wiki/Q33756209", "Q33756209")</f>
        <v>0</v>
      </c>
      <c r="G4643" t="s">
        <v>3093</v>
      </c>
      <c r="H4643" t="s">
        <v>7539</v>
      </c>
      <c r="I4643" t="s">
        <v>10626</v>
      </c>
      <c r="J4643" t="s">
        <v>13715</v>
      </c>
      <c r="K4643" t="s">
        <v>17818</v>
      </c>
      <c r="L4643">
        <f>HYPERLINK("https://www2.assemblee-nationale.fr/sycomore/fiche/(num_dept)/800", "800")</f>
        <v>0</v>
      </c>
      <c r="N4643">
        <f>HYPERLINK("https://www.wikidata.org/wiki/Q15973702", "Q15973702")</f>
        <v>0</v>
      </c>
      <c r="O4643" t="s">
        <v>19984</v>
      </c>
      <c r="P4643" t="s">
        <v>20460</v>
      </c>
      <c r="Q4643" t="s">
        <v>11935</v>
      </c>
      <c r="R4643" t="s">
        <v>21493</v>
      </c>
      <c r="S4643">
        <v>1471</v>
      </c>
    </row>
    <row r="4644" spans="1:19">
      <c r="A4644" t="s">
        <v>26</v>
      </c>
      <c r="B4644" t="s">
        <v>148</v>
      </c>
      <c r="C4644" t="s">
        <v>158</v>
      </c>
      <c r="D4644" t="s">
        <v>287</v>
      </c>
      <c r="E4644" t="s">
        <v>416</v>
      </c>
      <c r="F4644">
        <f>HYPERLINK("https://www.wikidata.org/wiki/Q33756209", "Q33756209")</f>
        <v>0</v>
      </c>
      <c r="G4644" t="s">
        <v>2501</v>
      </c>
      <c r="H4644" t="s">
        <v>7071</v>
      </c>
      <c r="I4644" t="s">
        <v>10249</v>
      </c>
      <c r="J4644" t="s">
        <v>13145</v>
      </c>
      <c r="K4644" t="s">
        <v>17553</v>
      </c>
      <c r="L4644">
        <f>HYPERLINK("https://www2.assemblee-nationale.fr/sycomore/fiche/(num_dept)/803", "803")</f>
        <v>0</v>
      </c>
      <c r="N4644">
        <f>HYPERLINK("https://www.wikidata.org/wiki/Q3131443", "Q3131443")</f>
        <v>0</v>
      </c>
      <c r="O4644" t="s">
        <v>20023</v>
      </c>
      <c r="P4644" t="s">
        <v>20460</v>
      </c>
      <c r="Q4644" t="s">
        <v>11935</v>
      </c>
      <c r="R4644" t="s">
        <v>21493</v>
      </c>
      <c r="S4644">
        <v>1471</v>
      </c>
    </row>
    <row r="4645" spans="1:19">
      <c r="A4645" t="s">
        <v>26</v>
      </c>
      <c r="B4645" t="s">
        <v>148</v>
      </c>
      <c r="C4645" t="s">
        <v>158</v>
      </c>
      <c r="D4645" t="s">
        <v>287</v>
      </c>
      <c r="E4645" t="s">
        <v>416</v>
      </c>
      <c r="F4645">
        <f>HYPERLINK("https://www.wikidata.org/wiki/Q33756209", "Q33756209")</f>
        <v>0</v>
      </c>
      <c r="G4645" t="s">
        <v>2503</v>
      </c>
      <c r="H4645" t="s">
        <v>7073</v>
      </c>
      <c r="I4645" t="s">
        <v>6495</v>
      </c>
      <c r="J4645" t="s">
        <v>13147</v>
      </c>
      <c r="K4645" t="s">
        <v>17555</v>
      </c>
      <c r="L4645">
        <f>HYPERLINK("https://www2.assemblee-nationale.fr/sycomore/fiche/(num_dept)/831", "831")</f>
        <v>0</v>
      </c>
      <c r="M4645">
        <f>HYPERLINK("https://www.senat.fr/senateur-3eme-republique/bizarelli_louis0715r3.html", "bizarelli_louis0715r3")</f>
        <v>0</v>
      </c>
      <c r="N4645">
        <f>HYPERLINK("https://www.wikidata.org/wiki/Q3261277", "Q3261277")</f>
        <v>0</v>
      </c>
      <c r="O4645" t="s">
        <v>20044</v>
      </c>
      <c r="Q4645" t="s">
        <v>11935</v>
      </c>
      <c r="R4645" t="s">
        <v>21493</v>
      </c>
      <c r="S4645">
        <v>1471</v>
      </c>
    </row>
    <row r="4646" spans="1:19">
      <c r="A4646" t="s">
        <v>26</v>
      </c>
      <c r="B4646" t="s">
        <v>148</v>
      </c>
      <c r="C4646" t="s">
        <v>158</v>
      </c>
      <c r="D4646" t="s">
        <v>287</v>
      </c>
      <c r="E4646" t="s">
        <v>416</v>
      </c>
      <c r="F4646">
        <f>HYPERLINK("https://www.wikidata.org/wiki/Q33756209", "Q33756209")</f>
        <v>0</v>
      </c>
      <c r="G4646" t="s">
        <v>3094</v>
      </c>
      <c r="H4646" t="s">
        <v>7540</v>
      </c>
      <c r="I4646" t="s">
        <v>10627</v>
      </c>
      <c r="J4646" t="s">
        <v>13716</v>
      </c>
      <c r="K4646" t="s">
        <v>18098</v>
      </c>
      <c r="L4646">
        <f>HYPERLINK("https://www2.assemblee-nationale.fr/sycomore/fiche/(num_dept)/837", "837")</f>
        <v>0</v>
      </c>
      <c r="N4646">
        <f>HYPERLINK("https://www.wikidata.org/wiki/Q15973737", "Q15973737")</f>
        <v>0</v>
      </c>
      <c r="O4646" t="s">
        <v>19991</v>
      </c>
      <c r="P4646" t="s">
        <v>20460</v>
      </c>
      <c r="Q4646" t="s">
        <v>11935</v>
      </c>
      <c r="R4646" t="s">
        <v>21497</v>
      </c>
      <c r="S4646">
        <v>72</v>
      </c>
    </row>
    <row r="4647" spans="1:19">
      <c r="A4647" t="s">
        <v>26</v>
      </c>
      <c r="B4647" t="s">
        <v>148</v>
      </c>
      <c r="C4647" t="s">
        <v>158</v>
      </c>
      <c r="D4647" t="s">
        <v>287</v>
      </c>
      <c r="E4647" t="s">
        <v>416</v>
      </c>
      <c r="F4647">
        <f>HYPERLINK("https://www.wikidata.org/wiki/Q33756209", "Q33756209")</f>
        <v>0</v>
      </c>
      <c r="G4647" t="s">
        <v>2505</v>
      </c>
      <c r="H4647" t="s">
        <v>5296</v>
      </c>
      <c r="I4647" t="s">
        <v>6860</v>
      </c>
      <c r="J4647" t="s">
        <v>13149</v>
      </c>
      <c r="K4647" t="s">
        <v>17557</v>
      </c>
      <c r="L4647">
        <f>HYPERLINK("https://www2.assemblee-nationale.fr/sycomore/fiche/(num_dept)/851", "851")</f>
        <v>0</v>
      </c>
      <c r="N4647">
        <f>HYPERLINK("https://www.wikidata.org/wiki/Q3384025", "Q3384025")</f>
        <v>0</v>
      </c>
      <c r="O4647" t="s">
        <v>19988</v>
      </c>
      <c r="P4647" t="s">
        <v>20458</v>
      </c>
      <c r="Q4647" t="s">
        <v>11935</v>
      </c>
      <c r="R4647" t="s">
        <v>21493</v>
      </c>
      <c r="S4647">
        <v>1471</v>
      </c>
    </row>
    <row r="4648" spans="1:19">
      <c r="A4648" t="s">
        <v>26</v>
      </c>
      <c r="B4648" t="s">
        <v>148</v>
      </c>
      <c r="C4648" t="s">
        <v>158</v>
      </c>
      <c r="D4648" t="s">
        <v>287</v>
      </c>
      <c r="E4648" t="s">
        <v>416</v>
      </c>
      <c r="F4648">
        <f>HYPERLINK("https://www.wikidata.org/wiki/Q33756209", "Q33756209")</f>
        <v>0</v>
      </c>
      <c r="G4648" t="s">
        <v>2507</v>
      </c>
      <c r="H4648" t="s">
        <v>7075</v>
      </c>
      <c r="I4648" t="s">
        <v>10253</v>
      </c>
      <c r="J4648" t="s">
        <v>13151</v>
      </c>
      <c r="K4648" t="s">
        <v>17559</v>
      </c>
      <c r="L4648">
        <f>HYPERLINK("https://www2.assemblee-nationale.fr/sycomore/fiche/(num_dept)/870", "870")</f>
        <v>0</v>
      </c>
      <c r="N4648">
        <f>HYPERLINK("https://www.wikidata.org/wiki/Q3292335", "Q3292335")</f>
        <v>0</v>
      </c>
      <c r="O4648" t="s">
        <v>20012</v>
      </c>
      <c r="P4648" t="s">
        <v>20460</v>
      </c>
      <c r="Q4648" t="s">
        <v>11935</v>
      </c>
      <c r="R4648" t="s">
        <v>21493</v>
      </c>
      <c r="S4648">
        <v>1471</v>
      </c>
    </row>
    <row r="4649" spans="1:19">
      <c r="A4649" t="s">
        <v>26</v>
      </c>
      <c r="B4649" t="s">
        <v>148</v>
      </c>
      <c r="C4649" t="s">
        <v>158</v>
      </c>
      <c r="D4649" t="s">
        <v>287</v>
      </c>
      <c r="E4649" t="s">
        <v>416</v>
      </c>
      <c r="F4649">
        <f>HYPERLINK("https://www.wikidata.org/wiki/Q33756209", "Q33756209")</f>
        <v>0</v>
      </c>
      <c r="G4649" t="s">
        <v>3095</v>
      </c>
      <c r="H4649" t="s">
        <v>7541</v>
      </c>
      <c r="I4649" t="s">
        <v>10628</v>
      </c>
      <c r="J4649" t="s">
        <v>13717</v>
      </c>
      <c r="K4649" t="s">
        <v>18099</v>
      </c>
      <c r="L4649">
        <f>HYPERLINK("https://www2.assemblee-nationale.fr/sycomore/fiche/(num_dept)/954", "954")</f>
        <v>0</v>
      </c>
      <c r="N4649">
        <f>HYPERLINK("https://www.wikidata.org/wiki/Q2845557", "Q2845557")</f>
        <v>0</v>
      </c>
      <c r="O4649" t="s">
        <v>19975</v>
      </c>
      <c r="P4649" t="s">
        <v>20460</v>
      </c>
      <c r="Q4649" t="s">
        <v>11935</v>
      </c>
      <c r="R4649" t="s">
        <v>21493</v>
      </c>
      <c r="S4649">
        <v>1471</v>
      </c>
    </row>
    <row r="4650" spans="1:19">
      <c r="A4650" t="s">
        <v>26</v>
      </c>
      <c r="B4650" t="s">
        <v>148</v>
      </c>
      <c r="C4650" t="s">
        <v>158</v>
      </c>
      <c r="D4650" t="s">
        <v>287</v>
      </c>
      <c r="E4650" t="s">
        <v>416</v>
      </c>
      <c r="F4650">
        <f>HYPERLINK("https://www.wikidata.org/wiki/Q33756209", "Q33756209")</f>
        <v>0</v>
      </c>
      <c r="G4650" t="s">
        <v>3096</v>
      </c>
      <c r="H4650" t="s">
        <v>7542</v>
      </c>
      <c r="I4650" t="s">
        <v>10629</v>
      </c>
      <c r="J4650" t="s">
        <v>13718</v>
      </c>
      <c r="K4650" t="s">
        <v>18100</v>
      </c>
      <c r="L4650">
        <f>HYPERLINK("https://www2.assemblee-nationale.fr/sycomore/fiche/(num_dept)/973", "973")</f>
        <v>0</v>
      </c>
      <c r="N4650">
        <f>HYPERLINK("https://www.wikidata.org/wiki/Q15973823", "Q15973823")</f>
        <v>0</v>
      </c>
      <c r="O4650" t="s">
        <v>20031</v>
      </c>
      <c r="P4650" t="s">
        <v>20460</v>
      </c>
      <c r="Q4650" t="s">
        <v>11935</v>
      </c>
      <c r="R4650" t="s">
        <v>21493</v>
      </c>
      <c r="S4650">
        <v>1471</v>
      </c>
    </row>
    <row r="4651" spans="1:19">
      <c r="A4651" t="s">
        <v>26</v>
      </c>
      <c r="B4651" t="s">
        <v>148</v>
      </c>
      <c r="C4651" t="s">
        <v>158</v>
      </c>
      <c r="D4651" t="s">
        <v>287</v>
      </c>
      <c r="E4651" t="s">
        <v>416</v>
      </c>
      <c r="F4651">
        <f>HYPERLINK("https://www.wikidata.org/wiki/Q33756209", "Q33756209")</f>
        <v>0</v>
      </c>
      <c r="G4651" t="s">
        <v>2510</v>
      </c>
      <c r="H4651" t="s">
        <v>7078</v>
      </c>
      <c r="I4651" t="s">
        <v>10255</v>
      </c>
      <c r="J4651" t="s">
        <v>13154</v>
      </c>
      <c r="K4651" t="s">
        <v>17562</v>
      </c>
      <c r="L4651">
        <f>HYPERLINK("https://www2.assemblee-nationale.fr/sycomore/fiche/(num_dept)/987", "987")</f>
        <v>0</v>
      </c>
      <c r="M4651">
        <f>HYPERLINK("https://www.senat.fr/senateur-3eme-republique/borriglione_alfred0114r3.html", "borriglione_alfred0114r3")</f>
        <v>0</v>
      </c>
      <c r="N4651">
        <f>HYPERLINK("https://www.wikidata.org/wiki/Q2834977", "Q2834977")</f>
        <v>0</v>
      </c>
      <c r="O4651" t="s">
        <v>20024</v>
      </c>
      <c r="Q4651" t="s">
        <v>11935</v>
      </c>
      <c r="R4651" t="s">
        <v>21493</v>
      </c>
      <c r="S4651">
        <v>1471</v>
      </c>
    </row>
    <row r="4652" spans="1:19">
      <c r="A4652" t="s">
        <v>26</v>
      </c>
      <c r="B4652" t="s">
        <v>148</v>
      </c>
      <c r="C4652" t="s">
        <v>158</v>
      </c>
      <c r="D4652" t="s">
        <v>287</v>
      </c>
      <c r="E4652" t="s">
        <v>416</v>
      </c>
      <c r="F4652">
        <f>HYPERLINK("https://www.wikidata.org/wiki/Q33756209", "Q33756209")</f>
        <v>0</v>
      </c>
      <c r="G4652" t="s">
        <v>2511</v>
      </c>
      <c r="H4652" t="s">
        <v>7079</v>
      </c>
      <c r="I4652" t="s">
        <v>10256</v>
      </c>
      <c r="J4652" t="s">
        <v>13155</v>
      </c>
      <c r="K4652" t="s">
        <v>17563</v>
      </c>
      <c r="L4652">
        <f>HYPERLINK("https://www2.assemblee-nationale.fr/sycomore/fiche/(num_dept)/993", "993")</f>
        <v>0</v>
      </c>
      <c r="N4652">
        <f>HYPERLINK("https://www.wikidata.org/wiki/Q2871538", "Q2871538")</f>
        <v>0</v>
      </c>
      <c r="O4652" t="s">
        <v>19964</v>
      </c>
      <c r="P4652" t="s">
        <v>20460</v>
      </c>
      <c r="Q4652" t="s">
        <v>11935</v>
      </c>
      <c r="R4652" t="s">
        <v>21493</v>
      </c>
      <c r="S4652">
        <v>1471</v>
      </c>
    </row>
    <row r="4653" spans="1:19">
      <c r="A4653" t="s">
        <v>26</v>
      </c>
      <c r="B4653" t="s">
        <v>148</v>
      </c>
      <c r="C4653" t="s">
        <v>158</v>
      </c>
      <c r="D4653" t="s">
        <v>287</v>
      </c>
      <c r="E4653" t="s">
        <v>416</v>
      </c>
      <c r="F4653">
        <f>HYPERLINK("https://www.wikidata.org/wiki/Q33756209", "Q33756209")</f>
        <v>0</v>
      </c>
      <c r="G4653" t="s">
        <v>3097</v>
      </c>
      <c r="H4653" t="s">
        <v>7543</v>
      </c>
      <c r="I4653" t="s">
        <v>10630</v>
      </c>
      <c r="J4653" t="s">
        <v>13719</v>
      </c>
      <c r="K4653" t="s">
        <v>18101</v>
      </c>
      <c r="L4653">
        <f>HYPERLINK("https://www2.assemblee-nationale.fr/sycomore/fiche/(num_dept)/1000", "1000")</f>
        <v>0</v>
      </c>
      <c r="N4653">
        <f>HYPERLINK("https://www.wikidata.org/wiki/Q15973854", "Q15973854")</f>
        <v>0</v>
      </c>
      <c r="O4653" t="s">
        <v>20013</v>
      </c>
      <c r="P4653" t="s">
        <v>20460</v>
      </c>
      <c r="Q4653" t="s">
        <v>11935</v>
      </c>
      <c r="R4653" t="s">
        <v>18101</v>
      </c>
      <c r="S4653">
        <v>735</v>
      </c>
    </row>
    <row r="4654" spans="1:19">
      <c r="A4654" t="s">
        <v>26</v>
      </c>
      <c r="B4654" t="s">
        <v>148</v>
      </c>
      <c r="C4654" t="s">
        <v>158</v>
      </c>
      <c r="D4654" t="s">
        <v>287</v>
      </c>
      <c r="E4654" t="s">
        <v>416</v>
      </c>
      <c r="F4654">
        <f>HYPERLINK("https://www.wikidata.org/wiki/Q33756209", "Q33756209")</f>
        <v>0</v>
      </c>
      <c r="G4654" t="s">
        <v>3098</v>
      </c>
      <c r="H4654" t="s">
        <v>7544</v>
      </c>
      <c r="I4654" t="s">
        <v>9775</v>
      </c>
      <c r="J4654" t="s">
        <v>13720</v>
      </c>
      <c r="K4654" t="s">
        <v>18102</v>
      </c>
      <c r="L4654">
        <f>HYPERLINK("https://www2.assemblee-nationale.fr/sycomore/fiche/(num_dept)/1009", "1009")</f>
        <v>0</v>
      </c>
      <c r="N4654">
        <f>HYPERLINK("https://www.wikidata.org/wiki/Q3184343", "Q3184343")</f>
        <v>0</v>
      </c>
      <c r="O4654" t="s">
        <v>20011</v>
      </c>
      <c r="P4654" t="s">
        <v>20460</v>
      </c>
      <c r="Q4654" t="s">
        <v>11935</v>
      </c>
      <c r="R4654" t="s">
        <v>21493</v>
      </c>
      <c r="S4654">
        <v>1471</v>
      </c>
    </row>
    <row r="4655" spans="1:19">
      <c r="A4655" t="s">
        <v>26</v>
      </c>
      <c r="B4655" t="s">
        <v>148</v>
      </c>
      <c r="C4655" t="s">
        <v>158</v>
      </c>
      <c r="D4655" t="s">
        <v>287</v>
      </c>
      <c r="E4655" t="s">
        <v>416</v>
      </c>
      <c r="F4655">
        <f>HYPERLINK("https://www.wikidata.org/wiki/Q33756209", "Q33756209")</f>
        <v>0</v>
      </c>
      <c r="G4655" t="s">
        <v>2515</v>
      </c>
      <c r="H4655" t="s">
        <v>7083</v>
      </c>
      <c r="I4655" t="s">
        <v>10259</v>
      </c>
      <c r="J4655" t="s">
        <v>13159</v>
      </c>
      <c r="K4655" t="s">
        <v>17566</v>
      </c>
      <c r="L4655">
        <f>HYPERLINK("https://www2.assemblee-nationale.fr/sycomore/fiche/(num_dept)/1085", "1085")</f>
        <v>0</v>
      </c>
      <c r="N4655">
        <f>HYPERLINK("https://www.wikidata.org/wiki/Q15973888", "Q15973888")</f>
        <v>0</v>
      </c>
      <c r="O4655" t="s">
        <v>19972</v>
      </c>
      <c r="P4655" t="s">
        <v>20460</v>
      </c>
      <c r="Q4655" t="s">
        <v>11935</v>
      </c>
      <c r="R4655" t="s">
        <v>21493</v>
      </c>
      <c r="S4655">
        <v>1471</v>
      </c>
    </row>
    <row r="4656" spans="1:19">
      <c r="A4656" t="s">
        <v>26</v>
      </c>
      <c r="B4656" t="s">
        <v>148</v>
      </c>
      <c r="C4656" t="s">
        <v>158</v>
      </c>
      <c r="D4656" t="s">
        <v>287</v>
      </c>
      <c r="E4656" t="s">
        <v>416</v>
      </c>
      <c r="F4656">
        <f>HYPERLINK("https://www.wikidata.org/wiki/Q33756209", "Q33756209")</f>
        <v>0</v>
      </c>
      <c r="G4656" t="s">
        <v>3099</v>
      </c>
      <c r="H4656" t="s">
        <v>7545</v>
      </c>
      <c r="I4656" t="s">
        <v>10631</v>
      </c>
      <c r="J4656" t="s">
        <v>13721</v>
      </c>
      <c r="K4656" t="s">
        <v>18103</v>
      </c>
      <c r="L4656">
        <f>HYPERLINK("https://www2.assemblee-nationale.fr/sycomore/fiche/(num_dept)/1087", "1087")</f>
        <v>0</v>
      </c>
      <c r="M4656">
        <f>HYPERLINK("https://www.senat.fr/senateur-3eme-republique/bourgeois_jean0438r3.html", "bourgeois_jean0438r3")</f>
        <v>0</v>
      </c>
      <c r="N4656">
        <f>HYPERLINK("https://www.wikidata.org/wiki/Q3163901", "Q3163901")</f>
        <v>0</v>
      </c>
      <c r="O4656" t="s">
        <v>20041</v>
      </c>
      <c r="P4656" t="s">
        <v>20401</v>
      </c>
      <c r="Q4656" t="s">
        <v>11935</v>
      </c>
      <c r="R4656" t="s">
        <v>21493</v>
      </c>
      <c r="S4656">
        <v>1471</v>
      </c>
    </row>
    <row r="4657" spans="1:19">
      <c r="A4657" t="s">
        <v>26</v>
      </c>
      <c r="B4657" t="s">
        <v>148</v>
      </c>
      <c r="C4657" t="s">
        <v>158</v>
      </c>
      <c r="D4657" t="s">
        <v>287</v>
      </c>
      <c r="E4657" t="s">
        <v>416</v>
      </c>
      <c r="F4657">
        <f>HYPERLINK("https://www.wikidata.org/wiki/Q33756209", "Q33756209")</f>
        <v>0</v>
      </c>
      <c r="G4657" t="s">
        <v>3100</v>
      </c>
      <c r="H4657" t="s">
        <v>7546</v>
      </c>
      <c r="I4657" t="s">
        <v>10632</v>
      </c>
      <c r="J4657" t="s">
        <v>13722</v>
      </c>
      <c r="K4657" t="s">
        <v>18104</v>
      </c>
      <c r="L4657">
        <f>HYPERLINK("https://www2.assemblee-nationale.fr/sycomore/fiche/(num_dept)/1098", "1098")</f>
        <v>0</v>
      </c>
      <c r="N4657">
        <f>HYPERLINK("https://www.wikidata.org/wiki/Q16627632", "Q16627632")</f>
        <v>0</v>
      </c>
      <c r="O4657" t="s">
        <v>20000</v>
      </c>
      <c r="P4657" t="s">
        <v>20459</v>
      </c>
      <c r="Q4657" t="s">
        <v>11935</v>
      </c>
      <c r="R4657" t="s">
        <v>21493</v>
      </c>
      <c r="S4657">
        <v>1471</v>
      </c>
    </row>
    <row r="4658" spans="1:19">
      <c r="A4658" t="s">
        <v>26</v>
      </c>
      <c r="B4658" t="s">
        <v>148</v>
      </c>
      <c r="C4658" t="s">
        <v>158</v>
      </c>
      <c r="D4658" t="s">
        <v>287</v>
      </c>
      <c r="E4658" t="s">
        <v>416</v>
      </c>
      <c r="F4658">
        <f>HYPERLINK("https://www.wikidata.org/wiki/Q33756209", "Q33756209")</f>
        <v>0</v>
      </c>
      <c r="G4658" t="s">
        <v>2519</v>
      </c>
      <c r="H4658" t="s">
        <v>6100</v>
      </c>
      <c r="I4658" t="s">
        <v>10262</v>
      </c>
      <c r="J4658" t="s">
        <v>13163</v>
      </c>
      <c r="K4658" t="s">
        <v>17570</v>
      </c>
      <c r="L4658">
        <f>HYPERLINK("https://www2.assemblee-nationale.fr/sycomore/fiche/(num_dept)/1148", "1148")</f>
        <v>0</v>
      </c>
      <c r="N4658">
        <f>HYPERLINK("https://www.wikidata.org/wiki/Q8309995", "Q8309995")</f>
        <v>0</v>
      </c>
      <c r="O4658" t="s">
        <v>20006</v>
      </c>
      <c r="P4658" t="s">
        <v>20401</v>
      </c>
      <c r="Q4658" t="s">
        <v>11935</v>
      </c>
      <c r="R4658" t="s">
        <v>21493</v>
      </c>
      <c r="S4658">
        <v>1471</v>
      </c>
    </row>
    <row r="4659" spans="1:19">
      <c r="A4659" t="s">
        <v>26</v>
      </c>
      <c r="B4659" t="s">
        <v>148</v>
      </c>
      <c r="C4659" t="s">
        <v>158</v>
      </c>
      <c r="D4659" t="s">
        <v>287</v>
      </c>
      <c r="E4659" t="s">
        <v>416</v>
      </c>
      <c r="F4659">
        <f>HYPERLINK("https://www.wikidata.org/wiki/Q33756209", "Q33756209")</f>
        <v>0</v>
      </c>
      <c r="G4659" t="s">
        <v>3101</v>
      </c>
      <c r="H4659" t="s">
        <v>7547</v>
      </c>
      <c r="I4659" t="s">
        <v>10633</v>
      </c>
      <c r="J4659" t="s">
        <v>13723</v>
      </c>
      <c r="K4659" t="s">
        <v>18105</v>
      </c>
      <c r="L4659">
        <f>HYPERLINK("https://www2.assemblee-nationale.fr/sycomore/fiche/(num_dept)/1198", "1198")</f>
        <v>0</v>
      </c>
      <c r="N4659">
        <f>HYPERLINK("https://www.wikidata.org/wiki/Q3132908", "Q3132908")</f>
        <v>0</v>
      </c>
      <c r="O4659" t="s">
        <v>20027</v>
      </c>
      <c r="P4659" t="s">
        <v>20460</v>
      </c>
      <c r="Q4659" t="s">
        <v>11935</v>
      </c>
      <c r="R4659" t="s">
        <v>21493</v>
      </c>
      <c r="S4659">
        <v>1471</v>
      </c>
    </row>
    <row r="4660" spans="1:19">
      <c r="A4660" t="s">
        <v>26</v>
      </c>
      <c r="B4660" t="s">
        <v>148</v>
      </c>
      <c r="C4660" t="s">
        <v>158</v>
      </c>
      <c r="D4660" t="s">
        <v>287</v>
      </c>
      <c r="E4660" t="s">
        <v>416</v>
      </c>
      <c r="F4660">
        <f>HYPERLINK("https://www.wikidata.org/wiki/Q33756209", "Q33756209")</f>
        <v>0</v>
      </c>
      <c r="G4660" t="s">
        <v>554</v>
      </c>
      <c r="H4660" t="s">
        <v>5317</v>
      </c>
      <c r="I4660" t="s">
        <v>9412</v>
      </c>
      <c r="J4660" t="s">
        <v>11305</v>
      </c>
      <c r="K4660" t="s">
        <v>15706</v>
      </c>
      <c r="L4660">
        <f>HYPERLINK("https://www2.assemblee-nationale.fr/sycomore/fiche/(num_dept)/1220", "1220")</f>
        <v>0</v>
      </c>
      <c r="N4660">
        <f>HYPERLINK("https://www.wikidata.org/wiki/Q3426418", "Q3426418")</f>
        <v>0</v>
      </c>
      <c r="O4660" t="s">
        <v>19998</v>
      </c>
      <c r="P4660" t="s">
        <v>20462</v>
      </c>
      <c r="Q4660" t="s">
        <v>11935</v>
      </c>
      <c r="R4660" t="s">
        <v>21493</v>
      </c>
      <c r="S4660">
        <v>1471</v>
      </c>
    </row>
    <row r="4661" spans="1:19">
      <c r="A4661" t="s">
        <v>26</v>
      </c>
      <c r="B4661" t="s">
        <v>148</v>
      </c>
      <c r="C4661" t="s">
        <v>158</v>
      </c>
      <c r="D4661" t="s">
        <v>287</v>
      </c>
      <c r="E4661" t="s">
        <v>416</v>
      </c>
      <c r="F4661">
        <f>HYPERLINK("https://www.wikidata.org/wiki/Q33756209", "Q33756209")</f>
        <v>0</v>
      </c>
      <c r="G4661" t="s">
        <v>2523</v>
      </c>
      <c r="H4661" t="s">
        <v>5320</v>
      </c>
      <c r="I4661" t="s">
        <v>9389</v>
      </c>
      <c r="J4661" t="s">
        <v>13167</v>
      </c>
      <c r="K4661" t="s">
        <v>17573</v>
      </c>
      <c r="L4661">
        <f>HYPERLINK("https://www2.assemblee-nationale.fr/sycomore/fiche/(num_dept)/1259", "1259")</f>
        <v>0</v>
      </c>
      <c r="N4661">
        <f>HYPERLINK("https://www.wikidata.org/wiki/Q15968404", "Q15968404")</f>
        <v>0</v>
      </c>
      <c r="O4661" t="s">
        <v>20001</v>
      </c>
      <c r="P4661" t="s">
        <v>20401</v>
      </c>
      <c r="Q4661" t="s">
        <v>11935</v>
      </c>
      <c r="R4661" t="s">
        <v>21493</v>
      </c>
      <c r="S4661">
        <v>1471</v>
      </c>
    </row>
    <row r="4662" spans="1:19">
      <c r="A4662" t="s">
        <v>26</v>
      </c>
      <c r="B4662" t="s">
        <v>148</v>
      </c>
      <c r="C4662" t="s">
        <v>158</v>
      </c>
      <c r="D4662" t="s">
        <v>287</v>
      </c>
      <c r="E4662" t="s">
        <v>416</v>
      </c>
      <c r="F4662">
        <f>HYPERLINK("https://www.wikidata.org/wiki/Q33756209", "Q33756209")</f>
        <v>0</v>
      </c>
      <c r="G4662" t="s">
        <v>2524</v>
      </c>
      <c r="H4662" t="s">
        <v>7087</v>
      </c>
      <c r="I4662" t="s">
        <v>10266</v>
      </c>
      <c r="J4662" t="s">
        <v>13168</v>
      </c>
      <c r="K4662" t="s">
        <v>17574</v>
      </c>
      <c r="L4662">
        <f>HYPERLINK("https://www2.assemblee-nationale.fr/sycomore/fiche/(num_dept)/1267", "1267")</f>
        <v>0</v>
      </c>
      <c r="N4662">
        <f>HYPERLINK("https://www.wikidata.org/wiki/Q15973953", "Q15973953")</f>
        <v>0</v>
      </c>
      <c r="O4662" t="s">
        <v>20010</v>
      </c>
      <c r="P4662" t="s">
        <v>20472</v>
      </c>
      <c r="Q4662" t="s">
        <v>11935</v>
      </c>
      <c r="R4662" t="s">
        <v>21493</v>
      </c>
      <c r="S4662">
        <v>1471</v>
      </c>
    </row>
    <row r="4663" spans="1:19">
      <c r="A4663" t="s">
        <v>26</v>
      </c>
      <c r="B4663" t="s">
        <v>148</v>
      </c>
      <c r="C4663" t="s">
        <v>158</v>
      </c>
      <c r="D4663" t="s">
        <v>287</v>
      </c>
      <c r="E4663" t="s">
        <v>416</v>
      </c>
      <c r="F4663">
        <f>HYPERLINK("https://www.wikidata.org/wiki/Q33756209", "Q33756209")</f>
        <v>0</v>
      </c>
      <c r="G4663" t="s">
        <v>2525</v>
      </c>
      <c r="H4663" t="s">
        <v>7088</v>
      </c>
      <c r="I4663" t="s">
        <v>10267</v>
      </c>
      <c r="J4663" t="s">
        <v>13169</v>
      </c>
      <c r="K4663" t="s">
        <v>17575</v>
      </c>
      <c r="L4663">
        <f>HYPERLINK("https://www2.assemblee-nationale.fr/sycomore/fiche/(num_dept)/1271", "1271")</f>
        <v>0</v>
      </c>
      <c r="M4663">
        <f>HYPERLINK("https://www.senat.fr/senateur-3eme-republique/brugnot_alfred1798r3.html", "brugnot_alfred1798r3")</f>
        <v>0</v>
      </c>
      <c r="N4663">
        <f>HYPERLINK("https://www.wikidata.org/wiki/Q2834995", "Q2834995")</f>
        <v>0</v>
      </c>
      <c r="O4663" t="s">
        <v>20017</v>
      </c>
      <c r="Q4663" t="s">
        <v>11935</v>
      </c>
      <c r="R4663" t="s">
        <v>21493</v>
      </c>
      <c r="S4663">
        <v>1471</v>
      </c>
    </row>
    <row r="4664" spans="1:19">
      <c r="A4664" t="s">
        <v>26</v>
      </c>
      <c r="B4664" t="s">
        <v>148</v>
      </c>
      <c r="C4664" t="s">
        <v>158</v>
      </c>
      <c r="D4664" t="s">
        <v>287</v>
      </c>
      <c r="E4664" t="s">
        <v>416</v>
      </c>
      <c r="F4664">
        <f>HYPERLINK("https://www.wikidata.org/wiki/Q33756209", "Q33756209")</f>
        <v>0</v>
      </c>
      <c r="G4664" t="s">
        <v>2947</v>
      </c>
      <c r="H4664" t="s">
        <v>7422</v>
      </c>
      <c r="I4664" t="s">
        <v>9849</v>
      </c>
      <c r="J4664" t="s">
        <v>13580</v>
      </c>
      <c r="K4664" t="s">
        <v>17965</v>
      </c>
      <c r="L4664">
        <f>HYPERLINK("https://www2.assemblee-nationale.fr/sycomore/fiche/(num_dept)/1331", "1331")</f>
        <v>0</v>
      </c>
      <c r="M4664">
        <f>HYPERLINK("https://www.senat.fr/senateur-3eme-republique/buvignier_jean1022r3.html", "buvignier_jean1022r3")</f>
        <v>0</v>
      </c>
      <c r="N4664">
        <f>HYPERLINK("https://www.wikidata.org/wiki/Q3171041", "Q3171041")</f>
        <v>0</v>
      </c>
      <c r="O4664" t="s">
        <v>20030</v>
      </c>
      <c r="P4664" t="s">
        <v>20459</v>
      </c>
      <c r="Q4664" t="s">
        <v>11935</v>
      </c>
      <c r="R4664" t="s">
        <v>21493</v>
      </c>
      <c r="S4664">
        <v>1471</v>
      </c>
    </row>
    <row r="4665" spans="1:19">
      <c r="A4665" t="s">
        <v>26</v>
      </c>
      <c r="B4665" t="s">
        <v>148</v>
      </c>
      <c r="C4665" t="s">
        <v>158</v>
      </c>
      <c r="D4665" t="s">
        <v>287</v>
      </c>
      <c r="E4665" t="s">
        <v>416</v>
      </c>
      <c r="F4665">
        <f>HYPERLINK("https://www.wikidata.org/wiki/Q33756209", "Q33756209")</f>
        <v>0</v>
      </c>
      <c r="G4665" t="s">
        <v>2526</v>
      </c>
      <c r="H4665" t="s">
        <v>6656</v>
      </c>
      <c r="I4665" t="s">
        <v>9516</v>
      </c>
      <c r="J4665" t="s">
        <v>13170</v>
      </c>
      <c r="K4665" t="s">
        <v>17576</v>
      </c>
      <c r="L4665">
        <f>HYPERLINK("https://www2.assemblee-nationale.fr/sycomore/fiche/(num_dept)/1332", "1332")</f>
        <v>0</v>
      </c>
      <c r="N4665">
        <f>HYPERLINK("https://www.wikidata.org/wiki/Q15974087", "Q15974087")</f>
        <v>0</v>
      </c>
      <c r="O4665" t="s">
        <v>20006</v>
      </c>
      <c r="P4665" t="s">
        <v>20463</v>
      </c>
      <c r="Q4665" t="s">
        <v>11935</v>
      </c>
      <c r="R4665" t="s">
        <v>17576</v>
      </c>
      <c r="S4665">
        <v>524</v>
      </c>
    </row>
    <row r="4666" spans="1:19">
      <c r="A4666" t="s">
        <v>26</v>
      </c>
      <c r="B4666" t="s">
        <v>148</v>
      </c>
      <c r="C4666" t="s">
        <v>158</v>
      </c>
      <c r="D4666" t="s">
        <v>287</v>
      </c>
      <c r="E4666" t="s">
        <v>416</v>
      </c>
      <c r="F4666">
        <f>HYPERLINK("https://www.wikidata.org/wiki/Q33756209", "Q33756209")</f>
        <v>0</v>
      </c>
      <c r="G4666" t="s">
        <v>3102</v>
      </c>
      <c r="H4666" t="s">
        <v>7548</v>
      </c>
      <c r="I4666" t="s">
        <v>10634</v>
      </c>
      <c r="J4666" t="s">
        <v>13724</v>
      </c>
      <c r="K4666" t="s">
        <v>18106</v>
      </c>
      <c r="L4666">
        <f>HYPERLINK("https://www2.assemblee-nationale.fr/sycomore/fiche/(num_dept)/1392", "1392")</f>
        <v>0</v>
      </c>
      <c r="N4666">
        <f>HYPERLINK("https://www.wikidata.org/wiki/Q15974107", "Q15974107")</f>
        <v>0</v>
      </c>
      <c r="O4666" t="s">
        <v>19967</v>
      </c>
      <c r="P4666" t="s">
        <v>20460</v>
      </c>
      <c r="Q4666" t="s">
        <v>11935</v>
      </c>
      <c r="R4666" t="s">
        <v>21493</v>
      </c>
      <c r="S4666">
        <v>1471</v>
      </c>
    </row>
    <row r="4667" spans="1:19">
      <c r="A4667" t="s">
        <v>26</v>
      </c>
      <c r="B4667" t="s">
        <v>148</v>
      </c>
      <c r="C4667" t="s">
        <v>158</v>
      </c>
      <c r="D4667" t="s">
        <v>287</v>
      </c>
      <c r="E4667" t="s">
        <v>416</v>
      </c>
      <c r="F4667">
        <f>HYPERLINK("https://www.wikidata.org/wiki/Q33756209", "Q33756209")</f>
        <v>0</v>
      </c>
      <c r="G4667" t="s">
        <v>3103</v>
      </c>
      <c r="H4667" t="s">
        <v>7549</v>
      </c>
      <c r="I4667" t="s">
        <v>10635</v>
      </c>
      <c r="J4667" t="s">
        <v>13725</v>
      </c>
      <c r="K4667" t="s">
        <v>18107</v>
      </c>
      <c r="L4667">
        <f>HYPERLINK("https://www2.assemblee-nationale.fr/sycomore/fiche/(num_dept)/1437", "1437")</f>
        <v>0</v>
      </c>
      <c r="N4667">
        <f>HYPERLINK("https://www.wikidata.org/wiki/Q15974131", "Q15974131")</f>
        <v>0</v>
      </c>
      <c r="O4667" t="s">
        <v>19995</v>
      </c>
      <c r="P4667" t="s">
        <v>20460</v>
      </c>
      <c r="Q4667" t="s">
        <v>11935</v>
      </c>
      <c r="R4667" t="s">
        <v>21498</v>
      </c>
      <c r="S4667">
        <v>76</v>
      </c>
    </row>
    <row r="4668" spans="1:19">
      <c r="A4668" t="s">
        <v>26</v>
      </c>
      <c r="B4668" t="s">
        <v>148</v>
      </c>
      <c r="C4668" t="s">
        <v>158</v>
      </c>
      <c r="D4668" t="s">
        <v>287</v>
      </c>
      <c r="E4668" t="s">
        <v>416</v>
      </c>
      <c r="F4668">
        <f>HYPERLINK("https://www.wikidata.org/wiki/Q33756209", "Q33756209")</f>
        <v>0</v>
      </c>
      <c r="G4668" t="s">
        <v>2530</v>
      </c>
      <c r="H4668" t="s">
        <v>6111</v>
      </c>
      <c r="I4668" t="s">
        <v>10269</v>
      </c>
      <c r="J4668" t="s">
        <v>13174</v>
      </c>
      <c r="K4668" t="s">
        <v>17580</v>
      </c>
      <c r="L4668">
        <f>HYPERLINK("https://www2.assemblee-nationale.fr/sycomore/fiche/(num_dept)/1488", "1488")</f>
        <v>0</v>
      </c>
      <c r="N4668">
        <f>HYPERLINK("https://www.wikidata.org/wiki/Q3372467", "Q3372467")</f>
        <v>0</v>
      </c>
      <c r="O4668" t="s">
        <v>20003</v>
      </c>
      <c r="P4668" t="s">
        <v>20464</v>
      </c>
      <c r="Q4668" t="s">
        <v>11935</v>
      </c>
      <c r="R4668" t="s">
        <v>21493</v>
      </c>
      <c r="S4668">
        <v>1471</v>
      </c>
    </row>
    <row r="4669" spans="1:19">
      <c r="A4669" t="s">
        <v>26</v>
      </c>
      <c r="B4669" t="s">
        <v>148</v>
      </c>
      <c r="C4669" t="s">
        <v>158</v>
      </c>
      <c r="D4669" t="s">
        <v>287</v>
      </c>
      <c r="E4669" t="s">
        <v>416</v>
      </c>
      <c r="F4669">
        <f>HYPERLINK("https://www.wikidata.org/wiki/Q33756209", "Q33756209")</f>
        <v>0</v>
      </c>
      <c r="G4669" t="s">
        <v>3019</v>
      </c>
      <c r="H4669" t="s">
        <v>7476</v>
      </c>
      <c r="I4669" t="s">
        <v>10580</v>
      </c>
      <c r="J4669" t="s">
        <v>13647</v>
      </c>
      <c r="K4669" t="s">
        <v>18031</v>
      </c>
      <c r="L4669">
        <f>HYPERLINK("https://www2.assemblee-nationale.fr/sycomore/fiche/(num_dept)/1539", "1539")</f>
        <v>0</v>
      </c>
      <c r="N4669">
        <f>HYPERLINK("https://www.wikidata.org/wiki/Q573739", "Q573739")</f>
        <v>0</v>
      </c>
      <c r="O4669" t="s">
        <v>19956</v>
      </c>
      <c r="P4669" t="s">
        <v>20459</v>
      </c>
      <c r="Q4669" t="s">
        <v>11935</v>
      </c>
      <c r="R4669" t="s">
        <v>21493</v>
      </c>
      <c r="S4669">
        <v>1471</v>
      </c>
    </row>
    <row r="4670" spans="1:19">
      <c r="A4670" t="s">
        <v>26</v>
      </c>
      <c r="B4670" t="s">
        <v>148</v>
      </c>
      <c r="C4670" t="s">
        <v>158</v>
      </c>
      <c r="D4670" t="s">
        <v>287</v>
      </c>
      <c r="E4670" t="s">
        <v>416</v>
      </c>
      <c r="F4670">
        <f>HYPERLINK("https://www.wikidata.org/wiki/Q33756209", "Q33756209")</f>
        <v>0</v>
      </c>
      <c r="G4670" t="s">
        <v>2532</v>
      </c>
      <c r="H4670" t="s">
        <v>7092</v>
      </c>
      <c r="I4670" t="s">
        <v>10271</v>
      </c>
      <c r="J4670" t="s">
        <v>13176</v>
      </c>
      <c r="K4670" t="s">
        <v>17582</v>
      </c>
      <c r="L4670">
        <f>HYPERLINK("https://www2.assemblee-nationale.fr/sycomore/fiche/(num_dept)/1541", "1541")</f>
        <v>0</v>
      </c>
      <c r="N4670">
        <f>HYPERLINK("https://www.wikidata.org/wiki/Q15974252", "Q15974252")</f>
        <v>0</v>
      </c>
      <c r="O4670" t="s">
        <v>19962</v>
      </c>
      <c r="P4670" t="s">
        <v>20463</v>
      </c>
      <c r="Q4670" t="s">
        <v>11935</v>
      </c>
      <c r="R4670" t="s">
        <v>21493</v>
      </c>
      <c r="S4670">
        <v>1471</v>
      </c>
    </row>
    <row r="4671" spans="1:19">
      <c r="A4671" t="s">
        <v>26</v>
      </c>
      <c r="B4671" t="s">
        <v>148</v>
      </c>
      <c r="C4671" t="s">
        <v>158</v>
      </c>
      <c r="D4671" t="s">
        <v>287</v>
      </c>
      <c r="E4671" t="s">
        <v>416</v>
      </c>
      <c r="F4671">
        <f>HYPERLINK("https://www.wikidata.org/wiki/Q33756209", "Q33756209")</f>
        <v>0</v>
      </c>
      <c r="G4671" t="s">
        <v>3079</v>
      </c>
      <c r="H4671" t="s">
        <v>7528</v>
      </c>
      <c r="I4671" t="s">
        <v>10615</v>
      </c>
      <c r="J4671" t="s">
        <v>13448</v>
      </c>
      <c r="K4671" t="s">
        <v>18085</v>
      </c>
      <c r="L4671">
        <f>HYPERLINK("https://www2.assemblee-nationale.fr/sycomore/fiche/(num_dept)/1564", "1564")</f>
        <v>0</v>
      </c>
      <c r="N4671">
        <f>HYPERLINK("https://www.wikidata.org/wiki/Q3580075", "Q3580075")</f>
        <v>0</v>
      </c>
      <c r="O4671" t="s">
        <v>20023</v>
      </c>
      <c r="P4671" t="s">
        <v>20460</v>
      </c>
      <c r="Q4671" t="s">
        <v>11935</v>
      </c>
      <c r="R4671" t="s">
        <v>21493</v>
      </c>
      <c r="S4671">
        <v>1471</v>
      </c>
    </row>
    <row r="4672" spans="1:19">
      <c r="A4672" t="s">
        <v>26</v>
      </c>
      <c r="B4672" t="s">
        <v>148</v>
      </c>
      <c r="C4672" t="s">
        <v>158</v>
      </c>
      <c r="D4672" t="s">
        <v>287</v>
      </c>
      <c r="E4672" t="s">
        <v>416</v>
      </c>
      <c r="F4672">
        <f>HYPERLINK("https://www.wikidata.org/wiki/Q33756209", "Q33756209")</f>
        <v>0</v>
      </c>
      <c r="G4672" t="s">
        <v>3104</v>
      </c>
      <c r="H4672" t="s">
        <v>7550</v>
      </c>
      <c r="I4672" t="s">
        <v>10636</v>
      </c>
      <c r="J4672" t="s">
        <v>13726</v>
      </c>
      <c r="K4672" t="s">
        <v>18108</v>
      </c>
      <c r="L4672">
        <f>HYPERLINK("https://www2.assemblee-nationale.fr/sycomore/fiche/(num_dept)/1632", "1632")</f>
        <v>0</v>
      </c>
      <c r="N4672">
        <f>HYPERLINK("https://www.wikidata.org/wiki/Q16025635", "Q16025635")</f>
        <v>0</v>
      </c>
      <c r="O4672" t="s">
        <v>20031</v>
      </c>
      <c r="P4672" t="s">
        <v>20460</v>
      </c>
      <c r="Q4672" t="s">
        <v>11935</v>
      </c>
      <c r="R4672" t="s">
        <v>21493</v>
      </c>
      <c r="S4672">
        <v>1471</v>
      </c>
    </row>
    <row r="4673" spans="1:19">
      <c r="A4673" t="s">
        <v>26</v>
      </c>
      <c r="B4673" t="s">
        <v>148</v>
      </c>
      <c r="C4673" t="s">
        <v>158</v>
      </c>
      <c r="D4673" t="s">
        <v>287</v>
      </c>
      <c r="E4673" t="s">
        <v>416</v>
      </c>
      <c r="F4673">
        <f>HYPERLINK("https://www.wikidata.org/wiki/Q33756209", "Q33756209")</f>
        <v>0</v>
      </c>
      <c r="G4673" t="s">
        <v>1159</v>
      </c>
      <c r="H4673" t="s">
        <v>5893</v>
      </c>
      <c r="I4673" t="s">
        <v>9687</v>
      </c>
      <c r="J4673" t="s">
        <v>11892</v>
      </c>
      <c r="K4673" t="s">
        <v>16294</v>
      </c>
      <c r="L4673">
        <f>HYPERLINK("https://www2.assemblee-nationale.fr/sycomore/fiche/(num_dept)/1744", "1744")</f>
        <v>0</v>
      </c>
      <c r="N4673">
        <f>HYPERLINK("https://www.wikidata.org/wiki/Q16025440", "Q16025440")</f>
        <v>0</v>
      </c>
      <c r="O4673" t="s">
        <v>20010</v>
      </c>
      <c r="Q4673" t="s">
        <v>11935</v>
      </c>
      <c r="R4673" t="s">
        <v>21493</v>
      </c>
      <c r="S4673">
        <v>1471</v>
      </c>
    </row>
    <row r="4674" spans="1:19">
      <c r="A4674" t="s">
        <v>26</v>
      </c>
      <c r="B4674" t="s">
        <v>148</v>
      </c>
      <c r="C4674" t="s">
        <v>158</v>
      </c>
      <c r="D4674" t="s">
        <v>287</v>
      </c>
      <c r="E4674" t="s">
        <v>416</v>
      </c>
      <c r="F4674">
        <f>HYPERLINK("https://www.wikidata.org/wiki/Q33756209", "Q33756209")</f>
        <v>0</v>
      </c>
      <c r="G4674" t="s">
        <v>2535</v>
      </c>
      <c r="H4674" t="s">
        <v>7095</v>
      </c>
      <c r="I4674" t="s">
        <v>10272</v>
      </c>
      <c r="J4674" t="s">
        <v>13179</v>
      </c>
      <c r="K4674" t="s">
        <v>13005</v>
      </c>
      <c r="L4674">
        <f>HYPERLINK("https://www2.assemblee-nationale.fr/sycomore/fiche/(num_dept)/1779", "1779")</f>
        <v>0</v>
      </c>
      <c r="M4674">
        <f>HYPERLINK("https://www.senat.fr/senateur-3eme-republique/chevandier_antoine0726r3.html", "chevandier_antoine0726r3")</f>
        <v>0</v>
      </c>
      <c r="N4674">
        <f>HYPERLINK("https://www.wikidata.org/wiki/Q2853793", "Q2853793")</f>
        <v>0</v>
      </c>
      <c r="O4674" t="s">
        <v>20044</v>
      </c>
      <c r="P4674" t="s">
        <v>20459</v>
      </c>
      <c r="Q4674" t="s">
        <v>11935</v>
      </c>
      <c r="R4674" t="s">
        <v>21493</v>
      </c>
      <c r="S4674">
        <v>1471</v>
      </c>
    </row>
    <row r="4675" spans="1:19">
      <c r="A4675" t="s">
        <v>26</v>
      </c>
      <c r="B4675" t="s">
        <v>148</v>
      </c>
      <c r="C4675" t="s">
        <v>158</v>
      </c>
      <c r="D4675" t="s">
        <v>287</v>
      </c>
      <c r="E4675" t="s">
        <v>416</v>
      </c>
      <c r="F4675">
        <f>HYPERLINK("https://www.wikidata.org/wiki/Q33756209", "Q33756209")</f>
        <v>0</v>
      </c>
      <c r="G4675" t="s">
        <v>3105</v>
      </c>
      <c r="H4675" t="s">
        <v>7551</v>
      </c>
      <c r="I4675" t="s">
        <v>10637</v>
      </c>
      <c r="J4675" t="s">
        <v>13727</v>
      </c>
      <c r="K4675" t="s">
        <v>18109</v>
      </c>
      <c r="L4675">
        <f>HYPERLINK("https://www2.assemblee-nationale.fr/sycomore/fiche/(num_dept)/1786", "1786")</f>
        <v>0</v>
      </c>
      <c r="N4675">
        <f>HYPERLINK("https://www.wikidata.org/wiki/Q3164631", "Q3164631")</f>
        <v>0</v>
      </c>
      <c r="O4675" t="s">
        <v>20011</v>
      </c>
      <c r="P4675" t="s">
        <v>20460</v>
      </c>
      <c r="Q4675" t="s">
        <v>11935</v>
      </c>
      <c r="R4675" t="s">
        <v>21493</v>
      </c>
      <c r="S4675">
        <v>1471</v>
      </c>
    </row>
    <row r="4676" spans="1:19">
      <c r="A4676" t="s">
        <v>26</v>
      </c>
      <c r="B4676" t="s">
        <v>148</v>
      </c>
      <c r="C4676" t="s">
        <v>158</v>
      </c>
      <c r="D4676" t="s">
        <v>287</v>
      </c>
      <c r="E4676" t="s">
        <v>416</v>
      </c>
      <c r="F4676">
        <f>HYPERLINK("https://www.wikidata.org/wiki/Q33756209", "Q33756209")</f>
        <v>0</v>
      </c>
      <c r="G4676" t="s">
        <v>3106</v>
      </c>
      <c r="H4676" t="s">
        <v>7279</v>
      </c>
      <c r="I4676" t="s">
        <v>10638</v>
      </c>
      <c r="J4676" t="s">
        <v>13728</v>
      </c>
      <c r="K4676" t="s">
        <v>18110</v>
      </c>
      <c r="L4676">
        <f>HYPERLINK("https://www2.assemblee-nationale.fr/sycomore/fiche/(num_dept)/1787", "1787")</f>
        <v>0</v>
      </c>
      <c r="N4676">
        <f>HYPERLINK("https://www.wikidata.org/wiki/Q3130830", "Q3130830")</f>
        <v>0</v>
      </c>
      <c r="O4676" t="s">
        <v>19991</v>
      </c>
      <c r="P4676" t="s">
        <v>20464</v>
      </c>
      <c r="Q4676" t="s">
        <v>11935</v>
      </c>
      <c r="R4676" t="s">
        <v>21497</v>
      </c>
      <c r="S4676">
        <v>72</v>
      </c>
    </row>
    <row r="4677" spans="1:19">
      <c r="A4677" t="s">
        <v>26</v>
      </c>
      <c r="B4677" t="s">
        <v>148</v>
      </c>
      <c r="C4677" t="s">
        <v>158</v>
      </c>
      <c r="D4677" t="s">
        <v>287</v>
      </c>
      <c r="E4677" t="s">
        <v>416</v>
      </c>
      <c r="F4677">
        <f>HYPERLINK("https://www.wikidata.org/wiki/Q33756209", "Q33756209")</f>
        <v>0</v>
      </c>
      <c r="G4677" t="s">
        <v>577</v>
      </c>
      <c r="H4677" t="s">
        <v>5339</v>
      </c>
      <c r="I4677" t="s">
        <v>9428</v>
      </c>
      <c r="J4677" t="s">
        <v>11328</v>
      </c>
      <c r="K4677" t="s">
        <v>15729</v>
      </c>
      <c r="L4677">
        <f>HYPERLINK("https://www2.assemblee-nationale.fr/sycomore/fiche/(num_dept)/1822", "1822")</f>
        <v>0</v>
      </c>
      <c r="N4677">
        <f>HYPERLINK("https://www.wikidata.org/wiki/Q2835023", "Q2835023")</f>
        <v>0</v>
      </c>
      <c r="O4677" t="s">
        <v>19967</v>
      </c>
      <c r="P4677" t="s">
        <v>20460</v>
      </c>
      <c r="Q4677" t="s">
        <v>11935</v>
      </c>
      <c r="R4677" t="s">
        <v>21493</v>
      </c>
      <c r="S4677">
        <v>1471</v>
      </c>
    </row>
    <row r="4678" spans="1:19">
      <c r="A4678" t="s">
        <v>26</v>
      </c>
      <c r="B4678" t="s">
        <v>148</v>
      </c>
      <c r="C4678" t="s">
        <v>158</v>
      </c>
      <c r="D4678" t="s">
        <v>287</v>
      </c>
      <c r="E4678" t="s">
        <v>416</v>
      </c>
      <c r="F4678">
        <f>HYPERLINK("https://www.wikidata.org/wiki/Q33756209", "Q33756209")</f>
        <v>0</v>
      </c>
      <c r="G4678" t="s">
        <v>2539</v>
      </c>
      <c r="H4678" t="s">
        <v>7099</v>
      </c>
      <c r="I4678" t="s">
        <v>6175</v>
      </c>
      <c r="J4678" t="s">
        <v>13183</v>
      </c>
      <c r="K4678" t="s">
        <v>17588</v>
      </c>
      <c r="L4678">
        <f>HYPERLINK("https://www2.assemblee-nationale.fr/sycomore/fiche/(num_dept)/1844", "1844")</f>
        <v>0</v>
      </c>
      <c r="M4678">
        <f>HYPERLINK("https://www.senat.fr/senateur-3eme-republique/clemenceau_georges1741r3.html", "clemenceau_georges1741r3")</f>
        <v>0</v>
      </c>
      <c r="N4678">
        <f>HYPERLINK("https://www.wikidata.org/wiki/Q171730", "Q171730")</f>
        <v>0</v>
      </c>
      <c r="O4678" t="s">
        <v>20042</v>
      </c>
      <c r="P4678" t="s">
        <v>20459</v>
      </c>
      <c r="Q4678" t="s">
        <v>11935</v>
      </c>
      <c r="R4678" t="s">
        <v>21493</v>
      </c>
      <c r="S4678">
        <v>1471</v>
      </c>
    </row>
    <row r="4679" spans="1:19">
      <c r="A4679" t="s">
        <v>26</v>
      </c>
      <c r="B4679" t="s">
        <v>148</v>
      </c>
      <c r="C4679" t="s">
        <v>158</v>
      </c>
      <c r="D4679" t="s">
        <v>287</v>
      </c>
      <c r="E4679" t="s">
        <v>416</v>
      </c>
      <c r="F4679">
        <f>HYPERLINK("https://www.wikidata.org/wiki/Q33756209", "Q33756209")</f>
        <v>0</v>
      </c>
      <c r="G4679" t="s">
        <v>2541</v>
      </c>
      <c r="H4679" t="s">
        <v>7101</v>
      </c>
      <c r="I4679" t="s">
        <v>10277</v>
      </c>
      <c r="J4679" t="s">
        <v>13185</v>
      </c>
      <c r="K4679" t="s">
        <v>17590</v>
      </c>
      <c r="L4679">
        <f>HYPERLINK("https://www2.assemblee-nationale.fr/sycomore/fiche/(num_dept)/1890", "1890")</f>
        <v>0</v>
      </c>
      <c r="N4679">
        <f>HYPERLINK("https://www.wikidata.org/wiki/Q3383298", "Q3383298")</f>
        <v>0</v>
      </c>
      <c r="O4679" t="s">
        <v>20009</v>
      </c>
      <c r="P4679" t="s">
        <v>20460</v>
      </c>
      <c r="Q4679" t="s">
        <v>11935</v>
      </c>
      <c r="R4679" t="s">
        <v>21493</v>
      </c>
      <c r="S4679">
        <v>1471</v>
      </c>
    </row>
    <row r="4680" spans="1:19">
      <c r="A4680" t="s">
        <v>26</v>
      </c>
      <c r="B4680" t="s">
        <v>148</v>
      </c>
      <c r="C4680" t="s">
        <v>158</v>
      </c>
      <c r="D4680" t="s">
        <v>287</v>
      </c>
      <c r="E4680" t="s">
        <v>416</v>
      </c>
      <c r="F4680">
        <f>HYPERLINK("https://www.wikidata.org/wiki/Q33756209", "Q33756209")</f>
        <v>0</v>
      </c>
      <c r="G4680" t="s">
        <v>3107</v>
      </c>
      <c r="H4680" t="s">
        <v>7552</v>
      </c>
      <c r="I4680" t="s">
        <v>10639</v>
      </c>
      <c r="J4680" t="s">
        <v>13729</v>
      </c>
      <c r="K4680" t="s">
        <v>18111</v>
      </c>
      <c r="L4680">
        <f>HYPERLINK("https://www2.assemblee-nationale.fr/sycomore/fiche/(num_dept)/1914", "1914")</f>
        <v>0</v>
      </c>
      <c r="N4680">
        <f>HYPERLINK("https://www.wikidata.org/wiki/Q2845609", "Q2845609")</f>
        <v>0</v>
      </c>
      <c r="O4680" t="s">
        <v>20004</v>
      </c>
      <c r="P4680" t="s">
        <v>20460</v>
      </c>
      <c r="Q4680" t="s">
        <v>11935</v>
      </c>
      <c r="R4680" t="s">
        <v>21499</v>
      </c>
      <c r="S4680">
        <v>71</v>
      </c>
    </row>
    <row r="4681" spans="1:19">
      <c r="A4681" t="s">
        <v>26</v>
      </c>
      <c r="B4681" t="s">
        <v>148</v>
      </c>
      <c r="C4681" t="s">
        <v>158</v>
      </c>
      <c r="D4681" t="s">
        <v>287</v>
      </c>
      <c r="E4681" t="s">
        <v>416</v>
      </c>
      <c r="F4681">
        <f>HYPERLINK("https://www.wikidata.org/wiki/Q33756209", "Q33756209")</f>
        <v>0</v>
      </c>
      <c r="G4681" t="s">
        <v>3108</v>
      </c>
      <c r="H4681" t="s">
        <v>7553</v>
      </c>
      <c r="I4681" t="s">
        <v>9449</v>
      </c>
      <c r="J4681" t="s">
        <v>13730</v>
      </c>
      <c r="K4681" t="s">
        <v>18112</v>
      </c>
      <c r="L4681">
        <f>HYPERLINK("https://www2.assemblee-nationale.fr/sycomore/fiche/(num_dept)/1960", "1960")</f>
        <v>0</v>
      </c>
      <c r="N4681">
        <f>HYPERLINK("https://www.wikidata.org/wiki/Q18400140", "Q18400140")</f>
        <v>0</v>
      </c>
      <c r="O4681" t="s">
        <v>20007</v>
      </c>
      <c r="P4681" t="s">
        <v>20459</v>
      </c>
      <c r="Q4681" t="s">
        <v>11935</v>
      </c>
      <c r="R4681" t="s">
        <v>21493</v>
      </c>
      <c r="S4681">
        <v>1471</v>
      </c>
    </row>
    <row r="4682" spans="1:19">
      <c r="A4682" t="s">
        <v>26</v>
      </c>
      <c r="B4682" t="s">
        <v>148</v>
      </c>
      <c r="C4682" t="s">
        <v>158</v>
      </c>
      <c r="D4682" t="s">
        <v>287</v>
      </c>
      <c r="E4682" t="s">
        <v>416</v>
      </c>
      <c r="F4682">
        <f>HYPERLINK("https://www.wikidata.org/wiki/Q33756209", "Q33756209")</f>
        <v>0</v>
      </c>
      <c r="G4682" t="s">
        <v>3109</v>
      </c>
      <c r="H4682" t="s">
        <v>7554</v>
      </c>
      <c r="I4682" t="s">
        <v>9772</v>
      </c>
      <c r="J4682" t="s">
        <v>13731</v>
      </c>
      <c r="K4682" t="s">
        <v>18113</v>
      </c>
      <c r="L4682">
        <f>HYPERLINK("https://www2.assemblee-nationale.fr/sycomore/fiche/(num_dept)/1980", "1980")</f>
        <v>0</v>
      </c>
      <c r="N4682">
        <f>HYPERLINK("https://www.wikidata.org/wiki/Q3110589", "Q3110589")</f>
        <v>0</v>
      </c>
      <c r="O4682" t="s">
        <v>20009</v>
      </c>
      <c r="P4682" t="s">
        <v>20460</v>
      </c>
      <c r="Q4682" t="s">
        <v>11935</v>
      </c>
      <c r="R4682" t="s">
        <v>21493</v>
      </c>
      <c r="S4682">
        <v>1471</v>
      </c>
    </row>
    <row r="4683" spans="1:19">
      <c r="A4683" t="s">
        <v>26</v>
      </c>
      <c r="B4683" t="s">
        <v>148</v>
      </c>
      <c r="C4683" t="s">
        <v>158</v>
      </c>
      <c r="D4683" t="s">
        <v>287</v>
      </c>
      <c r="E4683" t="s">
        <v>416</v>
      </c>
      <c r="F4683">
        <f>HYPERLINK("https://www.wikidata.org/wiki/Q33756209", "Q33756209")</f>
        <v>0</v>
      </c>
      <c r="G4683" t="s">
        <v>2545</v>
      </c>
      <c r="H4683" t="s">
        <v>7104</v>
      </c>
      <c r="I4683" t="s">
        <v>10279</v>
      </c>
      <c r="J4683" t="s">
        <v>13189</v>
      </c>
      <c r="K4683" t="s">
        <v>17594</v>
      </c>
      <c r="L4683">
        <f>HYPERLINK("https://www2.assemblee-nationale.fr/sycomore/fiche/(num_dept)/2120", "2120")</f>
        <v>0</v>
      </c>
      <c r="M4683">
        <f>HYPERLINK("https://www.senat.fr/senateur-3eme-republique/danelle_bernardin_jean0870r3.html", "danelle_bernardin_jean0870r3")</f>
        <v>0</v>
      </c>
      <c r="N4683">
        <f>HYPERLINK("https://www.wikidata.org/wiki/Q3171537", "Q3171537")</f>
        <v>0</v>
      </c>
      <c r="O4683" t="s">
        <v>20022</v>
      </c>
      <c r="Q4683" t="s">
        <v>11935</v>
      </c>
      <c r="R4683" t="s">
        <v>19413</v>
      </c>
      <c r="S4683">
        <v>536</v>
      </c>
    </row>
    <row r="4684" spans="1:19">
      <c r="A4684" t="s">
        <v>26</v>
      </c>
      <c r="B4684" t="s">
        <v>148</v>
      </c>
      <c r="C4684" t="s">
        <v>158</v>
      </c>
      <c r="D4684" t="s">
        <v>287</v>
      </c>
      <c r="E4684" t="s">
        <v>416</v>
      </c>
      <c r="F4684">
        <f>HYPERLINK("https://www.wikidata.org/wiki/Q33756209", "Q33756209")</f>
        <v>0</v>
      </c>
      <c r="G4684" t="s">
        <v>2547</v>
      </c>
      <c r="H4684" t="s">
        <v>7106</v>
      </c>
      <c r="I4684" t="s">
        <v>10281</v>
      </c>
      <c r="J4684" t="s">
        <v>13191</v>
      </c>
      <c r="K4684" t="s">
        <v>17596</v>
      </c>
      <c r="L4684">
        <f>HYPERLINK("https://www2.assemblee-nationale.fr/sycomore/fiche/(num_dept)/2160", "2160")</f>
        <v>0</v>
      </c>
      <c r="M4684">
        <f>HYPERLINK("https://www.senat.fr/senateur-3eme-republique/daumas_augustin1730r3.html", "daumas_augustin1730r3")</f>
        <v>0</v>
      </c>
      <c r="N4684">
        <f>HYPERLINK("https://www.wikidata.org/wiki/Q2871560", "Q2871560")</f>
        <v>0</v>
      </c>
      <c r="O4684" t="s">
        <v>20042</v>
      </c>
      <c r="P4684" t="s">
        <v>20401</v>
      </c>
      <c r="Q4684" t="s">
        <v>11935</v>
      </c>
      <c r="R4684" t="s">
        <v>21500</v>
      </c>
      <c r="S4684">
        <v>1285</v>
      </c>
    </row>
    <row r="4685" spans="1:19">
      <c r="A4685" t="s">
        <v>26</v>
      </c>
      <c r="B4685" t="s">
        <v>148</v>
      </c>
      <c r="C4685" t="s">
        <v>158</v>
      </c>
      <c r="D4685" t="s">
        <v>287</v>
      </c>
      <c r="E4685" t="s">
        <v>416</v>
      </c>
      <c r="F4685">
        <f>HYPERLINK("https://www.wikidata.org/wiki/Q33756209", "Q33756209")</f>
        <v>0</v>
      </c>
      <c r="G4685" t="s">
        <v>2548</v>
      </c>
      <c r="H4685" t="s">
        <v>7107</v>
      </c>
      <c r="I4685" t="s">
        <v>9455</v>
      </c>
      <c r="J4685" t="s">
        <v>13192</v>
      </c>
      <c r="K4685" t="s">
        <v>17597</v>
      </c>
      <c r="L4685">
        <f>HYPERLINK("https://www2.assemblee-nationale.fr/sycomore/fiche/(num_dept)/2165", "2165")</f>
        <v>0</v>
      </c>
      <c r="M4685">
        <f>HYPERLINK("https://www.senat.fr/senateur-3eme-republique/dautresme_lucien1592r3.html", "dautresme_lucien1592r3")</f>
        <v>0</v>
      </c>
      <c r="N4685">
        <f>HYPERLINK("https://www.wikidata.org/wiki/Q3265453", "Q3265453")</f>
        <v>0</v>
      </c>
      <c r="O4685" t="s">
        <v>19978</v>
      </c>
      <c r="P4685" t="s">
        <v>20403</v>
      </c>
      <c r="Q4685" t="s">
        <v>11935</v>
      </c>
      <c r="R4685" t="s">
        <v>21493</v>
      </c>
      <c r="S4685">
        <v>1471</v>
      </c>
    </row>
    <row r="4686" spans="1:19">
      <c r="A4686" t="s">
        <v>26</v>
      </c>
      <c r="B4686" t="s">
        <v>148</v>
      </c>
      <c r="C4686" t="s">
        <v>158</v>
      </c>
      <c r="D4686" t="s">
        <v>287</v>
      </c>
      <c r="E4686" t="s">
        <v>416</v>
      </c>
      <c r="F4686">
        <f>HYPERLINK("https://www.wikidata.org/wiki/Q33756209", "Q33756209")</f>
        <v>0</v>
      </c>
      <c r="G4686" t="s">
        <v>2949</v>
      </c>
      <c r="H4686" t="s">
        <v>7423</v>
      </c>
      <c r="I4686" t="s">
        <v>9376</v>
      </c>
      <c r="J4686" t="s">
        <v>13582</v>
      </c>
      <c r="K4686" t="s">
        <v>17967</v>
      </c>
      <c r="L4686">
        <f>HYPERLINK("https://www2.assemblee-nationale.fr/sycomore/fiche/(num_dept)/2182", "2182")</f>
        <v>0</v>
      </c>
      <c r="N4686">
        <f>HYPERLINK("https://www.wikidata.org/wiki/Q16025524", "Q16025524")</f>
        <v>0</v>
      </c>
      <c r="O4686" t="s">
        <v>20003</v>
      </c>
      <c r="P4686" t="s">
        <v>20460</v>
      </c>
      <c r="Q4686" t="s">
        <v>11935</v>
      </c>
      <c r="R4686" t="s">
        <v>21493</v>
      </c>
      <c r="S4686">
        <v>1471</v>
      </c>
    </row>
    <row r="4687" spans="1:19">
      <c r="A4687" t="s">
        <v>26</v>
      </c>
      <c r="B4687" t="s">
        <v>148</v>
      </c>
      <c r="C4687" t="s">
        <v>158</v>
      </c>
      <c r="D4687" t="s">
        <v>287</v>
      </c>
      <c r="E4687" t="s">
        <v>416</v>
      </c>
      <c r="F4687">
        <f>HYPERLINK("https://www.wikidata.org/wiki/Q33756209", "Q33756209")</f>
        <v>0</v>
      </c>
      <c r="G4687" t="s">
        <v>3110</v>
      </c>
      <c r="H4687" t="s">
        <v>7555</v>
      </c>
      <c r="I4687" t="s">
        <v>10640</v>
      </c>
      <c r="J4687" t="s">
        <v>13732</v>
      </c>
      <c r="K4687" t="s">
        <v>18114</v>
      </c>
      <c r="L4687">
        <f>HYPERLINK("https://www2.assemblee-nationale.fr/sycomore/fiche/(num_dept)/2183", "2183")</f>
        <v>0</v>
      </c>
      <c r="M4687">
        <f>HYPERLINK("https://www.senat.fr/senateur-3eme-republique/deandreis_elisee0249r3.html", "deandreis_elisee0249r3")</f>
        <v>0</v>
      </c>
      <c r="N4687">
        <f>HYPERLINK("https://www.wikidata.org/wiki/Q3587969", "Q3587969")</f>
        <v>0</v>
      </c>
      <c r="O4687" t="s">
        <v>7411</v>
      </c>
      <c r="P4687" t="s">
        <v>20401</v>
      </c>
      <c r="Q4687" t="s">
        <v>11935</v>
      </c>
      <c r="R4687" t="s">
        <v>21493</v>
      </c>
      <c r="S4687">
        <v>1471</v>
      </c>
    </row>
    <row r="4688" spans="1:19">
      <c r="A4688" t="s">
        <v>26</v>
      </c>
      <c r="B4688" t="s">
        <v>148</v>
      </c>
      <c r="C4688" t="s">
        <v>158</v>
      </c>
      <c r="D4688" t="s">
        <v>287</v>
      </c>
      <c r="E4688" t="s">
        <v>416</v>
      </c>
      <c r="F4688">
        <f>HYPERLINK("https://www.wikidata.org/wiki/Q33756209", "Q33756209")</f>
        <v>0</v>
      </c>
      <c r="G4688" t="s">
        <v>3111</v>
      </c>
      <c r="H4688" t="s">
        <v>7556</v>
      </c>
      <c r="I4688" t="s">
        <v>9442</v>
      </c>
      <c r="J4688" t="s">
        <v>13733</v>
      </c>
      <c r="K4688" t="s">
        <v>18115</v>
      </c>
      <c r="L4688">
        <f>HYPERLINK("https://www2.assemblee-nationale.fr/sycomore/fiche/(num_dept)/2237", "2237")</f>
        <v>0</v>
      </c>
      <c r="N4688">
        <f>HYPERLINK("https://www.wikidata.org/wiki/Q3056933", "Q3056933")</f>
        <v>0</v>
      </c>
      <c r="O4688" t="s">
        <v>20013</v>
      </c>
      <c r="P4688" t="s">
        <v>20460</v>
      </c>
      <c r="Q4688" t="s">
        <v>11935</v>
      </c>
      <c r="R4688" t="s">
        <v>21493</v>
      </c>
      <c r="S4688">
        <v>1471</v>
      </c>
    </row>
    <row r="4689" spans="1:19">
      <c r="A4689" t="s">
        <v>26</v>
      </c>
      <c r="B4689" t="s">
        <v>148</v>
      </c>
      <c r="C4689" t="s">
        <v>158</v>
      </c>
      <c r="D4689" t="s">
        <v>287</v>
      </c>
      <c r="E4689" t="s">
        <v>416</v>
      </c>
      <c r="F4689">
        <f>HYPERLINK("https://www.wikidata.org/wiki/Q33756209", "Q33756209")</f>
        <v>0</v>
      </c>
      <c r="G4689" t="s">
        <v>605</v>
      </c>
      <c r="H4689" t="s">
        <v>5365</v>
      </c>
      <c r="I4689" t="s">
        <v>9449</v>
      </c>
      <c r="J4689" t="s">
        <v>11356</v>
      </c>
      <c r="K4689" t="s">
        <v>15757</v>
      </c>
      <c r="L4689">
        <f>HYPERLINK("https://www2.assemblee-nationale.fr/sycomore/fiche/(num_dept)/2249", "2249")</f>
        <v>0</v>
      </c>
      <c r="N4689">
        <f>HYPERLINK("https://www.wikidata.org/wiki/Q3188520", "Q3188520")</f>
        <v>0</v>
      </c>
      <c r="O4689" t="s">
        <v>20009</v>
      </c>
      <c r="P4689" t="s">
        <v>20460</v>
      </c>
      <c r="Q4689" t="s">
        <v>11935</v>
      </c>
      <c r="R4689" t="s">
        <v>21493</v>
      </c>
      <c r="S4689">
        <v>1471</v>
      </c>
    </row>
    <row r="4690" spans="1:19">
      <c r="A4690" t="s">
        <v>26</v>
      </c>
      <c r="B4690" t="s">
        <v>148</v>
      </c>
      <c r="C4690" t="s">
        <v>158</v>
      </c>
      <c r="D4690" t="s">
        <v>287</v>
      </c>
      <c r="E4690" t="s">
        <v>416</v>
      </c>
      <c r="F4690">
        <f>HYPERLINK("https://www.wikidata.org/wiki/Q33756209", "Q33756209")</f>
        <v>0</v>
      </c>
      <c r="G4690" t="s">
        <v>2549</v>
      </c>
      <c r="H4690" t="s">
        <v>7108</v>
      </c>
      <c r="I4690" t="s">
        <v>6860</v>
      </c>
      <c r="J4690" t="s">
        <v>13193</v>
      </c>
      <c r="K4690" t="s">
        <v>17598</v>
      </c>
      <c r="L4690">
        <f>HYPERLINK("https://www2.assemblee-nationale.fr/sycomore/fiche/(num_dept)/2353", "2353")</f>
        <v>0</v>
      </c>
      <c r="N4690">
        <f>HYPERLINK("https://www.wikidata.org/wiki/Q3384693", "Q3384693")</f>
        <v>0</v>
      </c>
      <c r="O4690" t="s">
        <v>20043</v>
      </c>
      <c r="P4690" t="s">
        <v>20461</v>
      </c>
      <c r="Q4690" t="s">
        <v>11935</v>
      </c>
      <c r="R4690" t="s">
        <v>21493</v>
      </c>
      <c r="S4690">
        <v>1471</v>
      </c>
    </row>
    <row r="4691" spans="1:19">
      <c r="A4691" t="s">
        <v>26</v>
      </c>
      <c r="B4691" t="s">
        <v>148</v>
      </c>
      <c r="C4691" t="s">
        <v>158</v>
      </c>
      <c r="D4691" t="s">
        <v>287</v>
      </c>
      <c r="E4691" t="s">
        <v>416</v>
      </c>
      <c r="F4691">
        <f>HYPERLINK("https://www.wikidata.org/wiki/Q33756209", "Q33756209")</f>
        <v>0</v>
      </c>
      <c r="G4691" t="s">
        <v>3112</v>
      </c>
      <c r="H4691" t="s">
        <v>7557</v>
      </c>
      <c r="I4691" t="s">
        <v>9385</v>
      </c>
      <c r="J4691" t="s">
        <v>13734</v>
      </c>
      <c r="K4691" t="s">
        <v>18116</v>
      </c>
      <c r="L4691">
        <f>HYPERLINK("https://www2.assemblee-nationale.fr/sycomore/fiche/(num_dept)/2418", "2418")</f>
        <v>0</v>
      </c>
      <c r="N4691">
        <f>HYPERLINK("https://www.wikidata.org/wiki/Q16025573", "Q16025573")</f>
        <v>0</v>
      </c>
      <c r="O4691" t="s">
        <v>20012</v>
      </c>
      <c r="P4691" t="s">
        <v>20460</v>
      </c>
      <c r="Q4691" t="s">
        <v>11935</v>
      </c>
      <c r="R4691" t="s">
        <v>21493</v>
      </c>
      <c r="S4691">
        <v>1471</v>
      </c>
    </row>
    <row r="4692" spans="1:19">
      <c r="A4692" t="s">
        <v>26</v>
      </c>
      <c r="B4692" t="s">
        <v>148</v>
      </c>
      <c r="C4692" t="s">
        <v>158</v>
      </c>
      <c r="D4692" t="s">
        <v>287</v>
      </c>
      <c r="E4692" t="s">
        <v>416</v>
      </c>
      <c r="F4692">
        <f>HYPERLINK("https://www.wikidata.org/wiki/Q33756209", "Q33756209")</f>
        <v>0</v>
      </c>
      <c r="G4692" t="s">
        <v>613</v>
      </c>
      <c r="H4692" t="s">
        <v>5373</v>
      </c>
      <c r="I4692" t="s">
        <v>9388</v>
      </c>
      <c r="J4692" t="s">
        <v>11364</v>
      </c>
      <c r="K4692" t="s">
        <v>15765</v>
      </c>
      <c r="L4692">
        <f>HYPERLINK("https://www2.assemblee-nationale.fr/sycomore/fiche/(num_dept)/2425", "2425")</f>
        <v>0</v>
      </c>
      <c r="M4692">
        <f>HYPERLINK("https://www.senat.fr/senateur-3eme-republique/deschanel_paul0768r3.html", "deschanel_paul0768r3")</f>
        <v>0</v>
      </c>
      <c r="N4692">
        <f>HYPERLINK("https://www.wikidata.org/wiki/Q309995", "Q309995")</f>
        <v>0</v>
      </c>
      <c r="O4692" t="s">
        <v>19971</v>
      </c>
      <c r="P4692" t="s">
        <v>20459</v>
      </c>
      <c r="Q4692" t="s">
        <v>11935</v>
      </c>
      <c r="R4692" t="s">
        <v>21493</v>
      </c>
      <c r="S4692">
        <v>1471</v>
      </c>
    </row>
    <row r="4693" spans="1:19">
      <c r="A4693" t="s">
        <v>26</v>
      </c>
      <c r="B4693" t="s">
        <v>148</v>
      </c>
      <c r="C4693" t="s">
        <v>158</v>
      </c>
      <c r="D4693" t="s">
        <v>287</v>
      </c>
      <c r="E4693" t="s">
        <v>416</v>
      </c>
      <c r="F4693">
        <f>HYPERLINK("https://www.wikidata.org/wiki/Q33756209", "Q33756209")</f>
        <v>0</v>
      </c>
      <c r="G4693" t="s">
        <v>3113</v>
      </c>
      <c r="H4693" t="s">
        <v>7558</v>
      </c>
      <c r="I4693" t="s">
        <v>10641</v>
      </c>
      <c r="J4693" t="s">
        <v>13735</v>
      </c>
      <c r="K4693" t="s">
        <v>18117</v>
      </c>
      <c r="L4693">
        <f>HYPERLINK("https://www2.assemblee-nationale.fr/sycomore/fiche/(num_dept)/2444", "2444")</f>
        <v>0</v>
      </c>
      <c r="N4693">
        <f>HYPERLINK("https://www.wikidata.org/wiki/Q3045169", "Q3045169")</f>
        <v>0</v>
      </c>
      <c r="O4693" t="s">
        <v>20009</v>
      </c>
      <c r="P4693" t="s">
        <v>20460</v>
      </c>
      <c r="Q4693" t="s">
        <v>11935</v>
      </c>
      <c r="R4693" t="s">
        <v>21493</v>
      </c>
      <c r="S4693">
        <v>1471</v>
      </c>
    </row>
    <row r="4694" spans="1:19">
      <c r="A4694" t="s">
        <v>26</v>
      </c>
      <c r="B4694" t="s">
        <v>148</v>
      </c>
      <c r="C4694" t="s">
        <v>158</v>
      </c>
      <c r="D4694" t="s">
        <v>287</v>
      </c>
      <c r="E4694" t="s">
        <v>416</v>
      </c>
      <c r="F4694">
        <f>HYPERLINK("https://www.wikidata.org/wiki/Q33756209", "Q33756209")</f>
        <v>0</v>
      </c>
      <c r="G4694" t="s">
        <v>3114</v>
      </c>
      <c r="H4694" t="s">
        <v>7559</v>
      </c>
      <c r="I4694" t="s">
        <v>9385</v>
      </c>
      <c r="J4694" t="s">
        <v>13736</v>
      </c>
      <c r="K4694" t="s">
        <v>18118</v>
      </c>
      <c r="L4694">
        <f>HYPERLINK("https://www2.assemblee-nationale.fr/sycomore/fiche/(num_dept)/2545", "2545")</f>
        <v>0</v>
      </c>
      <c r="M4694">
        <f>HYPERLINK("https://www.senat.fr/senateur-3eme-republique/de_dompierre_d_hornoy_charles1675r3.html", "de_dompierre_d_hornoy_charles1675r3")</f>
        <v>0</v>
      </c>
      <c r="N4694">
        <f>HYPERLINK("https://www.wikidata.org/wiki/Q2960566", "Q2960566")</f>
        <v>0</v>
      </c>
      <c r="O4694" t="s">
        <v>20012</v>
      </c>
      <c r="P4694" t="s">
        <v>20460</v>
      </c>
      <c r="Q4694" t="s">
        <v>11935</v>
      </c>
      <c r="R4694" t="s">
        <v>21493</v>
      </c>
      <c r="S4694">
        <v>1471</v>
      </c>
    </row>
    <row r="4695" spans="1:19">
      <c r="A4695" t="s">
        <v>26</v>
      </c>
      <c r="B4695" t="s">
        <v>148</v>
      </c>
      <c r="C4695" t="s">
        <v>158</v>
      </c>
      <c r="D4695" t="s">
        <v>287</v>
      </c>
      <c r="E4695" t="s">
        <v>416</v>
      </c>
      <c r="F4695">
        <f>HYPERLINK("https://www.wikidata.org/wiki/Q33756209", "Q33756209")</f>
        <v>0</v>
      </c>
      <c r="G4695" t="s">
        <v>2557</v>
      </c>
      <c r="H4695" t="s">
        <v>7116</v>
      </c>
      <c r="I4695" t="s">
        <v>10285</v>
      </c>
      <c r="J4695" t="s">
        <v>13201</v>
      </c>
      <c r="K4695" t="s">
        <v>17605</v>
      </c>
      <c r="L4695">
        <f>HYPERLINK("https://www2.assemblee-nationale.fr/sycomore/fiche/(num_dept)/2605", "2605")</f>
        <v>0</v>
      </c>
      <c r="N4695">
        <f>HYPERLINK("https://www.wikidata.org/wiki/Q2959275", "Q2959275")</f>
        <v>0</v>
      </c>
      <c r="O4695" t="s">
        <v>19961</v>
      </c>
      <c r="P4695" t="s">
        <v>20460</v>
      </c>
      <c r="Q4695" t="s">
        <v>11935</v>
      </c>
      <c r="R4695" t="s">
        <v>21493</v>
      </c>
      <c r="S4695">
        <v>1471</v>
      </c>
    </row>
    <row r="4696" spans="1:19">
      <c r="A4696" t="s">
        <v>26</v>
      </c>
      <c r="B4696" t="s">
        <v>148</v>
      </c>
      <c r="C4696" t="s">
        <v>158</v>
      </c>
      <c r="D4696" t="s">
        <v>287</v>
      </c>
      <c r="E4696" t="s">
        <v>416</v>
      </c>
      <c r="F4696">
        <f>HYPERLINK("https://www.wikidata.org/wiki/Q33756209", "Q33756209")</f>
        <v>0</v>
      </c>
      <c r="G4696" t="s">
        <v>2558</v>
      </c>
      <c r="H4696" t="s">
        <v>5695</v>
      </c>
      <c r="I4696" t="s">
        <v>10286</v>
      </c>
      <c r="J4696" t="s">
        <v>13202</v>
      </c>
      <c r="K4696" t="s">
        <v>17606</v>
      </c>
      <c r="L4696">
        <f>HYPERLINK("https://www2.assemblee-nationale.fr/sycomore/fiche/(num_dept)/2620", "2620")</f>
        <v>0</v>
      </c>
      <c r="N4696">
        <f>HYPERLINK("https://www.wikidata.org/wiki/Q3083859", "Q3083859")</f>
        <v>0</v>
      </c>
      <c r="O4696" t="s">
        <v>20002</v>
      </c>
      <c r="P4696" t="s">
        <v>20401</v>
      </c>
      <c r="Q4696" t="s">
        <v>11935</v>
      </c>
      <c r="R4696" t="s">
        <v>17606</v>
      </c>
      <c r="S4696">
        <v>1155</v>
      </c>
    </row>
    <row r="4697" spans="1:19">
      <c r="A4697" t="s">
        <v>26</v>
      </c>
      <c r="B4697" t="s">
        <v>148</v>
      </c>
      <c r="C4697" t="s">
        <v>158</v>
      </c>
      <c r="D4697" t="s">
        <v>287</v>
      </c>
      <c r="E4697" t="s">
        <v>416</v>
      </c>
      <c r="F4697">
        <f>HYPERLINK("https://www.wikidata.org/wiki/Q33756209", "Q33756209")</f>
        <v>0</v>
      </c>
      <c r="G4697" t="s">
        <v>2559</v>
      </c>
      <c r="H4697" t="s">
        <v>7117</v>
      </c>
      <c r="I4697" t="s">
        <v>10017</v>
      </c>
      <c r="J4697" t="s">
        <v>13203</v>
      </c>
      <c r="K4697" t="s">
        <v>17607</v>
      </c>
      <c r="L4697">
        <f>HYPERLINK("https://www2.assemblee-nationale.fr/sycomore/fiche/(num_dept)/2632", "2632")</f>
        <v>0</v>
      </c>
      <c r="M4697">
        <f>HYPERLINK("https://www.senat.fr/senateur-3eme-republique/dubost_antonin1187r3.html", "dubost_antonin1187r3")</f>
        <v>0</v>
      </c>
      <c r="N4697">
        <f>HYPERLINK("https://www.wikidata.org/wiki/Q2857118", "Q2857118")</f>
        <v>0</v>
      </c>
      <c r="O4697" t="s">
        <v>20006</v>
      </c>
      <c r="P4697" t="s">
        <v>20459</v>
      </c>
      <c r="Q4697" t="s">
        <v>11935</v>
      </c>
      <c r="R4697" t="s">
        <v>21493</v>
      </c>
      <c r="S4697">
        <v>1471</v>
      </c>
    </row>
    <row r="4698" spans="1:19">
      <c r="A4698" t="s">
        <v>26</v>
      </c>
      <c r="B4698" t="s">
        <v>148</v>
      </c>
      <c r="C4698" t="s">
        <v>158</v>
      </c>
      <c r="D4698" t="s">
        <v>287</v>
      </c>
      <c r="E4698" t="s">
        <v>416</v>
      </c>
      <c r="F4698">
        <f>HYPERLINK("https://www.wikidata.org/wiki/Q33756209", "Q33756209")</f>
        <v>0</v>
      </c>
      <c r="G4698" t="s">
        <v>3115</v>
      </c>
      <c r="H4698" t="s">
        <v>7560</v>
      </c>
      <c r="I4698" t="s">
        <v>9391</v>
      </c>
      <c r="J4698" t="s">
        <v>13737</v>
      </c>
      <c r="K4698" t="s">
        <v>18119</v>
      </c>
      <c r="L4698">
        <f>HYPERLINK("https://www2.assemblee-nationale.fr/sycomore/fiche/(num_dept)/2648", "2648")</f>
        <v>0</v>
      </c>
      <c r="N4698">
        <f>HYPERLINK("https://www.wikidata.org/wiki/Q16025622", "Q16025622")</f>
        <v>0</v>
      </c>
      <c r="O4698" t="s">
        <v>19986</v>
      </c>
      <c r="Q4698" t="s">
        <v>11935</v>
      </c>
      <c r="R4698" t="s">
        <v>21493</v>
      </c>
      <c r="S4698">
        <v>1471</v>
      </c>
    </row>
    <row r="4699" spans="1:19">
      <c r="A4699" t="s">
        <v>26</v>
      </c>
      <c r="B4699" t="s">
        <v>148</v>
      </c>
      <c r="C4699" t="s">
        <v>158</v>
      </c>
      <c r="D4699" t="s">
        <v>287</v>
      </c>
      <c r="E4699" t="s">
        <v>416</v>
      </c>
      <c r="F4699">
        <f>HYPERLINK("https://www.wikidata.org/wiki/Q33756209", "Q33756209")</f>
        <v>0</v>
      </c>
      <c r="G4699" t="s">
        <v>3116</v>
      </c>
      <c r="H4699" t="s">
        <v>7561</v>
      </c>
      <c r="I4699" t="s">
        <v>6166</v>
      </c>
      <c r="J4699" t="s">
        <v>13738</v>
      </c>
      <c r="K4699" t="s">
        <v>18120</v>
      </c>
      <c r="L4699">
        <f>HYPERLINK("https://www2.assemblee-nationale.fr/sycomore/fiche/(num_dept)/2657", "2657")</f>
        <v>0</v>
      </c>
      <c r="M4699">
        <f>HYPERLINK("https://www.senat.fr/senateur-3eme-republique/ducoudray_felix1262r3.html", "ducoudray_felix1262r3")</f>
        <v>0</v>
      </c>
      <c r="N4699">
        <f>HYPERLINK("https://www.wikidata.org/wiki/Q3092431", "Q3092431")</f>
        <v>0</v>
      </c>
      <c r="O4699" t="s">
        <v>20032</v>
      </c>
      <c r="P4699" t="s">
        <v>20456</v>
      </c>
      <c r="Q4699" t="s">
        <v>11935</v>
      </c>
      <c r="R4699" t="s">
        <v>21493</v>
      </c>
      <c r="S4699">
        <v>1471</v>
      </c>
    </row>
    <row r="4700" spans="1:19">
      <c r="A4700" t="s">
        <v>26</v>
      </c>
      <c r="B4700" t="s">
        <v>148</v>
      </c>
      <c r="C4700" t="s">
        <v>158</v>
      </c>
      <c r="D4700" t="s">
        <v>287</v>
      </c>
      <c r="E4700" t="s">
        <v>416</v>
      </c>
      <c r="F4700">
        <f>HYPERLINK("https://www.wikidata.org/wiki/Q33756209", "Q33756209")</f>
        <v>0</v>
      </c>
      <c r="G4700" t="s">
        <v>2562</v>
      </c>
      <c r="H4700" t="s">
        <v>7120</v>
      </c>
      <c r="I4700" t="s">
        <v>6584</v>
      </c>
      <c r="J4700" t="s">
        <v>13206</v>
      </c>
      <c r="K4700" t="s">
        <v>17610</v>
      </c>
      <c r="L4700">
        <f>HYPERLINK("https://www2.assemblee-nationale.fr/sycomore/fiche/(num_dept)/2661", "2661")</f>
        <v>0</v>
      </c>
      <c r="N4700">
        <f>HYPERLINK("https://www.wikidata.org/wiki/Q2831135", "Q2831135")</f>
        <v>0</v>
      </c>
      <c r="O4700" t="s">
        <v>20018</v>
      </c>
      <c r="P4700" t="s">
        <v>20459</v>
      </c>
      <c r="Q4700" t="s">
        <v>11935</v>
      </c>
      <c r="R4700" t="s">
        <v>21493</v>
      </c>
      <c r="S4700">
        <v>1471</v>
      </c>
    </row>
    <row r="4701" spans="1:19">
      <c r="A4701" t="s">
        <v>26</v>
      </c>
      <c r="B4701" t="s">
        <v>148</v>
      </c>
      <c r="C4701" t="s">
        <v>158</v>
      </c>
      <c r="D4701" t="s">
        <v>287</v>
      </c>
      <c r="E4701" t="s">
        <v>416</v>
      </c>
      <c r="F4701">
        <f>HYPERLINK("https://www.wikidata.org/wiki/Q33756209", "Q33756209")</f>
        <v>0</v>
      </c>
      <c r="G4701" t="s">
        <v>3117</v>
      </c>
      <c r="H4701" t="s">
        <v>5700</v>
      </c>
      <c r="I4701" t="s">
        <v>10642</v>
      </c>
      <c r="J4701" t="s">
        <v>13739</v>
      </c>
      <c r="K4701" t="s">
        <v>13097</v>
      </c>
      <c r="L4701">
        <f>HYPERLINK("https://www2.assemblee-nationale.fr/sycomore/fiche/(num_dept)/2676", "2676")</f>
        <v>0</v>
      </c>
      <c r="N4701">
        <f>HYPERLINK("https://www.wikidata.org/wiki/Q8324496", "Q8324496")</f>
        <v>0</v>
      </c>
      <c r="O4701" t="s">
        <v>19975</v>
      </c>
      <c r="P4701" t="s">
        <v>20460</v>
      </c>
      <c r="Q4701" t="s">
        <v>11935</v>
      </c>
      <c r="R4701" t="s">
        <v>21493</v>
      </c>
      <c r="S4701">
        <v>1471</v>
      </c>
    </row>
    <row r="4702" spans="1:19">
      <c r="A4702" t="s">
        <v>26</v>
      </c>
      <c r="B4702" t="s">
        <v>148</v>
      </c>
      <c r="C4702" t="s">
        <v>158</v>
      </c>
      <c r="D4702" t="s">
        <v>287</v>
      </c>
      <c r="E4702" t="s">
        <v>416</v>
      </c>
      <c r="F4702">
        <f>HYPERLINK("https://www.wikidata.org/wiki/Q33756209", "Q33756209")</f>
        <v>0</v>
      </c>
      <c r="G4702" t="s">
        <v>2563</v>
      </c>
      <c r="H4702" t="s">
        <v>5388</v>
      </c>
      <c r="I4702" t="s">
        <v>9465</v>
      </c>
      <c r="J4702" t="s">
        <v>13207</v>
      </c>
      <c r="K4702" t="s">
        <v>17611</v>
      </c>
      <c r="L4702">
        <f>HYPERLINK("https://www2.assemblee-nationale.fr/sycomore/fiche/(num_dept)/2754", "2754")</f>
        <v>0</v>
      </c>
      <c r="N4702">
        <f>HYPERLINK("https://www.wikidata.org/wiki/Q3059841", "Q3059841")</f>
        <v>0</v>
      </c>
      <c r="O4702" t="s">
        <v>19998</v>
      </c>
      <c r="P4702" t="s">
        <v>20461</v>
      </c>
      <c r="Q4702" t="s">
        <v>11935</v>
      </c>
      <c r="R4702" t="s">
        <v>21493</v>
      </c>
      <c r="S4702">
        <v>1471</v>
      </c>
    </row>
    <row r="4703" spans="1:19">
      <c r="A4703" t="s">
        <v>26</v>
      </c>
      <c r="B4703" t="s">
        <v>148</v>
      </c>
      <c r="C4703" t="s">
        <v>158</v>
      </c>
      <c r="D4703" t="s">
        <v>287</v>
      </c>
      <c r="E4703" t="s">
        <v>416</v>
      </c>
      <c r="F4703">
        <f>HYPERLINK("https://www.wikidata.org/wiki/Q33756209", "Q33756209")</f>
        <v>0</v>
      </c>
      <c r="G4703" t="s">
        <v>3118</v>
      </c>
      <c r="H4703" t="s">
        <v>7562</v>
      </c>
      <c r="I4703" t="s">
        <v>10643</v>
      </c>
      <c r="J4703" t="s">
        <v>13740</v>
      </c>
      <c r="K4703" t="s">
        <v>18121</v>
      </c>
      <c r="L4703">
        <f>HYPERLINK("https://www2.assemblee-nationale.fr/sycomore/fiche/(num_dept)/2762", "2762")</f>
        <v>0</v>
      </c>
      <c r="M4703">
        <f>HYPERLINK("https://www.senat.fr/senateur-3eme-republique/durand_savoyat_leonce1197r3.html", "durand_savoyat_leonce1197r3")</f>
        <v>0</v>
      </c>
      <c r="N4703">
        <f>HYPERLINK("https://www.wikidata.org/wiki/Q3271559", "Q3271559")</f>
        <v>0</v>
      </c>
      <c r="O4703" t="s">
        <v>20006</v>
      </c>
      <c r="P4703" t="s">
        <v>20459</v>
      </c>
      <c r="Q4703" t="s">
        <v>11935</v>
      </c>
      <c r="R4703" t="s">
        <v>21493</v>
      </c>
      <c r="S4703">
        <v>1471</v>
      </c>
    </row>
    <row r="4704" spans="1:19">
      <c r="A4704" t="s">
        <v>26</v>
      </c>
      <c r="B4704" t="s">
        <v>148</v>
      </c>
      <c r="C4704" t="s">
        <v>158</v>
      </c>
      <c r="D4704" t="s">
        <v>287</v>
      </c>
      <c r="E4704" t="s">
        <v>416</v>
      </c>
      <c r="F4704">
        <f>HYPERLINK("https://www.wikidata.org/wiki/Q33756209", "Q33756209")</f>
        <v>0</v>
      </c>
      <c r="G4704" t="s">
        <v>2953</v>
      </c>
      <c r="H4704" t="s">
        <v>7427</v>
      </c>
      <c r="I4704" t="s">
        <v>9421</v>
      </c>
      <c r="J4704" t="s">
        <v>13586</v>
      </c>
      <c r="K4704" t="s">
        <v>17971</v>
      </c>
      <c r="L4704">
        <f>HYPERLINK("https://www2.assemblee-nationale.fr/sycomore/fiche/(num_dept)/2788", "2788")</f>
        <v>0</v>
      </c>
      <c r="N4704">
        <f>HYPERLINK("https://www.wikidata.org/wiki/Q3121176", "Q3121176")</f>
        <v>0</v>
      </c>
      <c r="O4704" t="s">
        <v>20022</v>
      </c>
      <c r="P4704" t="s">
        <v>20473</v>
      </c>
      <c r="Q4704" t="s">
        <v>11935</v>
      </c>
      <c r="R4704" t="s">
        <v>21493</v>
      </c>
      <c r="S4704">
        <v>1471</v>
      </c>
    </row>
    <row r="4705" spans="1:19">
      <c r="A4705" t="s">
        <v>26</v>
      </c>
      <c r="B4705" t="s">
        <v>148</v>
      </c>
      <c r="C4705" t="s">
        <v>158</v>
      </c>
      <c r="D4705" t="s">
        <v>287</v>
      </c>
      <c r="E4705" t="s">
        <v>416</v>
      </c>
      <c r="F4705">
        <f>HYPERLINK("https://www.wikidata.org/wiki/Q33756209", "Q33756209")</f>
        <v>0</v>
      </c>
      <c r="G4705" t="s">
        <v>3055</v>
      </c>
      <c r="H4705" t="s">
        <v>6149</v>
      </c>
      <c r="I4705" t="s">
        <v>9538</v>
      </c>
      <c r="J4705" t="s">
        <v>13681</v>
      </c>
      <c r="K4705" t="s">
        <v>18062</v>
      </c>
      <c r="L4705">
        <f>HYPERLINK("https://www2.assemblee-nationale.fr/sycomore/fiche/(num_dept)/2799", "2799")</f>
        <v>0</v>
      </c>
      <c r="M4705">
        <f>HYPERLINK("https://www.senat.fr/senateur-3eme-republique/duval_cesar1318r3.html", "duval_cesar1318r3")</f>
        <v>0</v>
      </c>
      <c r="N4705">
        <f>HYPERLINK("https://www.wikidata.org/wiki/Q3010446", "Q3010446")</f>
        <v>0</v>
      </c>
      <c r="O4705" t="s">
        <v>20018</v>
      </c>
      <c r="P4705" t="s">
        <v>20461</v>
      </c>
      <c r="Q4705" t="s">
        <v>11935</v>
      </c>
      <c r="R4705" t="s">
        <v>21493</v>
      </c>
      <c r="S4705">
        <v>1471</v>
      </c>
    </row>
    <row r="4706" spans="1:19">
      <c r="A4706" t="s">
        <v>26</v>
      </c>
      <c r="B4706" t="s">
        <v>148</v>
      </c>
      <c r="C4706" t="s">
        <v>158</v>
      </c>
      <c r="D4706" t="s">
        <v>287</v>
      </c>
      <c r="E4706" t="s">
        <v>416</v>
      </c>
      <c r="F4706">
        <f>HYPERLINK("https://www.wikidata.org/wiki/Q33756209", "Q33756209")</f>
        <v>0</v>
      </c>
      <c r="G4706" t="s">
        <v>2565</v>
      </c>
      <c r="H4706" t="s">
        <v>7122</v>
      </c>
      <c r="I4706" t="s">
        <v>10288</v>
      </c>
      <c r="J4706" t="s">
        <v>13209</v>
      </c>
      <c r="K4706" t="s">
        <v>13113</v>
      </c>
      <c r="L4706">
        <f>HYPERLINK("https://www2.assemblee-nationale.fr/sycomore/fiche/(num_dept)/2808", "2808")</f>
        <v>0</v>
      </c>
      <c r="N4706">
        <f>HYPERLINK("https://www.wikidata.org/wiki/Q16025664", "Q16025664")</f>
        <v>0</v>
      </c>
      <c r="O4706" t="s">
        <v>19978</v>
      </c>
      <c r="P4706" t="s">
        <v>20401</v>
      </c>
      <c r="Q4706" t="s">
        <v>11935</v>
      </c>
      <c r="R4706" t="s">
        <v>21493</v>
      </c>
      <c r="S4706">
        <v>1471</v>
      </c>
    </row>
    <row r="4707" spans="1:19">
      <c r="A4707" t="s">
        <v>26</v>
      </c>
      <c r="B4707" t="s">
        <v>148</v>
      </c>
      <c r="C4707" t="s">
        <v>158</v>
      </c>
      <c r="D4707" t="s">
        <v>287</v>
      </c>
      <c r="E4707" t="s">
        <v>416</v>
      </c>
      <c r="F4707">
        <f>HYPERLINK("https://www.wikidata.org/wiki/Q33756209", "Q33756209")</f>
        <v>0</v>
      </c>
      <c r="G4707" t="s">
        <v>2566</v>
      </c>
      <c r="H4707" t="s">
        <v>7123</v>
      </c>
      <c r="I4707" t="s">
        <v>9401</v>
      </c>
      <c r="J4707" t="s">
        <v>13210</v>
      </c>
      <c r="K4707" t="s">
        <v>17613</v>
      </c>
      <c r="L4707">
        <f>HYPERLINK("https://www2.assemblee-nationale.fr/sycomore/fiche/(num_dept)/2835", "2835")</f>
        <v>0</v>
      </c>
      <c r="N4707">
        <f>HYPERLINK("https://www.wikidata.org/wiki/Q16025669", "Q16025669")</f>
        <v>0</v>
      </c>
      <c r="O4707" t="s">
        <v>20010</v>
      </c>
      <c r="P4707" t="s">
        <v>20459</v>
      </c>
      <c r="Q4707" t="s">
        <v>11935</v>
      </c>
      <c r="R4707" t="s">
        <v>21493</v>
      </c>
      <c r="S4707">
        <v>1471</v>
      </c>
    </row>
    <row r="4708" spans="1:19">
      <c r="A4708" t="s">
        <v>26</v>
      </c>
      <c r="B4708" t="s">
        <v>148</v>
      </c>
      <c r="C4708" t="s">
        <v>158</v>
      </c>
      <c r="D4708" t="s">
        <v>287</v>
      </c>
      <c r="E4708" t="s">
        <v>416</v>
      </c>
      <c r="F4708">
        <f>HYPERLINK("https://www.wikidata.org/wiki/Q33756209", "Q33756209")</f>
        <v>0</v>
      </c>
      <c r="G4708" t="s">
        <v>3119</v>
      </c>
      <c r="H4708" t="s">
        <v>7563</v>
      </c>
      <c r="I4708" t="s">
        <v>9553</v>
      </c>
      <c r="J4708" t="s">
        <v>13741</v>
      </c>
      <c r="K4708" t="s">
        <v>18122</v>
      </c>
      <c r="L4708">
        <f>HYPERLINK("https://www2.assemblee-nationale.fr/sycomore/fiche/(num_dept)/2893", "2893")</f>
        <v>0</v>
      </c>
      <c r="N4708">
        <f>HYPERLINK("https://www.wikidata.org/wiki/Q8311070", "Q8311070")</f>
        <v>0</v>
      </c>
      <c r="O4708" t="s">
        <v>19980</v>
      </c>
      <c r="P4708" t="s">
        <v>20460</v>
      </c>
      <c r="Q4708" t="s">
        <v>11935</v>
      </c>
      <c r="R4708" t="s">
        <v>21493</v>
      </c>
      <c r="S4708">
        <v>1471</v>
      </c>
    </row>
    <row r="4709" spans="1:19">
      <c r="A4709" t="s">
        <v>26</v>
      </c>
      <c r="B4709" t="s">
        <v>148</v>
      </c>
      <c r="C4709" t="s">
        <v>158</v>
      </c>
      <c r="D4709" t="s">
        <v>287</v>
      </c>
      <c r="E4709" t="s">
        <v>416</v>
      </c>
      <c r="F4709">
        <f>HYPERLINK("https://www.wikidata.org/wiki/Q33756209", "Q33756209")</f>
        <v>0</v>
      </c>
      <c r="G4709" t="s">
        <v>2570</v>
      </c>
      <c r="H4709" t="s">
        <v>6156</v>
      </c>
      <c r="I4709" t="s">
        <v>7790</v>
      </c>
      <c r="J4709" t="s">
        <v>13214</v>
      </c>
      <c r="K4709" t="s">
        <v>17617</v>
      </c>
      <c r="L4709">
        <f>HYPERLINK("https://www2.assemblee-nationale.fr/sycomore/fiche/(num_dept)/2901", "2901")</f>
        <v>0</v>
      </c>
      <c r="M4709">
        <f>HYPERLINK("https://www.senat.fr/senateur-3eme-republique/fallieres_armand0754r3.html", "fallieres_armand0754r3")</f>
        <v>0</v>
      </c>
      <c r="N4709">
        <f>HYPERLINK("https://www.wikidata.org/wiki/Q296673", "Q296673")</f>
        <v>0</v>
      </c>
      <c r="O4709" t="s">
        <v>20043</v>
      </c>
      <c r="P4709" t="s">
        <v>20457</v>
      </c>
      <c r="Q4709" t="s">
        <v>11935</v>
      </c>
      <c r="R4709" t="s">
        <v>21493</v>
      </c>
      <c r="S4709">
        <v>1471</v>
      </c>
    </row>
    <row r="4710" spans="1:19">
      <c r="A4710" t="s">
        <v>26</v>
      </c>
      <c r="B4710" t="s">
        <v>148</v>
      </c>
      <c r="C4710" t="s">
        <v>158</v>
      </c>
      <c r="D4710" t="s">
        <v>287</v>
      </c>
      <c r="E4710" t="s">
        <v>416</v>
      </c>
      <c r="F4710">
        <f>HYPERLINK("https://www.wikidata.org/wiki/Q33756209", "Q33756209")</f>
        <v>0</v>
      </c>
      <c r="G4710" t="s">
        <v>3120</v>
      </c>
      <c r="H4710" t="s">
        <v>7564</v>
      </c>
      <c r="I4710" t="s">
        <v>10644</v>
      </c>
      <c r="J4710" t="s">
        <v>13742</v>
      </c>
      <c r="K4710" t="s">
        <v>18123</v>
      </c>
      <c r="L4710">
        <f>HYPERLINK("https://www2.assemblee-nationale.fr/sycomore/fiche/(num_dept)/2914", "2914")</f>
        <v>0</v>
      </c>
      <c r="N4710">
        <f>HYPERLINK("https://www.wikidata.org/wiki/Q15971831", "Q15971831")</f>
        <v>0</v>
      </c>
      <c r="O4710" t="s">
        <v>19995</v>
      </c>
      <c r="P4710" t="s">
        <v>20460</v>
      </c>
      <c r="Q4710" t="s">
        <v>11935</v>
      </c>
      <c r="R4710" t="s">
        <v>21498</v>
      </c>
      <c r="S4710">
        <v>76</v>
      </c>
    </row>
    <row r="4711" spans="1:19">
      <c r="A4711" t="s">
        <v>26</v>
      </c>
      <c r="B4711" t="s">
        <v>148</v>
      </c>
      <c r="C4711" t="s">
        <v>158</v>
      </c>
      <c r="D4711" t="s">
        <v>287</v>
      </c>
      <c r="E4711" t="s">
        <v>416</v>
      </c>
      <c r="F4711">
        <f>HYPERLINK("https://www.wikidata.org/wiki/Q33756209", "Q33756209")</f>
        <v>0</v>
      </c>
      <c r="G4711" t="s">
        <v>2573</v>
      </c>
      <c r="H4711" t="s">
        <v>5397</v>
      </c>
      <c r="I4711" t="s">
        <v>6158</v>
      </c>
      <c r="J4711" t="s">
        <v>13217</v>
      </c>
      <c r="K4711" t="s">
        <v>17620</v>
      </c>
      <c r="L4711">
        <f>HYPERLINK("https://www2.assemblee-nationale.fr/sycomore/fiche/(num_dept)/2925", "2925")</f>
        <v>0</v>
      </c>
      <c r="N4711">
        <f>HYPERLINK("https://www.wikidata.org/wiki/Q296076", "Q296076")</f>
        <v>0</v>
      </c>
      <c r="O4711" t="s">
        <v>19978</v>
      </c>
      <c r="P4711" t="s">
        <v>20403</v>
      </c>
      <c r="Q4711" t="s">
        <v>11935</v>
      </c>
      <c r="R4711" t="s">
        <v>21493</v>
      </c>
      <c r="S4711">
        <v>1471</v>
      </c>
    </row>
    <row r="4712" spans="1:19">
      <c r="A4712" t="s">
        <v>26</v>
      </c>
      <c r="B4712" t="s">
        <v>148</v>
      </c>
      <c r="C4712" t="s">
        <v>158</v>
      </c>
      <c r="D4712" t="s">
        <v>287</v>
      </c>
      <c r="E4712" t="s">
        <v>416</v>
      </c>
      <c r="F4712">
        <f>HYPERLINK("https://www.wikidata.org/wiki/Q33756209", "Q33756209")</f>
        <v>0</v>
      </c>
      <c r="G4712" t="s">
        <v>2574</v>
      </c>
      <c r="H4712" t="s">
        <v>7129</v>
      </c>
      <c r="I4712" t="s">
        <v>10292</v>
      </c>
      <c r="J4712" t="s">
        <v>13218</v>
      </c>
      <c r="K4712" t="s">
        <v>17621</v>
      </c>
      <c r="L4712">
        <f>HYPERLINK("https://www2.assemblee-nationale.fr/sycomore/fiche/(num_dept)/2931", "2931")</f>
        <v>0</v>
      </c>
      <c r="N4712">
        <f>HYPERLINK("https://www.wikidata.org/wiki/Q16025684", "Q16025684")</f>
        <v>0</v>
      </c>
      <c r="O4712" t="s">
        <v>20003</v>
      </c>
      <c r="P4712" t="s">
        <v>20460</v>
      </c>
      <c r="Q4712" t="s">
        <v>11935</v>
      </c>
      <c r="R4712" t="s">
        <v>21493</v>
      </c>
      <c r="S4712">
        <v>1471</v>
      </c>
    </row>
    <row r="4713" spans="1:19">
      <c r="A4713" t="s">
        <v>26</v>
      </c>
      <c r="B4713" t="s">
        <v>148</v>
      </c>
      <c r="C4713" t="s">
        <v>158</v>
      </c>
      <c r="D4713" t="s">
        <v>287</v>
      </c>
      <c r="E4713" t="s">
        <v>416</v>
      </c>
      <c r="F4713">
        <f>HYPERLINK("https://www.wikidata.org/wiki/Q33756209", "Q33756209")</f>
        <v>0</v>
      </c>
      <c r="G4713" t="s">
        <v>3121</v>
      </c>
      <c r="H4713" t="s">
        <v>5397</v>
      </c>
      <c r="I4713" t="s">
        <v>9651</v>
      </c>
      <c r="J4713" t="s">
        <v>13743</v>
      </c>
      <c r="K4713" t="s">
        <v>282</v>
      </c>
      <c r="L4713">
        <f>HYPERLINK("https://www2.assemblee-nationale.fr/sycomore/fiche/(num_dept)/2933", "2933")</f>
        <v>0</v>
      </c>
      <c r="N4713">
        <f>HYPERLINK("https://www.wikidata.org/wiki/Q3300286", "Q3300286")</f>
        <v>0</v>
      </c>
      <c r="O4713" t="s">
        <v>20044</v>
      </c>
      <c r="P4713" t="s">
        <v>20474</v>
      </c>
      <c r="Q4713" t="s">
        <v>11935</v>
      </c>
      <c r="R4713" t="s">
        <v>21493</v>
      </c>
      <c r="S4713">
        <v>1471</v>
      </c>
    </row>
    <row r="4714" spans="1:19">
      <c r="A4714" t="s">
        <v>26</v>
      </c>
      <c r="B4714" t="s">
        <v>148</v>
      </c>
      <c r="C4714" t="s">
        <v>158</v>
      </c>
      <c r="D4714" t="s">
        <v>287</v>
      </c>
      <c r="E4714" t="s">
        <v>416</v>
      </c>
      <c r="F4714">
        <f>HYPERLINK("https://www.wikidata.org/wiki/Q33756209", "Q33756209")</f>
        <v>0</v>
      </c>
      <c r="G4714" t="s">
        <v>3122</v>
      </c>
      <c r="H4714" t="s">
        <v>7565</v>
      </c>
      <c r="I4714" t="s">
        <v>10645</v>
      </c>
      <c r="J4714" t="s">
        <v>13744</v>
      </c>
      <c r="K4714" t="s">
        <v>14826</v>
      </c>
      <c r="L4714">
        <f>HYPERLINK("https://www2.assemblee-nationale.fr/sycomore/fiche/(num_dept)/2959", "2959")</f>
        <v>0</v>
      </c>
      <c r="N4714">
        <f>HYPERLINK("https://www.wikidata.org/wiki/Q15973218", "Q15973218")</f>
        <v>0</v>
      </c>
      <c r="O4714" t="s">
        <v>20027</v>
      </c>
      <c r="P4714" t="s">
        <v>20460</v>
      </c>
      <c r="Q4714" t="s">
        <v>11935</v>
      </c>
      <c r="R4714" t="s">
        <v>21493</v>
      </c>
      <c r="S4714">
        <v>1471</v>
      </c>
    </row>
    <row r="4715" spans="1:19">
      <c r="A4715" t="s">
        <v>26</v>
      </c>
      <c r="B4715" t="s">
        <v>148</v>
      </c>
      <c r="C4715" t="s">
        <v>158</v>
      </c>
      <c r="D4715" t="s">
        <v>287</v>
      </c>
      <c r="E4715" t="s">
        <v>416</v>
      </c>
      <c r="F4715">
        <f>HYPERLINK("https://www.wikidata.org/wiki/Q33756209", "Q33756209")</f>
        <v>0</v>
      </c>
      <c r="G4715" t="s">
        <v>3123</v>
      </c>
      <c r="H4715" t="s">
        <v>7566</v>
      </c>
      <c r="I4715" t="s">
        <v>10646</v>
      </c>
      <c r="J4715" t="s">
        <v>13745</v>
      </c>
      <c r="K4715" t="s">
        <v>18124</v>
      </c>
      <c r="L4715">
        <f>HYPERLINK("https://www2.assemblee-nationale.fr/sycomore/fiche/(num_dept)/2980", "2980")</f>
        <v>0</v>
      </c>
      <c r="N4715">
        <f>HYPERLINK("https://www.wikidata.org/wiki/Q3265520", "Q3265520")</f>
        <v>0</v>
      </c>
      <c r="O4715" t="s">
        <v>19992</v>
      </c>
      <c r="Q4715" t="s">
        <v>11935</v>
      </c>
      <c r="R4715" t="s">
        <v>21493</v>
      </c>
      <c r="S4715">
        <v>1471</v>
      </c>
    </row>
    <row r="4716" spans="1:19">
      <c r="A4716" t="s">
        <v>26</v>
      </c>
      <c r="B4716" t="s">
        <v>148</v>
      </c>
      <c r="C4716" t="s">
        <v>158</v>
      </c>
      <c r="D4716" t="s">
        <v>287</v>
      </c>
      <c r="E4716" t="s">
        <v>416</v>
      </c>
      <c r="F4716">
        <f>HYPERLINK("https://www.wikidata.org/wiki/Q33756209", "Q33756209")</f>
        <v>0</v>
      </c>
      <c r="G4716" t="s">
        <v>2576</v>
      </c>
      <c r="H4716" t="s">
        <v>5400</v>
      </c>
      <c r="I4716" t="s">
        <v>10294</v>
      </c>
      <c r="J4716" t="s">
        <v>13220</v>
      </c>
      <c r="K4716" t="s">
        <v>17623</v>
      </c>
      <c r="L4716">
        <f>HYPERLINK("https://www2.assemblee-nationale.fr/sycomore/fiche/(num_dept)/2985", "2985")</f>
        <v>0</v>
      </c>
      <c r="M4716">
        <f>HYPERLINK("https://www.senat.fr/senateur-3eme-republique/ferry_albert1810r3.html", "ferry_albert1810r3")</f>
        <v>0</v>
      </c>
      <c r="N4716">
        <f>HYPERLINK("https://www.wikidata.org/wiki/Q2831174", "Q2831174")</f>
        <v>0</v>
      </c>
      <c r="O4716" t="s">
        <v>20017</v>
      </c>
      <c r="P4716" t="s">
        <v>20459</v>
      </c>
      <c r="Q4716" t="s">
        <v>11935</v>
      </c>
      <c r="R4716" t="s">
        <v>21493</v>
      </c>
      <c r="S4716">
        <v>1471</v>
      </c>
    </row>
    <row r="4717" spans="1:19">
      <c r="A4717" t="s">
        <v>26</v>
      </c>
      <c r="B4717" t="s">
        <v>148</v>
      </c>
      <c r="C4717" t="s">
        <v>158</v>
      </c>
      <c r="D4717" t="s">
        <v>287</v>
      </c>
      <c r="E4717" t="s">
        <v>416</v>
      </c>
      <c r="F4717">
        <f>HYPERLINK("https://www.wikidata.org/wiki/Q33756209", "Q33756209")</f>
        <v>0</v>
      </c>
      <c r="G4717" t="s">
        <v>2579</v>
      </c>
      <c r="H4717" t="s">
        <v>7132</v>
      </c>
      <c r="I4717" t="s">
        <v>6585</v>
      </c>
      <c r="J4717" t="s">
        <v>13223</v>
      </c>
      <c r="K4717" t="s">
        <v>17626</v>
      </c>
      <c r="L4717">
        <f>HYPERLINK("https://www2.assemblee-nationale.fr/sycomore/fiche/(num_dept)/3040", "3040")</f>
        <v>0</v>
      </c>
      <c r="M4717">
        <f>HYPERLINK("https://www.senat.fr/senateur-3eme-republique/folliet_andre1312r3.html", "folliet_andre1312r3")</f>
        <v>0</v>
      </c>
      <c r="N4717">
        <f>HYPERLINK("https://www.wikidata.org/wiki/Q2847756", "Q2847756")</f>
        <v>0</v>
      </c>
      <c r="O4717" t="s">
        <v>20018</v>
      </c>
      <c r="P4717" t="s">
        <v>20462</v>
      </c>
      <c r="Q4717" t="s">
        <v>11935</v>
      </c>
      <c r="R4717" t="s">
        <v>21493</v>
      </c>
      <c r="S4717">
        <v>1471</v>
      </c>
    </row>
    <row r="4718" spans="1:19">
      <c r="A4718" t="s">
        <v>26</v>
      </c>
      <c r="B4718" t="s">
        <v>148</v>
      </c>
      <c r="C4718" t="s">
        <v>158</v>
      </c>
      <c r="D4718" t="s">
        <v>287</v>
      </c>
      <c r="E4718" t="s">
        <v>416</v>
      </c>
      <c r="F4718">
        <f>HYPERLINK("https://www.wikidata.org/wiki/Q33756209", "Q33756209")</f>
        <v>0</v>
      </c>
      <c r="G4718" t="s">
        <v>3124</v>
      </c>
      <c r="H4718" t="s">
        <v>7567</v>
      </c>
      <c r="I4718" t="s">
        <v>6175</v>
      </c>
      <c r="J4718" t="s">
        <v>13746</v>
      </c>
      <c r="K4718" t="s">
        <v>18125</v>
      </c>
      <c r="L4718">
        <f>HYPERLINK("https://www2.assemblee-nationale.fr/sycomore/fiche/(num_dept)/3041", "3041")</f>
        <v>0</v>
      </c>
      <c r="N4718">
        <f>HYPERLINK("https://www.wikidata.org/wiki/Q16025713", "Q16025713")</f>
        <v>0</v>
      </c>
      <c r="O4718" t="s">
        <v>20010</v>
      </c>
      <c r="P4718" t="s">
        <v>20459</v>
      </c>
      <c r="Q4718" t="s">
        <v>11935</v>
      </c>
      <c r="R4718" t="s">
        <v>21493</v>
      </c>
      <c r="S4718">
        <v>1471</v>
      </c>
    </row>
    <row r="4719" spans="1:19">
      <c r="A4719" t="s">
        <v>26</v>
      </c>
      <c r="B4719" t="s">
        <v>148</v>
      </c>
      <c r="C4719" t="s">
        <v>158</v>
      </c>
      <c r="D4719" t="s">
        <v>287</v>
      </c>
      <c r="E4719" t="s">
        <v>416</v>
      </c>
      <c r="F4719">
        <f>HYPERLINK("https://www.wikidata.org/wiki/Q33756209", "Q33756209")</f>
        <v>0</v>
      </c>
      <c r="G4719" t="s">
        <v>650</v>
      </c>
      <c r="H4719" t="s">
        <v>5409</v>
      </c>
      <c r="I4719" t="s">
        <v>9469</v>
      </c>
      <c r="J4719" t="s">
        <v>11400</v>
      </c>
      <c r="K4719" t="s">
        <v>15802</v>
      </c>
      <c r="L4719">
        <f>HYPERLINK("https://www2.assemblee-nationale.fr/sycomore/fiche/(num_dept)/3084", "3084")</f>
        <v>0</v>
      </c>
      <c r="N4719">
        <f>HYPERLINK("https://www.wikidata.org/wiki/Q3261915", "Q3261915")</f>
        <v>0</v>
      </c>
      <c r="O4719" t="s">
        <v>19992</v>
      </c>
      <c r="P4719" t="s">
        <v>20460</v>
      </c>
      <c r="Q4719" t="s">
        <v>11935</v>
      </c>
      <c r="R4719" t="s">
        <v>21493</v>
      </c>
      <c r="S4719">
        <v>1471</v>
      </c>
    </row>
    <row r="4720" spans="1:19">
      <c r="A4720" t="s">
        <v>26</v>
      </c>
      <c r="B4720" t="s">
        <v>148</v>
      </c>
      <c r="C4720" t="s">
        <v>158</v>
      </c>
      <c r="D4720" t="s">
        <v>287</v>
      </c>
      <c r="E4720" t="s">
        <v>416</v>
      </c>
      <c r="F4720">
        <f>HYPERLINK("https://www.wikidata.org/wiki/Q33756209", "Q33756209")</f>
        <v>0</v>
      </c>
      <c r="G4720" t="s">
        <v>2581</v>
      </c>
      <c r="H4720" t="s">
        <v>7133</v>
      </c>
      <c r="I4720" t="s">
        <v>9421</v>
      </c>
      <c r="J4720" t="s">
        <v>13225</v>
      </c>
      <c r="K4720" t="s">
        <v>17628</v>
      </c>
      <c r="L4720">
        <f>HYPERLINK("https://www2.assemblee-nationale.fr/sycomore/fiche/(num_dept)/3132", "3132")</f>
        <v>0</v>
      </c>
      <c r="N4720">
        <f>HYPERLINK("https://www.wikidata.org/wiki/Q28123320", "Q28123320")</f>
        <v>0</v>
      </c>
      <c r="O4720" t="s">
        <v>20029</v>
      </c>
      <c r="P4720" t="s">
        <v>20456</v>
      </c>
      <c r="Q4720" t="s">
        <v>11935</v>
      </c>
      <c r="R4720" t="s">
        <v>21493</v>
      </c>
      <c r="S4720">
        <v>1471</v>
      </c>
    </row>
    <row r="4721" spans="1:19">
      <c r="A4721" t="s">
        <v>26</v>
      </c>
      <c r="B4721" t="s">
        <v>148</v>
      </c>
      <c r="C4721" t="s">
        <v>158</v>
      </c>
      <c r="D4721" t="s">
        <v>287</v>
      </c>
      <c r="E4721" t="s">
        <v>416</v>
      </c>
      <c r="F4721">
        <f>HYPERLINK("https://www.wikidata.org/wiki/Q33756209", "Q33756209")</f>
        <v>0</v>
      </c>
      <c r="G4721" t="s">
        <v>2583</v>
      </c>
      <c r="H4721" t="s">
        <v>7135</v>
      </c>
      <c r="I4721" t="s">
        <v>10297</v>
      </c>
      <c r="J4721" t="s">
        <v>13227</v>
      </c>
      <c r="K4721" t="s">
        <v>17630</v>
      </c>
      <c r="L4721">
        <f>HYPERLINK("https://www2.assemblee-nationale.fr/sycomore/fiche/(num_dept)/3148", "3148")</f>
        <v>0</v>
      </c>
      <c r="N4721">
        <f>HYPERLINK("https://www.wikidata.org/wiki/Q1063452", "Q1063452")</f>
        <v>0</v>
      </c>
      <c r="O4721" t="s">
        <v>20011</v>
      </c>
      <c r="P4721" t="s">
        <v>20460</v>
      </c>
      <c r="Q4721" t="s">
        <v>11935</v>
      </c>
      <c r="R4721" t="s">
        <v>21493</v>
      </c>
      <c r="S4721">
        <v>1471</v>
      </c>
    </row>
    <row r="4722" spans="1:19">
      <c r="A4722" t="s">
        <v>26</v>
      </c>
      <c r="B4722" t="s">
        <v>148</v>
      </c>
      <c r="C4722" t="s">
        <v>158</v>
      </c>
      <c r="D4722" t="s">
        <v>287</v>
      </c>
      <c r="E4722" t="s">
        <v>416</v>
      </c>
      <c r="F4722">
        <f>HYPERLINK("https://www.wikidata.org/wiki/Q33756209", "Q33756209")</f>
        <v>0</v>
      </c>
      <c r="G4722" t="s">
        <v>3125</v>
      </c>
      <c r="H4722" t="s">
        <v>7568</v>
      </c>
      <c r="I4722" t="s">
        <v>10647</v>
      </c>
      <c r="J4722" t="s">
        <v>13747</v>
      </c>
      <c r="K4722" t="s">
        <v>18126</v>
      </c>
      <c r="L4722">
        <f>HYPERLINK("https://www2.assemblee-nationale.fr/sycomore/fiche/(num_dept)/3149", "3149")</f>
        <v>0</v>
      </c>
      <c r="N4722">
        <f>HYPERLINK("https://www.wikidata.org/wiki/Q3184637", "Q3184637")</f>
        <v>0</v>
      </c>
      <c r="O4722" t="s">
        <v>20013</v>
      </c>
      <c r="P4722" t="s">
        <v>20460</v>
      </c>
      <c r="Q4722" t="s">
        <v>11935</v>
      </c>
      <c r="R4722" t="s">
        <v>21493</v>
      </c>
      <c r="S4722">
        <v>1471</v>
      </c>
    </row>
    <row r="4723" spans="1:19">
      <c r="A4723" t="s">
        <v>26</v>
      </c>
      <c r="B4723" t="s">
        <v>148</v>
      </c>
      <c r="C4723" t="s">
        <v>158</v>
      </c>
      <c r="D4723" t="s">
        <v>287</v>
      </c>
      <c r="E4723" t="s">
        <v>416</v>
      </c>
      <c r="F4723">
        <f>HYPERLINK("https://www.wikidata.org/wiki/Q33756209", "Q33756209")</f>
        <v>0</v>
      </c>
      <c r="G4723" t="s">
        <v>2584</v>
      </c>
      <c r="H4723" t="s">
        <v>7136</v>
      </c>
      <c r="I4723" t="s">
        <v>9388</v>
      </c>
      <c r="J4723" t="s">
        <v>13228</v>
      </c>
      <c r="K4723" t="s">
        <v>17631</v>
      </c>
      <c r="L4723">
        <f>HYPERLINK("https://www2.assemblee-nationale.fr/sycomore/fiche/(num_dept)/3159", "3159")</f>
        <v>0</v>
      </c>
      <c r="M4723">
        <f>HYPERLINK("https://www.senat.fr/senateur-3eme-republique/frogier_de_ponlevoy_paul1811r3.html", "frogier_de_ponlevoy_paul1811r3")</f>
        <v>0</v>
      </c>
      <c r="N4723">
        <f>HYPERLINK("https://www.wikidata.org/wiki/Q3371249", "Q3371249")</f>
        <v>0</v>
      </c>
      <c r="O4723" t="s">
        <v>20017</v>
      </c>
      <c r="P4723" t="s">
        <v>20459</v>
      </c>
      <c r="Q4723" t="s">
        <v>11935</v>
      </c>
      <c r="R4723" t="s">
        <v>21493</v>
      </c>
      <c r="S4723">
        <v>1471</v>
      </c>
    </row>
    <row r="4724" spans="1:19">
      <c r="A4724" t="s">
        <v>26</v>
      </c>
      <c r="B4724" t="s">
        <v>148</v>
      </c>
      <c r="C4724" t="s">
        <v>158</v>
      </c>
      <c r="D4724" t="s">
        <v>287</v>
      </c>
      <c r="E4724" t="s">
        <v>416</v>
      </c>
      <c r="F4724">
        <f>HYPERLINK("https://www.wikidata.org/wiki/Q33756209", "Q33756209")</f>
        <v>0</v>
      </c>
      <c r="G4724" t="s">
        <v>3126</v>
      </c>
      <c r="H4724" t="s">
        <v>6169</v>
      </c>
      <c r="I4724" t="s">
        <v>9401</v>
      </c>
      <c r="J4724" t="s">
        <v>13748</v>
      </c>
      <c r="K4724" t="s">
        <v>18127</v>
      </c>
      <c r="L4724">
        <f>HYPERLINK("https://www2.assemblee-nationale.fr/sycomore/fiche/(num_dept)/3192", "3192")</f>
        <v>0</v>
      </c>
      <c r="M4724">
        <f>HYPERLINK("https://www.senat.fr/senateur-3eme-republique/gadaud_antoine0660r3.html", "gadaud_antoine0660r3")</f>
        <v>0</v>
      </c>
      <c r="N4724">
        <f>HYPERLINK("https://www.wikidata.org/wiki/Q2853966", "Q2853966")</f>
        <v>0</v>
      </c>
      <c r="O4724" t="s">
        <v>20010</v>
      </c>
      <c r="P4724" t="s">
        <v>20459</v>
      </c>
      <c r="Q4724" t="s">
        <v>11935</v>
      </c>
      <c r="R4724" t="s">
        <v>21493</v>
      </c>
      <c r="S4724">
        <v>1471</v>
      </c>
    </row>
    <row r="4725" spans="1:19">
      <c r="A4725" t="s">
        <v>26</v>
      </c>
      <c r="B4725" t="s">
        <v>148</v>
      </c>
      <c r="C4725" t="s">
        <v>158</v>
      </c>
      <c r="D4725" t="s">
        <v>287</v>
      </c>
      <c r="E4725" t="s">
        <v>416</v>
      </c>
      <c r="F4725">
        <f>HYPERLINK("https://www.wikidata.org/wiki/Q33756209", "Q33756209")</f>
        <v>0</v>
      </c>
      <c r="G4725" t="s">
        <v>2585</v>
      </c>
      <c r="H4725" t="s">
        <v>7137</v>
      </c>
      <c r="I4725" t="s">
        <v>10298</v>
      </c>
      <c r="J4725" t="s">
        <v>13229</v>
      </c>
      <c r="K4725" t="s">
        <v>17632</v>
      </c>
      <c r="L4725">
        <f>HYPERLINK("https://www2.assemblee-nationale.fr/sycomore/fiche/(num_dept)/3196", "3196")</f>
        <v>0</v>
      </c>
      <c r="N4725">
        <f>HYPERLINK("https://www.wikidata.org/wiki/Q8331563", "Q8331563")</f>
        <v>0</v>
      </c>
      <c r="O4725" t="s">
        <v>20041</v>
      </c>
      <c r="P4725" t="s">
        <v>20401</v>
      </c>
      <c r="Q4725" t="s">
        <v>11935</v>
      </c>
      <c r="R4725" t="s">
        <v>17632</v>
      </c>
      <c r="S4725">
        <v>1406</v>
      </c>
    </row>
    <row r="4726" spans="1:19">
      <c r="A4726" t="s">
        <v>26</v>
      </c>
      <c r="B4726" t="s">
        <v>148</v>
      </c>
      <c r="C4726" t="s">
        <v>158</v>
      </c>
      <c r="D4726" t="s">
        <v>287</v>
      </c>
      <c r="E4726" t="s">
        <v>416</v>
      </c>
      <c r="F4726">
        <f>HYPERLINK("https://www.wikidata.org/wiki/Q33756209", "Q33756209")</f>
        <v>0</v>
      </c>
      <c r="G4726" t="s">
        <v>3062</v>
      </c>
      <c r="H4726" t="s">
        <v>7515</v>
      </c>
      <c r="I4726" t="s">
        <v>9552</v>
      </c>
      <c r="J4726" t="s">
        <v>13686</v>
      </c>
      <c r="K4726" t="s">
        <v>18069</v>
      </c>
      <c r="L4726">
        <f>HYPERLINK("https://www2.assemblee-nationale.fr/sycomore/fiche/(num_dept)/3230", "3230")</f>
        <v>0</v>
      </c>
      <c r="M4726">
        <f>HYPERLINK("https://www.senat.fr/senateur-3eme-republique/galtier_jean0238r3.html", "galtier_jean0238r3")</f>
        <v>0</v>
      </c>
      <c r="N4726">
        <f>HYPERLINK("https://www.wikidata.org/wiki/Q3172204", "Q3172204")</f>
        <v>0</v>
      </c>
      <c r="O4726" t="s">
        <v>7411</v>
      </c>
      <c r="P4726" t="s">
        <v>20401</v>
      </c>
      <c r="Q4726" t="s">
        <v>11935</v>
      </c>
      <c r="R4726" t="s">
        <v>21493</v>
      </c>
      <c r="S4726">
        <v>1471</v>
      </c>
    </row>
    <row r="4727" spans="1:19">
      <c r="A4727" t="s">
        <v>26</v>
      </c>
      <c r="B4727" t="s">
        <v>148</v>
      </c>
      <c r="C4727" t="s">
        <v>158</v>
      </c>
      <c r="D4727" t="s">
        <v>287</v>
      </c>
      <c r="E4727" t="s">
        <v>416</v>
      </c>
      <c r="F4727">
        <f>HYPERLINK("https://www.wikidata.org/wiki/Q33756209", "Q33756209")</f>
        <v>0</v>
      </c>
      <c r="G4727" t="s">
        <v>3127</v>
      </c>
      <c r="H4727" t="s">
        <v>7569</v>
      </c>
      <c r="I4727" t="s">
        <v>10648</v>
      </c>
      <c r="J4727" t="s">
        <v>13749</v>
      </c>
      <c r="K4727" t="s">
        <v>18128</v>
      </c>
      <c r="L4727">
        <f>HYPERLINK("https://www2.assemblee-nationale.fr/sycomore/fiche/(num_dept)/3242", "3242")</f>
        <v>0</v>
      </c>
      <c r="N4727">
        <f>HYPERLINK("https://www.wikidata.org/wiki/Q16025743", "Q16025743")</f>
        <v>0</v>
      </c>
      <c r="O4727" t="s">
        <v>20031</v>
      </c>
      <c r="P4727" t="s">
        <v>20460</v>
      </c>
      <c r="Q4727" t="s">
        <v>11935</v>
      </c>
      <c r="R4727" t="s">
        <v>18128</v>
      </c>
      <c r="S4727">
        <v>906</v>
      </c>
    </row>
    <row r="4728" spans="1:19">
      <c r="A4728" t="s">
        <v>26</v>
      </c>
      <c r="B4728" t="s">
        <v>148</v>
      </c>
      <c r="C4728" t="s">
        <v>158</v>
      </c>
      <c r="D4728" t="s">
        <v>287</v>
      </c>
      <c r="E4728" t="s">
        <v>416</v>
      </c>
      <c r="F4728">
        <f>HYPERLINK("https://www.wikidata.org/wiki/Q33756209", "Q33756209")</f>
        <v>0</v>
      </c>
      <c r="G4728" t="s">
        <v>3128</v>
      </c>
      <c r="H4728" t="s">
        <v>7570</v>
      </c>
      <c r="I4728" t="s">
        <v>6200</v>
      </c>
      <c r="J4728" t="s">
        <v>13750</v>
      </c>
      <c r="K4728" t="s">
        <v>13101</v>
      </c>
      <c r="L4728">
        <f>HYPERLINK("https://www2.assemblee-nationale.fr/sycomore/fiche/(num_dept)/3265", "3265")</f>
        <v>0</v>
      </c>
      <c r="N4728">
        <f>HYPERLINK("https://www.wikidata.org/wiki/Q3172224", "Q3172224")</f>
        <v>0</v>
      </c>
      <c r="O4728" t="s">
        <v>19964</v>
      </c>
      <c r="P4728" t="s">
        <v>20460</v>
      </c>
      <c r="Q4728" t="s">
        <v>11935</v>
      </c>
      <c r="R4728" t="s">
        <v>21493</v>
      </c>
      <c r="S4728">
        <v>1471</v>
      </c>
    </row>
    <row r="4729" spans="1:19">
      <c r="A4729" t="s">
        <v>26</v>
      </c>
      <c r="B4729" t="s">
        <v>148</v>
      </c>
      <c r="C4729" t="s">
        <v>158</v>
      </c>
      <c r="D4729" t="s">
        <v>287</v>
      </c>
      <c r="E4729" t="s">
        <v>416</v>
      </c>
      <c r="F4729">
        <f>HYPERLINK("https://www.wikidata.org/wiki/Q33756209", "Q33756209")</f>
        <v>0</v>
      </c>
      <c r="G4729" t="s">
        <v>3129</v>
      </c>
      <c r="H4729" t="s">
        <v>7571</v>
      </c>
      <c r="I4729" t="s">
        <v>10485</v>
      </c>
      <c r="J4729" t="s">
        <v>13751</v>
      </c>
      <c r="K4729" t="s">
        <v>18129</v>
      </c>
      <c r="L4729">
        <f>HYPERLINK("https://www2.assemblee-nationale.fr/sycomore/fiche/(num_dept)/3282", "3282")</f>
        <v>0</v>
      </c>
      <c r="N4729">
        <f>HYPERLINK("https://www.wikidata.org/wiki/Q16025749", "Q16025749")</f>
        <v>0</v>
      </c>
      <c r="O4729" t="s">
        <v>20026</v>
      </c>
      <c r="P4729" t="s">
        <v>20401</v>
      </c>
      <c r="Q4729" t="s">
        <v>11935</v>
      </c>
      <c r="R4729" t="s">
        <v>21493</v>
      </c>
      <c r="S4729">
        <v>1471</v>
      </c>
    </row>
    <row r="4730" spans="1:19">
      <c r="A4730" t="s">
        <v>26</v>
      </c>
      <c r="B4730" t="s">
        <v>148</v>
      </c>
      <c r="C4730" t="s">
        <v>158</v>
      </c>
      <c r="D4730" t="s">
        <v>287</v>
      </c>
      <c r="E4730" t="s">
        <v>416</v>
      </c>
      <c r="F4730">
        <f>HYPERLINK("https://www.wikidata.org/wiki/Q33756209", "Q33756209")</f>
        <v>0</v>
      </c>
      <c r="G4730" t="s">
        <v>2956</v>
      </c>
      <c r="H4730" t="s">
        <v>5417</v>
      </c>
      <c r="I4730" t="s">
        <v>10542</v>
      </c>
      <c r="J4730" t="s">
        <v>13589</v>
      </c>
      <c r="K4730" t="s">
        <v>17974</v>
      </c>
      <c r="L4730">
        <f>HYPERLINK("https://www2.assemblee-nationale.fr/sycomore/fiche/(num_dept)/3361", "3361")</f>
        <v>0</v>
      </c>
      <c r="N4730">
        <f>HYPERLINK("https://www.wikidata.org/wiki/Q3131251", "Q3131251")</f>
        <v>0</v>
      </c>
      <c r="O4730" t="s">
        <v>20009</v>
      </c>
      <c r="P4730" t="s">
        <v>20460</v>
      </c>
      <c r="Q4730" t="s">
        <v>11935</v>
      </c>
      <c r="R4730" t="s">
        <v>21493</v>
      </c>
      <c r="S4730">
        <v>1471</v>
      </c>
    </row>
    <row r="4731" spans="1:19">
      <c r="A4731" t="s">
        <v>26</v>
      </c>
      <c r="B4731" t="s">
        <v>148</v>
      </c>
      <c r="C4731" t="s">
        <v>158</v>
      </c>
      <c r="D4731" t="s">
        <v>287</v>
      </c>
      <c r="E4731" t="s">
        <v>416</v>
      </c>
      <c r="F4731">
        <f>HYPERLINK("https://www.wikidata.org/wiki/Q33756209", "Q33756209")</f>
        <v>0</v>
      </c>
      <c r="G4731" t="s">
        <v>2592</v>
      </c>
      <c r="H4731" t="s">
        <v>7141</v>
      </c>
      <c r="I4731" t="s">
        <v>10301</v>
      </c>
      <c r="J4731" t="s">
        <v>13235</v>
      </c>
      <c r="K4731" t="s">
        <v>17639</v>
      </c>
      <c r="L4731">
        <f>HYPERLINK("https://www2.assemblee-nationale.fr/sycomore/fiche/(num_dept)/3392", "3392")</f>
        <v>0</v>
      </c>
      <c r="N4731">
        <f>HYPERLINK("https://www.wikidata.org/wiki/Q3188644", "Q3188644")</f>
        <v>0</v>
      </c>
      <c r="O4731" t="s">
        <v>19957</v>
      </c>
      <c r="P4731" t="s">
        <v>20457</v>
      </c>
      <c r="Q4731" t="s">
        <v>11935</v>
      </c>
      <c r="R4731" t="s">
        <v>21493</v>
      </c>
      <c r="S4731">
        <v>1471</v>
      </c>
    </row>
    <row r="4732" spans="1:19">
      <c r="A4732" t="s">
        <v>26</v>
      </c>
      <c r="B4732" t="s">
        <v>148</v>
      </c>
      <c r="C4732" t="s">
        <v>158</v>
      </c>
      <c r="D4732" t="s">
        <v>287</v>
      </c>
      <c r="E4732" t="s">
        <v>416</v>
      </c>
      <c r="F4732">
        <f>HYPERLINK("https://www.wikidata.org/wiki/Q33756209", "Q33756209")</f>
        <v>0</v>
      </c>
      <c r="G4732" t="s">
        <v>3130</v>
      </c>
      <c r="H4732" t="s">
        <v>7572</v>
      </c>
      <c r="I4732" t="s">
        <v>10649</v>
      </c>
      <c r="J4732" t="s">
        <v>13752</v>
      </c>
      <c r="K4732" t="s">
        <v>15905</v>
      </c>
      <c r="L4732">
        <f>HYPERLINK("https://www2.assemblee-nationale.fr/sycomore/fiche/(num_dept)/3403", "3403")</f>
        <v>0</v>
      </c>
      <c r="N4732">
        <f>HYPERLINK("https://www.wikidata.org/wiki/Q16025770", "Q16025770")</f>
        <v>0</v>
      </c>
      <c r="O4732" t="s">
        <v>19995</v>
      </c>
      <c r="P4732" t="s">
        <v>20464</v>
      </c>
      <c r="Q4732" t="s">
        <v>11935</v>
      </c>
      <c r="R4732" t="s">
        <v>21498</v>
      </c>
      <c r="S4732">
        <v>76</v>
      </c>
    </row>
    <row r="4733" spans="1:19">
      <c r="A4733" t="s">
        <v>26</v>
      </c>
      <c r="B4733" t="s">
        <v>148</v>
      </c>
      <c r="C4733" t="s">
        <v>158</v>
      </c>
      <c r="D4733" t="s">
        <v>287</v>
      </c>
      <c r="E4733" t="s">
        <v>416</v>
      </c>
      <c r="F4733">
        <f>HYPERLINK("https://www.wikidata.org/wiki/Q33756209", "Q33756209")</f>
        <v>0</v>
      </c>
      <c r="G4733" t="s">
        <v>3063</v>
      </c>
      <c r="H4733" t="s">
        <v>7516</v>
      </c>
      <c r="I4733" t="s">
        <v>9438</v>
      </c>
      <c r="J4733" t="s">
        <v>13687</v>
      </c>
      <c r="K4733" t="s">
        <v>18070</v>
      </c>
      <c r="L4733">
        <f>HYPERLINK("https://www2.assemblee-nationale.fr/sycomore/fiche/(num_dept)/3405", "3405")</f>
        <v>0</v>
      </c>
      <c r="M4733">
        <f>HYPERLINK("https://www.senat.fr/senateur-3eme-republique/giguet_honore0009r3.html", "giguet_honore0009r3")</f>
        <v>0</v>
      </c>
      <c r="N4733">
        <f>HYPERLINK("https://www.wikidata.org/wiki/Q3140225", "Q3140225")</f>
        <v>0</v>
      </c>
      <c r="O4733" t="s">
        <v>19986</v>
      </c>
      <c r="P4733" t="s">
        <v>20459</v>
      </c>
      <c r="Q4733" t="s">
        <v>11935</v>
      </c>
      <c r="R4733" t="s">
        <v>21493</v>
      </c>
      <c r="S4733">
        <v>1471</v>
      </c>
    </row>
    <row r="4734" spans="1:19">
      <c r="A4734" t="s">
        <v>26</v>
      </c>
      <c r="B4734" t="s">
        <v>148</v>
      </c>
      <c r="C4734" t="s">
        <v>158</v>
      </c>
      <c r="D4734" t="s">
        <v>287</v>
      </c>
      <c r="E4734" t="s">
        <v>416</v>
      </c>
      <c r="F4734">
        <f>HYPERLINK("https://www.wikidata.org/wiki/Q33756209", "Q33756209")</f>
        <v>0</v>
      </c>
      <c r="G4734" t="s">
        <v>2593</v>
      </c>
      <c r="H4734" t="s">
        <v>7142</v>
      </c>
      <c r="I4734" t="s">
        <v>9476</v>
      </c>
      <c r="J4734" t="s">
        <v>13236</v>
      </c>
      <c r="K4734" t="s">
        <v>17640</v>
      </c>
      <c r="L4734">
        <f>HYPERLINK("https://www2.assemblee-nationale.fr/sycomore/fiche/(num_dept)/3457", "3457")</f>
        <v>0</v>
      </c>
      <c r="M4734">
        <f>HYPERLINK("https://www.senat.fr/senateur-3eme-republique/goblet_rene1409r3.html", "goblet_rene1409r3")</f>
        <v>0</v>
      </c>
      <c r="N4734">
        <f>HYPERLINK("https://www.wikidata.org/wiki/Q559645", "Q559645")</f>
        <v>0</v>
      </c>
      <c r="O4734" t="s">
        <v>20012</v>
      </c>
      <c r="P4734" t="s">
        <v>20403</v>
      </c>
      <c r="Q4734" t="s">
        <v>11935</v>
      </c>
      <c r="R4734" t="s">
        <v>21493</v>
      </c>
      <c r="S4734">
        <v>1471</v>
      </c>
    </row>
    <row r="4735" spans="1:19">
      <c r="A4735" t="s">
        <v>26</v>
      </c>
      <c r="B4735" t="s">
        <v>148</v>
      </c>
      <c r="C4735" t="s">
        <v>158</v>
      </c>
      <c r="D4735" t="s">
        <v>287</v>
      </c>
      <c r="E4735" t="s">
        <v>416</v>
      </c>
      <c r="F4735">
        <f>HYPERLINK("https://www.wikidata.org/wiki/Q33756209", "Q33756209")</f>
        <v>0</v>
      </c>
      <c r="G4735" t="s">
        <v>3131</v>
      </c>
      <c r="H4735" t="s">
        <v>6475</v>
      </c>
      <c r="I4735" t="s">
        <v>9449</v>
      </c>
      <c r="J4735" t="s">
        <v>13753</v>
      </c>
      <c r="K4735" t="s">
        <v>18130</v>
      </c>
      <c r="L4735">
        <f>HYPERLINK("https://www2.assemblee-nationale.fr/sycomore/fiche/(num_dept)/3599", "3599")</f>
        <v>0</v>
      </c>
      <c r="N4735">
        <f>HYPERLINK("https://www.wikidata.org/wiki/Q16647498", "Q16647498")</f>
        <v>0</v>
      </c>
      <c r="O4735" t="s">
        <v>19973</v>
      </c>
      <c r="Q4735" t="s">
        <v>11935</v>
      </c>
      <c r="R4735" t="s">
        <v>21493</v>
      </c>
      <c r="S4735">
        <v>1471</v>
      </c>
    </row>
    <row r="4736" spans="1:19">
      <c r="A4736" t="s">
        <v>26</v>
      </c>
      <c r="B4736" t="s">
        <v>148</v>
      </c>
      <c r="C4736" t="s">
        <v>158</v>
      </c>
      <c r="D4736" t="s">
        <v>287</v>
      </c>
      <c r="E4736" t="s">
        <v>416</v>
      </c>
      <c r="F4736">
        <f>HYPERLINK("https://www.wikidata.org/wiki/Q33756209", "Q33756209")</f>
        <v>0</v>
      </c>
      <c r="G4736" t="s">
        <v>3075</v>
      </c>
      <c r="H4736" t="s">
        <v>7525</v>
      </c>
      <c r="I4736" t="s">
        <v>9455</v>
      </c>
      <c r="J4736" t="s">
        <v>13699</v>
      </c>
      <c r="K4736" t="s">
        <v>18082</v>
      </c>
      <c r="L4736">
        <f>HYPERLINK("https://www2.assemblee-nationale.fr/sycomore/fiche/(num_dept)/3674", "3674")</f>
        <v>0</v>
      </c>
      <c r="M4736">
        <f>HYPERLINK("https://www.senat.fr/senateur-3eme-republique/guillemaut_lucien1225r3.html", "guillemaut_lucien1225r3")</f>
        <v>0</v>
      </c>
      <c r="N4736">
        <f>HYPERLINK("https://www.wikidata.org/wiki/Q3265536", "Q3265536")</f>
        <v>0</v>
      </c>
      <c r="O4736" t="s">
        <v>19994</v>
      </c>
      <c r="P4736" t="s">
        <v>20459</v>
      </c>
      <c r="Q4736" t="s">
        <v>11935</v>
      </c>
      <c r="R4736" t="s">
        <v>21493</v>
      </c>
      <c r="S4736">
        <v>1471</v>
      </c>
    </row>
    <row r="4737" spans="1:19">
      <c r="A4737" t="s">
        <v>26</v>
      </c>
      <c r="B4737" t="s">
        <v>148</v>
      </c>
      <c r="C4737" t="s">
        <v>158</v>
      </c>
      <c r="D4737" t="s">
        <v>287</v>
      </c>
      <c r="E4737" t="s">
        <v>416</v>
      </c>
      <c r="F4737">
        <f>HYPERLINK("https://www.wikidata.org/wiki/Q33756209", "Q33756209")</f>
        <v>0</v>
      </c>
      <c r="G4737" t="s">
        <v>2597</v>
      </c>
      <c r="H4737" t="s">
        <v>7146</v>
      </c>
      <c r="I4737" t="s">
        <v>6495</v>
      </c>
      <c r="J4737" t="s">
        <v>13240</v>
      </c>
      <c r="K4737" t="s">
        <v>17644</v>
      </c>
      <c r="L4737">
        <f>HYPERLINK("https://www2.assemblee-nationale.fr/sycomore/fiche/(num_dept)/3686", "3686")</f>
        <v>0</v>
      </c>
      <c r="N4737">
        <f>HYPERLINK("https://www.wikidata.org/wiki/Q8310088", "Q8310088")</f>
        <v>0</v>
      </c>
      <c r="O4737" t="s">
        <v>20006</v>
      </c>
      <c r="Q4737" t="s">
        <v>11935</v>
      </c>
      <c r="R4737" t="s">
        <v>21493</v>
      </c>
      <c r="S4737">
        <v>1471</v>
      </c>
    </row>
    <row r="4738" spans="1:19">
      <c r="A4738" t="s">
        <v>26</v>
      </c>
      <c r="B4738" t="s">
        <v>148</v>
      </c>
      <c r="C4738" t="s">
        <v>158</v>
      </c>
      <c r="D4738" t="s">
        <v>287</v>
      </c>
      <c r="E4738" t="s">
        <v>416</v>
      </c>
      <c r="F4738">
        <f>HYPERLINK("https://www.wikidata.org/wiki/Q33756209", "Q33756209")</f>
        <v>0</v>
      </c>
      <c r="G4738" t="s">
        <v>2598</v>
      </c>
      <c r="H4738" t="s">
        <v>7147</v>
      </c>
      <c r="I4738" t="s">
        <v>10304</v>
      </c>
      <c r="J4738" t="s">
        <v>13241</v>
      </c>
      <c r="K4738" t="s">
        <v>17645</v>
      </c>
      <c r="L4738">
        <f>HYPERLINK("https://www2.assemblee-nationale.fr/sycomore/fiche/(num_dept)/3690", "3690")</f>
        <v>0</v>
      </c>
      <c r="N4738">
        <f>HYPERLINK("https://www.wikidata.org/wiki/Q15969562", "Q15969562")</f>
        <v>0</v>
      </c>
      <c r="O4738" t="s">
        <v>19995</v>
      </c>
      <c r="P4738" t="s">
        <v>20464</v>
      </c>
      <c r="Q4738" t="s">
        <v>11935</v>
      </c>
      <c r="R4738" t="s">
        <v>21498</v>
      </c>
      <c r="S4738">
        <v>76</v>
      </c>
    </row>
    <row r="4739" spans="1:19">
      <c r="A4739" t="s">
        <v>26</v>
      </c>
      <c r="B4739" t="s">
        <v>148</v>
      </c>
      <c r="C4739" t="s">
        <v>158</v>
      </c>
      <c r="D4739" t="s">
        <v>287</v>
      </c>
      <c r="E4739" t="s">
        <v>416</v>
      </c>
      <c r="F4739">
        <f>HYPERLINK("https://www.wikidata.org/wiki/Q33756209", "Q33756209")</f>
        <v>0</v>
      </c>
      <c r="G4739" t="s">
        <v>3132</v>
      </c>
      <c r="H4739" t="s">
        <v>7573</v>
      </c>
      <c r="I4739" t="s">
        <v>10650</v>
      </c>
      <c r="J4739" t="s">
        <v>13754</v>
      </c>
      <c r="K4739" t="s">
        <v>18131</v>
      </c>
      <c r="L4739">
        <f>HYPERLINK("https://www2.assemblee-nationale.fr/sycomore/fiche/(num_dept)/3842", "3842")</f>
        <v>0</v>
      </c>
      <c r="N4739">
        <f>HYPERLINK("https://www.wikidata.org/wiki/Q3185218", "Q3185218")</f>
        <v>0</v>
      </c>
      <c r="O4739" t="s">
        <v>19964</v>
      </c>
      <c r="P4739" t="s">
        <v>20460</v>
      </c>
      <c r="Q4739" t="s">
        <v>11935</v>
      </c>
      <c r="R4739" t="s">
        <v>21493</v>
      </c>
      <c r="S4739">
        <v>1471</v>
      </c>
    </row>
    <row r="4740" spans="1:19">
      <c r="A4740" t="s">
        <v>26</v>
      </c>
      <c r="B4740" t="s">
        <v>148</v>
      </c>
      <c r="C4740" t="s">
        <v>158</v>
      </c>
      <c r="D4740" t="s">
        <v>287</v>
      </c>
      <c r="E4740" t="s">
        <v>416</v>
      </c>
      <c r="F4740">
        <f>HYPERLINK("https://www.wikidata.org/wiki/Q33756209", "Q33756209")</f>
        <v>0</v>
      </c>
      <c r="G4740" t="s">
        <v>2599</v>
      </c>
      <c r="H4740" t="s">
        <v>7148</v>
      </c>
      <c r="I4740" t="s">
        <v>9788</v>
      </c>
      <c r="J4740" t="s">
        <v>13242</v>
      </c>
      <c r="K4740" t="s">
        <v>17646</v>
      </c>
      <c r="L4740">
        <f>HYPERLINK("https://www2.assemblee-nationale.fr/sycomore/fiche/(num_dept)/3861", "3861")</f>
        <v>0</v>
      </c>
      <c r="N4740">
        <f>HYPERLINK("https://www.wikidata.org/wiki/Q3188346", "Q3188346")</f>
        <v>0</v>
      </c>
      <c r="O4740" t="s">
        <v>19988</v>
      </c>
      <c r="P4740" t="s">
        <v>20459</v>
      </c>
      <c r="Q4740" t="s">
        <v>11935</v>
      </c>
      <c r="R4740" t="s">
        <v>21493</v>
      </c>
      <c r="S4740">
        <v>1471</v>
      </c>
    </row>
    <row r="4741" spans="1:19">
      <c r="A4741" t="s">
        <v>26</v>
      </c>
      <c r="B4741" t="s">
        <v>148</v>
      </c>
      <c r="C4741" t="s">
        <v>158</v>
      </c>
      <c r="D4741" t="s">
        <v>287</v>
      </c>
      <c r="E4741" t="s">
        <v>416</v>
      </c>
      <c r="F4741">
        <f>HYPERLINK("https://www.wikidata.org/wiki/Q33756209", "Q33756209")</f>
        <v>0</v>
      </c>
      <c r="G4741" t="s">
        <v>3133</v>
      </c>
      <c r="H4741" t="s">
        <v>7574</v>
      </c>
      <c r="I4741" t="s">
        <v>10651</v>
      </c>
      <c r="J4741" t="s">
        <v>13755</v>
      </c>
      <c r="K4741" t="s">
        <v>18132</v>
      </c>
      <c r="L4741">
        <f>HYPERLINK("https://www2.assemblee-nationale.fr/sycomore/fiche/(num_dept)/3882", "3882")</f>
        <v>0</v>
      </c>
      <c r="N4741">
        <f>HYPERLINK("https://www.wikidata.org/wiki/Q16025854", "Q16025854")</f>
        <v>0</v>
      </c>
      <c r="O4741" t="s">
        <v>19976</v>
      </c>
      <c r="Q4741" t="s">
        <v>11935</v>
      </c>
      <c r="R4741" t="s">
        <v>21493</v>
      </c>
      <c r="S4741">
        <v>1471</v>
      </c>
    </row>
    <row r="4742" spans="1:19">
      <c r="A4742" t="s">
        <v>26</v>
      </c>
      <c r="B4742" t="s">
        <v>148</v>
      </c>
      <c r="C4742" t="s">
        <v>158</v>
      </c>
      <c r="D4742" t="s">
        <v>287</v>
      </c>
      <c r="E4742" t="s">
        <v>416</v>
      </c>
      <c r="F4742">
        <f>HYPERLINK("https://www.wikidata.org/wiki/Q33756209", "Q33756209")</f>
        <v>0</v>
      </c>
      <c r="G4742" t="s">
        <v>3134</v>
      </c>
      <c r="H4742" t="s">
        <v>7575</v>
      </c>
      <c r="I4742" t="s">
        <v>10652</v>
      </c>
      <c r="J4742" t="s">
        <v>13756</v>
      </c>
      <c r="K4742" t="s">
        <v>18133</v>
      </c>
      <c r="L4742">
        <f>HYPERLINK("https://www2.assemblee-nationale.fr/sycomore/fiche/(num_dept)/3909", "3909")</f>
        <v>0</v>
      </c>
      <c r="N4742">
        <f>HYPERLINK("https://www.wikidata.org/wiki/Q16025860", "Q16025860")</f>
        <v>0</v>
      </c>
      <c r="O4742" t="s">
        <v>20026</v>
      </c>
      <c r="P4742" t="s">
        <v>20401</v>
      </c>
      <c r="Q4742" t="s">
        <v>11935</v>
      </c>
      <c r="R4742" t="s">
        <v>21493</v>
      </c>
      <c r="S4742">
        <v>1471</v>
      </c>
    </row>
    <row r="4743" spans="1:19">
      <c r="A4743" t="s">
        <v>26</v>
      </c>
      <c r="B4743" t="s">
        <v>148</v>
      </c>
      <c r="C4743" t="s">
        <v>158</v>
      </c>
      <c r="D4743" t="s">
        <v>287</v>
      </c>
      <c r="E4743" t="s">
        <v>416</v>
      </c>
      <c r="F4743">
        <f>HYPERLINK("https://www.wikidata.org/wiki/Q33756209", "Q33756209")</f>
        <v>0</v>
      </c>
      <c r="G4743" t="s">
        <v>690</v>
      </c>
      <c r="H4743" t="s">
        <v>5448</v>
      </c>
      <c r="I4743" t="s">
        <v>6200</v>
      </c>
      <c r="J4743" t="s">
        <v>11440</v>
      </c>
      <c r="K4743" t="s">
        <v>15841</v>
      </c>
      <c r="L4743">
        <f>HYPERLINK("https://www2.assemblee-nationale.fr/sycomore/fiche/(num_dept)/4011", "4011")</f>
        <v>0</v>
      </c>
      <c r="N4743">
        <f>HYPERLINK("https://www.wikidata.org/wiki/Q12688", "Q12688")</f>
        <v>0</v>
      </c>
      <c r="O4743" t="s">
        <v>19962</v>
      </c>
      <c r="Q4743" t="s">
        <v>11935</v>
      </c>
      <c r="R4743" t="s">
        <v>21493</v>
      </c>
      <c r="S4743">
        <v>1471</v>
      </c>
    </row>
    <row r="4744" spans="1:19">
      <c r="A4744" t="s">
        <v>26</v>
      </c>
      <c r="B4744" t="s">
        <v>148</v>
      </c>
      <c r="C4744" t="s">
        <v>158</v>
      </c>
      <c r="D4744" t="s">
        <v>287</v>
      </c>
      <c r="E4744" t="s">
        <v>416</v>
      </c>
      <c r="F4744">
        <f>HYPERLINK("https://www.wikidata.org/wiki/Q33756209", "Q33756209")</f>
        <v>0</v>
      </c>
      <c r="G4744" t="s">
        <v>2601</v>
      </c>
      <c r="H4744" t="s">
        <v>7150</v>
      </c>
      <c r="I4744" t="s">
        <v>6860</v>
      </c>
      <c r="J4744" t="s">
        <v>13244</v>
      </c>
      <c r="K4744" t="s">
        <v>17647</v>
      </c>
      <c r="L4744">
        <f>HYPERLINK("https://www2.assemblee-nationale.fr/sycomore/fiche/(num_dept)/4036", "4036")</f>
        <v>0</v>
      </c>
      <c r="M4744">
        <f>HYPERLINK("https://www.senat.fr/senateur-3eme-republique/joigneaux_pierre0546r3.html", "joigneaux_pierre0546r3")</f>
        <v>0</v>
      </c>
      <c r="N4744">
        <f>HYPERLINK("https://www.wikidata.org/wiki/Q3385603", "Q3385603")</f>
        <v>0</v>
      </c>
      <c r="O4744" t="s">
        <v>20002</v>
      </c>
      <c r="P4744" t="s">
        <v>20459</v>
      </c>
      <c r="Q4744" t="s">
        <v>11935</v>
      </c>
      <c r="R4744" t="s">
        <v>21493</v>
      </c>
      <c r="S4744">
        <v>1471</v>
      </c>
    </row>
    <row r="4745" spans="1:19">
      <c r="A4745" t="s">
        <v>26</v>
      </c>
      <c r="B4745" t="s">
        <v>148</v>
      </c>
      <c r="C4745" t="s">
        <v>158</v>
      </c>
      <c r="D4745" t="s">
        <v>287</v>
      </c>
      <c r="E4745" t="s">
        <v>416</v>
      </c>
      <c r="F4745">
        <f>HYPERLINK("https://www.wikidata.org/wiki/Q33756209", "Q33756209")</f>
        <v>0</v>
      </c>
      <c r="G4745" t="s">
        <v>2603</v>
      </c>
      <c r="H4745" t="s">
        <v>7152</v>
      </c>
      <c r="I4745" t="s">
        <v>10306</v>
      </c>
      <c r="J4745" t="s">
        <v>13246</v>
      </c>
      <c r="K4745" t="s">
        <v>17649</v>
      </c>
      <c r="L4745">
        <f>HYPERLINK("https://www2.assemblee-nationale.fr/sycomore/fiche/(num_dept)/4091", "4091")</f>
        <v>0</v>
      </c>
      <c r="M4745">
        <f>HYPERLINK("https://www.senat.fr/senateur-3eme-republique/leclerc_de_juigne_charles1283r3.html", "leclerc_de_juigne_charles1283r3")</f>
        <v>0</v>
      </c>
      <c r="N4745">
        <f>HYPERLINK("https://www.wikidata.org/wiki/Q2960767", "Q2960767")</f>
        <v>0</v>
      </c>
      <c r="O4745" t="s">
        <v>20023</v>
      </c>
      <c r="P4745" t="s">
        <v>20460</v>
      </c>
      <c r="Q4745" t="s">
        <v>11935</v>
      </c>
      <c r="R4745" t="s">
        <v>21493</v>
      </c>
      <c r="S4745">
        <v>1471</v>
      </c>
    </row>
    <row r="4746" spans="1:19">
      <c r="A4746" t="s">
        <v>26</v>
      </c>
      <c r="B4746" t="s">
        <v>148</v>
      </c>
      <c r="C4746" t="s">
        <v>158</v>
      </c>
      <c r="D4746" t="s">
        <v>287</v>
      </c>
      <c r="E4746" t="s">
        <v>416</v>
      </c>
      <c r="F4746">
        <f>HYPERLINK("https://www.wikidata.org/wiki/Q33756209", "Q33756209")</f>
        <v>0</v>
      </c>
      <c r="G4746" t="s">
        <v>2604</v>
      </c>
      <c r="H4746" t="s">
        <v>7153</v>
      </c>
      <c r="I4746" t="s">
        <v>10307</v>
      </c>
      <c r="J4746" t="s">
        <v>13247</v>
      </c>
      <c r="K4746" t="s">
        <v>16045</v>
      </c>
      <c r="L4746">
        <f>HYPERLINK("https://www2.assemblee-nationale.fr/sycomore/fiche/(num_dept)/4099", "4099")</f>
        <v>0</v>
      </c>
      <c r="N4746">
        <f>HYPERLINK("https://www.wikidata.org/wiki/Q16025887", "Q16025887")</f>
        <v>0</v>
      </c>
      <c r="O4746" t="s">
        <v>20039</v>
      </c>
      <c r="P4746" t="s">
        <v>20401</v>
      </c>
      <c r="Q4746" t="s">
        <v>11935</v>
      </c>
      <c r="R4746" t="s">
        <v>21493</v>
      </c>
      <c r="S4746">
        <v>1471</v>
      </c>
    </row>
    <row r="4747" spans="1:19">
      <c r="A4747" t="s">
        <v>26</v>
      </c>
      <c r="B4747" t="s">
        <v>148</v>
      </c>
      <c r="C4747" t="s">
        <v>158</v>
      </c>
      <c r="D4747" t="s">
        <v>287</v>
      </c>
      <c r="E4747" t="s">
        <v>416</v>
      </c>
      <c r="F4747">
        <f>HYPERLINK("https://www.wikidata.org/wiki/Q33756209", "Q33756209")</f>
        <v>0</v>
      </c>
      <c r="G4747" t="s">
        <v>3135</v>
      </c>
      <c r="H4747" t="s">
        <v>7576</v>
      </c>
      <c r="I4747" t="s">
        <v>9603</v>
      </c>
      <c r="J4747" t="s">
        <v>13757</v>
      </c>
      <c r="K4747" t="s">
        <v>18134</v>
      </c>
      <c r="L4747">
        <f>HYPERLINK("https://www2.assemblee-nationale.fr/sycomore/fiche/(num_dept)/4125", "4125")</f>
        <v>0</v>
      </c>
      <c r="N4747">
        <f>HYPERLINK("https://www.wikidata.org/wiki/Q2959750", "Q2959750")</f>
        <v>0</v>
      </c>
      <c r="O4747" t="s">
        <v>19964</v>
      </c>
      <c r="P4747" t="s">
        <v>20460</v>
      </c>
      <c r="Q4747" t="s">
        <v>11935</v>
      </c>
      <c r="R4747" t="s">
        <v>21493</v>
      </c>
      <c r="S4747">
        <v>1471</v>
      </c>
    </row>
    <row r="4748" spans="1:19">
      <c r="A4748" t="s">
        <v>26</v>
      </c>
      <c r="B4748" t="s">
        <v>148</v>
      </c>
      <c r="C4748" t="s">
        <v>158</v>
      </c>
      <c r="D4748" t="s">
        <v>287</v>
      </c>
      <c r="E4748" t="s">
        <v>416</v>
      </c>
      <c r="F4748">
        <f>HYPERLINK("https://www.wikidata.org/wiki/Q33756209", "Q33756209")</f>
        <v>0</v>
      </c>
      <c r="G4748" t="s">
        <v>2605</v>
      </c>
      <c r="H4748" t="s">
        <v>7154</v>
      </c>
      <c r="I4748" t="s">
        <v>10308</v>
      </c>
      <c r="J4748" t="s">
        <v>13248</v>
      </c>
      <c r="K4748" t="s">
        <v>17650</v>
      </c>
      <c r="L4748">
        <f>HYPERLINK("https://www2.assemblee-nationale.fr/sycomore/fiche/(num_dept)/4131", "4131")</f>
        <v>0</v>
      </c>
      <c r="N4748">
        <f>HYPERLINK("https://www.wikidata.org/wiki/Q3588415", "Q3588415")</f>
        <v>0</v>
      </c>
      <c r="O4748" t="s">
        <v>20011</v>
      </c>
      <c r="P4748" t="s">
        <v>20460</v>
      </c>
      <c r="Q4748" t="s">
        <v>11935</v>
      </c>
      <c r="R4748" t="s">
        <v>21493</v>
      </c>
      <c r="S4748">
        <v>1471</v>
      </c>
    </row>
    <row r="4749" spans="1:19">
      <c r="A4749" t="s">
        <v>26</v>
      </c>
      <c r="B4749" t="s">
        <v>148</v>
      </c>
      <c r="C4749" t="s">
        <v>158</v>
      </c>
      <c r="D4749" t="s">
        <v>287</v>
      </c>
      <c r="E4749" t="s">
        <v>416</v>
      </c>
      <c r="F4749">
        <f>HYPERLINK("https://www.wikidata.org/wiki/Q33756209", "Q33756209")</f>
        <v>0</v>
      </c>
      <c r="G4749" t="s">
        <v>3136</v>
      </c>
      <c r="H4749" t="s">
        <v>7577</v>
      </c>
      <c r="I4749" t="s">
        <v>9756</v>
      </c>
      <c r="J4749" t="s">
        <v>13758</v>
      </c>
      <c r="K4749" t="s">
        <v>18135</v>
      </c>
      <c r="L4749">
        <f>HYPERLINK("https://www2.assemblee-nationale.fr/sycomore/fiche/(num_dept)/4135", "4135")</f>
        <v>0</v>
      </c>
      <c r="N4749">
        <f>HYPERLINK("https://www.wikidata.org/wiki/Q3262370", "Q3262370")</f>
        <v>0</v>
      </c>
      <c r="O4749" t="s">
        <v>20011</v>
      </c>
      <c r="P4749" t="s">
        <v>20460</v>
      </c>
      <c r="Q4749" t="s">
        <v>11935</v>
      </c>
      <c r="R4749" t="s">
        <v>21493</v>
      </c>
      <c r="S4749">
        <v>1471</v>
      </c>
    </row>
    <row r="4750" spans="1:19">
      <c r="A4750" t="s">
        <v>26</v>
      </c>
      <c r="B4750" t="s">
        <v>148</v>
      </c>
      <c r="C4750" t="s">
        <v>158</v>
      </c>
      <c r="D4750" t="s">
        <v>287</v>
      </c>
      <c r="E4750" t="s">
        <v>416</v>
      </c>
      <c r="F4750">
        <f>HYPERLINK("https://www.wikidata.org/wiki/Q33756209", "Q33756209")</f>
        <v>0</v>
      </c>
      <c r="G4750" t="s">
        <v>3137</v>
      </c>
      <c r="H4750" t="s">
        <v>6856</v>
      </c>
      <c r="I4750" t="s">
        <v>10653</v>
      </c>
      <c r="J4750" t="s">
        <v>13759</v>
      </c>
      <c r="K4750" t="s">
        <v>18136</v>
      </c>
      <c r="L4750">
        <f>HYPERLINK("https://www2.assemblee-nationale.fr/sycomore/fiche/(num_dept)/4165", "4165")</f>
        <v>0</v>
      </c>
      <c r="N4750">
        <f>HYPERLINK("https://www.wikidata.org/wiki/Q3436746", "Q3436746")</f>
        <v>0</v>
      </c>
      <c r="O4750" t="s">
        <v>19989</v>
      </c>
      <c r="Q4750" t="s">
        <v>11935</v>
      </c>
      <c r="R4750" t="s">
        <v>21493</v>
      </c>
      <c r="S4750">
        <v>1471</v>
      </c>
    </row>
    <row r="4751" spans="1:19">
      <c r="A4751" t="s">
        <v>26</v>
      </c>
      <c r="B4751" t="s">
        <v>148</v>
      </c>
      <c r="C4751" t="s">
        <v>158</v>
      </c>
      <c r="D4751" t="s">
        <v>287</v>
      </c>
      <c r="E4751" t="s">
        <v>416</v>
      </c>
      <c r="F4751">
        <f>HYPERLINK("https://www.wikidata.org/wiki/Q33756209", "Q33756209")</f>
        <v>0</v>
      </c>
      <c r="G4751" t="s">
        <v>699</v>
      </c>
      <c r="H4751" t="s">
        <v>5457</v>
      </c>
      <c r="I4751" t="s">
        <v>9376</v>
      </c>
      <c r="J4751" t="s">
        <v>11449</v>
      </c>
      <c r="K4751" t="s">
        <v>15850</v>
      </c>
      <c r="L4751">
        <f>HYPERLINK("https://www2.assemblee-nationale.fr/sycomore/fiche/(num_dept)/4171", "4171")</f>
        <v>0</v>
      </c>
      <c r="M4751">
        <f>HYPERLINK("https://www.senat.fr/senateur-3eme-republique/de_la_batut_ferdinand0668r3.html", "de_la_batut_ferdinand0668r3")</f>
        <v>0</v>
      </c>
      <c r="N4751">
        <f>HYPERLINK("https://www.wikidata.org/wiki/Q3068680", "Q3068680")</f>
        <v>0</v>
      </c>
      <c r="O4751" t="s">
        <v>20010</v>
      </c>
      <c r="P4751" t="s">
        <v>20459</v>
      </c>
      <c r="Q4751" t="s">
        <v>11935</v>
      </c>
      <c r="R4751" t="s">
        <v>21493</v>
      </c>
      <c r="S4751">
        <v>1471</v>
      </c>
    </row>
    <row r="4752" spans="1:19">
      <c r="A4752" t="s">
        <v>26</v>
      </c>
      <c r="B4752" t="s">
        <v>148</v>
      </c>
      <c r="C4752" t="s">
        <v>158</v>
      </c>
      <c r="D4752" t="s">
        <v>287</v>
      </c>
      <c r="E4752" t="s">
        <v>416</v>
      </c>
      <c r="F4752">
        <f>HYPERLINK("https://www.wikidata.org/wiki/Q33756209", "Q33756209")</f>
        <v>0</v>
      </c>
      <c r="G4752" t="s">
        <v>3071</v>
      </c>
      <c r="H4752" t="s">
        <v>7522</v>
      </c>
      <c r="I4752" t="s">
        <v>9500</v>
      </c>
      <c r="J4752" t="s">
        <v>13695</v>
      </c>
      <c r="K4752" t="s">
        <v>18078</v>
      </c>
      <c r="L4752">
        <f>HYPERLINK("https://www2.assemblee-nationale.fr/sycomore/fiche/(num_dept)/4172", "4172")</f>
        <v>0</v>
      </c>
      <c r="M4752">
        <f>HYPERLINK("https://www.senat.fr/senateur-3eme-republique/de_la_bourdonnaye_raoul1062r3.html", "de_la_bourdonnaye_raoul1062r3")</f>
        <v>0</v>
      </c>
      <c r="N4752">
        <f>HYPERLINK("https://www.wikidata.org/wiki/Q3292518", "Q3292518")</f>
        <v>0</v>
      </c>
      <c r="O4752" t="s">
        <v>19980</v>
      </c>
      <c r="Q4752" t="s">
        <v>11935</v>
      </c>
      <c r="R4752" t="s">
        <v>21493</v>
      </c>
      <c r="S4752">
        <v>1471</v>
      </c>
    </row>
    <row r="4753" spans="1:19">
      <c r="A4753" t="s">
        <v>26</v>
      </c>
      <c r="B4753" t="s">
        <v>148</v>
      </c>
      <c r="C4753" t="s">
        <v>158</v>
      </c>
      <c r="D4753" t="s">
        <v>287</v>
      </c>
      <c r="E4753" t="s">
        <v>416</v>
      </c>
      <c r="F4753">
        <f>HYPERLINK("https://www.wikidata.org/wiki/Q33756209", "Q33756209")</f>
        <v>0</v>
      </c>
      <c r="G4753" t="s">
        <v>3138</v>
      </c>
      <c r="H4753" t="s">
        <v>5458</v>
      </c>
      <c r="I4753" t="s">
        <v>10654</v>
      </c>
      <c r="J4753" t="s">
        <v>13760</v>
      </c>
      <c r="K4753" t="s">
        <v>18137</v>
      </c>
      <c r="L4753">
        <f>HYPERLINK("https://www2.assemblee-nationale.fr/sycomore/fiche/(num_dept)/4178", "4178")</f>
        <v>0</v>
      </c>
      <c r="N4753">
        <f>HYPERLINK("https://www.wikidata.org/wiki/Q3131569", "Q3131569")</f>
        <v>0</v>
      </c>
      <c r="O4753" t="s">
        <v>20023</v>
      </c>
      <c r="P4753" t="s">
        <v>20460</v>
      </c>
      <c r="Q4753" t="s">
        <v>11935</v>
      </c>
      <c r="R4753" t="s">
        <v>21493</v>
      </c>
      <c r="S4753">
        <v>1471</v>
      </c>
    </row>
    <row r="4754" spans="1:19">
      <c r="A4754" t="s">
        <v>26</v>
      </c>
      <c r="B4754" t="s">
        <v>148</v>
      </c>
      <c r="C4754" t="s">
        <v>158</v>
      </c>
      <c r="D4754" t="s">
        <v>287</v>
      </c>
      <c r="E4754" t="s">
        <v>416</v>
      </c>
      <c r="F4754">
        <f>HYPERLINK("https://www.wikidata.org/wiki/Q33756209", "Q33756209")</f>
        <v>0</v>
      </c>
      <c r="G4754" t="s">
        <v>3139</v>
      </c>
      <c r="H4754" t="s">
        <v>7578</v>
      </c>
      <c r="I4754" t="s">
        <v>10655</v>
      </c>
      <c r="J4754" t="s">
        <v>13761</v>
      </c>
      <c r="K4754" t="s">
        <v>18138</v>
      </c>
      <c r="L4754">
        <f>HYPERLINK("https://www2.assemblee-nationale.fr/sycomore/fiche/(num_dept)/4179", "4179")</f>
        <v>0</v>
      </c>
      <c r="N4754">
        <f>HYPERLINK("https://www.wikidata.org/wiki/Q3580045", "Q3580045")</f>
        <v>0</v>
      </c>
      <c r="O4754" t="s">
        <v>19985</v>
      </c>
      <c r="P4754" t="s">
        <v>20460</v>
      </c>
      <c r="Q4754" t="s">
        <v>11935</v>
      </c>
      <c r="R4754" t="s">
        <v>21493</v>
      </c>
      <c r="S4754">
        <v>1471</v>
      </c>
    </row>
    <row r="4755" spans="1:19">
      <c r="A4755" t="s">
        <v>26</v>
      </c>
      <c r="B4755" t="s">
        <v>148</v>
      </c>
      <c r="C4755" t="s">
        <v>158</v>
      </c>
      <c r="D4755" t="s">
        <v>287</v>
      </c>
      <c r="E4755" t="s">
        <v>416</v>
      </c>
      <c r="F4755">
        <f>HYPERLINK("https://www.wikidata.org/wiki/Q33756209", "Q33756209")</f>
        <v>0</v>
      </c>
      <c r="G4755" t="s">
        <v>2606</v>
      </c>
      <c r="H4755" t="s">
        <v>7155</v>
      </c>
      <c r="I4755" t="s">
        <v>9440</v>
      </c>
      <c r="J4755" t="s">
        <v>13249</v>
      </c>
      <c r="K4755" t="s">
        <v>17651</v>
      </c>
      <c r="L4755">
        <f>HYPERLINK("https://www2.assemblee-nationale.fr/sycomore/fiche/(num_dept)/4183", "4183")</f>
        <v>0</v>
      </c>
      <c r="N4755">
        <f>HYPERLINK("https://www.wikidata.org/wiki/Q2844734", "Q2844734")</f>
        <v>0</v>
      </c>
      <c r="O4755" t="s">
        <v>20021</v>
      </c>
      <c r="P4755" t="s">
        <v>20459</v>
      </c>
      <c r="Q4755" t="s">
        <v>11935</v>
      </c>
      <c r="R4755" t="s">
        <v>21493</v>
      </c>
      <c r="S4755">
        <v>1471</v>
      </c>
    </row>
    <row r="4756" spans="1:19">
      <c r="A4756" t="s">
        <v>26</v>
      </c>
      <c r="B4756" t="s">
        <v>148</v>
      </c>
      <c r="C4756" t="s">
        <v>158</v>
      </c>
      <c r="D4756" t="s">
        <v>287</v>
      </c>
      <c r="E4756" t="s">
        <v>416</v>
      </c>
      <c r="F4756">
        <f>HYPERLINK("https://www.wikidata.org/wiki/Q33756209", "Q33756209")</f>
        <v>0</v>
      </c>
      <c r="G4756" t="s">
        <v>1509</v>
      </c>
      <c r="H4756" t="s">
        <v>6206</v>
      </c>
      <c r="I4756" t="s">
        <v>9376</v>
      </c>
      <c r="J4756" t="s">
        <v>12227</v>
      </c>
      <c r="K4756" t="s">
        <v>16632</v>
      </c>
      <c r="L4756">
        <f>HYPERLINK("https://www2.assemblee-nationale.fr/sycomore/fiche/(num_dept)/4185", "4185")</f>
        <v>0</v>
      </c>
      <c r="M4756">
        <f>HYPERLINK("https://www.senat.fr/senateur-3eme-republique/baston_de_la_riboisiere_ferdinand0556r3.html", "baston_de_la_riboisiere_ferdinand0556r3")</f>
        <v>0</v>
      </c>
      <c r="N4756">
        <f>HYPERLINK("https://www.wikidata.org/wiki/Q3068526", "Q3068526")</f>
        <v>0</v>
      </c>
      <c r="O4756" t="s">
        <v>19998</v>
      </c>
      <c r="Q4756" t="s">
        <v>11935</v>
      </c>
      <c r="R4756" t="s">
        <v>21501</v>
      </c>
      <c r="S4756">
        <v>39</v>
      </c>
    </row>
    <row r="4757" spans="1:19">
      <c r="A4757" t="s">
        <v>26</v>
      </c>
      <c r="B4757" t="s">
        <v>148</v>
      </c>
      <c r="C4757" t="s">
        <v>158</v>
      </c>
      <c r="D4757" t="s">
        <v>287</v>
      </c>
      <c r="E4757" t="s">
        <v>416</v>
      </c>
      <c r="F4757">
        <f>HYPERLINK("https://www.wikidata.org/wiki/Q33756209", "Q33756209")</f>
        <v>0</v>
      </c>
      <c r="G4757" t="s">
        <v>2607</v>
      </c>
      <c r="H4757" t="s">
        <v>7156</v>
      </c>
      <c r="I4757" t="s">
        <v>10309</v>
      </c>
      <c r="J4757" t="s">
        <v>13250</v>
      </c>
      <c r="K4757" t="s">
        <v>17652</v>
      </c>
      <c r="L4757">
        <f>HYPERLINK("https://www2.assemblee-nationale.fr/sycomore/fiche/(num_dept)/4186", "4186")</f>
        <v>0</v>
      </c>
      <c r="N4757">
        <f>HYPERLINK("https://www.wikidata.org/wiki/Q3491366", "Q3491366")</f>
        <v>0</v>
      </c>
      <c r="O4757" t="s">
        <v>19956</v>
      </c>
      <c r="P4757" t="s">
        <v>20460</v>
      </c>
      <c r="Q4757" t="s">
        <v>11935</v>
      </c>
      <c r="R4757" t="s">
        <v>21493</v>
      </c>
      <c r="S4757">
        <v>1471</v>
      </c>
    </row>
    <row r="4758" spans="1:19">
      <c r="A4758" t="s">
        <v>26</v>
      </c>
      <c r="B4758" t="s">
        <v>148</v>
      </c>
      <c r="C4758" t="s">
        <v>158</v>
      </c>
      <c r="D4758" t="s">
        <v>287</v>
      </c>
      <c r="E4758" t="s">
        <v>416</v>
      </c>
      <c r="F4758">
        <f>HYPERLINK("https://www.wikidata.org/wiki/Q33756209", "Q33756209")</f>
        <v>0</v>
      </c>
      <c r="G4758" t="s">
        <v>2609</v>
      </c>
      <c r="H4758" t="s">
        <v>7158</v>
      </c>
      <c r="I4758" t="s">
        <v>10311</v>
      </c>
      <c r="J4758" t="s">
        <v>13252</v>
      </c>
      <c r="K4758" t="s">
        <v>17654</v>
      </c>
      <c r="L4758">
        <f>HYPERLINK("https://www2.assemblee-nationale.fr/sycomore/fiche/(num_dept)/4195", "4195")</f>
        <v>0</v>
      </c>
      <c r="N4758">
        <f>HYPERLINK("https://www.wikidata.org/wiki/Q15264150", "Q15264150")</f>
        <v>0</v>
      </c>
      <c r="O4758" t="s">
        <v>19970</v>
      </c>
      <c r="P4758" t="s">
        <v>20468</v>
      </c>
      <c r="Q4758" t="s">
        <v>11935</v>
      </c>
      <c r="R4758" t="s">
        <v>21493</v>
      </c>
      <c r="S4758">
        <v>1471</v>
      </c>
    </row>
    <row r="4759" spans="1:19">
      <c r="A4759" t="s">
        <v>26</v>
      </c>
      <c r="B4759" t="s">
        <v>148</v>
      </c>
      <c r="C4759" t="s">
        <v>158</v>
      </c>
      <c r="D4759" t="s">
        <v>287</v>
      </c>
      <c r="E4759" t="s">
        <v>416</v>
      </c>
      <c r="F4759">
        <f>HYPERLINK("https://www.wikidata.org/wiki/Q33756209", "Q33756209")</f>
        <v>0</v>
      </c>
      <c r="G4759" t="s">
        <v>3067</v>
      </c>
      <c r="H4759" t="s">
        <v>7519</v>
      </c>
      <c r="I4759" t="s">
        <v>10607</v>
      </c>
      <c r="J4759" t="s">
        <v>13691</v>
      </c>
      <c r="K4759" t="s">
        <v>18074</v>
      </c>
      <c r="L4759">
        <f>HYPERLINK("https://www2.assemblee-nationale.fr/sycomore/fiche/(num_dept)/4209", "4209")</f>
        <v>0</v>
      </c>
      <c r="M4759">
        <f>HYPERLINK("https://www.senat.fr/senateur-3eme-republique/labrousse_philippe0456r3.html", "labrousse_philippe0456r3")</f>
        <v>0</v>
      </c>
      <c r="N4759">
        <f>HYPERLINK("https://www.wikidata.org/wiki/Q3380114", "Q3380114")</f>
        <v>0</v>
      </c>
      <c r="O4759" t="s">
        <v>20020</v>
      </c>
      <c r="P4759" t="s">
        <v>20401</v>
      </c>
      <c r="Q4759" t="s">
        <v>11935</v>
      </c>
      <c r="R4759" t="s">
        <v>21493</v>
      </c>
      <c r="S4759">
        <v>1471</v>
      </c>
    </row>
    <row r="4760" spans="1:19">
      <c r="A4760" t="s">
        <v>26</v>
      </c>
      <c r="B4760" t="s">
        <v>148</v>
      </c>
      <c r="C4760" t="s">
        <v>158</v>
      </c>
      <c r="D4760" t="s">
        <v>287</v>
      </c>
      <c r="E4760" t="s">
        <v>416</v>
      </c>
      <c r="F4760">
        <f>HYPERLINK("https://www.wikidata.org/wiki/Q33756209", "Q33756209")</f>
        <v>0</v>
      </c>
      <c r="G4760" t="s">
        <v>2610</v>
      </c>
      <c r="H4760" t="s">
        <v>7159</v>
      </c>
      <c r="I4760" t="s">
        <v>9426</v>
      </c>
      <c r="J4760" t="s">
        <v>13253</v>
      </c>
      <c r="K4760" t="s">
        <v>17655</v>
      </c>
      <c r="L4760">
        <f>HYPERLINK("https://www2.assemblee-nationale.fr/sycomore/fiche/(num_dept)/4210", "4210")</f>
        <v>0</v>
      </c>
      <c r="N4760">
        <f>HYPERLINK("https://www.wikidata.org/wiki/Q16025907", "Q16025907")</f>
        <v>0</v>
      </c>
      <c r="O4760" t="s">
        <v>19999</v>
      </c>
      <c r="P4760" t="s">
        <v>20403</v>
      </c>
      <c r="Q4760" t="s">
        <v>11935</v>
      </c>
      <c r="R4760" t="s">
        <v>21493</v>
      </c>
      <c r="S4760">
        <v>1471</v>
      </c>
    </row>
    <row r="4761" spans="1:19">
      <c r="A4761" t="s">
        <v>26</v>
      </c>
      <c r="B4761" t="s">
        <v>148</v>
      </c>
      <c r="C4761" t="s">
        <v>158</v>
      </c>
      <c r="D4761" t="s">
        <v>287</v>
      </c>
      <c r="E4761" t="s">
        <v>416</v>
      </c>
      <c r="F4761">
        <f>HYPERLINK("https://www.wikidata.org/wiki/Q33756209", "Q33756209")</f>
        <v>0</v>
      </c>
      <c r="G4761" t="s">
        <v>2614</v>
      </c>
      <c r="H4761" t="s">
        <v>7163</v>
      </c>
      <c r="I4761" t="s">
        <v>10315</v>
      </c>
      <c r="J4761" t="s">
        <v>13257</v>
      </c>
      <c r="K4761" t="s">
        <v>17659</v>
      </c>
      <c r="L4761">
        <f>HYPERLINK("https://www2.assemblee-nationale.fr/sycomore/fiche/(num_dept)/4281", "4281")</f>
        <v>0</v>
      </c>
      <c r="N4761">
        <f>HYPERLINK("https://www.wikidata.org/wiki/Q25318", "Q25318")</f>
        <v>0</v>
      </c>
      <c r="O4761" t="s">
        <v>19969</v>
      </c>
      <c r="P4761" t="s">
        <v>20401</v>
      </c>
      <c r="Q4761" t="s">
        <v>11935</v>
      </c>
      <c r="R4761" t="s">
        <v>21493</v>
      </c>
      <c r="S4761">
        <v>1471</v>
      </c>
    </row>
    <row r="4762" spans="1:19">
      <c r="A4762" t="s">
        <v>26</v>
      </c>
      <c r="B4762" t="s">
        <v>148</v>
      </c>
      <c r="C4762" t="s">
        <v>158</v>
      </c>
      <c r="D4762" t="s">
        <v>287</v>
      </c>
      <c r="E4762" t="s">
        <v>416</v>
      </c>
      <c r="F4762">
        <f>HYPERLINK("https://www.wikidata.org/wiki/Q33756209", "Q33756209")</f>
        <v>0</v>
      </c>
      <c r="G4762" t="s">
        <v>3140</v>
      </c>
      <c r="H4762" t="s">
        <v>7579</v>
      </c>
      <c r="I4762" t="s">
        <v>9421</v>
      </c>
      <c r="J4762" t="s">
        <v>13762</v>
      </c>
      <c r="K4762" t="s">
        <v>18139</v>
      </c>
      <c r="L4762">
        <f>HYPERLINK("https://www2.assemblee-nationale.fr/sycomore/fiche/(num_dept)/4298", "4298")</f>
        <v>0</v>
      </c>
      <c r="M4762">
        <f>HYPERLINK("https://www.senat.fr/senateur-3eme-republique/de_lamarzelle_gustave0902r3.html", "de_lamarzelle_gustave0902r3")</f>
        <v>0</v>
      </c>
      <c r="N4762">
        <f>HYPERLINK("https://www.wikidata.org/wiki/Q3121364", "Q3121364")</f>
        <v>0</v>
      </c>
      <c r="O4762" t="s">
        <v>19961</v>
      </c>
      <c r="P4762" t="s">
        <v>20460</v>
      </c>
      <c r="Q4762" t="s">
        <v>11935</v>
      </c>
      <c r="R4762" t="s">
        <v>21493</v>
      </c>
      <c r="S4762">
        <v>1471</v>
      </c>
    </row>
    <row r="4763" spans="1:19">
      <c r="A4763" t="s">
        <v>26</v>
      </c>
      <c r="B4763" t="s">
        <v>148</v>
      </c>
      <c r="C4763" t="s">
        <v>158</v>
      </c>
      <c r="D4763" t="s">
        <v>287</v>
      </c>
      <c r="E4763" t="s">
        <v>416</v>
      </c>
      <c r="F4763">
        <f>HYPERLINK("https://www.wikidata.org/wiki/Q33756209", "Q33756209")</f>
        <v>0</v>
      </c>
      <c r="G4763" t="s">
        <v>3141</v>
      </c>
      <c r="H4763" t="s">
        <v>7580</v>
      </c>
      <c r="I4763" t="s">
        <v>10656</v>
      </c>
      <c r="J4763" t="s">
        <v>13763</v>
      </c>
      <c r="K4763" t="s">
        <v>13113</v>
      </c>
      <c r="L4763">
        <f>HYPERLINK("https://www2.assemblee-nationale.fr/sycomore/fiche/(num_dept)/4308", "4308")</f>
        <v>0</v>
      </c>
      <c r="M4763">
        <f>HYPERLINK("https://www.senat.fr/senateur-3eme-republique/lambert_de_sainte_croix_charles0266r3.html", "lambert_de_sainte_croix_charles0266r3")</f>
        <v>0</v>
      </c>
      <c r="N4763">
        <f>HYPERLINK("https://www.wikidata.org/wiki/Q2959560", "Q2959560")</f>
        <v>0</v>
      </c>
      <c r="O4763" t="s">
        <v>19995</v>
      </c>
      <c r="P4763" t="s">
        <v>20468</v>
      </c>
      <c r="Q4763" t="s">
        <v>11935</v>
      </c>
      <c r="R4763" t="s">
        <v>21498</v>
      </c>
      <c r="S4763">
        <v>76</v>
      </c>
    </row>
    <row r="4764" spans="1:19">
      <c r="A4764" t="s">
        <v>26</v>
      </c>
      <c r="B4764" t="s">
        <v>148</v>
      </c>
      <c r="C4764" t="s">
        <v>158</v>
      </c>
      <c r="D4764" t="s">
        <v>287</v>
      </c>
      <c r="E4764" t="s">
        <v>416</v>
      </c>
      <c r="F4764">
        <f>HYPERLINK("https://www.wikidata.org/wiki/Q33756209", "Q33756209")</f>
        <v>0</v>
      </c>
      <c r="G4764" t="s">
        <v>3142</v>
      </c>
      <c r="H4764" t="s">
        <v>7581</v>
      </c>
      <c r="I4764" t="s">
        <v>10657</v>
      </c>
      <c r="J4764" t="s">
        <v>13764</v>
      </c>
      <c r="K4764" t="s">
        <v>18140</v>
      </c>
      <c r="L4764">
        <f>HYPERLINK("https://www2.assemblee-nationale.fr/sycomore/fiche/(num_dept)/4316", "4316")</f>
        <v>0</v>
      </c>
      <c r="N4764">
        <f>HYPERLINK("https://www.wikidata.org/wiki/Q16025935", "Q16025935")</f>
        <v>0</v>
      </c>
      <c r="O4764" t="s">
        <v>20010</v>
      </c>
      <c r="P4764" t="s">
        <v>20459</v>
      </c>
      <c r="Q4764" t="s">
        <v>11935</v>
      </c>
      <c r="R4764" t="s">
        <v>18140</v>
      </c>
      <c r="S4764">
        <v>852</v>
      </c>
    </row>
    <row r="4765" spans="1:19">
      <c r="A4765" t="s">
        <v>26</v>
      </c>
      <c r="B4765" t="s">
        <v>148</v>
      </c>
      <c r="C4765" t="s">
        <v>158</v>
      </c>
      <c r="D4765" t="s">
        <v>287</v>
      </c>
      <c r="E4765" t="s">
        <v>416</v>
      </c>
      <c r="F4765">
        <f>HYPERLINK("https://www.wikidata.org/wiki/Q33756209", "Q33756209")</f>
        <v>0</v>
      </c>
      <c r="G4765" t="s">
        <v>710</v>
      </c>
      <c r="H4765" t="s">
        <v>5468</v>
      </c>
      <c r="I4765" t="s">
        <v>9491</v>
      </c>
      <c r="J4765" t="s">
        <v>11459</v>
      </c>
      <c r="K4765" t="s">
        <v>15861</v>
      </c>
      <c r="L4765">
        <f>HYPERLINK("https://www2.assemblee-nationale.fr/sycomore/fiche/(num_dept)/4339", "4339")</f>
        <v>0</v>
      </c>
      <c r="N4765">
        <f>HYPERLINK("https://www.wikidata.org/wiki/Q3370301", "Q3370301")</f>
        <v>0</v>
      </c>
      <c r="O4765" t="s">
        <v>19961</v>
      </c>
      <c r="P4765" t="s">
        <v>20460</v>
      </c>
      <c r="Q4765" t="s">
        <v>11935</v>
      </c>
      <c r="R4765" t="s">
        <v>21493</v>
      </c>
      <c r="S4765">
        <v>1471</v>
      </c>
    </row>
    <row r="4766" spans="1:19">
      <c r="A4766" t="s">
        <v>26</v>
      </c>
      <c r="B4766" t="s">
        <v>148</v>
      </c>
      <c r="C4766" t="s">
        <v>158</v>
      </c>
      <c r="D4766" t="s">
        <v>287</v>
      </c>
      <c r="E4766" t="s">
        <v>416</v>
      </c>
      <c r="F4766">
        <f>HYPERLINK("https://www.wikidata.org/wiki/Q33756209", "Q33756209")</f>
        <v>0</v>
      </c>
      <c r="G4766" t="s">
        <v>3143</v>
      </c>
      <c r="H4766" t="s">
        <v>7582</v>
      </c>
      <c r="I4766" t="s">
        <v>9382</v>
      </c>
      <c r="J4766" t="s">
        <v>13765</v>
      </c>
      <c r="K4766" t="s">
        <v>15835</v>
      </c>
      <c r="L4766">
        <f>HYPERLINK("https://www2.assemblee-nationale.fr/sycomore/fiche/(num_dept)/4356", "4356")</f>
        <v>0</v>
      </c>
      <c r="N4766">
        <f>HYPERLINK("https://www.wikidata.org/wiki/Q2959575", "Q2959575")</f>
        <v>0</v>
      </c>
      <c r="O4766" t="s">
        <v>19964</v>
      </c>
      <c r="P4766" t="s">
        <v>20460</v>
      </c>
      <c r="Q4766" t="s">
        <v>11935</v>
      </c>
      <c r="R4766" t="s">
        <v>21493</v>
      </c>
      <c r="S4766">
        <v>1471</v>
      </c>
    </row>
    <row r="4767" spans="1:19">
      <c r="A4767" t="s">
        <v>26</v>
      </c>
      <c r="B4767" t="s">
        <v>148</v>
      </c>
      <c r="C4767" t="s">
        <v>158</v>
      </c>
      <c r="D4767" t="s">
        <v>287</v>
      </c>
      <c r="E4767" t="s">
        <v>416</v>
      </c>
      <c r="F4767">
        <f>HYPERLINK("https://www.wikidata.org/wiki/Q33756209", "Q33756209")</f>
        <v>0</v>
      </c>
      <c r="G4767" t="s">
        <v>3080</v>
      </c>
      <c r="H4767" t="s">
        <v>6493</v>
      </c>
      <c r="I4767" t="s">
        <v>10616</v>
      </c>
      <c r="J4767" t="s">
        <v>13703</v>
      </c>
      <c r="K4767" t="s">
        <v>18086</v>
      </c>
      <c r="L4767">
        <f>HYPERLINK("https://www2.assemblee-nationale.fr/sycomore/fiche/(num_dept)/4363", "4363")</f>
        <v>0</v>
      </c>
      <c r="N4767">
        <f>HYPERLINK("https://www.wikidata.org/wiki/Q3047523", "Q3047523")</f>
        <v>0</v>
      </c>
      <c r="O4767" t="s">
        <v>20031</v>
      </c>
      <c r="P4767" t="s">
        <v>20468</v>
      </c>
      <c r="Q4767" t="s">
        <v>11935</v>
      </c>
      <c r="R4767" t="s">
        <v>21493</v>
      </c>
      <c r="S4767">
        <v>1471</v>
      </c>
    </row>
    <row r="4768" spans="1:19">
      <c r="A4768" t="s">
        <v>26</v>
      </c>
      <c r="B4768" t="s">
        <v>148</v>
      </c>
      <c r="C4768" t="s">
        <v>158</v>
      </c>
      <c r="D4768" t="s">
        <v>287</v>
      </c>
      <c r="E4768" t="s">
        <v>416</v>
      </c>
      <c r="F4768">
        <f>HYPERLINK("https://www.wikidata.org/wiki/Q33756209", "Q33756209")</f>
        <v>0</v>
      </c>
      <c r="G4768" t="s">
        <v>3144</v>
      </c>
      <c r="H4768" t="s">
        <v>7583</v>
      </c>
      <c r="I4768" t="s">
        <v>9401</v>
      </c>
      <c r="J4768" t="s">
        <v>13766</v>
      </c>
      <c r="K4768" t="s">
        <v>18141</v>
      </c>
      <c r="L4768">
        <f>HYPERLINK("https://www2.assemblee-nationale.fr/sycomore/fiche/(num_dept)/4376", "4376")</f>
        <v>0</v>
      </c>
      <c r="N4768">
        <f>HYPERLINK("https://www.wikidata.org/wiki/Q16025945", "Q16025945")</f>
        <v>0</v>
      </c>
      <c r="O4768" t="s">
        <v>19966</v>
      </c>
      <c r="P4768" t="s">
        <v>20459</v>
      </c>
      <c r="Q4768" t="s">
        <v>11935</v>
      </c>
      <c r="R4768" t="s">
        <v>21493</v>
      </c>
      <c r="S4768">
        <v>1471</v>
      </c>
    </row>
    <row r="4769" spans="1:19">
      <c r="A4769" t="s">
        <v>26</v>
      </c>
      <c r="B4769" t="s">
        <v>148</v>
      </c>
      <c r="C4769" t="s">
        <v>158</v>
      </c>
      <c r="D4769" t="s">
        <v>287</v>
      </c>
      <c r="E4769" t="s">
        <v>416</v>
      </c>
      <c r="F4769">
        <f>HYPERLINK("https://www.wikidata.org/wiki/Q33756209", "Q33756209")</f>
        <v>0</v>
      </c>
      <c r="G4769" t="s">
        <v>3145</v>
      </c>
      <c r="H4769" t="s">
        <v>7261</v>
      </c>
      <c r="I4769" t="s">
        <v>10059</v>
      </c>
      <c r="J4769" t="s">
        <v>13767</v>
      </c>
      <c r="K4769" t="s">
        <v>18142</v>
      </c>
      <c r="L4769">
        <f>HYPERLINK("https://www2.assemblee-nationale.fr/sycomore/fiche/(num_dept)/4814", "4814")</f>
        <v>0</v>
      </c>
      <c r="N4769">
        <f>HYPERLINK("https://www.wikidata.org/wiki/Q3271252", "Q3271252")</f>
        <v>0</v>
      </c>
      <c r="O4769" t="s">
        <v>20011</v>
      </c>
      <c r="P4769" t="s">
        <v>20460</v>
      </c>
      <c r="Q4769" t="s">
        <v>11935</v>
      </c>
      <c r="R4769" t="s">
        <v>21493</v>
      </c>
      <c r="S4769">
        <v>1471</v>
      </c>
    </row>
    <row r="4770" spans="1:19">
      <c r="A4770" t="s">
        <v>26</v>
      </c>
      <c r="B4770" t="s">
        <v>148</v>
      </c>
      <c r="C4770" t="s">
        <v>158</v>
      </c>
      <c r="D4770" t="s">
        <v>287</v>
      </c>
      <c r="E4770" t="s">
        <v>416</v>
      </c>
      <c r="F4770">
        <f>HYPERLINK("https://www.wikidata.org/wiki/Q33756209", "Q33756209")</f>
        <v>0</v>
      </c>
      <c r="G4770" t="s">
        <v>716</v>
      </c>
      <c r="H4770" t="s">
        <v>5474</v>
      </c>
      <c r="I4770" t="s">
        <v>9495</v>
      </c>
      <c r="J4770" t="s">
        <v>11465</v>
      </c>
      <c r="K4770" t="s">
        <v>15867</v>
      </c>
      <c r="L4770">
        <f>HYPERLINK("https://www2.assemblee-nationale.fr/sycomore/fiche/(num_dept)/4868", "4868")</f>
        <v>0</v>
      </c>
      <c r="N4770">
        <f>HYPERLINK("https://www.wikidata.org/wiki/Q2862011", "Q2862011")</f>
        <v>0</v>
      </c>
      <c r="O4770" t="s">
        <v>19957</v>
      </c>
      <c r="P4770" t="s">
        <v>20460</v>
      </c>
      <c r="Q4770" t="s">
        <v>11935</v>
      </c>
      <c r="R4770" t="s">
        <v>21493</v>
      </c>
      <c r="S4770">
        <v>1471</v>
      </c>
    </row>
    <row r="4771" spans="1:19">
      <c r="A4771" t="s">
        <v>26</v>
      </c>
      <c r="B4771" t="s">
        <v>148</v>
      </c>
      <c r="C4771" t="s">
        <v>158</v>
      </c>
      <c r="D4771" t="s">
        <v>287</v>
      </c>
      <c r="E4771" t="s">
        <v>416</v>
      </c>
      <c r="F4771">
        <f>HYPERLINK("https://www.wikidata.org/wiki/Q33756209", "Q33756209")</f>
        <v>0</v>
      </c>
      <c r="G4771" t="s">
        <v>2618</v>
      </c>
      <c r="H4771" t="s">
        <v>7165</v>
      </c>
      <c r="I4771" t="s">
        <v>10316</v>
      </c>
      <c r="J4771" t="s">
        <v>13261</v>
      </c>
      <c r="K4771" t="s">
        <v>17662</v>
      </c>
      <c r="L4771">
        <f>HYPERLINK("https://www2.assemblee-nationale.fr/sycomore/fiche/(num_dept)/4874", "4874")</f>
        <v>0</v>
      </c>
      <c r="N4771">
        <f>HYPERLINK("https://www.wikidata.org/wiki/Q8319402", "Q8319402")</f>
        <v>0</v>
      </c>
      <c r="O4771" t="s">
        <v>20044</v>
      </c>
      <c r="P4771" t="s">
        <v>20459</v>
      </c>
      <c r="Q4771" t="s">
        <v>11935</v>
      </c>
      <c r="R4771" t="s">
        <v>21493</v>
      </c>
      <c r="S4771">
        <v>1471</v>
      </c>
    </row>
    <row r="4772" spans="1:19">
      <c r="A4772" t="s">
        <v>26</v>
      </c>
      <c r="B4772" t="s">
        <v>148</v>
      </c>
      <c r="C4772" t="s">
        <v>158</v>
      </c>
      <c r="D4772" t="s">
        <v>287</v>
      </c>
      <c r="E4772" t="s">
        <v>416</v>
      </c>
      <c r="F4772">
        <f>HYPERLINK("https://www.wikidata.org/wiki/Q33756209", "Q33756209")</f>
        <v>0</v>
      </c>
      <c r="G4772" t="s">
        <v>2620</v>
      </c>
      <c r="H4772" t="s">
        <v>7167</v>
      </c>
      <c r="I4772" t="s">
        <v>7790</v>
      </c>
      <c r="J4772" t="s">
        <v>13263</v>
      </c>
      <c r="K4772" t="s">
        <v>17664</v>
      </c>
      <c r="L4772">
        <f>HYPERLINK("https://www2.assemblee-nationale.fr/sycomore/fiche/(num_dept)/4903", "4903")</f>
        <v>0</v>
      </c>
      <c r="M4772">
        <f>HYPERLINK("https://www.senat.fr/senateur-3eme-republique/de_maille_de_la_jumelliere_armand1160r3.html", "de_maille_de_la_jumelliere_armand1160r3")</f>
        <v>0</v>
      </c>
      <c r="N4772">
        <f>HYPERLINK("https://www.wikidata.org/wiki/Q2861743", "Q2861743")</f>
        <v>0</v>
      </c>
      <c r="O4772" t="s">
        <v>19980</v>
      </c>
      <c r="P4772" t="s">
        <v>20460</v>
      </c>
      <c r="Q4772" t="s">
        <v>11935</v>
      </c>
      <c r="R4772" t="s">
        <v>21493</v>
      </c>
      <c r="S4772">
        <v>1471</v>
      </c>
    </row>
    <row r="4773" spans="1:19">
      <c r="A4773" t="s">
        <v>26</v>
      </c>
      <c r="B4773" t="s">
        <v>148</v>
      </c>
      <c r="C4773" t="s">
        <v>158</v>
      </c>
      <c r="D4773" t="s">
        <v>287</v>
      </c>
      <c r="E4773" t="s">
        <v>416</v>
      </c>
      <c r="F4773">
        <f>HYPERLINK("https://www.wikidata.org/wiki/Q33756209", "Q33756209")</f>
        <v>0</v>
      </c>
      <c r="G4773" t="s">
        <v>3146</v>
      </c>
      <c r="H4773" t="s">
        <v>7416</v>
      </c>
      <c r="I4773" t="s">
        <v>10658</v>
      </c>
      <c r="J4773" t="s">
        <v>13768</v>
      </c>
      <c r="K4773" t="s">
        <v>18143</v>
      </c>
      <c r="L4773">
        <f>HYPERLINK("https://www2.assemblee-nationale.fr/sycomore/fiche/(num_dept)/5093", "5093")</f>
        <v>0</v>
      </c>
      <c r="N4773">
        <f>HYPERLINK("https://www.wikidata.org/wiki/Q16026065", "Q16026065")</f>
        <v>0</v>
      </c>
      <c r="O4773" t="s">
        <v>19999</v>
      </c>
      <c r="P4773" t="s">
        <v>20459</v>
      </c>
      <c r="Q4773" t="s">
        <v>11935</v>
      </c>
      <c r="R4773" t="s">
        <v>21493</v>
      </c>
      <c r="S4773">
        <v>1471</v>
      </c>
    </row>
    <row r="4774" spans="1:19">
      <c r="A4774" t="s">
        <v>26</v>
      </c>
      <c r="B4774" t="s">
        <v>148</v>
      </c>
      <c r="C4774" t="s">
        <v>158</v>
      </c>
      <c r="D4774" t="s">
        <v>287</v>
      </c>
      <c r="E4774" t="s">
        <v>416</v>
      </c>
      <c r="F4774">
        <f>HYPERLINK("https://www.wikidata.org/wiki/Q33756209", "Q33756209")</f>
        <v>0</v>
      </c>
      <c r="G4774" t="s">
        <v>2629</v>
      </c>
      <c r="H4774" t="s">
        <v>7175</v>
      </c>
      <c r="I4774" t="s">
        <v>9449</v>
      </c>
      <c r="J4774" t="s">
        <v>13271</v>
      </c>
      <c r="K4774" t="s">
        <v>17673</v>
      </c>
      <c r="L4774">
        <f>HYPERLINK("https://www2.assemblee-nationale.fr/sycomore/fiche/(num_dept)/5168", "5168")</f>
        <v>0</v>
      </c>
      <c r="M4774">
        <f>HYPERLINK("https://www.senat.fr/senateur-3eme-republique/meline_jules1799r3.html", "meline_jules1799r3")</f>
        <v>0</v>
      </c>
      <c r="N4774">
        <f>HYPERLINK("https://www.wikidata.org/wiki/Q459914", "Q459914")</f>
        <v>0</v>
      </c>
      <c r="O4774" t="s">
        <v>20017</v>
      </c>
      <c r="P4774" t="s">
        <v>20461</v>
      </c>
      <c r="Q4774" t="s">
        <v>11935</v>
      </c>
      <c r="R4774" t="s">
        <v>21493</v>
      </c>
      <c r="S4774">
        <v>1471</v>
      </c>
    </row>
    <row r="4775" spans="1:19">
      <c r="A4775" t="s">
        <v>26</v>
      </c>
      <c r="B4775" t="s">
        <v>148</v>
      </c>
      <c r="C4775" t="s">
        <v>158</v>
      </c>
      <c r="D4775" t="s">
        <v>287</v>
      </c>
      <c r="E4775" t="s">
        <v>416</v>
      </c>
      <c r="F4775">
        <f>HYPERLINK("https://www.wikidata.org/wiki/Q33756209", "Q33756209")</f>
        <v>0</v>
      </c>
      <c r="G4775" t="s">
        <v>2630</v>
      </c>
      <c r="H4775" t="s">
        <v>7176</v>
      </c>
      <c r="I4775" t="s">
        <v>10324</v>
      </c>
      <c r="J4775" t="s">
        <v>13272</v>
      </c>
      <c r="K4775" t="s">
        <v>17674</v>
      </c>
      <c r="L4775">
        <f>HYPERLINK("https://www2.assemblee-nationale.fr/sycomore/fiche/(num_dept)/5175", "5175")</f>
        <v>0</v>
      </c>
      <c r="N4775">
        <f>HYPERLINK("https://www.wikidata.org/wiki/Q3371888", "Q3371888")</f>
        <v>0</v>
      </c>
      <c r="O4775" t="s">
        <v>7411</v>
      </c>
      <c r="P4775" t="s">
        <v>20456</v>
      </c>
      <c r="Q4775" t="s">
        <v>11935</v>
      </c>
      <c r="R4775" t="s">
        <v>21493</v>
      </c>
      <c r="S4775">
        <v>1471</v>
      </c>
    </row>
    <row r="4776" spans="1:19">
      <c r="A4776" t="s">
        <v>26</v>
      </c>
      <c r="B4776" t="s">
        <v>148</v>
      </c>
      <c r="C4776" t="s">
        <v>158</v>
      </c>
      <c r="D4776" t="s">
        <v>287</v>
      </c>
      <c r="E4776" t="s">
        <v>416</v>
      </c>
      <c r="F4776">
        <f>HYPERLINK("https://www.wikidata.org/wiki/Q33756209", "Q33756209")</f>
        <v>0</v>
      </c>
      <c r="G4776" t="s">
        <v>3147</v>
      </c>
      <c r="H4776" t="s">
        <v>7584</v>
      </c>
      <c r="I4776" t="s">
        <v>10659</v>
      </c>
      <c r="J4776" t="s">
        <v>13769</v>
      </c>
      <c r="K4776" t="s">
        <v>18144</v>
      </c>
      <c r="L4776">
        <f>HYPERLINK("https://www2.assemblee-nationale.fr/sycomore/fiche/(num_dept)/5216", "5216")</f>
        <v>0</v>
      </c>
      <c r="N4776">
        <f>HYPERLINK("https://www.wikidata.org/wiki/Q3580088", "Q3580088")</f>
        <v>0</v>
      </c>
      <c r="O4776" t="s">
        <v>19985</v>
      </c>
      <c r="P4776" t="s">
        <v>20460</v>
      </c>
      <c r="Q4776" t="s">
        <v>11935</v>
      </c>
      <c r="R4776" t="s">
        <v>21493</v>
      </c>
      <c r="S4776">
        <v>1471</v>
      </c>
    </row>
    <row r="4777" spans="1:19">
      <c r="A4777" t="s">
        <v>26</v>
      </c>
      <c r="B4777" t="s">
        <v>148</v>
      </c>
      <c r="C4777" t="s">
        <v>158</v>
      </c>
      <c r="D4777" t="s">
        <v>287</v>
      </c>
      <c r="E4777" t="s">
        <v>416</v>
      </c>
      <c r="F4777">
        <f>HYPERLINK("https://www.wikidata.org/wiki/Q33756209", "Q33756209")</f>
        <v>0</v>
      </c>
      <c r="G4777" t="s">
        <v>2632</v>
      </c>
      <c r="H4777" t="s">
        <v>7177</v>
      </c>
      <c r="I4777" t="s">
        <v>10326</v>
      </c>
      <c r="J4777" t="s">
        <v>13274</v>
      </c>
      <c r="K4777" t="s">
        <v>17676</v>
      </c>
      <c r="L4777">
        <f>HYPERLINK("https://www2.assemblee-nationale.fr/sycomore/fiche/(num_dept)/5247", "5247")</f>
        <v>0</v>
      </c>
      <c r="M4777">
        <f>HYPERLINK("https://www.senat.fr/senateur-3eme-republique/mezieres_alfred0932r3.html", "mezieres_alfred0932r3")</f>
        <v>0</v>
      </c>
      <c r="N4777">
        <f>HYPERLINK("https://www.wikidata.org/wiki/Q2835365", "Q2835365")</f>
        <v>0</v>
      </c>
      <c r="O4777" t="s">
        <v>20007</v>
      </c>
      <c r="P4777" t="s">
        <v>20459</v>
      </c>
      <c r="Q4777" t="s">
        <v>11935</v>
      </c>
      <c r="R4777" t="s">
        <v>21493</v>
      </c>
      <c r="S4777">
        <v>1471</v>
      </c>
    </row>
    <row r="4778" spans="1:19">
      <c r="A4778" t="s">
        <v>26</v>
      </c>
      <c r="B4778" t="s">
        <v>148</v>
      </c>
      <c r="C4778" t="s">
        <v>158</v>
      </c>
      <c r="D4778" t="s">
        <v>287</v>
      </c>
      <c r="E4778" t="s">
        <v>416</v>
      </c>
      <c r="F4778">
        <f>HYPERLINK("https://www.wikidata.org/wiki/Q33756209", "Q33756209")</f>
        <v>0</v>
      </c>
      <c r="G4778" t="s">
        <v>3148</v>
      </c>
      <c r="H4778" t="s">
        <v>7585</v>
      </c>
      <c r="I4778" t="s">
        <v>10660</v>
      </c>
      <c r="J4778" t="s">
        <v>13770</v>
      </c>
      <c r="K4778" t="s">
        <v>18145</v>
      </c>
      <c r="L4778">
        <f>HYPERLINK("https://www2.assemblee-nationale.fr/sycomore/fiche/(num_dept)/5293", "5293")</f>
        <v>0</v>
      </c>
      <c r="N4778">
        <f>HYPERLINK("https://www.wikidata.org/wiki/Q16026106", "Q16026106")</f>
        <v>0</v>
      </c>
      <c r="O4778" t="s">
        <v>19971</v>
      </c>
      <c r="P4778" t="s">
        <v>20459</v>
      </c>
      <c r="Q4778" t="s">
        <v>11935</v>
      </c>
      <c r="R4778" t="s">
        <v>21493</v>
      </c>
      <c r="S4778">
        <v>1471</v>
      </c>
    </row>
    <row r="4779" spans="1:19">
      <c r="A4779" t="s">
        <v>26</v>
      </c>
      <c r="B4779" t="s">
        <v>148</v>
      </c>
      <c r="C4779" t="s">
        <v>158</v>
      </c>
      <c r="D4779" t="s">
        <v>287</v>
      </c>
      <c r="E4779" t="s">
        <v>416</v>
      </c>
      <c r="F4779">
        <f>HYPERLINK("https://www.wikidata.org/wiki/Q33756209", "Q33756209")</f>
        <v>0</v>
      </c>
      <c r="G4779" t="s">
        <v>3149</v>
      </c>
      <c r="H4779" t="s">
        <v>7586</v>
      </c>
      <c r="I4779" t="s">
        <v>10661</v>
      </c>
      <c r="J4779" t="s">
        <v>13771</v>
      </c>
      <c r="K4779" t="s">
        <v>18146</v>
      </c>
      <c r="L4779">
        <f>HYPERLINK("https://www2.assemblee-nationale.fr/sycomore/fiche/(num_dept)/5370", "5370")</f>
        <v>0</v>
      </c>
      <c r="N4779">
        <f>HYPERLINK("https://www.wikidata.org/wiki/Q13077251", "Q13077251")</f>
        <v>0</v>
      </c>
      <c r="O4779" t="s">
        <v>20026</v>
      </c>
      <c r="P4779" t="s">
        <v>20465</v>
      </c>
      <c r="Q4779" t="s">
        <v>11935</v>
      </c>
      <c r="R4779" t="s">
        <v>21493</v>
      </c>
      <c r="S4779">
        <v>1471</v>
      </c>
    </row>
    <row r="4780" spans="1:19">
      <c r="A4780" t="s">
        <v>26</v>
      </c>
      <c r="B4780" t="s">
        <v>148</v>
      </c>
      <c r="C4780" t="s">
        <v>158</v>
      </c>
      <c r="D4780" t="s">
        <v>287</v>
      </c>
      <c r="E4780" t="s">
        <v>416</v>
      </c>
      <c r="F4780">
        <f>HYPERLINK("https://www.wikidata.org/wiki/Q33756209", "Q33756209")</f>
        <v>0</v>
      </c>
      <c r="G4780" t="s">
        <v>3150</v>
      </c>
      <c r="H4780" t="s">
        <v>7587</v>
      </c>
      <c r="I4780" t="s">
        <v>10662</v>
      </c>
      <c r="J4780" t="s">
        <v>13772</v>
      </c>
      <c r="K4780" t="s">
        <v>18147</v>
      </c>
      <c r="L4780">
        <f>HYPERLINK("https://www2.assemblee-nationale.fr/sycomore/fiche/(num_dept)/5383", "5383")</f>
        <v>0</v>
      </c>
      <c r="N4780">
        <f>HYPERLINK("https://www.wikidata.org/wiki/Q16026120", "Q16026120")</f>
        <v>0</v>
      </c>
      <c r="O4780" t="s">
        <v>19967</v>
      </c>
      <c r="P4780" t="s">
        <v>20460</v>
      </c>
      <c r="Q4780" t="s">
        <v>11935</v>
      </c>
      <c r="R4780" t="s">
        <v>21493</v>
      </c>
      <c r="S4780">
        <v>1471</v>
      </c>
    </row>
    <row r="4781" spans="1:19">
      <c r="A4781" t="s">
        <v>26</v>
      </c>
      <c r="B4781" t="s">
        <v>148</v>
      </c>
      <c r="C4781" t="s">
        <v>158</v>
      </c>
      <c r="D4781" t="s">
        <v>287</v>
      </c>
      <c r="E4781" t="s">
        <v>416</v>
      </c>
      <c r="F4781">
        <f>HYPERLINK("https://www.wikidata.org/wiki/Q33756209", "Q33756209")</f>
        <v>0</v>
      </c>
      <c r="G4781" t="s">
        <v>3151</v>
      </c>
      <c r="H4781" t="s">
        <v>7588</v>
      </c>
      <c r="I4781" t="s">
        <v>10663</v>
      </c>
      <c r="J4781" t="s">
        <v>13773</v>
      </c>
      <c r="K4781" t="s">
        <v>18148</v>
      </c>
      <c r="L4781">
        <f>HYPERLINK("https://www2.assemblee-nationale.fr/sycomore/fiche/(num_dept)/5385", "5385")</f>
        <v>0</v>
      </c>
      <c r="N4781">
        <f>HYPERLINK("https://www.wikidata.org/wiki/Q2871481", "Q2871481")</f>
        <v>0</v>
      </c>
      <c r="O4781" t="s">
        <v>19991</v>
      </c>
      <c r="P4781" t="s">
        <v>20460</v>
      </c>
      <c r="Q4781" t="s">
        <v>11935</v>
      </c>
      <c r="R4781" t="s">
        <v>21497</v>
      </c>
      <c r="S4781">
        <v>72</v>
      </c>
    </row>
    <row r="4782" spans="1:19">
      <c r="A4782" t="s">
        <v>26</v>
      </c>
      <c r="B4782" t="s">
        <v>148</v>
      </c>
      <c r="C4782" t="s">
        <v>158</v>
      </c>
      <c r="D4782" t="s">
        <v>287</v>
      </c>
      <c r="E4782" t="s">
        <v>416</v>
      </c>
      <c r="F4782">
        <f>HYPERLINK("https://www.wikidata.org/wiki/Q33756209", "Q33756209")</f>
        <v>0</v>
      </c>
      <c r="G4782" t="s">
        <v>3152</v>
      </c>
      <c r="H4782" t="s">
        <v>7589</v>
      </c>
      <c r="I4782" t="s">
        <v>9442</v>
      </c>
      <c r="J4782" t="s">
        <v>13774</v>
      </c>
      <c r="K4782" t="s">
        <v>18149</v>
      </c>
      <c r="L4782">
        <f>HYPERLINK("https://www2.assemblee-nationale.fr/sycomore/fiche/(num_dept)/5424", "5424")</f>
        <v>0</v>
      </c>
      <c r="N4782">
        <f>HYPERLINK("https://www.wikidata.org/wiki/Q16026158", "Q16026158")</f>
        <v>0</v>
      </c>
      <c r="O4782" t="s">
        <v>19991</v>
      </c>
      <c r="P4782" t="s">
        <v>20460</v>
      </c>
      <c r="Q4782" t="s">
        <v>11935</v>
      </c>
      <c r="R4782" t="s">
        <v>21497</v>
      </c>
      <c r="S4782">
        <v>72</v>
      </c>
    </row>
    <row r="4783" spans="1:19">
      <c r="A4783" t="s">
        <v>26</v>
      </c>
      <c r="B4783" t="s">
        <v>148</v>
      </c>
      <c r="C4783" t="s">
        <v>158</v>
      </c>
      <c r="D4783" t="s">
        <v>287</v>
      </c>
      <c r="E4783" t="s">
        <v>416</v>
      </c>
      <c r="F4783">
        <f>HYPERLINK("https://www.wikidata.org/wiki/Q33756209", "Q33756209")</f>
        <v>0</v>
      </c>
      <c r="G4783" t="s">
        <v>742</v>
      </c>
      <c r="H4783" t="s">
        <v>5500</v>
      </c>
      <c r="I4783" t="s">
        <v>9505</v>
      </c>
      <c r="J4783" t="s">
        <v>11491</v>
      </c>
      <c r="K4783" t="s">
        <v>15893</v>
      </c>
      <c r="L4783">
        <f>HYPERLINK("https://www2.assemblee-nationale.fr/sycomore/fiche/(num_dept)/5482", "5482")</f>
        <v>0</v>
      </c>
      <c r="N4783">
        <f>HYPERLINK("https://www.wikidata.org/wiki/Q2475967", "Q2475967")</f>
        <v>0</v>
      </c>
      <c r="O4783" t="s">
        <v>19961</v>
      </c>
      <c r="P4783" t="s">
        <v>20460</v>
      </c>
      <c r="Q4783" t="s">
        <v>11935</v>
      </c>
      <c r="R4783" t="s">
        <v>21493</v>
      </c>
      <c r="S4783">
        <v>1471</v>
      </c>
    </row>
    <row r="4784" spans="1:19">
      <c r="A4784" t="s">
        <v>26</v>
      </c>
      <c r="B4784" t="s">
        <v>148</v>
      </c>
      <c r="C4784" t="s">
        <v>158</v>
      </c>
      <c r="D4784" t="s">
        <v>287</v>
      </c>
      <c r="E4784" t="s">
        <v>416</v>
      </c>
      <c r="F4784">
        <f>HYPERLINK("https://www.wikidata.org/wiki/Q33756209", "Q33756209")</f>
        <v>0</v>
      </c>
      <c r="G4784" t="s">
        <v>2635</v>
      </c>
      <c r="H4784" t="s">
        <v>7180</v>
      </c>
      <c r="I4784" t="s">
        <v>6501</v>
      </c>
      <c r="J4784" t="s">
        <v>13277</v>
      </c>
      <c r="K4784" t="s">
        <v>17679</v>
      </c>
      <c r="L4784">
        <f>HYPERLINK("https://www2.assemblee-nationale.fr/sycomore/fiche/(num_dept)/5497", "5497")</f>
        <v>0</v>
      </c>
      <c r="N4784">
        <f>HYPERLINK("https://www.wikidata.org/wiki/Q3295568", "Q3295568")</f>
        <v>0</v>
      </c>
      <c r="O4784" t="s">
        <v>19979</v>
      </c>
      <c r="P4784" t="s">
        <v>20459</v>
      </c>
      <c r="Q4784" t="s">
        <v>11935</v>
      </c>
      <c r="R4784" t="s">
        <v>21493</v>
      </c>
      <c r="S4784">
        <v>1471</v>
      </c>
    </row>
    <row r="4785" spans="1:19">
      <c r="A4785" t="s">
        <v>26</v>
      </c>
      <c r="B4785" t="s">
        <v>148</v>
      </c>
      <c r="C4785" t="s">
        <v>158</v>
      </c>
      <c r="D4785" t="s">
        <v>287</v>
      </c>
      <c r="E4785" t="s">
        <v>416</v>
      </c>
      <c r="F4785">
        <f>HYPERLINK("https://www.wikidata.org/wiki/Q33756209", "Q33756209")</f>
        <v>0</v>
      </c>
      <c r="G4785" t="s">
        <v>3153</v>
      </c>
      <c r="H4785" t="s">
        <v>6830</v>
      </c>
      <c r="I4785" t="s">
        <v>9385</v>
      </c>
      <c r="J4785" t="s">
        <v>13775</v>
      </c>
      <c r="K4785" t="s">
        <v>18150</v>
      </c>
      <c r="L4785">
        <f>HYPERLINK("https://www2.assemblee-nationale.fr/sycomore/fiche/(num_dept)/5551", "5551")</f>
        <v>0</v>
      </c>
      <c r="N4785">
        <f>HYPERLINK("https://www.wikidata.org/wiki/Q16026199", "Q16026199")</f>
        <v>0</v>
      </c>
      <c r="O4785" t="s">
        <v>20016</v>
      </c>
      <c r="P4785" t="s">
        <v>20460</v>
      </c>
      <c r="Q4785" t="s">
        <v>11935</v>
      </c>
      <c r="R4785" t="s">
        <v>21493</v>
      </c>
      <c r="S4785">
        <v>1471</v>
      </c>
    </row>
    <row r="4786" spans="1:19">
      <c r="A4786" t="s">
        <v>26</v>
      </c>
      <c r="B4786" t="s">
        <v>148</v>
      </c>
      <c r="C4786" t="s">
        <v>158</v>
      </c>
      <c r="D4786" t="s">
        <v>287</v>
      </c>
      <c r="E4786" t="s">
        <v>416</v>
      </c>
      <c r="F4786">
        <f>HYPERLINK("https://www.wikidata.org/wiki/Q33756209", "Q33756209")</f>
        <v>0</v>
      </c>
      <c r="G4786" t="s">
        <v>2638</v>
      </c>
      <c r="H4786" t="s">
        <v>7183</v>
      </c>
      <c r="I4786" t="s">
        <v>10330</v>
      </c>
      <c r="J4786" t="s">
        <v>13280</v>
      </c>
      <c r="K4786" t="s">
        <v>17682</v>
      </c>
      <c r="L4786">
        <f>HYPERLINK("https://www2.assemblee-nationale.fr/sycomore/fiche/(num_dept)/5568", "5568")</f>
        <v>0</v>
      </c>
      <c r="N4786">
        <f>HYPERLINK("https://www.wikidata.org/wiki/Q4346129", "Q4346129")</f>
        <v>0</v>
      </c>
      <c r="O4786" t="s">
        <v>19971</v>
      </c>
      <c r="P4786" t="s">
        <v>20412</v>
      </c>
      <c r="Q4786" t="s">
        <v>11935</v>
      </c>
      <c r="R4786" t="s">
        <v>21493</v>
      </c>
      <c r="S4786">
        <v>1471</v>
      </c>
    </row>
    <row r="4787" spans="1:19">
      <c r="A4787" t="s">
        <v>26</v>
      </c>
      <c r="B4787" t="s">
        <v>148</v>
      </c>
      <c r="C4787" t="s">
        <v>158</v>
      </c>
      <c r="D4787" t="s">
        <v>287</v>
      </c>
      <c r="E4787" t="s">
        <v>416</v>
      </c>
      <c r="F4787">
        <f>HYPERLINK("https://www.wikidata.org/wiki/Q33756209", "Q33756209")</f>
        <v>0</v>
      </c>
      <c r="G4787" t="s">
        <v>2639</v>
      </c>
      <c r="H4787" t="s">
        <v>7184</v>
      </c>
      <c r="I4787" t="s">
        <v>9552</v>
      </c>
      <c r="J4787" t="s">
        <v>13281</v>
      </c>
      <c r="K4787" t="s">
        <v>17683</v>
      </c>
      <c r="L4787">
        <f>HYPERLINK("https://www2.assemblee-nationale.fr/sycomore/fiche/(num_dept)/5601", "5601")</f>
        <v>0</v>
      </c>
      <c r="M4787">
        <f>HYPERLINK("https://www.senat.fr/senateur-3eme-republique/ollivier_auguste0590r3.html", "ollivier_auguste0590r3")</f>
        <v>0</v>
      </c>
      <c r="N4787">
        <f>HYPERLINK("https://www.wikidata.org/wiki/Q2871344", "Q2871344")</f>
        <v>0</v>
      </c>
      <c r="O4787" t="s">
        <v>19964</v>
      </c>
      <c r="P4787" t="s">
        <v>20460</v>
      </c>
      <c r="Q4787" t="s">
        <v>11935</v>
      </c>
      <c r="R4787" t="s">
        <v>21502</v>
      </c>
      <c r="S4787">
        <v>1117</v>
      </c>
    </row>
    <row r="4788" spans="1:19">
      <c r="A4788" t="s">
        <v>26</v>
      </c>
      <c r="B4788" t="s">
        <v>148</v>
      </c>
      <c r="C4788" t="s">
        <v>158</v>
      </c>
      <c r="D4788" t="s">
        <v>287</v>
      </c>
      <c r="E4788" t="s">
        <v>416</v>
      </c>
      <c r="F4788">
        <f>HYPERLINK("https://www.wikidata.org/wiki/Q33756209", "Q33756209")</f>
        <v>0</v>
      </c>
      <c r="G4788" t="s">
        <v>2640</v>
      </c>
      <c r="H4788" t="s">
        <v>7185</v>
      </c>
      <c r="I4788" t="s">
        <v>10331</v>
      </c>
      <c r="J4788" t="s">
        <v>13282</v>
      </c>
      <c r="K4788" t="s">
        <v>17684</v>
      </c>
      <c r="L4788">
        <f>HYPERLINK("https://www2.assemblee-nationale.fr/sycomore/fiche/(num_dept)/5609", "5609")</f>
        <v>0</v>
      </c>
      <c r="N4788">
        <f>HYPERLINK("https://www.wikidata.org/wiki/Q16026232", "Q16026232")</f>
        <v>0</v>
      </c>
      <c r="O4788" t="s">
        <v>19973</v>
      </c>
      <c r="P4788" t="s">
        <v>20459</v>
      </c>
      <c r="Q4788" t="s">
        <v>11935</v>
      </c>
      <c r="R4788" t="s">
        <v>21493</v>
      </c>
      <c r="S4788">
        <v>1471</v>
      </c>
    </row>
    <row r="4789" spans="1:19">
      <c r="A4789" t="s">
        <v>26</v>
      </c>
      <c r="B4789" t="s">
        <v>148</v>
      </c>
      <c r="C4789" t="s">
        <v>158</v>
      </c>
      <c r="D4789" t="s">
        <v>287</v>
      </c>
      <c r="E4789" t="s">
        <v>416</v>
      </c>
      <c r="F4789">
        <f>HYPERLINK("https://www.wikidata.org/wiki/Q33756209", "Q33756209")</f>
        <v>0</v>
      </c>
      <c r="G4789" t="s">
        <v>2641</v>
      </c>
      <c r="H4789" t="s">
        <v>7186</v>
      </c>
      <c r="I4789" t="s">
        <v>10332</v>
      </c>
      <c r="J4789" t="s">
        <v>13283</v>
      </c>
      <c r="K4789" t="s">
        <v>17685</v>
      </c>
      <c r="L4789">
        <f>HYPERLINK("https://www2.assemblee-nationale.fr/sycomore/fiche/(num_dept)/5612", "5612")</f>
        <v>0</v>
      </c>
      <c r="N4789">
        <f>HYPERLINK("https://www.wikidata.org/wiki/Q16025508", "Q16025508")</f>
        <v>0</v>
      </c>
      <c r="O4789" t="s">
        <v>20031</v>
      </c>
      <c r="P4789" t="s">
        <v>20464</v>
      </c>
      <c r="Q4789" t="s">
        <v>11935</v>
      </c>
      <c r="R4789" t="s">
        <v>21493</v>
      </c>
      <c r="S4789">
        <v>1471</v>
      </c>
    </row>
    <row r="4790" spans="1:19">
      <c r="A4790" t="s">
        <v>26</v>
      </c>
      <c r="B4790" t="s">
        <v>148</v>
      </c>
      <c r="C4790" t="s">
        <v>158</v>
      </c>
      <c r="D4790" t="s">
        <v>287</v>
      </c>
      <c r="E4790" t="s">
        <v>416</v>
      </c>
      <c r="F4790">
        <f>HYPERLINK("https://www.wikidata.org/wiki/Q33756209", "Q33756209")</f>
        <v>0</v>
      </c>
      <c r="G4790" t="s">
        <v>751</v>
      </c>
      <c r="H4790" t="s">
        <v>5509</v>
      </c>
      <c r="I4790" t="s">
        <v>9509</v>
      </c>
      <c r="J4790" t="s">
        <v>11499</v>
      </c>
      <c r="K4790" t="s">
        <v>15902</v>
      </c>
      <c r="L4790">
        <f>HYPERLINK("https://www2.assemblee-nationale.fr/sycomore/fiche/(num_dept)/5702", "5702")</f>
        <v>0</v>
      </c>
      <c r="N4790">
        <f>HYPERLINK("https://www.wikidata.org/wiki/Q3262846", "Q3262846")</f>
        <v>0</v>
      </c>
      <c r="O4790" t="s">
        <v>19992</v>
      </c>
      <c r="P4790" t="s">
        <v>20468</v>
      </c>
      <c r="Q4790" t="s">
        <v>11935</v>
      </c>
      <c r="R4790" t="s">
        <v>21493</v>
      </c>
      <c r="S4790">
        <v>1471</v>
      </c>
    </row>
    <row r="4791" spans="1:19">
      <c r="A4791" t="s">
        <v>26</v>
      </c>
      <c r="B4791" t="s">
        <v>148</v>
      </c>
      <c r="C4791" t="s">
        <v>158</v>
      </c>
      <c r="D4791" t="s">
        <v>287</v>
      </c>
      <c r="E4791" t="s">
        <v>416</v>
      </c>
      <c r="F4791">
        <f>HYPERLINK("https://www.wikidata.org/wiki/Q33756209", "Q33756209")</f>
        <v>0</v>
      </c>
      <c r="G4791" t="s">
        <v>3154</v>
      </c>
      <c r="H4791" t="s">
        <v>7590</v>
      </c>
      <c r="I4791" t="s">
        <v>10664</v>
      </c>
      <c r="J4791" t="s">
        <v>13776</v>
      </c>
      <c r="K4791" t="s">
        <v>18151</v>
      </c>
      <c r="L4791">
        <f>HYPERLINK("https://www2.assemblee-nationale.fr/sycomore/fiche/(num_dept)/5729", "5729")</f>
        <v>0</v>
      </c>
      <c r="N4791">
        <f>HYPERLINK("https://www.wikidata.org/wiki/Q17350275", "Q17350275")</f>
        <v>0</v>
      </c>
      <c r="O4791" t="s">
        <v>20009</v>
      </c>
      <c r="P4791" t="s">
        <v>20460</v>
      </c>
      <c r="Q4791" t="s">
        <v>11935</v>
      </c>
      <c r="R4791" t="s">
        <v>21493</v>
      </c>
      <c r="S4791">
        <v>1471</v>
      </c>
    </row>
    <row r="4792" spans="1:19">
      <c r="A4792" t="s">
        <v>26</v>
      </c>
      <c r="B4792" t="s">
        <v>148</v>
      </c>
      <c r="C4792" t="s">
        <v>158</v>
      </c>
      <c r="D4792" t="s">
        <v>287</v>
      </c>
      <c r="E4792" t="s">
        <v>416</v>
      </c>
      <c r="F4792">
        <f>HYPERLINK("https://www.wikidata.org/wiki/Q33756209", "Q33756209")</f>
        <v>0</v>
      </c>
      <c r="G4792" t="s">
        <v>3155</v>
      </c>
      <c r="H4792" t="s">
        <v>7591</v>
      </c>
      <c r="I4792" t="s">
        <v>10665</v>
      </c>
      <c r="J4792" t="s">
        <v>13567</v>
      </c>
      <c r="K4792" t="s">
        <v>18152</v>
      </c>
      <c r="L4792">
        <f>HYPERLINK("https://www2.assemblee-nationale.fr/sycomore/fiche/(num_dept)/5871", "5871")</f>
        <v>0</v>
      </c>
      <c r="N4792">
        <f>HYPERLINK("https://www.wikidata.org/wiki/Q16026335", "Q16026335")</f>
        <v>0</v>
      </c>
      <c r="O4792" t="s">
        <v>20003</v>
      </c>
      <c r="P4792" t="s">
        <v>20460</v>
      </c>
      <c r="Q4792" t="s">
        <v>11935</v>
      </c>
      <c r="R4792" t="s">
        <v>21493</v>
      </c>
      <c r="S4792">
        <v>1471</v>
      </c>
    </row>
    <row r="4793" spans="1:19">
      <c r="A4793" t="s">
        <v>26</v>
      </c>
      <c r="B4793" t="s">
        <v>148</v>
      </c>
      <c r="C4793" t="s">
        <v>158</v>
      </c>
      <c r="D4793" t="s">
        <v>287</v>
      </c>
      <c r="E4793" t="s">
        <v>416</v>
      </c>
      <c r="F4793">
        <f>HYPERLINK("https://www.wikidata.org/wiki/Q33756209", "Q33756209")</f>
        <v>0</v>
      </c>
      <c r="G4793" t="s">
        <v>3156</v>
      </c>
      <c r="H4793" t="s">
        <v>7592</v>
      </c>
      <c r="I4793" t="s">
        <v>10666</v>
      </c>
      <c r="J4793" t="s">
        <v>13777</v>
      </c>
      <c r="K4793" t="s">
        <v>18153</v>
      </c>
      <c r="L4793">
        <f>HYPERLINK("https://www2.assemblee-nationale.fr/sycomore/fiche/(num_dept)/5886", "5886")</f>
        <v>0</v>
      </c>
      <c r="N4793">
        <f>HYPERLINK("https://www.wikidata.org/wiki/Q8313632", "Q8313632")</f>
        <v>0</v>
      </c>
      <c r="O4793" t="s">
        <v>19986</v>
      </c>
      <c r="P4793" t="s">
        <v>20403</v>
      </c>
      <c r="Q4793" t="s">
        <v>11935</v>
      </c>
      <c r="R4793" t="s">
        <v>21493</v>
      </c>
      <c r="S4793">
        <v>1471</v>
      </c>
    </row>
    <row r="4794" spans="1:19">
      <c r="A4794" t="s">
        <v>26</v>
      </c>
      <c r="B4794" t="s">
        <v>148</v>
      </c>
      <c r="C4794" t="s">
        <v>158</v>
      </c>
      <c r="D4794" t="s">
        <v>287</v>
      </c>
      <c r="E4794" t="s">
        <v>416</v>
      </c>
      <c r="F4794">
        <f>HYPERLINK("https://www.wikidata.org/wiki/Q33756209", "Q33756209")</f>
        <v>0</v>
      </c>
      <c r="G4794" t="s">
        <v>2645</v>
      </c>
      <c r="H4794" t="s">
        <v>7188</v>
      </c>
      <c r="I4794" t="s">
        <v>10334</v>
      </c>
      <c r="J4794" t="s">
        <v>13287</v>
      </c>
      <c r="K4794" t="s">
        <v>17592</v>
      </c>
      <c r="L4794">
        <f>HYPERLINK("https://www2.assemblee-nationale.fr/sycomore/fiche/(num_dept)/5919", "5919")</f>
        <v>0</v>
      </c>
      <c r="N4794">
        <f>HYPERLINK("https://www.wikidata.org/wiki/Q20204178", "Q20204178")</f>
        <v>0</v>
      </c>
      <c r="O4794" t="s">
        <v>19983</v>
      </c>
      <c r="P4794" t="s">
        <v>20401</v>
      </c>
      <c r="Q4794" t="s">
        <v>11935</v>
      </c>
      <c r="R4794" t="s">
        <v>21493</v>
      </c>
      <c r="S4794">
        <v>1471</v>
      </c>
    </row>
    <row r="4795" spans="1:19">
      <c r="A4795" t="s">
        <v>26</v>
      </c>
      <c r="B4795" t="s">
        <v>148</v>
      </c>
      <c r="C4795" t="s">
        <v>158</v>
      </c>
      <c r="D4795" t="s">
        <v>287</v>
      </c>
      <c r="E4795" t="s">
        <v>416</v>
      </c>
      <c r="F4795">
        <f>HYPERLINK("https://www.wikidata.org/wiki/Q33756209", "Q33756209")</f>
        <v>0</v>
      </c>
      <c r="G4795" t="s">
        <v>2646</v>
      </c>
      <c r="H4795" t="s">
        <v>6757</v>
      </c>
      <c r="I4795" t="s">
        <v>10335</v>
      </c>
      <c r="J4795" t="s">
        <v>13288</v>
      </c>
      <c r="K4795" t="s">
        <v>16054</v>
      </c>
      <c r="L4795">
        <f>HYPERLINK("https://www2.assemblee-nationale.fr/sycomore/fiche/(num_dept)/5941", "5941")</f>
        <v>0</v>
      </c>
      <c r="M4795">
        <f>HYPERLINK("https://www.senat.fr/senateur-3eme-republique/pinault_eugene0540r3.html", "pinault_eugene0540r3")</f>
        <v>0</v>
      </c>
      <c r="N4795">
        <f>HYPERLINK("https://www.wikidata.org/wiki/Q3060101", "Q3060101")</f>
        <v>0</v>
      </c>
      <c r="O4795" t="s">
        <v>19998</v>
      </c>
      <c r="P4795" t="s">
        <v>20459</v>
      </c>
      <c r="Q4795" t="s">
        <v>11935</v>
      </c>
      <c r="R4795" t="s">
        <v>21493</v>
      </c>
      <c r="S4795">
        <v>1471</v>
      </c>
    </row>
    <row r="4796" spans="1:19">
      <c r="A4796" t="s">
        <v>26</v>
      </c>
      <c r="B4796" t="s">
        <v>148</v>
      </c>
      <c r="C4796" t="s">
        <v>158</v>
      </c>
      <c r="D4796" t="s">
        <v>287</v>
      </c>
      <c r="E4796" t="s">
        <v>416</v>
      </c>
      <c r="F4796">
        <f>HYPERLINK("https://www.wikidata.org/wiki/Q33756209", "Q33756209")</f>
        <v>0</v>
      </c>
      <c r="G4796" t="s">
        <v>761</v>
      </c>
      <c r="H4796" t="s">
        <v>5519</v>
      </c>
      <c r="I4796" t="s">
        <v>9513</v>
      </c>
      <c r="J4796" t="s">
        <v>11509</v>
      </c>
      <c r="K4796" t="s">
        <v>15912</v>
      </c>
      <c r="L4796">
        <f>HYPERLINK("https://www2.assemblee-nationale.fr/sycomore/fiche/(num_dept)/5956", "5956")</f>
        <v>0</v>
      </c>
      <c r="N4796">
        <f>HYPERLINK("https://www.wikidata.org/wiki/Q3159775", "Q3159775")</f>
        <v>0</v>
      </c>
      <c r="O4796" t="s">
        <v>20016</v>
      </c>
      <c r="P4796" t="s">
        <v>20470</v>
      </c>
      <c r="Q4796" t="s">
        <v>11935</v>
      </c>
      <c r="R4796" t="s">
        <v>21493</v>
      </c>
      <c r="S4796">
        <v>1471</v>
      </c>
    </row>
    <row r="4797" spans="1:19">
      <c r="A4797" t="s">
        <v>26</v>
      </c>
      <c r="B4797" t="s">
        <v>148</v>
      </c>
      <c r="C4797" t="s">
        <v>158</v>
      </c>
      <c r="D4797" t="s">
        <v>287</v>
      </c>
      <c r="E4797" t="s">
        <v>416</v>
      </c>
      <c r="F4797">
        <f>HYPERLINK("https://www.wikidata.org/wiki/Q33756209", "Q33756209")</f>
        <v>0</v>
      </c>
      <c r="G4797" t="s">
        <v>3157</v>
      </c>
      <c r="H4797" t="s">
        <v>7593</v>
      </c>
      <c r="I4797" t="s">
        <v>10667</v>
      </c>
      <c r="J4797" t="s">
        <v>13778</v>
      </c>
      <c r="K4797" t="s">
        <v>17662</v>
      </c>
      <c r="L4797">
        <f>HYPERLINK("https://www2.assemblee-nationale.fr/sycomore/fiche/(num_dept)/5978", "5978")</f>
        <v>0</v>
      </c>
      <c r="N4797">
        <f>HYPERLINK("https://www.wikidata.org/wiki/Q2960325", "Q2960325")</f>
        <v>0</v>
      </c>
      <c r="O4797" t="s">
        <v>19984</v>
      </c>
      <c r="P4797" t="s">
        <v>20460</v>
      </c>
      <c r="Q4797" t="s">
        <v>11935</v>
      </c>
      <c r="R4797" t="s">
        <v>21493</v>
      </c>
      <c r="S4797">
        <v>1471</v>
      </c>
    </row>
    <row r="4798" spans="1:19">
      <c r="A4798" t="s">
        <v>26</v>
      </c>
      <c r="B4798" t="s">
        <v>148</v>
      </c>
      <c r="C4798" t="s">
        <v>158</v>
      </c>
      <c r="D4798" t="s">
        <v>287</v>
      </c>
      <c r="E4798" t="s">
        <v>416</v>
      </c>
      <c r="F4798">
        <f>HYPERLINK("https://www.wikidata.org/wiki/Q33756209", "Q33756209")</f>
        <v>0</v>
      </c>
      <c r="G4798" t="s">
        <v>3052</v>
      </c>
      <c r="H4798" t="s">
        <v>7507</v>
      </c>
      <c r="I4798" t="s">
        <v>10601</v>
      </c>
      <c r="J4798" t="s">
        <v>13678</v>
      </c>
      <c r="K4798" t="s">
        <v>18059</v>
      </c>
      <c r="L4798">
        <f>HYPERLINK("https://www2.assemblee-nationale.fr/sycomore/fiche/(num_dept)/5987", "5987")</f>
        <v>0</v>
      </c>
      <c r="M4798">
        <f>HYPERLINK("https://www.senat.fr/senateur-3eme-republique/pochon_joseph0015r3.html", "pochon_joseph0015r3")</f>
        <v>0</v>
      </c>
      <c r="N4798">
        <f>HYPERLINK("https://www.wikidata.org/wiki/Q3185501", "Q3185501")</f>
        <v>0</v>
      </c>
      <c r="O4798" t="s">
        <v>19986</v>
      </c>
      <c r="P4798" t="s">
        <v>20456</v>
      </c>
      <c r="Q4798" t="s">
        <v>11935</v>
      </c>
      <c r="R4798" t="s">
        <v>21493</v>
      </c>
      <c r="S4798">
        <v>1471</v>
      </c>
    </row>
    <row r="4799" spans="1:19">
      <c r="A4799" t="s">
        <v>26</v>
      </c>
      <c r="B4799" t="s">
        <v>148</v>
      </c>
      <c r="C4799" t="s">
        <v>158</v>
      </c>
      <c r="D4799" t="s">
        <v>287</v>
      </c>
      <c r="E4799" t="s">
        <v>416</v>
      </c>
      <c r="F4799">
        <f>HYPERLINK("https://www.wikidata.org/wiki/Q33756209", "Q33756209")</f>
        <v>0</v>
      </c>
      <c r="G4799" t="s">
        <v>3047</v>
      </c>
      <c r="H4799" t="s">
        <v>7503</v>
      </c>
      <c r="I4799" t="s">
        <v>9421</v>
      </c>
      <c r="J4799" t="s">
        <v>13674</v>
      </c>
      <c r="K4799" t="s">
        <v>18055</v>
      </c>
      <c r="L4799">
        <f>HYPERLINK("https://www2.assemblee-nationale.fr/sycomore/fiche/(num_dept)/6001", "6001")</f>
        <v>0</v>
      </c>
      <c r="M4799">
        <f>HYPERLINK("https://www.senat.fr/senateur-3eme-republique/rivet_gustave1198r3.html", "rivet_gustave1198r3")</f>
        <v>0</v>
      </c>
      <c r="N4799">
        <f>HYPERLINK("https://www.wikidata.org/wiki/Q3121310", "Q3121310")</f>
        <v>0</v>
      </c>
      <c r="O4799" t="s">
        <v>20006</v>
      </c>
      <c r="P4799" t="s">
        <v>20401</v>
      </c>
      <c r="Q4799" t="s">
        <v>11935</v>
      </c>
      <c r="R4799" t="s">
        <v>21493</v>
      </c>
      <c r="S4799">
        <v>1471</v>
      </c>
    </row>
    <row r="4800" spans="1:19">
      <c r="A4800" t="s">
        <v>26</v>
      </c>
      <c r="B4800" t="s">
        <v>148</v>
      </c>
      <c r="C4800" t="s">
        <v>158</v>
      </c>
      <c r="D4800" t="s">
        <v>287</v>
      </c>
      <c r="E4800" t="s">
        <v>416</v>
      </c>
      <c r="F4800">
        <f>HYPERLINK("https://www.wikidata.org/wiki/Q33756209", "Q33756209")</f>
        <v>0</v>
      </c>
      <c r="G4800" t="s">
        <v>2966</v>
      </c>
      <c r="H4800" t="s">
        <v>6806</v>
      </c>
      <c r="I4800" t="s">
        <v>10546</v>
      </c>
      <c r="J4800" t="s">
        <v>13598</v>
      </c>
      <c r="K4800" t="s">
        <v>17984</v>
      </c>
      <c r="L4800">
        <f>HYPERLINK("https://www2.assemblee-nationale.fr/sycomore/fiche/(num_dept)/6005", "6005")</f>
        <v>0</v>
      </c>
      <c r="N4800">
        <f>HYPERLINK("https://www.wikidata.org/wiki/Q2861955", "Q2861955")</f>
        <v>0</v>
      </c>
      <c r="O4800" t="s">
        <v>20008</v>
      </c>
      <c r="P4800" t="s">
        <v>20401</v>
      </c>
      <c r="Q4800" t="s">
        <v>11935</v>
      </c>
      <c r="R4800" t="s">
        <v>21493</v>
      </c>
      <c r="S4800">
        <v>1471</v>
      </c>
    </row>
    <row r="4801" spans="1:19">
      <c r="A4801" t="s">
        <v>26</v>
      </c>
      <c r="B4801" t="s">
        <v>148</v>
      </c>
      <c r="C4801" t="s">
        <v>158</v>
      </c>
      <c r="D4801" t="s">
        <v>287</v>
      </c>
      <c r="E4801" t="s">
        <v>416</v>
      </c>
      <c r="F4801">
        <f>HYPERLINK("https://www.wikidata.org/wiki/Q33756209", "Q33756209")</f>
        <v>0</v>
      </c>
      <c r="G4801" t="s">
        <v>770</v>
      </c>
      <c r="H4801" t="s">
        <v>5528</v>
      </c>
      <c r="I4801" t="s">
        <v>9517</v>
      </c>
      <c r="J4801" t="s">
        <v>11517</v>
      </c>
      <c r="K4801" t="s">
        <v>15921</v>
      </c>
      <c r="L4801">
        <f>HYPERLINK("https://www2.assemblee-nationale.fr/sycomore/fiche/(num_dept)/6054", "6054")</f>
        <v>0</v>
      </c>
      <c r="N4801">
        <f>HYPERLINK("https://www.wikidata.org/wiki/Q2829651", "Q2829651")</f>
        <v>0</v>
      </c>
      <c r="O4801" t="s">
        <v>19961</v>
      </c>
      <c r="Q4801" t="s">
        <v>11935</v>
      </c>
      <c r="R4801" t="s">
        <v>21493</v>
      </c>
      <c r="S4801">
        <v>1471</v>
      </c>
    </row>
    <row r="4802" spans="1:19">
      <c r="A4802" t="s">
        <v>26</v>
      </c>
      <c r="B4802" t="s">
        <v>148</v>
      </c>
      <c r="C4802" t="s">
        <v>158</v>
      </c>
      <c r="D4802" t="s">
        <v>287</v>
      </c>
      <c r="E4802" t="s">
        <v>416</v>
      </c>
      <c r="F4802">
        <f>HYPERLINK("https://www.wikidata.org/wiki/Q33756209", "Q33756209")</f>
        <v>0</v>
      </c>
      <c r="G4802" t="s">
        <v>3158</v>
      </c>
      <c r="H4802" t="s">
        <v>7594</v>
      </c>
      <c r="I4802" t="s">
        <v>10668</v>
      </c>
      <c r="J4802" t="s">
        <v>13779</v>
      </c>
      <c r="K4802" t="s">
        <v>18154</v>
      </c>
      <c r="L4802">
        <f>HYPERLINK("https://www2.assemblee-nationale.fr/sycomore/fiche/(num_dept)/6075", "6075")</f>
        <v>0</v>
      </c>
      <c r="N4802">
        <f>HYPERLINK("https://www.wikidata.org/wiki/Q8329067", "Q8329067")</f>
        <v>0</v>
      </c>
      <c r="O4802" t="s">
        <v>19999</v>
      </c>
      <c r="P4802" t="s">
        <v>20459</v>
      </c>
      <c r="Q4802" t="s">
        <v>11935</v>
      </c>
      <c r="R4802" t="s">
        <v>21493</v>
      </c>
      <c r="S4802">
        <v>1471</v>
      </c>
    </row>
    <row r="4803" spans="1:19">
      <c r="A4803" t="s">
        <v>26</v>
      </c>
      <c r="B4803" t="s">
        <v>148</v>
      </c>
      <c r="C4803" t="s">
        <v>158</v>
      </c>
      <c r="D4803" t="s">
        <v>287</v>
      </c>
      <c r="E4803" t="s">
        <v>416</v>
      </c>
      <c r="F4803">
        <f>HYPERLINK("https://www.wikidata.org/wiki/Q33756209", "Q33756209")</f>
        <v>0</v>
      </c>
      <c r="G4803" t="s">
        <v>3159</v>
      </c>
      <c r="H4803" t="s">
        <v>6272</v>
      </c>
      <c r="I4803" t="s">
        <v>10669</v>
      </c>
      <c r="J4803" t="s">
        <v>13780</v>
      </c>
      <c r="K4803" t="s">
        <v>18155</v>
      </c>
      <c r="L4803">
        <f>HYPERLINK("https://www2.assemblee-nationale.fr/sycomore/fiche/(num_dept)/6080", "6080")</f>
        <v>0</v>
      </c>
      <c r="N4803">
        <f>HYPERLINK("https://www.wikidata.org/wiki/Q16026447", "Q16026447")</f>
        <v>0</v>
      </c>
      <c r="O4803" t="s">
        <v>19967</v>
      </c>
      <c r="P4803" t="s">
        <v>20460</v>
      </c>
      <c r="Q4803" t="s">
        <v>11935</v>
      </c>
      <c r="R4803" t="s">
        <v>18155</v>
      </c>
      <c r="S4803">
        <v>472</v>
      </c>
    </row>
    <row r="4804" spans="1:19">
      <c r="A4804" t="s">
        <v>26</v>
      </c>
      <c r="B4804" t="s">
        <v>148</v>
      </c>
      <c r="C4804" t="s">
        <v>158</v>
      </c>
      <c r="D4804" t="s">
        <v>287</v>
      </c>
      <c r="E4804" t="s">
        <v>416</v>
      </c>
      <c r="F4804">
        <f>HYPERLINK("https://www.wikidata.org/wiki/Q33756209", "Q33756209")</f>
        <v>0</v>
      </c>
      <c r="G4804" t="s">
        <v>2648</v>
      </c>
      <c r="H4804" t="s">
        <v>7190</v>
      </c>
      <c r="I4804" t="s">
        <v>10337</v>
      </c>
      <c r="J4804" t="s">
        <v>13290</v>
      </c>
      <c r="K4804" t="s">
        <v>17689</v>
      </c>
      <c r="L4804">
        <f>HYPERLINK("https://www2.assemblee-nationale.fr/sycomore/fiche/(num_dept)/6106", "6106")</f>
        <v>0</v>
      </c>
      <c r="N4804">
        <f>HYPERLINK("https://www.wikidata.org/wiki/Q2401407", "Q2401407")</f>
        <v>0</v>
      </c>
      <c r="O4804" t="s">
        <v>20013</v>
      </c>
      <c r="P4804" t="s">
        <v>20460</v>
      </c>
      <c r="Q4804" t="s">
        <v>11935</v>
      </c>
      <c r="R4804" t="s">
        <v>21493</v>
      </c>
      <c r="S4804">
        <v>1471</v>
      </c>
    </row>
    <row r="4805" spans="1:19">
      <c r="A4805" t="s">
        <v>26</v>
      </c>
      <c r="B4805" t="s">
        <v>148</v>
      </c>
      <c r="C4805" t="s">
        <v>158</v>
      </c>
      <c r="D4805" t="s">
        <v>287</v>
      </c>
      <c r="E4805" t="s">
        <v>416</v>
      </c>
      <c r="F4805">
        <f>HYPERLINK("https://www.wikidata.org/wiki/Q33756209", "Q33756209")</f>
        <v>0</v>
      </c>
      <c r="G4805" t="s">
        <v>3160</v>
      </c>
      <c r="H4805" t="s">
        <v>7595</v>
      </c>
      <c r="I4805" t="s">
        <v>10670</v>
      </c>
      <c r="J4805" t="s">
        <v>13781</v>
      </c>
      <c r="K4805" t="s">
        <v>18156</v>
      </c>
      <c r="L4805">
        <f>HYPERLINK("https://www2.assemblee-nationale.fr/sycomore/fiche/(num_dept)/6147", "6147")</f>
        <v>0</v>
      </c>
      <c r="N4805">
        <f>HYPERLINK("https://www.wikidata.org/wiki/Q3592358", "Q3592358")</f>
        <v>0</v>
      </c>
      <c r="O4805" t="s">
        <v>20011</v>
      </c>
      <c r="P4805" t="s">
        <v>20460</v>
      </c>
      <c r="Q4805" t="s">
        <v>11935</v>
      </c>
      <c r="R4805" t="s">
        <v>21493</v>
      </c>
      <c r="S4805">
        <v>1471</v>
      </c>
    </row>
    <row r="4806" spans="1:19">
      <c r="A4806" t="s">
        <v>26</v>
      </c>
      <c r="B4806" t="s">
        <v>148</v>
      </c>
      <c r="C4806" t="s">
        <v>158</v>
      </c>
      <c r="D4806" t="s">
        <v>287</v>
      </c>
      <c r="E4806" t="s">
        <v>416</v>
      </c>
      <c r="F4806">
        <f>HYPERLINK("https://www.wikidata.org/wiki/Q33756209", "Q33756209")</f>
        <v>0</v>
      </c>
      <c r="G4806" t="s">
        <v>3161</v>
      </c>
      <c r="H4806" t="s">
        <v>7596</v>
      </c>
      <c r="I4806" t="s">
        <v>10671</v>
      </c>
      <c r="J4806" t="s">
        <v>13782</v>
      </c>
      <c r="K4806" t="s">
        <v>18157</v>
      </c>
      <c r="L4806">
        <f>HYPERLINK("https://www2.assemblee-nationale.fr/sycomore/fiche/(num_dept)/6203", "6203")</f>
        <v>0</v>
      </c>
      <c r="N4806">
        <f>HYPERLINK("https://www.wikidata.org/wiki/Q16026463", "Q16026463")</f>
        <v>0</v>
      </c>
      <c r="O4806" t="s">
        <v>19972</v>
      </c>
      <c r="P4806" t="s">
        <v>20460</v>
      </c>
      <c r="Q4806" t="s">
        <v>11935</v>
      </c>
      <c r="R4806" t="s">
        <v>21493</v>
      </c>
      <c r="S4806">
        <v>1471</v>
      </c>
    </row>
    <row r="4807" spans="1:19">
      <c r="A4807" t="s">
        <v>26</v>
      </c>
      <c r="B4807" t="s">
        <v>148</v>
      </c>
      <c r="C4807" t="s">
        <v>158</v>
      </c>
      <c r="D4807" t="s">
        <v>287</v>
      </c>
      <c r="E4807" t="s">
        <v>416</v>
      </c>
      <c r="F4807">
        <f>HYPERLINK("https://www.wikidata.org/wiki/Q33756209", "Q33756209")</f>
        <v>0</v>
      </c>
      <c r="G4807" t="s">
        <v>3162</v>
      </c>
      <c r="H4807" t="s">
        <v>7597</v>
      </c>
      <c r="I4807" t="s">
        <v>10672</v>
      </c>
      <c r="J4807" t="s">
        <v>13783</v>
      </c>
      <c r="K4807" t="s">
        <v>18158</v>
      </c>
      <c r="L4807">
        <f>HYPERLINK("https://www2.assemblee-nationale.fr/sycomore/fiche/(num_dept)/6218", "6218")</f>
        <v>0</v>
      </c>
      <c r="N4807">
        <f>HYPERLINK("https://www.wikidata.org/wiki/Q3098955", "Q3098955")</f>
        <v>0</v>
      </c>
      <c r="O4807" t="s">
        <v>20011</v>
      </c>
      <c r="P4807" t="s">
        <v>20460</v>
      </c>
      <c r="Q4807" t="s">
        <v>11935</v>
      </c>
      <c r="R4807" t="s">
        <v>21493</v>
      </c>
      <c r="S4807">
        <v>1471</v>
      </c>
    </row>
    <row r="4808" spans="1:19">
      <c r="A4808" t="s">
        <v>26</v>
      </c>
      <c r="B4808" t="s">
        <v>148</v>
      </c>
      <c r="C4808" t="s">
        <v>158</v>
      </c>
      <c r="D4808" t="s">
        <v>287</v>
      </c>
      <c r="E4808" t="s">
        <v>416</v>
      </c>
      <c r="F4808">
        <f>HYPERLINK("https://www.wikidata.org/wiki/Q33756209", "Q33756209")</f>
        <v>0</v>
      </c>
      <c r="G4808" t="s">
        <v>2656</v>
      </c>
      <c r="H4808" t="s">
        <v>7196</v>
      </c>
      <c r="I4808" t="s">
        <v>10343</v>
      </c>
      <c r="J4808" t="s">
        <v>13298</v>
      </c>
      <c r="K4808" t="s">
        <v>17697</v>
      </c>
      <c r="L4808">
        <f>HYPERLINK("https://www2.assemblee-nationale.fr/sycomore/fiche/(num_dept)/6222", "6222")</f>
        <v>0</v>
      </c>
      <c r="N4808">
        <f>HYPERLINK("https://www.wikidata.org/wiki/Q3592434", "Q3592434")</f>
        <v>0</v>
      </c>
      <c r="O4808" t="s">
        <v>19975</v>
      </c>
      <c r="P4808" t="s">
        <v>20460</v>
      </c>
      <c r="Q4808" t="s">
        <v>11935</v>
      </c>
      <c r="R4808" t="s">
        <v>21493</v>
      </c>
      <c r="S4808">
        <v>1471</v>
      </c>
    </row>
    <row r="4809" spans="1:19">
      <c r="A4809" t="s">
        <v>26</v>
      </c>
      <c r="B4809" t="s">
        <v>148</v>
      </c>
      <c r="C4809" t="s">
        <v>158</v>
      </c>
      <c r="D4809" t="s">
        <v>287</v>
      </c>
      <c r="E4809" t="s">
        <v>416</v>
      </c>
      <c r="F4809">
        <f>HYPERLINK("https://www.wikidata.org/wiki/Q33756209", "Q33756209")</f>
        <v>0</v>
      </c>
      <c r="G4809" t="s">
        <v>2657</v>
      </c>
      <c r="H4809" t="s">
        <v>7197</v>
      </c>
      <c r="I4809" t="s">
        <v>10344</v>
      </c>
      <c r="J4809" t="s">
        <v>11632</v>
      </c>
      <c r="K4809" t="s">
        <v>17698</v>
      </c>
      <c r="L4809">
        <f>HYPERLINK("https://www2.assemblee-nationale.fr/sycomore/fiche/(num_dept)/6230", "6230")</f>
        <v>0</v>
      </c>
      <c r="M4809">
        <f>HYPERLINK("https://www.senat.fr/senateur-3eme-republique/saint_romme_mathias1205r3.html", "saint_romme_mathias1205r3")</f>
        <v>0</v>
      </c>
      <c r="N4809">
        <f>HYPERLINK("https://www.wikidata.org/wiki/Q3298594", "Q3298594")</f>
        <v>0</v>
      </c>
      <c r="O4809" t="s">
        <v>20006</v>
      </c>
      <c r="P4809" t="s">
        <v>20459</v>
      </c>
      <c r="Q4809" t="s">
        <v>11935</v>
      </c>
      <c r="R4809" t="s">
        <v>21493</v>
      </c>
      <c r="S4809">
        <v>1471</v>
      </c>
    </row>
    <row r="4810" spans="1:19">
      <c r="A4810" t="s">
        <v>26</v>
      </c>
      <c r="B4810" t="s">
        <v>148</v>
      </c>
      <c r="C4810" t="s">
        <v>158</v>
      </c>
      <c r="D4810" t="s">
        <v>287</v>
      </c>
      <c r="E4810" t="s">
        <v>416</v>
      </c>
      <c r="F4810">
        <f>HYPERLINK("https://www.wikidata.org/wiki/Q33756209", "Q33756209")</f>
        <v>0</v>
      </c>
      <c r="G4810" t="s">
        <v>3163</v>
      </c>
      <c r="H4810" t="s">
        <v>7598</v>
      </c>
      <c r="I4810" t="s">
        <v>10673</v>
      </c>
      <c r="J4810" t="s">
        <v>13784</v>
      </c>
      <c r="K4810" t="s">
        <v>18159</v>
      </c>
      <c r="L4810">
        <f>HYPERLINK("https://www2.assemblee-nationale.fr/sycomore/fiche/(num_dept)/6238", "6238")</f>
        <v>0</v>
      </c>
      <c r="N4810">
        <f>HYPERLINK("https://www.wikidata.org/wiki/Q3372505", "Q3372505")</f>
        <v>0</v>
      </c>
      <c r="O4810" t="s">
        <v>20011</v>
      </c>
      <c r="P4810" t="s">
        <v>20460</v>
      </c>
      <c r="Q4810" t="s">
        <v>11935</v>
      </c>
      <c r="R4810" t="s">
        <v>21493</v>
      </c>
      <c r="S4810">
        <v>1471</v>
      </c>
    </row>
    <row r="4811" spans="1:19">
      <c r="A4811" t="s">
        <v>26</v>
      </c>
      <c r="B4811" t="s">
        <v>148</v>
      </c>
      <c r="C4811" t="s">
        <v>158</v>
      </c>
      <c r="D4811" t="s">
        <v>287</v>
      </c>
      <c r="E4811" t="s">
        <v>416</v>
      </c>
      <c r="F4811">
        <f>HYPERLINK("https://www.wikidata.org/wiki/Q33756209", "Q33756209")</f>
        <v>0</v>
      </c>
      <c r="G4811" t="s">
        <v>2658</v>
      </c>
      <c r="H4811" t="s">
        <v>7198</v>
      </c>
      <c r="I4811" t="s">
        <v>10345</v>
      </c>
      <c r="J4811" t="s">
        <v>13299</v>
      </c>
      <c r="K4811" t="s">
        <v>17699</v>
      </c>
      <c r="L4811">
        <f>HYPERLINK("https://www2.assemblee-nationale.fr/sycomore/fiche/(num_dept)/6250", "6250")</f>
        <v>0</v>
      </c>
      <c r="N4811">
        <f>HYPERLINK("https://www.wikidata.org/wiki/Q16026472", "Q16026472")</f>
        <v>0</v>
      </c>
      <c r="O4811" t="s">
        <v>7411</v>
      </c>
      <c r="P4811" t="s">
        <v>20401</v>
      </c>
      <c r="Q4811" t="s">
        <v>11935</v>
      </c>
      <c r="R4811" t="s">
        <v>21493</v>
      </c>
      <c r="S4811">
        <v>1471</v>
      </c>
    </row>
    <row r="4812" spans="1:19">
      <c r="A4812" t="s">
        <v>26</v>
      </c>
      <c r="B4812" t="s">
        <v>148</v>
      </c>
      <c r="C4812" t="s">
        <v>158</v>
      </c>
      <c r="D4812" t="s">
        <v>287</v>
      </c>
      <c r="E4812" t="s">
        <v>416</v>
      </c>
      <c r="F4812">
        <f>HYPERLINK("https://www.wikidata.org/wiki/Q33756209", "Q33756209")</f>
        <v>0</v>
      </c>
      <c r="G4812" t="s">
        <v>2659</v>
      </c>
      <c r="H4812" t="s">
        <v>7199</v>
      </c>
      <c r="I4812" t="s">
        <v>9376</v>
      </c>
      <c r="J4812" t="s">
        <v>13300</v>
      </c>
      <c r="K4812" t="s">
        <v>17700</v>
      </c>
      <c r="L4812">
        <f>HYPERLINK("https://www2.assemblee-nationale.fr/sycomore/fiche/(num_dept)/6297", "6297")</f>
        <v>0</v>
      </c>
      <c r="M4812">
        <f>HYPERLINK("https://www.senat.fr/senateur-3eme-republique/sarrien_ferdinand1219r3.html", "sarrien_ferdinand1219r3")</f>
        <v>0</v>
      </c>
      <c r="N4812">
        <f>HYPERLINK("https://www.wikidata.org/wiki/Q718698", "Q718698")</f>
        <v>0</v>
      </c>
      <c r="O4812" t="s">
        <v>19994</v>
      </c>
      <c r="P4812" t="s">
        <v>20459</v>
      </c>
      <c r="Q4812" t="s">
        <v>11935</v>
      </c>
      <c r="R4812" t="s">
        <v>21493</v>
      </c>
      <c r="S4812">
        <v>1471</v>
      </c>
    </row>
    <row r="4813" spans="1:19">
      <c r="A4813" t="s">
        <v>26</v>
      </c>
      <c r="B4813" t="s">
        <v>148</v>
      </c>
      <c r="C4813" t="s">
        <v>158</v>
      </c>
      <c r="D4813" t="s">
        <v>287</v>
      </c>
      <c r="E4813" t="s">
        <v>416</v>
      </c>
      <c r="F4813">
        <f>HYPERLINK("https://www.wikidata.org/wiki/Q33756209", "Q33756209")</f>
        <v>0</v>
      </c>
      <c r="G4813" t="s">
        <v>2661</v>
      </c>
      <c r="H4813" t="s">
        <v>7201</v>
      </c>
      <c r="I4813" t="s">
        <v>10346</v>
      </c>
      <c r="J4813" t="s">
        <v>13302</v>
      </c>
      <c r="K4813" t="s">
        <v>17702</v>
      </c>
      <c r="L4813">
        <f>HYPERLINK("https://www2.assemblee-nationale.fr/sycomore/fiche/(num_dept)/6397", "6397")</f>
        <v>0</v>
      </c>
      <c r="N4813">
        <f>HYPERLINK("https://www.wikidata.org/wiki/Q3121020", "Q3121020")</f>
        <v>0</v>
      </c>
      <c r="O4813" t="s">
        <v>19982</v>
      </c>
      <c r="P4813" t="s">
        <v>20460</v>
      </c>
      <c r="Q4813" t="s">
        <v>11935</v>
      </c>
      <c r="R4813" t="s">
        <v>21493</v>
      </c>
      <c r="S4813">
        <v>1471</v>
      </c>
    </row>
    <row r="4814" spans="1:19">
      <c r="A4814" t="s">
        <v>26</v>
      </c>
      <c r="B4814" t="s">
        <v>148</v>
      </c>
      <c r="C4814" t="s">
        <v>158</v>
      </c>
      <c r="D4814" t="s">
        <v>287</v>
      </c>
      <c r="E4814" t="s">
        <v>416</v>
      </c>
      <c r="F4814">
        <f>HYPERLINK("https://www.wikidata.org/wiki/Q33756209", "Q33756209")</f>
        <v>0</v>
      </c>
      <c r="G4814" t="s">
        <v>2662</v>
      </c>
      <c r="H4814" t="s">
        <v>7202</v>
      </c>
      <c r="I4814" t="s">
        <v>10347</v>
      </c>
      <c r="J4814" t="s">
        <v>13303</v>
      </c>
      <c r="K4814" t="s">
        <v>17703</v>
      </c>
      <c r="L4814">
        <f>HYPERLINK("https://www2.assemblee-nationale.fr/sycomore/fiche/(num_dept)/6478", "6478")</f>
        <v>0</v>
      </c>
      <c r="N4814">
        <f>HYPERLINK("https://www.wikidata.org/wiki/Q16026366", "Q16026366")</f>
        <v>0</v>
      </c>
      <c r="O4814" t="s">
        <v>19986</v>
      </c>
      <c r="P4814" t="s">
        <v>20401</v>
      </c>
      <c r="Q4814" t="s">
        <v>11935</v>
      </c>
      <c r="R4814" t="s">
        <v>21493</v>
      </c>
      <c r="S4814">
        <v>1471</v>
      </c>
    </row>
    <row r="4815" spans="1:19">
      <c r="A4815" t="s">
        <v>26</v>
      </c>
      <c r="B4815" t="s">
        <v>148</v>
      </c>
      <c r="C4815" t="s">
        <v>158</v>
      </c>
      <c r="D4815" t="s">
        <v>287</v>
      </c>
      <c r="E4815" t="s">
        <v>416</v>
      </c>
      <c r="F4815">
        <f>HYPERLINK("https://www.wikidata.org/wiki/Q33756209", "Q33756209")</f>
        <v>0</v>
      </c>
      <c r="G4815" t="s">
        <v>2663</v>
      </c>
      <c r="H4815" t="s">
        <v>7203</v>
      </c>
      <c r="I4815" t="s">
        <v>10348</v>
      </c>
      <c r="J4815" t="s">
        <v>13304</v>
      </c>
      <c r="K4815" t="s">
        <v>17704</v>
      </c>
      <c r="L4815">
        <f>HYPERLINK("https://www2.assemblee-nationale.fr/sycomore/fiche/(num_dept)/6484", "6484")</f>
        <v>0</v>
      </c>
      <c r="N4815">
        <f>HYPERLINK("https://www.wikidata.org/wiki/Q15969647", "Q15969647")</f>
        <v>0</v>
      </c>
      <c r="O4815" t="s">
        <v>20045</v>
      </c>
      <c r="P4815" t="s">
        <v>20460</v>
      </c>
      <c r="Q4815" t="s">
        <v>11935</v>
      </c>
      <c r="R4815" t="s">
        <v>21493</v>
      </c>
      <c r="S4815">
        <v>1471</v>
      </c>
    </row>
    <row r="4816" spans="1:19">
      <c r="A4816" t="s">
        <v>26</v>
      </c>
      <c r="B4816" t="s">
        <v>148</v>
      </c>
      <c r="C4816" t="s">
        <v>158</v>
      </c>
      <c r="D4816" t="s">
        <v>287</v>
      </c>
      <c r="E4816" t="s">
        <v>416</v>
      </c>
      <c r="F4816">
        <f>HYPERLINK("https://www.wikidata.org/wiki/Q33756209", "Q33756209")</f>
        <v>0</v>
      </c>
      <c r="G4816" t="s">
        <v>3037</v>
      </c>
      <c r="H4816" t="s">
        <v>7493</v>
      </c>
      <c r="I4816" t="s">
        <v>10591</v>
      </c>
      <c r="J4816" t="s">
        <v>13665</v>
      </c>
      <c r="K4816" t="s">
        <v>18047</v>
      </c>
      <c r="L4816">
        <f>HYPERLINK("https://www2.assemblee-nationale.fr/sycomore/fiche/(num_dept)/6494", "6494")</f>
        <v>0</v>
      </c>
      <c r="N4816">
        <f>HYPERLINK("https://www.wikidata.org/wiki/Q2898056", "Q2898056")</f>
        <v>0</v>
      </c>
      <c r="O4816" t="s">
        <v>19999</v>
      </c>
      <c r="P4816" t="s">
        <v>20465</v>
      </c>
      <c r="Q4816" t="s">
        <v>11935</v>
      </c>
      <c r="R4816" t="s">
        <v>21493</v>
      </c>
      <c r="S4816">
        <v>1471</v>
      </c>
    </row>
    <row r="4817" spans="1:19">
      <c r="A4817" t="s">
        <v>26</v>
      </c>
      <c r="B4817" t="s">
        <v>148</v>
      </c>
      <c r="C4817" t="s">
        <v>158</v>
      </c>
      <c r="D4817" t="s">
        <v>287</v>
      </c>
      <c r="E4817" t="s">
        <v>416</v>
      </c>
      <c r="F4817">
        <f>HYPERLINK("https://www.wikidata.org/wiki/Q33756209", "Q33756209")</f>
        <v>0</v>
      </c>
      <c r="G4817" t="s">
        <v>3164</v>
      </c>
      <c r="H4817" t="s">
        <v>6292</v>
      </c>
      <c r="I4817" t="s">
        <v>10674</v>
      </c>
      <c r="J4817" t="s">
        <v>13785</v>
      </c>
      <c r="K4817" t="s">
        <v>18160</v>
      </c>
      <c r="L4817">
        <f>HYPERLINK("https://www2.assemblee-nationale.fr/sycomore/fiche/(num_dept)/6496", "6496")</f>
        <v>0</v>
      </c>
      <c r="M4817">
        <f>HYPERLINK("https://www.senat.fr/senateur-3eme-republique/prevet_charles1608r3.html", "prevet_charles1608r3")</f>
        <v>0</v>
      </c>
      <c r="N4817">
        <f>HYPERLINK("https://www.wikidata.org/wiki/Q2960051", "Q2960051")</f>
        <v>0</v>
      </c>
      <c r="O4817" t="s">
        <v>20026</v>
      </c>
      <c r="P4817" t="s">
        <v>20401</v>
      </c>
      <c r="Q4817" t="s">
        <v>11935</v>
      </c>
      <c r="R4817" t="s">
        <v>21493</v>
      </c>
      <c r="S4817">
        <v>1471</v>
      </c>
    </row>
    <row r="4818" spans="1:19">
      <c r="A4818" t="s">
        <v>26</v>
      </c>
      <c r="B4818" t="s">
        <v>148</v>
      </c>
      <c r="C4818" t="s">
        <v>158</v>
      </c>
      <c r="D4818" t="s">
        <v>287</v>
      </c>
      <c r="E4818" t="s">
        <v>416</v>
      </c>
      <c r="F4818">
        <f>HYPERLINK("https://www.wikidata.org/wiki/Q33756209", "Q33756209")</f>
        <v>0</v>
      </c>
      <c r="G4818" t="s">
        <v>2664</v>
      </c>
      <c r="H4818" t="s">
        <v>6024</v>
      </c>
      <c r="I4818" t="s">
        <v>10017</v>
      </c>
      <c r="J4818" t="s">
        <v>13305</v>
      </c>
      <c r="K4818" t="s">
        <v>17705</v>
      </c>
      <c r="L4818">
        <f>HYPERLINK("https://www2.assemblee-nationale.fr/sycomore/fiche/(num_dept)/6516", "6516")</f>
        <v>0</v>
      </c>
      <c r="N4818">
        <f>HYPERLINK("https://www.wikidata.org/wiki/Q598992", "Q598992")</f>
        <v>0</v>
      </c>
      <c r="O4818" t="s">
        <v>20021</v>
      </c>
      <c r="P4818" t="s">
        <v>20459</v>
      </c>
      <c r="Q4818" t="s">
        <v>11935</v>
      </c>
      <c r="R4818" t="s">
        <v>21493</v>
      </c>
      <c r="S4818">
        <v>1471</v>
      </c>
    </row>
    <row r="4819" spans="1:19">
      <c r="A4819" t="s">
        <v>26</v>
      </c>
      <c r="B4819" t="s">
        <v>148</v>
      </c>
      <c r="C4819" t="s">
        <v>158</v>
      </c>
      <c r="D4819" t="s">
        <v>287</v>
      </c>
      <c r="E4819" t="s">
        <v>416</v>
      </c>
      <c r="F4819">
        <f>HYPERLINK("https://www.wikidata.org/wiki/Q33756209", "Q33756209")</f>
        <v>0</v>
      </c>
      <c r="G4819" t="s">
        <v>3074</v>
      </c>
      <c r="H4819" t="s">
        <v>7524</v>
      </c>
      <c r="I4819" t="s">
        <v>10612</v>
      </c>
      <c r="J4819" t="s">
        <v>13698</v>
      </c>
      <c r="K4819" t="s">
        <v>18081</v>
      </c>
      <c r="L4819">
        <f>HYPERLINK("https://www2.assemblee-nationale.fr/sycomore/fiche/(num_dept)/6600", "6600")</f>
        <v>0</v>
      </c>
      <c r="N4819">
        <f>HYPERLINK("https://www.wikidata.org/wiki/Q3047479", "Q3047479")</f>
        <v>0</v>
      </c>
      <c r="O4819" t="s">
        <v>19992</v>
      </c>
      <c r="P4819" t="s">
        <v>20460</v>
      </c>
      <c r="Q4819" t="s">
        <v>11935</v>
      </c>
      <c r="R4819" t="s">
        <v>18081</v>
      </c>
      <c r="S4819">
        <v>494</v>
      </c>
    </row>
    <row r="4820" spans="1:19">
      <c r="A4820" t="s">
        <v>26</v>
      </c>
      <c r="B4820" t="s">
        <v>148</v>
      </c>
      <c r="C4820" t="s">
        <v>158</v>
      </c>
      <c r="D4820" t="s">
        <v>287</v>
      </c>
      <c r="E4820" t="s">
        <v>416</v>
      </c>
      <c r="F4820">
        <f>HYPERLINK("https://www.wikidata.org/wiki/Q33756209", "Q33756209")</f>
        <v>0</v>
      </c>
      <c r="G4820" t="s">
        <v>2665</v>
      </c>
      <c r="H4820" t="s">
        <v>5556</v>
      </c>
      <c r="I4820" t="s">
        <v>10349</v>
      </c>
      <c r="J4820" t="s">
        <v>13306</v>
      </c>
      <c r="K4820" t="s">
        <v>17706</v>
      </c>
      <c r="L4820">
        <f>HYPERLINK("https://www2.assemblee-nationale.fr/sycomore/fiche/(num_dept)/6613", "6613")</f>
        <v>0</v>
      </c>
      <c r="N4820">
        <f>HYPERLINK("https://www.wikidata.org/wiki/Q3121306", "Q3121306")</f>
        <v>0</v>
      </c>
      <c r="O4820" t="s">
        <v>19985</v>
      </c>
      <c r="P4820" t="s">
        <v>20460</v>
      </c>
      <c r="Q4820" t="s">
        <v>11935</v>
      </c>
      <c r="R4820" t="s">
        <v>21493</v>
      </c>
      <c r="S4820">
        <v>1471</v>
      </c>
    </row>
    <row r="4821" spans="1:19">
      <c r="A4821" t="s">
        <v>26</v>
      </c>
      <c r="B4821" t="s">
        <v>148</v>
      </c>
      <c r="C4821" t="s">
        <v>158</v>
      </c>
      <c r="D4821" t="s">
        <v>287</v>
      </c>
      <c r="E4821" t="s">
        <v>416</v>
      </c>
      <c r="F4821">
        <f>HYPERLINK("https://www.wikidata.org/wiki/Q33756209", "Q33756209")</f>
        <v>0</v>
      </c>
      <c r="G4821" t="s">
        <v>3165</v>
      </c>
      <c r="H4821" t="s">
        <v>5558</v>
      </c>
      <c r="I4821" t="s">
        <v>10675</v>
      </c>
      <c r="J4821" t="s">
        <v>13786</v>
      </c>
      <c r="K4821" t="s">
        <v>18161</v>
      </c>
      <c r="L4821">
        <f>HYPERLINK("https://www2.assemblee-nationale.fr/sycomore/fiche/(num_dept)/6636", "6636")</f>
        <v>0</v>
      </c>
      <c r="M4821">
        <f>HYPERLINK("https://www.senat.fr/senateur-3eme-republique/razimbaud_jules0239r3.html", "razimbaud_jules0239r3")</f>
        <v>0</v>
      </c>
      <c r="N4821">
        <f>HYPERLINK("https://www.wikidata.org/wiki/Q3188871", "Q3188871")</f>
        <v>0</v>
      </c>
      <c r="O4821" t="s">
        <v>7411</v>
      </c>
      <c r="P4821" t="s">
        <v>20401</v>
      </c>
      <c r="Q4821" t="s">
        <v>11935</v>
      </c>
      <c r="R4821" t="s">
        <v>21493</v>
      </c>
      <c r="S4821">
        <v>1471</v>
      </c>
    </row>
    <row r="4822" spans="1:19">
      <c r="A4822" t="s">
        <v>26</v>
      </c>
      <c r="B4822" t="s">
        <v>148</v>
      </c>
      <c r="C4822" t="s">
        <v>158</v>
      </c>
      <c r="D4822" t="s">
        <v>287</v>
      </c>
      <c r="E4822" t="s">
        <v>416</v>
      </c>
      <c r="F4822">
        <f>HYPERLINK("https://www.wikidata.org/wiki/Q33756209", "Q33756209")</f>
        <v>0</v>
      </c>
      <c r="G4822" t="s">
        <v>2668</v>
      </c>
      <c r="H4822" t="s">
        <v>5559</v>
      </c>
      <c r="I4822" t="s">
        <v>10351</v>
      </c>
      <c r="J4822" t="s">
        <v>13309</v>
      </c>
      <c r="K4822" t="s">
        <v>17709</v>
      </c>
      <c r="L4822">
        <f>HYPERLINK("https://www2.assemblee-nationale.fr/sycomore/fiche/(num_dept)/6661", "6661")</f>
        <v>0</v>
      </c>
      <c r="N4822">
        <f>HYPERLINK("https://www.wikidata.org/wiki/Q3426803", "Q3426803")</f>
        <v>0</v>
      </c>
      <c r="O4822" t="s">
        <v>19962</v>
      </c>
      <c r="P4822" t="s">
        <v>20460</v>
      </c>
      <c r="Q4822" t="s">
        <v>11935</v>
      </c>
      <c r="R4822" t="s">
        <v>21493</v>
      </c>
      <c r="S4822">
        <v>1471</v>
      </c>
    </row>
    <row r="4823" spans="1:19">
      <c r="A4823" t="s">
        <v>26</v>
      </c>
      <c r="B4823" t="s">
        <v>148</v>
      </c>
      <c r="C4823" t="s">
        <v>158</v>
      </c>
      <c r="D4823" t="s">
        <v>287</v>
      </c>
      <c r="E4823" t="s">
        <v>416</v>
      </c>
      <c r="F4823">
        <f>HYPERLINK("https://www.wikidata.org/wiki/Q33756209", "Q33756209")</f>
        <v>0</v>
      </c>
      <c r="G4823" t="s">
        <v>3166</v>
      </c>
      <c r="H4823" t="s">
        <v>5796</v>
      </c>
      <c r="I4823" t="s">
        <v>10676</v>
      </c>
      <c r="J4823" t="s">
        <v>13787</v>
      </c>
      <c r="K4823" t="s">
        <v>18162</v>
      </c>
      <c r="L4823">
        <f>HYPERLINK("https://www2.assemblee-nationale.fr/sycomore/fiche/(num_dept)/6672", "6672")</f>
        <v>0</v>
      </c>
      <c r="N4823">
        <f>HYPERLINK("https://www.wikidata.org/wiki/Q16026404", "Q16026404")</f>
        <v>0</v>
      </c>
      <c r="O4823" t="s">
        <v>20013</v>
      </c>
      <c r="P4823" t="s">
        <v>20460</v>
      </c>
      <c r="Q4823" t="s">
        <v>11935</v>
      </c>
      <c r="R4823" t="s">
        <v>21493</v>
      </c>
      <c r="S4823">
        <v>1471</v>
      </c>
    </row>
    <row r="4824" spans="1:19">
      <c r="A4824" t="s">
        <v>26</v>
      </c>
      <c r="B4824" t="s">
        <v>148</v>
      </c>
      <c r="C4824" t="s">
        <v>158</v>
      </c>
      <c r="D4824" t="s">
        <v>287</v>
      </c>
      <c r="E4824" t="s">
        <v>416</v>
      </c>
      <c r="F4824">
        <f>HYPERLINK("https://www.wikidata.org/wiki/Q33756209", "Q33756209")</f>
        <v>0</v>
      </c>
      <c r="G4824" t="s">
        <v>3167</v>
      </c>
      <c r="H4824" t="s">
        <v>7599</v>
      </c>
      <c r="I4824" t="s">
        <v>10677</v>
      </c>
      <c r="J4824" t="s">
        <v>13788</v>
      </c>
      <c r="K4824" t="s">
        <v>18163</v>
      </c>
      <c r="L4824">
        <f>HYPERLINK("https://www2.assemblee-nationale.fr/sycomore/fiche/(num_dept)/6704", "6704")</f>
        <v>0</v>
      </c>
      <c r="N4824">
        <f>HYPERLINK("https://www.wikidata.org/wiki/Q8313709", "Q8313709")</f>
        <v>0</v>
      </c>
      <c r="O4824" t="s">
        <v>20041</v>
      </c>
      <c r="Q4824" t="s">
        <v>11935</v>
      </c>
      <c r="R4824" t="s">
        <v>21493</v>
      </c>
      <c r="S4824">
        <v>1471</v>
      </c>
    </row>
    <row r="4825" spans="1:19">
      <c r="A4825" t="s">
        <v>26</v>
      </c>
      <c r="B4825" t="s">
        <v>148</v>
      </c>
      <c r="C4825" t="s">
        <v>158</v>
      </c>
      <c r="D4825" t="s">
        <v>287</v>
      </c>
      <c r="E4825" t="s">
        <v>416</v>
      </c>
      <c r="F4825">
        <f>HYPERLINK("https://www.wikidata.org/wiki/Q33756209", "Q33756209")</f>
        <v>0</v>
      </c>
      <c r="G4825" t="s">
        <v>2671</v>
      </c>
      <c r="H4825" t="s">
        <v>7208</v>
      </c>
      <c r="I4825" t="s">
        <v>9553</v>
      </c>
      <c r="J4825" t="s">
        <v>13312</v>
      </c>
      <c r="K4825" t="s">
        <v>17712</v>
      </c>
      <c r="L4825">
        <f>HYPERLINK("https://www2.assemblee-nationale.fr/sycomore/fiche/(num_dept)/6727", "6727")</f>
        <v>0</v>
      </c>
      <c r="M4825">
        <f>HYPERLINK("https://www.senat.fr/senateur-3eme-republique/ribot_alexandre0941r3.html", "ribot_alexandre0941r3")</f>
        <v>0</v>
      </c>
      <c r="N4825">
        <f>HYPERLINK("https://www.wikidata.org/wiki/Q358387", "Q358387")</f>
        <v>0</v>
      </c>
      <c r="O4825" t="s">
        <v>19968</v>
      </c>
      <c r="Q4825" t="s">
        <v>11935</v>
      </c>
      <c r="R4825" t="s">
        <v>21493</v>
      </c>
      <c r="S4825">
        <v>1471</v>
      </c>
    </row>
    <row r="4826" spans="1:19">
      <c r="A4826" t="s">
        <v>26</v>
      </c>
      <c r="B4826" t="s">
        <v>148</v>
      </c>
      <c r="C4826" t="s">
        <v>158</v>
      </c>
      <c r="D4826" t="s">
        <v>287</v>
      </c>
      <c r="E4826" t="s">
        <v>416</v>
      </c>
      <c r="F4826">
        <f>HYPERLINK("https://www.wikidata.org/wiki/Q33756209", "Q33756209")</f>
        <v>0</v>
      </c>
      <c r="G4826" t="s">
        <v>3168</v>
      </c>
      <c r="H4826" t="s">
        <v>7600</v>
      </c>
      <c r="I4826" t="s">
        <v>6495</v>
      </c>
      <c r="J4826" t="s">
        <v>13789</v>
      </c>
      <c r="K4826" t="s">
        <v>18164</v>
      </c>
      <c r="L4826">
        <f>HYPERLINK("https://www2.assemblee-nationale.fr/sycomore/fiche/(num_dept)/6729", "6729")</f>
        <v>0</v>
      </c>
      <c r="N4826">
        <f>HYPERLINK("https://www.wikidata.org/wiki/Q3263005", "Q3263005")</f>
        <v>0</v>
      </c>
      <c r="O4826" t="s">
        <v>19978</v>
      </c>
      <c r="Q4826" t="s">
        <v>11935</v>
      </c>
      <c r="R4826" t="s">
        <v>21493</v>
      </c>
      <c r="S4826">
        <v>1471</v>
      </c>
    </row>
    <row r="4827" spans="1:19">
      <c r="A4827" t="s">
        <v>26</v>
      </c>
      <c r="B4827" t="s">
        <v>148</v>
      </c>
      <c r="C4827" t="s">
        <v>158</v>
      </c>
      <c r="D4827" t="s">
        <v>287</v>
      </c>
      <c r="E4827" t="s">
        <v>416</v>
      </c>
      <c r="F4827">
        <f>HYPERLINK("https://www.wikidata.org/wiki/Q33756209", "Q33756209")</f>
        <v>0</v>
      </c>
      <c r="G4827" t="s">
        <v>2672</v>
      </c>
      <c r="H4827" t="s">
        <v>6303</v>
      </c>
      <c r="I4827" t="s">
        <v>9506</v>
      </c>
      <c r="J4827" t="s">
        <v>13313</v>
      </c>
      <c r="K4827" t="s">
        <v>17713</v>
      </c>
      <c r="L4827">
        <f>HYPERLINK("https://www2.assemblee-nationale.fr/sycomore/fiche/(num_dept)/6732", "6732")</f>
        <v>0</v>
      </c>
      <c r="N4827">
        <f>HYPERLINK("https://www.wikidata.org/wiki/Q16026417", "Q16026417")</f>
        <v>0</v>
      </c>
      <c r="O4827" t="s">
        <v>20044</v>
      </c>
      <c r="P4827" t="s">
        <v>20459</v>
      </c>
      <c r="Q4827" t="s">
        <v>11935</v>
      </c>
      <c r="R4827" t="s">
        <v>21493</v>
      </c>
      <c r="S4827">
        <v>1471</v>
      </c>
    </row>
    <row r="4828" spans="1:19">
      <c r="A4828" t="s">
        <v>26</v>
      </c>
      <c r="B4828" t="s">
        <v>148</v>
      </c>
      <c r="C4828" t="s">
        <v>158</v>
      </c>
      <c r="D4828" t="s">
        <v>287</v>
      </c>
      <c r="E4828" t="s">
        <v>416</v>
      </c>
      <c r="F4828">
        <f>HYPERLINK("https://www.wikidata.org/wiki/Q33756209", "Q33756209")</f>
        <v>0</v>
      </c>
      <c r="G4828" t="s">
        <v>3068</v>
      </c>
      <c r="H4828" t="s">
        <v>7303</v>
      </c>
      <c r="I4828" t="s">
        <v>10608</v>
      </c>
      <c r="J4828" t="s">
        <v>13692</v>
      </c>
      <c r="K4828" t="s">
        <v>18075</v>
      </c>
      <c r="L4828">
        <f>HYPERLINK("https://www2.assemblee-nationale.fr/sycomore/fiche/(num_dept)/6785", "6785")</f>
        <v>0</v>
      </c>
      <c r="N4828">
        <f>HYPERLINK("https://www.wikidata.org/wiki/Q3090160", "Q3090160")</f>
        <v>0</v>
      </c>
      <c r="O4828" t="s">
        <v>19964</v>
      </c>
      <c r="P4828" t="s">
        <v>20460</v>
      </c>
      <c r="Q4828" t="s">
        <v>11935</v>
      </c>
      <c r="R4828" t="s">
        <v>21493</v>
      </c>
      <c r="S4828">
        <v>1471</v>
      </c>
    </row>
    <row r="4829" spans="1:19">
      <c r="A4829" t="s">
        <v>26</v>
      </c>
      <c r="B4829" t="s">
        <v>148</v>
      </c>
      <c r="C4829" t="s">
        <v>158</v>
      </c>
      <c r="D4829" t="s">
        <v>287</v>
      </c>
      <c r="E4829" t="s">
        <v>416</v>
      </c>
      <c r="F4829">
        <f>HYPERLINK("https://www.wikidata.org/wiki/Q33756209", "Q33756209")</f>
        <v>0</v>
      </c>
      <c r="G4829" t="s">
        <v>3169</v>
      </c>
      <c r="H4829" t="s">
        <v>7601</v>
      </c>
      <c r="I4829" t="s">
        <v>10678</v>
      </c>
      <c r="J4829" t="s">
        <v>13790</v>
      </c>
      <c r="K4829" t="s">
        <v>18165</v>
      </c>
      <c r="L4829">
        <f>HYPERLINK("https://www2.assemblee-nationale.fr/sycomore/fiche/(num_dept)/6811", "6811")</f>
        <v>0</v>
      </c>
      <c r="N4829">
        <f>HYPERLINK("https://www.wikidata.org/wiki/Q3271327", "Q3271327")</f>
        <v>0</v>
      </c>
      <c r="O4829" t="s">
        <v>19992</v>
      </c>
      <c r="P4829" t="s">
        <v>20460</v>
      </c>
      <c r="Q4829" t="s">
        <v>11935</v>
      </c>
      <c r="R4829" t="s">
        <v>21493</v>
      </c>
      <c r="S4829">
        <v>1471</v>
      </c>
    </row>
    <row r="4830" spans="1:19">
      <c r="A4830" t="s">
        <v>26</v>
      </c>
      <c r="B4830" t="s">
        <v>148</v>
      </c>
      <c r="C4830" t="s">
        <v>158</v>
      </c>
      <c r="D4830" t="s">
        <v>287</v>
      </c>
      <c r="E4830" t="s">
        <v>416</v>
      </c>
      <c r="F4830">
        <f>HYPERLINK("https://www.wikidata.org/wiki/Q33756209", "Q33756209")</f>
        <v>0</v>
      </c>
      <c r="G4830" t="s">
        <v>1052</v>
      </c>
      <c r="H4830" t="s">
        <v>5799</v>
      </c>
      <c r="I4830" t="s">
        <v>9449</v>
      </c>
      <c r="J4830" t="s">
        <v>11789</v>
      </c>
      <c r="K4830" t="s">
        <v>16190</v>
      </c>
      <c r="L4830">
        <f>HYPERLINK("https://www2.assemblee-nationale.fr/sycomore/fiche/(num_dept)/6832", "6832")</f>
        <v>0</v>
      </c>
      <c r="M4830">
        <f>HYPERLINK("https://www.senat.fr/senateur-3eme-republique/siegfried_jules1584r3.html", "siegfried_jules1584r3")</f>
        <v>0</v>
      </c>
      <c r="N4830">
        <f>HYPERLINK("https://www.wikidata.org/wiki/Q3188910", "Q3188910")</f>
        <v>0</v>
      </c>
      <c r="O4830" t="s">
        <v>19978</v>
      </c>
      <c r="P4830" t="s">
        <v>20459</v>
      </c>
      <c r="Q4830" t="s">
        <v>11935</v>
      </c>
      <c r="R4830" t="s">
        <v>21493</v>
      </c>
      <c r="S4830">
        <v>1471</v>
      </c>
    </row>
    <row r="4831" spans="1:19">
      <c r="A4831" t="s">
        <v>26</v>
      </c>
      <c r="B4831" t="s">
        <v>148</v>
      </c>
      <c r="C4831" t="s">
        <v>158</v>
      </c>
      <c r="D4831" t="s">
        <v>287</v>
      </c>
      <c r="E4831" t="s">
        <v>416</v>
      </c>
      <c r="F4831">
        <f>HYPERLINK("https://www.wikidata.org/wiki/Q33756209", "Q33756209")</f>
        <v>0</v>
      </c>
      <c r="G4831" t="s">
        <v>2676</v>
      </c>
      <c r="H4831" t="s">
        <v>7210</v>
      </c>
      <c r="I4831" t="s">
        <v>10357</v>
      </c>
      <c r="J4831" t="s">
        <v>13317</v>
      </c>
      <c r="K4831" t="s">
        <v>17717</v>
      </c>
      <c r="L4831">
        <f>HYPERLINK("https://www2.assemblee-nationale.fr/sycomore/fiche/(num_dept)/6851", "6851")</f>
        <v>0</v>
      </c>
      <c r="N4831">
        <f>HYPERLINK("https://www.wikidata.org/wiki/Q16026507", "Q16026507")</f>
        <v>0</v>
      </c>
      <c r="O4831" t="s">
        <v>19999</v>
      </c>
      <c r="P4831" t="s">
        <v>20401</v>
      </c>
      <c r="Q4831" t="s">
        <v>11935</v>
      </c>
      <c r="R4831" t="s">
        <v>21493</v>
      </c>
      <c r="S4831">
        <v>1471</v>
      </c>
    </row>
    <row r="4832" spans="1:19">
      <c r="A4832" t="s">
        <v>26</v>
      </c>
      <c r="B4832" t="s">
        <v>148</v>
      </c>
      <c r="C4832" t="s">
        <v>158</v>
      </c>
      <c r="D4832" t="s">
        <v>287</v>
      </c>
      <c r="E4832" t="s">
        <v>416</v>
      </c>
      <c r="F4832">
        <f>HYPERLINK("https://www.wikidata.org/wiki/Q33756209", "Q33756209")</f>
        <v>0</v>
      </c>
      <c r="G4832" t="s">
        <v>2677</v>
      </c>
      <c r="H4832" t="s">
        <v>7211</v>
      </c>
      <c r="I4832" t="s">
        <v>10358</v>
      </c>
      <c r="J4832" t="s">
        <v>13318</v>
      </c>
      <c r="K4832" t="s">
        <v>17718</v>
      </c>
      <c r="L4832">
        <f>HYPERLINK("https://www2.assemblee-nationale.fr/sycomore/fiche/(num_dept)/6868", "6868")</f>
        <v>0</v>
      </c>
      <c r="N4832">
        <f>HYPERLINK("https://www.wikidata.org/wiki/Q8299196", "Q8299196")</f>
        <v>0</v>
      </c>
      <c r="O4832" t="s">
        <v>19980</v>
      </c>
      <c r="P4832" t="s">
        <v>20460</v>
      </c>
      <c r="Q4832" t="s">
        <v>11935</v>
      </c>
      <c r="R4832" t="s">
        <v>21493</v>
      </c>
      <c r="S4832">
        <v>1471</v>
      </c>
    </row>
    <row r="4833" spans="1:19">
      <c r="A4833" t="s">
        <v>26</v>
      </c>
      <c r="B4833" t="s">
        <v>148</v>
      </c>
      <c r="C4833" t="s">
        <v>158</v>
      </c>
      <c r="D4833" t="s">
        <v>287</v>
      </c>
      <c r="E4833" t="s">
        <v>416</v>
      </c>
      <c r="F4833">
        <f>HYPERLINK("https://www.wikidata.org/wiki/Q33756209", "Q33756209")</f>
        <v>0</v>
      </c>
      <c r="G4833" t="s">
        <v>2678</v>
      </c>
      <c r="H4833" t="s">
        <v>7212</v>
      </c>
      <c r="I4833" t="s">
        <v>10359</v>
      </c>
      <c r="J4833" t="s">
        <v>13319</v>
      </c>
      <c r="K4833" t="s">
        <v>17719</v>
      </c>
      <c r="L4833">
        <f>HYPERLINK("https://www2.assemblee-nationale.fr/sycomore/fiche/(num_dept)/6875", "6875")</f>
        <v>0</v>
      </c>
      <c r="N4833">
        <f>HYPERLINK("https://www.wikidata.org/wiki/Q3167677", "Q3167677")</f>
        <v>0</v>
      </c>
      <c r="O4833" t="s">
        <v>19982</v>
      </c>
      <c r="P4833" t="s">
        <v>20460</v>
      </c>
      <c r="Q4833" t="s">
        <v>11935</v>
      </c>
      <c r="R4833" t="s">
        <v>21493</v>
      </c>
      <c r="S4833">
        <v>1471</v>
      </c>
    </row>
    <row r="4834" spans="1:19">
      <c r="A4834" t="s">
        <v>26</v>
      </c>
      <c r="B4834" t="s">
        <v>148</v>
      </c>
      <c r="C4834" t="s">
        <v>158</v>
      </c>
      <c r="D4834" t="s">
        <v>287</v>
      </c>
      <c r="E4834" t="s">
        <v>416</v>
      </c>
      <c r="F4834">
        <f>HYPERLINK("https://www.wikidata.org/wiki/Q33756209", "Q33756209")</f>
        <v>0</v>
      </c>
      <c r="G4834" t="s">
        <v>3170</v>
      </c>
      <c r="H4834" t="s">
        <v>6034</v>
      </c>
      <c r="I4834" t="s">
        <v>10679</v>
      </c>
      <c r="J4834" t="s">
        <v>13791</v>
      </c>
      <c r="K4834" t="s">
        <v>18166</v>
      </c>
      <c r="L4834">
        <f>HYPERLINK("https://www2.assemblee-nationale.fr/sycomore/fiche/(num_dept)/6937", "6937")</f>
        <v>0</v>
      </c>
      <c r="N4834">
        <f>HYPERLINK("https://www.wikidata.org/wiki/Q16026528", "Q16026528")</f>
        <v>0</v>
      </c>
      <c r="O4834" t="s">
        <v>19968</v>
      </c>
      <c r="P4834" t="s">
        <v>20460</v>
      </c>
      <c r="Q4834" t="s">
        <v>11935</v>
      </c>
      <c r="R4834" t="s">
        <v>21493</v>
      </c>
      <c r="S4834">
        <v>1471</v>
      </c>
    </row>
    <row r="4835" spans="1:19">
      <c r="A4835" t="s">
        <v>26</v>
      </c>
      <c r="B4835" t="s">
        <v>148</v>
      </c>
      <c r="C4835" t="s">
        <v>158</v>
      </c>
      <c r="D4835" t="s">
        <v>287</v>
      </c>
      <c r="E4835" t="s">
        <v>416</v>
      </c>
      <c r="F4835">
        <f>HYPERLINK("https://www.wikidata.org/wiki/Q33756209", "Q33756209")</f>
        <v>0</v>
      </c>
      <c r="G4835" t="s">
        <v>2683</v>
      </c>
      <c r="H4835" t="s">
        <v>7216</v>
      </c>
      <c r="I4835" t="s">
        <v>6860</v>
      </c>
      <c r="J4835" t="s">
        <v>13324</v>
      </c>
      <c r="K4835" t="s">
        <v>17724</v>
      </c>
      <c r="L4835">
        <f>HYPERLINK("https://www2.assemblee-nationale.fr/sycomore/fiche/(num_dept)/6959", "6959")</f>
        <v>0</v>
      </c>
      <c r="M4835">
        <f>HYPERLINK("https://www.senat.fr/senateur-3eme-republique/tassin_pierre0376r3.html", "tassin_pierre0376r3")</f>
        <v>0</v>
      </c>
      <c r="N4835">
        <f>HYPERLINK("https://www.wikidata.org/wiki/Q2420595", "Q2420595")</f>
        <v>0</v>
      </c>
      <c r="O4835" t="s">
        <v>20039</v>
      </c>
      <c r="P4835" t="s">
        <v>20461</v>
      </c>
      <c r="Q4835" t="s">
        <v>11935</v>
      </c>
      <c r="R4835" t="s">
        <v>21493</v>
      </c>
      <c r="S4835">
        <v>1471</v>
      </c>
    </row>
    <row r="4836" spans="1:19">
      <c r="A4836" t="s">
        <v>26</v>
      </c>
      <c r="B4836" t="s">
        <v>148</v>
      </c>
      <c r="C4836" t="s">
        <v>158</v>
      </c>
      <c r="D4836" t="s">
        <v>287</v>
      </c>
      <c r="E4836" t="s">
        <v>416</v>
      </c>
      <c r="F4836">
        <f>HYPERLINK("https://www.wikidata.org/wiki/Q33756209", "Q33756209")</f>
        <v>0</v>
      </c>
      <c r="G4836" t="s">
        <v>2684</v>
      </c>
      <c r="H4836" t="s">
        <v>7217</v>
      </c>
      <c r="I4836" t="s">
        <v>10362</v>
      </c>
      <c r="J4836" t="s">
        <v>13325</v>
      </c>
      <c r="K4836" t="s">
        <v>17725</v>
      </c>
      <c r="L4836">
        <f>HYPERLINK("https://www2.assemblee-nationale.fr/sycomore/fiche/(num_dept)/6998", "6998")</f>
        <v>0</v>
      </c>
      <c r="N4836">
        <f>HYPERLINK("https://www.wikidata.org/wiki/Q8299209", "Q8299209")</f>
        <v>0</v>
      </c>
      <c r="O4836" t="s">
        <v>19980</v>
      </c>
      <c r="P4836" t="s">
        <v>20460</v>
      </c>
      <c r="Q4836" t="s">
        <v>11935</v>
      </c>
      <c r="R4836" t="s">
        <v>21493</v>
      </c>
      <c r="S4836">
        <v>1471</v>
      </c>
    </row>
    <row r="4837" spans="1:19">
      <c r="A4837" t="s">
        <v>26</v>
      </c>
      <c r="B4837" t="s">
        <v>148</v>
      </c>
      <c r="C4837" t="s">
        <v>158</v>
      </c>
      <c r="D4837" t="s">
        <v>287</v>
      </c>
      <c r="E4837" t="s">
        <v>416</v>
      </c>
      <c r="F4837">
        <f>HYPERLINK("https://www.wikidata.org/wiki/Q33756209", "Q33756209")</f>
        <v>0</v>
      </c>
      <c r="G4837" t="s">
        <v>3171</v>
      </c>
      <c r="H4837" t="s">
        <v>7602</v>
      </c>
      <c r="I4837" t="s">
        <v>10680</v>
      </c>
      <c r="J4837" t="s">
        <v>13792</v>
      </c>
      <c r="K4837" t="s">
        <v>18167</v>
      </c>
      <c r="L4837">
        <f>HYPERLINK("https://www2.assemblee-nationale.fr/sycomore/fiche/(num_dept)/7014", "7014")</f>
        <v>0</v>
      </c>
      <c r="N4837">
        <f>HYPERLINK("https://www.wikidata.org/wiki/Q16026549", "Q16026549")</f>
        <v>0</v>
      </c>
      <c r="O4837" t="s">
        <v>20013</v>
      </c>
      <c r="P4837" t="s">
        <v>20460</v>
      </c>
      <c r="Q4837" t="s">
        <v>11935</v>
      </c>
      <c r="R4837" t="s">
        <v>21493</v>
      </c>
      <c r="S4837">
        <v>1471</v>
      </c>
    </row>
    <row r="4838" spans="1:19">
      <c r="A4838" t="s">
        <v>26</v>
      </c>
      <c r="B4838" t="s">
        <v>148</v>
      </c>
      <c r="C4838" t="s">
        <v>158</v>
      </c>
      <c r="D4838" t="s">
        <v>287</v>
      </c>
      <c r="E4838" t="s">
        <v>416</v>
      </c>
      <c r="F4838">
        <f>HYPERLINK("https://www.wikidata.org/wiki/Q33756209", "Q33756209")</f>
        <v>0</v>
      </c>
      <c r="G4838" t="s">
        <v>2686</v>
      </c>
      <c r="H4838" t="s">
        <v>7219</v>
      </c>
      <c r="I4838" t="s">
        <v>10364</v>
      </c>
      <c r="J4838" t="s">
        <v>13327</v>
      </c>
      <c r="K4838" t="s">
        <v>17727</v>
      </c>
      <c r="L4838">
        <f>HYPERLINK("https://www2.assemblee-nationale.fr/sycomore/fiche/(num_dept)/7017", "7017")</f>
        <v>0</v>
      </c>
      <c r="N4838">
        <f>HYPERLINK("https://www.wikidata.org/wiki/Q16026550", "Q16026550")</f>
        <v>0</v>
      </c>
      <c r="O4838" t="s">
        <v>20010</v>
      </c>
      <c r="P4838" t="s">
        <v>20401</v>
      </c>
      <c r="Q4838" t="s">
        <v>11935</v>
      </c>
      <c r="R4838" t="s">
        <v>21493</v>
      </c>
      <c r="S4838">
        <v>1471</v>
      </c>
    </row>
    <row r="4839" spans="1:19">
      <c r="A4839" t="s">
        <v>26</v>
      </c>
      <c r="B4839" t="s">
        <v>148</v>
      </c>
      <c r="C4839" t="s">
        <v>158</v>
      </c>
      <c r="D4839" t="s">
        <v>287</v>
      </c>
      <c r="E4839" t="s">
        <v>416</v>
      </c>
      <c r="F4839">
        <f>HYPERLINK("https://www.wikidata.org/wiki/Q33756209", "Q33756209")</f>
        <v>0</v>
      </c>
      <c r="G4839" t="s">
        <v>818</v>
      </c>
      <c r="H4839" t="s">
        <v>5575</v>
      </c>
      <c r="I4839" t="s">
        <v>9470</v>
      </c>
      <c r="J4839" t="s">
        <v>11565</v>
      </c>
      <c r="K4839" t="s">
        <v>15969</v>
      </c>
      <c r="L4839">
        <f>HYPERLINK("https://www2.assemblee-nationale.fr/sycomore/fiche/(num_dept)/7055", "7055")</f>
        <v>0</v>
      </c>
      <c r="N4839">
        <f>HYPERLINK("https://www.wikidata.org/wiki/Q2246519", "Q2246519")</f>
        <v>0</v>
      </c>
      <c r="O4839" t="s">
        <v>20000</v>
      </c>
      <c r="P4839" t="s">
        <v>20459</v>
      </c>
      <c r="Q4839" t="s">
        <v>11935</v>
      </c>
      <c r="R4839" t="s">
        <v>21493</v>
      </c>
      <c r="S4839">
        <v>1471</v>
      </c>
    </row>
    <row r="4840" spans="1:19">
      <c r="A4840" t="s">
        <v>26</v>
      </c>
      <c r="B4840" t="s">
        <v>148</v>
      </c>
      <c r="C4840" t="s">
        <v>158</v>
      </c>
      <c r="D4840" t="s">
        <v>287</v>
      </c>
      <c r="E4840" t="s">
        <v>416</v>
      </c>
      <c r="F4840">
        <f>HYPERLINK("https://www.wikidata.org/wiki/Q33756209", "Q33756209")</f>
        <v>0</v>
      </c>
      <c r="G4840" t="s">
        <v>2689</v>
      </c>
      <c r="H4840" t="s">
        <v>7221</v>
      </c>
      <c r="I4840" t="s">
        <v>10367</v>
      </c>
      <c r="J4840" t="s">
        <v>13330</v>
      </c>
      <c r="K4840" t="s">
        <v>17730</v>
      </c>
      <c r="L4840">
        <f>HYPERLINK("https://www2.assemblee-nationale.fr/sycomore/fiche/(num_dept)/7098", "7098")</f>
        <v>0</v>
      </c>
      <c r="N4840">
        <f>HYPERLINK("https://www.wikidata.org/wiki/Q16026562", "Q16026562")</f>
        <v>0</v>
      </c>
      <c r="O4840" t="s">
        <v>19986</v>
      </c>
      <c r="P4840" t="s">
        <v>20459</v>
      </c>
      <c r="Q4840" t="s">
        <v>11935</v>
      </c>
      <c r="R4840" t="s">
        <v>21493</v>
      </c>
      <c r="S4840">
        <v>1471</v>
      </c>
    </row>
    <row r="4841" spans="1:19">
      <c r="A4841" t="s">
        <v>26</v>
      </c>
      <c r="B4841" t="s">
        <v>148</v>
      </c>
      <c r="C4841" t="s">
        <v>158</v>
      </c>
      <c r="D4841" t="s">
        <v>287</v>
      </c>
      <c r="E4841" t="s">
        <v>416</v>
      </c>
      <c r="F4841">
        <f>HYPERLINK("https://www.wikidata.org/wiki/Q33756209", "Q33756209")</f>
        <v>0</v>
      </c>
      <c r="G4841" t="s">
        <v>2690</v>
      </c>
      <c r="H4841" t="s">
        <v>7222</v>
      </c>
      <c r="I4841" t="s">
        <v>10368</v>
      </c>
      <c r="J4841" t="s">
        <v>13331</v>
      </c>
      <c r="K4841" t="s">
        <v>17731</v>
      </c>
      <c r="L4841">
        <f>HYPERLINK("https://www2.assemblee-nationale.fr/sycomore/fiche/(num_dept)/7137", "7137")</f>
        <v>0</v>
      </c>
      <c r="M4841">
        <f>HYPERLINK("https://www.senat.fr/senateur-3eme-republique/treille_alcide0693r3.html", "treille_alcide0693r3")</f>
        <v>0</v>
      </c>
      <c r="N4841">
        <f>HYPERLINK("https://www.wikidata.org/wiki/Q16798572", "Q16798572")</f>
        <v>0</v>
      </c>
      <c r="O4841" t="s">
        <v>20000</v>
      </c>
      <c r="P4841" t="s">
        <v>20459</v>
      </c>
      <c r="Q4841" t="s">
        <v>11935</v>
      </c>
      <c r="R4841" t="s">
        <v>21493</v>
      </c>
      <c r="S4841">
        <v>1471</v>
      </c>
    </row>
    <row r="4842" spans="1:19">
      <c r="A4842" t="s">
        <v>26</v>
      </c>
      <c r="B4842" t="s">
        <v>148</v>
      </c>
      <c r="C4842" t="s">
        <v>158</v>
      </c>
      <c r="D4842" t="s">
        <v>287</v>
      </c>
      <c r="E4842" t="s">
        <v>416</v>
      </c>
      <c r="F4842">
        <f>HYPERLINK("https://www.wikidata.org/wiki/Q33756209", "Q33756209")</f>
        <v>0</v>
      </c>
      <c r="G4842" t="s">
        <v>2691</v>
      </c>
      <c r="H4842" t="s">
        <v>7223</v>
      </c>
      <c r="I4842" t="s">
        <v>10369</v>
      </c>
      <c r="J4842" t="s">
        <v>13332</v>
      </c>
      <c r="K4842" t="s">
        <v>17732</v>
      </c>
      <c r="L4842">
        <f>HYPERLINK("https://www2.assemblee-nationale.fr/sycomore/fiche/(num_dept)/7174", "7174")</f>
        <v>0</v>
      </c>
      <c r="N4842">
        <f>HYPERLINK("https://www.wikidata.org/wiki/Q3174122", "Q3174122")</f>
        <v>0</v>
      </c>
      <c r="O4842" t="s">
        <v>20032</v>
      </c>
      <c r="P4842" t="s">
        <v>20401</v>
      </c>
      <c r="Q4842" t="s">
        <v>11935</v>
      </c>
      <c r="R4842" t="s">
        <v>21493</v>
      </c>
      <c r="S4842">
        <v>1471</v>
      </c>
    </row>
    <row r="4843" spans="1:19">
      <c r="A4843" t="s">
        <v>26</v>
      </c>
      <c r="B4843" t="s">
        <v>148</v>
      </c>
      <c r="C4843" t="s">
        <v>158</v>
      </c>
      <c r="D4843" t="s">
        <v>287</v>
      </c>
      <c r="E4843" t="s">
        <v>416</v>
      </c>
      <c r="F4843">
        <f>HYPERLINK("https://www.wikidata.org/wiki/Q33756209", "Q33756209")</f>
        <v>0</v>
      </c>
      <c r="G4843" t="s">
        <v>2693</v>
      </c>
      <c r="H4843" t="s">
        <v>7225</v>
      </c>
      <c r="I4843" t="s">
        <v>10370</v>
      </c>
      <c r="J4843" t="s">
        <v>13334</v>
      </c>
      <c r="K4843" t="s">
        <v>17734</v>
      </c>
      <c r="L4843">
        <f>HYPERLINK("https://www2.assemblee-nationale.fr/sycomore/fiche/(num_dept)/7191", "7191")</f>
        <v>0</v>
      </c>
      <c r="N4843">
        <f>HYPERLINK("https://www.wikidata.org/wiki/Q16026577", "Q16026577")</f>
        <v>0</v>
      </c>
      <c r="O4843" t="s">
        <v>20020</v>
      </c>
      <c r="P4843" t="s">
        <v>20456</v>
      </c>
      <c r="Q4843" t="s">
        <v>11935</v>
      </c>
      <c r="R4843" t="s">
        <v>21493</v>
      </c>
      <c r="S4843">
        <v>1471</v>
      </c>
    </row>
    <row r="4844" spans="1:19">
      <c r="A4844" t="s">
        <v>26</v>
      </c>
      <c r="B4844" t="s">
        <v>148</v>
      </c>
      <c r="C4844" t="s">
        <v>158</v>
      </c>
      <c r="D4844" t="s">
        <v>287</v>
      </c>
      <c r="E4844" t="s">
        <v>416</v>
      </c>
      <c r="F4844">
        <f>HYPERLINK("https://www.wikidata.org/wiki/Q33756209", "Q33756209")</f>
        <v>0</v>
      </c>
      <c r="G4844" t="s">
        <v>3172</v>
      </c>
      <c r="H4844" t="s">
        <v>7603</v>
      </c>
      <c r="I4844" t="s">
        <v>10681</v>
      </c>
      <c r="J4844" t="s">
        <v>13793</v>
      </c>
      <c r="K4844" t="s">
        <v>18168</v>
      </c>
      <c r="L4844">
        <f>HYPERLINK("https://www2.assemblee-nationale.fr/sycomore/fiche/(num_dept)/7440", "7440")</f>
        <v>0</v>
      </c>
      <c r="N4844">
        <f>HYPERLINK("https://www.wikidata.org/wiki/Q2993635", "Q2993635")</f>
        <v>0</v>
      </c>
      <c r="O4844" t="s">
        <v>20009</v>
      </c>
      <c r="P4844" t="s">
        <v>20460</v>
      </c>
      <c r="Q4844" t="s">
        <v>11935</v>
      </c>
      <c r="R4844" t="s">
        <v>21493</v>
      </c>
      <c r="S4844">
        <v>1471</v>
      </c>
    </row>
    <row r="4845" spans="1:19">
      <c r="A4845" t="s">
        <v>26</v>
      </c>
      <c r="B4845" t="s">
        <v>148</v>
      </c>
      <c r="C4845" t="s">
        <v>158</v>
      </c>
      <c r="D4845" t="s">
        <v>287</v>
      </c>
      <c r="E4845" t="s">
        <v>416</v>
      </c>
      <c r="F4845">
        <f>HYPERLINK("https://www.wikidata.org/wiki/Q33756209", "Q33756209")</f>
        <v>0</v>
      </c>
      <c r="G4845" t="s">
        <v>2694</v>
      </c>
      <c r="H4845" t="s">
        <v>7226</v>
      </c>
      <c r="I4845" t="s">
        <v>9488</v>
      </c>
      <c r="J4845" t="s">
        <v>13335</v>
      </c>
      <c r="K4845" t="s">
        <v>17735</v>
      </c>
      <c r="L4845">
        <f>HYPERLINK("https://www2.assemblee-nationale.fr/sycomore/fiche/(num_dept)/7442", "7442")</f>
        <v>0</v>
      </c>
      <c r="N4845">
        <f>HYPERLINK("https://www.wikidata.org/wiki/Q3014816", "Q3014816")</f>
        <v>0</v>
      </c>
      <c r="O4845" t="s">
        <v>20008</v>
      </c>
      <c r="P4845" t="s">
        <v>20459</v>
      </c>
      <c r="Q4845" t="s">
        <v>11935</v>
      </c>
      <c r="R4845" t="s">
        <v>21493</v>
      </c>
      <c r="S4845">
        <v>1471</v>
      </c>
    </row>
    <row r="4846" spans="1:19">
      <c r="A4846" t="s">
        <v>26</v>
      </c>
      <c r="B4846" t="s">
        <v>148</v>
      </c>
      <c r="C4846" t="s">
        <v>158</v>
      </c>
      <c r="D4846" t="s">
        <v>287</v>
      </c>
      <c r="E4846" t="s">
        <v>416</v>
      </c>
      <c r="F4846">
        <f>HYPERLINK("https://www.wikidata.org/wiki/Q33756209", "Q33756209")</f>
        <v>0</v>
      </c>
      <c r="G4846" t="s">
        <v>3173</v>
      </c>
      <c r="H4846" t="s">
        <v>7604</v>
      </c>
      <c r="I4846" t="s">
        <v>7790</v>
      </c>
      <c r="J4846" t="s">
        <v>13794</v>
      </c>
      <c r="K4846" t="s">
        <v>18169</v>
      </c>
      <c r="L4846">
        <f>HYPERLINK("https://www2.assemblee-nationale.fr/sycomore/fiche/(num_dept)/7446", "7446")</f>
        <v>0</v>
      </c>
      <c r="N4846">
        <f>HYPERLINK("https://www.wikidata.org/wiki/Q2861987", "Q2861987")</f>
        <v>0</v>
      </c>
      <c r="O4846" t="s">
        <v>20040</v>
      </c>
      <c r="P4846" t="s">
        <v>20460</v>
      </c>
      <c r="Q4846" t="s">
        <v>11935</v>
      </c>
      <c r="R4846" t="s">
        <v>21493</v>
      </c>
      <c r="S4846">
        <v>1471</v>
      </c>
    </row>
    <row r="4847" spans="1:19">
      <c r="A4847" t="s">
        <v>26</v>
      </c>
      <c r="B4847" t="s">
        <v>148</v>
      </c>
      <c r="C4847" t="s">
        <v>158</v>
      </c>
      <c r="D4847" t="s">
        <v>287</v>
      </c>
      <c r="E4847" t="s">
        <v>416</v>
      </c>
      <c r="F4847">
        <f>HYPERLINK("https://www.wikidata.org/wiki/Q33756209", "Q33756209")</f>
        <v>0</v>
      </c>
      <c r="G4847" t="s">
        <v>2695</v>
      </c>
      <c r="H4847" t="s">
        <v>7227</v>
      </c>
      <c r="I4847" t="s">
        <v>9449</v>
      </c>
      <c r="J4847" t="s">
        <v>13336</v>
      </c>
      <c r="K4847" t="s">
        <v>17736</v>
      </c>
      <c r="L4847">
        <f>HYPERLINK("https://www2.assemblee-nationale.fr/sycomore/fiche/(num_dept)/7450", "7450")</f>
        <v>0</v>
      </c>
      <c r="N4847">
        <f>HYPERLINK("https://www.wikidata.org/wiki/Q3188959", "Q3188959")</f>
        <v>0</v>
      </c>
      <c r="O4847" t="s">
        <v>19973</v>
      </c>
      <c r="P4847" t="s">
        <v>20403</v>
      </c>
      <c r="Q4847" t="s">
        <v>11935</v>
      </c>
      <c r="R4847" t="s">
        <v>21493</v>
      </c>
      <c r="S4847">
        <v>1471</v>
      </c>
    </row>
    <row r="4848" spans="1:19">
      <c r="A4848" t="s">
        <v>26</v>
      </c>
      <c r="B4848" t="s">
        <v>148</v>
      </c>
      <c r="C4848" t="s">
        <v>158</v>
      </c>
      <c r="D4848" t="s">
        <v>287</v>
      </c>
      <c r="E4848" t="s">
        <v>416</v>
      </c>
      <c r="F4848">
        <f>HYPERLINK("https://www.wikidata.org/wiki/Q33756209", "Q33756209")</f>
        <v>0</v>
      </c>
      <c r="G4848" t="s">
        <v>2696</v>
      </c>
      <c r="H4848" t="s">
        <v>7228</v>
      </c>
      <c r="I4848" t="s">
        <v>10371</v>
      </c>
      <c r="J4848" t="s">
        <v>13337</v>
      </c>
      <c r="K4848" t="s">
        <v>17737</v>
      </c>
      <c r="L4848">
        <f>HYPERLINK("https://www2.assemblee-nationale.fr/sycomore/fiche/(num_dept)/7458", "7458")</f>
        <v>0</v>
      </c>
      <c r="N4848">
        <f>HYPERLINK("https://www.wikidata.org/wiki/Q16026591", "Q16026591")</f>
        <v>0</v>
      </c>
      <c r="O4848" t="s">
        <v>7411</v>
      </c>
      <c r="P4848" t="s">
        <v>20456</v>
      </c>
      <c r="Q4848" t="s">
        <v>11935</v>
      </c>
      <c r="R4848" t="s">
        <v>21493</v>
      </c>
      <c r="S4848">
        <v>1471</v>
      </c>
    </row>
    <row r="4849" spans="1:19">
      <c r="A4849" t="s">
        <v>26</v>
      </c>
      <c r="B4849" t="s">
        <v>148</v>
      </c>
      <c r="C4849" t="s">
        <v>158</v>
      </c>
      <c r="D4849" t="s">
        <v>287</v>
      </c>
      <c r="E4849" t="s">
        <v>416</v>
      </c>
      <c r="F4849">
        <f>HYPERLINK("https://www.wikidata.org/wiki/Q33756209", "Q33756209")</f>
        <v>0</v>
      </c>
      <c r="G4849" t="s">
        <v>3033</v>
      </c>
      <c r="H4849" t="s">
        <v>7490</v>
      </c>
      <c r="I4849" t="s">
        <v>10588</v>
      </c>
      <c r="J4849" t="s">
        <v>13661</v>
      </c>
      <c r="K4849" t="s">
        <v>18043</v>
      </c>
      <c r="L4849">
        <f>HYPERLINK("https://www2.assemblee-nationale.fr/sycomore/fiche/(num_dept)/7459", "7459")</f>
        <v>0</v>
      </c>
      <c r="N4849">
        <f>HYPERLINK("https://www.wikidata.org/wiki/Q16026592", "Q16026592")</f>
        <v>0</v>
      </c>
      <c r="O4849" t="s">
        <v>7411</v>
      </c>
      <c r="P4849" t="s">
        <v>20401</v>
      </c>
      <c r="Q4849" t="s">
        <v>11935</v>
      </c>
      <c r="R4849" t="s">
        <v>21493</v>
      </c>
      <c r="S4849">
        <v>1471</v>
      </c>
    </row>
    <row r="4850" spans="1:19">
      <c r="A4850" t="s">
        <v>26</v>
      </c>
      <c r="B4850" t="s">
        <v>148</v>
      </c>
      <c r="C4850" t="s">
        <v>158</v>
      </c>
      <c r="D4850" t="s">
        <v>287</v>
      </c>
      <c r="E4850" t="s">
        <v>416</v>
      </c>
      <c r="F4850">
        <f>HYPERLINK("https://www.wikidata.org/wiki/Q33756209", "Q33756209")</f>
        <v>0</v>
      </c>
      <c r="G4850" t="s">
        <v>2697</v>
      </c>
      <c r="H4850" t="s">
        <v>7229</v>
      </c>
      <c r="I4850" t="s">
        <v>9506</v>
      </c>
      <c r="J4850" t="s">
        <v>13338</v>
      </c>
      <c r="K4850" t="s">
        <v>17738</v>
      </c>
      <c r="L4850">
        <f>HYPERLINK("https://www2.assemblee-nationale.fr/sycomore/fiche/(num_dept)/7461", "7461")</f>
        <v>0</v>
      </c>
      <c r="N4850">
        <f>HYPERLINK("https://www.wikidata.org/wiki/Q15971948", "Q15971948")</f>
        <v>0</v>
      </c>
      <c r="O4850" t="s">
        <v>20007</v>
      </c>
      <c r="P4850" t="s">
        <v>20459</v>
      </c>
      <c r="Q4850" t="s">
        <v>11935</v>
      </c>
      <c r="R4850" t="s">
        <v>21493</v>
      </c>
      <c r="S4850">
        <v>1471</v>
      </c>
    </row>
    <row r="4851" spans="1:19">
      <c r="A4851" t="s">
        <v>26</v>
      </c>
      <c r="B4851" t="s">
        <v>148</v>
      </c>
      <c r="C4851" t="s">
        <v>158</v>
      </c>
      <c r="D4851" t="s">
        <v>287</v>
      </c>
      <c r="E4851" t="s">
        <v>416</v>
      </c>
      <c r="F4851">
        <f>HYPERLINK("https://www.wikidata.org/wiki/Q33756209", "Q33756209")</f>
        <v>0</v>
      </c>
      <c r="G4851" t="s">
        <v>3174</v>
      </c>
      <c r="H4851" t="s">
        <v>7605</v>
      </c>
      <c r="I4851" t="s">
        <v>9375</v>
      </c>
      <c r="J4851" t="s">
        <v>13795</v>
      </c>
      <c r="K4851" t="s">
        <v>18170</v>
      </c>
      <c r="L4851">
        <f>HYPERLINK("https://www2.assemblee-nationale.fr/sycomore/fiche/(num_dept)/7464", "7464")</f>
        <v>0</v>
      </c>
      <c r="M4851">
        <f>HYPERLINK("https://www.senat.fr/senateur-3eme-republique/vilar_edouard1097r3.html", "vilar_edouard1097r3")</f>
        <v>0</v>
      </c>
      <c r="N4851">
        <f>HYPERLINK("https://www.wikidata.org/wiki/Q3580059", "Q3580059")</f>
        <v>0</v>
      </c>
      <c r="O4851" t="s">
        <v>20001</v>
      </c>
      <c r="P4851" t="s">
        <v>20456</v>
      </c>
      <c r="Q4851" t="s">
        <v>11935</v>
      </c>
      <c r="R4851" t="s">
        <v>21493</v>
      </c>
      <c r="S4851">
        <v>1471</v>
      </c>
    </row>
    <row r="4852" spans="1:19">
      <c r="A4852" t="s">
        <v>26</v>
      </c>
      <c r="B4852" t="s">
        <v>148</v>
      </c>
      <c r="C4852" t="s">
        <v>158</v>
      </c>
      <c r="D4852" t="s">
        <v>287</v>
      </c>
      <c r="E4852" t="s">
        <v>416</v>
      </c>
      <c r="F4852">
        <f>HYPERLINK("https://www.wikidata.org/wiki/Q33756209", "Q33756209")</f>
        <v>0</v>
      </c>
      <c r="G4852" t="s">
        <v>2699</v>
      </c>
      <c r="H4852" t="s">
        <v>7231</v>
      </c>
      <c r="I4852" t="s">
        <v>10372</v>
      </c>
      <c r="J4852" t="s">
        <v>13340</v>
      </c>
      <c r="K4852" t="s">
        <v>17740</v>
      </c>
      <c r="L4852">
        <f>HYPERLINK("https://www2.assemblee-nationale.fr/sycomore/fiche/(num_dept)/7467", "7467")</f>
        <v>0</v>
      </c>
      <c r="M4852">
        <f>HYPERLINK("https://www.senat.fr/senateur-3eme-republique/waddington_richard1606r3.html", "waddington_richard1606r3")</f>
        <v>0</v>
      </c>
      <c r="N4852">
        <f>HYPERLINK("https://www.wikidata.org/wiki/Q2150850", "Q2150850")</f>
        <v>0</v>
      </c>
      <c r="O4852" t="s">
        <v>19978</v>
      </c>
      <c r="P4852" t="s">
        <v>20459</v>
      </c>
      <c r="Q4852" t="s">
        <v>11935</v>
      </c>
      <c r="R4852" t="s">
        <v>21493</v>
      </c>
      <c r="S4852">
        <v>1471</v>
      </c>
    </row>
    <row r="4853" spans="1:19">
      <c r="A4853" t="s">
        <v>26</v>
      </c>
      <c r="B4853" t="s">
        <v>148</v>
      </c>
      <c r="C4853" t="s">
        <v>158</v>
      </c>
      <c r="D4853" t="s">
        <v>287</v>
      </c>
      <c r="E4853" t="s">
        <v>416</v>
      </c>
      <c r="F4853">
        <f>HYPERLINK("https://www.wikidata.org/wiki/Q33756209", "Q33756209")</f>
        <v>0</v>
      </c>
      <c r="G4853" t="s">
        <v>3175</v>
      </c>
      <c r="H4853" t="s">
        <v>7606</v>
      </c>
      <c r="I4853" t="s">
        <v>10682</v>
      </c>
      <c r="J4853" t="s">
        <v>13796</v>
      </c>
      <c r="K4853" t="s">
        <v>18171</v>
      </c>
      <c r="L4853">
        <f>HYPERLINK("https://www2.assemblee-nationale.fr/sycomore/fiche/(num_dept)/7470", "7470")</f>
        <v>0</v>
      </c>
      <c r="N4853">
        <f>HYPERLINK("https://www.wikidata.org/wiki/Q16026590", "Q16026590")</f>
        <v>0</v>
      </c>
      <c r="O4853" t="s">
        <v>19991</v>
      </c>
      <c r="P4853" t="s">
        <v>20460</v>
      </c>
      <c r="Q4853" t="s">
        <v>11935</v>
      </c>
      <c r="R4853" t="s">
        <v>21497</v>
      </c>
      <c r="S4853">
        <v>72</v>
      </c>
    </row>
    <row r="4854" spans="1:19">
      <c r="A4854" t="s">
        <v>26</v>
      </c>
      <c r="B4854" t="s">
        <v>148</v>
      </c>
      <c r="C4854" t="s">
        <v>158</v>
      </c>
      <c r="D4854" t="s">
        <v>287</v>
      </c>
      <c r="E4854" t="s">
        <v>416</v>
      </c>
      <c r="F4854">
        <f>HYPERLINK("https://www.wikidata.org/wiki/Q33756209", "Q33756209")</f>
        <v>0</v>
      </c>
      <c r="G4854" t="s">
        <v>2703</v>
      </c>
      <c r="H4854" t="s">
        <v>7235</v>
      </c>
      <c r="I4854" t="s">
        <v>5528</v>
      </c>
      <c r="J4854" t="s">
        <v>13344</v>
      </c>
      <c r="K4854" t="s">
        <v>17744</v>
      </c>
      <c r="L4854">
        <f>HYPERLINK("https://www2.assemblee-nationale.fr/sycomore/fiche/(num_dept)/7496", "7496")</f>
        <v>0</v>
      </c>
      <c r="N4854">
        <f>HYPERLINK("https://www.wikidata.org/wiki/Q16025951", "Q16025951")</f>
        <v>0</v>
      </c>
      <c r="O4854" t="s">
        <v>19981</v>
      </c>
      <c r="P4854" t="s">
        <v>20459</v>
      </c>
      <c r="Q4854" t="s">
        <v>11935</v>
      </c>
      <c r="R4854" t="s">
        <v>21493</v>
      </c>
      <c r="S4854">
        <v>1471</v>
      </c>
    </row>
    <row r="4855" spans="1:19">
      <c r="A4855" t="s">
        <v>26</v>
      </c>
      <c r="B4855" t="s">
        <v>148</v>
      </c>
      <c r="C4855" t="s">
        <v>158</v>
      </c>
      <c r="D4855" t="s">
        <v>287</v>
      </c>
      <c r="E4855" t="s">
        <v>416</v>
      </c>
      <c r="F4855">
        <f>HYPERLINK("https://www.wikidata.org/wiki/Q33756209", "Q33756209")</f>
        <v>0</v>
      </c>
      <c r="G4855" t="s">
        <v>2704</v>
      </c>
      <c r="H4855" t="s">
        <v>6798</v>
      </c>
      <c r="I4855" t="s">
        <v>10375</v>
      </c>
      <c r="J4855" t="s">
        <v>13345</v>
      </c>
      <c r="K4855" t="s">
        <v>17745</v>
      </c>
      <c r="L4855">
        <f>HYPERLINK("https://www2.assemblee-nationale.fr/sycomore/fiche/(num_dept)/7528", "7528")</f>
        <v>0</v>
      </c>
      <c r="N4855">
        <f>HYPERLINK("https://www.wikidata.org/wiki/Q16025956", "Q16025956")</f>
        <v>0</v>
      </c>
      <c r="O4855" t="s">
        <v>20005</v>
      </c>
      <c r="P4855" t="s">
        <v>20459</v>
      </c>
      <c r="Q4855" t="s">
        <v>11935</v>
      </c>
      <c r="R4855" t="s">
        <v>21493</v>
      </c>
      <c r="S4855">
        <v>1471</v>
      </c>
    </row>
    <row r="4856" spans="1:19">
      <c r="A4856" t="s">
        <v>26</v>
      </c>
      <c r="B4856" t="s">
        <v>148</v>
      </c>
      <c r="C4856" t="s">
        <v>158</v>
      </c>
      <c r="D4856" t="s">
        <v>287</v>
      </c>
      <c r="E4856" t="s">
        <v>416</v>
      </c>
      <c r="F4856">
        <f>HYPERLINK("https://www.wikidata.org/wiki/Q33756209", "Q33756209")</f>
        <v>0</v>
      </c>
      <c r="G4856" t="s">
        <v>2705</v>
      </c>
      <c r="H4856" t="s">
        <v>7236</v>
      </c>
      <c r="I4856" t="s">
        <v>9376</v>
      </c>
      <c r="J4856" t="s">
        <v>13346</v>
      </c>
      <c r="K4856" t="s">
        <v>17746</v>
      </c>
      <c r="L4856">
        <f>HYPERLINK("https://www2.assemblee-nationale.fr/sycomore/fiche/(num_dept)/7555", "7555")</f>
        <v>0</v>
      </c>
      <c r="N4856">
        <f>HYPERLINK("https://www.wikidata.org/wiki/Q13080871", "Q13080871")</f>
        <v>0</v>
      </c>
      <c r="O4856" t="s">
        <v>19978</v>
      </c>
      <c r="P4856" t="s">
        <v>20460</v>
      </c>
      <c r="Q4856" t="s">
        <v>11935</v>
      </c>
      <c r="R4856" t="s">
        <v>21493</v>
      </c>
      <c r="S4856">
        <v>1471</v>
      </c>
    </row>
    <row r="4857" spans="1:19">
      <c r="A4857" t="s">
        <v>26</v>
      </c>
      <c r="B4857" t="s">
        <v>148</v>
      </c>
      <c r="C4857" t="s">
        <v>158</v>
      </c>
      <c r="D4857" t="s">
        <v>287</v>
      </c>
      <c r="E4857" t="s">
        <v>416</v>
      </c>
      <c r="F4857">
        <f>HYPERLINK("https://www.wikidata.org/wiki/Q33756209", "Q33756209")</f>
        <v>0</v>
      </c>
      <c r="G4857" t="s">
        <v>3176</v>
      </c>
      <c r="H4857" t="s">
        <v>6992</v>
      </c>
      <c r="I4857" t="s">
        <v>10683</v>
      </c>
      <c r="J4857" t="s">
        <v>13797</v>
      </c>
      <c r="K4857" t="s">
        <v>18172</v>
      </c>
      <c r="L4857">
        <f>HYPERLINK("https://www2.assemblee-nationale.fr/sycomore/fiche/(num_dept)/7562", "7562")</f>
        <v>0</v>
      </c>
      <c r="M4857">
        <f>HYPERLINK("https://www.senat.fr/senateur-3eme-republique/le_cour_grandmaison_charles1288r3.html", "le_cour_grandmaison_charles1288r3")</f>
        <v>0</v>
      </c>
      <c r="N4857">
        <f>HYPERLINK("https://www.wikidata.org/wiki/Q2959601", "Q2959601")</f>
        <v>0</v>
      </c>
      <c r="O4857" t="s">
        <v>20023</v>
      </c>
      <c r="P4857" t="s">
        <v>20460</v>
      </c>
      <c r="Q4857" t="s">
        <v>11935</v>
      </c>
      <c r="R4857" t="s">
        <v>21493</v>
      </c>
      <c r="S4857">
        <v>1471</v>
      </c>
    </row>
    <row r="4858" spans="1:19">
      <c r="A4858" t="s">
        <v>26</v>
      </c>
      <c r="B4858" t="s">
        <v>148</v>
      </c>
      <c r="C4858" t="s">
        <v>158</v>
      </c>
      <c r="D4858" t="s">
        <v>287</v>
      </c>
      <c r="E4858" t="s">
        <v>416</v>
      </c>
      <c r="F4858">
        <f>HYPERLINK("https://www.wikidata.org/wiki/Q33756209", "Q33756209")</f>
        <v>0</v>
      </c>
      <c r="G4858" t="s">
        <v>3177</v>
      </c>
      <c r="H4858" t="s">
        <v>7607</v>
      </c>
      <c r="I4858" t="s">
        <v>9551</v>
      </c>
      <c r="J4858" t="s">
        <v>13798</v>
      </c>
      <c r="K4858" t="s">
        <v>18173</v>
      </c>
      <c r="L4858">
        <f>HYPERLINK("https://www2.assemblee-nationale.fr/sycomore/fiche/(num_dept)/7585", "7585")</f>
        <v>0</v>
      </c>
      <c r="N4858">
        <f>HYPERLINK("https://www.wikidata.org/wiki/Q16025958", "Q16025958")</f>
        <v>0</v>
      </c>
      <c r="O4858" t="s">
        <v>20013</v>
      </c>
      <c r="P4858" t="s">
        <v>20460</v>
      </c>
      <c r="Q4858" t="s">
        <v>11935</v>
      </c>
      <c r="R4858" t="s">
        <v>21493</v>
      </c>
      <c r="S4858">
        <v>1471</v>
      </c>
    </row>
    <row r="4859" spans="1:19">
      <c r="A4859" t="s">
        <v>26</v>
      </c>
      <c r="B4859" t="s">
        <v>148</v>
      </c>
      <c r="C4859" t="s">
        <v>158</v>
      </c>
      <c r="D4859" t="s">
        <v>287</v>
      </c>
      <c r="E4859" t="s">
        <v>416</v>
      </c>
      <c r="F4859">
        <f>HYPERLINK("https://www.wikidata.org/wiki/Q33756209", "Q33756209")</f>
        <v>0</v>
      </c>
      <c r="G4859" t="s">
        <v>2706</v>
      </c>
      <c r="H4859" t="s">
        <v>6341</v>
      </c>
      <c r="I4859" t="s">
        <v>10376</v>
      </c>
      <c r="J4859" t="s">
        <v>13347</v>
      </c>
      <c r="K4859" t="s">
        <v>17747</v>
      </c>
      <c r="L4859">
        <f>HYPERLINK("https://www2.assemblee-nationale.fr/sycomore/fiche/(num_dept)/7613", "7613")</f>
        <v>0</v>
      </c>
      <c r="M4859">
        <f>HYPERLINK("https://www.senat.fr/senateur-3eme-republique/le_provost_de_launay_louis0584r3.html", "le_provost_de_launay_louis0584r3")</f>
        <v>0</v>
      </c>
      <c r="N4859">
        <f>HYPERLINK("https://www.wikidata.org/wiki/Q3262484", "Q3262484")</f>
        <v>0</v>
      </c>
      <c r="O4859" t="s">
        <v>19964</v>
      </c>
      <c r="P4859" t="s">
        <v>20468</v>
      </c>
      <c r="Q4859" t="s">
        <v>11935</v>
      </c>
      <c r="R4859" t="s">
        <v>21493</v>
      </c>
      <c r="S4859">
        <v>1471</v>
      </c>
    </row>
    <row r="4860" spans="1:19">
      <c r="A4860" t="s">
        <v>26</v>
      </c>
      <c r="B4860" t="s">
        <v>148</v>
      </c>
      <c r="C4860" t="s">
        <v>158</v>
      </c>
      <c r="D4860" t="s">
        <v>287</v>
      </c>
      <c r="E4860" t="s">
        <v>416</v>
      </c>
      <c r="F4860">
        <f>HYPERLINK("https://www.wikidata.org/wiki/Q33756209", "Q33756209")</f>
        <v>0</v>
      </c>
      <c r="G4860" t="s">
        <v>2707</v>
      </c>
      <c r="H4860" t="s">
        <v>6277</v>
      </c>
      <c r="I4860" t="s">
        <v>10377</v>
      </c>
      <c r="J4860" t="s">
        <v>13348</v>
      </c>
      <c r="K4860" t="s">
        <v>17748</v>
      </c>
      <c r="L4860">
        <f>HYPERLINK("https://www2.assemblee-nationale.fr/sycomore/fiche/(num_dept)/7616", "7616")</f>
        <v>0</v>
      </c>
      <c r="M4860">
        <f>HYPERLINK("https://www.senat.fr/senateur-3eme-republique/le_roux_paul1745r3.html", "le_roux_paul1745r3")</f>
        <v>0</v>
      </c>
      <c r="N4860">
        <f>HYPERLINK("https://www.wikidata.org/wiki/Q3371651", "Q3371651")</f>
        <v>0</v>
      </c>
      <c r="O4860" t="s">
        <v>19972</v>
      </c>
      <c r="P4860" t="s">
        <v>20460</v>
      </c>
      <c r="Q4860" t="s">
        <v>11935</v>
      </c>
      <c r="R4860" t="s">
        <v>21493</v>
      </c>
      <c r="S4860">
        <v>1471</v>
      </c>
    </row>
    <row r="4861" spans="1:19">
      <c r="A4861" t="s">
        <v>26</v>
      </c>
      <c r="B4861" t="s">
        <v>148</v>
      </c>
      <c r="C4861" t="s">
        <v>158</v>
      </c>
      <c r="D4861" t="s">
        <v>287</v>
      </c>
      <c r="E4861" t="s">
        <v>416</v>
      </c>
      <c r="F4861">
        <f>HYPERLINK("https://www.wikidata.org/wiki/Q33756209", "Q33756209")</f>
        <v>0</v>
      </c>
      <c r="G4861" t="s">
        <v>3178</v>
      </c>
      <c r="H4861" t="s">
        <v>7608</v>
      </c>
      <c r="I4861" t="s">
        <v>10684</v>
      </c>
      <c r="J4861" t="s">
        <v>13799</v>
      </c>
      <c r="K4861" t="s">
        <v>18174</v>
      </c>
      <c r="L4861">
        <f>HYPERLINK("https://www2.assemblee-nationale.fr/sycomore/fiche/(num_dept)/7716", "7716")</f>
        <v>0</v>
      </c>
      <c r="N4861">
        <f>HYPERLINK("https://www.wikidata.org/wiki/Q3132305", "Q3132305")</f>
        <v>0</v>
      </c>
      <c r="O4861" t="s">
        <v>20011</v>
      </c>
      <c r="P4861" t="s">
        <v>20460</v>
      </c>
      <c r="Q4861" t="s">
        <v>11935</v>
      </c>
      <c r="R4861" t="s">
        <v>21493</v>
      </c>
      <c r="S4861">
        <v>1471</v>
      </c>
    </row>
    <row r="4862" spans="1:19">
      <c r="A4862" t="s">
        <v>26</v>
      </c>
      <c r="B4862" t="s">
        <v>148</v>
      </c>
      <c r="C4862" t="s">
        <v>158</v>
      </c>
      <c r="D4862" t="s">
        <v>287</v>
      </c>
      <c r="E4862" t="s">
        <v>416</v>
      </c>
      <c r="F4862">
        <f>HYPERLINK("https://www.wikidata.org/wiki/Q33756209", "Q33756209")</f>
        <v>0</v>
      </c>
      <c r="G4862" t="s">
        <v>3179</v>
      </c>
      <c r="H4862" t="s">
        <v>7609</v>
      </c>
      <c r="I4862" t="s">
        <v>10685</v>
      </c>
      <c r="J4862" t="s">
        <v>13800</v>
      </c>
      <c r="K4862" t="s">
        <v>18175</v>
      </c>
      <c r="L4862">
        <f>HYPERLINK("https://www2.assemblee-nationale.fr/sycomore/fiche/(num_dept)/7739", "7739")</f>
        <v>0</v>
      </c>
      <c r="N4862">
        <f>HYPERLINK("https://www.wikidata.org/wiki/Q8327052", "Q8327052")</f>
        <v>0</v>
      </c>
      <c r="O4862" t="s">
        <v>19975</v>
      </c>
      <c r="P4862" t="s">
        <v>20460</v>
      </c>
      <c r="Q4862" t="s">
        <v>11935</v>
      </c>
      <c r="R4862" t="s">
        <v>21493</v>
      </c>
      <c r="S4862">
        <v>1471</v>
      </c>
    </row>
    <row r="4863" spans="1:19">
      <c r="A4863" t="s">
        <v>26</v>
      </c>
      <c r="B4863" t="s">
        <v>148</v>
      </c>
      <c r="C4863" t="s">
        <v>158</v>
      </c>
      <c r="D4863" t="s">
        <v>287</v>
      </c>
      <c r="E4863" t="s">
        <v>416</v>
      </c>
      <c r="F4863">
        <f>HYPERLINK("https://www.wikidata.org/wiki/Q33756209", "Q33756209")</f>
        <v>0</v>
      </c>
      <c r="G4863" t="s">
        <v>2714</v>
      </c>
      <c r="H4863" t="s">
        <v>7240</v>
      </c>
      <c r="I4863" t="s">
        <v>9458</v>
      </c>
      <c r="J4863" t="s">
        <v>13355</v>
      </c>
      <c r="K4863" t="s">
        <v>17755</v>
      </c>
      <c r="L4863">
        <f>HYPERLINK("https://www2.assemblee-nationale.fr/sycomore/fiche/(num_dept)/7818", "7818")</f>
        <v>0</v>
      </c>
      <c r="N4863">
        <f>HYPERLINK("https://www.wikidata.org/wiki/Q16626137", "Q16626137")</f>
        <v>0</v>
      </c>
      <c r="O4863" t="s">
        <v>20000</v>
      </c>
      <c r="P4863" t="s">
        <v>20459</v>
      </c>
      <c r="Q4863" t="s">
        <v>11935</v>
      </c>
      <c r="R4863" t="s">
        <v>21493</v>
      </c>
      <c r="S4863">
        <v>1471</v>
      </c>
    </row>
    <row r="4864" spans="1:19">
      <c r="A4864" t="s">
        <v>26</v>
      </c>
      <c r="B4864" t="s">
        <v>148</v>
      </c>
      <c r="C4864" t="s">
        <v>158</v>
      </c>
      <c r="D4864" t="s">
        <v>287</v>
      </c>
      <c r="E4864" t="s">
        <v>416</v>
      </c>
      <c r="F4864">
        <f>HYPERLINK("https://www.wikidata.org/wiki/Q33756209", "Q33756209")</f>
        <v>0</v>
      </c>
      <c r="G4864" t="s">
        <v>2717</v>
      </c>
      <c r="H4864" t="s">
        <v>7243</v>
      </c>
      <c r="I4864" t="s">
        <v>9728</v>
      </c>
      <c r="J4864" t="s">
        <v>13358</v>
      </c>
      <c r="K4864" t="s">
        <v>17758</v>
      </c>
      <c r="L4864">
        <f>HYPERLINK("https://www2.assemblee-nationale.fr/sycomore/fiche/(num_dept)/7875", "7875")</f>
        <v>0</v>
      </c>
      <c r="N4864">
        <f>HYPERLINK("https://www.wikidata.org/wiki/Q733836", "Q733836")</f>
        <v>0</v>
      </c>
      <c r="O4864" t="s">
        <v>19969</v>
      </c>
      <c r="P4864" t="s">
        <v>20401</v>
      </c>
      <c r="Q4864" t="s">
        <v>11935</v>
      </c>
      <c r="R4864" t="s">
        <v>21493</v>
      </c>
      <c r="S4864">
        <v>1471</v>
      </c>
    </row>
    <row r="4865" spans="1:19">
      <c r="A4865" t="s">
        <v>26</v>
      </c>
      <c r="B4865" t="s">
        <v>148</v>
      </c>
      <c r="C4865" t="s">
        <v>158</v>
      </c>
      <c r="D4865" t="s">
        <v>287</v>
      </c>
      <c r="E4865" t="s">
        <v>416</v>
      </c>
      <c r="F4865">
        <f>HYPERLINK("https://www.wikidata.org/wiki/Q33756209", "Q33756209")</f>
        <v>0</v>
      </c>
      <c r="G4865" t="s">
        <v>3180</v>
      </c>
      <c r="H4865" t="s">
        <v>7610</v>
      </c>
      <c r="I4865" t="s">
        <v>10686</v>
      </c>
      <c r="J4865" t="s">
        <v>13801</v>
      </c>
      <c r="K4865" t="s">
        <v>18176</v>
      </c>
      <c r="L4865">
        <f>HYPERLINK("https://www2.assemblee-nationale.fr/sycomore/fiche/(num_dept)/7893", "7893")</f>
        <v>0</v>
      </c>
      <c r="N4865">
        <f>HYPERLINK("https://www.wikidata.org/wiki/Q15969763", "Q15969763")</f>
        <v>0</v>
      </c>
      <c r="O4865" t="s">
        <v>19970</v>
      </c>
      <c r="P4865" t="s">
        <v>20460</v>
      </c>
      <c r="Q4865" t="s">
        <v>11935</v>
      </c>
      <c r="R4865" t="s">
        <v>21493</v>
      </c>
      <c r="S4865">
        <v>1471</v>
      </c>
    </row>
    <row r="4866" spans="1:19">
      <c r="A4866" t="s">
        <v>26</v>
      </c>
      <c r="B4866" t="s">
        <v>148</v>
      </c>
      <c r="C4866" t="s">
        <v>158</v>
      </c>
      <c r="D4866" t="s">
        <v>287</v>
      </c>
      <c r="E4866" t="s">
        <v>416</v>
      </c>
      <c r="F4866">
        <f>HYPERLINK("https://www.wikidata.org/wiki/Q33756209", "Q33756209")</f>
        <v>0</v>
      </c>
      <c r="G4866" t="s">
        <v>3181</v>
      </c>
      <c r="H4866" t="s">
        <v>7611</v>
      </c>
      <c r="I4866" t="s">
        <v>10687</v>
      </c>
      <c r="J4866" t="s">
        <v>13802</v>
      </c>
      <c r="K4866" t="s">
        <v>18177</v>
      </c>
      <c r="L4866">
        <f>HYPERLINK("https://www2.assemblee-nationale.fr/sycomore/fiche/(num_dept)/7895", "7895")</f>
        <v>0</v>
      </c>
      <c r="N4866">
        <f>HYPERLINK("https://www.wikidata.org/wiki/Q2834954", "Q2834954")</f>
        <v>0</v>
      </c>
      <c r="O4866" t="s">
        <v>19984</v>
      </c>
      <c r="P4866" t="s">
        <v>20460</v>
      </c>
      <c r="Q4866" t="s">
        <v>11935</v>
      </c>
      <c r="R4866" t="s">
        <v>21493</v>
      </c>
      <c r="S4866">
        <v>1471</v>
      </c>
    </row>
    <row r="4867" spans="1:19">
      <c r="A4867" t="s">
        <v>26</v>
      </c>
      <c r="B4867" t="s">
        <v>148</v>
      </c>
      <c r="C4867" t="s">
        <v>158</v>
      </c>
      <c r="D4867" t="s">
        <v>287</v>
      </c>
      <c r="E4867" t="s">
        <v>416</v>
      </c>
      <c r="F4867">
        <f>HYPERLINK("https://www.wikidata.org/wiki/Q33756209", "Q33756209")</f>
        <v>0</v>
      </c>
      <c r="G4867" t="s">
        <v>2971</v>
      </c>
      <c r="H4867" t="s">
        <v>7439</v>
      </c>
      <c r="I4867" t="s">
        <v>6860</v>
      </c>
      <c r="J4867" t="s">
        <v>13603</v>
      </c>
      <c r="K4867" t="s">
        <v>17989</v>
      </c>
      <c r="L4867">
        <f>HYPERLINK("https://www2.assemblee-nationale.fr/sycomore/fiche/(num_dept)/7901", "7901")</f>
        <v>0</v>
      </c>
      <c r="M4867">
        <f>HYPERLINK("https://www.senat.fr/senateur-3eme-republique/bizot_de_fonteny_pierre0864r3.html", "bizot_de_fonteny_pierre0864r3")</f>
        <v>0</v>
      </c>
      <c r="N4867">
        <f>HYPERLINK("https://www.wikidata.org/wiki/Q3384017", "Q3384017")</f>
        <v>0</v>
      </c>
      <c r="O4867" t="s">
        <v>20022</v>
      </c>
      <c r="P4867" t="s">
        <v>20459</v>
      </c>
      <c r="Q4867" t="s">
        <v>11935</v>
      </c>
      <c r="R4867" t="s">
        <v>21503</v>
      </c>
      <c r="S4867">
        <v>834</v>
      </c>
    </row>
    <row r="4868" spans="1:19">
      <c r="A4868" t="s">
        <v>26</v>
      </c>
      <c r="B4868" t="s">
        <v>148</v>
      </c>
      <c r="C4868" t="s">
        <v>158</v>
      </c>
      <c r="D4868" t="s">
        <v>287</v>
      </c>
      <c r="E4868" t="s">
        <v>416</v>
      </c>
      <c r="F4868">
        <f>HYPERLINK("https://www.wikidata.org/wiki/Q33756209", "Q33756209")</f>
        <v>0</v>
      </c>
      <c r="G4868" t="s">
        <v>2721</v>
      </c>
      <c r="H4868" t="s">
        <v>7246</v>
      </c>
      <c r="I4868" t="s">
        <v>9465</v>
      </c>
      <c r="J4868" t="s">
        <v>13362</v>
      </c>
      <c r="K4868" t="s">
        <v>17762</v>
      </c>
      <c r="L4868">
        <f>HYPERLINK("https://www2.assemblee-nationale.fr/sycomore/fiche/(num_dept)/7902", "7902")</f>
        <v>0</v>
      </c>
      <c r="N4868">
        <f>HYPERLINK("https://www.wikidata.org/wiki/Q3059734", "Q3059734")</f>
        <v>0</v>
      </c>
      <c r="O4868" t="s">
        <v>20025</v>
      </c>
      <c r="P4868" t="s">
        <v>20459</v>
      </c>
      <c r="Q4868" t="s">
        <v>11935</v>
      </c>
      <c r="R4868" t="s">
        <v>21493</v>
      </c>
      <c r="S4868">
        <v>1471</v>
      </c>
    </row>
    <row r="4869" spans="1:19">
      <c r="A4869" t="s">
        <v>26</v>
      </c>
      <c r="B4869" t="s">
        <v>148</v>
      </c>
      <c r="C4869" t="s">
        <v>158</v>
      </c>
      <c r="D4869" t="s">
        <v>287</v>
      </c>
      <c r="E4869" t="s">
        <v>416</v>
      </c>
      <c r="F4869">
        <f>HYPERLINK("https://www.wikidata.org/wiki/Q33756209", "Q33756209")</f>
        <v>0</v>
      </c>
      <c r="G4869" t="s">
        <v>3182</v>
      </c>
      <c r="H4869" t="s">
        <v>7612</v>
      </c>
      <c r="I4869" t="s">
        <v>10688</v>
      </c>
      <c r="J4869" t="s">
        <v>13803</v>
      </c>
      <c r="K4869" t="s">
        <v>18178</v>
      </c>
      <c r="L4869">
        <f>HYPERLINK("https://www2.assemblee-nationale.fr/sycomore/fiche/(num_dept)/7906", "7906")</f>
        <v>0</v>
      </c>
      <c r="N4869">
        <f>HYPERLINK("https://www.wikidata.org/wiki/Q8300471", "Q8300471")</f>
        <v>0</v>
      </c>
      <c r="O4869" t="s">
        <v>19985</v>
      </c>
      <c r="P4869" t="s">
        <v>20460</v>
      </c>
      <c r="Q4869" t="s">
        <v>11935</v>
      </c>
      <c r="R4869" t="s">
        <v>21493</v>
      </c>
      <c r="S4869">
        <v>1471</v>
      </c>
    </row>
    <row r="4870" spans="1:19">
      <c r="A4870" t="s">
        <v>26</v>
      </c>
      <c r="B4870" t="s">
        <v>148</v>
      </c>
      <c r="C4870" t="s">
        <v>158</v>
      </c>
      <c r="D4870" t="s">
        <v>287</v>
      </c>
      <c r="E4870" t="s">
        <v>416</v>
      </c>
      <c r="F4870">
        <f>HYPERLINK("https://www.wikidata.org/wiki/Q33756209", "Q33756209")</f>
        <v>0</v>
      </c>
      <c r="G4870" t="s">
        <v>2722</v>
      </c>
      <c r="H4870" t="s">
        <v>7247</v>
      </c>
      <c r="I4870" t="s">
        <v>10384</v>
      </c>
      <c r="J4870" t="s">
        <v>13363</v>
      </c>
      <c r="K4870" t="s">
        <v>17763</v>
      </c>
      <c r="L4870">
        <f>HYPERLINK("https://www2.assemblee-nationale.fr/sycomore/fiche/(num_dept)/7907", "7907")</f>
        <v>0</v>
      </c>
      <c r="N4870">
        <f>HYPERLINK("https://www.wikidata.org/wiki/Q15973946", "Q15973946")</f>
        <v>0</v>
      </c>
      <c r="O4870" t="s">
        <v>20017</v>
      </c>
      <c r="Q4870" t="s">
        <v>11935</v>
      </c>
      <c r="R4870" t="s">
        <v>21493</v>
      </c>
      <c r="S4870">
        <v>1471</v>
      </c>
    </row>
    <row r="4871" spans="1:19">
      <c r="A4871" t="s">
        <v>26</v>
      </c>
      <c r="B4871" t="s">
        <v>148</v>
      </c>
      <c r="C4871" t="s">
        <v>158</v>
      </c>
      <c r="D4871" t="s">
        <v>287</v>
      </c>
      <c r="E4871" t="s">
        <v>416</v>
      </c>
      <c r="F4871">
        <f>HYPERLINK("https://www.wikidata.org/wiki/Q33756209", "Q33756209")</f>
        <v>0</v>
      </c>
      <c r="G4871" t="s">
        <v>3183</v>
      </c>
      <c r="H4871" t="s">
        <v>7613</v>
      </c>
      <c r="I4871" t="s">
        <v>10689</v>
      </c>
      <c r="J4871" t="s">
        <v>13804</v>
      </c>
      <c r="K4871" t="s">
        <v>18179</v>
      </c>
      <c r="L4871">
        <f>HYPERLINK("https://www2.assemblee-nationale.fr/sycomore/fiche/(num_dept)/7908", "7908")</f>
        <v>0</v>
      </c>
      <c r="N4871">
        <f>HYPERLINK("https://www.wikidata.org/wiki/Q15973986", "Q15973986")</f>
        <v>0</v>
      </c>
      <c r="O4871" t="s">
        <v>20012</v>
      </c>
      <c r="P4871" t="s">
        <v>20460</v>
      </c>
      <c r="Q4871" t="s">
        <v>11935</v>
      </c>
      <c r="R4871" t="s">
        <v>21493</v>
      </c>
      <c r="S4871">
        <v>1471</v>
      </c>
    </row>
    <row r="4872" spans="1:19">
      <c r="A4872" t="s">
        <v>26</v>
      </c>
      <c r="B4872" t="s">
        <v>148</v>
      </c>
      <c r="C4872" t="s">
        <v>158</v>
      </c>
      <c r="D4872" t="s">
        <v>287</v>
      </c>
      <c r="E4872" t="s">
        <v>416</v>
      </c>
      <c r="F4872">
        <f>HYPERLINK("https://www.wikidata.org/wiki/Q33756209", "Q33756209")</f>
        <v>0</v>
      </c>
      <c r="G4872" t="s">
        <v>3184</v>
      </c>
      <c r="H4872" t="s">
        <v>7614</v>
      </c>
      <c r="I4872" t="s">
        <v>10690</v>
      </c>
      <c r="J4872" t="s">
        <v>13805</v>
      </c>
      <c r="K4872" t="s">
        <v>18180</v>
      </c>
      <c r="L4872">
        <f>HYPERLINK("https://www2.assemblee-nationale.fr/sycomore/fiche/(num_dept)/7909", "7909")</f>
        <v>0</v>
      </c>
      <c r="N4872">
        <f>HYPERLINK("https://www.wikidata.org/wiki/Q16026367", "Q16026367")</f>
        <v>0</v>
      </c>
      <c r="O4872" t="s">
        <v>20045</v>
      </c>
      <c r="P4872" t="s">
        <v>20460</v>
      </c>
      <c r="Q4872" t="s">
        <v>11935</v>
      </c>
      <c r="R4872" t="s">
        <v>21495</v>
      </c>
      <c r="S4872">
        <v>48</v>
      </c>
    </row>
    <row r="4873" spans="1:19">
      <c r="A4873" t="s">
        <v>26</v>
      </c>
      <c r="B4873" t="s">
        <v>148</v>
      </c>
      <c r="C4873" t="s">
        <v>158</v>
      </c>
      <c r="D4873" t="s">
        <v>287</v>
      </c>
      <c r="E4873" t="s">
        <v>416</v>
      </c>
      <c r="F4873">
        <f>HYPERLINK("https://www.wikidata.org/wiki/Q33756209", "Q33756209")</f>
        <v>0</v>
      </c>
      <c r="G4873" t="s">
        <v>2723</v>
      </c>
      <c r="H4873" t="s">
        <v>7248</v>
      </c>
      <c r="I4873" t="s">
        <v>10385</v>
      </c>
      <c r="J4873" t="s">
        <v>13364</v>
      </c>
      <c r="K4873" t="s">
        <v>17764</v>
      </c>
      <c r="L4873">
        <f>HYPERLINK("https://www2.assemblee-nationale.fr/sycomore/fiche/(num_dept)/7910", "7910")</f>
        <v>0</v>
      </c>
      <c r="N4873">
        <f>HYPERLINK("https://www.wikidata.org/wiki/Q16025838", "Q16025838")</f>
        <v>0</v>
      </c>
      <c r="O4873" t="s">
        <v>20013</v>
      </c>
      <c r="P4873" t="s">
        <v>20460</v>
      </c>
      <c r="Q4873" t="s">
        <v>11935</v>
      </c>
      <c r="R4873" t="s">
        <v>17764</v>
      </c>
      <c r="S4873">
        <v>853</v>
      </c>
    </row>
    <row r="4874" spans="1:19">
      <c r="A4874" t="s">
        <v>26</v>
      </c>
      <c r="B4874" t="s">
        <v>148</v>
      </c>
      <c r="C4874" t="s">
        <v>158</v>
      </c>
      <c r="D4874" t="s">
        <v>287</v>
      </c>
      <c r="E4874" t="s">
        <v>416</v>
      </c>
      <c r="F4874">
        <f>HYPERLINK("https://www.wikidata.org/wiki/Q33756209", "Q33756209")</f>
        <v>0</v>
      </c>
      <c r="G4874" t="s">
        <v>3185</v>
      </c>
      <c r="H4874" t="s">
        <v>7615</v>
      </c>
      <c r="I4874" t="s">
        <v>10691</v>
      </c>
      <c r="J4874" t="s">
        <v>13806</v>
      </c>
      <c r="K4874" t="s">
        <v>18181</v>
      </c>
      <c r="L4874">
        <f>HYPERLINK("https://www2.assemblee-nationale.fr/sycomore/fiche/(num_dept)/7913", "7913")</f>
        <v>0</v>
      </c>
      <c r="N4874">
        <f>HYPERLINK("https://www.wikidata.org/wiki/Q2831017", "Q2831017")</f>
        <v>0</v>
      </c>
      <c r="O4874" t="s">
        <v>19961</v>
      </c>
      <c r="P4874" t="s">
        <v>20460</v>
      </c>
      <c r="Q4874" t="s">
        <v>11935</v>
      </c>
      <c r="R4874" t="s">
        <v>21493</v>
      </c>
      <c r="S4874">
        <v>1471</v>
      </c>
    </row>
    <row r="4875" spans="1:19">
      <c r="A4875" t="s">
        <v>26</v>
      </c>
      <c r="B4875" t="s">
        <v>148</v>
      </c>
      <c r="C4875" t="s">
        <v>158</v>
      </c>
      <c r="D4875" t="s">
        <v>287</v>
      </c>
      <c r="E4875" t="s">
        <v>416</v>
      </c>
      <c r="F4875">
        <f>HYPERLINK("https://www.wikidata.org/wiki/Q33756209", "Q33756209")</f>
        <v>0</v>
      </c>
      <c r="G4875" t="s">
        <v>3053</v>
      </c>
      <c r="H4875" t="s">
        <v>7508</v>
      </c>
      <c r="I4875" t="s">
        <v>9449</v>
      </c>
      <c r="J4875" t="s">
        <v>13679</v>
      </c>
      <c r="K4875" t="s">
        <v>18060</v>
      </c>
      <c r="L4875">
        <f>HYPERLINK("https://www2.assemblee-nationale.fr/sycomore/fiche/(num_dept)/7914", "7914")</f>
        <v>0</v>
      </c>
      <c r="N4875">
        <f>HYPERLINK("https://www.wikidata.org/wiki/Q3188470", "Q3188470")</f>
        <v>0</v>
      </c>
      <c r="O4875" t="s">
        <v>19988</v>
      </c>
      <c r="P4875" t="s">
        <v>20401</v>
      </c>
      <c r="Q4875" t="s">
        <v>11935</v>
      </c>
      <c r="R4875" t="s">
        <v>21493</v>
      </c>
      <c r="S4875">
        <v>1471</v>
      </c>
    </row>
    <row r="4876" spans="1:19">
      <c r="A4876" t="s">
        <v>26</v>
      </c>
      <c r="B4876" t="s">
        <v>148</v>
      </c>
      <c r="C4876" t="s">
        <v>158</v>
      </c>
      <c r="D4876" t="s">
        <v>287</v>
      </c>
      <c r="E4876" t="s">
        <v>416</v>
      </c>
      <c r="F4876">
        <f>HYPERLINK("https://www.wikidata.org/wiki/Q33756209", "Q33756209")</f>
        <v>0</v>
      </c>
      <c r="G4876" t="s">
        <v>2725</v>
      </c>
      <c r="H4876" t="s">
        <v>7090</v>
      </c>
      <c r="I4876" t="s">
        <v>10387</v>
      </c>
      <c r="J4876" t="s">
        <v>13366</v>
      </c>
      <c r="K4876" t="s">
        <v>17766</v>
      </c>
      <c r="L4876">
        <f>HYPERLINK("https://www2.assemblee-nationale.fr/sycomore/fiche/(num_dept)/7916", "7916")</f>
        <v>0</v>
      </c>
      <c r="M4876">
        <f>HYPERLINK("https://www.senat.fr/senateur-3eme-republique/casimir_perier_paul1582r3.html", "casimir_perier_paul1582r3")</f>
        <v>0</v>
      </c>
      <c r="N4876">
        <f>HYPERLINK("https://www.wikidata.org/wiki/Q3370821", "Q3370821")</f>
        <v>0</v>
      </c>
      <c r="O4876" t="s">
        <v>19978</v>
      </c>
      <c r="P4876" t="s">
        <v>20459</v>
      </c>
      <c r="Q4876" t="s">
        <v>11935</v>
      </c>
      <c r="R4876" t="s">
        <v>21493</v>
      </c>
      <c r="S4876">
        <v>1471</v>
      </c>
    </row>
    <row r="4877" spans="1:19">
      <c r="A4877" t="s">
        <v>26</v>
      </c>
      <c r="B4877" t="s">
        <v>148</v>
      </c>
      <c r="C4877" t="s">
        <v>158</v>
      </c>
      <c r="D4877" t="s">
        <v>287</v>
      </c>
      <c r="E4877" t="s">
        <v>416</v>
      </c>
      <c r="F4877">
        <f>HYPERLINK("https://www.wikidata.org/wiki/Q33756209", "Q33756209")</f>
        <v>0</v>
      </c>
      <c r="G4877" t="s">
        <v>3186</v>
      </c>
      <c r="H4877" t="s">
        <v>7616</v>
      </c>
      <c r="I4877" t="s">
        <v>10477</v>
      </c>
      <c r="J4877" t="s">
        <v>13807</v>
      </c>
      <c r="K4877" t="s">
        <v>18182</v>
      </c>
      <c r="L4877">
        <f>HYPERLINK("https://www2.assemblee-nationale.fr/sycomore/fiche/(num_dept)/7921", "7921")</f>
        <v>0</v>
      </c>
      <c r="N4877">
        <f>HYPERLINK("https://www.wikidata.org/wiki/Q17176185", "Q17176185")</f>
        <v>0</v>
      </c>
      <c r="O4877" t="s">
        <v>19985</v>
      </c>
      <c r="P4877" t="s">
        <v>20460</v>
      </c>
      <c r="Q4877" t="s">
        <v>11935</v>
      </c>
      <c r="R4877" t="s">
        <v>21493</v>
      </c>
      <c r="S4877">
        <v>1471</v>
      </c>
    </row>
    <row r="4878" spans="1:19">
      <c r="A4878" t="s">
        <v>26</v>
      </c>
      <c r="B4878" t="s">
        <v>148</v>
      </c>
      <c r="C4878" t="s">
        <v>158</v>
      </c>
      <c r="D4878" t="s">
        <v>287</v>
      </c>
      <c r="E4878" t="s">
        <v>416</v>
      </c>
      <c r="F4878">
        <f>HYPERLINK("https://www.wikidata.org/wiki/Q33756209", "Q33756209")</f>
        <v>0</v>
      </c>
      <c r="G4878" t="s">
        <v>3187</v>
      </c>
      <c r="H4878" t="s">
        <v>7617</v>
      </c>
      <c r="I4878" t="s">
        <v>10692</v>
      </c>
      <c r="J4878" t="s">
        <v>13808</v>
      </c>
      <c r="K4878" t="s">
        <v>18183</v>
      </c>
      <c r="L4878">
        <f>HYPERLINK("https://www2.assemblee-nationale.fr/sycomore/fiche/(num_dept)/7923", "7923")</f>
        <v>0</v>
      </c>
      <c r="N4878">
        <f>HYPERLINK("https://www.wikidata.org/wiki/Q596961", "Q596961")</f>
        <v>0</v>
      </c>
      <c r="O4878" t="s">
        <v>19968</v>
      </c>
      <c r="P4878" t="s">
        <v>20460</v>
      </c>
      <c r="Q4878" t="s">
        <v>11935</v>
      </c>
      <c r="R4878" t="s">
        <v>21493</v>
      </c>
      <c r="S4878">
        <v>1471</v>
      </c>
    </row>
    <row r="4879" spans="1:19">
      <c r="A4879" t="s">
        <v>26</v>
      </c>
      <c r="B4879" t="s">
        <v>148</v>
      </c>
      <c r="C4879" t="s">
        <v>158</v>
      </c>
      <c r="D4879" t="s">
        <v>287</v>
      </c>
      <c r="E4879" t="s">
        <v>416</v>
      </c>
      <c r="F4879">
        <f>HYPERLINK("https://www.wikidata.org/wiki/Q33756209", "Q33756209")</f>
        <v>0</v>
      </c>
      <c r="G4879" t="s">
        <v>2729</v>
      </c>
      <c r="H4879" t="s">
        <v>6849</v>
      </c>
      <c r="I4879" t="s">
        <v>7911</v>
      </c>
      <c r="J4879" t="s">
        <v>13370</v>
      </c>
      <c r="K4879" t="s">
        <v>17769</v>
      </c>
      <c r="L4879">
        <f>HYPERLINK("https://www2.assemblee-nationale.fr/sycomore/fiche/(num_dept)/7926", "7926")</f>
        <v>0</v>
      </c>
      <c r="N4879">
        <f>HYPERLINK("https://www.wikidata.org/wiki/Q671676", "Q671676")</f>
        <v>0</v>
      </c>
      <c r="O4879" t="s">
        <v>19962</v>
      </c>
      <c r="P4879" t="s">
        <v>20459</v>
      </c>
      <c r="Q4879" t="s">
        <v>11935</v>
      </c>
      <c r="R4879" t="s">
        <v>21493</v>
      </c>
      <c r="S4879">
        <v>1471</v>
      </c>
    </row>
    <row r="4880" spans="1:19">
      <c r="A4880" t="s">
        <v>26</v>
      </c>
      <c r="B4880" t="s">
        <v>148</v>
      </c>
      <c r="C4880" t="s">
        <v>158</v>
      </c>
      <c r="D4880" t="s">
        <v>287</v>
      </c>
      <c r="E4880" t="s">
        <v>416</v>
      </c>
      <c r="F4880">
        <f>HYPERLINK("https://www.wikidata.org/wiki/Q33756209", "Q33756209")</f>
        <v>0</v>
      </c>
      <c r="G4880" t="s">
        <v>3188</v>
      </c>
      <c r="H4880" t="s">
        <v>7618</v>
      </c>
      <c r="I4880" t="s">
        <v>10693</v>
      </c>
      <c r="J4880" t="s">
        <v>13809</v>
      </c>
      <c r="K4880" t="s">
        <v>18184</v>
      </c>
      <c r="L4880">
        <f>HYPERLINK("https://www2.assemblee-nationale.fr/sycomore/fiche/(num_dept)/7927", "7927")</f>
        <v>0</v>
      </c>
      <c r="N4880">
        <f>HYPERLINK("https://www.wikidata.org/wiki/Q2825146", "Q2825146")</f>
        <v>0</v>
      </c>
      <c r="O4880" t="s">
        <v>19982</v>
      </c>
      <c r="P4880" t="s">
        <v>20460</v>
      </c>
      <c r="Q4880" t="s">
        <v>11935</v>
      </c>
      <c r="R4880" t="s">
        <v>21493</v>
      </c>
      <c r="S4880">
        <v>1471</v>
      </c>
    </row>
    <row r="4881" spans="1:19">
      <c r="A4881" t="s">
        <v>26</v>
      </c>
      <c r="B4881" t="s">
        <v>148</v>
      </c>
      <c r="C4881" t="s">
        <v>158</v>
      </c>
      <c r="D4881" t="s">
        <v>287</v>
      </c>
      <c r="E4881" t="s">
        <v>416</v>
      </c>
      <c r="F4881">
        <f>HYPERLINK("https://www.wikidata.org/wiki/Q33756209", "Q33756209")</f>
        <v>0</v>
      </c>
      <c r="G4881" t="s">
        <v>3189</v>
      </c>
      <c r="H4881" t="s">
        <v>7619</v>
      </c>
      <c r="I4881" t="s">
        <v>6584</v>
      </c>
      <c r="J4881" t="s">
        <v>13810</v>
      </c>
      <c r="K4881" t="s">
        <v>18185</v>
      </c>
      <c r="L4881">
        <f>HYPERLINK("https://www2.assemblee-nationale.fr/sycomore/fiche/(num_dept)/7930", "7930")</f>
        <v>0</v>
      </c>
      <c r="N4881">
        <f>HYPERLINK("https://www.wikidata.org/wiki/Q15971830", "Q15971830")</f>
        <v>0</v>
      </c>
      <c r="O4881" t="s">
        <v>20012</v>
      </c>
      <c r="P4881" t="s">
        <v>20460</v>
      </c>
      <c r="Q4881" t="s">
        <v>11935</v>
      </c>
      <c r="R4881" t="s">
        <v>18185</v>
      </c>
      <c r="S4881">
        <v>978</v>
      </c>
    </row>
    <row r="4882" spans="1:19">
      <c r="A4882" t="s">
        <v>26</v>
      </c>
      <c r="B4882" t="s">
        <v>148</v>
      </c>
      <c r="C4882" t="s">
        <v>158</v>
      </c>
      <c r="D4882" t="s">
        <v>287</v>
      </c>
      <c r="E4882" t="s">
        <v>416</v>
      </c>
      <c r="F4882">
        <f>HYPERLINK("https://www.wikidata.org/wiki/Q33756209", "Q33756209")</f>
        <v>0</v>
      </c>
      <c r="G4882" t="s">
        <v>3190</v>
      </c>
      <c r="H4882" t="s">
        <v>7620</v>
      </c>
      <c r="I4882" t="s">
        <v>10694</v>
      </c>
      <c r="J4882" t="s">
        <v>13811</v>
      </c>
      <c r="K4882" t="s">
        <v>18186</v>
      </c>
      <c r="L4882">
        <f>HYPERLINK("https://www2.assemblee-nationale.fr/sycomore/fiche/(num_dept)/7932", "7932")</f>
        <v>0</v>
      </c>
      <c r="N4882">
        <f>HYPERLINK("https://www.wikidata.org/wiki/Q16025550", "Q16025550")</f>
        <v>0</v>
      </c>
      <c r="O4882" t="s">
        <v>20013</v>
      </c>
      <c r="P4882" t="s">
        <v>20460</v>
      </c>
      <c r="Q4882" t="s">
        <v>11935</v>
      </c>
      <c r="R4882" t="s">
        <v>18186</v>
      </c>
      <c r="S4882">
        <v>385</v>
      </c>
    </row>
    <row r="4883" spans="1:19">
      <c r="A4883" t="s">
        <v>26</v>
      </c>
      <c r="B4883" t="s">
        <v>148</v>
      </c>
      <c r="C4883" t="s">
        <v>158</v>
      </c>
      <c r="D4883" t="s">
        <v>287</v>
      </c>
      <c r="E4883" t="s">
        <v>416</v>
      </c>
      <c r="F4883">
        <f>HYPERLINK("https://www.wikidata.org/wiki/Q33756209", "Q33756209")</f>
        <v>0</v>
      </c>
      <c r="G4883" t="s">
        <v>3191</v>
      </c>
      <c r="H4883" t="s">
        <v>7621</v>
      </c>
      <c r="I4883" t="s">
        <v>9421</v>
      </c>
      <c r="J4883" t="s">
        <v>13812</v>
      </c>
      <c r="K4883" t="s">
        <v>18187</v>
      </c>
      <c r="L4883">
        <f>HYPERLINK("https://www2.assemblee-nationale.fr/sycomore/fiche/(num_dept)/7934", "7934")</f>
        <v>0</v>
      </c>
      <c r="N4883">
        <f>HYPERLINK("https://www.wikidata.org/wiki/Q16025553", "Q16025553")</f>
        <v>0</v>
      </c>
      <c r="O4883" t="s">
        <v>19968</v>
      </c>
      <c r="P4883" t="s">
        <v>20460</v>
      </c>
      <c r="Q4883" t="s">
        <v>11935</v>
      </c>
      <c r="R4883" t="s">
        <v>21493</v>
      </c>
      <c r="S4883">
        <v>1471</v>
      </c>
    </row>
    <row r="4884" spans="1:19">
      <c r="A4884" t="s">
        <v>26</v>
      </c>
      <c r="B4884" t="s">
        <v>148</v>
      </c>
      <c r="C4884" t="s">
        <v>158</v>
      </c>
      <c r="D4884" t="s">
        <v>287</v>
      </c>
      <c r="E4884" t="s">
        <v>416</v>
      </c>
      <c r="F4884">
        <f>HYPERLINK("https://www.wikidata.org/wiki/Q33756209", "Q33756209")</f>
        <v>0</v>
      </c>
      <c r="G4884" t="s">
        <v>3192</v>
      </c>
      <c r="H4884" t="s">
        <v>7622</v>
      </c>
      <c r="I4884" t="s">
        <v>10695</v>
      </c>
      <c r="J4884" t="s">
        <v>13813</v>
      </c>
      <c r="K4884" t="s">
        <v>18188</v>
      </c>
      <c r="L4884">
        <f>HYPERLINK("https://www2.assemblee-nationale.fr/sycomore/fiche/(num_dept)/7941", "7941")</f>
        <v>0</v>
      </c>
      <c r="N4884">
        <f>HYPERLINK("https://www.wikidata.org/wiki/Q16025661", "Q16025661")</f>
        <v>0</v>
      </c>
      <c r="O4884" t="s">
        <v>19968</v>
      </c>
      <c r="P4884" t="s">
        <v>20460</v>
      </c>
      <c r="Q4884" t="s">
        <v>11935</v>
      </c>
      <c r="R4884" t="s">
        <v>18188</v>
      </c>
      <c r="S4884">
        <v>738</v>
      </c>
    </row>
    <row r="4885" spans="1:19">
      <c r="A4885" t="s">
        <v>26</v>
      </c>
      <c r="B4885" t="s">
        <v>148</v>
      </c>
      <c r="C4885" t="s">
        <v>158</v>
      </c>
      <c r="D4885" t="s">
        <v>287</v>
      </c>
      <c r="E4885" t="s">
        <v>416</v>
      </c>
      <c r="F4885">
        <f>HYPERLINK("https://www.wikidata.org/wiki/Q33756209", "Q33756209")</f>
        <v>0</v>
      </c>
      <c r="G4885" t="s">
        <v>2731</v>
      </c>
      <c r="H4885" t="s">
        <v>7253</v>
      </c>
      <c r="I4885" t="s">
        <v>9449</v>
      </c>
      <c r="J4885" t="s">
        <v>13372</v>
      </c>
      <c r="K4885" t="s">
        <v>17771</v>
      </c>
      <c r="L4885">
        <f>HYPERLINK("https://www2.assemblee-nationale.fr/sycomore/fiche/(num_dept)/7943", "7943")</f>
        <v>0</v>
      </c>
      <c r="N4885">
        <f>HYPERLINK("https://www.wikidata.org/wiki/Q3188566", "Q3188566")</f>
        <v>0</v>
      </c>
      <c r="O4885" t="s">
        <v>20007</v>
      </c>
      <c r="P4885" t="s">
        <v>20459</v>
      </c>
      <c r="Q4885" t="s">
        <v>11935</v>
      </c>
      <c r="R4885" t="s">
        <v>21493</v>
      </c>
      <c r="S4885">
        <v>1471</v>
      </c>
    </row>
    <row r="4886" spans="1:19">
      <c r="A4886" t="s">
        <v>26</v>
      </c>
      <c r="B4886" t="s">
        <v>148</v>
      </c>
      <c r="C4886" t="s">
        <v>158</v>
      </c>
      <c r="D4886" t="s">
        <v>287</v>
      </c>
      <c r="E4886" t="s">
        <v>416</v>
      </c>
      <c r="F4886">
        <f>HYPERLINK("https://www.wikidata.org/wiki/Q33756209", "Q33756209")</f>
        <v>0</v>
      </c>
      <c r="G4886" t="s">
        <v>2733</v>
      </c>
      <c r="H4886" t="s">
        <v>5400</v>
      </c>
      <c r="I4886" t="s">
        <v>9449</v>
      </c>
      <c r="J4886" t="s">
        <v>13374</v>
      </c>
      <c r="K4886" t="s">
        <v>17773</v>
      </c>
      <c r="L4886">
        <f>HYPERLINK("https://www2.assemblee-nationale.fr/sycomore/fiche/(num_dept)/7945", "7945")</f>
        <v>0</v>
      </c>
      <c r="M4886">
        <f>HYPERLINK("https://www.senat.fr/senateur-3eme-republique/ferry_jules1809r3.html", "ferry_jules1809r3")</f>
        <v>0</v>
      </c>
      <c r="N4886">
        <f>HYPERLINK("https://www.wikidata.org/wiki/Q959708", "Q959708")</f>
        <v>0</v>
      </c>
      <c r="O4886" t="s">
        <v>20017</v>
      </c>
      <c r="P4886" t="s">
        <v>20403</v>
      </c>
      <c r="Q4886" t="s">
        <v>11935</v>
      </c>
      <c r="R4886" t="s">
        <v>21493</v>
      </c>
      <c r="S4886">
        <v>1471</v>
      </c>
    </row>
    <row r="4887" spans="1:19">
      <c r="A4887" t="s">
        <v>26</v>
      </c>
      <c r="B4887" t="s">
        <v>148</v>
      </c>
      <c r="C4887" t="s">
        <v>158</v>
      </c>
      <c r="D4887" t="s">
        <v>287</v>
      </c>
      <c r="E4887" t="s">
        <v>416</v>
      </c>
      <c r="F4887">
        <f>HYPERLINK("https://www.wikidata.org/wiki/Q33756209", "Q33756209")</f>
        <v>0</v>
      </c>
      <c r="G4887" t="s">
        <v>2734</v>
      </c>
      <c r="H4887" t="s">
        <v>7254</v>
      </c>
      <c r="I4887" t="s">
        <v>10392</v>
      </c>
      <c r="J4887" t="s">
        <v>13375</v>
      </c>
      <c r="K4887" t="s">
        <v>17774</v>
      </c>
      <c r="L4887">
        <f>HYPERLINK("https://www2.assemblee-nationale.fr/sycomore/fiche/(num_dept)/7946", "7946")</f>
        <v>0</v>
      </c>
      <c r="N4887">
        <f>HYPERLINK("https://www.wikidata.org/wiki/Q2845612", "Q2845612")</f>
        <v>0</v>
      </c>
      <c r="O4887" t="s">
        <v>19969</v>
      </c>
      <c r="P4887" t="s">
        <v>20401</v>
      </c>
      <c r="Q4887" t="s">
        <v>11935</v>
      </c>
      <c r="R4887" t="s">
        <v>21493</v>
      </c>
      <c r="S4887">
        <v>1471</v>
      </c>
    </row>
    <row r="4888" spans="1:19">
      <c r="A4888" t="s">
        <v>26</v>
      </c>
      <c r="B4888" t="s">
        <v>148</v>
      </c>
      <c r="C4888" t="s">
        <v>158</v>
      </c>
      <c r="D4888" t="s">
        <v>287</v>
      </c>
      <c r="E4888" t="s">
        <v>416</v>
      </c>
      <c r="F4888">
        <f>HYPERLINK("https://www.wikidata.org/wiki/Q33756209", "Q33756209")</f>
        <v>0</v>
      </c>
      <c r="G4888" t="s">
        <v>3051</v>
      </c>
      <c r="H4888" t="s">
        <v>7477</v>
      </c>
      <c r="I4888" t="s">
        <v>7671</v>
      </c>
      <c r="J4888" t="s">
        <v>13351</v>
      </c>
      <c r="K4888" t="s">
        <v>18058</v>
      </c>
      <c r="L4888">
        <f>HYPERLINK("https://www2.assemblee-nationale.fr/sycomore/fiche/(num_dept)/7949", "7949")</f>
        <v>0</v>
      </c>
      <c r="M4888">
        <f>HYPERLINK("https://www.senat.fr/senateur-3eme-republique/gaillard_gilbert0997r3.html", "gaillard_gilbert0997r3")</f>
        <v>0</v>
      </c>
      <c r="N4888">
        <f>HYPERLINK("https://www.wikidata.org/wiki/Q3105720", "Q3105720")</f>
        <v>0</v>
      </c>
      <c r="O4888" t="s">
        <v>20005</v>
      </c>
      <c r="P4888" t="s">
        <v>20459</v>
      </c>
      <c r="Q4888" t="s">
        <v>11935</v>
      </c>
      <c r="R4888" t="s">
        <v>21493</v>
      </c>
      <c r="S4888">
        <v>1471</v>
      </c>
    </row>
    <row r="4889" spans="1:19">
      <c r="A4889" t="s">
        <v>26</v>
      </c>
      <c r="B4889" t="s">
        <v>148</v>
      </c>
      <c r="C4889" t="s">
        <v>158</v>
      </c>
      <c r="D4889" t="s">
        <v>287</v>
      </c>
      <c r="E4889" t="s">
        <v>416</v>
      </c>
      <c r="F4889">
        <f>HYPERLINK("https://www.wikidata.org/wiki/Q33756209", "Q33756209")</f>
        <v>0</v>
      </c>
      <c r="G4889" t="s">
        <v>3193</v>
      </c>
      <c r="H4889" t="s">
        <v>7332</v>
      </c>
      <c r="I4889" t="s">
        <v>10696</v>
      </c>
      <c r="J4889" t="s">
        <v>13814</v>
      </c>
      <c r="K4889" t="s">
        <v>18189</v>
      </c>
      <c r="L4889">
        <f>HYPERLINK("https://www2.assemblee-nationale.fr/sycomore/fiche/(num_dept)/7951", "7951")</f>
        <v>0</v>
      </c>
      <c r="N4889">
        <f>HYPERLINK("https://www.wikidata.org/wiki/Q3093543", "Q3093543")</f>
        <v>0</v>
      </c>
      <c r="O4889" t="s">
        <v>20023</v>
      </c>
      <c r="P4889" t="s">
        <v>20460</v>
      </c>
      <c r="Q4889" t="s">
        <v>11935</v>
      </c>
      <c r="R4889" t="s">
        <v>21493</v>
      </c>
      <c r="S4889">
        <v>1471</v>
      </c>
    </row>
    <row r="4890" spans="1:19">
      <c r="A4890" t="s">
        <v>26</v>
      </c>
      <c r="B4890" t="s">
        <v>148</v>
      </c>
      <c r="C4890" t="s">
        <v>158</v>
      </c>
      <c r="D4890" t="s">
        <v>287</v>
      </c>
      <c r="E4890" t="s">
        <v>416</v>
      </c>
      <c r="F4890">
        <f>HYPERLINK("https://www.wikidata.org/wiki/Q33756209", "Q33756209")</f>
        <v>0</v>
      </c>
      <c r="G4890" t="s">
        <v>3194</v>
      </c>
      <c r="H4890" t="s">
        <v>7623</v>
      </c>
      <c r="I4890" t="s">
        <v>9445</v>
      </c>
      <c r="J4890" t="s">
        <v>13815</v>
      </c>
      <c r="K4890" t="s">
        <v>18190</v>
      </c>
      <c r="L4890">
        <f>HYPERLINK("https://www2.assemblee-nationale.fr/sycomore/fiche/(num_dept)/7952", "7952")</f>
        <v>0</v>
      </c>
      <c r="M4890">
        <f>HYPERLINK("https://www.senat.fr/senateur-3eme-republique/gaudin_de_villaine_adrien1041r3.html", "gaudin_de_villaine_adrien1041r3")</f>
        <v>0</v>
      </c>
      <c r="N4890">
        <f>HYPERLINK("https://www.wikidata.org/wiki/Q2825178", "Q2825178")</f>
        <v>0</v>
      </c>
      <c r="O4890" t="s">
        <v>19985</v>
      </c>
      <c r="P4890" t="s">
        <v>20460</v>
      </c>
      <c r="Q4890" t="s">
        <v>11935</v>
      </c>
      <c r="R4890" t="s">
        <v>21493</v>
      </c>
      <c r="S4890">
        <v>1471</v>
      </c>
    </row>
    <row r="4891" spans="1:19">
      <c r="A4891" t="s">
        <v>26</v>
      </c>
      <c r="B4891" t="s">
        <v>148</v>
      </c>
      <c r="C4891" t="s">
        <v>158</v>
      </c>
      <c r="D4891" t="s">
        <v>287</v>
      </c>
      <c r="E4891" t="s">
        <v>416</v>
      </c>
      <c r="F4891">
        <f>HYPERLINK("https://www.wikidata.org/wiki/Q33756209", "Q33756209")</f>
        <v>0</v>
      </c>
      <c r="G4891" t="s">
        <v>2736</v>
      </c>
      <c r="H4891" t="s">
        <v>5420</v>
      </c>
      <c r="I4891" t="s">
        <v>10394</v>
      </c>
      <c r="J4891" t="s">
        <v>13377</v>
      </c>
      <c r="K4891" t="s">
        <v>17775</v>
      </c>
      <c r="L4891">
        <f>HYPERLINK("https://www2.assemblee-nationale.fr/sycomore/fiche/(num_dept)/7954", "7954")</f>
        <v>0</v>
      </c>
      <c r="N4891">
        <f>HYPERLINK("https://www.wikidata.org/wiki/Q8325403", "Q8325403")</f>
        <v>0</v>
      </c>
      <c r="O4891" t="s">
        <v>20023</v>
      </c>
      <c r="P4891" t="s">
        <v>20460</v>
      </c>
      <c r="Q4891" t="s">
        <v>11935</v>
      </c>
      <c r="R4891" t="s">
        <v>17775</v>
      </c>
      <c r="S4891">
        <v>1325</v>
      </c>
    </row>
    <row r="4892" spans="1:19">
      <c r="A4892" t="s">
        <v>26</v>
      </c>
      <c r="B4892" t="s">
        <v>148</v>
      </c>
      <c r="C4892" t="s">
        <v>158</v>
      </c>
      <c r="D4892" t="s">
        <v>287</v>
      </c>
      <c r="E4892" t="s">
        <v>416</v>
      </c>
      <c r="F4892">
        <f>HYPERLINK("https://www.wikidata.org/wiki/Q33756209", "Q33756209")</f>
        <v>0</v>
      </c>
      <c r="G4892" t="s">
        <v>3195</v>
      </c>
      <c r="H4892" t="s">
        <v>7624</v>
      </c>
      <c r="I4892" t="s">
        <v>10697</v>
      </c>
      <c r="J4892" t="s">
        <v>13816</v>
      </c>
      <c r="K4892" t="s">
        <v>18191</v>
      </c>
      <c r="L4892">
        <f>HYPERLINK("https://www2.assemblee-nationale.fr/sycomore/fiche/(num_dept)/7955", "7955")</f>
        <v>0</v>
      </c>
      <c r="N4892">
        <f>HYPERLINK("https://www.wikidata.org/wiki/Q16025791", "Q16025791")</f>
        <v>0</v>
      </c>
      <c r="O4892" t="s">
        <v>19972</v>
      </c>
      <c r="P4892" t="s">
        <v>20460</v>
      </c>
      <c r="Q4892" t="s">
        <v>11935</v>
      </c>
      <c r="R4892" t="s">
        <v>416</v>
      </c>
      <c r="S4892">
        <v>1499</v>
      </c>
    </row>
    <row r="4893" spans="1:19">
      <c r="A4893" t="s">
        <v>26</v>
      </c>
      <c r="B4893" t="s">
        <v>148</v>
      </c>
      <c r="C4893" t="s">
        <v>158</v>
      </c>
      <c r="D4893" t="s">
        <v>287</v>
      </c>
      <c r="E4893" t="s">
        <v>416</v>
      </c>
      <c r="F4893">
        <f>HYPERLINK("https://www.wikidata.org/wiki/Q33756209", "Q33756209")</f>
        <v>0</v>
      </c>
      <c r="G4893" t="s">
        <v>2737</v>
      </c>
      <c r="H4893" t="s">
        <v>7256</v>
      </c>
      <c r="I4893" t="s">
        <v>9472</v>
      </c>
      <c r="J4893" t="s">
        <v>13378</v>
      </c>
      <c r="K4893" t="s">
        <v>17776</v>
      </c>
      <c r="L4893">
        <f>HYPERLINK("https://www2.assemblee-nationale.fr/sycomore/fiche/(num_dept)/7956", "7956")</f>
        <v>0</v>
      </c>
      <c r="M4893">
        <f>HYPERLINK("https://www.senat.fr/senateur-3eme-republique/gomot_hippolyte0986r3.html", "gomot_hippolyte0986r3")</f>
        <v>0</v>
      </c>
      <c r="N4893">
        <f>HYPERLINK("https://www.wikidata.org/wiki/Q3136064", "Q3136064")</f>
        <v>0</v>
      </c>
      <c r="O4893" t="s">
        <v>20005</v>
      </c>
      <c r="P4893" t="s">
        <v>20459</v>
      </c>
      <c r="Q4893" t="s">
        <v>11935</v>
      </c>
      <c r="R4893" t="s">
        <v>21493</v>
      </c>
      <c r="S4893">
        <v>1471</v>
      </c>
    </row>
    <row r="4894" spans="1:19">
      <c r="A4894" t="s">
        <v>26</v>
      </c>
      <c r="B4894" t="s">
        <v>148</v>
      </c>
      <c r="C4894" t="s">
        <v>158</v>
      </c>
      <c r="D4894" t="s">
        <v>287</v>
      </c>
      <c r="E4894" t="s">
        <v>416</v>
      </c>
      <c r="F4894">
        <f>HYPERLINK("https://www.wikidata.org/wiki/Q33756209", "Q33756209")</f>
        <v>0</v>
      </c>
      <c r="G4894" t="s">
        <v>3196</v>
      </c>
      <c r="H4894" t="s">
        <v>7625</v>
      </c>
      <c r="I4894" t="s">
        <v>10698</v>
      </c>
      <c r="J4894" t="s">
        <v>13817</v>
      </c>
      <c r="K4894" t="s">
        <v>18007</v>
      </c>
      <c r="L4894">
        <f>HYPERLINK("https://www2.assemblee-nationale.fr/sycomore/fiche/(num_dept)/7957", "7957")</f>
        <v>0</v>
      </c>
      <c r="N4894">
        <f>HYPERLINK("https://www.wikidata.org/wiki/Q3262167", "Q3262167")</f>
        <v>0</v>
      </c>
      <c r="O4894" t="s">
        <v>19985</v>
      </c>
      <c r="P4894" t="s">
        <v>20460</v>
      </c>
      <c r="Q4894" t="s">
        <v>11935</v>
      </c>
      <c r="R4894" t="s">
        <v>18007</v>
      </c>
      <c r="S4894">
        <v>423</v>
      </c>
    </row>
    <row r="4895" spans="1:19">
      <c r="A4895" t="s">
        <v>26</v>
      </c>
      <c r="B4895" t="s">
        <v>148</v>
      </c>
      <c r="C4895" t="s">
        <v>158</v>
      </c>
      <c r="D4895" t="s">
        <v>287</v>
      </c>
      <c r="E4895" t="s">
        <v>416</v>
      </c>
      <c r="F4895">
        <f>HYPERLINK("https://www.wikidata.org/wiki/Q33756209", "Q33756209")</f>
        <v>0</v>
      </c>
      <c r="G4895" t="s">
        <v>3197</v>
      </c>
      <c r="H4895" t="s">
        <v>7626</v>
      </c>
      <c r="I4895" t="s">
        <v>10637</v>
      </c>
      <c r="J4895" t="s">
        <v>13818</v>
      </c>
      <c r="K4895" t="s">
        <v>18192</v>
      </c>
      <c r="L4895">
        <f>HYPERLINK("https://www2.assemblee-nationale.fr/sycomore/fiche/(num_dept)/7960", "7960")</f>
        <v>0</v>
      </c>
      <c r="N4895">
        <f>HYPERLINK("https://www.wikidata.org/wiki/Q3164662", "Q3164662")</f>
        <v>0</v>
      </c>
      <c r="O4895" t="s">
        <v>19970</v>
      </c>
      <c r="P4895" t="s">
        <v>20464</v>
      </c>
      <c r="Q4895" t="s">
        <v>11935</v>
      </c>
      <c r="R4895" t="s">
        <v>21493</v>
      </c>
      <c r="S4895">
        <v>1471</v>
      </c>
    </row>
    <row r="4896" spans="1:19">
      <c r="A4896" t="s">
        <v>26</v>
      </c>
      <c r="B4896" t="s">
        <v>148</v>
      </c>
      <c r="C4896" t="s">
        <v>158</v>
      </c>
      <c r="D4896" t="s">
        <v>287</v>
      </c>
      <c r="E4896" t="s">
        <v>416</v>
      </c>
      <c r="F4896">
        <f>HYPERLINK("https://www.wikidata.org/wiki/Q33756209", "Q33756209")</f>
        <v>0</v>
      </c>
      <c r="G4896" t="s">
        <v>3198</v>
      </c>
      <c r="H4896" t="s">
        <v>7627</v>
      </c>
      <c r="I4896" t="s">
        <v>9474</v>
      </c>
      <c r="J4896" t="s">
        <v>13819</v>
      </c>
      <c r="K4896" t="s">
        <v>15677</v>
      </c>
      <c r="L4896">
        <f>HYPERLINK("https://www2.assemblee-nationale.fr/sycomore/fiche/(num_dept)/7961", "7961")</f>
        <v>0</v>
      </c>
      <c r="N4896">
        <f>HYPERLINK("https://www.wikidata.org/wiki/Q16025844", "Q16025844")</f>
        <v>0</v>
      </c>
      <c r="O4896" t="s">
        <v>19962</v>
      </c>
      <c r="P4896" t="s">
        <v>20459</v>
      </c>
      <c r="Q4896" t="s">
        <v>11935</v>
      </c>
      <c r="R4896" t="s">
        <v>21493</v>
      </c>
      <c r="S4896">
        <v>1471</v>
      </c>
    </row>
    <row r="4897" spans="1:19">
      <c r="A4897" t="s">
        <v>26</v>
      </c>
      <c r="B4897" t="s">
        <v>148</v>
      </c>
      <c r="C4897" t="s">
        <v>158</v>
      </c>
      <c r="D4897" t="s">
        <v>287</v>
      </c>
      <c r="E4897" t="s">
        <v>416</v>
      </c>
      <c r="F4897">
        <f>HYPERLINK("https://www.wikidata.org/wiki/Q33756209", "Q33756209")</f>
        <v>0</v>
      </c>
      <c r="G4897" t="s">
        <v>3199</v>
      </c>
      <c r="H4897" t="s">
        <v>7628</v>
      </c>
      <c r="I4897" t="s">
        <v>10699</v>
      </c>
      <c r="J4897" t="s">
        <v>13820</v>
      </c>
      <c r="K4897" t="s">
        <v>18193</v>
      </c>
      <c r="L4897">
        <f>HYPERLINK("https://www2.assemblee-nationale.fr/sycomore/fiche/(num_dept)/7964", "7964")</f>
        <v>0</v>
      </c>
      <c r="N4897">
        <f>HYPERLINK("https://www.wikidata.org/wiki/Q16025848", "Q16025848")</f>
        <v>0</v>
      </c>
      <c r="O4897" t="s">
        <v>19968</v>
      </c>
      <c r="P4897" t="s">
        <v>20460</v>
      </c>
      <c r="Q4897" t="s">
        <v>11935</v>
      </c>
      <c r="R4897" t="s">
        <v>21493</v>
      </c>
      <c r="S4897">
        <v>1471</v>
      </c>
    </row>
    <row r="4898" spans="1:19">
      <c r="A4898" t="s">
        <v>26</v>
      </c>
      <c r="B4898" t="s">
        <v>148</v>
      </c>
      <c r="C4898" t="s">
        <v>158</v>
      </c>
      <c r="D4898" t="s">
        <v>287</v>
      </c>
      <c r="E4898" t="s">
        <v>416</v>
      </c>
      <c r="F4898">
        <f>HYPERLINK("https://www.wikidata.org/wiki/Q33756209", "Q33756209")</f>
        <v>0</v>
      </c>
      <c r="G4898" t="s">
        <v>3200</v>
      </c>
      <c r="H4898" t="s">
        <v>7629</v>
      </c>
      <c r="I4898" t="s">
        <v>10700</v>
      </c>
      <c r="J4898" t="s">
        <v>11459</v>
      </c>
      <c r="K4898" t="s">
        <v>18194</v>
      </c>
      <c r="L4898">
        <f>HYPERLINK("https://www2.assemblee-nationale.fr/sycomore/fiche/(num_dept)/7969", "7969")</f>
        <v>0</v>
      </c>
      <c r="N4898">
        <f>HYPERLINK("https://www.wikidata.org/wiki/Q16025874", "Q16025874")</f>
        <v>0</v>
      </c>
      <c r="O4898" t="s">
        <v>20004</v>
      </c>
      <c r="P4898" t="s">
        <v>20460</v>
      </c>
      <c r="Q4898" t="s">
        <v>11935</v>
      </c>
      <c r="R4898" t="s">
        <v>21499</v>
      </c>
      <c r="S4898">
        <v>71</v>
      </c>
    </row>
    <row r="4899" spans="1:19">
      <c r="A4899" t="s">
        <v>26</v>
      </c>
      <c r="B4899" t="s">
        <v>148</v>
      </c>
      <c r="C4899" t="s">
        <v>158</v>
      </c>
      <c r="D4899" t="s">
        <v>287</v>
      </c>
      <c r="E4899" t="s">
        <v>416</v>
      </c>
      <c r="F4899">
        <f>HYPERLINK("https://www.wikidata.org/wiki/Q33756209", "Q33756209")</f>
        <v>0</v>
      </c>
      <c r="G4899" t="s">
        <v>3078</v>
      </c>
      <c r="H4899" t="s">
        <v>7527</v>
      </c>
      <c r="I4899" t="s">
        <v>9385</v>
      </c>
      <c r="J4899" t="s">
        <v>13702</v>
      </c>
      <c r="K4899" t="s">
        <v>17981</v>
      </c>
      <c r="L4899">
        <f>HYPERLINK("https://www2.assemblee-nationale.fr/sycomore/fiche/(num_dept)/7970", "7970")</f>
        <v>0</v>
      </c>
      <c r="N4899">
        <f>HYPERLINK("https://www.wikidata.org/wiki/Q8342589", "Q8342589")</f>
        <v>0</v>
      </c>
      <c r="O4899" t="s">
        <v>20013</v>
      </c>
      <c r="Q4899" t="s">
        <v>11935</v>
      </c>
      <c r="R4899" t="s">
        <v>21493</v>
      </c>
      <c r="S4899">
        <v>1471</v>
      </c>
    </row>
    <row r="4900" spans="1:19">
      <c r="A4900" t="s">
        <v>26</v>
      </c>
      <c r="B4900" t="s">
        <v>148</v>
      </c>
      <c r="C4900" t="s">
        <v>158</v>
      </c>
      <c r="D4900" t="s">
        <v>287</v>
      </c>
      <c r="E4900" t="s">
        <v>416</v>
      </c>
      <c r="F4900">
        <f>HYPERLINK("https://www.wikidata.org/wiki/Q33756209", "Q33756209")</f>
        <v>0</v>
      </c>
      <c r="G4900" t="s">
        <v>3201</v>
      </c>
      <c r="H4900" t="s">
        <v>6484</v>
      </c>
      <c r="I4900" t="s">
        <v>9506</v>
      </c>
      <c r="J4900" t="s">
        <v>13821</v>
      </c>
      <c r="K4900" t="s">
        <v>18195</v>
      </c>
      <c r="L4900">
        <f>HYPERLINK("https://www2.assemblee-nationale.fr/sycomore/fiche/(num_dept)/7971", "7971")</f>
        <v>0</v>
      </c>
      <c r="M4900">
        <f>HYPERLINK("https://www.senat.fr/senateur-3eme-republique/jouffrault_camille1624r3.html", "jouffrault_camille1624r3")</f>
        <v>0</v>
      </c>
      <c r="N4900">
        <f>HYPERLINK("https://www.wikidata.org/wiki/Q2934967", "Q2934967")</f>
        <v>0</v>
      </c>
      <c r="O4900" t="s">
        <v>20021</v>
      </c>
      <c r="P4900" t="s">
        <v>20401</v>
      </c>
      <c r="Q4900" t="s">
        <v>11935</v>
      </c>
      <c r="R4900" t="s">
        <v>21493</v>
      </c>
      <c r="S4900">
        <v>1471</v>
      </c>
    </row>
    <row r="4901" spans="1:19">
      <c r="A4901" t="s">
        <v>26</v>
      </c>
      <c r="B4901" t="s">
        <v>148</v>
      </c>
      <c r="C4901" t="s">
        <v>158</v>
      </c>
      <c r="D4901" t="s">
        <v>287</v>
      </c>
      <c r="E4901" t="s">
        <v>416</v>
      </c>
      <c r="F4901">
        <f>HYPERLINK("https://www.wikidata.org/wiki/Q33756209", "Q33756209")</f>
        <v>0</v>
      </c>
      <c r="G4901" t="s">
        <v>3202</v>
      </c>
      <c r="H4901" t="s">
        <v>7630</v>
      </c>
      <c r="I4901" t="s">
        <v>10701</v>
      </c>
      <c r="J4901" t="s">
        <v>13822</v>
      </c>
      <c r="K4901" t="s">
        <v>18196</v>
      </c>
      <c r="L4901">
        <f>HYPERLINK("https://www2.assemblee-nationale.fr/sycomore/fiche/(num_dept)/7974", "7974")</f>
        <v>0</v>
      </c>
      <c r="N4901">
        <f>HYPERLINK("https://www.wikidata.org/wiki/Q16025903", "Q16025903")</f>
        <v>0</v>
      </c>
      <c r="O4901" t="s">
        <v>19970</v>
      </c>
      <c r="P4901" t="s">
        <v>20460</v>
      </c>
      <c r="Q4901" t="s">
        <v>11935</v>
      </c>
      <c r="R4901" t="s">
        <v>21493</v>
      </c>
      <c r="S4901">
        <v>1471</v>
      </c>
    </row>
    <row r="4902" spans="1:19">
      <c r="A4902" t="s">
        <v>26</v>
      </c>
      <c r="B4902" t="s">
        <v>148</v>
      </c>
      <c r="C4902" t="s">
        <v>158</v>
      </c>
      <c r="D4902" t="s">
        <v>287</v>
      </c>
      <c r="E4902" t="s">
        <v>416</v>
      </c>
      <c r="F4902">
        <f>HYPERLINK("https://www.wikidata.org/wiki/Q33756209", "Q33756209")</f>
        <v>0</v>
      </c>
      <c r="G4902" t="s">
        <v>3203</v>
      </c>
      <c r="H4902" t="s">
        <v>7631</v>
      </c>
      <c r="I4902" t="s">
        <v>10702</v>
      </c>
      <c r="J4902" t="s">
        <v>13823</v>
      </c>
      <c r="K4902" t="s">
        <v>18197</v>
      </c>
      <c r="L4902">
        <f>HYPERLINK("https://www2.assemblee-nationale.fr/sycomore/fiche/(num_dept)/7979", "7979")</f>
        <v>0</v>
      </c>
      <c r="N4902">
        <f>HYPERLINK("https://www.wikidata.org/wiki/Q3047909", "Q3047909")</f>
        <v>0</v>
      </c>
      <c r="O4902" t="s">
        <v>19984</v>
      </c>
      <c r="P4902" t="s">
        <v>20468</v>
      </c>
      <c r="Q4902" t="s">
        <v>11935</v>
      </c>
      <c r="R4902" t="s">
        <v>21493</v>
      </c>
      <c r="S4902">
        <v>1471</v>
      </c>
    </row>
    <row r="4903" spans="1:19">
      <c r="A4903" t="s">
        <v>26</v>
      </c>
      <c r="B4903" t="s">
        <v>148</v>
      </c>
      <c r="C4903" t="s">
        <v>158</v>
      </c>
      <c r="D4903" t="s">
        <v>287</v>
      </c>
      <c r="E4903" t="s">
        <v>416</v>
      </c>
      <c r="F4903">
        <f>HYPERLINK("https://www.wikidata.org/wiki/Q33756209", "Q33756209")</f>
        <v>0</v>
      </c>
      <c r="G4903" t="s">
        <v>3204</v>
      </c>
      <c r="H4903" t="s">
        <v>7632</v>
      </c>
      <c r="I4903" t="s">
        <v>10044</v>
      </c>
      <c r="J4903" t="s">
        <v>13824</v>
      </c>
      <c r="K4903" t="s">
        <v>16618</v>
      </c>
      <c r="L4903">
        <f>HYPERLINK("https://www2.assemblee-nationale.fr/sycomore/fiche/(num_dept)/7980", "7980")</f>
        <v>0</v>
      </c>
      <c r="N4903">
        <f>HYPERLINK("https://www.wikidata.org/wiki/Q16025971", "Q16025971")</f>
        <v>0</v>
      </c>
      <c r="O4903" t="s">
        <v>19982</v>
      </c>
      <c r="P4903" t="s">
        <v>20460</v>
      </c>
      <c r="Q4903" t="s">
        <v>11935</v>
      </c>
      <c r="R4903" t="s">
        <v>21493</v>
      </c>
      <c r="S4903">
        <v>1471</v>
      </c>
    </row>
    <row r="4904" spans="1:19">
      <c r="A4904" t="s">
        <v>26</v>
      </c>
      <c r="B4904" t="s">
        <v>148</v>
      </c>
      <c r="C4904" t="s">
        <v>158</v>
      </c>
      <c r="D4904" t="s">
        <v>287</v>
      </c>
      <c r="E4904" t="s">
        <v>416</v>
      </c>
      <c r="F4904">
        <f>HYPERLINK("https://www.wikidata.org/wiki/Q33756209", "Q33756209")</f>
        <v>0</v>
      </c>
      <c r="G4904" t="s">
        <v>3031</v>
      </c>
      <c r="H4904" t="s">
        <v>7488</v>
      </c>
      <c r="I4904" t="s">
        <v>10586</v>
      </c>
      <c r="J4904" t="s">
        <v>13659</v>
      </c>
      <c r="K4904" t="s">
        <v>17738</v>
      </c>
      <c r="L4904">
        <f>HYPERLINK("https://www2.assemblee-nationale.fr/sycomore/fiche/(num_dept)/7983", "7983")</f>
        <v>0</v>
      </c>
      <c r="N4904">
        <f>HYPERLINK("https://www.wikidata.org/wiki/Q3047922", "Q3047922")</f>
        <v>0</v>
      </c>
      <c r="O4904" t="s">
        <v>19968</v>
      </c>
      <c r="P4904" t="s">
        <v>20460</v>
      </c>
      <c r="Q4904" t="s">
        <v>11935</v>
      </c>
      <c r="R4904" t="s">
        <v>21493</v>
      </c>
      <c r="S4904">
        <v>1471</v>
      </c>
    </row>
    <row r="4905" spans="1:19">
      <c r="A4905" t="s">
        <v>26</v>
      </c>
      <c r="B4905" t="s">
        <v>148</v>
      </c>
      <c r="C4905" t="s">
        <v>158</v>
      </c>
      <c r="D4905" t="s">
        <v>287</v>
      </c>
      <c r="E4905" t="s">
        <v>416</v>
      </c>
      <c r="F4905">
        <f>HYPERLINK("https://www.wikidata.org/wiki/Q33756209", "Q33756209")</f>
        <v>0</v>
      </c>
      <c r="G4905" t="s">
        <v>3205</v>
      </c>
      <c r="H4905" t="s">
        <v>7633</v>
      </c>
      <c r="I4905" t="s">
        <v>10703</v>
      </c>
      <c r="J4905" t="s">
        <v>13825</v>
      </c>
      <c r="K4905" t="s">
        <v>18198</v>
      </c>
      <c r="L4905">
        <f>HYPERLINK("https://www2.assemblee-nationale.fr/sycomore/fiche/(num_dept)/7984", "7984")</f>
        <v>0</v>
      </c>
      <c r="N4905">
        <f>HYPERLINK("https://www.wikidata.org/wiki/Q2857128", "Q2857128")</f>
        <v>0</v>
      </c>
      <c r="O4905" t="s">
        <v>20013</v>
      </c>
      <c r="P4905" t="s">
        <v>20460</v>
      </c>
      <c r="Q4905" t="s">
        <v>11935</v>
      </c>
      <c r="R4905" t="s">
        <v>21493</v>
      </c>
      <c r="S4905">
        <v>1471</v>
      </c>
    </row>
    <row r="4906" spans="1:19">
      <c r="A4906" t="s">
        <v>26</v>
      </c>
      <c r="B4906" t="s">
        <v>148</v>
      </c>
      <c r="C4906" t="s">
        <v>158</v>
      </c>
      <c r="D4906" t="s">
        <v>287</v>
      </c>
      <c r="E4906" t="s">
        <v>416</v>
      </c>
      <c r="F4906">
        <f>HYPERLINK("https://www.wikidata.org/wiki/Q33756209", "Q33756209")</f>
        <v>0</v>
      </c>
      <c r="G4906" t="s">
        <v>3206</v>
      </c>
      <c r="H4906" t="s">
        <v>7634</v>
      </c>
      <c r="I4906" t="s">
        <v>10704</v>
      </c>
      <c r="J4906" t="s">
        <v>13329</v>
      </c>
      <c r="K4906" t="s">
        <v>18199</v>
      </c>
      <c r="L4906">
        <f>HYPERLINK("https://www2.assemblee-nationale.fr/sycomore/fiche/(num_dept)/7985", "7985")</f>
        <v>0</v>
      </c>
      <c r="N4906">
        <f>HYPERLINK("https://www.wikidata.org/wiki/Q3262511", "Q3262511")</f>
        <v>0</v>
      </c>
      <c r="O4906" t="s">
        <v>20013</v>
      </c>
      <c r="P4906" t="s">
        <v>20460</v>
      </c>
      <c r="Q4906" t="s">
        <v>11935</v>
      </c>
      <c r="R4906" t="s">
        <v>18199</v>
      </c>
      <c r="S4906">
        <v>752</v>
      </c>
    </row>
    <row r="4907" spans="1:19">
      <c r="A4907" t="s">
        <v>26</v>
      </c>
      <c r="B4907" t="s">
        <v>148</v>
      </c>
      <c r="C4907" t="s">
        <v>158</v>
      </c>
      <c r="D4907" t="s">
        <v>287</v>
      </c>
      <c r="E4907" t="s">
        <v>416</v>
      </c>
      <c r="F4907">
        <f>HYPERLINK("https://www.wikidata.org/wiki/Q33756209", "Q33756209")</f>
        <v>0</v>
      </c>
      <c r="G4907" t="s">
        <v>3021</v>
      </c>
      <c r="H4907" t="s">
        <v>7478</v>
      </c>
      <c r="I4907" t="s">
        <v>9426</v>
      </c>
      <c r="J4907" t="s">
        <v>13649</v>
      </c>
      <c r="K4907" t="s">
        <v>18033</v>
      </c>
      <c r="L4907">
        <f>HYPERLINK("https://www2.assemblee-nationale.fr/sycomore/fiche/(num_dept)/7987", "7987")</f>
        <v>0</v>
      </c>
      <c r="M4907">
        <f>HYPERLINK("https://www.senat.fr/senateur-3eme-republique/leporche_alphonse1246r3.html", "leporche_alphonse1246r3")</f>
        <v>0</v>
      </c>
      <c r="N4907">
        <f>HYPERLINK("https://www.wikidata.org/wiki/Q2839867", "Q2839867")</f>
        <v>0</v>
      </c>
      <c r="O4907" t="s">
        <v>19956</v>
      </c>
      <c r="P4907" t="s">
        <v>20459</v>
      </c>
      <c r="Q4907" t="s">
        <v>11935</v>
      </c>
      <c r="R4907" t="s">
        <v>21493</v>
      </c>
      <c r="S4907">
        <v>1471</v>
      </c>
    </row>
    <row r="4908" spans="1:19">
      <c r="A4908" t="s">
        <v>26</v>
      </c>
      <c r="B4908" t="s">
        <v>148</v>
      </c>
      <c r="C4908" t="s">
        <v>158</v>
      </c>
      <c r="D4908" t="s">
        <v>287</v>
      </c>
      <c r="E4908" t="s">
        <v>416</v>
      </c>
      <c r="F4908">
        <f>HYPERLINK("https://www.wikidata.org/wiki/Q33756209", "Q33756209")</f>
        <v>0</v>
      </c>
      <c r="G4908" t="s">
        <v>3207</v>
      </c>
      <c r="H4908" t="s">
        <v>7635</v>
      </c>
      <c r="I4908" t="s">
        <v>10705</v>
      </c>
      <c r="J4908" t="s">
        <v>13826</v>
      </c>
      <c r="K4908" t="s">
        <v>18200</v>
      </c>
      <c r="L4908">
        <f>HYPERLINK("https://www2.assemblee-nationale.fr/sycomore/fiche/(num_dept)/7988", "7988")</f>
        <v>0</v>
      </c>
      <c r="N4908">
        <f>HYPERLINK("https://www.wikidata.org/wiki/Q16025961", "Q16025961")</f>
        <v>0</v>
      </c>
      <c r="O4908" t="s">
        <v>20013</v>
      </c>
      <c r="P4908" t="s">
        <v>20475</v>
      </c>
      <c r="Q4908" t="s">
        <v>11935</v>
      </c>
      <c r="R4908" t="s">
        <v>21493</v>
      </c>
      <c r="S4908">
        <v>1471</v>
      </c>
    </row>
    <row r="4909" spans="1:19">
      <c r="A4909" t="s">
        <v>26</v>
      </c>
      <c r="B4909" t="s">
        <v>148</v>
      </c>
      <c r="C4909" t="s">
        <v>158</v>
      </c>
      <c r="D4909" t="s">
        <v>287</v>
      </c>
      <c r="E4909" t="s">
        <v>416</v>
      </c>
      <c r="F4909">
        <f>HYPERLINK("https://www.wikidata.org/wiki/Q33756209", "Q33756209")</f>
        <v>0</v>
      </c>
      <c r="G4909" t="s">
        <v>3208</v>
      </c>
      <c r="H4909" t="s">
        <v>7636</v>
      </c>
      <c r="I4909" t="s">
        <v>10706</v>
      </c>
      <c r="J4909" t="s">
        <v>13827</v>
      </c>
      <c r="K4909" t="s">
        <v>18201</v>
      </c>
      <c r="L4909">
        <f>HYPERLINK("https://www2.assemblee-nationale.fr/sycomore/fiche/(num_dept)/7989", "7989")</f>
        <v>0</v>
      </c>
      <c r="M4909">
        <f>HYPERLINK("https://www.senat.fr/senateur-3eme-republique/lesouef_pierre1572r3.html", "lesouef_pierre1572r3")</f>
        <v>0</v>
      </c>
      <c r="N4909">
        <f>HYPERLINK("https://www.wikidata.org/wiki/Q3385874", "Q3385874")</f>
        <v>0</v>
      </c>
      <c r="O4909" t="s">
        <v>19978</v>
      </c>
      <c r="P4909" t="s">
        <v>20459</v>
      </c>
      <c r="Q4909" t="s">
        <v>11935</v>
      </c>
      <c r="R4909" t="s">
        <v>21493</v>
      </c>
      <c r="S4909">
        <v>1471</v>
      </c>
    </row>
    <row r="4910" spans="1:19">
      <c r="A4910" t="s">
        <v>26</v>
      </c>
      <c r="B4910" t="s">
        <v>148</v>
      </c>
      <c r="C4910" t="s">
        <v>158</v>
      </c>
      <c r="D4910" t="s">
        <v>287</v>
      </c>
      <c r="E4910" t="s">
        <v>416</v>
      </c>
      <c r="F4910">
        <f>HYPERLINK("https://www.wikidata.org/wiki/Q33756209", "Q33756209")</f>
        <v>0</v>
      </c>
      <c r="G4910" t="s">
        <v>2741</v>
      </c>
      <c r="H4910" t="s">
        <v>7260</v>
      </c>
      <c r="I4910" t="s">
        <v>10398</v>
      </c>
      <c r="J4910" t="s">
        <v>13382</v>
      </c>
      <c r="K4910" t="s">
        <v>17780</v>
      </c>
      <c r="L4910">
        <f>HYPERLINK("https://www2.assemblee-nationale.fr/sycomore/fiche/(num_dept)/7990", "7990")</f>
        <v>0</v>
      </c>
      <c r="N4910">
        <f>HYPERLINK("https://www.wikidata.org/wiki/Q16026527", "Q16026527")</f>
        <v>0</v>
      </c>
      <c r="O4910" t="s">
        <v>19968</v>
      </c>
      <c r="P4910" t="s">
        <v>20460</v>
      </c>
      <c r="Q4910" t="s">
        <v>11935</v>
      </c>
      <c r="R4910" t="s">
        <v>21493</v>
      </c>
      <c r="S4910">
        <v>1471</v>
      </c>
    </row>
    <row r="4911" spans="1:19">
      <c r="A4911" t="s">
        <v>26</v>
      </c>
      <c r="B4911" t="s">
        <v>148</v>
      </c>
      <c r="C4911" t="s">
        <v>158</v>
      </c>
      <c r="D4911" t="s">
        <v>287</v>
      </c>
      <c r="E4911" t="s">
        <v>416</v>
      </c>
      <c r="F4911">
        <f>HYPERLINK("https://www.wikidata.org/wiki/Q33756209", "Q33756209")</f>
        <v>0</v>
      </c>
      <c r="G4911" t="s">
        <v>3209</v>
      </c>
      <c r="H4911" t="s">
        <v>7637</v>
      </c>
      <c r="I4911" t="s">
        <v>9960</v>
      </c>
      <c r="J4911" t="s">
        <v>13828</v>
      </c>
      <c r="K4911" t="s">
        <v>18202</v>
      </c>
      <c r="L4911">
        <f>HYPERLINK("https://www2.assemblee-nationale.fr/sycomore/fiche/(num_dept)/7992", "7992")</f>
        <v>0</v>
      </c>
      <c r="N4911">
        <f>HYPERLINK("https://www.wikidata.org/wiki/Q16025998", "Q16025998")</f>
        <v>0</v>
      </c>
      <c r="O4911" t="s">
        <v>19968</v>
      </c>
      <c r="P4911" t="s">
        <v>20460</v>
      </c>
      <c r="Q4911" t="s">
        <v>11935</v>
      </c>
      <c r="R4911" t="s">
        <v>21493</v>
      </c>
      <c r="S4911">
        <v>1471</v>
      </c>
    </row>
    <row r="4912" spans="1:19">
      <c r="A4912" t="s">
        <v>26</v>
      </c>
      <c r="B4912" t="s">
        <v>148</v>
      </c>
      <c r="C4912" t="s">
        <v>158</v>
      </c>
      <c r="D4912" t="s">
        <v>287</v>
      </c>
      <c r="E4912" t="s">
        <v>416</v>
      </c>
      <c r="F4912">
        <f>HYPERLINK("https://www.wikidata.org/wiki/Q33756209", "Q33756209")</f>
        <v>0</v>
      </c>
      <c r="G4912" t="s">
        <v>3210</v>
      </c>
      <c r="H4912" t="s">
        <v>7638</v>
      </c>
      <c r="I4912" t="s">
        <v>9445</v>
      </c>
      <c r="J4912" t="s">
        <v>13829</v>
      </c>
      <c r="K4912" t="s">
        <v>18203</v>
      </c>
      <c r="L4912">
        <f>HYPERLINK("https://www2.assemblee-nationale.fr/sycomore/fiche/(num_dept)/7993", "7993")</f>
        <v>0</v>
      </c>
      <c r="N4912">
        <f>HYPERLINK("https://www.wikidata.org/wiki/Q8304592", "Q8304592")</f>
        <v>0</v>
      </c>
      <c r="O4912" t="s">
        <v>19985</v>
      </c>
      <c r="P4912" t="s">
        <v>20460</v>
      </c>
      <c r="Q4912" t="s">
        <v>11935</v>
      </c>
      <c r="R4912" t="s">
        <v>21493</v>
      </c>
      <c r="S4912">
        <v>1471</v>
      </c>
    </row>
    <row r="4913" spans="1:19">
      <c r="A4913" t="s">
        <v>26</v>
      </c>
      <c r="B4913" t="s">
        <v>148</v>
      </c>
      <c r="C4913" t="s">
        <v>158</v>
      </c>
      <c r="D4913" t="s">
        <v>287</v>
      </c>
      <c r="E4913" t="s">
        <v>416</v>
      </c>
      <c r="F4913">
        <f>HYPERLINK("https://www.wikidata.org/wiki/Q33756209", "Q33756209")</f>
        <v>0</v>
      </c>
      <c r="G4913" t="s">
        <v>2743</v>
      </c>
      <c r="H4913" t="s">
        <v>7261</v>
      </c>
      <c r="I4913" t="s">
        <v>9375</v>
      </c>
      <c r="J4913" t="s">
        <v>13384</v>
      </c>
      <c r="K4913" t="s">
        <v>17782</v>
      </c>
      <c r="L4913">
        <f>HYPERLINK("https://www2.assemblee-nationale.fr/sycomore/fiche/(num_dept)/7995", "7995")</f>
        <v>0</v>
      </c>
      <c r="N4913">
        <f>HYPERLINK("https://www.wikidata.org/wiki/Q3579939", "Q3579939")</f>
        <v>0</v>
      </c>
      <c r="O4913" t="s">
        <v>19961</v>
      </c>
      <c r="P4913" t="s">
        <v>20460</v>
      </c>
      <c r="Q4913" t="s">
        <v>11935</v>
      </c>
      <c r="R4913" t="s">
        <v>17782</v>
      </c>
      <c r="S4913">
        <v>75</v>
      </c>
    </row>
    <row r="4914" spans="1:19">
      <c r="A4914" t="s">
        <v>26</v>
      </c>
      <c r="B4914" t="s">
        <v>148</v>
      </c>
      <c r="C4914" t="s">
        <v>158</v>
      </c>
      <c r="D4914" t="s">
        <v>287</v>
      </c>
      <c r="E4914" t="s">
        <v>416</v>
      </c>
      <c r="F4914">
        <f>HYPERLINK("https://www.wikidata.org/wiki/Q33756209", "Q33756209")</f>
        <v>0</v>
      </c>
      <c r="G4914" t="s">
        <v>3211</v>
      </c>
      <c r="H4914" t="s">
        <v>7639</v>
      </c>
      <c r="I4914" t="s">
        <v>6585</v>
      </c>
      <c r="J4914" t="s">
        <v>13830</v>
      </c>
      <c r="K4914" t="s">
        <v>18204</v>
      </c>
      <c r="L4914">
        <f>HYPERLINK("https://www2.assemblee-nationale.fr/sycomore/fiche/(num_dept)/7997", "7997")</f>
        <v>0</v>
      </c>
      <c r="N4914">
        <f>HYPERLINK("https://www.wikidata.org/wiki/Q16026019", "Q16026019")</f>
        <v>0</v>
      </c>
      <c r="O4914" t="s">
        <v>19978</v>
      </c>
      <c r="P4914" t="s">
        <v>20403</v>
      </c>
      <c r="Q4914" t="s">
        <v>11935</v>
      </c>
      <c r="R4914" t="s">
        <v>416</v>
      </c>
      <c r="S4914">
        <v>1499</v>
      </c>
    </row>
    <row r="4915" spans="1:19">
      <c r="A4915" t="s">
        <v>26</v>
      </c>
      <c r="B4915" t="s">
        <v>148</v>
      </c>
      <c r="C4915" t="s">
        <v>158</v>
      </c>
      <c r="D4915" t="s">
        <v>287</v>
      </c>
      <c r="E4915" t="s">
        <v>416</v>
      </c>
      <c r="F4915">
        <f>HYPERLINK("https://www.wikidata.org/wiki/Q33756209", "Q33756209")</f>
        <v>0</v>
      </c>
      <c r="G4915" t="s">
        <v>3212</v>
      </c>
      <c r="H4915" t="s">
        <v>7640</v>
      </c>
      <c r="I4915" t="s">
        <v>10707</v>
      </c>
      <c r="J4915" t="s">
        <v>13831</v>
      </c>
      <c r="K4915" t="s">
        <v>18205</v>
      </c>
      <c r="L4915">
        <f>HYPERLINK("https://www2.assemblee-nationale.fr/sycomore/fiche/(num_dept)/7998", "7998")</f>
        <v>0</v>
      </c>
      <c r="N4915">
        <f>HYPERLINK("https://www.wikidata.org/wiki/Q3184329", "Q3184329")</f>
        <v>0</v>
      </c>
      <c r="O4915" t="s">
        <v>19970</v>
      </c>
      <c r="P4915" t="s">
        <v>20460</v>
      </c>
      <c r="Q4915" t="s">
        <v>11935</v>
      </c>
      <c r="R4915" t="s">
        <v>21493</v>
      </c>
      <c r="S4915">
        <v>1471</v>
      </c>
    </row>
    <row r="4916" spans="1:19">
      <c r="A4916" t="s">
        <v>26</v>
      </c>
      <c r="B4916" t="s">
        <v>148</v>
      </c>
      <c r="C4916" t="s">
        <v>158</v>
      </c>
      <c r="D4916" t="s">
        <v>287</v>
      </c>
      <c r="E4916" t="s">
        <v>416</v>
      </c>
      <c r="F4916">
        <f>HYPERLINK("https://www.wikidata.org/wiki/Q33756209", "Q33756209")</f>
        <v>0</v>
      </c>
      <c r="G4916" t="s">
        <v>2745</v>
      </c>
      <c r="H4916" t="s">
        <v>7262</v>
      </c>
      <c r="I4916" t="s">
        <v>10400</v>
      </c>
      <c r="J4916" t="s">
        <v>13386</v>
      </c>
      <c r="K4916" t="s">
        <v>17784</v>
      </c>
      <c r="L4916">
        <f>HYPERLINK("https://www2.assemblee-nationale.fr/sycomore/fiche/(num_dept)/8001", "8001")</f>
        <v>0</v>
      </c>
      <c r="N4916">
        <f>HYPERLINK("https://www.wikidata.org/wiki/Q16026050", "Q16026050")</f>
        <v>0</v>
      </c>
      <c r="O4916" t="s">
        <v>20036</v>
      </c>
      <c r="P4916" t="s">
        <v>20459</v>
      </c>
      <c r="Q4916" t="s">
        <v>11935</v>
      </c>
      <c r="R4916" t="s">
        <v>17784</v>
      </c>
      <c r="S4916">
        <v>1383</v>
      </c>
    </row>
    <row r="4917" spans="1:19">
      <c r="A4917" t="s">
        <v>26</v>
      </c>
      <c r="B4917" t="s">
        <v>148</v>
      </c>
      <c r="C4917" t="s">
        <v>158</v>
      </c>
      <c r="D4917" t="s">
        <v>287</v>
      </c>
      <c r="E4917" t="s">
        <v>416</v>
      </c>
      <c r="F4917">
        <f>HYPERLINK("https://www.wikidata.org/wiki/Q33756209", "Q33756209")</f>
        <v>0</v>
      </c>
      <c r="G4917" t="s">
        <v>3213</v>
      </c>
      <c r="H4917" t="s">
        <v>7641</v>
      </c>
      <c r="I4917" t="s">
        <v>10708</v>
      </c>
      <c r="J4917" t="s">
        <v>13832</v>
      </c>
      <c r="K4917" t="s">
        <v>12680</v>
      </c>
      <c r="L4917">
        <f>HYPERLINK("https://www2.assemblee-nationale.fr/sycomore/fiche/(num_dept)/8002", "8002")</f>
        <v>0</v>
      </c>
      <c r="N4917">
        <f>HYPERLINK("https://www.wikidata.org/wiki/Q11984901", "Q11984901")</f>
        <v>0</v>
      </c>
      <c r="O4917" t="s">
        <v>20013</v>
      </c>
      <c r="P4917" t="s">
        <v>20460</v>
      </c>
      <c r="Q4917" t="s">
        <v>11935</v>
      </c>
      <c r="R4917" t="s">
        <v>21493</v>
      </c>
      <c r="S4917">
        <v>1471</v>
      </c>
    </row>
    <row r="4918" spans="1:19">
      <c r="A4918" t="s">
        <v>26</v>
      </c>
      <c r="B4918" t="s">
        <v>148</v>
      </c>
      <c r="C4918" t="s">
        <v>158</v>
      </c>
      <c r="D4918" t="s">
        <v>287</v>
      </c>
      <c r="E4918" t="s">
        <v>416</v>
      </c>
      <c r="F4918">
        <f>HYPERLINK("https://www.wikidata.org/wiki/Q33756209", "Q33756209")</f>
        <v>0</v>
      </c>
      <c r="G4918" t="s">
        <v>2977</v>
      </c>
      <c r="H4918" t="s">
        <v>7442</v>
      </c>
      <c r="I4918" t="s">
        <v>10554</v>
      </c>
      <c r="J4918" t="s">
        <v>13609</v>
      </c>
      <c r="K4918" t="s">
        <v>17995</v>
      </c>
      <c r="L4918">
        <f>HYPERLINK("https://www2.assemblee-nationale.fr/sycomore/fiche/(num_dept)/8004", "8004")</f>
        <v>0</v>
      </c>
      <c r="N4918">
        <f>HYPERLINK("https://www.wikidata.org/wiki/Q3185327", "Q3185327")</f>
        <v>0</v>
      </c>
      <c r="O4918" t="s">
        <v>19961</v>
      </c>
      <c r="P4918" t="s">
        <v>20460</v>
      </c>
      <c r="Q4918" t="s">
        <v>11935</v>
      </c>
      <c r="R4918" t="s">
        <v>21493</v>
      </c>
      <c r="S4918">
        <v>1471</v>
      </c>
    </row>
    <row r="4919" spans="1:19">
      <c r="A4919" t="s">
        <v>26</v>
      </c>
      <c r="B4919" t="s">
        <v>148</v>
      </c>
      <c r="C4919" t="s">
        <v>158</v>
      </c>
      <c r="D4919" t="s">
        <v>287</v>
      </c>
      <c r="E4919" t="s">
        <v>416</v>
      </c>
      <c r="F4919">
        <f>HYPERLINK("https://www.wikidata.org/wiki/Q33756209", "Q33756209")</f>
        <v>0</v>
      </c>
      <c r="G4919" t="s">
        <v>3214</v>
      </c>
      <c r="H4919" t="s">
        <v>7642</v>
      </c>
      <c r="I4919" t="s">
        <v>10709</v>
      </c>
      <c r="J4919" t="s">
        <v>13833</v>
      </c>
      <c r="K4919" t="s">
        <v>16824</v>
      </c>
      <c r="L4919">
        <f>HYPERLINK("https://www2.assemblee-nationale.fr/sycomore/fiche/(num_dept)/8006", "8006")</f>
        <v>0</v>
      </c>
      <c r="N4919">
        <f>HYPERLINK("https://www.wikidata.org/wiki/Q16026070", "Q16026070")</f>
        <v>0</v>
      </c>
      <c r="O4919" t="s">
        <v>20013</v>
      </c>
      <c r="P4919" t="s">
        <v>20460</v>
      </c>
      <c r="Q4919" t="s">
        <v>11935</v>
      </c>
      <c r="R4919" t="s">
        <v>21493</v>
      </c>
      <c r="S4919">
        <v>1471</v>
      </c>
    </row>
    <row r="4920" spans="1:19">
      <c r="A4920" t="s">
        <v>26</v>
      </c>
      <c r="B4920" t="s">
        <v>148</v>
      </c>
      <c r="C4920" t="s">
        <v>158</v>
      </c>
      <c r="D4920" t="s">
        <v>287</v>
      </c>
      <c r="E4920" t="s">
        <v>416</v>
      </c>
      <c r="F4920">
        <f>HYPERLINK("https://www.wikidata.org/wiki/Q33756209", "Q33756209")</f>
        <v>0</v>
      </c>
      <c r="G4920" t="s">
        <v>2747</v>
      </c>
      <c r="H4920" t="s">
        <v>7263</v>
      </c>
      <c r="I4920" t="s">
        <v>10402</v>
      </c>
      <c r="J4920" t="s">
        <v>13388</v>
      </c>
      <c r="K4920" t="s">
        <v>17786</v>
      </c>
      <c r="L4920">
        <f>HYPERLINK("https://www2.assemblee-nationale.fr/sycomore/fiche/(num_dept)/8007", "8007")</f>
        <v>0</v>
      </c>
      <c r="N4920">
        <f>HYPERLINK("https://www.wikidata.org/wiki/Q16026076", "Q16026076")</f>
        <v>0</v>
      </c>
      <c r="O4920" t="s">
        <v>19972</v>
      </c>
      <c r="P4920" t="s">
        <v>20460</v>
      </c>
      <c r="Q4920" t="s">
        <v>11935</v>
      </c>
      <c r="R4920" t="s">
        <v>21493</v>
      </c>
      <c r="S4920">
        <v>1471</v>
      </c>
    </row>
    <row r="4921" spans="1:19">
      <c r="A4921" t="s">
        <v>26</v>
      </c>
      <c r="B4921" t="s">
        <v>148</v>
      </c>
      <c r="C4921" t="s">
        <v>158</v>
      </c>
      <c r="D4921" t="s">
        <v>287</v>
      </c>
      <c r="E4921" t="s">
        <v>416</v>
      </c>
      <c r="F4921">
        <f>HYPERLINK("https://www.wikidata.org/wiki/Q33756209", "Q33756209")</f>
        <v>0</v>
      </c>
      <c r="G4921" t="s">
        <v>3215</v>
      </c>
      <c r="H4921" t="s">
        <v>7643</v>
      </c>
      <c r="I4921" t="s">
        <v>10710</v>
      </c>
      <c r="J4921" t="s">
        <v>13834</v>
      </c>
      <c r="K4921" t="s">
        <v>18206</v>
      </c>
      <c r="L4921">
        <f>HYPERLINK("https://www2.assemblee-nationale.fr/sycomore/fiche/(num_dept)/8009", "8009")</f>
        <v>0</v>
      </c>
      <c r="M4921">
        <f>HYPERLINK("https://www.senat.fr/senateur-3eme-republique/merlet_jules1074r3.html", "merlet_jules1074r3")</f>
        <v>0</v>
      </c>
      <c r="N4921">
        <f>HYPERLINK("https://www.wikidata.org/wiki/Q3188781", "Q3188781")</f>
        <v>0</v>
      </c>
      <c r="O4921" t="s">
        <v>19980</v>
      </c>
      <c r="P4921" t="s">
        <v>20460</v>
      </c>
      <c r="Q4921" t="s">
        <v>11935</v>
      </c>
      <c r="R4921" t="s">
        <v>21493</v>
      </c>
      <c r="S4921">
        <v>1471</v>
      </c>
    </row>
    <row r="4922" spans="1:19">
      <c r="A4922" t="s">
        <v>26</v>
      </c>
      <c r="B4922" t="s">
        <v>148</v>
      </c>
      <c r="C4922" t="s">
        <v>158</v>
      </c>
      <c r="D4922" t="s">
        <v>287</v>
      </c>
      <c r="E4922" t="s">
        <v>416</v>
      </c>
      <c r="F4922">
        <f>HYPERLINK("https://www.wikidata.org/wiki/Q33756209", "Q33756209")</f>
        <v>0</v>
      </c>
      <c r="G4922" t="s">
        <v>3216</v>
      </c>
      <c r="H4922" t="s">
        <v>7644</v>
      </c>
      <c r="I4922" t="s">
        <v>9440</v>
      </c>
      <c r="J4922" t="s">
        <v>13835</v>
      </c>
      <c r="K4922" t="s">
        <v>18207</v>
      </c>
      <c r="L4922">
        <f>HYPERLINK("https://www2.assemblee-nationale.fr/sycomore/fiche/(num_dept)/8011", "8011")</f>
        <v>0</v>
      </c>
      <c r="N4922">
        <f>HYPERLINK("https://www.wikidata.org/wiki/Q16026132", "Q16026132")</f>
        <v>0</v>
      </c>
      <c r="O4922" t="s">
        <v>20004</v>
      </c>
      <c r="P4922" t="s">
        <v>20460</v>
      </c>
      <c r="Q4922" t="s">
        <v>11935</v>
      </c>
      <c r="R4922" t="s">
        <v>21499</v>
      </c>
      <c r="S4922">
        <v>71</v>
      </c>
    </row>
    <row r="4923" spans="1:19">
      <c r="A4923" t="s">
        <v>26</v>
      </c>
      <c r="B4923" t="s">
        <v>148</v>
      </c>
      <c r="C4923" t="s">
        <v>158</v>
      </c>
      <c r="D4923" t="s">
        <v>287</v>
      </c>
      <c r="E4923" t="s">
        <v>416</v>
      </c>
      <c r="F4923">
        <f>HYPERLINK("https://www.wikidata.org/wiki/Q33756209", "Q33756209")</f>
        <v>0</v>
      </c>
      <c r="G4923" t="s">
        <v>3217</v>
      </c>
      <c r="H4923" t="s">
        <v>5498</v>
      </c>
      <c r="I4923" t="s">
        <v>10711</v>
      </c>
      <c r="J4923" t="s">
        <v>13836</v>
      </c>
      <c r="K4923" t="s">
        <v>18208</v>
      </c>
      <c r="L4923">
        <f>HYPERLINK("https://www2.assemblee-nationale.fr/sycomore/fiche/(num_dept)/8012", "8012")</f>
        <v>0</v>
      </c>
      <c r="N4923">
        <f>HYPERLINK("https://www.wikidata.org/wiki/Q16026147", "Q16026147")</f>
        <v>0</v>
      </c>
      <c r="O4923" t="s">
        <v>20013</v>
      </c>
      <c r="P4923" t="s">
        <v>20460</v>
      </c>
      <c r="Q4923" t="s">
        <v>11935</v>
      </c>
      <c r="R4923" t="s">
        <v>21493</v>
      </c>
      <c r="S4923">
        <v>1471</v>
      </c>
    </row>
    <row r="4924" spans="1:19">
      <c r="A4924" t="s">
        <v>26</v>
      </c>
      <c r="B4924" t="s">
        <v>148</v>
      </c>
      <c r="C4924" t="s">
        <v>158</v>
      </c>
      <c r="D4924" t="s">
        <v>287</v>
      </c>
      <c r="E4924" t="s">
        <v>416</v>
      </c>
      <c r="F4924">
        <f>HYPERLINK("https://www.wikidata.org/wiki/Q33756209", "Q33756209")</f>
        <v>0</v>
      </c>
      <c r="G4924" t="s">
        <v>3218</v>
      </c>
      <c r="H4924" t="s">
        <v>7645</v>
      </c>
      <c r="I4924" t="s">
        <v>10712</v>
      </c>
      <c r="J4924" t="s">
        <v>13837</v>
      </c>
      <c r="K4924" t="s">
        <v>18209</v>
      </c>
      <c r="L4924">
        <f>HYPERLINK("https://www2.assemblee-nationale.fr/sycomore/fiche/(num_dept)/8013", "8013")</f>
        <v>0</v>
      </c>
      <c r="N4924">
        <f>HYPERLINK("https://www.wikidata.org/wiki/Q740782", "Q740782")</f>
        <v>0</v>
      </c>
      <c r="O4924" t="s">
        <v>19976</v>
      </c>
      <c r="P4924" t="s">
        <v>20401</v>
      </c>
      <c r="Q4924" t="s">
        <v>11935</v>
      </c>
      <c r="R4924" t="s">
        <v>21493</v>
      </c>
      <c r="S4924">
        <v>1471</v>
      </c>
    </row>
    <row r="4925" spans="1:19">
      <c r="A4925" t="s">
        <v>26</v>
      </c>
      <c r="B4925" t="s">
        <v>148</v>
      </c>
      <c r="C4925" t="s">
        <v>158</v>
      </c>
      <c r="D4925" t="s">
        <v>287</v>
      </c>
      <c r="E4925" t="s">
        <v>416</v>
      </c>
      <c r="F4925">
        <f>HYPERLINK("https://www.wikidata.org/wiki/Q33756209", "Q33756209")</f>
        <v>0</v>
      </c>
      <c r="G4925" t="s">
        <v>3219</v>
      </c>
      <c r="H4925" t="s">
        <v>7646</v>
      </c>
      <c r="I4925" t="s">
        <v>10713</v>
      </c>
      <c r="J4925" t="s">
        <v>13838</v>
      </c>
      <c r="K4925" t="s">
        <v>18210</v>
      </c>
      <c r="L4925">
        <f>HYPERLINK("https://www2.assemblee-nationale.fr/sycomore/fiche/(num_dept)/8014", "8014")</f>
        <v>0</v>
      </c>
      <c r="N4925">
        <f>HYPERLINK("https://www.wikidata.org/wiki/Q2854115", "Q2854115")</f>
        <v>0</v>
      </c>
      <c r="O4925" t="s">
        <v>19989</v>
      </c>
      <c r="P4925" t="s">
        <v>20460</v>
      </c>
      <c r="Q4925" t="s">
        <v>11935</v>
      </c>
      <c r="R4925" t="s">
        <v>21493</v>
      </c>
      <c r="S4925">
        <v>1471</v>
      </c>
    </row>
    <row r="4926" spans="1:19">
      <c r="A4926" t="s">
        <v>26</v>
      </c>
      <c r="B4926" t="s">
        <v>148</v>
      </c>
      <c r="C4926" t="s">
        <v>158</v>
      </c>
      <c r="D4926" t="s">
        <v>287</v>
      </c>
      <c r="E4926" t="s">
        <v>416</v>
      </c>
      <c r="F4926">
        <f>HYPERLINK("https://www.wikidata.org/wiki/Q33756209", "Q33756209")</f>
        <v>0</v>
      </c>
      <c r="G4926" t="s">
        <v>3220</v>
      </c>
      <c r="H4926" t="s">
        <v>7647</v>
      </c>
      <c r="I4926" t="s">
        <v>9958</v>
      </c>
      <c r="J4926" t="s">
        <v>13839</v>
      </c>
      <c r="K4926" t="s">
        <v>18211</v>
      </c>
      <c r="L4926">
        <f>HYPERLINK("https://www2.assemblee-nationale.fr/sycomore/fiche/(num_dept)/8015", "8015")</f>
        <v>0</v>
      </c>
      <c r="N4926">
        <f>HYPERLINK("https://www.wikidata.org/wiki/Q15971975", "Q15971975")</f>
        <v>0</v>
      </c>
      <c r="O4926" t="s">
        <v>20007</v>
      </c>
      <c r="P4926" t="s">
        <v>20459</v>
      </c>
      <c r="Q4926" t="s">
        <v>11935</v>
      </c>
      <c r="R4926" t="s">
        <v>21493</v>
      </c>
      <c r="S4926">
        <v>1471</v>
      </c>
    </row>
    <row r="4927" spans="1:19">
      <c r="A4927" t="s">
        <v>26</v>
      </c>
      <c r="B4927" t="s">
        <v>148</v>
      </c>
      <c r="C4927" t="s">
        <v>158</v>
      </c>
      <c r="D4927" t="s">
        <v>287</v>
      </c>
      <c r="E4927" t="s">
        <v>416</v>
      </c>
      <c r="F4927">
        <f>HYPERLINK("https://www.wikidata.org/wiki/Q33756209", "Q33756209")</f>
        <v>0</v>
      </c>
      <c r="G4927" t="s">
        <v>3059</v>
      </c>
      <c r="H4927" t="s">
        <v>7513</v>
      </c>
      <c r="I4927" t="s">
        <v>10603</v>
      </c>
      <c r="J4927" t="s">
        <v>13396</v>
      </c>
      <c r="K4927" t="s">
        <v>18066</v>
      </c>
      <c r="L4927">
        <f>HYPERLINK("https://www2.assemblee-nationale.fr/sycomore/fiche/(num_dept)/8017", "8017")</f>
        <v>0</v>
      </c>
      <c r="N4927">
        <f>HYPERLINK("https://www.wikidata.org/wiki/Q14476970", "Q14476970")</f>
        <v>0</v>
      </c>
      <c r="O4927" t="s">
        <v>20007</v>
      </c>
      <c r="P4927" t="s">
        <v>20459</v>
      </c>
      <c r="Q4927" t="s">
        <v>11935</v>
      </c>
      <c r="R4927" t="s">
        <v>21493</v>
      </c>
      <c r="S4927">
        <v>1471</v>
      </c>
    </row>
    <row r="4928" spans="1:19">
      <c r="A4928" t="s">
        <v>26</v>
      </c>
      <c r="B4928" t="s">
        <v>148</v>
      </c>
      <c r="C4928" t="s">
        <v>158</v>
      </c>
      <c r="D4928" t="s">
        <v>287</v>
      </c>
      <c r="E4928" t="s">
        <v>416</v>
      </c>
      <c r="F4928">
        <f>HYPERLINK("https://www.wikidata.org/wiki/Q33756209", "Q33756209")</f>
        <v>0</v>
      </c>
      <c r="G4928" t="s">
        <v>2748</v>
      </c>
      <c r="H4928" t="s">
        <v>7264</v>
      </c>
      <c r="I4928" t="s">
        <v>10403</v>
      </c>
      <c r="J4928" t="s">
        <v>13389</v>
      </c>
      <c r="K4928" t="s">
        <v>17787</v>
      </c>
      <c r="L4928">
        <f>HYPERLINK("https://www2.assemblee-nationale.fr/sycomore/fiche/(num_dept)/8018", "8018")</f>
        <v>0</v>
      </c>
      <c r="N4928">
        <f>HYPERLINK("https://www.wikidata.org/wiki/Q2994832", "Q2994832")</f>
        <v>0</v>
      </c>
      <c r="O4928" t="s">
        <v>19956</v>
      </c>
      <c r="P4928" t="s">
        <v>20457</v>
      </c>
      <c r="Q4928" t="s">
        <v>11935</v>
      </c>
      <c r="R4928" t="s">
        <v>21493</v>
      </c>
      <c r="S4928">
        <v>1471</v>
      </c>
    </row>
    <row r="4929" spans="1:19">
      <c r="A4929" t="s">
        <v>26</v>
      </c>
      <c r="B4929" t="s">
        <v>148</v>
      </c>
      <c r="C4929" t="s">
        <v>158</v>
      </c>
      <c r="D4929" t="s">
        <v>287</v>
      </c>
      <c r="E4929" t="s">
        <v>416</v>
      </c>
      <c r="F4929">
        <f>HYPERLINK("https://www.wikidata.org/wiki/Q33756209", "Q33756209")</f>
        <v>0</v>
      </c>
      <c r="G4929" t="s">
        <v>2749</v>
      </c>
      <c r="H4929" t="s">
        <v>5507</v>
      </c>
      <c r="I4929" t="s">
        <v>10404</v>
      </c>
      <c r="J4929" t="s">
        <v>13390</v>
      </c>
      <c r="K4929" t="s">
        <v>17788</v>
      </c>
      <c r="L4929">
        <f>HYPERLINK("https://www2.assemblee-nationale.fr/sycomore/fiche/(num_dept)/8019", "8019")</f>
        <v>0</v>
      </c>
      <c r="N4929">
        <f>HYPERLINK("https://www.wikidata.org/wiki/Q16026248", "Q16026248")</f>
        <v>0</v>
      </c>
      <c r="O4929" t="s">
        <v>19982</v>
      </c>
      <c r="P4929" t="s">
        <v>20460</v>
      </c>
      <c r="Q4929" t="s">
        <v>11935</v>
      </c>
      <c r="R4929" t="s">
        <v>17788</v>
      </c>
      <c r="S4929">
        <v>1223</v>
      </c>
    </row>
    <row r="4930" spans="1:19">
      <c r="A4930" t="s">
        <v>26</v>
      </c>
      <c r="B4930" t="s">
        <v>148</v>
      </c>
      <c r="C4930" t="s">
        <v>158</v>
      </c>
      <c r="D4930" t="s">
        <v>287</v>
      </c>
      <c r="E4930" t="s">
        <v>416</v>
      </c>
      <c r="F4930">
        <f>HYPERLINK("https://www.wikidata.org/wiki/Q33756209", "Q33756209")</f>
        <v>0</v>
      </c>
      <c r="G4930" t="s">
        <v>3221</v>
      </c>
      <c r="H4930" t="s">
        <v>7648</v>
      </c>
      <c r="I4930" t="s">
        <v>10714</v>
      </c>
      <c r="J4930" t="s">
        <v>13840</v>
      </c>
      <c r="K4930" t="s">
        <v>280</v>
      </c>
      <c r="L4930">
        <f>HYPERLINK("https://www2.assemblee-nationale.fr/sycomore/fiche/(num_dept)/8020", "8020")</f>
        <v>0</v>
      </c>
      <c r="N4930">
        <f>HYPERLINK("https://www.wikidata.org/wiki/Q2824748", "Q2824748")</f>
        <v>0</v>
      </c>
      <c r="O4930" t="s">
        <v>19968</v>
      </c>
      <c r="P4930" t="s">
        <v>20460</v>
      </c>
      <c r="Q4930" t="s">
        <v>11935</v>
      </c>
      <c r="R4930" t="s">
        <v>21493</v>
      </c>
      <c r="S4930">
        <v>1471</v>
      </c>
    </row>
    <row r="4931" spans="1:19">
      <c r="A4931" t="s">
        <v>26</v>
      </c>
      <c r="B4931" t="s">
        <v>148</v>
      </c>
      <c r="C4931" t="s">
        <v>158</v>
      </c>
      <c r="D4931" t="s">
        <v>287</v>
      </c>
      <c r="E4931" t="s">
        <v>416</v>
      </c>
      <c r="F4931">
        <f>HYPERLINK("https://www.wikidata.org/wiki/Q33756209", "Q33756209")</f>
        <v>0</v>
      </c>
      <c r="G4931" t="s">
        <v>2752</v>
      </c>
      <c r="H4931" t="s">
        <v>7265</v>
      </c>
      <c r="I4931" t="s">
        <v>10406</v>
      </c>
      <c r="J4931" t="s">
        <v>13393</v>
      </c>
      <c r="K4931" t="s">
        <v>17791</v>
      </c>
      <c r="L4931">
        <f>HYPERLINK("https://www2.assemblee-nationale.fr/sycomore/fiche/(num_dept)/8023", "8023")</f>
        <v>0</v>
      </c>
      <c r="N4931">
        <f>HYPERLINK("https://www.wikidata.org/wiki/Q3185480", "Q3185480")</f>
        <v>0</v>
      </c>
      <c r="O4931" t="s">
        <v>20018</v>
      </c>
      <c r="P4931" t="s">
        <v>20459</v>
      </c>
      <c r="Q4931" t="s">
        <v>11935</v>
      </c>
      <c r="R4931" t="s">
        <v>17791</v>
      </c>
      <c r="S4931">
        <v>902</v>
      </c>
    </row>
    <row r="4932" spans="1:19">
      <c r="A4932" t="s">
        <v>26</v>
      </c>
      <c r="B4932" t="s">
        <v>148</v>
      </c>
      <c r="C4932" t="s">
        <v>158</v>
      </c>
      <c r="D4932" t="s">
        <v>287</v>
      </c>
      <c r="E4932" t="s">
        <v>416</v>
      </c>
      <c r="F4932">
        <f>HYPERLINK("https://www.wikidata.org/wiki/Q33756209", "Q33756209")</f>
        <v>0</v>
      </c>
      <c r="G4932" t="s">
        <v>2753</v>
      </c>
      <c r="H4932" t="s">
        <v>5520</v>
      </c>
      <c r="I4932" t="s">
        <v>10407</v>
      </c>
      <c r="J4932" t="s">
        <v>13394</v>
      </c>
      <c r="K4932" t="s">
        <v>17792</v>
      </c>
      <c r="L4932">
        <f>HYPERLINK("https://www2.assemblee-nationale.fr/sycomore/fiche/(num_dept)/8024", "8024")</f>
        <v>0</v>
      </c>
      <c r="N4932">
        <f>HYPERLINK("https://www.wikidata.org/wiki/Q2960028", "Q2960028")</f>
        <v>0</v>
      </c>
      <c r="O4932" t="s">
        <v>20013</v>
      </c>
      <c r="P4932" t="s">
        <v>20460</v>
      </c>
      <c r="Q4932" t="s">
        <v>11935</v>
      </c>
      <c r="R4932" t="s">
        <v>17792</v>
      </c>
      <c r="S4932">
        <v>973</v>
      </c>
    </row>
    <row r="4933" spans="1:19">
      <c r="A4933" t="s">
        <v>26</v>
      </c>
      <c r="B4933" t="s">
        <v>148</v>
      </c>
      <c r="C4933" t="s">
        <v>158</v>
      </c>
      <c r="D4933" t="s">
        <v>287</v>
      </c>
      <c r="E4933" t="s">
        <v>416</v>
      </c>
      <c r="F4933">
        <f>HYPERLINK("https://www.wikidata.org/wiki/Q33756209", "Q33756209")</f>
        <v>0</v>
      </c>
      <c r="G4933" t="s">
        <v>2755</v>
      </c>
      <c r="H4933" t="s">
        <v>7267</v>
      </c>
      <c r="I4933" t="s">
        <v>10409</v>
      </c>
      <c r="J4933" t="s">
        <v>13396</v>
      </c>
      <c r="K4933" t="s">
        <v>17794</v>
      </c>
      <c r="L4933">
        <f>HYPERLINK("https://www2.assemblee-nationale.fr/sycomore/fiche/(num_dept)/8030", "8030")</f>
        <v>0</v>
      </c>
      <c r="N4933">
        <f>HYPERLINK("https://www.wikidata.org/wiki/Q16026403", "Q16026403")</f>
        <v>0</v>
      </c>
      <c r="O4933" t="s">
        <v>19976</v>
      </c>
      <c r="P4933" t="s">
        <v>20401</v>
      </c>
      <c r="Q4933" t="s">
        <v>11935</v>
      </c>
      <c r="R4933" t="s">
        <v>21493</v>
      </c>
      <c r="S4933">
        <v>1471</v>
      </c>
    </row>
    <row r="4934" spans="1:19">
      <c r="A4934" t="s">
        <v>26</v>
      </c>
      <c r="B4934" t="s">
        <v>148</v>
      </c>
      <c r="C4934" t="s">
        <v>158</v>
      </c>
      <c r="D4934" t="s">
        <v>287</v>
      </c>
      <c r="E4934" t="s">
        <v>416</v>
      </c>
      <c r="F4934">
        <f>HYPERLINK("https://www.wikidata.org/wiki/Q33756209", "Q33756209")</f>
        <v>0</v>
      </c>
      <c r="G4934" t="s">
        <v>2756</v>
      </c>
      <c r="H4934" t="s">
        <v>7268</v>
      </c>
      <c r="I4934" t="s">
        <v>10410</v>
      </c>
      <c r="J4934" t="s">
        <v>13397</v>
      </c>
      <c r="K4934" t="s">
        <v>17795</v>
      </c>
      <c r="L4934">
        <f>HYPERLINK("https://www2.assemblee-nationale.fr/sycomore/fiche/(num_dept)/8032", "8032")</f>
        <v>0</v>
      </c>
      <c r="M4934">
        <f>HYPERLINK("https://www.senat.fr/senateur-3eme-republique/reymond_francisque1336r3.html", "reymond_francisque1336r3")</f>
        <v>0</v>
      </c>
      <c r="N4934">
        <f>HYPERLINK("https://www.wikidata.org/wiki/Q3082014", "Q3082014")</f>
        <v>0</v>
      </c>
      <c r="O4934" t="s">
        <v>19997</v>
      </c>
      <c r="P4934" t="s">
        <v>20459</v>
      </c>
      <c r="Q4934" t="s">
        <v>11935</v>
      </c>
      <c r="R4934" t="s">
        <v>21504</v>
      </c>
      <c r="S4934">
        <v>837</v>
      </c>
    </row>
    <row r="4935" spans="1:19">
      <c r="A4935" t="s">
        <v>26</v>
      </c>
      <c r="B4935" t="s">
        <v>148</v>
      </c>
      <c r="C4935" t="s">
        <v>158</v>
      </c>
      <c r="D4935" t="s">
        <v>287</v>
      </c>
      <c r="E4935" t="s">
        <v>416</v>
      </c>
      <c r="F4935">
        <f>HYPERLINK("https://www.wikidata.org/wiki/Q33756209", "Q33756209")</f>
        <v>0</v>
      </c>
      <c r="G4935" t="s">
        <v>2757</v>
      </c>
      <c r="H4935" t="s">
        <v>7269</v>
      </c>
      <c r="I4935" t="s">
        <v>10411</v>
      </c>
      <c r="J4935" t="s">
        <v>13398</v>
      </c>
      <c r="K4935" t="s">
        <v>17796</v>
      </c>
      <c r="L4935">
        <f>HYPERLINK("https://www2.assemblee-nationale.fr/sycomore/fiche/(num_dept)/8035", "8035")</f>
        <v>0</v>
      </c>
      <c r="N4935">
        <f>HYPERLINK("https://www.wikidata.org/wiki/Q3056804", "Q3056804")</f>
        <v>0</v>
      </c>
      <c r="O4935" t="s">
        <v>20023</v>
      </c>
      <c r="P4935" t="s">
        <v>20460</v>
      </c>
      <c r="Q4935" t="s">
        <v>11935</v>
      </c>
      <c r="R4935" t="s">
        <v>21493</v>
      </c>
      <c r="S4935">
        <v>1471</v>
      </c>
    </row>
    <row r="4936" spans="1:19">
      <c r="A4936" t="s">
        <v>26</v>
      </c>
      <c r="B4936" t="s">
        <v>148</v>
      </c>
      <c r="C4936" t="s">
        <v>158</v>
      </c>
      <c r="D4936" t="s">
        <v>287</v>
      </c>
      <c r="E4936" t="s">
        <v>416</v>
      </c>
      <c r="F4936">
        <f>HYPERLINK("https://www.wikidata.org/wiki/Q33756209", "Q33756209")</f>
        <v>0</v>
      </c>
      <c r="G4936" t="s">
        <v>3222</v>
      </c>
      <c r="H4936" t="s">
        <v>7649</v>
      </c>
      <c r="I4936" t="s">
        <v>9385</v>
      </c>
      <c r="J4936" t="s">
        <v>13841</v>
      </c>
      <c r="K4936" t="s">
        <v>18212</v>
      </c>
      <c r="L4936">
        <f>HYPERLINK("https://www2.assemblee-nationale.fr/sycomore/fiche/(num_dept)/8037", "8037")</f>
        <v>0</v>
      </c>
      <c r="M4936">
        <f>HYPERLINK("https://www.senat.fr/senateur-3eme-republique/du_campe_de_rosamel_charles0953r3.html", "du_campe_de_rosamel_charles0953r3")</f>
        <v>0</v>
      </c>
      <c r="N4936">
        <f>HYPERLINK("https://www.wikidata.org/wiki/Q2960734", "Q2960734")</f>
        <v>0</v>
      </c>
      <c r="O4936" t="s">
        <v>19968</v>
      </c>
      <c r="P4936" t="s">
        <v>20460</v>
      </c>
      <c r="Q4936" t="s">
        <v>11935</v>
      </c>
      <c r="R4936" t="s">
        <v>21493</v>
      </c>
      <c r="S4936">
        <v>1471</v>
      </c>
    </row>
    <row r="4937" spans="1:19">
      <c r="A4937" t="s">
        <v>26</v>
      </c>
      <c r="B4937" t="s">
        <v>148</v>
      </c>
      <c r="C4937" t="s">
        <v>158</v>
      </c>
      <c r="D4937" t="s">
        <v>287</v>
      </c>
      <c r="E4937" t="s">
        <v>416</v>
      </c>
      <c r="F4937">
        <f>HYPERLINK("https://www.wikidata.org/wiki/Q33756209", "Q33756209")</f>
        <v>0</v>
      </c>
      <c r="G4937" t="s">
        <v>3223</v>
      </c>
      <c r="H4937" t="s">
        <v>5781</v>
      </c>
      <c r="I4937" t="s">
        <v>10715</v>
      </c>
      <c r="J4937" t="s">
        <v>13842</v>
      </c>
      <c r="K4937" t="s">
        <v>18213</v>
      </c>
      <c r="L4937">
        <f>HYPERLINK("https://www2.assemblee-nationale.fr/sycomore/fiche/(num_dept)/8039", "8039")</f>
        <v>0</v>
      </c>
      <c r="N4937">
        <f>HYPERLINK("https://www.wikidata.org/wiki/Q16025963", "Q16025963")</f>
        <v>0</v>
      </c>
      <c r="O4937" t="s">
        <v>20013</v>
      </c>
      <c r="P4937" t="s">
        <v>20460</v>
      </c>
      <c r="Q4937" t="s">
        <v>11935</v>
      </c>
      <c r="R4937" t="s">
        <v>21493</v>
      </c>
      <c r="S4937">
        <v>1471</v>
      </c>
    </row>
    <row r="4938" spans="1:19">
      <c r="A4938" t="s">
        <v>26</v>
      </c>
      <c r="B4938" t="s">
        <v>148</v>
      </c>
      <c r="C4938" t="s">
        <v>158</v>
      </c>
      <c r="D4938" t="s">
        <v>287</v>
      </c>
      <c r="E4938" t="s">
        <v>416</v>
      </c>
      <c r="F4938">
        <f>HYPERLINK("https://www.wikidata.org/wiki/Q33756209", "Q33756209")</f>
        <v>0</v>
      </c>
      <c r="G4938" t="s">
        <v>3224</v>
      </c>
      <c r="H4938" t="s">
        <v>7650</v>
      </c>
      <c r="I4938" t="s">
        <v>10716</v>
      </c>
      <c r="J4938" t="s">
        <v>13843</v>
      </c>
      <c r="K4938" t="s">
        <v>18214</v>
      </c>
      <c r="L4938">
        <f>HYPERLINK("https://www2.assemblee-nationale.fr/sycomore/fiche/(num_dept)/8045", "8045")</f>
        <v>0</v>
      </c>
      <c r="N4938">
        <f>HYPERLINK("https://www.wikidata.org/wiki/Q15969646", "Q15969646")</f>
        <v>0</v>
      </c>
      <c r="O4938" t="s">
        <v>19968</v>
      </c>
      <c r="P4938" t="s">
        <v>20460</v>
      </c>
      <c r="Q4938" t="s">
        <v>11935</v>
      </c>
      <c r="R4938" t="s">
        <v>21493</v>
      </c>
      <c r="S4938">
        <v>1471</v>
      </c>
    </row>
    <row r="4939" spans="1:19">
      <c r="A4939" t="s">
        <v>26</v>
      </c>
      <c r="B4939" t="s">
        <v>148</v>
      </c>
      <c r="C4939" t="s">
        <v>158</v>
      </c>
      <c r="D4939" t="s">
        <v>287</v>
      </c>
      <c r="E4939" t="s">
        <v>416</v>
      </c>
      <c r="F4939">
        <f>HYPERLINK("https://www.wikidata.org/wiki/Q33756209", "Q33756209")</f>
        <v>0</v>
      </c>
      <c r="G4939" t="s">
        <v>3225</v>
      </c>
      <c r="H4939" t="s">
        <v>7651</v>
      </c>
      <c r="I4939" t="s">
        <v>10717</v>
      </c>
      <c r="J4939" t="s">
        <v>13844</v>
      </c>
      <c r="K4939" t="s">
        <v>18215</v>
      </c>
      <c r="L4939">
        <f>HYPERLINK("https://www2.assemblee-nationale.fr/sycomore/fiche/(num_dept)/8047", "8047")</f>
        <v>0</v>
      </c>
      <c r="N4939">
        <f>HYPERLINK("https://www.wikidata.org/wiki/Q16026516", "Q16026516")</f>
        <v>0</v>
      </c>
      <c r="O4939" t="s">
        <v>20027</v>
      </c>
      <c r="P4939" t="s">
        <v>20460</v>
      </c>
      <c r="Q4939" t="s">
        <v>11935</v>
      </c>
      <c r="R4939" t="s">
        <v>21493</v>
      </c>
      <c r="S4939">
        <v>1471</v>
      </c>
    </row>
    <row r="4940" spans="1:19">
      <c r="A4940" t="s">
        <v>26</v>
      </c>
      <c r="B4940" t="s">
        <v>148</v>
      </c>
      <c r="C4940" t="s">
        <v>158</v>
      </c>
      <c r="D4940" t="s">
        <v>287</v>
      </c>
      <c r="E4940" t="s">
        <v>416</v>
      </c>
      <c r="F4940">
        <f>HYPERLINK("https://www.wikidata.org/wiki/Q33756209", "Q33756209")</f>
        <v>0</v>
      </c>
      <c r="G4940" t="s">
        <v>2761</v>
      </c>
      <c r="H4940" t="s">
        <v>7273</v>
      </c>
      <c r="I4940" t="s">
        <v>10415</v>
      </c>
      <c r="J4940" t="s">
        <v>13402</v>
      </c>
      <c r="K4940" t="s">
        <v>17800</v>
      </c>
      <c r="L4940">
        <f>HYPERLINK("https://www2.assemblee-nationale.fr/sycomore/fiche/(num_dept)/8049", "8049")</f>
        <v>0</v>
      </c>
      <c r="N4940">
        <f>HYPERLINK("https://www.wikidata.org/wiki/Q16026553", "Q16026553")</f>
        <v>0</v>
      </c>
      <c r="O4940" t="s">
        <v>19978</v>
      </c>
      <c r="P4940" t="s">
        <v>20459</v>
      </c>
      <c r="Q4940" t="s">
        <v>11935</v>
      </c>
      <c r="R4940" t="s">
        <v>21493</v>
      </c>
      <c r="S4940">
        <v>1471</v>
      </c>
    </row>
    <row r="4941" spans="1:19">
      <c r="A4941" t="s">
        <v>26</v>
      </c>
      <c r="B4941" t="s">
        <v>148</v>
      </c>
      <c r="C4941" t="s">
        <v>158</v>
      </c>
      <c r="D4941" t="s">
        <v>287</v>
      </c>
      <c r="E4941" t="s">
        <v>416</v>
      </c>
      <c r="F4941">
        <f>HYPERLINK("https://www.wikidata.org/wiki/Q33756209", "Q33756209")</f>
        <v>0</v>
      </c>
      <c r="G4941" t="s">
        <v>2762</v>
      </c>
      <c r="H4941" t="s">
        <v>7274</v>
      </c>
      <c r="I4941" t="s">
        <v>10416</v>
      </c>
      <c r="J4941" t="s">
        <v>13403</v>
      </c>
      <c r="K4941" t="s">
        <v>17801</v>
      </c>
      <c r="L4941">
        <f>HYPERLINK("https://www2.assemblee-nationale.fr/sycomore/fiche/(num_dept)/8050", "8050")</f>
        <v>0</v>
      </c>
      <c r="N4941">
        <f>HYPERLINK("https://www.wikidata.org/wiki/Q7128172", "Q7128172")</f>
        <v>0</v>
      </c>
      <c r="O4941" t="s">
        <v>20023</v>
      </c>
      <c r="P4941" t="s">
        <v>20460</v>
      </c>
      <c r="Q4941" t="s">
        <v>11935</v>
      </c>
      <c r="R4941" t="s">
        <v>17801</v>
      </c>
      <c r="S4941">
        <v>599</v>
      </c>
    </row>
    <row r="4942" spans="1:19">
      <c r="A4942" t="s">
        <v>26</v>
      </c>
      <c r="B4942" t="s">
        <v>148</v>
      </c>
      <c r="C4942" t="s">
        <v>158</v>
      </c>
      <c r="D4942" t="s">
        <v>287</v>
      </c>
      <c r="E4942" t="s">
        <v>416</v>
      </c>
      <c r="F4942">
        <f>HYPERLINK("https://www.wikidata.org/wiki/Q33756209", "Q33756209")</f>
        <v>0</v>
      </c>
      <c r="G4942" t="s">
        <v>2763</v>
      </c>
      <c r="H4942" t="s">
        <v>7275</v>
      </c>
      <c r="I4942" t="s">
        <v>10417</v>
      </c>
      <c r="J4942" t="s">
        <v>13404</v>
      </c>
      <c r="K4942" t="s">
        <v>17802</v>
      </c>
      <c r="L4942">
        <f>HYPERLINK("https://www2.assemblee-nationale.fr/sycomore/fiche/(num_dept)/8051", "8051")</f>
        <v>0</v>
      </c>
      <c r="N4942">
        <f>HYPERLINK("https://www.wikidata.org/wiki/Q16026571", "Q16026571")</f>
        <v>0</v>
      </c>
      <c r="O4942" t="s">
        <v>19978</v>
      </c>
      <c r="P4942" t="s">
        <v>20459</v>
      </c>
      <c r="Q4942" t="s">
        <v>11935</v>
      </c>
      <c r="R4942" t="s">
        <v>21493</v>
      </c>
      <c r="S4942">
        <v>1471</v>
      </c>
    </row>
    <row r="4943" spans="1:19">
      <c r="A4943" t="s">
        <v>26</v>
      </c>
      <c r="B4943" t="s">
        <v>148</v>
      </c>
      <c r="C4943" t="s">
        <v>158</v>
      </c>
      <c r="D4943" t="s">
        <v>287</v>
      </c>
      <c r="E4943" t="s">
        <v>416</v>
      </c>
      <c r="F4943">
        <f>HYPERLINK("https://www.wikidata.org/wiki/Q33756209", "Q33756209")</f>
        <v>0</v>
      </c>
      <c r="G4943" t="s">
        <v>3226</v>
      </c>
      <c r="H4943" t="s">
        <v>7652</v>
      </c>
      <c r="I4943" t="s">
        <v>10718</v>
      </c>
      <c r="J4943" t="s">
        <v>13845</v>
      </c>
      <c r="K4943" t="s">
        <v>18216</v>
      </c>
      <c r="L4943">
        <f>HYPERLINK("https://www2.assemblee-nationale.fr/sycomore/fiche/(num_dept)/8052", "8052")</f>
        <v>0</v>
      </c>
      <c r="N4943">
        <f>HYPERLINK("https://www.wikidata.org/wiki/Q16026573", "Q16026573")</f>
        <v>0</v>
      </c>
      <c r="O4943" t="s">
        <v>20045</v>
      </c>
      <c r="P4943" t="s">
        <v>20460</v>
      </c>
      <c r="Q4943" t="s">
        <v>11935</v>
      </c>
      <c r="R4943" t="s">
        <v>21495</v>
      </c>
      <c r="S4943">
        <v>48</v>
      </c>
    </row>
    <row r="4944" spans="1:19">
      <c r="A4944" t="s">
        <v>26</v>
      </c>
      <c r="B4944" t="s">
        <v>148</v>
      </c>
      <c r="C4944" t="s">
        <v>158</v>
      </c>
      <c r="D4944" t="s">
        <v>287</v>
      </c>
      <c r="E4944" t="s">
        <v>416</v>
      </c>
      <c r="F4944">
        <f>HYPERLINK("https://www.wikidata.org/wiki/Q33756209", "Q33756209")</f>
        <v>0</v>
      </c>
      <c r="G4944" t="s">
        <v>2764</v>
      </c>
      <c r="H4944" t="s">
        <v>7276</v>
      </c>
      <c r="I4944" t="s">
        <v>10418</v>
      </c>
      <c r="J4944" t="s">
        <v>13405</v>
      </c>
      <c r="K4944" t="s">
        <v>17803</v>
      </c>
      <c r="L4944">
        <f>HYPERLINK("https://www2.assemblee-nationale.fr/sycomore/fiche/(num_dept)/8054", "8054")</f>
        <v>0</v>
      </c>
      <c r="N4944">
        <f>HYPERLINK("https://www.wikidata.org/wiki/Q16026581", "Q16026581")</f>
        <v>0</v>
      </c>
      <c r="O4944" t="s">
        <v>19974</v>
      </c>
      <c r="P4944" t="s">
        <v>20460</v>
      </c>
      <c r="Q4944" t="s">
        <v>11935</v>
      </c>
      <c r="R4944" t="s">
        <v>21493</v>
      </c>
      <c r="S4944">
        <v>1471</v>
      </c>
    </row>
    <row r="4945" spans="1:19">
      <c r="A4945" t="s">
        <v>26</v>
      </c>
      <c r="B4945" t="s">
        <v>148</v>
      </c>
      <c r="C4945" t="s">
        <v>158</v>
      </c>
      <c r="D4945" t="s">
        <v>287</v>
      </c>
      <c r="E4945" t="s">
        <v>416</v>
      </c>
      <c r="F4945">
        <f>HYPERLINK("https://www.wikidata.org/wiki/Q33756209", "Q33756209")</f>
        <v>0</v>
      </c>
      <c r="G4945" t="s">
        <v>2767</v>
      </c>
      <c r="H4945" t="s">
        <v>7279</v>
      </c>
      <c r="I4945" t="s">
        <v>10421</v>
      </c>
      <c r="J4945" t="s">
        <v>13408</v>
      </c>
      <c r="K4945" t="s">
        <v>17806</v>
      </c>
      <c r="L4945">
        <f>HYPERLINK("https://www2.assemblee-nationale.fr/sycomore/fiche/(num_dept)/8058", "8058")</f>
        <v>0</v>
      </c>
      <c r="N4945">
        <f>HYPERLINK("https://www.wikidata.org/wiki/Q3526614", "Q3526614")</f>
        <v>0</v>
      </c>
      <c r="O4945" t="s">
        <v>19989</v>
      </c>
      <c r="P4945" t="s">
        <v>20460</v>
      </c>
      <c r="Q4945" t="s">
        <v>11935</v>
      </c>
      <c r="R4945" t="s">
        <v>21493</v>
      </c>
      <c r="S4945">
        <v>1471</v>
      </c>
    </row>
    <row r="4946" spans="1:19">
      <c r="A4946" t="s">
        <v>26</v>
      </c>
      <c r="B4946" t="s">
        <v>148</v>
      </c>
      <c r="C4946" t="s">
        <v>158</v>
      </c>
      <c r="D4946" t="s">
        <v>287</v>
      </c>
      <c r="E4946" t="s">
        <v>416</v>
      </c>
      <c r="F4946">
        <f>HYPERLINK("https://www.wikidata.org/wiki/Q33756209", "Q33756209")</f>
        <v>0</v>
      </c>
      <c r="G4946" t="s">
        <v>2769</v>
      </c>
      <c r="H4946" t="s">
        <v>7281</v>
      </c>
      <c r="I4946" t="s">
        <v>10422</v>
      </c>
      <c r="J4946" t="s">
        <v>13410</v>
      </c>
      <c r="K4946" t="s">
        <v>17808</v>
      </c>
      <c r="L4946">
        <f>HYPERLINK("https://www2.assemblee-nationale.fr/sycomore/fiche/(num_dept)/8060", "8060")</f>
        <v>0</v>
      </c>
      <c r="N4946">
        <f>HYPERLINK("https://www.wikidata.org/wiki/Q15974232", "Q15974232")</f>
        <v>0</v>
      </c>
      <c r="O4946" t="s">
        <v>20027</v>
      </c>
      <c r="P4946" t="s">
        <v>20464</v>
      </c>
      <c r="Q4946" t="s">
        <v>11935</v>
      </c>
      <c r="R4946" t="s">
        <v>21493</v>
      </c>
      <c r="S4946">
        <v>1471</v>
      </c>
    </row>
    <row r="4947" spans="1:19">
      <c r="A4947" t="s">
        <v>26</v>
      </c>
      <c r="B4947" t="s">
        <v>148</v>
      </c>
      <c r="C4947" t="s">
        <v>158</v>
      </c>
      <c r="D4947" t="s">
        <v>287</v>
      </c>
      <c r="E4947" t="s">
        <v>416</v>
      </c>
      <c r="F4947">
        <f>HYPERLINK("https://www.wikidata.org/wiki/Q33756209", "Q33756209")</f>
        <v>0</v>
      </c>
      <c r="G4947" t="s">
        <v>2841</v>
      </c>
      <c r="H4947" t="s">
        <v>7335</v>
      </c>
      <c r="I4947" t="s">
        <v>10471</v>
      </c>
      <c r="J4947" t="s">
        <v>13480</v>
      </c>
      <c r="K4947" t="s">
        <v>17869</v>
      </c>
      <c r="L4947">
        <f>HYPERLINK("https://www2.assemblee-nationale.fr/sycomore/fiche/(num_dept)/8163", "8163")</f>
        <v>0</v>
      </c>
      <c r="N4947">
        <f>HYPERLINK("https://www.wikidata.org/wiki/Q16025920", "Q16025920")</f>
        <v>0</v>
      </c>
      <c r="O4947" t="s">
        <v>20043</v>
      </c>
      <c r="P4947" t="s">
        <v>20460</v>
      </c>
      <c r="Q4947" t="s">
        <v>11935</v>
      </c>
      <c r="R4947" t="s">
        <v>21493</v>
      </c>
      <c r="S4947">
        <v>1471</v>
      </c>
    </row>
    <row r="4948" spans="1:19">
      <c r="A4948" t="s">
        <v>26</v>
      </c>
      <c r="B4948" t="s">
        <v>148</v>
      </c>
      <c r="C4948" t="s">
        <v>158</v>
      </c>
      <c r="D4948" t="s">
        <v>287</v>
      </c>
      <c r="E4948" t="s">
        <v>416</v>
      </c>
      <c r="F4948">
        <f>HYPERLINK("https://www.wikidata.org/wiki/Q33756209", "Q33756209")</f>
        <v>0</v>
      </c>
      <c r="G4948" t="s">
        <v>3083</v>
      </c>
      <c r="H4948" t="s">
        <v>7530</v>
      </c>
      <c r="I4948" t="s">
        <v>10619</v>
      </c>
      <c r="J4948" t="s">
        <v>13706</v>
      </c>
      <c r="K4948" t="s">
        <v>18089</v>
      </c>
      <c r="L4948">
        <f>HYPERLINK("https://www2.assemblee-nationale.fr/sycomore/fiche/(num_dept)/8238", "8238")</f>
        <v>0</v>
      </c>
      <c r="M4948">
        <f>HYPERLINK("https://www.senat.fr/senateur-3eme-republique/legludic_prosper1251r3.html", "legludic_prosper1251r3")</f>
        <v>0</v>
      </c>
      <c r="N4948">
        <f>HYPERLINK("https://www.wikidata.org/wiki/Q3407790", "Q3407790")</f>
        <v>0</v>
      </c>
      <c r="O4948" t="s">
        <v>19956</v>
      </c>
      <c r="P4948" t="s">
        <v>20401</v>
      </c>
      <c r="Q4948" t="s">
        <v>11935</v>
      </c>
      <c r="R4948" t="s">
        <v>21493</v>
      </c>
      <c r="S4948">
        <v>1471</v>
      </c>
    </row>
    <row r="4949" spans="1:19">
      <c r="A4949" t="s">
        <v>26</v>
      </c>
      <c r="B4949" t="s">
        <v>148</v>
      </c>
      <c r="C4949" t="s">
        <v>158</v>
      </c>
      <c r="D4949" t="s">
        <v>287</v>
      </c>
      <c r="E4949" t="s">
        <v>416</v>
      </c>
      <c r="F4949">
        <f>HYPERLINK("https://www.wikidata.org/wiki/Q33756209", "Q33756209")</f>
        <v>0</v>
      </c>
      <c r="G4949" t="s">
        <v>2926</v>
      </c>
      <c r="H4949" t="s">
        <v>7404</v>
      </c>
      <c r="I4949" t="s">
        <v>10530</v>
      </c>
      <c r="J4949" t="s">
        <v>13559</v>
      </c>
      <c r="K4949" t="s">
        <v>17945</v>
      </c>
      <c r="L4949">
        <f>HYPERLINK("https://www2.assemblee-nationale.fr/sycomore/fiche/(num_dept)/8277", "8277")</f>
        <v>0</v>
      </c>
      <c r="M4949">
        <f>HYPERLINK("https://www.senat.fr/senateur-3eme-republique/lavergne_bernard1682r3.html", "lavergne_bernard1682r3")</f>
        <v>0</v>
      </c>
      <c r="N4949">
        <f>HYPERLINK("https://www.wikidata.org/wiki/Q2899599", "Q2899599")</f>
        <v>0</v>
      </c>
      <c r="O4949" t="s">
        <v>19962</v>
      </c>
      <c r="P4949" t="s">
        <v>20457</v>
      </c>
      <c r="Q4949" t="s">
        <v>11935</v>
      </c>
      <c r="R4949" t="s">
        <v>21493</v>
      </c>
      <c r="S4949">
        <v>1471</v>
      </c>
    </row>
    <row r="4950" spans="1:19">
      <c r="A4950" t="s">
        <v>26</v>
      </c>
      <c r="B4950" t="s">
        <v>148</v>
      </c>
      <c r="C4950" t="s">
        <v>158</v>
      </c>
      <c r="D4950" t="s">
        <v>287</v>
      </c>
      <c r="E4950" t="s">
        <v>416</v>
      </c>
      <c r="F4950">
        <f>HYPERLINK("https://www.wikidata.org/wiki/Q33756209", "Q33756209")</f>
        <v>0</v>
      </c>
      <c r="G4950" t="s">
        <v>2932</v>
      </c>
      <c r="H4950" t="s">
        <v>7410</v>
      </c>
      <c r="I4950" t="s">
        <v>10534</v>
      </c>
      <c r="J4950" t="s">
        <v>13565</v>
      </c>
      <c r="K4950" t="s">
        <v>17951</v>
      </c>
      <c r="L4950">
        <f>HYPERLINK("https://www2.assemblee-nationale.fr/sycomore/fiche/(num_dept)/8284", "8284")</f>
        <v>0</v>
      </c>
      <c r="N4950">
        <f>HYPERLINK("https://www.wikidata.org/wiki/Q3579970", "Q3579970")</f>
        <v>0</v>
      </c>
      <c r="O4950" t="s">
        <v>19972</v>
      </c>
      <c r="P4950" t="s">
        <v>20470</v>
      </c>
      <c r="Q4950" t="s">
        <v>11935</v>
      </c>
      <c r="R4950" t="s">
        <v>17951</v>
      </c>
      <c r="S4950">
        <v>19</v>
      </c>
    </row>
    <row r="4951" spans="1:19">
      <c r="A4951" t="s">
        <v>26</v>
      </c>
      <c r="B4951" t="s">
        <v>148</v>
      </c>
      <c r="C4951" t="s">
        <v>158</v>
      </c>
      <c r="D4951" t="s">
        <v>287</v>
      </c>
      <c r="E4951" t="s">
        <v>416</v>
      </c>
      <c r="F4951">
        <f>HYPERLINK("https://www.wikidata.org/wiki/Q33756209", "Q33756209")</f>
        <v>0</v>
      </c>
      <c r="G4951" t="s">
        <v>2944</v>
      </c>
      <c r="H4951" t="s">
        <v>7421</v>
      </c>
      <c r="I4951" t="s">
        <v>9449</v>
      </c>
      <c r="J4951" t="s">
        <v>13577</v>
      </c>
      <c r="K4951" t="s">
        <v>17962</v>
      </c>
      <c r="L4951">
        <f>HYPERLINK("https://www2.assemblee-nationale.fr/sycomore/fiche/(num_dept)/8535", "8535")</f>
        <v>0</v>
      </c>
      <c r="N4951">
        <f>HYPERLINK("https://www.wikidata.org/wiki/Q16026394", "Q16026394")</f>
        <v>0</v>
      </c>
      <c r="O4951" t="s">
        <v>20034</v>
      </c>
      <c r="P4951" t="s">
        <v>20459</v>
      </c>
      <c r="Q4951" t="s">
        <v>11935</v>
      </c>
      <c r="R4951" t="s">
        <v>17962</v>
      </c>
      <c r="S4951">
        <v>727</v>
      </c>
    </row>
    <row r="4952" spans="1:19">
      <c r="A4952" t="s">
        <v>26</v>
      </c>
      <c r="B4952" t="s">
        <v>148</v>
      </c>
      <c r="C4952" t="s">
        <v>158</v>
      </c>
      <c r="D4952" t="s">
        <v>287</v>
      </c>
      <c r="E4952" t="s">
        <v>416</v>
      </c>
      <c r="F4952">
        <f>HYPERLINK("https://www.wikidata.org/wiki/Q33756209", "Q33756209")</f>
        <v>0</v>
      </c>
      <c r="G4952" t="s">
        <v>2945</v>
      </c>
      <c r="H4952" t="s">
        <v>6249</v>
      </c>
      <c r="I4952" t="s">
        <v>10539</v>
      </c>
      <c r="J4952" t="s">
        <v>13578</v>
      </c>
      <c r="K4952" t="s">
        <v>17963</v>
      </c>
      <c r="L4952">
        <f>HYPERLINK("https://www2.assemblee-nationale.fr/sycomore/fiche/(num_dept)/9219", "9219")</f>
        <v>0</v>
      </c>
      <c r="N4952">
        <f>HYPERLINK("https://www.wikidata.org/wiki/Q3179471", "Q3179471")</f>
        <v>0</v>
      </c>
      <c r="O4952" t="s">
        <v>19974</v>
      </c>
      <c r="P4952" t="s">
        <v>20464</v>
      </c>
      <c r="Q4952" t="s">
        <v>11935</v>
      </c>
      <c r="R4952" t="s">
        <v>21493</v>
      </c>
      <c r="S4952">
        <v>1471</v>
      </c>
    </row>
    <row r="4953" spans="1:19">
      <c r="A4953" t="s">
        <v>26</v>
      </c>
      <c r="B4953" t="s">
        <v>148</v>
      </c>
      <c r="C4953" t="s">
        <v>158</v>
      </c>
      <c r="D4953" t="s">
        <v>287</v>
      </c>
      <c r="E4953" t="s">
        <v>416</v>
      </c>
      <c r="F4953">
        <f>HYPERLINK("https://www.wikidata.org/wiki/Q33756209", "Q33756209")</f>
        <v>0</v>
      </c>
      <c r="G4953" t="s">
        <v>3227</v>
      </c>
      <c r="H4953" t="s">
        <v>7653</v>
      </c>
      <c r="I4953" t="s">
        <v>10719</v>
      </c>
      <c r="J4953" t="s">
        <v>13846</v>
      </c>
      <c r="K4953" t="s">
        <v>18217</v>
      </c>
      <c r="L4953">
        <f>HYPERLINK("https://www2.assemblee-nationale.fr/sycomore/fiche/(num_dept)/10589", "10589")</f>
        <v>0</v>
      </c>
      <c r="N4953">
        <f>HYPERLINK("https://www.wikidata.org/wiki/Q16026585", "Q16026585")</f>
        <v>0</v>
      </c>
      <c r="O4953" t="s">
        <v>19984</v>
      </c>
      <c r="P4953" t="s">
        <v>20460</v>
      </c>
      <c r="Q4953" t="s">
        <v>11935</v>
      </c>
      <c r="R4953" t="s">
        <v>21493</v>
      </c>
      <c r="S4953">
        <v>1471</v>
      </c>
    </row>
    <row r="4954" spans="1:19">
      <c r="A4954" t="s">
        <v>26</v>
      </c>
      <c r="B4954" t="s">
        <v>148</v>
      </c>
      <c r="C4954" t="s">
        <v>158</v>
      </c>
      <c r="D4954" t="s">
        <v>287</v>
      </c>
      <c r="E4954" t="s">
        <v>416</v>
      </c>
      <c r="F4954">
        <f>HYPERLINK("https://www.wikidata.org/wiki/Q33756209", "Q33756209")</f>
        <v>0</v>
      </c>
      <c r="G4954" t="s">
        <v>3228</v>
      </c>
      <c r="H4954" t="s">
        <v>7654</v>
      </c>
      <c r="I4954" t="s">
        <v>10720</v>
      </c>
      <c r="J4954" t="s">
        <v>13847</v>
      </c>
      <c r="K4954" t="s">
        <v>18218</v>
      </c>
      <c r="L4954">
        <f>HYPERLINK("https://www2.assemblee-nationale.fr/sycomore/fiche/(num_dept)/8", "8")</f>
        <v>0</v>
      </c>
      <c r="N4954">
        <f>HYPERLINK("https://www.wikidata.org/wiki/Q15278601", "Q15278601")</f>
        <v>0</v>
      </c>
      <c r="O4954" t="s">
        <v>19955</v>
      </c>
      <c r="P4954" t="s">
        <v>20460</v>
      </c>
      <c r="Q4954" t="s">
        <v>20701</v>
      </c>
      <c r="R4954" t="s">
        <v>21505</v>
      </c>
      <c r="S4954">
        <v>48</v>
      </c>
    </row>
    <row r="4955" spans="1:19">
      <c r="A4955" t="s">
        <v>26</v>
      </c>
      <c r="B4955" t="s">
        <v>148</v>
      </c>
      <c r="C4955" t="s">
        <v>158</v>
      </c>
      <c r="D4955" t="s">
        <v>287</v>
      </c>
      <c r="E4955" t="s">
        <v>416</v>
      </c>
      <c r="F4955">
        <f>HYPERLINK("https://www.wikidata.org/wiki/Q33756209", "Q33756209")</f>
        <v>0</v>
      </c>
      <c r="G4955" t="s">
        <v>3229</v>
      </c>
      <c r="H4955" t="s">
        <v>7655</v>
      </c>
      <c r="I4955" t="s">
        <v>7763</v>
      </c>
      <c r="J4955" t="s">
        <v>13848</v>
      </c>
      <c r="K4955" t="s">
        <v>18219</v>
      </c>
      <c r="L4955">
        <f>HYPERLINK("https://www2.assemblee-nationale.fr/sycomore/fiche/(num_dept)/15", "15")</f>
        <v>0</v>
      </c>
      <c r="M4955">
        <f>HYPERLINK("https://www.senat.fr/senateur-3eme-republique/abeille_valentin0093r3.html", "abeille_valentin0093r3")</f>
        <v>0</v>
      </c>
      <c r="N4955">
        <f>HYPERLINK("https://www.wikidata.org/wiki/Q3553555", "Q3553555")</f>
        <v>0</v>
      </c>
      <c r="O4955" t="s">
        <v>20016</v>
      </c>
      <c r="P4955" t="s">
        <v>20411</v>
      </c>
      <c r="Q4955" t="s">
        <v>20701</v>
      </c>
      <c r="R4955" t="s">
        <v>416</v>
      </c>
      <c r="S4955">
        <v>1485</v>
      </c>
    </row>
    <row r="4956" spans="1:19">
      <c r="A4956" t="s">
        <v>26</v>
      </c>
      <c r="B4956" t="s">
        <v>148</v>
      </c>
      <c r="C4956" t="s">
        <v>158</v>
      </c>
      <c r="D4956" t="s">
        <v>287</v>
      </c>
      <c r="E4956" t="s">
        <v>416</v>
      </c>
      <c r="F4956">
        <f>HYPERLINK("https://www.wikidata.org/wiki/Q33756209", "Q33756209")</f>
        <v>0</v>
      </c>
      <c r="G4956" t="s">
        <v>2486</v>
      </c>
      <c r="H4956" t="s">
        <v>7059</v>
      </c>
      <c r="I4956" t="s">
        <v>10239</v>
      </c>
      <c r="J4956" t="s">
        <v>13130</v>
      </c>
      <c r="K4956" t="s">
        <v>17540</v>
      </c>
      <c r="L4956">
        <f>HYPERLINK("https://www2.assemblee-nationale.fr/sycomore/fiche/(num_dept)/105", "105")</f>
        <v>0</v>
      </c>
      <c r="N4956">
        <f>HYPERLINK("https://www.wikidata.org/wiki/Q15973236", "Q15973236")</f>
        <v>0</v>
      </c>
      <c r="O4956" t="s">
        <v>19966</v>
      </c>
      <c r="P4956" t="s">
        <v>20476</v>
      </c>
      <c r="Q4956" t="s">
        <v>20701</v>
      </c>
      <c r="R4956" t="s">
        <v>21493</v>
      </c>
      <c r="S4956">
        <v>1457</v>
      </c>
    </row>
    <row r="4957" spans="1:19">
      <c r="A4957" t="s">
        <v>26</v>
      </c>
      <c r="B4957" t="s">
        <v>148</v>
      </c>
      <c r="C4957" t="s">
        <v>158</v>
      </c>
      <c r="D4957" t="s">
        <v>287</v>
      </c>
      <c r="E4957" t="s">
        <v>416</v>
      </c>
      <c r="F4957">
        <f>HYPERLINK("https://www.wikidata.org/wiki/Q33756209", "Q33756209")</f>
        <v>0</v>
      </c>
      <c r="G4957" t="s">
        <v>861</v>
      </c>
      <c r="H4957" t="s">
        <v>5617</v>
      </c>
      <c r="I4957" t="s">
        <v>6495</v>
      </c>
      <c r="J4957" t="s">
        <v>11607</v>
      </c>
      <c r="K4957" t="s">
        <v>16009</v>
      </c>
      <c r="L4957">
        <f>HYPERLINK("https://www2.assemblee-nationale.fr/sycomore/fiche/(num_dept)/139", "139")</f>
        <v>0</v>
      </c>
      <c r="M4957">
        <f>HYPERLINK("https://www.senat.fr/senateur-3eme-republique/andrieux_louis0059r3.html", "andrieux_louis0059r3")</f>
        <v>0</v>
      </c>
      <c r="N4957">
        <f>HYPERLINK("https://www.wikidata.org/wiki/Q1507996", "Q1507996")</f>
        <v>0</v>
      </c>
      <c r="O4957" t="s">
        <v>20033</v>
      </c>
      <c r="P4957" t="s">
        <v>20411</v>
      </c>
      <c r="Q4957" t="s">
        <v>20701</v>
      </c>
      <c r="R4957" t="s">
        <v>21493</v>
      </c>
      <c r="S4957">
        <v>1457</v>
      </c>
    </row>
    <row r="4958" spans="1:19">
      <c r="A4958" t="s">
        <v>26</v>
      </c>
      <c r="B4958" t="s">
        <v>148</v>
      </c>
      <c r="C4958" t="s">
        <v>158</v>
      </c>
      <c r="D4958" t="s">
        <v>287</v>
      </c>
      <c r="E4958" t="s">
        <v>416</v>
      </c>
      <c r="F4958">
        <f>HYPERLINK("https://www.wikidata.org/wiki/Q33756209", "Q33756209")</f>
        <v>0</v>
      </c>
      <c r="G4958" t="s">
        <v>2488</v>
      </c>
      <c r="H4958" t="s">
        <v>7061</v>
      </c>
      <c r="I4958" t="s">
        <v>10240</v>
      </c>
      <c r="J4958" t="s">
        <v>13132</v>
      </c>
      <c r="K4958" t="s">
        <v>17541</v>
      </c>
      <c r="L4958">
        <f>HYPERLINK("https://www2.assemblee-nationale.fr/sycomore/fiche/(num_dept)/251", "251")</f>
        <v>0</v>
      </c>
      <c r="M4958">
        <f>HYPERLINK("https://www.senat.fr/senateur-3eme-republique/audiffred_jean_honore1321r3.html", "audiffred_jean_honore1321r3")</f>
        <v>0</v>
      </c>
      <c r="N4958">
        <f>HYPERLINK("https://www.wikidata.org/wiki/Q3166130", "Q3166130")</f>
        <v>0</v>
      </c>
      <c r="O4958" t="s">
        <v>19997</v>
      </c>
      <c r="P4958" t="s">
        <v>20459</v>
      </c>
      <c r="Q4958" t="s">
        <v>20701</v>
      </c>
      <c r="R4958" t="s">
        <v>21493</v>
      </c>
      <c r="S4958">
        <v>1457</v>
      </c>
    </row>
    <row r="4959" spans="1:19">
      <c r="A4959" t="s">
        <v>26</v>
      </c>
      <c r="B4959" t="s">
        <v>148</v>
      </c>
      <c r="C4959" t="s">
        <v>158</v>
      </c>
      <c r="D4959" t="s">
        <v>287</v>
      </c>
      <c r="E4959" t="s">
        <v>416</v>
      </c>
      <c r="F4959">
        <f>HYPERLINK("https://www.wikidata.org/wiki/Q33756209", "Q33756209")</f>
        <v>0</v>
      </c>
      <c r="G4959" t="s">
        <v>2490</v>
      </c>
      <c r="H4959" t="s">
        <v>7063</v>
      </c>
      <c r="I4959" t="s">
        <v>10241</v>
      </c>
      <c r="J4959" t="s">
        <v>13134</v>
      </c>
      <c r="K4959" t="s">
        <v>17543</v>
      </c>
      <c r="L4959">
        <f>HYPERLINK("https://www2.assemblee-nationale.fr/sycomore/fiche/(num_dept)/359", "359")</f>
        <v>0</v>
      </c>
      <c r="N4959">
        <f>HYPERLINK("https://www.wikidata.org/wiki/Q8343129", "Q8343129")</f>
        <v>0</v>
      </c>
      <c r="O4959" t="s">
        <v>8449</v>
      </c>
      <c r="Q4959" t="s">
        <v>20701</v>
      </c>
      <c r="R4959" t="s">
        <v>21493</v>
      </c>
      <c r="S4959">
        <v>1457</v>
      </c>
    </row>
    <row r="4960" spans="1:19">
      <c r="A4960" t="s">
        <v>26</v>
      </c>
      <c r="B4960" t="s">
        <v>148</v>
      </c>
      <c r="C4960" t="s">
        <v>158</v>
      </c>
      <c r="D4960" t="s">
        <v>287</v>
      </c>
      <c r="E4960" t="s">
        <v>416</v>
      </c>
      <c r="F4960">
        <f>HYPERLINK("https://www.wikidata.org/wiki/Q33756209", "Q33756209")</f>
        <v>0</v>
      </c>
      <c r="G4960" t="s">
        <v>3230</v>
      </c>
      <c r="H4960" t="s">
        <v>7656</v>
      </c>
      <c r="I4960" t="s">
        <v>9388</v>
      </c>
      <c r="J4960" t="s">
        <v>13849</v>
      </c>
      <c r="K4960" t="s">
        <v>18220</v>
      </c>
      <c r="L4960">
        <f>HYPERLINK("https://www2.assemblee-nationale.fr/sycomore/fiche/(num_dept)/381", "381")</f>
        <v>0</v>
      </c>
      <c r="N4960">
        <f>HYPERLINK("https://www.wikidata.org/wiki/Q18384840", "Q18384840")</f>
        <v>0</v>
      </c>
      <c r="O4960" t="s">
        <v>19976</v>
      </c>
      <c r="P4960" t="s">
        <v>20401</v>
      </c>
      <c r="Q4960" t="s">
        <v>20701</v>
      </c>
      <c r="R4960" t="s">
        <v>21493</v>
      </c>
      <c r="S4960">
        <v>1457</v>
      </c>
    </row>
    <row r="4961" spans="1:19">
      <c r="A4961" t="s">
        <v>26</v>
      </c>
      <c r="B4961" t="s">
        <v>148</v>
      </c>
      <c r="C4961" t="s">
        <v>158</v>
      </c>
      <c r="D4961" t="s">
        <v>287</v>
      </c>
      <c r="E4961" t="s">
        <v>416</v>
      </c>
      <c r="F4961">
        <f>HYPERLINK("https://www.wikidata.org/wiki/Q33756209", "Q33756209")</f>
        <v>0</v>
      </c>
      <c r="G4961" t="s">
        <v>3231</v>
      </c>
      <c r="H4961" t="s">
        <v>7657</v>
      </c>
      <c r="I4961" t="s">
        <v>9388</v>
      </c>
      <c r="J4961" t="s">
        <v>13288</v>
      </c>
      <c r="K4961" t="s">
        <v>18221</v>
      </c>
      <c r="L4961">
        <f>HYPERLINK("https://www2.assemblee-nationale.fr/sycomore/fiche/(num_dept)/645", "645")</f>
        <v>0</v>
      </c>
      <c r="N4961">
        <f>HYPERLINK("https://www.wikidata.org/wiki/Q8338037", "Q8338037")</f>
        <v>0</v>
      </c>
      <c r="O4961" t="s">
        <v>20015</v>
      </c>
      <c r="P4961" t="s">
        <v>20473</v>
      </c>
      <c r="Q4961" t="s">
        <v>20701</v>
      </c>
      <c r="R4961" t="s">
        <v>18221</v>
      </c>
      <c r="S4961">
        <v>293</v>
      </c>
    </row>
    <row r="4962" spans="1:19">
      <c r="A4962" t="s">
        <v>26</v>
      </c>
      <c r="B4962" t="s">
        <v>148</v>
      </c>
      <c r="C4962" t="s">
        <v>158</v>
      </c>
      <c r="D4962" t="s">
        <v>287</v>
      </c>
      <c r="E4962" t="s">
        <v>416</v>
      </c>
      <c r="F4962">
        <f>HYPERLINK("https://www.wikidata.org/wiki/Q33756209", "Q33756209")</f>
        <v>0</v>
      </c>
      <c r="G4962" t="s">
        <v>2499</v>
      </c>
      <c r="H4962" t="s">
        <v>7069</v>
      </c>
      <c r="I4962" t="s">
        <v>9388</v>
      </c>
      <c r="J4962" t="s">
        <v>13143</v>
      </c>
      <c r="K4962" t="s">
        <v>17551</v>
      </c>
      <c r="L4962">
        <f>HYPERLINK("https://www2.assemblee-nationale.fr/sycomore/fiche/(num_dept)/718", "718")</f>
        <v>0</v>
      </c>
      <c r="N4962">
        <f>HYPERLINK("https://www.wikidata.org/wiki/Q735370", "Q735370")</f>
        <v>0</v>
      </c>
      <c r="O4962" t="s">
        <v>20034</v>
      </c>
      <c r="P4962" t="s">
        <v>20459</v>
      </c>
      <c r="Q4962" t="s">
        <v>20701</v>
      </c>
      <c r="R4962" t="s">
        <v>17551</v>
      </c>
      <c r="S4962">
        <v>389</v>
      </c>
    </row>
    <row r="4963" spans="1:19">
      <c r="A4963" t="s">
        <v>26</v>
      </c>
      <c r="B4963" t="s">
        <v>148</v>
      </c>
      <c r="C4963" t="s">
        <v>158</v>
      </c>
      <c r="D4963" t="s">
        <v>287</v>
      </c>
      <c r="E4963" t="s">
        <v>416</v>
      </c>
      <c r="F4963">
        <f>HYPERLINK("https://www.wikidata.org/wiki/Q33756209", "Q33756209")</f>
        <v>0</v>
      </c>
      <c r="G4963" t="s">
        <v>2506</v>
      </c>
      <c r="H4963" t="s">
        <v>7074</v>
      </c>
      <c r="I4963" t="s">
        <v>10252</v>
      </c>
      <c r="J4963" t="s">
        <v>13150</v>
      </c>
      <c r="K4963" t="s">
        <v>17558</v>
      </c>
      <c r="L4963">
        <f>HYPERLINK("https://www2.assemblee-nationale.fr/sycomore/fiche/(num_dept)/859", "859")</f>
        <v>0</v>
      </c>
      <c r="N4963">
        <f>HYPERLINK("https://www.wikidata.org/wiki/Q26416441", "Q26416441")</f>
        <v>0</v>
      </c>
      <c r="O4963" t="s">
        <v>20038</v>
      </c>
      <c r="P4963" t="s">
        <v>20459</v>
      </c>
      <c r="Q4963" t="s">
        <v>20701</v>
      </c>
      <c r="R4963" t="s">
        <v>17558</v>
      </c>
      <c r="S4963">
        <v>866</v>
      </c>
    </row>
    <row r="4964" spans="1:19">
      <c r="A4964" t="s">
        <v>26</v>
      </c>
      <c r="B4964" t="s">
        <v>148</v>
      </c>
      <c r="C4964" t="s">
        <v>158</v>
      </c>
      <c r="D4964" t="s">
        <v>287</v>
      </c>
      <c r="E4964" t="s">
        <v>416</v>
      </c>
      <c r="F4964">
        <f>HYPERLINK("https://www.wikidata.org/wiki/Q33756209", "Q33756209")</f>
        <v>0</v>
      </c>
      <c r="G4964" t="s">
        <v>3232</v>
      </c>
      <c r="H4964" t="s">
        <v>7658</v>
      </c>
      <c r="I4964" t="s">
        <v>9457</v>
      </c>
      <c r="J4964" t="s">
        <v>13850</v>
      </c>
      <c r="K4964" t="s">
        <v>18222</v>
      </c>
      <c r="L4964">
        <f>HYPERLINK("https://www2.assemblee-nationale.fr/sycomore/fiche/(num_dept)/945", "945")</f>
        <v>0</v>
      </c>
      <c r="N4964">
        <f>HYPERLINK("https://www.wikidata.org/wiki/Q15973781", "Q15973781")</f>
        <v>0</v>
      </c>
      <c r="O4964" t="s">
        <v>20034</v>
      </c>
      <c r="P4964" t="s">
        <v>20463</v>
      </c>
      <c r="Q4964" t="s">
        <v>20701</v>
      </c>
      <c r="R4964" t="s">
        <v>18222</v>
      </c>
      <c r="S4964">
        <v>101</v>
      </c>
    </row>
    <row r="4965" spans="1:19">
      <c r="A4965" t="s">
        <v>26</v>
      </c>
      <c r="B4965" t="s">
        <v>148</v>
      </c>
      <c r="C4965" t="s">
        <v>158</v>
      </c>
      <c r="D4965" t="s">
        <v>287</v>
      </c>
      <c r="E4965" t="s">
        <v>416</v>
      </c>
      <c r="F4965">
        <f>HYPERLINK("https://www.wikidata.org/wiki/Q33756209", "Q33756209")</f>
        <v>0</v>
      </c>
      <c r="G4965" t="s">
        <v>3233</v>
      </c>
      <c r="H4965" t="s">
        <v>7659</v>
      </c>
      <c r="I4965" t="s">
        <v>10721</v>
      </c>
      <c r="J4965" t="s">
        <v>13851</v>
      </c>
      <c r="K4965" t="s">
        <v>18223</v>
      </c>
      <c r="L4965">
        <f>HYPERLINK("https://www2.assemblee-nationale.fr/sycomore/fiche/(num_dept)/978", "978")</f>
        <v>0</v>
      </c>
      <c r="N4965">
        <f>HYPERLINK("https://www.wikidata.org/wiki/Q15973845", "Q15973845")</f>
        <v>0</v>
      </c>
      <c r="O4965" t="s">
        <v>20020</v>
      </c>
      <c r="Q4965" t="s">
        <v>20701</v>
      </c>
      <c r="R4965" t="s">
        <v>416</v>
      </c>
      <c r="S4965">
        <v>1485</v>
      </c>
    </row>
    <row r="4966" spans="1:19">
      <c r="A4966" t="s">
        <v>26</v>
      </c>
      <c r="B4966" t="s">
        <v>148</v>
      </c>
      <c r="C4966" t="s">
        <v>158</v>
      </c>
      <c r="D4966" t="s">
        <v>287</v>
      </c>
      <c r="E4966" t="s">
        <v>416</v>
      </c>
      <c r="F4966">
        <f>HYPERLINK("https://www.wikidata.org/wiki/Q33756209", "Q33756209")</f>
        <v>0</v>
      </c>
      <c r="G4966" t="s">
        <v>3234</v>
      </c>
      <c r="H4966" t="s">
        <v>7660</v>
      </c>
      <c r="I4966" t="s">
        <v>9516</v>
      </c>
      <c r="J4966" t="s">
        <v>13852</v>
      </c>
      <c r="K4966" t="s">
        <v>18224</v>
      </c>
      <c r="L4966">
        <f>HYPERLINK("https://www2.assemblee-nationale.fr/sycomore/fiche/(num_dept)/1059", "1059")</f>
        <v>0</v>
      </c>
      <c r="N4966">
        <f>HYPERLINK("https://www.wikidata.org/wiki/Q15973898", "Q15973898")</f>
        <v>0</v>
      </c>
      <c r="O4966" t="s">
        <v>19994</v>
      </c>
      <c r="P4966" t="s">
        <v>20401</v>
      </c>
      <c r="Q4966" t="s">
        <v>20701</v>
      </c>
      <c r="R4966" t="s">
        <v>21493</v>
      </c>
      <c r="S4966">
        <v>1457</v>
      </c>
    </row>
    <row r="4967" spans="1:19">
      <c r="A4967" t="s">
        <v>26</v>
      </c>
      <c r="B4967" t="s">
        <v>148</v>
      </c>
      <c r="C4967" t="s">
        <v>158</v>
      </c>
      <c r="D4967" t="s">
        <v>287</v>
      </c>
      <c r="E4967" t="s">
        <v>416</v>
      </c>
      <c r="F4967">
        <f>HYPERLINK("https://www.wikidata.org/wiki/Q33756209", "Q33756209")</f>
        <v>0</v>
      </c>
      <c r="G4967" t="s">
        <v>2516</v>
      </c>
      <c r="H4967" t="s">
        <v>6846</v>
      </c>
      <c r="I4967" t="s">
        <v>9483</v>
      </c>
      <c r="J4967" t="s">
        <v>13160</v>
      </c>
      <c r="K4967" t="s">
        <v>17567</v>
      </c>
      <c r="L4967">
        <f>HYPERLINK("https://www2.assemblee-nationale.fr/sycomore/fiche/(num_dept)/1115", "1115")</f>
        <v>0</v>
      </c>
      <c r="N4967">
        <f>HYPERLINK("https://www.wikidata.org/wiki/Q3557183", "Q3557183")</f>
        <v>0</v>
      </c>
      <c r="O4967" t="s">
        <v>20014</v>
      </c>
      <c r="P4967" t="s">
        <v>20459</v>
      </c>
      <c r="Q4967" t="s">
        <v>20701</v>
      </c>
      <c r="R4967" t="s">
        <v>21493</v>
      </c>
      <c r="S4967">
        <v>1457</v>
      </c>
    </row>
    <row r="4968" spans="1:19">
      <c r="A4968" t="s">
        <v>26</v>
      </c>
      <c r="B4968" t="s">
        <v>148</v>
      </c>
      <c r="C4968" t="s">
        <v>158</v>
      </c>
      <c r="D4968" t="s">
        <v>287</v>
      </c>
      <c r="E4968" t="s">
        <v>416</v>
      </c>
      <c r="F4968">
        <f>HYPERLINK("https://www.wikidata.org/wiki/Q33756209", "Q33756209")</f>
        <v>0</v>
      </c>
      <c r="G4968" t="s">
        <v>3235</v>
      </c>
      <c r="H4968" t="s">
        <v>6405</v>
      </c>
      <c r="I4968" t="s">
        <v>10722</v>
      </c>
      <c r="J4968" t="s">
        <v>13853</v>
      </c>
      <c r="K4968" t="s">
        <v>18225</v>
      </c>
      <c r="L4968">
        <f>HYPERLINK("https://www2.assemblee-nationale.fr/sycomore/fiche/(num_dept)/1150", "1150")</f>
        <v>0</v>
      </c>
      <c r="M4968">
        <f>HYPERLINK("https://www.senat.fr/senateur-3eme-republique/boyer_antide0317r3.html", "boyer_antide0317r3")</f>
        <v>0</v>
      </c>
      <c r="N4968">
        <f>HYPERLINK("https://www.wikidata.org/wiki/Q575028", "Q575028")</f>
        <v>0</v>
      </c>
      <c r="O4968" t="s">
        <v>19990</v>
      </c>
      <c r="Q4968" t="s">
        <v>20701</v>
      </c>
      <c r="R4968" t="s">
        <v>416</v>
      </c>
      <c r="S4968">
        <v>1485</v>
      </c>
    </row>
    <row r="4969" spans="1:19">
      <c r="A4969" t="s">
        <v>26</v>
      </c>
      <c r="B4969" t="s">
        <v>148</v>
      </c>
      <c r="C4969" t="s">
        <v>158</v>
      </c>
      <c r="D4969" t="s">
        <v>287</v>
      </c>
      <c r="E4969" t="s">
        <v>416</v>
      </c>
      <c r="F4969">
        <f>HYPERLINK("https://www.wikidata.org/wiki/Q33756209", "Q33756209")</f>
        <v>0</v>
      </c>
      <c r="G4969" t="s">
        <v>2521</v>
      </c>
      <c r="H4969" t="s">
        <v>7085</v>
      </c>
      <c r="I4969" t="s">
        <v>10264</v>
      </c>
      <c r="J4969" t="s">
        <v>13165</v>
      </c>
      <c r="K4969" t="s">
        <v>17571</v>
      </c>
      <c r="L4969">
        <f>HYPERLINK("https://www2.assemblee-nationale.fr/sycomore/fiche/(num_dept)/1158", "1158")</f>
        <v>0</v>
      </c>
      <c r="N4969">
        <f>HYPERLINK("https://www.wikidata.org/wiki/Q8305634", "Q8305634")</f>
        <v>0</v>
      </c>
      <c r="O4969" t="s">
        <v>19994</v>
      </c>
      <c r="P4969" t="s">
        <v>20401</v>
      </c>
      <c r="Q4969" t="s">
        <v>20701</v>
      </c>
      <c r="R4969" t="s">
        <v>21493</v>
      </c>
      <c r="S4969">
        <v>1457</v>
      </c>
    </row>
    <row r="4970" spans="1:19">
      <c r="A4970" t="s">
        <v>26</v>
      </c>
      <c r="B4970" t="s">
        <v>148</v>
      </c>
      <c r="C4970" t="s">
        <v>158</v>
      </c>
      <c r="D4970" t="s">
        <v>287</v>
      </c>
      <c r="E4970" t="s">
        <v>416</v>
      </c>
      <c r="F4970">
        <f>HYPERLINK("https://www.wikidata.org/wiki/Q33756209", "Q33756209")</f>
        <v>0</v>
      </c>
      <c r="G4970" t="s">
        <v>2522</v>
      </c>
      <c r="H4970" t="s">
        <v>7086</v>
      </c>
      <c r="I4970" t="s">
        <v>10265</v>
      </c>
      <c r="J4970" t="s">
        <v>13166</v>
      </c>
      <c r="K4970" t="s">
        <v>17572</v>
      </c>
      <c r="L4970">
        <f>HYPERLINK("https://www2.assemblee-nationale.fr/sycomore/fiche/(num_dept)/1190", "1190")</f>
        <v>0</v>
      </c>
      <c r="N4970">
        <f>HYPERLINK("https://www.wikidata.org/wiki/Q13091108", "Q13091108")</f>
        <v>0</v>
      </c>
      <c r="O4970" t="s">
        <v>19969</v>
      </c>
      <c r="P4970" t="s">
        <v>20401</v>
      </c>
      <c r="Q4970" t="s">
        <v>20701</v>
      </c>
      <c r="R4970" t="s">
        <v>21493</v>
      </c>
      <c r="S4970">
        <v>1457</v>
      </c>
    </row>
    <row r="4971" spans="1:19">
      <c r="A4971" t="s">
        <v>26</v>
      </c>
      <c r="B4971" t="s">
        <v>148</v>
      </c>
      <c r="C4971" t="s">
        <v>158</v>
      </c>
      <c r="D4971" t="s">
        <v>287</v>
      </c>
      <c r="E4971" t="s">
        <v>416</v>
      </c>
      <c r="F4971">
        <f>HYPERLINK("https://www.wikidata.org/wiki/Q33756209", "Q33756209")</f>
        <v>0</v>
      </c>
      <c r="G4971" t="s">
        <v>892</v>
      </c>
      <c r="H4971" t="s">
        <v>5648</v>
      </c>
      <c r="I4971" t="s">
        <v>9457</v>
      </c>
      <c r="J4971" t="s">
        <v>11638</v>
      </c>
      <c r="K4971" t="s">
        <v>16038</v>
      </c>
      <c r="L4971">
        <f>HYPERLINK("https://www2.assemblee-nationale.fr/sycomore/fiche/(num_dept)/1240", "1240")</f>
        <v>0</v>
      </c>
      <c r="N4971">
        <f>HYPERLINK("https://www.wikidata.org/wiki/Q669725", "Q669725")</f>
        <v>0</v>
      </c>
      <c r="O4971" t="s">
        <v>19996</v>
      </c>
      <c r="P4971" t="s">
        <v>20459</v>
      </c>
      <c r="Q4971" t="s">
        <v>20701</v>
      </c>
      <c r="R4971" t="s">
        <v>21493</v>
      </c>
      <c r="S4971">
        <v>1457</v>
      </c>
    </row>
    <row r="4972" spans="1:19">
      <c r="A4972" t="s">
        <v>26</v>
      </c>
      <c r="B4972" t="s">
        <v>148</v>
      </c>
      <c r="C4972" t="s">
        <v>158</v>
      </c>
      <c r="D4972" t="s">
        <v>287</v>
      </c>
      <c r="E4972" t="s">
        <v>416</v>
      </c>
      <c r="F4972">
        <f>HYPERLINK("https://www.wikidata.org/wiki/Q33756209", "Q33756209")</f>
        <v>0</v>
      </c>
      <c r="G4972" t="s">
        <v>3236</v>
      </c>
      <c r="H4972" t="s">
        <v>7661</v>
      </c>
      <c r="I4972" t="s">
        <v>10723</v>
      </c>
      <c r="J4972" t="s">
        <v>13854</v>
      </c>
      <c r="K4972" t="s">
        <v>18226</v>
      </c>
      <c r="L4972">
        <f>HYPERLINK("https://www2.assemblee-nationale.fr/sycomore/fiche/(num_dept)/1266", "1266")</f>
        <v>0</v>
      </c>
      <c r="N4972">
        <f>HYPERLINK("https://www.wikidata.org/wiki/Q15974002", "Q15974002")</f>
        <v>0</v>
      </c>
      <c r="O4972" t="s">
        <v>20020</v>
      </c>
      <c r="Q4972" t="s">
        <v>20701</v>
      </c>
      <c r="R4972" t="s">
        <v>21493</v>
      </c>
      <c r="S4972">
        <v>1457</v>
      </c>
    </row>
    <row r="4973" spans="1:19">
      <c r="A4973" t="s">
        <v>26</v>
      </c>
      <c r="B4973" t="s">
        <v>148</v>
      </c>
      <c r="C4973" t="s">
        <v>158</v>
      </c>
      <c r="D4973" t="s">
        <v>287</v>
      </c>
      <c r="E4973" t="s">
        <v>416</v>
      </c>
      <c r="F4973">
        <f>HYPERLINK("https://www.wikidata.org/wiki/Q33756209", "Q33756209")</f>
        <v>0</v>
      </c>
      <c r="G4973" t="s">
        <v>3237</v>
      </c>
      <c r="H4973" t="s">
        <v>7662</v>
      </c>
      <c r="I4973" t="s">
        <v>9552</v>
      </c>
      <c r="J4973" t="s">
        <v>13855</v>
      </c>
      <c r="K4973" t="s">
        <v>18227</v>
      </c>
      <c r="L4973">
        <f>HYPERLINK("https://www2.assemblee-nationale.fr/sycomore/fiche/(num_dept)/1312", "1312")</f>
        <v>0</v>
      </c>
      <c r="N4973">
        <f>HYPERLINK("https://www.wikidata.org/wiki/Q2341410", "Q2341410")</f>
        <v>0</v>
      </c>
      <c r="O4973" t="s">
        <v>19965</v>
      </c>
      <c r="P4973" t="s">
        <v>20458</v>
      </c>
      <c r="Q4973" t="s">
        <v>20701</v>
      </c>
      <c r="R4973" t="s">
        <v>21493</v>
      </c>
      <c r="S4973">
        <v>1457</v>
      </c>
    </row>
    <row r="4974" spans="1:19">
      <c r="A4974" t="s">
        <v>26</v>
      </c>
      <c r="B4974" t="s">
        <v>148</v>
      </c>
      <c r="C4974" t="s">
        <v>158</v>
      </c>
      <c r="D4974" t="s">
        <v>287</v>
      </c>
      <c r="E4974" t="s">
        <v>416</v>
      </c>
      <c r="F4974">
        <f>HYPERLINK("https://www.wikidata.org/wiki/Q33756209", "Q33756209")</f>
        <v>0</v>
      </c>
      <c r="G4974" t="s">
        <v>3238</v>
      </c>
      <c r="H4974" t="s">
        <v>7663</v>
      </c>
      <c r="I4974" t="s">
        <v>10724</v>
      </c>
      <c r="J4974" t="s">
        <v>13856</v>
      </c>
      <c r="K4974" t="s">
        <v>18228</v>
      </c>
      <c r="L4974">
        <f>HYPERLINK("https://www2.assemblee-nationale.fr/sycomore/fiche/(num_dept)/1376", "1376")</f>
        <v>0</v>
      </c>
      <c r="N4974">
        <f>HYPERLINK("https://www.wikidata.org/wiki/Q15974112", "Q15974112")</f>
        <v>0</v>
      </c>
      <c r="O4974" t="s">
        <v>20016</v>
      </c>
      <c r="P4974" t="s">
        <v>20401</v>
      </c>
      <c r="Q4974" t="s">
        <v>20701</v>
      </c>
      <c r="R4974" t="s">
        <v>21493</v>
      </c>
      <c r="S4974">
        <v>1457</v>
      </c>
    </row>
    <row r="4975" spans="1:19">
      <c r="A4975" t="s">
        <v>26</v>
      </c>
      <c r="B4975" t="s">
        <v>148</v>
      </c>
      <c r="C4975" t="s">
        <v>158</v>
      </c>
      <c r="D4975" t="s">
        <v>287</v>
      </c>
      <c r="E4975" t="s">
        <v>416</v>
      </c>
      <c r="F4975">
        <f>HYPERLINK("https://www.wikidata.org/wiki/Q33756209", "Q33756209")</f>
        <v>0</v>
      </c>
      <c r="G4975" t="s">
        <v>2528</v>
      </c>
      <c r="H4975" t="s">
        <v>5325</v>
      </c>
      <c r="I4975" t="s">
        <v>10268</v>
      </c>
      <c r="J4975" t="s">
        <v>13172</v>
      </c>
      <c r="K4975" t="s">
        <v>17578</v>
      </c>
      <c r="L4975">
        <f>HYPERLINK("https://www2.assemblee-nationale.fr/sycomore/fiche/(num_dept)/1453", "1453")</f>
        <v>0</v>
      </c>
      <c r="N4975">
        <f>HYPERLINK("https://www.wikidata.org/wiki/Q215778", "Q215778")</f>
        <v>0</v>
      </c>
      <c r="O4975" t="s">
        <v>20002</v>
      </c>
      <c r="P4975" t="s">
        <v>20459</v>
      </c>
      <c r="Q4975" t="s">
        <v>20701</v>
      </c>
      <c r="R4975" t="s">
        <v>21506</v>
      </c>
      <c r="S4975">
        <v>776</v>
      </c>
    </row>
    <row r="4976" spans="1:19">
      <c r="A4976" t="s">
        <v>26</v>
      </c>
      <c r="B4976" t="s">
        <v>148</v>
      </c>
      <c r="C4976" t="s">
        <v>158</v>
      </c>
      <c r="D4976" t="s">
        <v>287</v>
      </c>
      <c r="E4976" t="s">
        <v>416</v>
      </c>
      <c r="F4976">
        <f>HYPERLINK("https://www.wikidata.org/wiki/Q33756209", "Q33756209")</f>
        <v>0</v>
      </c>
      <c r="G4976" t="s">
        <v>2529</v>
      </c>
      <c r="H4976" t="s">
        <v>7090</v>
      </c>
      <c r="I4976" t="s">
        <v>6200</v>
      </c>
      <c r="J4976" t="s">
        <v>13173</v>
      </c>
      <c r="K4976" t="s">
        <v>17579</v>
      </c>
      <c r="L4976">
        <f>HYPERLINK("https://www2.assemblee-nationale.fr/sycomore/fiche/(num_dept)/1484", "1484")</f>
        <v>0</v>
      </c>
      <c r="N4976">
        <f>HYPERLINK("https://www.wikidata.org/wiki/Q315656", "Q315656")</f>
        <v>0</v>
      </c>
      <c r="O4976" t="s">
        <v>8449</v>
      </c>
      <c r="P4976" t="s">
        <v>20461</v>
      </c>
      <c r="Q4976" t="s">
        <v>20701</v>
      </c>
      <c r="R4976" t="s">
        <v>21493</v>
      </c>
      <c r="S4976">
        <v>1457</v>
      </c>
    </row>
    <row r="4977" spans="1:19">
      <c r="A4977" t="s">
        <v>26</v>
      </c>
      <c r="B4977" t="s">
        <v>148</v>
      </c>
      <c r="C4977" t="s">
        <v>158</v>
      </c>
      <c r="D4977" t="s">
        <v>287</v>
      </c>
      <c r="E4977" t="s">
        <v>416</v>
      </c>
      <c r="F4977">
        <f>HYPERLINK("https://www.wikidata.org/wiki/Q33756209", "Q33756209")</f>
        <v>0</v>
      </c>
      <c r="G4977" t="s">
        <v>2948</v>
      </c>
      <c r="H4977" t="s">
        <v>5326</v>
      </c>
      <c r="I4977" t="s">
        <v>9468</v>
      </c>
      <c r="J4977" t="s">
        <v>13581</v>
      </c>
      <c r="K4977" t="s">
        <v>17966</v>
      </c>
      <c r="L4977">
        <f>HYPERLINK("https://www2.assemblee-nationale.fr/sycomore/fiche/(num_dept)/1554", "1554")</f>
        <v>0</v>
      </c>
      <c r="N4977">
        <f>HYPERLINK("https://www.wikidata.org/wiki/Q15974256", "Q15974256")</f>
        <v>0</v>
      </c>
      <c r="O4977" t="s">
        <v>19987</v>
      </c>
      <c r="P4977" t="s">
        <v>20459</v>
      </c>
      <c r="Q4977" t="s">
        <v>20701</v>
      </c>
      <c r="R4977" t="s">
        <v>21493</v>
      </c>
      <c r="S4977">
        <v>1457</v>
      </c>
    </row>
    <row r="4978" spans="1:19">
      <c r="A4978" t="s">
        <v>26</v>
      </c>
      <c r="B4978" t="s">
        <v>148</v>
      </c>
      <c r="C4978" t="s">
        <v>158</v>
      </c>
      <c r="D4978" t="s">
        <v>287</v>
      </c>
      <c r="E4978" t="s">
        <v>416</v>
      </c>
      <c r="F4978">
        <f>HYPERLINK("https://www.wikidata.org/wiki/Q33756209", "Q33756209")</f>
        <v>0</v>
      </c>
      <c r="G4978" t="s">
        <v>3239</v>
      </c>
      <c r="H4978" t="s">
        <v>5863</v>
      </c>
      <c r="I4978" t="s">
        <v>10725</v>
      </c>
      <c r="J4978" t="s">
        <v>13857</v>
      </c>
      <c r="K4978" t="s">
        <v>18229</v>
      </c>
      <c r="L4978">
        <f>HYPERLINK("https://www2.assemblee-nationale.fr/sycomore/fiche/(num_dept)/1783", "1783")</f>
        <v>0</v>
      </c>
      <c r="N4978">
        <f>HYPERLINK("https://www.wikidata.org/wiki/Q3184756", "Q3184756")</f>
        <v>0</v>
      </c>
      <c r="O4978" t="s">
        <v>19990</v>
      </c>
      <c r="P4978" t="s">
        <v>20401</v>
      </c>
      <c r="Q4978" t="s">
        <v>20701</v>
      </c>
      <c r="R4978" t="s">
        <v>21493</v>
      </c>
      <c r="S4978">
        <v>1457</v>
      </c>
    </row>
    <row r="4979" spans="1:19">
      <c r="A4979" t="s">
        <v>26</v>
      </c>
      <c r="B4979" t="s">
        <v>148</v>
      </c>
      <c r="C4979" t="s">
        <v>158</v>
      </c>
      <c r="D4979" t="s">
        <v>287</v>
      </c>
      <c r="E4979" t="s">
        <v>416</v>
      </c>
      <c r="F4979">
        <f>HYPERLINK("https://www.wikidata.org/wiki/Q33756209", "Q33756209")</f>
        <v>0</v>
      </c>
      <c r="G4979" t="s">
        <v>582</v>
      </c>
      <c r="H4979" t="s">
        <v>5344</v>
      </c>
      <c r="I4979" t="s">
        <v>6175</v>
      </c>
      <c r="J4979" t="s">
        <v>11333</v>
      </c>
      <c r="K4979" t="s">
        <v>15734</v>
      </c>
      <c r="L4979">
        <f>HYPERLINK("https://www2.assemblee-nationale.fr/sycomore/fiche/(num_dept)/1869", "1869")</f>
        <v>0</v>
      </c>
      <c r="N4979">
        <f>HYPERLINK("https://www.wikidata.org/wiki/Q2599226", "Q2599226")</f>
        <v>0</v>
      </c>
      <c r="O4979" t="s">
        <v>19958</v>
      </c>
      <c r="P4979" t="s">
        <v>20461</v>
      </c>
      <c r="Q4979" t="s">
        <v>20701</v>
      </c>
      <c r="R4979" t="s">
        <v>21493</v>
      </c>
      <c r="S4979">
        <v>1457</v>
      </c>
    </row>
    <row r="4980" spans="1:19">
      <c r="A4980" t="s">
        <v>26</v>
      </c>
      <c r="B4980" t="s">
        <v>148</v>
      </c>
      <c r="C4980" t="s">
        <v>158</v>
      </c>
      <c r="D4980" t="s">
        <v>287</v>
      </c>
      <c r="E4980" t="s">
        <v>416</v>
      </c>
      <c r="F4980">
        <f>HYPERLINK("https://www.wikidata.org/wiki/Q33756209", "Q33756209")</f>
        <v>0</v>
      </c>
      <c r="G4980" t="s">
        <v>2542</v>
      </c>
      <c r="H4980" t="s">
        <v>5867</v>
      </c>
      <c r="I4980" t="s">
        <v>9442</v>
      </c>
      <c r="J4980" t="s">
        <v>13186</v>
      </c>
      <c r="K4980" t="s">
        <v>17591</v>
      </c>
      <c r="L4980">
        <f>HYPERLINK("https://www2.assemblee-nationale.fr/sycomore/fiche/(num_dept)/1942", "1942")</f>
        <v>0</v>
      </c>
      <c r="M4980">
        <f>HYPERLINK("https://www.senat.fr/senateur-3eme-republique/constans_ernest0107r3.html", "constans_ernest0107r3")</f>
        <v>0</v>
      </c>
      <c r="N4980">
        <f>HYPERLINK("https://www.wikidata.org/wiki/Q1934639", "Q1934639")</f>
        <v>0</v>
      </c>
      <c r="O4980" t="s">
        <v>20016</v>
      </c>
      <c r="P4980" t="s">
        <v>20459</v>
      </c>
      <c r="Q4980" t="s">
        <v>20701</v>
      </c>
      <c r="R4980" t="s">
        <v>21493</v>
      </c>
      <c r="S4980">
        <v>1457</v>
      </c>
    </row>
    <row r="4981" spans="1:19">
      <c r="A4981" t="s">
        <v>26</v>
      </c>
      <c r="B4981" t="s">
        <v>148</v>
      </c>
      <c r="C4981" t="s">
        <v>158</v>
      </c>
      <c r="D4981" t="s">
        <v>287</v>
      </c>
      <c r="E4981" t="s">
        <v>416</v>
      </c>
      <c r="F4981">
        <f>HYPERLINK("https://www.wikidata.org/wiki/Q33756209", "Q33756209")</f>
        <v>0</v>
      </c>
      <c r="G4981" t="s">
        <v>2543</v>
      </c>
      <c r="H4981" t="s">
        <v>7102</v>
      </c>
      <c r="I4981" t="s">
        <v>9381</v>
      </c>
      <c r="J4981" t="s">
        <v>13187</v>
      </c>
      <c r="K4981" t="s">
        <v>17592</v>
      </c>
      <c r="L4981">
        <f>HYPERLINK("https://www2.assemblee-nationale.fr/sycomore/fiche/(num_dept)/1968", "1968")</f>
        <v>0</v>
      </c>
      <c r="N4981">
        <f>HYPERLINK("https://www.wikidata.org/wiki/Q15971897", "Q15971897")</f>
        <v>0</v>
      </c>
      <c r="O4981" t="s">
        <v>19959</v>
      </c>
      <c r="P4981" t="s">
        <v>20401</v>
      </c>
      <c r="Q4981" t="s">
        <v>20701</v>
      </c>
      <c r="R4981" t="s">
        <v>21493</v>
      </c>
      <c r="S4981">
        <v>1457</v>
      </c>
    </row>
    <row r="4982" spans="1:19">
      <c r="A4982" t="s">
        <v>26</v>
      </c>
      <c r="B4982" t="s">
        <v>148</v>
      </c>
      <c r="C4982" t="s">
        <v>158</v>
      </c>
      <c r="D4982" t="s">
        <v>287</v>
      </c>
      <c r="E4982" t="s">
        <v>416</v>
      </c>
      <c r="F4982">
        <f>HYPERLINK("https://www.wikidata.org/wiki/Q33756209", "Q33756209")</f>
        <v>0</v>
      </c>
      <c r="G4982" t="s">
        <v>3018</v>
      </c>
      <c r="H4982" t="s">
        <v>7475</v>
      </c>
      <c r="I4982" t="s">
        <v>10579</v>
      </c>
      <c r="J4982" t="s">
        <v>13646</v>
      </c>
      <c r="K4982" t="s">
        <v>18030</v>
      </c>
      <c r="L4982">
        <f>HYPERLINK("https://www2.assemblee-nationale.fr/sycomore/fiche/(num_dept)/1978", "1978")</f>
        <v>0</v>
      </c>
      <c r="N4982">
        <f>HYPERLINK("https://www.wikidata.org/wiki/Q3588430", "Q3588430")</f>
        <v>0</v>
      </c>
      <c r="O4982" t="s">
        <v>19979</v>
      </c>
      <c r="P4982" t="s">
        <v>20459</v>
      </c>
      <c r="Q4982" t="s">
        <v>20701</v>
      </c>
      <c r="R4982" t="s">
        <v>21493</v>
      </c>
      <c r="S4982">
        <v>1457</v>
      </c>
    </row>
    <row r="4983" spans="1:19">
      <c r="A4983" t="s">
        <v>26</v>
      </c>
      <c r="B4983" t="s">
        <v>148</v>
      </c>
      <c r="C4983" t="s">
        <v>158</v>
      </c>
      <c r="D4983" t="s">
        <v>287</v>
      </c>
      <c r="E4983" t="s">
        <v>416</v>
      </c>
      <c r="F4983">
        <f>HYPERLINK("https://www.wikidata.org/wiki/Q33756209", "Q33756209")</f>
        <v>0</v>
      </c>
      <c r="G4983" t="s">
        <v>3240</v>
      </c>
      <c r="H4983" t="s">
        <v>7664</v>
      </c>
      <c r="I4983" t="s">
        <v>9506</v>
      </c>
      <c r="J4983" t="s">
        <v>13858</v>
      </c>
      <c r="K4983" t="s">
        <v>18230</v>
      </c>
      <c r="L4983">
        <f>HYPERLINK("https://www2.assemblee-nationale.fr/sycomore/fiche/(num_dept)/2042", "2042")</f>
        <v>0</v>
      </c>
      <c r="N4983">
        <f>HYPERLINK("https://www.wikidata.org/wiki/Q16025496", "Q16025496")</f>
        <v>0</v>
      </c>
      <c r="O4983" t="s">
        <v>19979</v>
      </c>
      <c r="P4983" t="s">
        <v>20401</v>
      </c>
      <c r="Q4983" t="s">
        <v>20701</v>
      </c>
      <c r="R4983" t="s">
        <v>21493</v>
      </c>
      <c r="S4983">
        <v>1457</v>
      </c>
    </row>
    <row r="4984" spans="1:19">
      <c r="A4984" t="s">
        <v>26</v>
      </c>
      <c r="B4984" t="s">
        <v>148</v>
      </c>
      <c r="C4984" t="s">
        <v>158</v>
      </c>
      <c r="D4984" t="s">
        <v>287</v>
      </c>
      <c r="E4984" t="s">
        <v>416</v>
      </c>
      <c r="F4984">
        <f>HYPERLINK("https://www.wikidata.org/wiki/Q33756209", "Q33756209")</f>
        <v>0</v>
      </c>
      <c r="G4984" t="s">
        <v>3241</v>
      </c>
      <c r="H4984" t="s">
        <v>7665</v>
      </c>
      <c r="I4984" t="s">
        <v>10726</v>
      </c>
      <c r="J4984" t="s">
        <v>13859</v>
      </c>
      <c r="K4984" t="s">
        <v>18231</v>
      </c>
      <c r="L4984">
        <f>HYPERLINK("https://www2.assemblee-nationale.fr/sycomore/fiche/(num_dept)/2063", "2063")</f>
        <v>0</v>
      </c>
      <c r="M4984">
        <f>HYPERLINK("https://www.senat.fr/senateur-3eme-republique/cremieux_fernand0821r3.html", "cremieux_fernand0821r3")</f>
        <v>0</v>
      </c>
      <c r="N4984">
        <f>HYPERLINK("https://www.wikidata.org/wiki/Q1406493", "Q1406493")</f>
        <v>0</v>
      </c>
      <c r="O4984" t="s">
        <v>20014</v>
      </c>
      <c r="P4984" t="s">
        <v>20401</v>
      </c>
      <c r="Q4984" t="s">
        <v>20701</v>
      </c>
      <c r="R4984" t="s">
        <v>21493</v>
      </c>
      <c r="S4984">
        <v>1457</v>
      </c>
    </row>
    <row r="4985" spans="1:19">
      <c r="A4985" t="s">
        <v>26</v>
      </c>
      <c r="B4985" t="s">
        <v>148</v>
      </c>
      <c r="C4985" t="s">
        <v>158</v>
      </c>
      <c r="D4985" t="s">
        <v>287</v>
      </c>
      <c r="E4985" t="s">
        <v>416</v>
      </c>
      <c r="F4985">
        <f>HYPERLINK("https://www.wikidata.org/wiki/Q33756209", "Q33756209")</f>
        <v>0</v>
      </c>
      <c r="G4985" t="s">
        <v>3242</v>
      </c>
      <c r="H4985" t="s">
        <v>7666</v>
      </c>
      <c r="I4985" t="s">
        <v>10727</v>
      </c>
      <c r="J4985" t="s">
        <v>13860</v>
      </c>
      <c r="K4985" t="s">
        <v>16223</v>
      </c>
      <c r="L4985">
        <f>HYPERLINK("https://www2.assemblee-nationale.fr/sycomore/fiche/(num_dept)/2309", "2309")</f>
        <v>0</v>
      </c>
      <c r="M4985">
        <f>HYPERLINK("https://www.senat.fr/senateur-3eme-republique/dellestable_antoine0462r3.html", "dellestable_antoine0462r3")</f>
        <v>0</v>
      </c>
      <c r="N4985">
        <f>HYPERLINK("https://www.wikidata.org/wiki/Q2853848", "Q2853848")</f>
        <v>0</v>
      </c>
      <c r="O4985" t="s">
        <v>20020</v>
      </c>
      <c r="P4985" t="s">
        <v>20401</v>
      </c>
      <c r="Q4985" t="s">
        <v>20701</v>
      </c>
      <c r="R4985" t="s">
        <v>21493</v>
      </c>
      <c r="S4985">
        <v>1457</v>
      </c>
    </row>
    <row r="4986" spans="1:19">
      <c r="A4986" t="s">
        <v>26</v>
      </c>
      <c r="B4986" t="s">
        <v>148</v>
      </c>
      <c r="C4986" t="s">
        <v>158</v>
      </c>
      <c r="D4986" t="s">
        <v>287</v>
      </c>
      <c r="E4986" t="s">
        <v>416</v>
      </c>
      <c r="F4986">
        <f>HYPERLINK("https://www.wikidata.org/wiki/Q33756209", "Q33756209")</f>
        <v>0</v>
      </c>
      <c r="G4986" t="s">
        <v>3243</v>
      </c>
      <c r="H4986" t="s">
        <v>5371</v>
      </c>
      <c r="I4986" t="s">
        <v>10728</v>
      </c>
      <c r="J4986" t="s">
        <v>13861</v>
      </c>
      <c r="K4986" t="s">
        <v>18232</v>
      </c>
      <c r="L4986">
        <f>HYPERLINK("https://www2.assemblee-nationale.fr/sycomore/fiche/(num_dept)/2313", "2313")</f>
        <v>0</v>
      </c>
      <c r="N4986">
        <f>HYPERLINK("https://www.wikidata.org/wiki/Q16025556", "Q16025556")</f>
        <v>0</v>
      </c>
      <c r="O4986" t="s">
        <v>20037</v>
      </c>
      <c r="P4986" t="s">
        <v>20403</v>
      </c>
      <c r="Q4986" t="s">
        <v>20701</v>
      </c>
      <c r="R4986" t="s">
        <v>21493</v>
      </c>
      <c r="S4986">
        <v>1457</v>
      </c>
    </row>
    <row r="4987" spans="1:19">
      <c r="A4987" t="s">
        <v>26</v>
      </c>
      <c r="B4987" t="s">
        <v>148</v>
      </c>
      <c r="C4987" t="s">
        <v>158</v>
      </c>
      <c r="D4987" t="s">
        <v>287</v>
      </c>
      <c r="E4987" t="s">
        <v>416</v>
      </c>
      <c r="F4987">
        <f>HYPERLINK("https://www.wikidata.org/wiki/Q33756209", "Q33756209")</f>
        <v>0</v>
      </c>
      <c r="G4987" t="s">
        <v>2551</v>
      </c>
      <c r="H4987" t="s">
        <v>7110</v>
      </c>
      <c r="I4987" t="s">
        <v>9465</v>
      </c>
      <c r="J4987" t="s">
        <v>13195</v>
      </c>
      <c r="K4987" t="s">
        <v>17600</v>
      </c>
      <c r="L4987">
        <f>HYPERLINK("https://www2.assemblee-nationale.fr/sycomore/fiche/(num_dept)/2369", "2369")</f>
        <v>0</v>
      </c>
      <c r="N4987">
        <f>HYPERLINK("https://www.wikidata.org/wiki/Q3059819", "Q3059819")</f>
        <v>0</v>
      </c>
      <c r="O4987" t="s">
        <v>20039</v>
      </c>
      <c r="P4987" t="s">
        <v>20459</v>
      </c>
      <c r="Q4987" t="s">
        <v>20701</v>
      </c>
      <c r="R4987" t="s">
        <v>21493</v>
      </c>
      <c r="S4987">
        <v>1457</v>
      </c>
    </row>
    <row r="4988" spans="1:19">
      <c r="A4988" t="s">
        <v>26</v>
      </c>
      <c r="B4988" t="s">
        <v>148</v>
      </c>
      <c r="C4988" t="s">
        <v>158</v>
      </c>
      <c r="D4988" t="s">
        <v>287</v>
      </c>
      <c r="E4988" t="s">
        <v>416</v>
      </c>
      <c r="F4988">
        <f>HYPERLINK("https://www.wikidata.org/wiki/Q33756209", "Q33756209")</f>
        <v>0</v>
      </c>
      <c r="G4988" t="s">
        <v>3029</v>
      </c>
      <c r="H4988" t="s">
        <v>7486</v>
      </c>
      <c r="I4988" t="s">
        <v>6495</v>
      </c>
      <c r="J4988" t="s">
        <v>13657</v>
      </c>
      <c r="K4988" t="s">
        <v>18040</v>
      </c>
      <c r="L4988">
        <f>HYPERLINK("https://www2.assemblee-nationale.fr/sycomore/fiche/(num_dept)/2398", "2398")</f>
        <v>0</v>
      </c>
      <c r="N4988">
        <f>HYPERLINK("https://www.wikidata.org/wiki/Q3056924", "Q3056924")</f>
        <v>0</v>
      </c>
      <c r="O4988" t="s">
        <v>20035</v>
      </c>
      <c r="P4988" t="s">
        <v>20459</v>
      </c>
      <c r="Q4988" t="s">
        <v>20701</v>
      </c>
      <c r="R4988" t="s">
        <v>21493</v>
      </c>
      <c r="S4988">
        <v>1457</v>
      </c>
    </row>
    <row r="4989" spans="1:19">
      <c r="A4989" t="s">
        <v>26</v>
      </c>
      <c r="B4989" t="s">
        <v>148</v>
      </c>
      <c r="C4989" t="s">
        <v>158</v>
      </c>
      <c r="D4989" t="s">
        <v>287</v>
      </c>
      <c r="E4989" t="s">
        <v>416</v>
      </c>
      <c r="F4989">
        <f>HYPERLINK("https://www.wikidata.org/wiki/Q33756209", "Q33756209")</f>
        <v>0</v>
      </c>
      <c r="G4989" t="s">
        <v>2950</v>
      </c>
      <c r="H4989" t="s">
        <v>7424</v>
      </c>
      <c r="I4989" t="s">
        <v>9612</v>
      </c>
      <c r="J4989" t="s">
        <v>13583</v>
      </c>
      <c r="K4989" t="s">
        <v>17968</v>
      </c>
      <c r="L4989">
        <f>HYPERLINK("https://www2.assemblee-nationale.fr/sycomore/fiche/(num_dept)/2445", "2445")</f>
        <v>0</v>
      </c>
      <c r="M4989">
        <f>HYPERLINK("https://www.senat.fr/senateur-3eme-republique/desmons_frederic0832r3.html", "desmons_frederic0832r3")</f>
        <v>0</v>
      </c>
      <c r="N4989">
        <f>HYPERLINK("https://www.wikidata.org/wiki/Q346783", "Q346783")</f>
        <v>0</v>
      </c>
      <c r="O4989" t="s">
        <v>20014</v>
      </c>
      <c r="P4989" t="s">
        <v>20401</v>
      </c>
      <c r="Q4989" t="s">
        <v>20701</v>
      </c>
      <c r="R4989" t="s">
        <v>21493</v>
      </c>
      <c r="S4989">
        <v>1457</v>
      </c>
    </row>
    <row r="4990" spans="1:19">
      <c r="A4990" t="s">
        <v>26</v>
      </c>
      <c r="B4990" t="s">
        <v>148</v>
      </c>
      <c r="C4990" t="s">
        <v>158</v>
      </c>
      <c r="D4990" t="s">
        <v>287</v>
      </c>
      <c r="E4990" t="s">
        <v>416</v>
      </c>
      <c r="F4990">
        <f>HYPERLINK("https://www.wikidata.org/wiki/Q33756209", "Q33756209")</f>
        <v>0</v>
      </c>
      <c r="G4990" t="s">
        <v>2553</v>
      </c>
      <c r="H4990" t="s">
        <v>7112</v>
      </c>
      <c r="I4990" t="s">
        <v>9553</v>
      </c>
      <c r="J4990" t="s">
        <v>13197</v>
      </c>
      <c r="K4990" t="s">
        <v>17602</v>
      </c>
      <c r="L4990">
        <f>HYPERLINK("https://www2.assemblee-nationale.fr/sycomore/fiche/(num_dept)/2463", "2463")</f>
        <v>0</v>
      </c>
      <c r="M4990">
        <f>HYPERLINK("https://www.senat.fr/senateur-3eme-republique/dethou_alexandre1848r3.html", "dethou_alexandre1848r3")</f>
        <v>0</v>
      </c>
      <c r="N4990">
        <f>HYPERLINK("https://www.wikidata.org/wiki/Q2833598", "Q2833598")</f>
        <v>0</v>
      </c>
      <c r="O4990" t="s">
        <v>20034</v>
      </c>
      <c r="P4990" t="s">
        <v>20401</v>
      </c>
      <c r="Q4990" t="s">
        <v>20701</v>
      </c>
      <c r="R4990" t="s">
        <v>21493</v>
      </c>
      <c r="S4990">
        <v>1457</v>
      </c>
    </row>
    <row r="4991" spans="1:19">
      <c r="A4991" t="s">
        <v>26</v>
      </c>
      <c r="B4991" t="s">
        <v>148</v>
      </c>
      <c r="C4991" t="s">
        <v>158</v>
      </c>
      <c r="D4991" t="s">
        <v>287</v>
      </c>
      <c r="E4991" t="s">
        <v>416</v>
      </c>
      <c r="F4991">
        <f>HYPERLINK("https://www.wikidata.org/wiki/Q33756209", "Q33756209")</f>
        <v>0</v>
      </c>
      <c r="G4991" t="s">
        <v>2554</v>
      </c>
      <c r="H4991" t="s">
        <v>7113</v>
      </c>
      <c r="I4991" t="s">
        <v>9449</v>
      </c>
      <c r="J4991" t="s">
        <v>13198</v>
      </c>
      <c r="K4991" t="s">
        <v>17603</v>
      </c>
      <c r="L4991">
        <f>HYPERLINK("https://www2.assemblee-nationale.fr/sycomore/fiche/(num_dept)/2474", "2474")</f>
        <v>0</v>
      </c>
      <c r="M4991">
        <f>HYPERLINK("https://www.senat.fr/senateur-3eme-republique/develle_jules1013r3.html", "develle_jules1013r3")</f>
        <v>0</v>
      </c>
      <c r="N4991">
        <f>HYPERLINK("https://www.wikidata.org/wiki/Q939193", "Q939193")</f>
        <v>0</v>
      </c>
      <c r="O4991" t="s">
        <v>20030</v>
      </c>
      <c r="P4991" t="s">
        <v>20459</v>
      </c>
      <c r="Q4991" t="s">
        <v>20701</v>
      </c>
      <c r="R4991" t="s">
        <v>21493</v>
      </c>
      <c r="S4991">
        <v>1457</v>
      </c>
    </row>
    <row r="4992" spans="1:19">
      <c r="A4992" t="s">
        <v>26</v>
      </c>
      <c r="B4992" t="s">
        <v>148</v>
      </c>
      <c r="C4992" t="s">
        <v>158</v>
      </c>
      <c r="D4992" t="s">
        <v>287</v>
      </c>
      <c r="E4992" t="s">
        <v>416</v>
      </c>
      <c r="F4992">
        <f>HYPERLINK("https://www.wikidata.org/wiki/Q33756209", "Q33756209")</f>
        <v>0</v>
      </c>
      <c r="G4992" t="s">
        <v>3244</v>
      </c>
      <c r="H4992" t="s">
        <v>7397</v>
      </c>
      <c r="I4992" t="s">
        <v>9506</v>
      </c>
      <c r="J4992" t="s">
        <v>13862</v>
      </c>
      <c r="K4992" t="s">
        <v>18233</v>
      </c>
      <c r="L4992">
        <f>HYPERLINK("https://www2.assemblee-nationale.fr/sycomore/fiche/(num_dept)/2587", "2587")</f>
        <v>0</v>
      </c>
      <c r="N4992">
        <f>HYPERLINK("https://www.wikidata.org/wiki/Q3068492", "Q3068492")</f>
        <v>0</v>
      </c>
      <c r="O4992" t="s">
        <v>19969</v>
      </c>
      <c r="P4992" t="s">
        <v>20456</v>
      </c>
      <c r="Q4992" t="s">
        <v>20701</v>
      </c>
      <c r="R4992" t="s">
        <v>21493</v>
      </c>
      <c r="S4992">
        <v>1457</v>
      </c>
    </row>
    <row r="4993" spans="1:19">
      <c r="A4993" t="s">
        <v>26</v>
      </c>
      <c r="B4993" t="s">
        <v>148</v>
      </c>
      <c r="C4993" t="s">
        <v>158</v>
      </c>
      <c r="D4993" t="s">
        <v>287</v>
      </c>
      <c r="E4993" t="s">
        <v>416</v>
      </c>
      <c r="F4993">
        <f>HYPERLINK("https://www.wikidata.org/wiki/Q33756209", "Q33756209")</f>
        <v>0</v>
      </c>
      <c r="G4993" t="s">
        <v>2560</v>
      </c>
      <c r="H4993" t="s">
        <v>7118</v>
      </c>
      <c r="I4993" t="s">
        <v>9474</v>
      </c>
      <c r="J4993" t="s">
        <v>13204</v>
      </c>
      <c r="K4993" t="s">
        <v>17608</v>
      </c>
      <c r="L4993">
        <f>HYPERLINK("https://www2.assemblee-nationale.fr/sycomore/fiche/(num_dept)/2643", "2643")</f>
        <v>0</v>
      </c>
      <c r="N4993">
        <f>HYPERLINK("https://www.wikidata.org/wiki/Q3164037", "Q3164037")</f>
        <v>0</v>
      </c>
      <c r="O4993" t="s">
        <v>20005</v>
      </c>
      <c r="P4993" t="s">
        <v>20459</v>
      </c>
      <c r="Q4993" t="s">
        <v>20701</v>
      </c>
      <c r="R4993" t="s">
        <v>21493</v>
      </c>
      <c r="S4993">
        <v>1457</v>
      </c>
    </row>
    <row r="4994" spans="1:19">
      <c r="A4994" t="s">
        <v>26</v>
      </c>
      <c r="B4994" t="s">
        <v>148</v>
      </c>
      <c r="C4994" t="s">
        <v>158</v>
      </c>
      <c r="D4994" t="s">
        <v>287</v>
      </c>
      <c r="E4994" t="s">
        <v>416</v>
      </c>
      <c r="F4994">
        <f>HYPERLINK("https://www.wikidata.org/wiki/Q33756209", "Q33756209")</f>
        <v>0</v>
      </c>
      <c r="G4994" t="s">
        <v>3245</v>
      </c>
      <c r="H4994" t="s">
        <v>7667</v>
      </c>
      <c r="I4994" t="s">
        <v>10729</v>
      </c>
      <c r="J4994" t="s">
        <v>13863</v>
      </c>
      <c r="K4994" t="s">
        <v>18234</v>
      </c>
      <c r="L4994">
        <f>HYPERLINK("https://www2.assemblee-nationale.fr/sycomore/fiche/(num_dept)/2645", "2645")</f>
        <v>0</v>
      </c>
      <c r="N4994">
        <f>HYPERLINK("https://www.wikidata.org/wiki/Q16025620", "Q16025620")</f>
        <v>0</v>
      </c>
      <c r="O4994" t="s">
        <v>20037</v>
      </c>
      <c r="P4994" t="s">
        <v>20458</v>
      </c>
      <c r="Q4994" t="s">
        <v>20701</v>
      </c>
      <c r="R4994" t="s">
        <v>21493</v>
      </c>
      <c r="S4994">
        <v>1457</v>
      </c>
    </row>
    <row r="4995" spans="1:19">
      <c r="A4995" t="s">
        <v>26</v>
      </c>
      <c r="B4995" t="s">
        <v>148</v>
      </c>
      <c r="C4995" t="s">
        <v>158</v>
      </c>
      <c r="D4995" t="s">
        <v>287</v>
      </c>
      <c r="E4995" t="s">
        <v>416</v>
      </c>
      <c r="F4995">
        <f>HYPERLINK("https://www.wikidata.org/wiki/Q33756209", "Q33756209")</f>
        <v>0</v>
      </c>
      <c r="G4995" t="s">
        <v>3246</v>
      </c>
      <c r="H4995" t="s">
        <v>7668</v>
      </c>
      <c r="I4995" t="s">
        <v>10730</v>
      </c>
      <c r="J4995" t="s">
        <v>13864</v>
      </c>
      <c r="K4995" t="s">
        <v>385</v>
      </c>
      <c r="L4995">
        <f>HYPERLINK("https://www2.assemblee-nationale.fr/sycomore/fiche/(num_dept)/2681", "2681")</f>
        <v>0</v>
      </c>
      <c r="N4995">
        <f>HYPERLINK("https://www.wikidata.org/wiki/Q3130409", "Q3130409")</f>
        <v>0</v>
      </c>
      <c r="O4995" t="s">
        <v>19957</v>
      </c>
      <c r="P4995" t="s">
        <v>20460</v>
      </c>
      <c r="Q4995" t="s">
        <v>20701</v>
      </c>
      <c r="R4995" t="s">
        <v>21493</v>
      </c>
      <c r="S4995">
        <v>1457</v>
      </c>
    </row>
    <row r="4996" spans="1:19">
      <c r="A4996" t="s">
        <v>26</v>
      </c>
      <c r="B4996" t="s">
        <v>148</v>
      </c>
      <c r="C4996" t="s">
        <v>158</v>
      </c>
      <c r="D4996" t="s">
        <v>287</v>
      </c>
      <c r="E4996" t="s">
        <v>416</v>
      </c>
      <c r="F4996">
        <f>HYPERLINK("https://www.wikidata.org/wiki/Q33756209", "Q33756209")</f>
        <v>0</v>
      </c>
      <c r="G4996" t="s">
        <v>2951</v>
      </c>
      <c r="H4996" t="s">
        <v>7425</v>
      </c>
      <c r="I4996" t="s">
        <v>7790</v>
      </c>
      <c r="J4996" t="s">
        <v>13584</v>
      </c>
      <c r="K4996" t="s">
        <v>17969</v>
      </c>
      <c r="L4996">
        <f>HYPERLINK("https://www2.assemblee-nationale.fr/sycomore/fiche/(num_dept)/2724", "2724")</f>
        <v>0</v>
      </c>
      <c r="N4996">
        <f>HYPERLINK("https://www.wikidata.org/wiki/Q2861835", "Q2861835")</f>
        <v>0</v>
      </c>
      <c r="O4996" t="s">
        <v>20016</v>
      </c>
      <c r="Q4996" t="s">
        <v>20701</v>
      </c>
      <c r="R4996" t="s">
        <v>17969</v>
      </c>
      <c r="S4996">
        <v>471</v>
      </c>
    </row>
    <row r="4997" spans="1:19">
      <c r="A4997" t="s">
        <v>26</v>
      </c>
      <c r="B4997" t="s">
        <v>148</v>
      </c>
      <c r="C4997" t="s">
        <v>158</v>
      </c>
      <c r="D4997" t="s">
        <v>287</v>
      </c>
      <c r="E4997" t="s">
        <v>416</v>
      </c>
      <c r="F4997">
        <f>HYPERLINK("https://www.wikidata.org/wiki/Q33756209", "Q33756209")</f>
        <v>0</v>
      </c>
      <c r="G4997" t="s">
        <v>3247</v>
      </c>
      <c r="H4997" t="s">
        <v>5387</v>
      </c>
      <c r="I4997" t="s">
        <v>10731</v>
      </c>
      <c r="J4997" t="s">
        <v>13865</v>
      </c>
      <c r="K4997" t="s">
        <v>18235</v>
      </c>
      <c r="L4997">
        <f>HYPERLINK("https://www2.assemblee-nationale.fr/sycomore/fiche/(num_dept)/2736", "2736")</f>
        <v>0</v>
      </c>
      <c r="N4997">
        <f>HYPERLINK("https://www.wikidata.org/wiki/Q16025652", "Q16025652")</f>
        <v>0</v>
      </c>
      <c r="O4997" t="s">
        <v>20015</v>
      </c>
      <c r="Q4997" t="s">
        <v>20701</v>
      </c>
      <c r="R4997" t="s">
        <v>21493</v>
      </c>
      <c r="S4997">
        <v>1457</v>
      </c>
    </row>
    <row r="4998" spans="1:19">
      <c r="A4998" t="s">
        <v>26</v>
      </c>
      <c r="B4998" t="s">
        <v>148</v>
      </c>
      <c r="C4998" t="s">
        <v>158</v>
      </c>
      <c r="D4998" t="s">
        <v>287</v>
      </c>
      <c r="E4998" t="s">
        <v>416</v>
      </c>
      <c r="F4998">
        <f>HYPERLINK("https://www.wikidata.org/wiki/Q33756209", "Q33756209")</f>
        <v>0</v>
      </c>
      <c r="G4998" t="s">
        <v>2952</v>
      </c>
      <c r="H4998" t="s">
        <v>7426</v>
      </c>
      <c r="I4998" t="s">
        <v>10541</v>
      </c>
      <c r="J4998" t="s">
        <v>13585</v>
      </c>
      <c r="K4998" t="s">
        <v>17970</v>
      </c>
      <c r="L4998">
        <f>HYPERLINK("https://www2.assemblee-nationale.fr/sycomore/fiche/(num_dept)/2769", "2769")</f>
        <v>0</v>
      </c>
      <c r="N4998">
        <f>HYPERLINK("https://www.wikidata.org/wiki/Q2958978", "Q2958978")</f>
        <v>0</v>
      </c>
      <c r="O4998" t="s">
        <v>19963</v>
      </c>
      <c r="P4998" t="s">
        <v>20459</v>
      </c>
      <c r="Q4998" t="s">
        <v>20701</v>
      </c>
      <c r="R4998" t="s">
        <v>21493</v>
      </c>
      <c r="S4998">
        <v>1457</v>
      </c>
    </row>
    <row r="4999" spans="1:19">
      <c r="A4999" t="s">
        <v>26</v>
      </c>
      <c r="B4999" t="s">
        <v>148</v>
      </c>
      <c r="C4999" t="s">
        <v>158</v>
      </c>
      <c r="D4999" t="s">
        <v>287</v>
      </c>
      <c r="E4999" t="s">
        <v>416</v>
      </c>
      <c r="F4999">
        <f>HYPERLINK("https://www.wikidata.org/wiki/Q33756209", "Q33756209")</f>
        <v>0</v>
      </c>
      <c r="G4999" t="s">
        <v>2568</v>
      </c>
      <c r="H4999" t="s">
        <v>7125</v>
      </c>
      <c r="I4999" t="s">
        <v>10289</v>
      </c>
      <c r="J4999" t="s">
        <v>13212</v>
      </c>
      <c r="K4999" t="s">
        <v>17615</v>
      </c>
      <c r="L4999">
        <f>HYPERLINK("https://www2.assemblee-nationale.fr/sycomore/fiche/(num_dept)/2839", "2839")</f>
        <v>0</v>
      </c>
      <c r="N4999">
        <f>HYPERLINK("https://www.wikidata.org/wiki/Q3059850", "Q3059850")</f>
        <v>0</v>
      </c>
      <c r="O4999" t="s">
        <v>20037</v>
      </c>
      <c r="P4999" t="s">
        <v>20460</v>
      </c>
      <c r="Q4999" t="s">
        <v>20701</v>
      </c>
      <c r="R4999" t="s">
        <v>21493</v>
      </c>
      <c r="S4999">
        <v>1457</v>
      </c>
    </row>
    <row r="5000" spans="1:19">
      <c r="A5000" t="s">
        <v>26</v>
      </c>
      <c r="B5000" t="s">
        <v>148</v>
      </c>
      <c r="C5000" t="s">
        <v>158</v>
      </c>
      <c r="D5000" t="s">
        <v>287</v>
      </c>
      <c r="E5000" t="s">
        <v>416</v>
      </c>
      <c r="F5000">
        <f>HYPERLINK("https://www.wikidata.org/wiki/Q33756209", "Q33756209")</f>
        <v>0</v>
      </c>
      <c r="G5000" t="s">
        <v>3248</v>
      </c>
      <c r="H5000" t="s">
        <v>7669</v>
      </c>
      <c r="I5000" t="s">
        <v>10732</v>
      </c>
      <c r="J5000" t="s">
        <v>13866</v>
      </c>
      <c r="K5000" t="s">
        <v>18236</v>
      </c>
      <c r="L5000">
        <f>HYPERLINK("https://www2.assemblee-nationale.fr/sycomore/fiche/(num_dept)/2855", "2855")</f>
        <v>0</v>
      </c>
      <c r="N5000">
        <f>HYPERLINK("https://www.wikidata.org/wiki/Q15969530", "Q15969530")</f>
        <v>0</v>
      </c>
      <c r="O5000" t="s">
        <v>20012</v>
      </c>
      <c r="P5000" t="s">
        <v>20460</v>
      </c>
      <c r="Q5000" t="s">
        <v>20701</v>
      </c>
      <c r="R5000" t="s">
        <v>21493</v>
      </c>
      <c r="S5000">
        <v>1457</v>
      </c>
    </row>
    <row r="5001" spans="1:19">
      <c r="A5001" t="s">
        <v>26</v>
      </c>
      <c r="B5001" t="s">
        <v>148</v>
      </c>
      <c r="C5001" t="s">
        <v>158</v>
      </c>
      <c r="D5001" t="s">
        <v>287</v>
      </c>
      <c r="E5001" t="s">
        <v>416</v>
      </c>
      <c r="F5001">
        <f>HYPERLINK("https://www.wikidata.org/wiki/Q33756209", "Q33756209")</f>
        <v>0</v>
      </c>
      <c r="G5001" t="s">
        <v>635</v>
      </c>
      <c r="H5001" t="s">
        <v>5394</v>
      </c>
      <c r="I5001" t="s">
        <v>9465</v>
      </c>
      <c r="J5001" t="s">
        <v>11385</v>
      </c>
      <c r="K5001" t="s">
        <v>15787</v>
      </c>
      <c r="L5001">
        <f>HYPERLINK("https://www2.assemblee-nationale.fr/sycomore/fiche/(num_dept)/2861", "2861")</f>
        <v>0</v>
      </c>
      <c r="M5001">
        <f>HYPERLINK("https://www.senat.fr/senateur-3eme-republique/etienne_eugene1824r3.html", "etienne_eugene1824r3")</f>
        <v>0</v>
      </c>
      <c r="N5001">
        <f>HYPERLINK("https://www.wikidata.org/wiki/Q2612305", "Q2612305")</f>
        <v>0</v>
      </c>
      <c r="O5001" t="s">
        <v>20000</v>
      </c>
      <c r="Q5001" t="s">
        <v>20701</v>
      </c>
      <c r="R5001" t="s">
        <v>21493</v>
      </c>
      <c r="S5001">
        <v>1457</v>
      </c>
    </row>
    <row r="5002" spans="1:19">
      <c r="A5002" t="s">
        <v>26</v>
      </c>
      <c r="B5002" t="s">
        <v>148</v>
      </c>
      <c r="C5002" t="s">
        <v>158</v>
      </c>
      <c r="D5002" t="s">
        <v>287</v>
      </c>
      <c r="E5002" t="s">
        <v>416</v>
      </c>
      <c r="F5002">
        <f>HYPERLINK("https://www.wikidata.org/wiki/Q33756209", "Q33756209")</f>
        <v>0</v>
      </c>
      <c r="G5002" t="s">
        <v>3249</v>
      </c>
      <c r="H5002" t="s">
        <v>7670</v>
      </c>
      <c r="I5002" t="s">
        <v>9474</v>
      </c>
      <c r="J5002" t="s">
        <v>13867</v>
      </c>
      <c r="K5002" t="s">
        <v>18237</v>
      </c>
      <c r="L5002">
        <f>HYPERLINK("https://www2.assemblee-nationale.fr/sycomore/fiche/(num_dept)/2890", "2890")</f>
        <v>0</v>
      </c>
      <c r="N5002">
        <f>HYPERLINK("https://www.wikidata.org/wiki/Q3164079", "Q3164079")</f>
        <v>0</v>
      </c>
      <c r="O5002" t="s">
        <v>19959</v>
      </c>
      <c r="Q5002" t="s">
        <v>20701</v>
      </c>
      <c r="R5002" t="s">
        <v>21493</v>
      </c>
      <c r="S5002">
        <v>1457</v>
      </c>
    </row>
    <row r="5003" spans="1:19">
      <c r="A5003" t="s">
        <v>26</v>
      </c>
      <c r="B5003" t="s">
        <v>148</v>
      </c>
      <c r="C5003" t="s">
        <v>158</v>
      </c>
      <c r="D5003" t="s">
        <v>287</v>
      </c>
      <c r="E5003" t="s">
        <v>416</v>
      </c>
      <c r="F5003">
        <f>HYPERLINK("https://www.wikidata.org/wiki/Q33756209", "Q33756209")</f>
        <v>0</v>
      </c>
      <c r="G5003" t="s">
        <v>2572</v>
      </c>
      <c r="H5003" t="s">
        <v>7128</v>
      </c>
      <c r="I5003" t="s">
        <v>10291</v>
      </c>
      <c r="J5003" t="s">
        <v>13216</v>
      </c>
      <c r="K5003" t="s">
        <v>17619</v>
      </c>
      <c r="L5003">
        <f>HYPERLINK("https://www2.assemblee-nationale.fr/sycomore/fiche/(num_dept)/2907", "2907")</f>
        <v>0</v>
      </c>
      <c r="N5003">
        <f>HYPERLINK("https://www.wikidata.org/wiki/Q13080866", "Q13080866")</f>
        <v>0</v>
      </c>
      <c r="O5003" t="s">
        <v>19969</v>
      </c>
      <c r="P5003" t="s">
        <v>20401</v>
      </c>
      <c r="Q5003" t="s">
        <v>20701</v>
      </c>
      <c r="R5003" t="s">
        <v>21493</v>
      </c>
      <c r="S5003">
        <v>1457</v>
      </c>
    </row>
    <row r="5004" spans="1:19">
      <c r="A5004" t="s">
        <v>26</v>
      </c>
      <c r="B5004" t="s">
        <v>148</v>
      </c>
      <c r="C5004" t="s">
        <v>158</v>
      </c>
      <c r="D5004" t="s">
        <v>287</v>
      </c>
      <c r="E5004" t="s">
        <v>416</v>
      </c>
      <c r="F5004">
        <f>HYPERLINK("https://www.wikidata.org/wiki/Q33756209", "Q33756209")</f>
        <v>0</v>
      </c>
      <c r="G5004" t="s">
        <v>3250</v>
      </c>
      <c r="H5004" t="s">
        <v>5397</v>
      </c>
      <c r="I5004" t="s">
        <v>9446</v>
      </c>
      <c r="J5004" t="s">
        <v>13868</v>
      </c>
      <c r="K5004" t="s">
        <v>18238</v>
      </c>
      <c r="L5004">
        <f>HYPERLINK("https://www2.assemblee-nationale.fr/sycomore/fiche/(num_dept)/2927", "2927")</f>
        <v>0</v>
      </c>
      <c r="M5004">
        <f>HYPERLINK("https://www.senat.fr/senateur-3eme-republique/faure_fernand0214r3.html", "faure_fernand0214r3")</f>
        <v>0</v>
      </c>
      <c r="N5004">
        <f>HYPERLINK("https://www.wikidata.org/wiki/Q3069150", "Q3069150")</f>
        <v>0</v>
      </c>
      <c r="O5004" t="s">
        <v>19987</v>
      </c>
      <c r="P5004" t="s">
        <v>20459</v>
      </c>
      <c r="Q5004" t="s">
        <v>20701</v>
      </c>
      <c r="R5004" t="s">
        <v>21493</v>
      </c>
      <c r="S5004">
        <v>1457</v>
      </c>
    </row>
    <row r="5005" spans="1:19">
      <c r="A5005" t="s">
        <v>26</v>
      </c>
      <c r="B5005" t="s">
        <v>148</v>
      </c>
      <c r="C5005" t="s">
        <v>158</v>
      </c>
      <c r="D5005" t="s">
        <v>287</v>
      </c>
      <c r="E5005" t="s">
        <v>416</v>
      </c>
      <c r="F5005">
        <f>HYPERLINK("https://www.wikidata.org/wiki/Q33756209", "Q33756209")</f>
        <v>0</v>
      </c>
      <c r="G5005" t="s">
        <v>2575</v>
      </c>
      <c r="H5005" t="s">
        <v>7130</v>
      </c>
      <c r="I5005" t="s">
        <v>10293</v>
      </c>
      <c r="J5005" t="s">
        <v>13219</v>
      </c>
      <c r="K5005" t="s">
        <v>17622</v>
      </c>
      <c r="L5005">
        <f>HYPERLINK("https://www2.assemblee-nationale.fr/sycomore/fiche/(num_dept)/2973", "2973")</f>
        <v>0</v>
      </c>
      <c r="N5005">
        <f>HYPERLINK("https://www.wikidata.org/wiki/Q16025691", "Q16025691")</f>
        <v>0</v>
      </c>
      <c r="O5005" t="s">
        <v>19981</v>
      </c>
      <c r="P5005" t="s">
        <v>20401</v>
      </c>
      <c r="Q5005" t="s">
        <v>20701</v>
      </c>
      <c r="R5005" t="s">
        <v>17622</v>
      </c>
      <c r="S5005">
        <v>357</v>
      </c>
    </row>
    <row r="5006" spans="1:19">
      <c r="A5006" t="s">
        <v>26</v>
      </c>
      <c r="B5006" t="s">
        <v>148</v>
      </c>
      <c r="C5006" t="s">
        <v>158</v>
      </c>
      <c r="D5006" t="s">
        <v>287</v>
      </c>
      <c r="E5006" t="s">
        <v>416</v>
      </c>
      <c r="F5006">
        <f>HYPERLINK("https://www.wikidata.org/wiki/Q33756209", "Q33756209")</f>
        <v>0</v>
      </c>
      <c r="G5006" t="s">
        <v>2578</v>
      </c>
      <c r="H5006" t="s">
        <v>7131</v>
      </c>
      <c r="I5006" t="s">
        <v>9385</v>
      </c>
      <c r="J5006" t="s">
        <v>13222</v>
      </c>
      <c r="K5006" t="s">
        <v>17625</v>
      </c>
      <c r="L5006">
        <f>HYPERLINK("https://www2.assemblee-nationale.fr/sycomore/fiche/(num_dept)/3032", "3032")</f>
        <v>0</v>
      </c>
      <c r="M5006">
        <f>HYPERLINK("https://www.senat.fr/senateur-3eme-republique/floquet_charles1411r3.html", "floquet_charles1411r3")</f>
        <v>0</v>
      </c>
      <c r="N5006">
        <f>HYPERLINK("https://www.wikidata.org/wiki/Q471311", "Q471311")</f>
        <v>0</v>
      </c>
      <c r="O5006" t="s">
        <v>20001</v>
      </c>
      <c r="P5006" t="s">
        <v>20401</v>
      </c>
      <c r="Q5006" t="s">
        <v>20701</v>
      </c>
      <c r="R5006" t="s">
        <v>21493</v>
      </c>
      <c r="S5006">
        <v>1457</v>
      </c>
    </row>
    <row r="5007" spans="1:19">
      <c r="A5007" t="s">
        <v>26</v>
      </c>
      <c r="B5007" t="s">
        <v>148</v>
      </c>
      <c r="C5007" t="s">
        <v>158</v>
      </c>
      <c r="D5007" t="s">
        <v>287</v>
      </c>
      <c r="E5007" t="s">
        <v>416</v>
      </c>
      <c r="F5007">
        <f>HYPERLINK("https://www.wikidata.org/wiki/Q33756209", "Q33756209")</f>
        <v>0</v>
      </c>
      <c r="G5007" t="s">
        <v>2582</v>
      </c>
      <c r="H5007" t="s">
        <v>7134</v>
      </c>
      <c r="I5007" t="s">
        <v>10296</v>
      </c>
      <c r="J5007" t="s">
        <v>13226</v>
      </c>
      <c r="K5007" t="s">
        <v>17629</v>
      </c>
      <c r="L5007">
        <f>HYPERLINK("https://www2.assemblee-nationale.fr/sycomore/fiche/(num_dept)/3141", "3141")</f>
        <v>0</v>
      </c>
      <c r="N5007">
        <f>HYPERLINK("https://www.wikidata.org/wiki/Q13080830", "Q13080830")</f>
        <v>0</v>
      </c>
      <c r="O5007" t="s">
        <v>19969</v>
      </c>
      <c r="P5007" t="s">
        <v>20459</v>
      </c>
      <c r="Q5007" t="s">
        <v>20701</v>
      </c>
      <c r="R5007" t="s">
        <v>21493</v>
      </c>
      <c r="S5007">
        <v>1457</v>
      </c>
    </row>
    <row r="5008" spans="1:19">
      <c r="A5008" t="s">
        <v>26</v>
      </c>
      <c r="B5008" t="s">
        <v>148</v>
      </c>
      <c r="C5008" t="s">
        <v>158</v>
      </c>
      <c r="D5008" t="s">
        <v>287</v>
      </c>
      <c r="E5008" t="s">
        <v>416</v>
      </c>
      <c r="F5008">
        <f>HYPERLINK("https://www.wikidata.org/wiki/Q33756209", "Q33756209")</f>
        <v>0</v>
      </c>
      <c r="G5008" t="s">
        <v>3020</v>
      </c>
      <c r="H5008" t="s">
        <v>7477</v>
      </c>
      <c r="I5008" t="s">
        <v>9449</v>
      </c>
      <c r="J5008" t="s">
        <v>13648</v>
      </c>
      <c r="K5008" t="s">
        <v>18032</v>
      </c>
      <c r="L5008">
        <f>HYPERLINK("https://www2.assemblee-nationale.fr/sycomore/fiche/(num_dept)/3201", "3201")</f>
        <v>0</v>
      </c>
      <c r="N5008">
        <f>HYPERLINK("https://www.wikidata.org/wiki/Q3188602", "Q3188602")</f>
        <v>0</v>
      </c>
      <c r="O5008" t="s">
        <v>20047</v>
      </c>
      <c r="P5008" t="s">
        <v>20456</v>
      </c>
      <c r="Q5008" t="s">
        <v>20701</v>
      </c>
      <c r="R5008" t="s">
        <v>21493</v>
      </c>
      <c r="S5008">
        <v>1457</v>
      </c>
    </row>
    <row r="5009" spans="1:19">
      <c r="A5009" t="s">
        <v>26</v>
      </c>
      <c r="B5009" t="s">
        <v>148</v>
      </c>
      <c r="C5009" t="s">
        <v>158</v>
      </c>
      <c r="D5009" t="s">
        <v>287</v>
      </c>
      <c r="E5009" t="s">
        <v>416</v>
      </c>
      <c r="F5009">
        <f>HYPERLINK("https://www.wikidata.org/wiki/Q33756209", "Q33756209")</f>
        <v>0</v>
      </c>
      <c r="G5009" t="s">
        <v>653</v>
      </c>
      <c r="H5009" t="s">
        <v>5412</v>
      </c>
      <c r="I5009" t="s">
        <v>9470</v>
      </c>
      <c r="J5009" t="s">
        <v>11403</v>
      </c>
      <c r="K5009" t="s">
        <v>15805</v>
      </c>
      <c r="L5009">
        <f>HYPERLINK("https://www2.assemblee-nationale.fr/sycomore/fiche/(num_dept)/3229", "3229")</f>
        <v>0</v>
      </c>
      <c r="N5009">
        <f>HYPERLINK("https://www.wikidata.org/wiki/Q8298734", "Q8298734")</f>
        <v>0</v>
      </c>
      <c r="O5009" t="s">
        <v>19956</v>
      </c>
      <c r="P5009" t="s">
        <v>20464</v>
      </c>
      <c r="Q5009" t="s">
        <v>20701</v>
      </c>
      <c r="R5009" t="s">
        <v>21493</v>
      </c>
      <c r="S5009">
        <v>1457</v>
      </c>
    </row>
    <row r="5010" spans="1:19">
      <c r="A5010" t="s">
        <v>26</v>
      </c>
      <c r="B5010" t="s">
        <v>148</v>
      </c>
      <c r="C5010" t="s">
        <v>158</v>
      </c>
      <c r="D5010" t="s">
        <v>287</v>
      </c>
      <c r="E5010" t="s">
        <v>416</v>
      </c>
      <c r="F5010">
        <f>HYPERLINK("https://www.wikidata.org/wiki/Q33756209", "Q33756209")</f>
        <v>0</v>
      </c>
      <c r="G5010" t="s">
        <v>2587</v>
      </c>
      <c r="H5010" t="s">
        <v>5413</v>
      </c>
      <c r="I5010" t="s">
        <v>9470</v>
      </c>
      <c r="J5010" t="s">
        <v>13231</v>
      </c>
      <c r="K5010" t="s">
        <v>17634</v>
      </c>
      <c r="L5010">
        <f>HYPERLINK("https://www2.assemblee-nationale.fr/sycomore/fiche/(num_dept)/3241", "3241")</f>
        <v>0</v>
      </c>
      <c r="N5010">
        <f>HYPERLINK("https://www.wikidata.org/wiki/Q3099008", "Q3099008")</f>
        <v>0</v>
      </c>
      <c r="O5010" t="s">
        <v>20015</v>
      </c>
      <c r="P5010" t="s">
        <v>20463</v>
      </c>
      <c r="Q5010" t="s">
        <v>20701</v>
      </c>
      <c r="R5010" t="s">
        <v>21493</v>
      </c>
      <c r="S5010">
        <v>1457</v>
      </c>
    </row>
    <row r="5011" spans="1:19">
      <c r="A5011" t="s">
        <v>26</v>
      </c>
      <c r="B5011" t="s">
        <v>148</v>
      </c>
      <c r="C5011" t="s">
        <v>158</v>
      </c>
      <c r="D5011" t="s">
        <v>287</v>
      </c>
      <c r="E5011" t="s">
        <v>416</v>
      </c>
      <c r="F5011">
        <f>HYPERLINK("https://www.wikidata.org/wiki/Q33756209", "Q33756209")</f>
        <v>0</v>
      </c>
      <c r="G5011" t="s">
        <v>2955</v>
      </c>
      <c r="H5011" t="s">
        <v>6171</v>
      </c>
      <c r="I5011" t="s">
        <v>5834</v>
      </c>
      <c r="J5011" t="s">
        <v>13588</v>
      </c>
      <c r="K5011" t="s">
        <v>17973</v>
      </c>
      <c r="L5011">
        <f>HYPERLINK("https://www2.assemblee-nationale.fr/sycomore/fiche/(num_dept)/3315", "3315")</f>
        <v>0</v>
      </c>
      <c r="N5011">
        <f>HYPERLINK("https://www.wikidata.org/wiki/Q3022696", "Q3022696")</f>
        <v>0</v>
      </c>
      <c r="O5011" t="s">
        <v>19955</v>
      </c>
      <c r="Q5011" t="s">
        <v>20701</v>
      </c>
      <c r="R5011" t="s">
        <v>21505</v>
      </c>
      <c r="S5011">
        <v>48</v>
      </c>
    </row>
    <row r="5012" spans="1:19">
      <c r="A5012" t="s">
        <v>26</v>
      </c>
      <c r="B5012" t="s">
        <v>148</v>
      </c>
      <c r="C5012" t="s">
        <v>158</v>
      </c>
      <c r="D5012" t="s">
        <v>287</v>
      </c>
      <c r="E5012" t="s">
        <v>416</v>
      </c>
      <c r="F5012">
        <f>HYPERLINK("https://www.wikidata.org/wiki/Q33756209", "Q33756209")</f>
        <v>0</v>
      </c>
      <c r="G5012" t="s">
        <v>2591</v>
      </c>
      <c r="H5012" t="s">
        <v>7140</v>
      </c>
      <c r="I5012" t="s">
        <v>5349</v>
      </c>
      <c r="J5012" t="s">
        <v>13234</v>
      </c>
      <c r="K5012" t="s">
        <v>17638</v>
      </c>
      <c r="L5012">
        <f>HYPERLINK("https://www2.assemblee-nationale.fr/sycomore/fiche/(num_dept)/3374", "3374")</f>
        <v>0</v>
      </c>
      <c r="N5012">
        <f>HYPERLINK("https://www.wikidata.org/wiki/Q16025768", "Q16025768")</f>
        <v>0</v>
      </c>
      <c r="O5012" t="s">
        <v>20016</v>
      </c>
      <c r="P5012" t="s">
        <v>20403</v>
      </c>
      <c r="Q5012" t="s">
        <v>20701</v>
      </c>
      <c r="R5012" t="s">
        <v>21493</v>
      </c>
      <c r="S5012">
        <v>1457</v>
      </c>
    </row>
    <row r="5013" spans="1:19">
      <c r="A5013" t="s">
        <v>26</v>
      </c>
      <c r="B5013" t="s">
        <v>148</v>
      </c>
      <c r="C5013" t="s">
        <v>158</v>
      </c>
      <c r="D5013" t="s">
        <v>287</v>
      </c>
      <c r="E5013" t="s">
        <v>416</v>
      </c>
      <c r="F5013">
        <f>HYPERLINK("https://www.wikidata.org/wiki/Q33756209", "Q33756209")</f>
        <v>0</v>
      </c>
      <c r="G5013" t="s">
        <v>2957</v>
      </c>
      <c r="H5013" t="s">
        <v>7429</v>
      </c>
      <c r="I5013" t="s">
        <v>10543</v>
      </c>
      <c r="J5013" t="s">
        <v>11365</v>
      </c>
      <c r="K5013" t="s">
        <v>17975</v>
      </c>
      <c r="L5013">
        <f>HYPERLINK("https://www2.assemblee-nationale.fr/sycomore/fiche/(num_dept)/3387", "3387")</f>
        <v>0</v>
      </c>
      <c r="N5013">
        <f>HYPERLINK("https://www.wikidata.org/wiki/Q3099023", "Q3099023")</f>
        <v>0</v>
      </c>
      <c r="O5013" t="s">
        <v>20028</v>
      </c>
      <c r="P5013" t="s">
        <v>20459</v>
      </c>
      <c r="Q5013" t="s">
        <v>20701</v>
      </c>
      <c r="R5013" t="s">
        <v>21493</v>
      </c>
      <c r="S5013">
        <v>1457</v>
      </c>
    </row>
    <row r="5014" spans="1:19">
      <c r="A5014" t="s">
        <v>26</v>
      </c>
      <c r="B5014" t="s">
        <v>148</v>
      </c>
      <c r="C5014" t="s">
        <v>158</v>
      </c>
      <c r="D5014" t="s">
        <v>287</v>
      </c>
      <c r="E5014" t="s">
        <v>416</v>
      </c>
      <c r="F5014">
        <f>HYPERLINK("https://www.wikidata.org/wiki/Q33756209", "Q33756209")</f>
        <v>0</v>
      </c>
      <c r="G5014" t="s">
        <v>3251</v>
      </c>
      <c r="H5014" t="s">
        <v>7671</v>
      </c>
      <c r="I5014" t="s">
        <v>10733</v>
      </c>
      <c r="J5014" t="s">
        <v>13722</v>
      </c>
      <c r="K5014" t="s">
        <v>18239</v>
      </c>
      <c r="L5014">
        <f>HYPERLINK("https://www2.assemblee-nationale.fr/sycomore/fiche/(num_dept)/3406", "3406")</f>
        <v>0</v>
      </c>
      <c r="N5014">
        <f>HYPERLINK("https://www.wikidata.org/wiki/Q16707826", "Q16707826")</f>
        <v>0</v>
      </c>
      <c r="O5014" t="s">
        <v>19987</v>
      </c>
      <c r="P5014" t="s">
        <v>20459</v>
      </c>
      <c r="Q5014" t="s">
        <v>20701</v>
      </c>
      <c r="R5014" t="s">
        <v>21493</v>
      </c>
      <c r="S5014">
        <v>1457</v>
      </c>
    </row>
    <row r="5015" spans="1:19">
      <c r="A5015" t="s">
        <v>26</v>
      </c>
      <c r="B5015" t="s">
        <v>148</v>
      </c>
      <c r="C5015" t="s">
        <v>158</v>
      </c>
      <c r="D5015" t="s">
        <v>287</v>
      </c>
      <c r="E5015" t="s">
        <v>416</v>
      </c>
      <c r="F5015">
        <f>HYPERLINK("https://www.wikidata.org/wiki/Q33756209", "Q33756209")</f>
        <v>0</v>
      </c>
      <c r="G5015" t="s">
        <v>3252</v>
      </c>
      <c r="H5015" t="s">
        <v>7672</v>
      </c>
      <c r="I5015" t="s">
        <v>10734</v>
      </c>
      <c r="J5015" t="s">
        <v>13869</v>
      </c>
      <c r="K5015" t="s">
        <v>18240</v>
      </c>
      <c r="L5015">
        <f>HYPERLINK("https://www2.assemblee-nationale.fr/sycomore/fiche/(num_dept)/3413", "3413")</f>
        <v>0</v>
      </c>
      <c r="N5015">
        <f>HYPERLINK("https://www.wikidata.org/wiki/Q3346264", "Q3346264")</f>
        <v>0</v>
      </c>
      <c r="O5015" t="s">
        <v>20014</v>
      </c>
      <c r="P5015" t="s">
        <v>20456</v>
      </c>
      <c r="Q5015" t="s">
        <v>20701</v>
      </c>
      <c r="R5015" t="s">
        <v>21493</v>
      </c>
      <c r="S5015">
        <v>1457</v>
      </c>
    </row>
    <row r="5016" spans="1:19">
      <c r="A5016" t="s">
        <v>26</v>
      </c>
      <c r="B5016" t="s">
        <v>148</v>
      </c>
      <c r="C5016" t="s">
        <v>158</v>
      </c>
      <c r="D5016" t="s">
        <v>287</v>
      </c>
      <c r="E5016" t="s">
        <v>416</v>
      </c>
      <c r="F5016">
        <f>HYPERLINK("https://www.wikidata.org/wiki/Q33756209", "Q33756209")</f>
        <v>0</v>
      </c>
      <c r="G5016" t="s">
        <v>3253</v>
      </c>
      <c r="H5016" t="s">
        <v>7673</v>
      </c>
      <c r="I5016" t="s">
        <v>9421</v>
      </c>
      <c r="J5016" t="s">
        <v>13870</v>
      </c>
      <c r="K5016" t="s">
        <v>18241</v>
      </c>
      <c r="L5016">
        <f>HYPERLINK("https://www2.assemblee-nationale.fr/sycomore/fiche/(num_dept)/3458", "3458")</f>
        <v>0</v>
      </c>
      <c r="M5016">
        <f>HYPERLINK("https://www.senat.fr/senateur-3eme-republique/gobron_gustave0175r3.html", "gobron_gustave0175r3")</f>
        <v>0</v>
      </c>
      <c r="N5016">
        <f>HYPERLINK("https://www.wikidata.org/wiki/Q3121199", "Q3121199")</f>
        <v>0</v>
      </c>
      <c r="O5016" t="s">
        <v>19959</v>
      </c>
      <c r="P5016" t="s">
        <v>20403</v>
      </c>
      <c r="Q5016" t="s">
        <v>20701</v>
      </c>
      <c r="R5016" t="s">
        <v>21493</v>
      </c>
      <c r="S5016">
        <v>1457</v>
      </c>
    </row>
    <row r="5017" spans="1:19">
      <c r="A5017" t="s">
        <v>26</v>
      </c>
      <c r="B5017" t="s">
        <v>148</v>
      </c>
      <c r="C5017" t="s">
        <v>158</v>
      </c>
      <c r="D5017" t="s">
        <v>287</v>
      </c>
      <c r="E5017" t="s">
        <v>416</v>
      </c>
      <c r="F5017">
        <f>HYPERLINK("https://www.wikidata.org/wiki/Q33756209", "Q33756209")</f>
        <v>0</v>
      </c>
      <c r="G5017" t="s">
        <v>3008</v>
      </c>
      <c r="H5017" t="s">
        <v>7469</v>
      </c>
      <c r="I5017" t="s">
        <v>6158</v>
      </c>
      <c r="J5017" t="s">
        <v>13637</v>
      </c>
      <c r="K5017" t="s">
        <v>18022</v>
      </c>
      <c r="L5017">
        <f>HYPERLINK("https://www2.assemblee-nationale.fr/sycomore/fiche/(num_dept)/3547", "3547")</f>
        <v>0</v>
      </c>
      <c r="N5017">
        <f>HYPERLINK("https://www.wikidata.org/wiki/Q3092454", "Q3092454")</f>
        <v>0</v>
      </c>
      <c r="O5017" t="s">
        <v>19990</v>
      </c>
      <c r="P5017" t="s">
        <v>20401</v>
      </c>
      <c r="Q5017" t="s">
        <v>20701</v>
      </c>
      <c r="R5017" t="s">
        <v>21493</v>
      </c>
      <c r="S5017">
        <v>1457</v>
      </c>
    </row>
    <row r="5018" spans="1:19">
      <c r="A5018" t="s">
        <v>26</v>
      </c>
      <c r="B5018" t="s">
        <v>148</v>
      </c>
      <c r="C5018" t="s">
        <v>158</v>
      </c>
      <c r="D5018" t="s">
        <v>287</v>
      </c>
      <c r="E5018" t="s">
        <v>416</v>
      </c>
      <c r="F5018">
        <f>HYPERLINK("https://www.wikidata.org/wiki/Q33756209", "Q33756209")</f>
        <v>0</v>
      </c>
      <c r="G5018" t="s">
        <v>3254</v>
      </c>
      <c r="H5018" t="s">
        <v>7674</v>
      </c>
      <c r="I5018" t="s">
        <v>6495</v>
      </c>
      <c r="J5018" t="s">
        <v>13871</v>
      </c>
      <c r="K5018" t="s">
        <v>18242</v>
      </c>
      <c r="L5018">
        <f>HYPERLINK("https://www2.assemblee-nationale.fr/sycomore/fiche/(num_dept)/3672", "3672")</f>
        <v>0</v>
      </c>
      <c r="N5018">
        <f>HYPERLINK("https://www.wikidata.org/wiki/Q9294968", "Q9294968")</f>
        <v>0</v>
      </c>
      <c r="O5018" t="s">
        <v>19965</v>
      </c>
      <c r="P5018" t="s">
        <v>20459</v>
      </c>
      <c r="Q5018" t="s">
        <v>20701</v>
      </c>
      <c r="R5018" t="s">
        <v>21493</v>
      </c>
      <c r="S5018">
        <v>1457</v>
      </c>
    </row>
    <row r="5019" spans="1:19">
      <c r="A5019" t="s">
        <v>26</v>
      </c>
      <c r="B5019" t="s">
        <v>148</v>
      </c>
      <c r="C5019" t="s">
        <v>158</v>
      </c>
      <c r="D5019" t="s">
        <v>287</v>
      </c>
      <c r="E5019" t="s">
        <v>416</v>
      </c>
      <c r="F5019">
        <f>HYPERLINK("https://www.wikidata.org/wiki/Q33756209", "Q33756209")</f>
        <v>0</v>
      </c>
      <c r="G5019" t="s">
        <v>3255</v>
      </c>
      <c r="H5019" t="s">
        <v>7675</v>
      </c>
      <c r="I5019" t="s">
        <v>6200</v>
      </c>
      <c r="J5019" t="s">
        <v>13872</v>
      </c>
      <c r="K5019" t="s">
        <v>18243</v>
      </c>
      <c r="L5019">
        <f>HYPERLINK("https://www2.assemblee-nationale.fr/sycomore/fiche/(num_dept)/3714", "3714")</f>
        <v>0</v>
      </c>
      <c r="N5019">
        <f>HYPERLINK("https://www.wikidata.org/wiki/Q3172111", "Q3172111")</f>
        <v>0</v>
      </c>
      <c r="O5019" t="s">
        <v>20005</v>
      </c>
      <c r="P5019" t="s">
        <v>20459</v>
      </c>
      <c r="Q5019" t="s">
        <v>20701</v>
      </c>
      <c r="R5019" t="s">
        <v>21493</v>
      </c>
      <c r="S5019">
        <v>1457</v>
      </c>
    </row>
    <row r="5020" spans="1:19">
      <c r="A5020" t="s">
        <v>26</v>
      </c>
      <c r="B5020" t="s">
        <v>148</v>
      </c>
      <c r="C5020" t="s">
        <v>158</v>
      </c>
      <c r="D5020" t="s">
        <v>287</v>
      </c>
      <c r="E5020" t="s">
        <v>416</v>
      </c>
      <c r="F5020">
        <f>HYPERLINK("https://www.wikidata.org/wiki/Q33756209", "Q33756209")</f>
        <v>0</v>
      </c>
      <c r="G5020" t="s">
        <v>3256</v>
      </c>
      <c r="H5020" t="s">
        <v>7676</v>
      </c>
      <c r="I5020" t="s">
        <v>10735</v>
      </c>
      <c r="J5020" t="s">
        <v>13873</v>
      </c>
      <c r="K5020" t="s">
        <v>18244</v>
      </c>
      <c r="L5020">
        <f>HYPERLINK("https://www2.assemblee-nationale.fr/sycomore/fiche/(num_dept)/3869", "3869")</f>
        <v>0</v>
      </c>
      <c r="N5020">
        <f>HYPERLINK("https://www.wikidata.org/wiki/Q16025853", "Q16025853")</f>
        <v>0</v>
      </c>
      <c r="O5020" t="s">
        <v>20034</v>
      </c>
      <c r="P5020" t="s">
        <v>20403</v>
      </c>
      <c r="Q5020" t="s">
        <v>20701</v>
      </c>
      <c r="R5020" t="s">
        <v>21493</v>
      </c>
      <c r="S5020">
        <v>1457</v>
      </c>
    </row>
    <row r="5021" spans="1:19">
      <c r="A5021" t="s">
        <v>26</v>
      </c>
      <c r="B5021" t="s">
        <v>148</v>
      </c>
      <c r="C5021" t="s">
        <v>158</v>
      </c>
      <c r="D5021" t="s">
        <v>287</v>
      </c>
      <c r="E5021" t="s">
        <v>416</v>
      </c>
      <c r="F5021">
        <f>HYPERLINK("https://www.wikidata.org/wiki/Q33756209", "Q33756209")</f>
        <v>0</v>
      </c>
      <c r="G5021" t="s">
        <v>2600</v>
      </c>
      <c r="H5021" t="s">
        <v>7149</v>
      </c>
      <c r="I5021" t="s">
        <v>10305</v>
      </c>
      <c r="J5021" t="s">
        <v>13243</v>
      </c>
      <c r="K5021" t="s">
        <v>15634</v>
      </c>
      <c r="L5021">
        <f>HYPERLINK("https://www2.assemblee-nationale.fr/sycomore/fiche/(num_dept)/3880", "3880")</f>
        <v>0</v>
      </c>
      <c r="N5021">
        <f>HYPERLINK("https://www.wikidata.org/wiki/Q8337312", "Q8337312")</f>
        <v>0</v>
      </c>
      <c r="O5021" t="s">
        <v>19998</v>
      </c>
      <c r="P5021" t="s">
        <v>20459</v>
      </c>
      <c r="Q5021" t="s">
        <v>20701</v>
      </c>
      <c r="R5021" t="s">
        <v>21493</v>
      </c>
      <c r="S5021">
        <v>1457</v>
      </c>
    </row>
    <row r="5022" spans="1:19">
      <c r="A5022" t="s">
        <v>26</v>
      </c>
      <c r="B5022" t="s">
        <v>148</v>
      </c>
      <c r="C5022" t="s">
        <v>158</v>
      </c>
      <c r="D5022" t="s">
        <v>287</v>
      </c>
      <c r="E5022" t="s">
        <v>416</v>
      </c>
      <c r="F5022">
        <f>HYPERLINK("https://www.wikidata.org/wiki/Q33756209", "Q33756209")</f>
        <v>0</v>
      </c>
      <c r="G5022" t="s">
        <v>2958</v>
      </c>
      <c r="H5022" t="s">
        <v>6192</v>
      </c>
      <c r="I5022" t="s">
        <v>10544</v>
      </c>
      <c r="J5022" t="s">
        <v>13590</v>
      </c>
      <c r="K5022" t="s">
        <v>17976</v>
      </c>
      <c r="L5022">
        <f>HYPERLINK("https://www2.assemblee-nationale.fr/sycomore/fiche/(num_dept)/3896", "3896")</f>
        <v>0</v>
      </c>
      <c r="N5022">
        <f>HYPERLINK("https://www.wikidata.org/wiki/Q352287", "Q352287")</f>
        <v>0</v>
      </c>
      <c r="O5022" t="s">
        <v>19990</v>
      </c>
      <c r="P5022" t="s">
        <v>20401</v>
      </c>
      <c r="Q5022" t="s">
        <v>20701</v>
      </c>
      <c r="R5022" t="s">
        <v>21493</v>
      </c>
      <c r="S5022">
        <v>1457</v>
      </c>
    </row>
    <row r="5023" spans="1:19">
      <c r="A5023" t="s">
        <v>26</v>
      </c>
      <c r="B5023" t="s">
        <v>148</v>
      </c>
      <c r="C5023" t="s">
        <v>158</v>
      </c>
      <c r="D5023" t="s">
        <v>287</v>
      </c>
      <c r="E5023" t="s">
        <v>416</v>
      </c>
      <c r="F5023">
        <f>HYPERLINK("https://www.wikidata.org/wiki/Q33756209", "Q33756209")</f>
        <v>0</v>
      </c>
      <c r="G5023" t="s">
        <v>3003</v>
      </c>
      <c r="H5023" t="s">
        <v>7465</v>
      </c>
      <c r="I5023" t="s">
        <v>9593</v>
      </c>
      <c r="J5023" t="s">
        <v>13633</v>
      </c>
      <c r="K5023" t="s">
        <v>18017</v>
      </c>
      <c r="L5023">
        <f>HYPERLINK("https://www2.assemblee-nationale.fr/sycomore/fiche/(num_dept)/3912", "3912")</f>
        <v>0</v>
      </c>
      <c r="N5023">
        <f>HYPERLINK("https://www.wikidata.org/wiki/Q3293811", "Q3293811")</f>
        <v>0</v>
      </c>
      <c r="O5023" t="s">
        <v>20035</v>
      </c>
      <c r="P5023" t="s">
        <v>20459</v>
      </c>
      <c r="Q5023" t="s">
        <v>20701</v>
      </c>
      <c r="R5023" t="s">
        <v>21493</v>
      </c>
      <c r="S5023">
        <v>1457</v>
      </c>
    </row>
    <row r="5024" spans="1:19">
      <c r="A5024" t="s">
        <v>26</v>
      </c>
      <c r="B5024" t="s">
        <v>148</v>
      </c>
      <c r="C5024" t="s">
        <v>158</v>
      </c>
      <c r="D5024" t="s">
        <v>287</v>
      </c>
      <c r="E5024" t="s">
        <v>416</v>
      </c>
      <c r="F5024">
        <f>HYPERLINK("https://www.wikidata.org/wiki/Q33756209", "Q33756209")</f>
        <v>0</v>
      </c>
      <c r="G5024" t="s">
        <v>3257</v>
      </c>
      <c r="H5024" t="s">
        <v>7677</v>
      </c>
      <c r="I5024" t="s">
        <v>10736</v>
      </c>
      <c r="J5024" t="s">
        <v>13415</v>
      </c>
      <c r="K5024" t="s">
        <v>18245</v>
      </c>
      <c r="L5024">
        <f>HYPERLINK("https://www2.assemblee-nationale.fr/sycomore/fiche/(num_dept)/3962", "3962")</f>
        <v>0</v>
      </c>
      <c r="N5024">
        <f>HYPERLINK("https://www.wikidata.org/wiki/Q3059941", "Q3059941")</f>
        <v>0</v>
      </c>
      <c r="O5024" t="s">
        <v>19959</v>
      </c>
      <c r="P5024" t="s">
        <v>20401</v>
      </c>
      <c r="Q5024" t="s">
        <v>20701</v>
      </c>
      <c r="R5024" t="s">
        <v>21493</v>
      </c>
      <c r="S5024">
        <v>1457</v>
      </c>
    </row>
    <row r="5025" spans="1:19">
      <c r="A5025" t="s">
        <v>26</v>
      </c>
      <c r="B5025" t="s">
        <v>148</v>
      </c>
      <c r="C5025" t="s">
        <v>158</v>
      </c>
      <c r="D5025" t="s">
        <v>287</v>
      </c>
      <c r="E5025" t="s">
        <v>416</v>
      </c>
      <c r="F5025">
        <f>HYPERLINK("https://www.wikidata.org/wiki/Q33756209", "Q33756209")</f>
        <v>0</v>
      </c>
      <c r="G5025" t="s">
        <v>3258</v>
      </c>
      <c r="H5025" t="s">
        <v>7678</v>
      </c>
      <c r="I5025" t="s">
        <v>9437</v>
      </c>
      <c r="J5025" t="s">
        <v>13874</v>
      </c>
      <c r="K5025" t="s">
        <v>18246</v>
      </c>
      <c r="L5025">
        <f>HYPERLINK("https://www2.assemblee-nationale.fr/sycomore/fiche/(num_dept)/3985", "3985")</f>
        <v>0</v>
      </c>
      <c r="N5025">
        <f>HYPERLINK("https://www.wikidata.org/wiki/Q286003", "Q286003")</f>
        <v>0</v>
      </c>
      <c r="O5025" t="s">
        <v>20014</v>
      </c>
      <c r="P5025" t="s">
        <v>20459</v>
      </c>
      <c r="Q5025" t="s">
        <v>20701</v>
      </c>
      <c r="R5025" t="s">
        <v>21493</v>
      </c>
      <c r="S5025">
        <v>1457</v>
      </c>
    </row>
    <row r="5026" spans="1:19">
      <c r="A5026" t="s">
        <v>26</v>
      </c>
      <c r="B5026" t="s">
        <v>148</v>
      </c>
      <c r="C5026" t="s">
        <v>158</v>
      </c>
      <c r="D5026" t="s">
        <v>287</v>
      </c>
      <c r="E5026" t="s">
        <v>416</v>
      </c>
      <c r="F5026">
        <f>HYPERLINK("https://www.wikidata.org/wiki/Q33756209", "Q33756209")</f>
        <v>0</v>
      </c>
      <c r="G5026" t="s">
        <v>3082</v>
      </c>
      <c r="H5026" t="s">
        <v>5449</v>
      </c>
      <c r="I5026" t="s">
        <v>10618</v>
      </c>
      <c r="J5026" t="s">
        <v>13705</v>
      </c>
      <c r="K5026" t="s">
        <v>18088</v>
      </c>
      <c r="L5026">
        <f>HYPERLINK("https://www2.assemblee-nationale.fr/sycomore/fiche/(num_dept)/4013", "4013")</f>
        <v>0</v>
      </c>
      <c r="N5026">
        <f>HYPERLINK("https://www.wikidata.org/wiki/Q286028", "Q286028")</f>
        <v>0</v>
      </c>
      <c r="O5026" t="s">
        <v>20034</v>
      </c>
      <c r="P5026" t="s">
        <v>20459</v>
      </c>
      <c r="Q5026" t="s">
        <v>20701</v>
      </c>
      <c r="R5026" t="s">
        <v>21493</v>
      </c>
      <c r="S5026">
        <v>1457</v>
      </c>
    </row>
    <row r="5027" spans="1:19">
      <c r="A5027" t="s">
        <v>26</v>
      </c>
      <c r="B5027" t="s">
        <v>148</v>
      </c>
      <c r="C5027" t="s">
        <v>158</v>
      </c>
      <c r="D5027" t="s">
        <v>287</v>
      </c>
      <c r="E5027" t="s">
        <v>416</v>
      </c>
      <c r="F5027">
        <f>HYPERLINK("https://www.wikidata.org/wiki/Q33756209", "Q33756209")</f>
        <v>0</v>
      </c>
      <c r="G5027" t="s">
        <v>2602</v>
      </c>
      <c r="H5027" t="s">
        <v>7151</v>
      </c>
      <c r="I5027" t="s">
        <v>9465</v>
      </c>
      <c r="J5027" t="s">
        <v>13245</v>
      </c>
      <c r="K5027" t="s">
        <v>17648</v>
      </c>
      <c r="L5027">
        <f>HYPERLINK("https://www2.assemblee-nationale.fr/sycomore/fiche/(num_dept)/4039", "4039")</f>
        <v>0</v>
      </c>
      <c r="N5027">
        <f>HYPERLINK("https://www.wikidata.org/wiki/Q15971837", "Q15971837")</f>
        <v>0</v>
      </c>
      <c r="O5027" t="s">
        <v>20037</v>
      </c>
      <c r="P5027" t="s">
        <v>20460</v>
      </c>
      <c r="Q5027" t="s">
        <v>20701</v>
      </c>
      <c r="R5027" t="s">
        <v>21493</v>
      </c>
      <c r="S5027">
        <v>1457</v>
      </c>
    </row>
    <row r="5028" spans="1:19">
      <c r="A5028" t="s">
        <v>26</v>
      </c>
      <c r="B5028" t="s">
        <v>148</v>
      </c>
      <c r="C5028" t="s">
        <v>158</v>
      </c>
      <c r="D5028" t="s">
        <v>287</v>
      </c>
      <c r="E5028" t="s">
        <v>416</v>
      </c>
      <c r="F5028">
        <f>HYPERLINK("https://www.wikidata.org/wiki/Q33756209", "Q33756209")</f>
        <v>0</v>
      </c>
      <c r="G5028" t="s">
        <v>3259</v>
      </c>
      <c r="H5028" t="s">
        <v>7325</v>
      </c>
      <c r="I5028" t="s">
        <v>5528</v>
      </c>
      <c r="J5028" t="s">
        <v>13875</v>
      </c>
      <c r="K5028" t="s">
        <v>18247</v>
      </c>
      <c r="L5028">
        <f>HYPERLINK("https://www2.assemblee-nationale.fr/sycomore/fiche/(num_dept)/4059", "4059")</f>
        <v>0</v>
      </c>
      <c r="N5028">
        <f>HYPERLINK("https://www.wikidata.org/wiki/Q3271088", "Q3271088")</f>
        <v>0</v>
      </c>
      <c r="O5028" t="s">
        <v>20008</v>
      </c>
      <c r="P5028" t="s">
        <v>20461</v>
      </c>
      <c r="Q5028" t="s">
        <v>20701</v>
      </c>
      <c r="R5028" t="s">
        <v>21493</v>
      </c>
      <c r="S5028">
        <v>1457</v>
      </c>
    </row>
    <row r="5029" spans="1:19">
      <c r="A5029" t="s">
        <v>26</v>
      </c>
      <c r="B5029" t="s">
        <v>148</v>
      </c>
      <c r="C5029" t="s">
        <v>158</v>
      </c>
      <c r="D5029" t="s">
        <v>287</v>
      </c>
      <c r="E5029" t="s">
        <v>416</v>
      </c>
      <c r="F5029">
        <f>HYPERLINK("https://www.wikidata.org/wiki/Q33756209", "Q33756209")</f>
        <v>0</v>
      </c>
      <c r="G5029" t="s">
        <v>2960</v>
      </c>
      <c r="H5029" t="s">
        <v>7431</v>
      </c>
      <c r="I5029" t="s">
        <v>9552</v>
      </c>
      <c r="J5029" t="s">
        <v>13592</v>
      </c>
      <c r="K5029" t="s">
        <v>17978</v>
      </c>
      <c r="L5029">
        <f>HYPERLINK("https://www2.assemblee-nationale.fr/sycomore/fiche/(num_dept)/4231", "4231")</f>
        <v>0</v>
      </c>
      <c r="N5029">
        <f>HYPERLINK("https://www.wikidata.org/wiki/Q16025913", "Q16025913")</f>
        <v>0</v>
      </c>
      <c r="O5029" t="s">
        <v>19979</v>
      </c>
      <c r="P5029" t="s">
        <v>20401</v>
      </c>
      <c r="Q5029" t="s">
        <v>20701</v>
      </c>
      <c r="R5029" t="s">
        <v>21493</v>
      </c>
      <c r="S5029">
        <v>1457</v>
      </c>
    </row>
    <row r="5030" spans="1:19">
      <c r="A5030" t="s">
        <v>26</v>
      </c>
      <c r="B5030" t="s">
        <v>148</v>
      </c>
      <c r="C5030" t="s">
        <v>158</v>
      </c>
      <c r="D5030" t="s">
        <v>287</v>
      </c>
      <c r="E5030" t="s">
        <v>416</v>
      </c>
      <c r="F5030">
        <f>HYPERLINK("https://www.wikidata.org/wiki/Q33756209", "Q33756209")</f>
        <v>0</v>
      </c>
      <c r="G5030" t="s">
        <v>2611</v>
      </c>
      <c r="H5030" t="s">
        <v>7160</v>
      </c>
      <c r="I5030" t="s">
        <v>10312</v>
      </c>
      <c r="J5030" t="s">
        <v>13254</v>
      </c>
      <c r="K5030" t="s">
        <v>17656</v>
      </c>
      <c r="L5030">
        <f>HYPERLINK("https://www2.assemblee-nationale.fr/sycomore/fiche/(num_dept)/4236", "4236")</f>
        <v>0</v>
      </c>
      <c r="N5030">
        <f>HYPERLINK("https://www.wikidata.org/wiki/Q3383114", "Q3383114")</f>
        <v>0</v>
      </c>
      <c r="O5030" t="s">
        <v>19994</v>
      </c>
      <c r="P5030" t="s">
        <v>20401</v>
      </c>
      <c r="Q5030" t="s">
        <v>20701</v>
      </c>
      <c r="R5030" t="s">
        <v>21493</v>
      </c>
      <c r="S5030">
        <v>1457</v>
      </c>
    </row>
    <row r="5031" spans="1:19">
      <c r="A5031" t="s">
        <v>26</v>
      </c>
      <c r="B5031" t="s">
        <v>148</v>
      </c>
      <c r="C5031" t="s">
        <v>158</v>
      </c>
      <c r="D5031" t="s">
        <v>287</v>
      </c>
      <c r="E5031" t="s">
        <v>416</v>
      </c>
      <c r="F5031">
        <f>HYPERLINK("https://www.wikidata.org/wiki/Q33756209", "Q33756209")</f>
        <v>0</v>
      </c>
      <c r="G5031" t="s">
        <v>3009</v>
      </c>
      <c r="H5031" t="s">
        <v>6926</v>
      </c>
      <c r="I5031" t="s">
        <v>10572</v>
      </c>
      <c r="J5031" t="s">
        <v>11702</v>
      </c>
      <c r="K5031" t="s">
        <v>17862</v>
      </c>
      <c r="L5031">
        <f>HYPERLINK("https://www2.assemblee-nationale.fr/sycomore/fiche/(num_dept)/4270", "4270")</f>
        <v>0</v>
      </c>
      <c r="N5031">
        <f>HYPERLINK("https://www.wikidata.org/wiki/Q16025923", "Q16025923")</f>
        <v>0</v>
      </c>
      <c r="O5031" t="s">
        <v>19965</v>
      </c>
      <c r="P5031" t="s">
        <v>20401</v>
      </c>
      <c r="Q5031" t="s">
        <v>20701</v>
      </c>
      <c r="R5031" t="s">
        <v>21493</v>
      </c>
      <c r="S5031">
        <v>1457</v>
      </c>
    </row>
    <row r="5032" spans="1:19">
      <c r="A5032" t="s">
        <v>26</v>
      </c>
      <c r="B5032" t="s">
        <v>148</v>
      </c>
      <c r="C5032" t="s">
        <v>158</v>
      </c>
      <c r="D5032" t="s">
        <v>287</v>
      </c>
      <c r="E5032" t="s">
        <v>416</v>
      </c>
      <c r="F5032">
        <f>HYPERLINK("https://www.wikidata.org/wiki/Q33756209", "Q33756209")</f>
        <v>0</v>
      </c>
      <c r="G5032" t="s">
        <v>981</v>
      </c>
      <c r="H5032" t="s">
        <v>5733</v>
      </c>
      <c r="I5032" t="s">
        <v>6175</v>
      </c>
      <c r="J5032" t="s">
        <v>11719</v>
      </c>
      <c r="K5032" t="s">
        <v>16123</v>
      </c>
      <c r="L5032">
        <f>HYPERLINK("https://www2.assemblee-nationale.fr/sycomore/fiche/(num_dept)/4272", "4272")</f>
        <v>0</v>
      </c>
      <c r="N5032">
        <f>HYPERLINK("https://www.wikidata.org/wiki/Q3103015", "Q3103015")</f>
        <v>0</v>
      </c>
      <c r="O5032" t="s">
        <v>20047</v>
      </c>
      <c r="P5032" t="s">
        <v>20401</v>
      </c>
      <c r="Q5032" t="s">
        <v>20701</v>
      </c>
      <c r="R5032" t="s">
        <v>21493</v>
      </c>
      <c r="S5032">
        <v>1457</v>
      </c>
    </row>
    <row r="5033" spans="1:19">
      <c r="A5033" t="s">
        <v>26</v>
      </c>
      <c r="B5033" t="s">
        <v>148</v>
      </c>
      <c r="C5033" t="s">
        <v>158</v>
      </c>
      <c r="D5033" t="s">
        <v>287</v>
      </c>
      <c r="E5033" t="s">
        <v>416</v>
      </c>
      <c r="F5033">
        <f>HYPERLINK("https://www.wikidata.org/wiki/Q33756209", "Q33756209")</f>
        <v>0</v>
      </c>
      <c r="G5033" t="s">
        <v>2961</v>
      </c>
      <c r="H5033" t="s">
        <v>7432</v>
      </c>
      <c r="I5033" t="s">
        <v>6166</v>
      </c>
      <c r="J5033" t="s">
        <v>13593</v>
      </c>
      <c r="K5033" t="s">
        <v>17979</v>
      </c>
      <c r="L5033">
        <f>HYPERLINK("https://www2.assemblee-nationale.fr/sycomore/fiche/(num_dept)/4286", "4286")</f>
        <v>0</v>
      </c>
      <c r="N5033">
        <f>HYPERLINK("https://www.wikidata.org/wiki/Q16798496", "Q16798496")</f>
        <v>0</v>
      </c>
      <c r="O5033" t="s">
        <v>19987</v>
      </c>
      <c r="Q5033" t="s">
        <v>20701</v>
      </c>
      <c r="R5033" t="s">
        <v>21493</v>
      </c>
      <c r="S5033">
        <v>1457</v>
      </c>
    </row>
    <row r="5034" spans="1:19">
      <c r="A5034" t="s">
        <v>26</v>
      </c>
      <c r="B5034" t="s">
        <v>148</v>
      </c>
      <c r="C5034" t="s">
        <v>158</v>
      </c>
      <c r="D5034" t="s">
        <v>287</v>
      </c>
      <c r="E5034" t="s">
        <v>416</v>
      </c>
      <c r="F5034">
        <f>HYPERLINK("https://www.wikidata.org/wiki/Q33756209", "Q33756209")</f>
        <v>0</v>
      </c>
      <c r="G5034" t="s">
        <v>984</v>
      </c>
      <c r="H5034" t="s">
        <v>5736</v>
      </c>
      <c r="I5034" t="s">
        <v>9606</v>
      </c>
      <c r="J5034" t="s">
        <v>11722</v>
      </c>
      <c r="K5034" t="s">
        <v>16126</v>
      </c>
      <c r="L5034">
        <f>HYPERLINK("https://www2.assemblee-nationale.fr/sycomore/fiche/(num_dept)/4328", "4328")</f>
        <v>0</v>
      </c>
      <c r="N5034">
        <f>HYPERLINK("https://www.wikidata.org/wiki/Q645606", "Q645606")</f>
        <v>0</v>
      </c>
      <c r="O5034" t="s">
        <v>19969</v>
      </c>
      <c r="P5034" t="s">
        <v>20459</v>
      </c>
      <c r="Q5034" t="s">
        <v>20701</v>
      </c>
      <c r="R5034" t="s">
        <v>21493</v>
      </c>
      <c r="S5034">
        <v>1457</v>
      </c>
    </row>
    <row r="5035" spans="1:19">
      <c r="A5035" t="s">
        <v>26</v>
      </c>
      <c r="B5035" t="s">
        <v>148</v>
      </c>
      <c r="C5035" t="s">
        <v>158</v>
      </c>
      <c r="D5035" t="s">
        <v>287</v>
      </c>
      <c r="E5035" t="s">
        <v>416</v>
      </c>
      <c r="F5035">
        <f>HYPERLINK("https://www.wikidata.org/wiki/Q33756209", "Q33756209")</f>
        <v>0</v>
      </c>
      <c r="G5035" t="s">
        <v>2962</v>
      </c>
      <c r="H5035" t="s">
        <v>6492</v>
      </c>
      <c r="I5035" t="s">
        <v>9470</v>
      </c>
      <c r="J5035" t="s">
        <v>13594</v>
      </c>
      <c r="K5035" t="s">
        <v>17980</v>
      </c>
      <c r="L5035">
        <f>HYPERLINK("https://www2.assemblee-nationale.fr/sycomore/fiche/(num_dept)/4346", "4346")</f>
        <v>0</v>
      </c>
      <c r="N5035">
        <f>HYPERLINK("https://www.wikidata.org/wiki/Q8318772", "Q8318772")</f>
        <v>0</v>
      </c>
      <c r="O5035" t="s">
        <v>20032</v>
      </c>
      <c r="P5035" t="s">
        <v>20401</v>
      </c>
      <c r="Q5035" t="s">
        <v>20701</v>
      </c>
      <c r="R5035" t="s">
        <v>21493</v>
      </c>
      <c r="S5035">
        <v>1457</v>
      </c>
    </row>
    <row r="5036" spans="1:19">
      <c r="A5036" t="s">
        <v>26</v>
      </c>
      <c r="B5036" t="s">
        <v>148</v>
      </c>
      <c r="C5036" t="s">
        <v>158</v>
      </c>
      <c r="D5036" t="s">
        <v>287</v>
      </c>
      <c r="E5036" t="s">
        <v>416</v>
      </c>
      <c r="F5036">
        <f>HYPERLINK("https://www.wikidata.org/wiki/Q33756209", "Q33756209")</f>
        <v>0</v>
      </c>
      <c r="G5036" t="s">
        <v>2963</v>
      </c>
      <c r="H5036" t="s">
        <v>7433</v>
      </c>
      <c r="I5036" t="s">
        <v>9458</v>
      </c>
      <c r="J5036" t="s">
        <v>13595</v>
      </c>
      <c r="K5036" t="s">
        <v>17981</v>
      </c>
      <c r="L5036">
        <f>HYPERLINK("https://www2.assemblee-nationale.fr/sycomore/fiche/(num_dept)/4365", "4365")</f>
        <v>0</v>
      </c>
      <c r="N5036">
        <f>HYPERLINK("https://www.wikidata.org/wiki/Q2835251", "Q2835251")</f>
        <v>0</v>
      </c>
      <c r="O5036" t="s">
        <v>19987</v>
      </c>
      <c r="P5036" t="s">
        <v>20459</v>
      </c>
      <c r="Q5036" t="s">
        <v>20701</v>
      </c>
      <c r="R5036" t="s">
        <v>21493</v>
      </c>
      <c r="S5036">
        <v>1457</v>
      </c>
    </row>
    <row r="5037" spans="1:19">
      <c r="A5037" t="s">
        <v>26</v>
      </c>
      <c r="B5037" t="s">
        <v>148</v>
      </c>
      <c r="C5037" t="s">
        <v>158</v>
      </c>
      <c r="D5037" t="s">
        <v>287</v>
      </c>
      <c r="E5037" t="s">
        <v>416</v>
      </c>
      <c r="F5037">
        <f>HYPERLINK("https://www.wikidata.org/wiki/Q33756209", "Q33756209")</f>
        <v>0</v>
      </c>
      <c r="G5037" t="s">
        <v>3260</v>
      </c>
      <c r="H5037" t="s">
        <v>7433</v>
      </c>
      <c r="I5037" t="s">
        <v>5528</v>
      </c>
      <c r="J5037" t="s">
        <v>13876</v>
      </c>
      <c r="K5037" t="s">
        <v>18248</v>
      </c>
      <c r="L5037">
        <f>HYPERLINK("https://www2.assemblee-nationale.fr/sycomore/fiche/(num_dept)/4366", "4366")</f>
        <v>0</v>
      </c>
      <c r="N5037">
        <f>HYPERLINK("https://www.wikidata.org/wiki/Q16025941", "Q16025941")</f>
        <v>0</v>
      </c>
      <c r="O5037" t="s">
        <v>19987</v>
      </c>
      <c r="P5037" t="s">
        <v>20459</v>
      </c>
      <c r="Q5037" t="s">
        <v>20701</v>
      </c>
      <c r="R5037" t="s">
        <v>21493</v>
      </c>
      <c r="S5037">
        <v>1457</v>
      </c>
    </row>
    <row r="5038" spans="1:19">
      <c r="A5038" t="s">
        <v>26</v>
      </c>
      <c r="B5038" t="s">
        <v>148</v>
      </c>
      <c r="C5038" t="s">
        <v>158</v>
      </c>
      <c r="D5038" t="s">
        <v>287</v>
      </c>
      <c r="E5038" t="s">
        <v>416</v>
      </c>
      <c r="F5038">
        <f>HYPERLINK("https://www.wikidata.org/wiki/Q33756209", "Q33756209")</f>
        <v>0</v>
      </c>
      <c r="G5038" t="s">
        <v>2615</v>
      </c>
      <c r="H5038" t="s">
        <v>7164</v>
      </c>
      <c r="I5038" t="s">
        <v>9449</v>
      </c>
      <c r="J5038" t="s">
        <v>13258</v>
      </c>
      <c r="K5038" t="s">
        <v>17660</v>
      </c>
      <c r="L5038">
        <f>HYPERLINK("https://www2.assemblee-nationale.fr/sycomore/fiche/(num_dept)/4374", "4374")</f>
        <v>0</v>
      </c>
      <c r="N5038">
        <f>HYPERLINK("https://www.wikidata.org/wiki/Q16025944", "Q16025944")</f>
        <v>0</v>
      </c>
      <c r="O5038" t="s">
        <v>20019</v>
      </c>
      <c r="P5038" t="s">
        <v>20401</v>
      </c>
      <c r="Q5038" t="s">
        <v>20701</v>
      </c>
      <c r="R5038" t="s">
        <v>21493</v>
      </c>
      <c r="S5038">
        <v>1457</v>
      </c>
    </row>
    <row r="5039" spans="1:19">
      <c r="A5039" t="s">
        <v>26</v>
      </c>
      <c r="B5039" t="s">
        <v>148</v>
      </c>
      <c r="C5039" t="s">
        <v>158</v>
      </c>
      <c r="D5039" t="s">
        <v>287</v>
      </c>
      <c r="E5039" t="s">
        <v>416</v>
      </c>
      <c r="F5039">
        <f>HYPERLINK("https://www.wikidata.org/wiki/Q33756209", "Q33756209")</f>
        <v>0</v>
      </c>
      <c r="G5039" t="s">
        <v>3261</v>
      </c>
      <c r="H5039" t="s">
        <v>7679</v>
      </c>
      <c r="I5039" t="s">
        <v>9601</v>
      </c>
      <c r="J5039" t="s">
        <v>13877</v>
      </c>
      <c r="K5039" t="s">
        <v>18249</v>
      </c>
      <c r="L5039">
        <f>HYPERLINK("https://www2.assemblee-nationale.fr/sycomore/fiche/(num_dept)/4400", "4400")</f>
        <v>0</v>
      </c>
      <c r="N5039">
        <f>HYPERLINK("https://www.wikidata.org/wiki/Q3081536", "Q3081536")</f>
        <v>0</v>
      </c>
      <c r="O5039" t="s">
        <v>19997</v>
      </c>
      <c r="P5039" t="s">
        <v>20403</v>
      </c>
      <c r="Q5039" t="s">
        <v>20701</v>
      </c>
      <c r="R5039" t="s">
        <v>21493</v>
      </c>
      <c r="S5039">
        <v>1457</v>
      </c>
    </row>
    <row r="5040" spans="1:19">
      <c r="A5040" t="s">
        <v>26</v>
      </c>
      <c r="B5040" t="s">
        <v>148</v>
      </c>
      <c r="C5040" t="s">
        <v>158</v>
      </c>
      <c r="D5040" t="s">
        <v>287</v>
      </c>
      <c r="E5040" t="s">
        <v>416</v>
      </c>
      <c r="F5040">
        <f>HYPERLINK("https://www.wikidata.org/wiki/Q33756209", "Q33756209")</f>
        <v>0</v>
      </c>
      <c r="G5040" t="s">
        <v>3262</v>
      </c>
      <c r="H5040" t="s">
        <v>7680</v>
      </c>
      <c r="I5040" t="s">
        <v>10737</v>
      </c>
      <c r="J5040" t="s">
        <v>13878</v>
      </c>
      <c r="K5040" t="s">
        <v>18250</v>
      </c>
      <c r="L5040">
        <f>HYPERLINK("https://www2.assemblee-nationale.fr/sycomore/fiche/(num_dept)/4889", "4889")</f>
        <v>0</v>
      </c>
      <c r="M5040">
        <f>HYPERLINK("https://www.senat.fr/senateur-3eme-republique/magnien_gabriel1229r3.html", "magnien_gabriel1229r3")</f>
        <v>0</v>
      </c>
      <c r="N5040">
        <f>HYPERLINK("https://www.wikidata.org/wiki/Q3093845", "Q3093845")</f>
        <v>0</v>
      </c>
      <c r="O5040" t="s">
        <v>19994</v>
      </c>
      <c r="P5040" t="s">
        <v>20401</v>
      </c>
      <c r="Q5040" t="s">
        <v>20701</v>
      </c>
      <c r="R5040" t="s">
        <v>21493</v>
      </c>
      <c r="S5040">
        <v>1457</v>
      </c>
    </row>
    <row r="5041" spans="1:19">
      <c r="A5041" t="s">
        <v>26</v>
      </c>
      <c r="B5041" t="s">
        <v>148</v>
      </c>
      <c r="C5041" t="s">
        <v>158</v>
      </c>
      <c r="D5041" t="s">
        <v>287</v>
      </c>
      <c r="E5041" t="s">
        <v>416</v>
      </c>
      <c r="F5041">
        <f>HYPERLINK("https://www.wikidata.org/wiki/Q33756209", "Q33756209")</f>
        <v>0</v>
      </c>
      <c r="G5041" t="s">
        <v>2964</v>
      </c>
      <c r="H5041" t="s">
        <v>7434</v>
      </c>
      <c r="I5041" t="s">
        <v>6166</v>
      </c>
      <c r="J5041" t="s">
        <v>13596</v>
      </c>
      <c r="K5041" t="s">
        <v>17982</v>
      </c>
      <c r="L5041">
        <f>HYPERLINK("https://www2.assemblee-nationale.fr/sycomore/fiche/(num_dept)/4897", "4897")</f>
        <v>0</v>
      </c>
      <c r="N5041">
        <f>HYPERLINK("https://www.wikidata.org/wiki/Q962478", "Q962478")</f>
        <v>0</v>
      </c>
      <c r="O5041" t="s">
        <v>19963</v>
      </c>
      <c r="P5041" t="s">
        <v>20461</v>
      </c>
      <c r="Q5041" t="s">
        <v>20701</v>
      </c>
      <c r="R5041" t="s">
        <v>21493</v>
      </c>
      <c r="S5041">
        <v>1457</v>
      </c>
    </row>
    <row r="5042" spans="1:19">
      <c r="A5042" t="s">
        <v>26</v>
      </c>
      <c r="B5042" t="s">
        <v>148</v>
      </c>
      <c r="C5042" t="s">
        <v>158</v>
      </c>
      <c r="D5042" t="s">
        <v>287</v>
      </c>
      <c r="E5042" t="s">
        <v>416</v>
      </c>
      <c r="F5042">
        <f>HYPERLINK("https://www.wikidata.org/wiki/Q33756209", "Q33756209")</f>
        <v>0</v>
      </c>
      <c r="G5042" t="s">
        <v>2624</v>
      </c>
      <c r="H5042" t="s">
        <v>7171</v>
      </c>
      <c r="I5042" t="s">
        <v>6478</v>
      </c>
      <c r="J5042" t="s">
        <v>13267</v>
      </c>
      <c r="K5042" t="s">
        <v>17668</v>
      </c>
      <c r="L5042">
        <f>HYPERLINK("https://www2.assemblee-nationale.fr/sycomore/fiche/(num_dept)/4988", "4988")</f>
        <v>0</v>
      </c>
      <c r="N5042">
        <f>HYPERLINK("https://www.wikidata.org/wiki/Q3131564", "Q3131564")</f>
        <v>0</v>
      </c>
      <c r="O5042" t="s">
        <v>19996</v>
      </c>
      <c r="P5042" t="s">
        <v>20401</v>
      </c>
      <c r="Q5042" t="s">
        <v>20701</v>
      </c>
      <c r="R5042" t="s">
        <v>21493</v>
      </c>
      <c r="S5042">
        <v>1457</v>
      </c>
    </row>
    <row r="5043" spans="1:19">
      <c r="A5043" t="s">
        <v>26</v>
      </c>
      <c r="B5043" t="s">
        <v>148</v>
      </c>
      <c r="C5043" t="s">
        <v>158</v>
      </c>
      <c r="D5043" t="s">
        <v>287</v>
      </c>
      <c r="E5043" t="s">
        <v>416</v>
      </c>
      <c r="F5043">
        <f>HYPERLINK("https://www.wikidata.org/wiki/Q33756209", "Q33756209")</f>
        <v>0</v>
      </c>
      <c r="G5043" t="s">
        <v>2626</v>
      </c>
      <c r="H5043" t="s">
        <v>7173</v>
      </c>
      <c r="I5043" t="s">
        <v>6158</v>
      </c>
      <c r="J5043" t="s">
        <v>13269</v>
      </c>
      <c r="K5043" t="s">
        <v>17670</v>
      </c>
      <c r="L5043">
        <f>HYPERLINK("https://www2.assemblee-nationale.fr/sycomore/fiche/(num_dept)/5046", "5046")</f>
        <v>0</v>
      </c>
      <c r="N5043">
        <f>HYPERLINK("https://www.wikidata.org/wiki/Q3092536", "Q3092536")</f>
        <v>0</v>
      </c>
      <c r="O5043" t="s">
        <v>19998</v>
      </c>
      <c r="P5043" t="s">
        <v>20459</v>
      </c>
      <c r="Q5043" t="s">
        <v>20701</v>
      </c>
      <c r="R5043" t="s">
        <v>21493</v>
      </c>
      <c r="S5043">
        <v>1457</v>
      </c>
    </row>
    <row r="5044" spans="1:19">
      <c r="A5044" t="s">
        <v>26</v>
      </c>
      <c r="B5044" t="s">
        <v>148</v>
      </c>
      <c r="C5044" t="s">
        <v>158</v>
      </c>
      <c r="D5044" t="s">
        <v>287</v>
      </c>
      <c r="E5044" t="s">
        <v>416</v>
      </c>
      <c r="F5044">
        <f>HYPERLINK("https://www.wikidata.org/wiki/Q33756209", "Q33756209")</f>
        <v>0</v>
      </c>
      <c r="G5044" t="s">
        <v>3263</v>
      </c>
      <c r="H5044" t="s">
        <v>6502</v>
      </c>
      <c r="I5044" t="s">
        <v>9401</v>
      </c>
      <c r="J5044" t="s">
        <v>13879</v>
      </c>
      <c r="K5044" t="s">
        <v>18251</v>
      </c>
      <c r="L5044">
        <f>HYPERLINK("https://www2.assemblee-nationale.fr/sycomore/fiche/(num_dept)/5058", "5058")</f>
        <v>0</v>
      </c>
      <c r="N5044">
        <f>HYPERLINK("https://www.wikidata.org/wiki/Q3173440", "Q3173440")</f>
        <v>0</v>
      </c>
      <c r="O5044" t="s">
        <v>19960</v>
      </c>
      <c r="P5044" t="s">
        <v>20459</v>
      </c>
      <c r="Q5044" t="s">
        <v>20701</v>
      </c>
      <c r="R5044" t="s">
        <v>21493</v>
      </c>
      <c r="S5044">
        <v>1457</v>
      </c>
    </row>
    <row r="5045" spans="1:19">
      <c r="A5045" t="s">
        <v>26</v>
      </c>
      <c r="B5045" t="s">
        <v>148</v>
      </c>
      <c r="C5045" t="s">
        <v>158</v>
      </c>
      <c r="D5045" t="s">
        <v>287</v>
      </c>
      <c r="E5045" t="s">
        <v>416</v>
      </c>
      <c r="F5045">
        <f>HYPERLINK("https://www.wikidata.org/wiki/Q33756209", "Q33756209")</f>
        <v>0</v>
      </c>
      <c r="G5045" t="s">
        <v>3264</v>
      </c>
      <c r="H5045" t="s">
        <v>7416</v>
      </c>
      <c r="I5045" t="s">
        <v>9457</v>
      </c>
      <c r="J5045" t="s">
        <v>13880</v>
      </c>
      <c r="K5045" t="s">
        <v>18252</v>
      </c>
      <c r="L5045">
        <f>HYPERLINK("https://www2.assemblee-nationale.fr/sycomore/fiche/(num_dept)/5094", "5094")</f>
        <v>0</v>
      </c>
      <c r="N5045">
        <f>HYPERLINK("https://www.wikidata.org/wiki/Q13080888", "Q13080888")</f>
        <v>0</v>
      </c>
      <c r="O5045" t="s">
        <v>19969</v>
      </c>
      <c r="P5045" t="s">
        <v>20477</v>
      </c>
      <c r="Q5045" t="s">
        <v>20701</v>
      </c>
      <c r="R5045" t="s">
        <v>21493</v>
      </c>
      <c r="S5045">
        <v>1457</v>
      </c>
    </row>
    <row r="5046" spans="1:19">
      <c r="A5046" t="s">
        <v>26</v>
      </c>
      <c r="B5046" t="s">
        <v>148</v>
      </c>
      <c r="C5046" t="s">
        <v>158</v>
      </c>
      <c r="D5046" t="s">
        <v>287</v>
      </c>
      <c r="E5046" t="s">
        <v>416</v>
      </c>
      <c r="F5046">
        <f>HYPERLINK("https://www.wikidata.org/wiki/Q33756209", "Q33756209")</f>
        <v>0</v>
      </c>
      <c r="G5046" t="s">
        <v>2628</v>
      </c>
      <c r="H5046" t="s">
        <v>5486</v>
      </c>
      <c r="I5046" t="s">
        <v>10323</v>
      </c>
      <c r="J5046" t="s">
        <v>13270</v>
      </c>
      <c r="K5046" t="s">
        <v>17672</v>
      </c>
      <c r="L5046">
        <f>HYPERLINK("https://www2.assemblee-nationale.fr/sycomore/fiche/(num_dept)/5120", "5120")</f>
        <v>0</v>
      </c>
      <c r="N5046">
        <f>HYPERLINK("https://www.wikidata.org/wiki/Q8306404", "Q8306404")</f>
        <v>0</v>
      </c>
      <c r="O5046" t="s">
        <v>19971</v>
      </c>
      <c r="P5046" t="s">
        <v>20459</v>
      </c>
      <c r="Q5046" t="s">
        <v>20701</v>
      </c>
      <c r="R5046" t="s">
        <v>21493</v>
      </c>
      <c r="S5046">
        <v>1457</v>
      </c>
    </row>
    <row r="5047" spans="1:19">
      <c r="A5047" t="s">
        <v>26</v>
      </c>
      <c r="B5047" t="s">
        <v>148</v>
      </c>
      <c r="C5047" t="s">
        <v>158</v>
      </c>
      <c r="D5047" t="s">
        <v>287</v>
      </c>
      <c r="E5047" t="s">
        <v>416</v>
      </c>
      <c r="F5047">
        <f>HYPERLINK("https://www.wikidata.org/wiki/Q33756209", "Q33756209")</f>
        <v>0</v>
      </c>
      <c r="G5047" t="s">
        <v>3265</v>
      </c>
      <c r="H5047" t="s">
        <v>7681</v>
      </c>
      <c r="I5047" t="s">
        <v>10738</v>
      </c>
      <c r="J5047" t="s">
        <v>13881</v>
      </c>
      <c r="K5047" t="s">
        <v>18253</v>
      </c>
      <c r="L5047">
        <f>HYPERLINK("https://www2.assemblee-nationale.fr/sycomore/fiche/(num_dept)/5172", "5172")</f>
        <v>0</v>
      </c>
      <c r="N5047">
        <f>HYPERLINK("https://www.wikidata.org/wiki/Q3078589", "Q3078589")</f>
        <v>0</v>
      </c>
      <c r="O5047" t="s">
        <v>19996</v>
      </c>
      <c r="P5047" t="s">
        <v>20459</v>
      </c>
      <c r="Q5047" t="s">
        <v>20701</v>
      </c>
      <c r="R5047" t="s">
        <v>21493</v>
      </c>
      <c r="S5047">
        <v>1457</v>
      </c>
    </row>
    <row r="5048" spans="1:19">
      <c r="A5048" t="s">
        <v>26</v>
      </c>
      <c r="B5048" t="s">
        <v>148</v>
      </c>
      <c r="C5048" t="s">
        <v>158</v>
      </c>
      <c r="D5048" t="s">
        <v>287</v>
      </c>
      <c r="E5048" t="s">
        <v>416</v>
      </c>
      <c r="F5048">
        <f>HYPERLINK("https://www.wikidata.org/wiki/Q33756209", "Q33756209")</f>
        <v>0</v>
      </c>
      <c r="G5048" t="s">
        <v>3266</v>
      </c>
      <c r="H5048" t="s">
        <v>7682</v>
      </c>
      <c r="I5048" t="s">
        <v>9488</v>
      </c>
      <c r="J5048" t="s">
        <v>13882</v>
      </c>
      <c r="K5048" t="s">
        <v>18254</v>
      </c>
      <c r="L5048">
        <f>HYPERLINK("https://www2.assemblee-nationale.fr/sycomore/fiche/(num_dept)/5200", "5200")</f>
        <v>0</v>
      </c>
      <c r="N5048">
        <f>HYPERLINK("https://www.wikidata.org/wiki/Q15711646", "Q15711646")</f>
        <v>0</v>
      </c>
      <c r="O5048" t="s">
        <v>19987</v>
      </c>
      <c r="P5048" t="s">
        <v>20459</v>
      </c>
      <c r="Q5048" t="s">
        <v>20701</v>
      </c>
      <c r="R5048" t="s">
        <v>21493</v>
      </c>
      <c r="S5048">
        <v>1457</v>
      </c>
    </row>
    <row r="5049" spans="1:19">
      <c r="A5049" t="s">
        <v>26</v>
      </c>
      <c r="B5049" t="s">
        <v>148</v>
      </c>
      <c r="C5049" t="s">
        <v>158</v>
      </c>
      <c r="D5049" t="s">
        <v>287</v>
      </c>
      <c r="E5049" t="s">
        <v>416</v>
      </c>
      <c r="F5049">
        <f>HYPERLINK("https://www.wikidata.org/wiki/Q33756209", "Q33756209")</f>
        <v>0</v>
      </c>
      <c r="G5049" t="s">
        <v>3267</v>
      </c>
      <c r="H5049" t="s">
        <v>6941</v>
      </c>
      <c r="I5049" t="s">
        <v>9458</v>
      </c>
      <c r="J5049" t="s">
        <v>13461</v>
      </c>
      <c r="K5049" t="s">
        <v>18255</v>
      </c>
      <c r="L5049">
        <f>HYPERLINK("https://www2.assemblee-nationale.fr/sycomore/fiche/(num_dept)/5256", "5256")</f>
        <v>0</v>
      </c>
      <c r="N5049">
        <f>HYPERLINK("https://www.wikidata.org/wiki/Q2835332", "Q2835332")</f>
        <v>0</v>
      </c>
      <c r="O5049" t="s">
        <v>20047</v>
      </c>
      <c r="P5049" t="s">
        <v>20401</v>
      </c>
      <c r="Q5049" t="s">
        <v>20701</v>
      </c>
      <c r="R5049" t="s">
        <v>21493</v>
      </c>
      <c r="S5049">
        <v>1457</v>
      </c>
    </row>
    <row r="5050" spans="1:19">
      <c r="A5050" t="s">
        <v>26</v>
      </c>
      <c r="B5050" t="s">
        <v>148</v>
      </c>
      <c r="C5050" t="s">
        <v>158</v>
      </c>
      <c r="D5050" t="s">
        <v>287</v>
      </c>
      <c r="E5050" t="s">
        <v>416</v>
      </c>
      <c r="F5050">
        <f>HYPERLINK("https://www.wikidata.org/wiki/Q33756209", "Q33756209")</f>
        <v>0</v>
      </c>
      <c r="G5050" t="s">
        <v>3268</v>
      </c>
      <c r="H5050" t="s">
        <v>7683</v>
      </c>
      <c r="I5050" t="s">
        <v>9457</v>
      </c>
      <c r="J5050" t="s">
        <v>13691</v>
      </c>
      <c r="K5050" t="s">
        <v>18256</v>
      </c>
      <c r="L5050">
        <f>HYPERLINK("https://www2.assemblee-nationale.fr/sycomore/fiche/(num_dept)/5267", "5267")</f>
        <v>0</v>
      </c>
      <c r="N5050">
        <f>HYPERLINK("https://www.wikidata.org/wiki/Q3131641", "Q3131641")</f>
        <v>0</v>
      </c>
      <c r="O5050" t="s">
        <v>19969</v>
      </c>
      <c r="P5050" t="s">
        <v>20465</v>
      </c>
      <c r="Q5050" t="s">
        <v>20701</v>
      </c>
      <c r="R5050" t="s">
        <v>21493</v>
      </c>
      <c r="S5050">
        <v>1457</v>
      </c>
    </row>
    <row r="5051" spans="1:19">
      <c r="A5051" t="s">
        <v>26</v>
      </c>
      <c r="B5051" t="s">
        <v>148</v>
      </c>
      <c r="C5051" t="s">
        <v>158</v>
      </c>
      <c r="D5051" t="s">
        <v>287</v>
      </c>
      <c r="E5051" t="s">
        <v>416</v>
      </c>
      <c r="F5051">
        <f>HYPERLINK("https://www.wikidata.org/wiki/Q33756209", "Q33756209")</f>
        <v>0</v>
      </c>
      <c r="G5051" t="s">
        <v>2633</v>
      </c>
      <c r="H5051" t="s">
        <v>7178</v>
      </c>
      <c r="I5051" t="s">
        <v>10327</v>
      </c>
      <c r="J5051" t="s">
        <v>13275</v>
      </c>
      <c r="K5051" t="s">
        <v>17677</v>
      </c>
      <c r="L5051">
        <f>HYPERLINK("https://www2.assemblee-nationale.fr/sycomore/fiche/(num_dept)/5269", "5269")</f>
        <v>0</v>
      </c>
      <c r="N5051">
        <f>HYPERLINK("https://www.wikidata.org/wiki/Q2941052", "Q2941052")</f>
        <v>0</v>
      </c>
      <c r="O5051" t="s">
        <v>8449</v>
      </c>
      <c r="P5051" t="s">
        <v>20459</v>
      </c>
      <c r="Q5051" t="s">
        <v>20701</v>
      </c>
      <c r="R5051" t="s">
        <v>21493</v>
      </c>
      <c r="S5051">
        <v>1457</v>
      </c>
    </row>
    <row r="5052" spans="1:19">
      <c r="A5052" t="s">
        <v>26</v>
      </c>
      <c r="B5052" t="s">
        <v>148</v>
      </c>
      <c r="C5052" t="s">
        <v>158</v>
      </c>
      <c r="D5052" t="s">
        <v>287</v>
      </c>
      <c r="E5052" t="s">
        <v>416</v>
      </c>
      <c r="F5052">
        <f>HYPERLINK("https://www.wikidata.org/wiki/Q33756209", "Q33756209")</f>
        <v>0</v>
      </c>
      <c r="G5052" t="s">
        <v>3030</v>
      </c>
      <c r="H5052" t="s">
        <v>7487</v>
      </c>
      <c r="I5052" t="s">
        <v>6495</v>
      </c>
      <c r="J5052" t="s">
        <v>13658</v>
      </c>
      <c r="K5052" t="s">
        <v>18041</v>
      </c>
      <c r="L5052">
        <f>HYPERLINK("https://www2.assemblee-nationale.fr/sycomore/fiche/(num_dept)/5289", "5289")</f>
        <v>0</v>
      </c>
      <c r="M5052">
        <f>HYPERLINK("https://www.senat.fr/senateur-3eme-republique/million_louis1142r3.html", "million_louis1142r3")</f>
        <v>0</v>
      </c>
      <c r="N5052">
        <f>HYPERLINK("https://www.wikidata.org/wiki/Q3262708", "Q3262708")</f>
        <v>0</v>
      </c>
      <c r="O5052" t="s">
        <v>19965</v>
      </c>
      <c r="P5052" t="s">
        <v>20459</v>
      </c>
      <c r="Q5052" t="s">
        <v>20701</v>
      </c>
      <c r="R5052" t="s">
        <v>21493</v>
      </c>
      <c r="S5052">
        <v>1457</v>
      </c>
    </row>
    <row r="5053" spans="1:19">
      <c r="A5053" t="s">
        <v>26</v>
      </c>
      <c r="B5053" t="s">
        <v>148</v>
      </c>
      <c r="C5053" t="s">
        <v>158</v>
      </c>
      <c r="D5053" t="s">
        <v>287</v>
      </c>
      <c r="E5053" t="s">
        <v>416</v>
      </c>
      <c r="F5053">
        <f>HYPERLINK("https://www.wikidata.org/wiki/Q33756209", "Q33756209")</f>
        <v>0</v>
      </c>
      <c r="G5053" t="s">
        <v>3269</v>
      </c>
      <c r="H5053" t="s">
        <v>7684</v>
      </c>
      <c r="I5053" t="s">
        <v>9442</v>
      </c>
      <c r="J5053" t="s">
        <v>13883</v>
      </c>
      <c r="K5053" t="s">
        <v>18257</v>
      </c>
      <c r="L5053">
        <f>HYPERLINK("https://www2.assemblee-nationale.fr/sycomore/fiche/(num_dept)/5343", "5343")</f>
        <v>0</v>
      </c>
      <c r="M5053">
        <f>HYPERLINK("https://www.senat.fr/senateur-3eme-republique/monis_ernest0193r3.html", "monis_ernest0193r3")</f>
        <v>0</v>
      </c>
      <c r="N5053">
        <f>HYPERLINK("https://www.wikidata.org/wiki/Q561583", "Q561583")</f>
        <v>0</v>
      </c>
      <c r="O5053" t="s">
        <v>19987</v>
      </c>
      <c r="P5053" t="s">
        <v>20459</v>
      </c>
      <c r="Q5053" t="s">
        <v>20701</v>
      </c>
      <c r="R5053" t="s">
        <v>21493</v>
      </c>
      <c r="S5053">
        <v>1457</v>
      </c>
    </row>
    <row r="5054" spans="1:19">
      <c r="A5054" t="s">
        <v>26</v>
      </c>
      <c r="B5054" t="s">
        <v>148</v>
      </c>
      <c r="C5054" t="s">
        <v>158</v>
      </c>
      <c r="D5054" t="s">
        <v>287</v>
      </c>
      <c r="E5054" t="s">
        <v>416</v>
      </c>
      <c r="F5054">
        <f>HYPERLINK("https://www.wikidata.org/wiki/Q33756209", "Q33756209")</f>
        <v>0</v>
      </c>
      <c r="G5054" t="s">
        <v>3270</v>
      </c>
      <c r="H5054" t="s">
        <v>7685</v>
      </c>
      <c r="I5054" t="s">
        <v>9856</v>
      </c>
      <c r="J5054" t="s">
        <v>13884</v>
      </c>
      <c r="K5054" t="s">
        <v>18258</v>
      </c>
      <c r="L5054">
        <f>HYPERLINK("https://www2.assemblee-nationale.fr/sycomore/fiche/(num_dept)/5379", "5379")</f>
        <v>0</v>
      </c>
      <c r="N5054">
        <f>HYPERLINK("https://www.wikidata.org/wiki/Q16026134", "Q16026134")</f>
        <v>0</v>
      </c>
      <c r="O5054" t="s">
        <v>19955</v>
      </c>
      <c r="P5054" t="s">
        <v>20460</v>
      </c>
      <c r="Q5054" t="s">
        <v>20701</v>
      </c>
      <c r="R5054" t="s">
        <v>21505</v>
      </c>
      <c r="S5054">
        <v>48</v>
      </c>
    </row>
    <row r="5055" spans="1:19">
      <c r="A5055" t="s">
        <v>26</v>
      </c>
      <c r="B5055" t="s">
        <v>148</v>
      </c>
      <c r="C5055" t="s">
        <v>158</v>
      </c>
      <c r="D5055" t="s">
        <v>287</v>
      </c>
      <c r="E5055" t="s">
        <v>416</v>
      </c>
      <c r="F5055">
        <f>HYPERLINK("https://www.wikidata.org/wiki/Q33756209", "Q33756209")</f>
        <v>0</v>
      </c>
      <c r="G5055" t="s">
        <v>3271</v>
      </c>
      <c r="H5055" t="s">
        <v>7686</v>
      </c>
      <c r="I5055" t="s">
        <v>9388</v>
      </c>
      <c r="J5055" t="s">
        <v>13885</v>
      </c>
      <c r="K5055" t="s">
        <v>18059</v>
      </c>
      <c r="L5055">
        <f>HYPERLINK("https://www2.assemblee-nationale.fr/sycomore/fiche/(num_dept)/5481", "5481")</f>
        <v>0</v>
      </c>
      <c r="N5055">
        <f>HYPERLINK("https://www.wikidata.org/wiki/Q16026171", "Q16026171")</f>
        <v>0</v>
      </c>
      <c r="O5055" t="s">
        <v>19955</v>
      </c>
      <c r="P5055" t="s">
        <v>20460</v>
      </c>
      <c r="Q5055" t="s">
        <v>20701</v>
      </c>
      <c r="R5055" t="s">
        <v>21505</v>
      </c>
      <c r="S5055">
        <v>48</v>
      </c>
    </row>
    <row r="5056" spans="1:19">
      <c r="A5056" t="s">
        <v>26</v>
      </c>
      <c r="B5056" t="s">
        <v>148</v>
      </c>
      <c r="C5056" t="s">
        <v>158</v>
      </c>
      <c r="D5056" t="s">
        <v>287</v>
      </c>
      <c r="E5056" t="s">
        <v>416</v>
      </c>
      <c r="F5056">
        <f>HYPERLINK("https://www.wikidata.org/wiki/Q33756209", "Q33756209")</f>
        <v>0</v>
      </c>
      <c r="G5056" t="s">
        <v>2637</v>
      </c>
      <c r="H5056" t="s">
        <v>7182</v>
      </c>
      <c r="I5056" t="s">
        <v>9451</v>
      </c>
      <c r="J5056" t="s">
        <v>13279</v>
      </c>
      <c r="K5056" t="s">
        <v>17681</v>
      </c>
      <c r="L5056">
        <f>HYPERLINK("https://www2.assemblee-nationale.fr/sycomore/fiche/(num_dept)/5535", "5535")</f>
        <v>0</v>
      </c>
      <c r="M5056">
        <f>HYPERLINK("https://www.senat.fr/senateur-3eme-republique/neveux_theophile0171r3.html", "neveux_theophile0171r3")</f>
        <v>0</v>
      </c>
      <c r="N5056">
        <f>HYPERLINK("https://www.wikidata.org/wiki/Q3526621", "Q3526621")</f>
        <v>0</v>
      </c>
      <c r="O5056" t="s">
        <v>19959</v>
      </c>
      <c r="P5056" t="s">
        <v>20459</v>
      </c>
      <c r="Q5056" t="s">
        <v>20701</v>
      </c>
      <c r="R5056" t="s">
        <v>12619</v>
      </c>
      <c r="S5056">
        <v>1098</v>
      </c>
    </row>
    <row r="5057" spans="1:19">
      <c r="A5057" t="s">
        <v>26</v>
      </c>
      <c r="B5057" t="s">
        <v>148</v>
      </c>
      <c r="C5057" t="s">
        <v>158</v>
      </c>
      <c r="D5057" t="s">
        <v>287</v>
      </c>
      <c r="E5057" t="s">
        <v>416</v>
      </c>
      <c r="F5057">
        <f>HYPERLINK("https://www.wikidata.org/wiki/Q33756209", "Q33756209")</f>
        <v>0</v>
      </c>
      <c r="G5057" t="s">
        <v>3077</v>
      </c>
      <c r="H5057" t="s">
        <v>7195</v>
      </c>
      <c r="I5057" t="s">
        <v>10614</v>
      </c>
      <c r="J5057" t="s">
        <v>13701</v>
      </c>
      <c r="K5057" t="s">
        <v>18084</v>
      </c>
      <c r="L5057">
        <f>HYPERLINK("https://www2.assemblee-nationale.fr/sycomore/fiche/(num_dept)/5591", "5591")</f>
        <v>0</v>
      </c>
      <c r="M5057">
        <f>HYPERLINK("https://www.senat.fr/senateur-3eme-republique/obissier_louis0200r3.html", "obissier_louis0200r3")</f>
        <v>0</v>
      </c>
      <c r="N5057">
        <f>HYPERLINK("https://www.wikidata.org/wiki/Q16026221", "Q16026221")</f>
        <v>0</v>
      </c>
      <c r="O5057" t="s">
        <v>19987</v>
      </c>
      <c r="P5057" t="s">
        <v>20403</v>
      </c>
      <c r="Q5057" t="s">
        <v>20701</v>
      </c>
      <c r="R5057" t="s">
        <v>21493</v>
      </c>
      <c r="S5057">
        <v>1457</v>
      </c>
    </row>
    <row r="5058" spans="1:19">
      <c r="A5058" t="s">
        <v>26</v>
      </c>
      <c r="B5058" t="s">
        <v>148</v>
      </c>
      <c r="C5058" t="s">
        <v>158</v>
      </c>
      <c r="D5058" t="s">
        <v>287</v>
      </c>
      <c r="E5058" t="s">
        <v>416</v>
      </c>
      <c r="F5058">
        <f>HYPERLINK("https://www.wikidata.org/wiki/Q33756209", "Q33756209")</f>
        <v>0</v>
      </c>
      <c r="G5058" t="s">
        <v>3272</v>
      </c>
      <c r="H5058" t="s">
        <v>7687</v>
      </c>
      <c r="I5058" t="s">
        <v>10739</v>
      </c>
      <c r="J5058" t="s">
        <v>13886</v>
      </c>
      <c r="K5058" t="s">
        <v>18259</v>
      </c>
      <c r="L5058">
        <f>HYPERLINK("https://www2.assemblee-nationale.fr/sycomore/fiche/(num_dept)/5657", "5657")</f>
        <v>0</v>
      </c>
      <c r="M5058">
        <f>HYPERLINK("https://www.senat.fr/senateur-3eme-republique/pajot_christophe0430r3.html", "pajot_christophe0430r3")</f>
        <v>0</v>
      </c>
      <c r="N5058">
        <f>HYPERLINK("https://www.wikidata.org/wiki/Q2966424", "Q2966424")</f>
        <v>0</v>
      </c>
      <c r="O5058" t="s">
        <v>19996</v>
      </c>
      <c r="P5058" t="s">
        <v>20459</v>
      </c>
      <c r="Q5058" t="s">
        <v>20701</v>
      </c>
      <c r="R5058" t="s">
        <v>21493</v>
      </c>
      <c r="S5058">
        <v>1457</v>
      </c>
    </row>
    <row r="5059" spans="1:19">
      <c r="A5059" t="s">
        <v>26</v>
      </c>
      <c r="B5059" t="s">
        <v>148</v>
      </c>
      <c r="C5059" t="s">
        <v>158</v>
      </c>
      <c r="D5059" t="s">
        <v>287</v>
      </c>
      <c r="E5059" t="s">
        <v>416</v>
      </c>
      <c r="F5059">
        <f>HYPERLINK("https://www.wikidata.org/wiki/Q33756209", "Q33756209")</f>
        <v>0</v>
      </c>
      <c r="G5059" t="s">
        <v>3273</v>
      </c>
      <c r="H5059" t="s">
        <v>7688</v>
      </c>
      <c r="I5059" t="s">
        <v>10486</v>
      </c>
      <c r="J5059" t="s">
        <v>13887</v>
      </c>
      <c r="K5059" t="s">
        <v>18260</v>
      </c>
      <c r="L5059">
        <f>HYPERLINK("https://www2.assemblee-nationale.fr/sycomore/fiche/(num_dept)/5661", "5661")</f>
        <v>0</v>
      </c>
      <c r="N5059">
        <f>HYPERLINK("https://www.wikidata.org/wiki/Q16026252", "Q16026252")</f>
        <v>0</v>
      </c>
      <c r="O5059" t="s">
        <v>19990</v>
      </c>
      <c r="P5059" t="s">
        <v>20465</v>
      </c>
      <c r="Q5059" t="s">
        <v>20701</v>
      </c>
      <c r="R5059" t="s">
        <v>18260</v>
      </c>
      <c r="S5059">
        <v>831</v>
      </c>
    </row>
    <row r="5060" spans="1:19">
      <c r="A5060" t="s">
        <v>26</v>
      </c>
      <c r="B5060" t="s">
        <v>148</v>
      </c>
      <c r="C5060" t="s">
        <v>158</v>
      </c>
      <c r="D5060" t="s">
        <v>287</v>
      </c>
      <c r="E5060" t="s">
        <v>416</v>
      </c>
      <c r="F5060">
        <f>HYPERLINK("https://www.wikidata.org/wiki/Q33756209", "Q33756209")</f>
        <v>0</v>
      </c>
      <c r="G5060" t="s">
        <v>3058</v>
      </c>
      <c r="H5060" t="s">
        <v>7512</v>
      </c>
      <c r="I5060" t="s">
        <v>6860</v>
      </c>
      <c r="J5060" t="s">
        <v>11513</v>
      </c>
      <c r="K5060" t="s">
        <v>18065</v>
      </c>
      <c r="L5060">
        <f>HYPERLINK("https://www2.assemblee-nationale.fr/sycomore/fiche/(num_dept)/5672", "5672")</f>
        <v>0</v>
      </c>
      <c r="N5060">
        <f>HYPERLINK("https://www.wikidata.org/wiki/Q16026257", "Q16026257")</f>
        <v>0</v>
      </c>
      <c r="O5060" t="s">
        <v>19960</v>
      </c>
      <c r="P5060" t="s">
        <v>20459</v>
      </c>
      <c r="Q5060" t="s">
        <v>20701</v>
      </c>
      <c r="R5060" t="s">
        <v>21507</v>
      </c>
      <c r="S5060">
        <v>860</v>
      </c>
    </row>
    <row r="5061" spans="1:19">
      <c r="A5061" t="s">
        <v>26</v>
      </c>
      <c r="B5061" t="s">
        <v>148</v>
      </c>
      <c r="C5061" t="s">
        <v>158</v>
      </c>
      <c r="D5061" t="s">
        <v>287</v>
      </c>
      <c r="E5061" t="s">
        <v>416</v>
      </c>
      <c r="F5061">
        <f>HYPERLINK("https://www.wikidata.org/wiki/Q33756209", "Q33756209")</f>
        <v>0</v>
      </c>
      <c r="G5061" t="s">
        <v>2642</v>
      </c>
      <c r="H5061" t="s">
        <v>7187</v>
      </c>
      <c r="I5061" t="s">
        <v>9553</v>
      </c>
      <c r="J5061" t="s">
        <v>13284</v>
      </c>
      <c r="K5061" t="s">
        <v>17686</v>
      </c>
      <c r="L5061">
        <f>HYPERLINK("https://www2.assemblee-nationale.fr/sycomore/fiche/(num_dept)/5673", "5673")</f>
        <v>0</v>
      </c>
      <c r="N5061">
        <f>HYPERLINK("https://www.wikidata.org/wiki/Q8309254", "Q8309254")</f>
        <v>0</v>
      </c>
      <c r="O5061" t="s">
        <v>19992</v>
      </c>
      <c r="P5061" t="s">
        <v>20459</v>
      </c>
      <c r="Q5061" t="s">
        <v>20701</v>
      </c>
      <c r="R5061" t="s">
        <v>21493</v>
      </c>
      <c r="S5061">
        <v>1457</v>
      </c>
    </row>
    <row r="5062" spans="1:19">
      <c r="A5062" t="s">
        <v>26</v>
      </c>
      <c r="B5062" t="s">
        <v>148</v>
      </c>
      <c r="C5062" t="s">
        <v>158</v>
      </c>
      <c r="D5062" t="s">
        <v>287</v>
      </c>
      <c r="E5062" t="s">
        <v>416</v>
      </c>
      <c r="F5062">
        <f>HYPERLINK("https://www.wikidata.org/wiki/Q33756209", "Q33756209")</f>
        <v>0</v>
      </c>
      <c r="G5062" t="s">
        <v>754</v>
      </c>
      <c r="H5062" t="s">
        <v>5512</v>
      </c>
      <c r="I5062" t="s">
        <v>9506</v>
      </c>
      <c r="J5062" t="s">
        <v>11502</v>
      </c>
      <c r="K5062" t="s">
        <v>15905</v>
      </c>
      <c r="L5062">
        <f>HYPERLINK("https://www2.assemblee-nationale.fr/sycomore/fiche/(num_dept)/5764", "5764")</f>
        <v>0</v>
      </c>
      <c r="M5062">
        <f>HYPERLINK("https://www.senat.fr/senateur-3eme-republique/pelletan_camille0312r3.html", "pelletan_camille0312r3")</f>
        <v>0</v>
      </c>
      <c r="N5062">
        <f>HYPERLINK("https://www.wikidata.org/wiki/Q2862434", "Q2862434")</f>
        <v>0</v>
      </c>
      <c r="O5062" t="s">
        <v>19990</v>
      </c>
      <c r="P5062" t="s">
        <v>20401</v>
      </c>
      <c r="Q5062" t="s">
        <v>20701</v>
      </c>
      <c r="R5062" t="s">
        <v>21493</v>
      </c>
      <c r="S5062">
        <v>1457</v>
      </c>
    </row>
    <row r="5063" spans="1:19">
      <c r="A5063" t="s">
        <v>26</v>
      </c>
      <c r="B5063" t="s">
        <v>148</v>
      </c>
      <c r="C5063" t="s">
        <v>158</v>
      </c>
      <c r="D5063" t="s">
        <v>287</v>
      </c>
      <c r="E5063" t="s">
        <v>416</v>
      </c>
      <c r="F5063">
        <f>HYPERLINK("https://www.wikidata.org/wiki/Q33756209", "Q33756209")</f>
        <v>0</v>
      </c>
      <c r="G5063" t="s">
        <v>3274</v>
      </c>
      <c r="H5063" t="s">
        <v>7689</v>
      </c>
      <c r="I5063" t="s">
        <v>9449</v>
      </c>
      <c r="J5063" t="s">
        <v>13888</v>
      </c>
      <c r="K5063" t="s">
        <v>15668</v>
      </c>
      <c r="L5063">
        <f>HYPERLINK("https://www2.assemblee-nationale.fr/sycomore/fiche/(num_dept)/5790", "5790")</f>
        <v>0</v>
      </c>
      <c r="N5063">
        <f>HYPERLINK("https://www.wikidata.org/wiki/Q8319435", "Q8319435")</f>
        <v>0</v>
      </c>
      <c r="O5063" t="s">
        <v>19976</v>
      </c>
      <c r="P5063" t="s">
        <v>20456</v>
      </c>
      <c r="Q5063" t="s">
        <v>20701</v>
      </c>
      <c r="R5063" t="s">
        <v>21493</v>
      </c>
      <c r="S5063">
        <v>1457</v>
      </c>
    </row>
    <row r="5064" spans="1:19">
      <c r="A5064" t="s">
        <v>26</v>
      </c>
      <c r="B5064" t="s">
        <v>148</v>
      </c>
      <c r="C5064" t="s">
        <v>158</v>
      </c>
      <c r="D5064" t="s">
        <v>287</v>
      </c>
      <c r="E5064" t="s">
        <v>416</v>
      </c>
      <c r="F5064">
        <f>HYPERLINK("https://www.wikidata.org/wiki/Q33756209", "Q33756209")</f>
        <v>0</v>
      </c>
      <c r="G5064" t="s">
        <v>3275</v>
      </c>
      <c r="H5064" t="s">
        <v>7690</v>
      </c>
      <c r="I5064" t="s">
        <v>9453</v>
      </c>
      <c r="J5064" t="s">
        <v>13889</v>
      </c>
      <c r="K5064" t="s">
        <v>18261</v>
      </c>
      <c r="L5064">
        <f>HYPERLINK("https://www2.assemblee-nationale.fr/sycomore/fiche/(num_dept)/5798", "5798")</f>
        <v>0</v>
      </c>
      <c r="N5064">
        <f>HYPERLINK("https://www.wikidata.org/wiki/Q16026311", "Q16026311")</f>
        <v>0</v>
      </c>
      <c r="O5064" t="s">
        <v>19996</v>
      </c>
      <c r="P5064" t="s">
        <v>20459</v>
      </c>
      <c r="Q5064" t="s">
        <v>20701</v>
      </c>
      <c r="R5064" t="s">
        <v>21493</v>
      </c>
      <c r="S5064">
        <v>1457</v>
      </c>
    </row>
    <row r="5065" spans="1:19">
      <c r="A5065" t="s">
        <v>26</v>
      </c>
      <c r="B5065" t="s">
        <v>148</v>
      </c>
      <c r="C5065" t="s">
        <v>158</v>
      </c>
      <c r="D5065" t="s">
        <v>287</v>
      </c>
      <c r="E5065" t="s">
        <v>416</v>
      </c>
      <c r="F5065">
        <f>HYPERLINK("https://www.wikidata.org/wiki/Q33756209", "Q33756209")</f>
        <v>0</v>
      </c>
      <c r="G5065" t="s">
        <v>2965</v>
      </c>
      <c r="H5065" t="s">
        <v>5848</v>
      </c>
      <c r="I5065" t="s">
        <v>9388</v>
      </c>
      <c r="J5065" t="s">
        <v>13597</v>
      </c>
      <c r="K5065" t="s">
        <v>17983</v>
      </c>
      <c r="L5065">
        <f>HYPERLINK("https://www2.assemblee-nationale.fr/sycomore/fiche/(num_dept)/5873", "5873")</f>
        <v>0</v>
      </c>
      <c r="M5065">
        <f>HYPERLINK("https://www.senat.fr/senateur-3eme-republique/peytral_paul0322r3.html", "peytral_paul0322r3")</f>
        <v>0</v>
      </c>
      <c r="N5065">
        <f>HYPERLINK("https://www.wikidata.org/wiki/Q179491", "Q179491")</f>
        <v>0</v>
      </c>
      <c r="O5065" t="s">
        <v>19990</v>
      </c>
      <c r="P5065" t="s">
        <v>20471</v>
      </c>
      <c r="Q5065" t="s">
        <v>20701</v>
      </c>
      <c r="R5065" t="s">
        <v>21493</v>
      </c>
      <c r="S5065">
        <v>1457</v>
      </c>
    </row>
    <row r="5066" spans="1:19">
      <c r="A5066" t="s">
        <v>26</v>
      </c>
      <c r="B5066" t="s">
        <v>148</v>
      </c>
      <c r="C5066" t="s">
        <v>158</v>
      </c>
      <c r="D5066" t="s">
        <v>287</v>
      </c>
      <c r="E5066" t="s">
        <v>416</v>
      </c>
      <c r="F5066">
        <f>HYPERLINK("https://www.wikidata.org/wiki/Q33756209", "Q33756209")</f>
        <v>0</v>
      </c>
      <c r="G5066" t="s">
        <v>3276</v>
      </c>
      <c r="H5066" t="s">
        <v>7691</v>
      </c>
      <c r="I5066" t="s">
        <v>10740</v>
      </c>
      <c r="J5066" t="s">
        <v>13890</v>
      </c>
      <c r="K5066" t="s">
        <v>18262</v>
      </c>
      <c r="L5066">
        <f>HYPERLINK("https://www2.assemblee-nationale.fr/sycomore/fiche/(num_dept)/5905", "5905")</f>
        <v>0</v>
      </c>
      <c r="M5066">
        <f>HYPERLINK("https://www.senat.fr/senateur-3eme-republique/pichon_stephen0429r3.html", "pichon_stephen0429r3")</f>
        <v>0</v>
      </c>
      <c r="N5066">
        <f>HYPERLINK("https://www.wikidata.org/wiki/Q1069292", "Q1069292")</f>
        <v>0</v>
      </c>
      <c r="O5066" t="s">
        <v>19969</v>
      </c>
      <c r="P5066" t="s">
        <v>20401</v>
      </c>
      <c r="Q5066" t="s">
        <v>20701</v>
      </c>
      <c r="R5066" t="s">
        <v>21493</v>
      </c>
      <c r="S5066">
        <v>1457</v>
      </c>
    </row>
    <row r="5067" spans="1:19">
      <c r="A5067" t="s">
        <v>26</v>
      </c>
      <c r="B5067" t="s">
        <v>148</v>
      </c>
      <c r="C5067" t="s">
        <v>158</v>
      </c>
      <c r="D5067" t="s">
        <v>287</v>
      </c>
      <c r="E5067" t="s">
        <v>416</v>
      </c>
      <c r="F5067">
        <f>HYPERLINK("https://www.wikidata.org/wiki/Q33756209", "Q33756209")</f>
        <v>0</v>
      </c>
      <c r="G5067" t="s">
        <v>3036</v>
      </c>
      <c r="H5067" t="s">
        <v>5525</v>
      </c>
      <c r="I5067" t="s">
        <v>9574</v>
      </c>
      <c r="J5067" t="s">
        <v>13664</v>
      </c>
      <c r="K5067" t="s">
        <v>18046</v>
      </c>
      <c r="L5067">
        <f>HYPERLINK("https://www2.assemblee-nationale.fr/sycomore/fiche/(num_dept)/6030", "6030")</f>
        <v>0</v>
      </c>
      <c r="N5067">
        <f>HYPERLINK("https://www.wikidata.org/wiki/Q16026434", "Q16026434")</f>
        <v>0</v>
      </c>
      <c r="O5067" t="s">
        <v>20037</v>
      </c>
      <c r="P5067" t="s">
        <v>20460</v>
      </c>
      <c r="Q5067" t="s">
        <v>20701</v>
      </c>
      <c r="R5067" t="s">
        <v>21493</v>
      </c>
      <c r="S5067">
        <v>1457</v>
      </c>
    </row>
    <row r="5068" spans="1:19">
      <c r="A5068" t="s">
        <v>26</v>
      </c>
      <c r="B5068" t="s">
        <v>148</v>
      </c>
      <c r="C5068" t="s">
        <v>158</v>
      </c>
      <c r="D5068" t="s">
        <v>287</v>
      </c>
      <c r="E5068" t="s">
        <v>416</v>
      </c>
      <c r="F5068">
        <f>HYPERLINK("https://www.wikidata.org/wiki/Q33756209", "Q33756209")</f>
        <v>0</v>
      </c>
      <c r="G5068" t="s">
        <v>767</v>
      </c>
      <c r="H5068" t="s">
        <v>5525</v>
      </c>
      <c r="I5068" t="s">
        <v>9449</v>
      </c>
      <c r="J5068" t="s">
        <v>11514</v>
      </c>
      <c r="K5068" t="s">
        <v>15918</v>
      </c>
      <c r="L5068">
        <f>HYPERLINK("https://www2.assemblee-nationale.fr/sycomore/fiche/(num_dept)/6031", "6031")</f>
        <v>0</v>
      </c>
      <c r="N5068">
        <f>HYPERLINK("https://www.wikidata.org/wiki/Q3188891", "Q3188891")</f>
        <v>0</v>
      </c>
      <c r="O5068" t="s">
        <v>19988</v>
      </c>
      <c r="P5068" t="s">
        <v>20459</v>
      </c>
      <c r="Q5068" t="s">
        <v>20701</v>
      </c>
      <c r="R5068" t="s">
        <v>21493</v>
      </c>
      <c r="S5068">
        <v>1457</v>
      </c>
    </row>
    <row r="5069" spans="1:19">
      <c r="A5069" t="s">
        <v>26</v>
      </c>
      <c r="B5069" t="s">
        <v>148</v>
      </c>
      <c r="C5069" t="s">
        <v>158</v>
      </c>
      <c r="D5069" t="s">
        <v>287</v>
      </c>
      <c r="E5069" t="s">
        <v>416</v>
      </c>
      <c r="F5069">
        <f>HYPERLINK("https://www.wikidata.org/wiki/Q33756209", "Q33756209")</f>
        <v>0</v>
      </c>
      <c r="G5069" t="s">
        <v>3277</v>
      </c>
      <c r="H5069" t="s">
        <v>7692</v>
      </c>
      <c r="I5069" t="s">
        <v>10741</v>
      </c>
      <c r="J5069" t="s">
        <v>13891</v>
      </c>
      <c r="K5069" t="s">
        <v>18263</v>
      </c>
      <c r="L5069">
        <f>HYPERLINK("https://www2.assemblee-nationale.fr/sycomore/fiche/(num_dept)/6132", "6132")</f>
        <v>0</v>
      </c>
      <c r="N5069">
        <f>HYPERLINK("https://www.wikidata.org/wiki/Q3057166", "Q3057166")</f>
        <v>0</v>
      </c>
      <c r="O5069" t="s">
        <v>20024</v>
      </c>
      <c r="P5069" t="s">
        <v>20460</v>
      </c>
      <c r="Q5069" t="s">
        <v>20701</v>
      </c>
      <c r="R5069" t="s">
        <v>21493</v>
      </c>
      <c r="S5069">
        <v>1457</v>
      </c>
    </row>
    <row r="5070" spans="1:19">
      <c r="A5070" t="s">
        <v>26</v>
      </c>
      <c r="B5070" t="s">
        <v>148</v>
      </c>
      <c r="C5070" t="s">
        <v>158</v>
      </c>
      <c r="D5070" t="s">
        <v>287</v>
      </c>
      <c r="E5070" t="s">
        <v>416</v>
      </c>
      <c r="F5070">
        <f>HYPERLINK("https://www.wikidata.org/wiki/Q33756209", "Q33756209")</f>
        <v>0</v>
      </c>
      <c r="G5070" t="s">
        <v>2650</v>
      </c>
      <c r="H5070" t="s">
        <v>7191</v>
      </c>
      <c r="I5070" t="s">
        <v>7642</v>
      </c>
      <c r="J5070" t="s">
        <v>13292</v>
      </c>
      <c r="K5070" t="s">
        <v>17691</v>
      </c>
      <c r="L5070">
        <f>HYPERLINK("https://www2.assemblee-nationale.fr/sycomore/fiche/(num_dept)/6152", "6152")</f>
        <v>0</v>
      </c>
      <c r="M5070">
        <f>HYPERLINK("https://www.senat.fr/senateur-3eme-republique/rouvier_maurice0115r3.html", "rouvier_maurice0115r3")</f>
        <v>0</v>
      </c>
      <c r="N5070">
        <f>HYPERLINK("https://www.wikidata.org/wiki/Q471293", "Q471293")</f>
        <v>0</v>
      </c>
      <c r="O5070" t="s">
        <v>20024</v>
      </c>
      <c r="P5070" t="s">
        <v>20459</v>
      </c>
      <c r="Q5070" t="s">
        <v>20701</v>
      </c>
      <c r="R5070" t="s">
        <v>21493</v>
      </c>
      <c r="S5070">
        <v>1457</v>
      </c>
    </row>
    <row r="5071" spans="1:19">
      <c r="A5071" t="s">
        <v>26</v>
      </c>
      <c r="B5071" t="s">
        <v>148</v>
      </c>
      <c r="C5071" t="s">
        <v>158</v>
      </c>
      <c r="D5071" t="s">
        <v>287</v>
      </c>
      <c r="E5071" t="s">
        <v>416</v>
      </c>
      <c r="F5071">
        <f>HYPERLINK("https://www.wikidata.org/wiki/Q33756209", "Q33756209")</f>
        <v>0</v>
      </c>
      <c r="G5071" t="s">
        <v>2651</v>
      </c>
      <c r="H5071" t="s">
        <v>7192</v>
      </c>
      <c r="I5071" t="s">
        <v>10339</v>
      </c>
      <c r="J5071" t="s">
        <v>13293</v>
      </c>
      <c r="K5071" t="s">
        <v>17692</v>
      </c>
      <c r="L5071">
        <f>HYPERLINK("https://www2.assemblee-nationale.fr/sycomore/fiche/(num_dept)/6173", "6173")</f>
        <v>0</v>
      </c>
      <c r="N5071">
        <f>HYPERLINK("https://www.wikidata.org/wiki/Q100420800", "Q100420800")</f>
        <v>0</v>
      </c>
      <c r="O5071" t="s">
        <v>20037</v>
      </c>
      <c r="P5071" t="s">
        <v>20460</v>
      </c>
      <c r="Q5071" t="s">
        <v>20701</v>
      </c>
      <c r="R5071" t="s">
        <v>21493</v>
      </c>
      <c r="S5071">
        <v>1457</v>
      </c>
    </row>
    <row r="5072" spans="1:19">
      <c r="A5072" t="s">
        <v>26</v>
      </c>
      <c r="B5072" t="s">
        <v>148</v>
      </c>
      <c r="C5072" t="s">
        <v>158</v>
      </c>
      <c r="D5072" t="s">
        <v>287</v>
      </c>
      <c r="E5072" t="s">
        <v>416</v>
      </c>
      <c r="F5072">
        <f>HYPERLINK("https://www.wikidata.org/wiki/Q33756209", "Q33756209")</f>
        <v>0</v>
      </c>
      <c r="G5072" t="s">
        <v>2652</v>
      </c>
      <c r="H5072" t="s">
        <v>7193</v>
      </c>
      <c r="I5072" t="s">
        <v>10340</v>
      </c>
      <c r="J5072" t="s">
        <v>13294</v>
      </c>
      <c r="K5072" t="s">
        <v>17693</v>
      </c>
      <c r="L5072">
        <f>HYPERLINK("https://www2.assemblee-nationale.fr/sycomore/fiche/(num_dept)/6175", "6175")</f>
        <v>0</v>
      </c>
      <c r="N5072">
        <f>HYPERLINK("https://www.wikidata.org/wiki/Q16026458", "Q16026458")</f>
        <v>0</v>
      </c>
      <c r="O5072" t="s">
        <v>20030</v>
      </c>
      <c r="P5072" t="s">
        <v>20459</v>
      </c>
      <c r="Q5072" t="s">
        <v>20701</v>
      </c>
      <c r="R5072" t="s">
        <v>21493</v>
      </c>
      <c r="S5072">
        <v>1457</v>
      </c>
    </row>
    <row r="5073" spans="1:19">
      <c r="A5073" t="s">
        <v>26</v>
      </c>
      <c r="B5073" t="s">
        <v>148</v>
      </c>
      <c r="C5073" t="s">
        <v>158</v>
      </c>
      <c r="D5073" t="s">
        <v>287</v>
      </c>
      <c r="E5073" t="s">
        <v>416</v>
      </c>
      <c r="F5073">
        <f>HYPERLINK("https://www.wikidata.org/wiki/Q33756209", "Q33756209")</f>
        <v>0</v>
      </c>
      <c r="G5073" t="s">
        <v>2653</v>
      </c>
      <c r="H5073" t="s">
        <v>6941</v>
      </c>
      <c r="I5073" t="s">
        <v>10341</v>
      </c>
      <c r="J5073" t="s">
        <v>13295</v>
      </c>
      <c r="K5073" t="s">
        <v>17694</v>
      </c>
      <c r="L5073">
        <f>HYPERLINK("https://www2.assemblee-nationale.fr/sycomore/fiche/(num_dept)/6178", "6178")</f>
        <v>0</v>
      </c>
      <c r="N5073">
        <f>HYPERLINK("https://www.wikidata.org/wiki/Q8326959", "Q8326959")</f>
        <v>0</v>
      </c>
      <c r="O5073" t="s">
        <v>8449</v>
      </c>
      <c r="P5073" t="s">
        <v>20459</v>
      </c>
      <c r="Q5073" t="s">
        <v>20701</v>
      </c>
      <c r="R5073" t="s">
        <v>17694</v>
      </c>
      <c r="S5073">
        <v>431</v>
      </c>
    </row>
    <row r="5074" spans="1:19">
      <c r="A5074" t="s">
        <v>26</v>
      </c>
      <c r="B5074" t="s">
        <v>148</v>
      </c>
      <c r="C5074" t="s">
        <v>158</v>
      </c>
      <c r="D5074" t="s">
        <v>287</v>
      </c>
      <c r="E5074" t="s">
        <v>416</v>
      </c>
      <c r="F5074">
        <f>HYPERLINK("https://www.wikidata.org/wiki/Q33756209", "Q33756209")</f>
        <v>0</v>
      </c>
      <c r="G5074" t="s">
        <v>3278</v>
      </c>
      <c r="H5074" t="s">
        <v>6765</v>
      </c>
      <c r="I5074" t="s">
        <v>10742</v>
      </c>
      <c r="J5074" t="s">
        <v>13892</v>
      </c>
      <c r="K5074" t="s">
        <v>18264</v>
      </c>
      <c r="L5074">
        <f>HYPERLINK("https://www2.assemblee-nationale.fr/sycomore/fiche/(num_dept)/6198", "6198")</f>
        <v>0</v>
      </c>
      <c r="N5074">
        <f>HYPERLINK("https://www.wikidata.org/wiki/Q16798546", "Q16798546")</f>
        <v>0</v>
      </c>
      <c r="O5074" t="s">
        <v>20000</v>
      </c>
      <c r="P5074" t="s">
        <v>20401</v>
      </c>
      <c r="Q5074" t="s">
        <v>20701</v>
      </c>
      <c r="R5074" t="s">
        <v>21493</v>
      </c>
      <c r="S5074">
        <v>1457</v>
      </c>
    </row>
    <row r="5075" spans="1:19">
      <c r="A5075" t="s">
        <v>26</v>
      </c>
      <c r="B5075" t="s">
        <v>148</v>
      </c>
      <c r="C5075" t="s">
        <v>158</v>
      </c>
      <c r="D5075" t="s">
        <v>287</v>
      </c>
      <c r="E5075" t="s">
        <v>416</v>
      </c>
      <c r="F5075">
        <f>HYPERLINK("https://www.wikidata.org/wiki/Q33756209", "Q33756209")</f>
        <v>0</v>
      </c>
      <c r="G5075" t="s">
        <v>2655</v>
      </c>
      <c r="H5075" t="s">
        <v>7195</v>
      </c>
      <c r="I5075" t="s">
        <v>9474</v>
      </c>
      <c r="J5075" t="s">
        <v>13297</v>
      </c>
      <c r="K5075" t="s">
        <v>17696</v>
      </c>
      <c r="L5075">
        <f>HYPERLINK("https://www2.assemblee-nationale.fr/sycomore/fiche/(num_dept)/6219", "6219")</f>
        <v>0</v>
      </c>
      <c r="N5075">
        <f>HYPERLINK("https://www.wikidata.org/wiki/Q3164428", "Q3164428")</f>
        <v>0</v>
      </c>
      <c r="O5075" t="s">
        <v>20047</v>
      </c>
      <c r="P5075" t="s">
        <v>20401</v>
      </c>
      <c r="Q5075" t="s">
        <v>20701</v>
      </c>
      <c r="R5075" t="s">
        <v>21493</v>
      </c>
      <c r="S5075">
        <v>1457</v>
      </c>
    </row>
    <row r="5076" spans="1:19">
      <c r="A5076" t="s">
        <v>26</v>
      </c>
      <c r="B5076" t="s">
        <v>148</v>
      </c>
      <c r="C5076" t="s">
        <v>158</v>
      </c>
      <c r="D5076" t="s">
        <v>287</v>
      </c>
      <c r="E5076" t="s">
        <v>416</v>
      </c>
      <c r="F5076">
        <f>HYPERLINK("https://www.wikidata.org/wiki/Q33756209", "Q33756209")</f>
        <v>0</v>
      </c>
      <c r="G5076" t="s">
        <v>3042</v>
      </c>
      <c r="H5076" t="s">
        <v>7498</v>
      </c>
      <c r="I5076" t="s">
        <v>9388</v>
      </c>
      <c r="J5076" t="s">
        <v>13669</v>
      </c>
      <c r="K5076" t="s">
        <v>18051</v>
      </c>
      <c r="L5076">
        <f>HYPERLINK("https://www2.assemblee-nationale.fr/sycomore/fiche/(num_dept)/6268", "6268")</f>
        <v>0</v>
      </c>
      <c r="N5076">
        <f>HYPERLINK("https://www.wikidata.org/wiki/Q16026479", "Q16026479")</f>
        <v>0</v>
      </c>
      <c r="O5076" t="s">
        <v>20015</v>
      </c>
      <c r="P5076" t="s">
        <v>20459</v>
      </c>
      <c r="Q5076" t="s">
        <v>20701</v>
      </c>
      <c r="R5076" t="s">
        <v>21493</v>
      </c>
      <c r="S5076">
        <v>1457</v>
      </c>
    </row>
    <row r="5077" spans="1:19">
      <c r="A5077" t="s">
        <v>26</v>
      </c>
      <c r="B5077" t="s">
        <v>148</v>
      </c>
      <c r="C5077" t="s">
        <v>158</v>
      </c>
      <c r="D5077" t="s">
        <v>287</v>
      </c>
      <c r="E5077" t="s">
        <v>416</v>
      </c>
      <c r="F5077">
        <f>HYPERLINK("https://www.wikidata.org/wiki/Q33756209", "Q33756209")</f>
        <v>0</v>
      </c>
      <c r="G5077" t="s">
        <v>3279</v>
      </c>
      <c r="H5077" t="s">
        <v>7693</v>
      </c>
      <c r="I5077" t="s">
        <v>10477</v>
      </c>
      <c r="J5077" t="s">
        <v>13893</v>
      </c>
      <c r="K5077" t="s">
        <v>18265</v>
      </c>
      <c r="L5077">
        <f>HYPERLINK("https://www2.assemblee-nationale.fr/sycomore/fiche/(num_dept)/6278", "6278")</f>
        <v>0</v>
      </c>
      <c r="N5077">
        <f>HYPERLINK("https://www.wikidata.org/wiki/Q16026480", "Q16026480")</f>
        <v>0</v>
      </c>
      <c r="O5077" t="s">
        <v>20019</v>
      </c>
      <c r="P5077" t="s">
        <v>20459</v>
      </c>
      <c r="Q5077" t="s">
        <v>20701</v>
      </c>
      <c r="R5077" t="s">
        <v>21493</v>
      </c>
      <c r="S5077">
        <v>1457</v>
      </c>
    </row>
    <row r="5078" spans="1:19">
      <c r="A5078" t="s">
        <v>26</v>
      </c>
      <c r="B5078" t="s">
        <v>148</v>
      </c>
      <c r="C5078" t="s">
        <v>158</v>
      </c>
      <c r="D5078" t="s">
        <v>287</v>
      </c>
      <c r="E5078" t="s">
        <v>416</v>
      </c>
      <c r="F5078">
        <f>HYPERLINK("https://www.wikidata.org/wiki/Q33756209", "Q33756209")</f>
        <v>0</v>
      </c>
      <c r="G5078" t="s">
        <v>2660</v>
      </c>
      <c r="H5078" t="s">
        <v>7200</v>
      </c>
      <c r="I5078" t="s">
        <v>9407</v>
      </c>
      <c r="J5078" t="s">
        <v>13301</v>
      </c>
      <c r="K5078" t="s">
        <v>17701</v>
      </c>
      <c r="L5078">
        <f>HYPERLINK("https://www2.assemblee-nationale.fr/sycomore/fiche/(num_dept)/6386", "6386")</f>
        <v>0</v>
      </c>
      <c r="N5078">
        <f>HYPERLINK("https://www.wikidata.org/wiki/Q16026497", "Q16026497")</f>
        <v>0</v>
      </c>
      <c r="O5078" t="s">
        <v>20019</v>
      </c>
      <c r="P5078" t="s">
        <v>20459</v>
      </c>
      <c r="Q5078" t="s">
        <v>20701</v>
      </c>
      <c r="R5078" t="s">
        <v>21493</v>
      </c>
      <c r="S5078">
        <v>1457</v>
      </c>
    </row>
    <row r="5079" spans="1:19">
      <c r="A5079" t="s">
        <v>26</v>
      </c>
      <c r="B5079" t="s">
        <v>148</v>
      </c>
      <c r="C5079" t="s">
        <v>158</v>
      </c>
      <c r="D5079" t="s">
        <v>287</v>
      </c>
      <c r="E5079" t="s">
        <v>416</v>
      </c>
      <c r="F5079">
        <f>HYPERLINK("https://www.wikidata.org/wiki/Q33756209", "Q33756209")</f>
        <v>0</v>
      </c>
      <c r="G5079" t="s">
        <v>3280</v>
      </c>
      <c r="H5079" t="s">
        <v>7694</v>
      </c>
      <c r="I5079" t="s">
        <v>10743</v>
      </c>
      <c r="J5079" t="s">
        <v>13894</v>
      </c>
      <c r="K5079" t="s">
        <v>18266</v>
      </c>
      <c r="L5079">
        <f>HYPERLINK("https://www2.assemblee-nationale.fr/sycomore/fiche/(num_dept)/6418", "6418")</f>
        <v>0</v>
      </c>
      <c r="N5079">
        <f>HYPERLINK("https://www.wikidata.org/wiki/Q16026353", "Q16026353")</f>
        <v>0</v>
      </c>
      <c r="O5079" t="s">
        <v>20019</v>
      </c>
      <c r="P5079" t="s">
        <v>20459</v>
      </c>
      <c r="Q5079" t="s">
        <v>20701</v>
      </c>
      <c r="R5079" t="s">
        <v>21493</v>
      </c>
      <c r="S5079">
        <v>1457</v>
      </c>
    </row>
    <row r="5080" spans="1:19">
      <c r="A5080" t="s">
        <v>26</v>
      </c>
      <c r="B5080" t="s">
        <v>148</v>
      </c>
      <c r="C5080" t="s">
        <v>158</v>
      </c>
      <c r="D5080" t="s">
        <v>287</v>
      </c>
      <c r="E5080" t="s">
        <v>416</v>
      </c>
      <c r="F5080">
        <f>HYPERLINK("https://www.wikidata.org/wiki/Q33756209", "Q33756209")</f>
        <v>0</v>
      </c>
      <c r="G5080" t="s">
        <v>3281</v>
      </c>
      <c r="H5080" t="s">
        <v>7695</v>
      </c>
      <c r="I5080" t="s">
        <v>10744</v>
      </c>
      <c r="J5080" t="s">
        <v>13895</v>
      </c>
      <c r="K5080" t="s">
        <v>18267</v>
      </c>
      <c r="L5080">
        <f>HYPERLINK("https://www2.assemblee-nationale.fr/sycomore/fiche/(num_dept)/6455", "6455")</f>
        <v>0</v>
      </c>
      <c r="N5080">
        <f>HYPERLINK("https://www.wikidata.org/wiki/Q3557515", "Q3557515")</f>
        <v>0</v>
      </c>
      <c r="O5080" t="s">
        <v>20041</v>
      </c>
      <c r="P5080" t="s">
        <v>20401</v>
      </c>
      <c r="Q5080" t="s">
        <v>20701</v>
      </c>
      <c r="R5080" t="s">
        <v>21493</v>
      </c>
      <c r="S5080">
        <v>1457</v>
      </c>
    </row>
    <row r="5081" spans="1:19">
      <c r="A5081" t="s">
        <v>26</v>
      </c>
      <c r="B5081" t="s">
        <v>148</v>
      </c>
      <c r="C5081" t="s">
        <v>158</v>
      </c>
      <c r="D5081" t="s">
        <v>287</v>
      </c>
      <c r="E5081" t="s">
        <v>416</v>
      </c>
      <c r="F5081">
        <f>HYPERLINK("https://www.wikidata.org/wiki/Q33756209", "Q33756209")</f>
        <v>0</v>
      </c>
      <c r="G5081" t="s">
        <v>3282</v>
      </c>
      <c r="H5081" t="s">
        <v>7696</v>
      </c>
      <c r="I5081" t="s">
        <v>10745</v>
      </c>
      <c r="J5081" t="s">
        <v>13896</v>
      </c>
      <c r="K5081" t="s">
        <v>18268</v>
      </c>
      <c r="L5081">
        <f>HYPERLINK("https://www2.assemblee-nationale.fr/sycomore/fiche/(num_dept)/6510", "6510")</f>
        <v>0</v>
      </c>
      <c r="N5081">
        <f>HYPERLINK("https://www.wikidata.org/wiki/Q16026375", "Q16026375")</f>
        <v>0</v>
      </c>
      <c r="O5081" t="s">
        <v>20033</v>
      </c>
      <c r="P5081" t="s">
        <v>20459</v>
      </c>
      <c r="Q5081" t="s">
        <v>20701</v>
      </c>
      <c r="R5081" t="s">
        <v>21493</v>
      </c>
      <c r="S5081">
        <v>1457</v>
      </c>
    </row>
    <row r="5082" spans="1:19">
      <c r="A5082" t="s">
        <v>26</v>
      </c>
      <c r="B5082" t="s">
        <v>148</v>
      </c>
      <c r="C5082" t="s">
        <v>158</v>
      </c>
      <c r="D5082" t="s">
        <v>287</v>
      </c>
      <c r="E5082" t="s">
        <v>416</v>
      </c>
      <c r="F5082">
        <f>HYPERLINK("https://www.wikidata.org/wiki/Q33756209", "Q33756209")</f>
        <v>0</v>
      </c>
      <c r="G5082" t="s">
        <v>3283</v>
      </c>
      <c r="H5082" t="s">
        <v>7266</v>
      </c>
      <c r="I5082" t="s">
        <v>10746</v>
      </c>
      <c r="J5082" t="s">
        <v>13897</v>
      </c>
      <c r="K5082" t="s">
        <v>18269</v>
      </c>
      <c r="L5082">
        <f>HYPERLINK("https://www2.assemblee-nationale.fr/sycomore/fiche/(num_dept)/6605", "6605")</f>
        <v>0</v>
      </c>
      <c r="N5082">
        <f>HYPERLINK("https://www.wikidata.org/wiki/Q2935048", "Q2935048")</f>
        <v>0</v>
      </c>
      <c r="O5082" t="s">
        <v>20042</v>
      </c>
      <c r="P5082" t="s">
        <v>20456</v>
      </c>
      <c r="Q5082" t="s">
        <v>20701</v>
      </c>
      <c r="R5082" t="s">
        <v>21493</v>
      </c>
      <c r="S5082">
        <v>1457</v>
      </c>
    </row>
    <row r="5083" spans="1:19">
      <c r="A5083" t="s">
        <v>26</v>
      </c>
      <c r="B5083" t="s">
        <v>148</v>
      </c>
      <c r="C5083" t="s">
        <v>158</v>
      </c>
      <c r="D5083" t="s">
        <v>287</v>
      </c>
      <c r="E5083" t="s">
        <v>416</v>
      </c>
      <c r="F5083">
        <f>HYPERLINK("https://www.wikidata.org/wiki/Q33756209", "Q33756209")</f>
        <v>0</v>
      </c>
      <c r="G5083" t="s">
        <v>2666</v>
      </c>
      <c r="H5083" t="s">
        <v>7204</v>
      </c>
      <c r="I5083" t="s">
        <v>5361</v>
      </c>
      <c r="J5083" t="s">
        <v>13307</v>
      </c>
      <c r="K5083" t="s">
        <v>17707</v>
      </c>
      <c r="L5083">
        <f>HYPERLINK("https://www2.assemblee-nationale.fr/sycomore/fiche/(num_dept)/6631", "6631")</f>
        <v>0</v>
      </c>
      <c r="M5083">
        <f>HYPERLINK("https://www.senat.fr/senateur-3eme-republique/raynal_david0206r3.html", "raynal_david0206r3")</f>
        <v>0</v>
      </c>
      <c r="N5083">
        <f>HYPERLINK("https://www.wikidata.org/wiki/Q3018665", "Q3018665")</f>
        <v>0</v>
      </c>
      <c r="O5083" t="s">
        <v>19987</v>
      </c>
      <c r="Q5083" t="s">
        <v>20701</v>
      </c>
      <c r="R5083" t="s">
        <v>21493</v>
      </c>
      <c r="S5083">
        <v>1457</v>
      </c>
    </row>
    <row r="5084" spans="1:19">
      <c r="A5084" t="s">
        <v>26</v>
      </c>
      <c r="B5084" t="s">
        <v>148</v>
      </c>
      <c r="C5084" t="s">
        <v>158</v>
      </c>
      <c r="D5084" t="s">
        <v>287</v>
      </c>
      <c r="E5084" t="s">
        <v>416</v>
      </c>
      <c r="F5084">
        <f>HYPERLINK("https://www.wikidata.org/wiki/Q33756209", "Q33756209")</f>
        <v>0</v>
      </c>
      <c r="G5084" t="s">
        <v>2667</v>
      </c>
      <c r="H5084" t="s">
        <v>7205</v>
      </c>
      <c r="I5084" t="s">
        <v>10350</v>
      </c>
      <c r="J5084" t="s">
        <v>13308</v>
      </c>
      <c r="K5084" t="s">
        <v>17708</v>
      </c>
      <c r="L5084">
        <f>HYPERLINK("https://www2.assemblee-nationale.fr/sycomore/fiche/(num_dept)/6643", "6643")</f>
        <v>0</v>
      </c>
      <c r="N5084">
        <f>HYPERLINK("https://www.wikidata.org/wiki/Q3588737", "Q3588737")</f>
        <v>0</v>
      </c>
      <c r="O5084" t="s">
        <v>19998</v>
      </c>
      <c r="Q5084" t="s">
        <v>20701</v>
      </c>
      <c r="R5084" t="s">
        <v>21493</v>
      </c>
      <c r="S5084">
        <v>1457</v>
      </c>
    </row>
    <row r="5085" spans="1:19">
      <c r="A5085" t="s">
        <v>26</v>
      </c>
      <c r="B5085" t="s">
        <v>148</v>
      </c>
      <c r="C5085" t="s">
        <v>158</v>
      </c>
      <c r="D5085" t="s">
        <v>287</v>
      </c>
      <c r="E5085" t="s">
        <v>416</v>
      </c>
      <c r="F5085">
        <f>HYPERLINK("https://www.wikidata.org/wiki/Q33756209", "Q33756209")</f>
        <v>0</v>
      </c>
      <c r="G5085" t="s">
        <v>2670</v>
      </c>
      <c r="H5085" t="s">
        <v>7207</v>
      </c>
      <c r="I5085" t="s">
        <v>10353</v>
      </c>
      <c r="J5085" t="s">
        <v>13311</v>
      </c>
      <c r="K5085" t="s">
        <v>17711</v>
      </c>
      <c r="L5085">
        <f>HYPERLINK("https://www2.assemblee-nationale.fr/sycomore/fiche/(num_dept)/6697", "6697")</f>
        <v>0</v>
      </c>
      <c r="N5085">
        <f>HYPERLINK("https://www.wikidata.org/wiki/Q2856699", "Q2856699")</f>
        <v>0</v>
      </c>
      <c r="O5085" t="s">
        <v>19969</v>
      </c>
      <c r="P5085" t="s">
        <v>20456</v>
      </c>
      <c r="Q5085" t="s">
        <v>20701</v>
      </c>
      <c r="R5085" t="s">
        <v>21493</v>
      </c>
      <c r="S5085">
        <v>1457</v>
      </c>
    </row>
    <row r="5086" spans="1:19">
      <c r="A5086" t="s">
        <v>26</v>
      </c>
      <c r="B5086" t="s">
        <v>148</v>
      </c>
      <c r="C5086" t="s">
        <v>158</v>
      </c>
      <c r="D5086" t="s">
        <v>287</v>
      </c>
      <c r="E5086" t="s">
        <v>416</v>
      </c>
      <c r="F5086">
        <f>HYPERLINK("https://www.wikidata.org/wiki/Q33756209", "Q33756209")</f>
        <v>0</v>
      </c>
      <c r="G5086" t="s">
        <v>3284</v>
      </c>
      <c r="H5086" t="s">
        <v>7480</v>
      </c>
      <c r="I5086" t="s">
        <v>10747</v>
      </c>
      <c r="J5086" t="s">
        <v>13898</v>
      </c>
      <c r="K5086" t="s">
        <v>18270</v>
      </c>
      <c r="L5086">
        <f>HYPERLINK("https://www2.assemblee-nationale.fr/sycomore/fiche/(num_dept)/6700", "6700")</f>
        <v>0</v>
      </c>
      <c r="N5086">
        <f>HYPERLINK("https://www.wikidata.org/wiki/Q2861372", "Q2861372")</f>
        <v>0</v>
      </c>
      <c r="O5086" t="s">
        <v>20006</v>
      </c>
      <c r="P5086" t="s">
        <v>20459</v>
      </c>
      <c r="Q5086" t="s">
        <v>20701</v>
      </c>
      <c r="R5086" t="s">
        <v>21493</v>
      </c>
      <c r="S5086">
        <v>1457</v>
      </c>
    </row>
    <row r="5087" spans="1:19">
      <c r="A5087" t="s">
        <v>26</v>
      </c>
      <c r="B5087" t="s">
        <v>148</v>
      </c>
      <c r="C5087" t="s">
        <v>158</v>
      </c>
      <c r="D5087" t="s">
        <v>287</v>
      </c>
      <c r="E5087" t="s">
        <v>416</v>
      </c>
      <c r="F5087">
        <f>HYPERLINK("https://www.wikidata.org/wiki/Q33756209", "Q33756209")</f>
        <v>0</v>
      </c>
      <c r="G5087" t="s">
        <v>2673</v>
      </c>
      <c r="H5087" t="s">
        <v>5798</v>
      </c>
      <c r="I5087" t="s">
        <v>10354</v>
      </c>
      <c r="J5087" t="s">
        <v>13314</v>
      </c>
      <c r="K5087" t="s">
        <v>17714</v>
      </c>
      <c r="L5087">
        <f>HYPERLINK("https://www2.assemblee-nationale.fr/sycomore/fiche/(num_dept)/6779", "6779")</f>
        <v>0</v>
      </c>
      <c r="N5087">
        <f>HYPERLINK("https://www.wikidata.org/wiki/Q8339650", "Q8339650")</f>
        <v>0</v>
      </c>
      <c r="O5087" t="s">
        <v>20015</v>
      </c>
      <c r="P5087" t="s">
        <v>20459</v>
      </c>
      <c r="Q5087" t="s">
        <v>20701</v>
      </c>
      <c r="R5087" t="s">
        <v>17714</v>
      </c>
      <c r="S5087">
        <v>848</v>
      </c>
    </row>
    <row r="5088" spans="1:19">
      <c r="A5088" t="s">
        <v>26</v>
      </c>
      <c r="B5088" t="s">
        <v>148</v>
      </c>
      <c r="C5088" t="s">
        <v>158</v>
      </c>
      <c r="D5088" t="s">
        <v>287</v>
      </c>
      <c r="E5088" t="s">
        <v>416</v>
      </c>
      <c r="F5088">
        <f>HYPERLINK("https://www.wikidata.org/wiki/Q33756209", "Q33756209")</f>
        <v>0</v>
      </c>
      <c r="G5088" t="s">
        <v>811</v>
      </c>
      <c r="H5088" t="s">
        <v>5568</v>
      </c>
      <c r="I5088" t="s">
        <v>9535</v>
      </c>
      <c r="J5088" t="s">
        <v>11558</v>
      </c>
      <c r="K5088" t="s">
        <v>15962</v>
      </c>
      <c r="L5088">
        <f>HYPERLINK("https://www2.assemblee-nationale.fr/sycomore/fiche/(num_dept)/6854", "6854")</f>
        <v>0</v>
      </c>
      <c r="M5088">
        <f>HYPERLINK("https://www.senat.fr/senateur-3eme-republique/simyan_julien1227r3.html", "simyan_julien1227r3")</f>
        <v>0</v>
      </c>
      <c r="N5088">
        <f>HYPERLINK("https://www.wikidata.org/wiki/Q3189661", "Q3189661")</f>
        <v>0</v>
      </c>
      <c r="O5088" t="s">
        <v>19994</v>
      </c>
      <c r="P5088" t="s">
        <v>20401</v>
      </c>
      <c r="Q5088" t="s">
        <v>20701</v>
      </c>
      <c r="R5088" t="s">
        <v>21493</v>
      </c>
      <c r="S5088">
        <v>1457</v>
      </c>
    </row>
    <row r="5089" spans="1:19">
      <c r="A5089" t="s">
        <v>26</v>
      </c>
      <c r="B5089" t="s">
        <v>148</v>
      </c>
      <c r="C5089" t="s">
        <v>158</v>
      </c>
      <c r="D5089" t="s">
        <v>287</v>
      </c>
      <c r="E5089" t="s">
        <v>416</v>
      </c>
      <c r="F5089">
        <f>HYPERLINK("https://www.wikidata.org/wiki/Q33756209", "Q33756209")</f>
        <v>0</v>
      </c>
      <c r="G5089" t="s">
        <v>2681</v>
      </c>
      <c r="H5089" t="s">
        <v>7215</v>
      </c>
      <c r="I5089" t="s">
        <v>9465</v>
      </c>
      <c r="J5089" t="s">
        <v>13322</v>
      </c>
      <c r="K5089" t="s">
        <v>17722</v>
      </c>
      <c r="L5089">
        <f>HYPERLINK("https://www2.assemblee-nationale.fr/sycomore/fiche/(num_dept)/6901", "6901")</f>
        <v>0</v>
      </c>
      <c r="M5089">
        <f>HYPERLINK("https://www.senat.fr/senateur-3eme-republique/spuller_eugene0548r3.html", "spuller_eugene0548r3")</f>
        <v>0</v>
      </c>
      <c r="N5089">
        <f>HYPERLINK("https://www.wikidata.org/wiki/Q3060180", "Q3060180")</f>
        <v>0</v>
      </c>
      <c r="O5089" t="s">
        <v>20002</v>
      </c>
      <c r="P5089" t="s">
        <v>20459</v>
      </c>
      <c r="Q5089" t="s">
        <v>20701</v>
      </c>
      <c r="R5089" t="s">
        <v>21493</v>
      </c>
      <c r="S5089">
        <v>1457</v>
      </c>
    </row>
    <row r="5090" spans="1:19">
      <c r="A5090" t="s">
        <v>26</v>
      </c>
      <c r="B5090" t="s">
        <v>148</v>
      </c>
      <c r="C5090" t="s">
        <v>158</v>
      </c>
      <c r="D5090" t="s">
        <v>287</v>
      </c>
      <c r="E5090" t="s">
        <v>416</v>
      </c>
      <c r="F5090">
        <f>HYPERLINK("https://www.wikidata.org/wiki/Q33756209", "Q33756209")</f>
        <v>0</v>
      </c>
      <c r="G5090" t="s">
        <v>2682</v>
      </c>
      <c r="H5090" t="s">
        <v>5571</v>
      </c>
      <c r="I5090" t="s">
        <v>9449</v>
      </c>
      <c r="J5090" t="s">
        <v>13323</v>
      </c>
      <c r="K5090" t="s">
        <v>17723</v>
      </c>
      <c r="L5090">
        <f>HYPERLINK("https://www2.assemblee-nationale.fr/sycomore/fiche/(num_dept)/6903", "6903")</f>
        <v>0</v>
      </c>
      <c r="N5090">
        <f>HYPERLINK("https://www.wikidata.org/wiki/Q3188919", "Q3188919")</f>
        <v>0</v>
      </c>
      <c r="O5090" t="s">
        <v>19987</v>
      </c>
      <c r="P5090" t="s">
        <v>20459</v>
      </c>
      <c r="Q5090" t="s">
        <v>20701</v>
      </c>
      <c r="R5090" t="s">
        <v>21493</v>
      </c>
      <c r="S5090">
        <v>1457</v>
      </c>
    </row>
    <row r="5091" spans="1:19">
      <c r="A5091" t="s">
        <v>26</v>
      </c>
      <c r="B5091" t="s">
        <v>148</v>
      </c>
      <c r="C5091" t="s">
        <v>158</v>
      </c>
      <c r="D5091" t="s">
        <v>287</v>
      </c>
      <c r="E5091" t="s">
        <v>416</v>
      </c>
      <c r="F5091">
        <f>HYPERLINK("https://www.wikidata.org/wiki/Q33756209", "Q33756209")</f>
        <v>0</v>
      </c>
      <c r="G5091" t="s">
        <v>3285</v>
      </c>
      <c r="H5091" t="s">
        <v>7697</v>
      </c>
      <c r="I5091" t="s">
        <v>9472</v>
      </c>
      <c r="J5091" t="s">
        <v>13899</v>
      </c>
      <c r="K5091" t="s">
        <v>18271</v>
      </c>
      <c r="L5091">
        <f>HYPERLINK("https://www2.assemblee-nationale.fr/sycomore/fiche/(num_dept)/6921", "6921")</f>
        <v>0</v>
      </c>
      <c r="N5091">
        <f>HYPERLINK("https://www.wikidata.org/wiki/Q8339601", "Q8339601")</f>
        <v>0</v>
      </c>
      <c r="O5091" t="s">
        <v>20033</v>
      </c>
      <c r="P5091" t="s">
        <v>20459</v>
      </c>
      <c r="Q5091" t="s">
        <v>20701</v>
      </c>
      <c r="R5091" t="s">
        <v>416</v>
      </c>
      <c r="S5091">
        <v>1485</v>
      </c>
    </row>
    <row r="5092" spans="1:19">
      <c r="A5092" t="s">
        <v>26</v>
      </c>
      <c r="B5092" t="s">
        <v>148</v>
      </c>
      <c r="C5092" t="s">
        <v>158</v>
      </c>
      <c r="D5092" t="s">
        <v>287</v>
      </c>
      <c r="E5092" t="s">
        <v>416</v>
      </c>
      <c r="F5092">
        <f>HYPERLINK("https://www.wikidata.org/wiki/Q33756209", "Q33756209")</f>
        <v>0</v>
      </c>
      <c r="G5092" t="s">
        <v>3286</v>
      </c>
      <c r="H5092" t="s">
        <v>7698</v>
      </c>
      <c r="I5092" t="s">
        <v>9376</v>
      </c>
      <c r="J5092" t="s">
        <v>13900</v>
      </c>
      <c r="K5092" t="s">
        <v>18272</v>
      </c>
      <c r="L5092">
        <f>HYPERLINK("https://www2.assemblee-nationale.fr/sycomore/fiche/(num_dept)/7016", "7016")</f>
        <v>0</v>
      </c>
      <c r="N5092">
        <f>HYPERLINK("https://www.wikidata.org/wiki/Q3068657", "Q3068657")</f>
        <v>0</v>
      </c>
      <c r="O5092" t="s">
        <v>19960</v>
      </c>
      <c r="P5092" t="s">
        <v>20456</v>
      </c>
      <c r="Q5092" t="s">
        <v>20701</v>
      </c>
      <c r="R5092" t="s">
        <v>21493</v>
      </c>
      <c r="S5092">
        <v>1457</v>
      </c>
    </row>
    <row r="5093" spans="1:19">
      <c r="A5093" t="s">
        <v>26</v>
      </c>
      <c r="B5093" t="s">
        <v>148</v>
      </c>
      <c r="C5093" t="s">
        <v>158</v>
      </c>
      <c r="D5093" t="s">
        <v>287</v>
      </c>
      <c r="E5093" t="s">
        <v>416</v>
      </c>
      <c r="F5093">
        <f>HYPERLINK("https://www.wikidata.org/wiki/Q33756209", "Q33756209")</f>
        <v>0</v>
      </c>
      <c r="G5093" t="s">
        <v>3287</v>
      </c>
      <c r="H5093" t="s">
        <v>7699</v>
      </c>
      <c r="I5093" t="s">
        <v>6166</v>
      </c>
      <c r="J5093" t="s">
        <v>13901</v>
      </c>
      <c r="K5093" t="s">
        <v>18273</v>
      </c>
      <c r="L5093">
        <f>HYPERLINK("https://www2.assemblee-nationale.fr/sycomore/fiche/(num_dept)/7018", "7018")</f>
        <v>0</v>
      </c>
      <c r="M5093">
        <f>HYPERLINK("https://www.senat.fr/senateur-3eme-republique/thevenet_francois1147r3.html", "thevenet_francois1147r3")</f>
        <v>0</v>
      </c>
      <c r="N5093">
        <f>HYPERLINK("https://www.wikidata.org/wiki/Q3085914", "Q3085914")</f>
        <v>0</v>
      </c>
      <c r="O5093" t="s">
        <v>19965</v>
      </c>
      <c r="P5093" t="s">
        <v>20456</v>
      </c>
      <c r="Q5093" t="s">
        <v>20701</v>
      </c>
      <c r="R5093" t="s">
        <v>21493</v>
      </c>
      <c r="S5093">
        <v>1457</v>
      </c>
    </row>
    <row r="5094" spans="1:19">
      <c r="A5094" t="s">
        <v>26</v>
      </c>
      <c r="B5094" t="s">
        <v>148</v>
      </c>
      <c r="C5094" t="s">
        <v>158</v>
      </c>
      <c r="D5094" t="s">
        <v>287</v>
      </c>
      <c r="E5094" t="s">
        <v>416</v>
      </c>
      <c r="F5094">
        <f>HYPERLINK("https://www.wikidata.org/wiki/Q33756209", "Q33756209")</f>
        <v>0</v>
      </c>
      <c r="G5094" t="s">
        <v>3288</v>
      </c>
      <c r="H5094" t="s">
        <v>7700</v>
      </c>
      <c r="I5094" t="s">
        <v>9375</v>
      </c>
      <c r="J5094" t="s">
        <v>13902</v>
      </c>
      <c r="K5094" t="s">
        <v>18274</v>
      </c>
      <c r="L5094">
        <f>HYPERLINK("https://www2.assemblee-nationale.fr/sycomore/fiche/(num_dept)/7031", "7031")</f>
        <v>0</v>
      </c>
      <c r="N5094">
        <f>HYPERLINK("https://www.wikidata.org/wiki/Q3580042", "Q3580042")</f>
        <v>0</v>
      </c>
      <c r="O5094" t="s">
        <v>19965</v>
      </c>
      <c r="P5094" t="s">
        <v>20456</v>
      </c>
      <c r="Q5094" t="s">
        <v>20701</v>
      </c>
      <c r="R5094" t="s">
        <v>21493</v>
      </c>
      <c r="S5094">
        <v>1457</v>
      </c>
    </row>
    <row r="5095" spans="1:19">
      <c r="A5095" t="s">
        <v>26</v>
      </c>
      <c r="B5095" t="s">
        <v>148</v>
      </c>
      <c r="C5095" t="s">
        <v>158</v>
      </c>
      <c r="D5095" t="s">
        <v>287</v>
      </c>
      <c r="E5095" t="s">
        <v>416</v>
      </c>
      <c r="F5095">
        <f>HYPERLINK("https://www.wikidata.org/wiki/Q33756209", "Q33756209")</f>
        <v>0</v>
      </c>
      <c r="G5095" t="s">
        <v>2692</v>
      </c>
      <c r="H5095" t="s">
        <v>7224</v>
      </c>
      <c r="I5095" t="s">
        <v>9602</v>
      </c>
      <c r="J5095" t="s">
        <v>13333</v>
      </c>
      <c r="K5095" t="s">
        <v>17733</v>
      </c>
      <c r="L5095">
        <f>HYPERLINK("https://www2.assemblee-nationale.fr/sycomore/fiche/(num_dept)/7178", "7178")</f>
        <v>0</v>
      </c>
      <c r="N5095">
        <f>HYPERLINK("https://www.wikidata.org/wiki/Q3048008", "Q3048008")</f>
        <v>0</v>
      </c>
      <c r="O5095" t="s">
        <v>20015</v>
      </c>
      <c r="P5095" t="s">
        <v>20459</v>
      </c>
      <c r="Q5095" t="s">
        <v>20701</v>
      </c>
      <c r="R5095" t="s">
        <v>21493</v>
      </c>
      <c r="S5095">
        <v>1457</v>
      </c>
    </row>
    <row r="5096" spans="1:19">
      <c r="A5096" t="s">
        <v>26</v>
      </c>
      <c r="B5096" t="s">
        <v>148</v>
      </c>
      <c r="C5096" t="s">
        <v>158</v>
      </c>
      <c r="D5096" t="s">
        <v>287</v>
      </c>
      <c r="E5096" t="s">
        <v>416</v>
      </c>
      <c r="F5096">
        <f>HYPERLINK("https://www.wikidata.org/wiki/Q33756209", "Q33756209")</f>
        <v>0</v>
      </c>
      <c r="G5096" t="s">
        <v>3289</v>
      </c>
      <c r="H5096" t="s">
        <v>7701</v>
      </c>
      <c r="I5096" t="s">
        <v>9534</v>
      </c>
      <c r="J5096" t="s">
        <v>13903</v>
      </c>
      <c r="K5096" t="s">
        <v>16613</v>
      </c>
      <c r="L5096">
        <f>HYPERLINK("https://www2.assemblee-nationale.fr/sycomore/fiche/(num_dept)/7179", "7179")</f>
        <v>0</v>
      </c>
      <c r="N5096">
        <f>HYPERLINK("https://www.wikidata.org/wiki/Q2824919", "Q2824919")</f>
        <v>0</v>
      </c>
      <c r="O5096" t="s">
        <v>19960</v>
      </c>
      <c r="P5096" t="s">
        <v>20409</v>
      </c>
      <c r="Q5096" t="s">
        <v>20701</v>
      </c>
      <c r="R5096" t="s">
        <v>21493</v>
      </c>
      <c r="S5096">
        <v>1457</v>
      </c>
    </row>
    <row r="5097" spans="1:19">
      <c r="A5097" t="s">
        <v>26</v>
      </c>
      <c r="B5097" t="s">
        <v>148</v>
      </c>
      <c r="C5097" t="s">
        <v>158</v>
      </c>
      <c r="D5097" t="s">
        <v>287</v>
      </c>
      <c r="E5097" t="s">
        <v>416</v>
      </c>
      <c r="F5097">
        <f>HYPERLINK("https://www.wikidata.org/wiki/Q33756209", "Q33756209")</f>
        <v>0</v>
      </c>
      <c r="G5097" t="s">
        <v>3290</v>
      </c>
      <c r="H5097" t="s">
        <v>7702</v>
      </c>
      <c r="I5097" t="s">
        <v>6584</v>
      </c>
      <c r="J5097" t="s">
        <v>13904</v>
      </c>
      <c r="K5097" t="s">
        <v>18275</v>
      </c>
      <c r="L5097">
        <f>HYPERLINK("https://www2.assemblee-nationale.fr/sycomore/fiche/(num_dept)/7443", "7443")</f>
        <v>0</v>
      </c>
      <c r="M5097">
        <f>HYPERLINK("https://www.senat.fr/senateur-3eme-republique/viger_albert0500r3.html", "viger_albert0500r3")</f>
        <v>0</v>
      </c>
      <c r="N5097">
        <f>HYPERLINK("https://www.wikidata.org/wiki/Q2153536", "Q2153536")</f>
        <v>0</v>
      </c>
      <c r="O5097" t="s">
        <v>19958</v>
      </c>
      <c r="P5097" t="s">
        <v>20401</v>
      </c>
      <c r="Q5097" t="s">
        <v>20701</v>
      </c>
      <c r="R5097" t="s">
        <v>21493</v>
      </c>
      <c r="S5097">
        <v>1457</v>
      </c>
    </row>
    <row r="5098" spans="1:19">
      <c r="A5098" t="s">
        <v>26</v>
      </c>
      <c r="B5098" t="s">
        <v>148</v>
      </c>
      <c r="C5098" t="s">
        <v>158</v>
      </c>
      <c r="D5098" t="s">
        <v>287</v>
      </c>
      <c r="E5098" t="s">
        <v>416</v>
      </c>
      <c r="F5098">
        <f>HYPERLINK("https://www.wikidata.org/wiki/Q33756209", "Q33756209")</f>
        <v>0</v>
      </c>
      <c r="G5098" t="s">
        <v>3291</v>
      </c>
      <c r="H5098" t="s">
        <v>7703</v>
      </c>
      <c r="I5098" t="s">
        <v>10728</v>
      </c>
      <c r="J5098" t="s">
        <v>13905</v>
      </c>
      <c r="K5098" t="s">
        <v>18276</v>
      </c>
      <c r="L5098">
        <f>HYPERLINK("https://www2.assemblee-nationale.fr/sycomore/fiche/(num_dept)/7455", "7455")</f>
        <v>0</v>
      </c>
      <c r="N5098">
        <f>HYPERLINK("https://www.wikidata.org/wiki/Q15407335", "Q15407335")</f>
        <v>0</v>
      </c>
      <c r="O5098" t="s">
        <v>19960</v>
      </c>
      <c r="Q5098" t="s">
        <v>20701</v>
      </c>
      <c r="R5098" t="s">
        <v>21493</v>
      </c>
      <c r="S5098">
        <v>1457</v>
      </c>
    </row>
    <row r="5099" spans="1:19">
      <c r="A5099" t="s">
        <v>26</v>
      </c>
      <c r="B5099" t="s">
        <v>148</v>
      </c>
      <c r="C5099" t="s">
        <v>158</v>
      </c>
      <c r="D5099" t="s">
        <v>287</v>
      </c>
      <c r="E5099" t="s">
        <v>416</v>
      </c>
      <c r="F5099">
        <f>HYPERLINK("https://www.wikidata.org/wiki/Q33756209", "Q33756209")</f>
        <v>0</v>
      </c>
      <c r="G5099" t="s">
        <v>2700</v>
      </c>
      <c r="H5099" t="s">
        <v>7232</v>
      </c>
      <c r="I5099" t="s">
        <v>10373</v>
      </c>
      <c r="J5099" t="s">
        <v>13341</v>
      </c>
      <c r="K5099" t="s">
        <v>17741</v>
      </c>
      <c r="L5099">
        <f>HYPERLINK("https://www2.assemblee-nationale.fr/sycomore/fiche/(num_dept)/7469", "7469")</f>
        <v>0</v>
      </c>
      <c r="N5099">
        <f>HYPERLINK("https://www.wikidata.org/wiki/Q3173263", "Q3173263")</f>
        <v>0</v>
      </c>
      <c r="O5099" t="s">
        <v>20015</v>
      </c>
      <c r="P5099" t="s">
        <v>20459</v>
      </c>
      <c r="Q5099" t="s">
        <v>20701</v>
      </c>
      <c r="R5099" t="s">
        <v>17741</v>
      </c>
      <c r="S5099">
        <v>93</v>
      </c>
    </row>
    <row r="5100" spans="1:19">
      <c r="A5100" t="s">
        <v>26</v>
      </c>
      <c r="B5100" t="s">
        <v>148</v>
      </c>
      <c r="C5100" t="s">
        <v>158</v>
      </c>
      <c r="D5100" t="s">
        <v>287</v>
      </c>
      <c r="E5100" t="s">
        <v>416</v>
      </c>
      <c r="F5100">
        <f>HYPERLINK("https://www.wikidata.org/wiki/Q33756209", "Q33756209")</f>
        <v>0</v>
      </c>
      <c r="G5100" t="s">
        <v>3292</v>
      </c>
      <c r="H5100" t="s">
        <v>7704</v>
      </c>
      <c r="I5100" t="s">
        <v>9385</v>
      </c>
      <c r="J5100" t="s">
        <v>13906</v>
      </c>
      <c r="K5100" t="s">
        <v>18277</v>
      </c>
      <c r="L5100">
        <f>HYPERLINK("https://www2.assemblee-nationale.fr/sycomore/fiche/(num_dept)/7472", "7472")</f>
        <v>0</v>
      </c>
      <c r="M5100">
        <f>HYPERLINK("https://www.senat.fr/senateur-3eme-republique/de_vast_vimeux_charles0403r3.html", "de_vast_vimeux_charles0403r3")</f>
        <v>0</v>
      </c>
      <c r="N5100">
        <f>HYPERLINK("https://www.wikidata.org/wiki/Q2835553", "Q2835553")</f>
        <v>0</v>
      </c>
      <c r="O5100" t="s">
        <v>20037</v>
      </c>
      <c r="P5100" t="s">
        <v>20464</v>
      </c>
      <c r="Q5100" t="s">
        <v>20701</v>
      </c>
      <c r="R5100" t="s">
        <v>18277</v>
      </c>
      <c r="S5100">
        <v>1006</v>
      </c>
    </row>
    <row r="5101" spans="1:19">
      <c r="A5101" t="s">
        <v>26</v>
      </c>
      <c r="B5101" t="s">
        <v>148</v>
      </c>
      <c r="C5101" t="s">
        <v>158</v>
      </c>
      <c r="D5101" t="s">
        <v>287</v>
      </c>
      <c r="E5101" t="s">
        <v>416</v>
      </c>
      <c r="F5101">
        <f>HYPERLINK("https://www.wikidata.org/wiki/Q33756209", "Q33756209")</f>
        <v>0</v>
      </c>
      <c r="G5101" t="s">
        <v>2702</v>
      </c>
      <c r="H5101" t="s">
        <v>7234</v>
      </c>
      <c r="I5101" t="s">
        <v>6860</v>
      </c>
      <c r="J5101" t="s">
        <v>13343</v>
      </c>
      <c r="K5101" t="s">
        <v>17743</v>
      </c>
      <c r="L5101">
        <f>HYPERLINK("https://www2.assemblee-nationale.fr/sycomore/fiche/(num_dept)/7473", "7473")</f>
        <v>0</v>
      </c>
      <c r="M5101">
        <f>HYPERLINK("https://www.senat.fr/senateur-3eme-republique/waldeck_rousseau_pierre1368r3.html", "waldeck_rousseau_pierre1368r3")</f>
        <v>0</v>
      </c>
      <c r="N5101">
        <f>HYPERLINK("https://www.wikidata.org/wiki/Q358452", "Q358452")</f>
        <v>0</v>
      </c>
      <c r="O5101" t="s">
        <v>19998</v>
      </c>
      <c r="P5101" t="s">
        <v>20459</v>
      </c>
      <c r="Q5101" t="s">
        <v>20701</v>
      </c>
      <c r="R5101" t="s">
        <v>21493</v>
      </c>
      <c r="S5101">
        <v>1457</v>
      </c>
    </row>
    <row r="5102" spans="1:19">
      <c r="A5102" t="s">
        <v>26</v>
      </c>
      <c r="B5102" t="s">
        <v>148</v>
      </c>
      <c r="C5102" t="s">
        <v>158</v>
      </c>
      <c r="D5102" t="s">
        <v>287</v>
      </c>
      <c r="E5102" t="s">
        <v>416</v>
      </c>
      <c r="F5102">
        <f>HYPERLINK("https://www.wikidata.org/wiki/Q33756209", "Q33756209")</f>
        <v>0</v>
      </c>
      <c r="G5102" t="s">
        <v>3293</v>
      </c>
      <c r="H5102" t="s">
        <v>7328</v>
      </c>
      <c r="I5102" t="s">
        <v>9474</v>
      </c>
      <c r="J5102" t="s">
        <v>13907</v>
      </c>
      <c r="K5102" t="s">
        <v>18278</v>
      </c>
      <c r="L5102">
        <f>HYPERLINK("https://www2.assemblee-nationale.fr/sycomore/fiche/(num_dept)/7740", "7740")</f>
        <v>0</v>
      </c>
      <c r="N5102">
        <f>HYPERLINK("https://www.wikidata.org/wiki/Q3164213", "Q3164213")</f>
        <v>0</v>
      </c>
      <c r="O5102" t="s">
        <v>19998</v>
      </c>
      <c r="P5102" t="s">
        <v>20401</v>
      </c>
      <c r="Q5102" t="s">
        <v>20701</v>
      </c>
      <c r="R5102" t="s">
        <v>18278</v>
      </c>
      <c r="S5102">
        <v>132</v>
      </c>
    </row>
    <row r="5103" spans="1:19">
      <c r="A5103" t="s">
        <v>26</v>
      </c>
      <c r="B5103" t="s">
        <v>148</v>
      </c>
      <c r="C5103" t="s">
        <v>158</v>
      </c>
      <c r="D5103" t="s">
        <v>287</v>
      </c>
      <c r="E5103" t="s">
        <v>416</v>
      </c>
      <c r="F5103">
        <f>HYPERLINK("https://www.wikidata.org/wiki/Q33756209", "Q33756209")</f>
        <v>0</v>
      </c>
      <c r="G5103" t="s">
        <v>2712</v>
      </c>
      <c r="H5103" t="s">
        <v>5612</v>
      </c>
      <c r="I5103" t="s">
        <v>9453</v>
      </c>
      <c r="J5103" t="s">
        <v>13353</v>
      </c>
      <c r="K5103" t="s">
        <v>17753</v>
      </c>
      <c r="L5103">
        <f>HYPERLINK("https://www2.assemblee-nationale.fr/sycomore/fiche/(num_dept)/7796", "7796")</f>
        <v>0</v>
      </c>
      <c r="N5103">
        <f>HYPERLINK("https://www.wikidata.org/wiki/Q16025990", "Q16025990")</f>
        <v>0</v>
      </c>
      <c r="O5103" t="s">
        <v>20002</v>
      </c>
      <c r="P5103" t="s">
        <v>20459</v>
      </c>
      <c r="Q5103" t="s">
        <v>20701</v>
      </c>
      <c r="R5103" t="s">
        <v>21493</v>
      </c>
      <c r="S5103">
        <v>1457</v>
      </c>
    </row>
    <row r="5104" spans="1:19">
      <c r="A5104" t="s">
        <v>26</v>
      </c>
      <c r="B5104" t="s">
        <v>148</v>
      </c>
      <c r="C5104" t="s">
        <v>158</v>
      </c>
      <c r="D5104" t="s">
        <v>287</v>
      </c>
      <c r="E5104" t="s">
        <v>416</v>
      </c>
      <c r="F5104">
        <f>HYPERLINK("https://www.wikidata.org/wiki/Q33756209", "Q33756209")</f>
        <v>0</v>
      </c>
      <c r="G5104" t="s">
        <v>3294</v>
      </c>
      <c r="H5104" t="s">
        <v>7705</v>
      </c>
      <c r="I5104" t="s">
        <v>10485</v>
      </c>
      <c r="J5104" t="s">
        <v>13908</v>
      </c>
      <c r="K5104" t="s">
        <v>18279</v>
      </c>
      <c r="L5104">
        <f>HYPERLINK("https://www2.assemblee-nationale.fr/sycomore/fiche/(num_dept)/7807", "7807")</f>
        <v>0</v>
      </c>
      <c r="N5104">
        <f>HYPERLINK("https://www.wikidata.org/wiki/Q2941050", "Q2941050")</f>
        <v>0</v>
      </c>
      <c r="O5104" t="s">
        <v>19996</v>
      </c>
      <c r="P5104" t="s">
        <v>20403</v>
      </c>
      <c r="Q5104" t="s">
        <v>20701</v>
      </c>
      <c r="R5104" t="s">
        <v>21493</v>
      </c>
      <c r="S5104">
        <v>1457</v>
      </c>
    </row>
    <row r="5105" spans="1:19">
      <c r="A5105" t="s">
        <v>26</v>
      </c>
      <c r="B5105" t="s">
        <v>148</v>
      </c>
      <c r="C5105" t="s">
        <v>158</v>
      </c>
      <c r="D5105" t="s">
        <v>287</v>
      </c>
      <c r="E5105" t="s">
        <v>416</v>
      </c>
      <c r="F5105">
        <f>HYPERLINK("https://www.wikidata.org/wiki/Q33756209", "Q33756209")</f>
        <v>0</v>
      </c>
      <c r="G5105" t="s">
        <v>2713</v>
      </c>
      <c r="H5105" t="s">
        <v>7239</v>
      </c>
      <c r="I5105" t="s">
        <v>10379</v>
      </c>
      <c r="J5105" t="s">
        <v>13354</v>
      </c>
      <c r="K5105" t="s">
        <v>17754</v>
      </c>
      <c r="L5105">
        <f>HYPERLINK("https://www2.assemblee-nationale.fr/sycomore/fiche/(num_dept)/7811", "7811")</f>
        <v>0</v>
      </c>
      <c r="N5105">
        <f>HYPERLINK("https://www.wikidata.org/wiki/Q3045142", "Q3045142")</f>
        <v>0</v>
      </c>
      <c r="O5105" t="s">
        <v>20015</v>
      </c>
      <c r="P5105" t="s">
        <v>20401</v>
      </c>
      <c r="Q5105" t="s">
        <v>20701</v>
      </c>
      <c r="R5105" t="s">
        <v>21493</v>
      </c>
      <c r="S5105">
        <v>1457</v>
      </c>
    </row>
    <row r="5106" spans="1:19">
      <c r="A5106" t="s">
        <v>26</v>
      </c>
      <c r="B5106" t="s">
        <v>148</v>
      </c>
      <c r="C5106" t="s">
        <v>158</v>
      </c>
      <c r="D5106" t="s">
        <v>287</v>
      </c>
      <c r="E5106" t="s">
        <v>416</v>
      </c>
      <c r="F5106">
        <f>HYPERLINK("https://www.wikidata.org/wiki/Q33756209", "Q33756209")</f>
        <v>0</v>
      </c>
      <c r="G5106" t="s">
        <v>2715</v>
      </c>
      <c r="H5106" t="s">
        <v>7241</v>
      </c>
      <c r="I5106" t="s">
        <v>10380</v>
      </c>
      <c r="J5106" t="s">
        <v>13356</v>
      </c>
      <c r="K5106" t="s">
        <v>17756</v>
      </c>
      <c r="L5106">
        <f>HYPERLINK("https://www2.assemblee-nationale.fr/sycomore/fiche/(num_dept)/7829", "7829")</f>
        <v>0</v>
      </c>
      <c r="N5106">
        <f>HYPERLINK("https://www.wikidata.org/wiki/Q16025995", "Q16025995")</f>
        <v>0</v>
      </c>
      <c r="O5106" t="s">
        <v>20002</v>
      </c>
      <c r="P5106" t="s">
        <v>20461</v>
      </c>
      <c r="Q5106" t="s">
        <v>20701</v>
      </c>
      <c r="R5106" t="s">
        <v>21493</v>
      </c>
      <c r="S5106">
        <v>1457</v>
      </c>
    </row>
    <row r="5107" spans="1:19">
      <c r="A5107" t="s">
        <v>26</v>
      </c>
      <c r="B5107" t="s">
        <v>148</v>
      </c>
      <c r="C5107" t="s">
        <v>158</v>
      </c>
      <c r="D5107" t="s">
        <v>287</v>
      </c>
      <c r="E5107" t="s">
        <v>416</v>
      </c>
      <c r="F5107">
        <f>HYPERLINK("https://www.wikidata.org/wiki/Q33756209", "Q33756209")</f>
        <v>0</v>
      </c>
      <c r="G5107" t="s">
        <v>2716</v>
      </c>
      <c r="H5107" t="s">
        <v>7242</v>
      </c>
      <c r="I5107" t="s">
        <v>10381</v>
      </c>
      <c r="J5107" t="s">
        <v>13357</v>
      </c>
      <c r="K5107" t="s">
        <v>17757</v>
      </c>
      <c r="L5107">
        <f>HYPERLINK("https://www2.assemblee-nationale.fr/sycomore/fiche/(num_dept)/7831", "7831")</f>
        <v>0</v>
      </c>
      <c r="N5107">
        <f>HYPERLINK("https://www.wikidata.org/wiki/Q8316737", "Q8316737")</f>
        <v>0</v>
      </c>
      <c r="O5107" t="s">
        <v>19997</v>
      </c>
      <c r="P5107" t="s">
        <v>20459</v>
      </c>
      <c r="Q5107" t="s">
        <v>20701</v>
      </c>
      <c r="R5107" t="s">
        <v>21493</v>
      </c>
      <c r="S5107">
        <v>1457</v>
      </c>
    </row>
    <row r="5108" spans="1:19">
      <c r="A5108" t="s">
        <v>26</v>
      </c>
      <c r="B5108" t="s">
        <v>148</v>
      </c>
      <c r="C5108" t="s">
        <v>158</v>
      </c>
      <c r="D5108" t="s">
        <v>287</v>
      </c>
      <c r="E5108" t="s">
        <v>416</v>
      </c>
      <c r="F5108">
        <f>HYPERLINK("https://www.wikidata.org/wiki/Q33756209", "Q33756209")</f>
        <v>0</v>
      </c>
      <c r="G5108" t="s">
        <v>3295</v>
      </c>
      <c r="H5108" t="s">
        <v>7706</v>
      </c>
      <c r="I5108" t="s">
        <v>10748</v>
      </c>
      <c r="J5108" t="s">
        <v>13909</v>
      </c>
      <c r="K5108" t="s">
        <v>18280</v>
      </c>
      <c r="L5108">
        <f>HYPERLINK("https://www2.assemblee-nationale.fr/sycomore/fiche/(num_dept)/7833", "7833")</f>
        <v>0</v>
      </c>
      <c r="N5108">
        <f>HYPERLINK("https://www.wikidata.org/wiki/Q3092648", "Q3092648")</f>
        <v>0</v>
      </c>
      <c r="O5108" t="s">
        <v>19957</v>
      </c>
      <c r="P5108" t="s">
        <v>20460</v>
      </c>
      <c r="Q5108" t="s">
        <v>20701</v>
      </c>
      <c r="R5108" t="s">
        <v>21493</v>
      </c>
      <c r="S5108">
        <v>1457</v>
      </c>
    </row>
    <row r="5109" spans="1:19">
      <c r="A5109" t="s">
        <v>26</v>
      </c>
      <c r="B5109" t="s">
        <v>148</v>
      </c>
      <c r="C5109" t="s">
        <v>158</v>
      </c>
      <c r="D5109" t="s">
        <v>287</v>
      </c>
      <c r="E5109" t="s">
        <v>416</v>
      </c>
      <c r="F5109">
        <f>HYPERLINK("https://www.wikidata.org/wiki/Q33756209", "Q33756209")</f>
        <v>0</v>
      </c>
      <c r="G5109" t="s">
        <v>3010</v>
      </c>
      <c r="H5109" t="s">
        <v>7470</v>
      </c>
      <c r="I5109" t="s">
        <v>9483</v>
      </c>
      <c r="J5109" t="s">
        <v>13638</v>
      </c>
      <c r="K5109" t="s">
        <v>18023</v>
      </c>
      <c r="L5109">
        <f>HYPERLINK("https://www2.assemblee-nationale.fr/sycomore/fiche/(num_dept)/7839", "7839")</f>
        <v>0</v>
      </c>
      <c r="M5109">
        <f>HYPERLINK("https://www.senat.fr/senateur-3eme-republique/leydet_victor0316r3.html", "leydet_victor0316r3")</f>
        <v>0</v>
      </c>
      <c r="N5109">
        <f>HYPERLINK("https://www.wikidata.org/wiki/Q2522455", "Q2522455")</f>
        <v>0</v>
      </c>
      <c r="O5109" t="s">
        <v>19990</v>
      </c>
      <c r="P5109" t="s">
        <v>20471</v>
      </c>
      <c r="Q5109" t="s">
        <v>20701</v>
      </c>
      <c r="R5109" t="s">
        <v>21493</v>
      </c>
      <c r="S5109">
        <v>1457</v>
      </c>
    </row>
    <row r="5110" spans="1:19">
      <c r="A5110" t="s">
        <v>26</v>
      </c>
      <c r="B5110" t="s">
        <v>148</v>
      </c>
      <c r="C5110" t="s">
        <v>158</v>
      </c>
      <c r="D5110" t="s">
        <v>287</v>
      </c>
      <c r="E5110" t="s">
        <v>416</v>
      </c>
      <c r="F5110">
        <f>HYPERLINK("https://www.wikidata.org/wiki/Q33756209", "Q33756209")</f>
        <v>0</v>
      </c>
      <c r="G5110" t="s">
        <v>857</v>
      </c>
      <c r="H5110" t="s">
        <v>5613</v>
      </c>
      <c r="I5110" t="s">
        <v>6175</v>
      </c>
      <c r="J5110" t="s">
        <v>11603</v>
      </c>
      <c r="K5110" t="s">
        <v>16005</v>
      </c>
      <c r="L5110">
        <f>HYPERLINK("https://www2.assemblee-nationale.fr/sycomore/fiche/(num_dept)/7840", "7840")</f>
        <v>0</v>
      </c>
      <c r="N5110">
        <f>HYPERLINK("https://www.wikidata.org/wiki/Q728806", "Q728806")</f>
        <v>0</v>
      </c>
      <c r="O5110" t="s">
        <v>20043</v>
      </c>
      <c r="P5110" t="s">
        <v>20459</v>
      </c>
      <c r="Q5110" t="s">
        <v>20701</v>
      </c>
      <c r="R5110" t="s">
        <v>21493</v>
      </c>
      <c r="S5110">
        <v>1457</v>
      </c>
    </row>
    <row r="5111" spans="1:19">
      <c r="A5111" t="s">
        <v>26</v>
      </c>
      <c r="B5111" t="s">
        <v>148</v>
      </c>
      <c r="C5111" t="s">
        <v>158</v>
      </c>
      <c r="D5111" t="s">
        <v>287</v>
      </c>
      <c r="E5111" t="s">
        <v>416</v>
      </c>
      <c r="F5111">
        <f>HYPERLINK("https://www.wikidata.org/wiki/Q33756209", "Q33756209")</f>
        <v>0</v>
      </c>
      <c r="G5111" t="s">
        <v>3296</v>
      </c>
      <c r="H5111" t="s">
        <v>7455</v>
      </c>
      <c r="I5111" t="s">
        <v>10182</v>
      </c>
      <c r="J5111" t="s">
        <v>13910</v>
      </c>
      <c r="K5111" t="s">
        <v>18281</v>
      </c>
      <c r="L5111">
        <f>HYPERLINK("https://www2.assemblee-nationale.fr/sycomore/fiche/(num_dept)/7881", "7881")</f>
        <v>0</v>
      </c>
      <c r="N5111">
        <f>HYPERLINK("https://www.wikidata.org/wiki/Q16026006", "Q16026006")</f>
        <v>0</v>
      </c>
      <c r="O5111" t="s">
        <v>20006</v>
      </c>
      <c r="P5111" t="s">
        <v>20459</v>
      </c>
      <c r="Q5111" t="s">
        <v>20701</v>
      </c>
      <c r="R5111" t="s">
        <v>21493</v>
      </c>
      <c r="S5111">
        <v>1457</v>
      </c>
    </row>
    <row r="5112" spans="1:19">
      <c r="A5112" t="s">
        <v>26</v>
      </c>
      <c r="B5112" t="s">
        <v>148</v>
      </c>
      <c r="C5112" t="s">
        <v>158</v>
      </c>
      <c r="D5112" t="s">
        <v>287</v>
      </c>
      <c r="E5112" t="s">
        <v>416</v>
      </c>
      <c r="F5112">
        <f>HYPERLINK("https://www.wikidata.org/wiki/Q33756209", "Q33756209")</f>
        <v>0</v>
      </c>
      <c r="G5112" t="s">
        <v>2718</v>
      </c>
      <c r="H5112" t="s">
        <v>7244</v>
      </c>
      <c r="I5112" t="s">
        <v>6166</v>
      </c>
      <c r="J5112" t="s">
        <v>13359</v>
      </c>
      <c r="K5112" t="s">
        <v>17759</v>
      </c>
      <c r="L5112">
        <f>HYPERLINK("https://www2.assemblee-nationale.fr/sycomore/fiche/(num_dept)/7892", "7892")</f>
        <v>0</v>
      </c>
      <c r="N5112">
        <f>HYPERLINK("https://www.wikidata.org/wiki/Q2060426", "Q2060426")</f>
        <v>0</v>
      </c>
      <c r="O5112" t="s">
        <v>19969</v>
      </c>
      <c r="P5112" t="s">
        <v>20459</v>
      </c>
      <c r="Q5112" t="s">
        <v>20701</v>
      </c>
      <c r="R5112" t="s">
        <v>21493</v>
      </c>
      <c r="S5112">
        <v>1457</v>
      </c>
    </row>
    <row r="5113" spans="1:19">
      <c r="A5113" t="s">
        <v>26</v>
      </c>
      <c r="B5113" t="s">
        <v>148</v>
      </c>
      <c r="C5113" t="s">
        <v>158</v>
      </c>
      <c r="D5113" t="s">
        <v>287</v>
      </c>
      <c r="E5113" t="s">
        <v>416</v>
      </c>
      <c r="F5113">
        <f>HYPERLINK("https://www.wikidata.org/wiki/Q33756209", "Q33756209")</f>
        <v>0</v>
      </c>
      <c r="G5113" t="s">
        <v>2719</v>
      </c>
      <c r="H5113" t="s">
        <v>7245</v>
      </c>
      <c r="I5113" t="s">
        <v>10382</v>
      </c>
      <c r="J5113" t="s">
        <v>13360</v>
      </c>
      <c r="K5113" t="s">
        <v>17760</v>
      </c>
      <c r="L5113">
        <f>HYPERLINK("https://www2.assemblee-nationale.fr/sycomore/fiche/(num_dept)/7894", "7894")</f>
        <v>0</v>
      </c>
      <c r="N5113">
        <f>HYPERLINK("https://www.wikidata.org/wiki/Q13080813", "Q13080813")</f>
        <v>0</v>
      </c>
      <c r="O5113" t="s">
        <v>19965</v>
      </c>
      <c r="Q5113" t="s">
        <v>20701</v>
      </c>
      <c r="R5113" t="s">
        <v>21493</v>
      </c>
      <c r="S5113">
        <v>1457</v>
      </c>
    </row>
    <row r="5114" spans="1:19">
      <c r="A5114" t="s">
        <v>26</v>
      </c>
      <c r="B5114" t="s">
        <v>148</v>
      </c>
      <c r="C5114" t="s">
        <v>158</v>
      </c>
      <c r="D5114" t="s">
        <v>287</v>
      </c>
      <c r="E5114" t="s">
        <v>416</v>
      </c>
      <c r="F5114">
        <f>HYPERLINK("https://www.wikidata.org/wiki/Q33756209", "Q33756209")</f>
        <v>0</v>
      </c>
      <c r="G5114" t="s">
        <v>3297</v>
      </c>
      <c r="H5114" t="s">
        <v>7707</v>
      </c>
      <c r="I5114" t="s">
        <v>10749</v>
      </c>
      <c r="J5114" t="s">
        <v>13911</v>
      </c>
      <c r="K5114" t="s">
        <v>18282</v>
      </c>
      <c r="L5114">
        <f>HYPERLINK("https://www2.assemblee-nationale.fr/sycomore/fiche/(num_dept)/7896", "7896")</f>
        <v>0</v>
      </c>
      <c r="N5114">
        <f>HYPERLINK("https://www.wikidata.org/wiki/Q15973486", "Q15973486")</f>
        <v>0</v>
      </c>
      <c r="O5114" t="s">
        <v>19976</v>
      </c>
      <c r="P5114" t="s">
        <v>20401</v>
      </c>
      <c r="Q5114" t="s">
        <v>20701</v>
      </c>
      <c r="R5114" t="s">
        <v>21493</v>
      </c>
      <c r="S5114">
        <v>1457</v>
      </c>
    </row>
    <row r="5115" spans="1:19">
      <c r="A5115" t="s">
        <v>26</v>
      </c>
      <c r="B5115" t="s">
        <v>148</v>
      </c>
      <c r="C5115" t="s">
        <v>158</v>
      </c>
      <c r="D5115" t="s">
        <v>287</v>
      </c>
      <c r="E5115" t="s">
        <v>416</v>
      </c>
      <c r="F5115">
        <f>HYPERLINK("https://www.wikidata.org/wiki/Q33756209", "Q33756209")</f>
        <v>0</v>
      </c>
      <c r="G5115" t="s">
        <v>3298</v>
      </c>
      <c r="H5115" t="s">
        <v>7708</v>
      </c>
      <c r="I5115" t="s">
        <v>10750</v>
      </c>
      <c r="J5115" t="s">
        <v>13912</v>
      </c>
      <c r="K5115" t="s">
        <v>18283</v>
      </c>
      <c r="L5115">
        <f>HYPERLINK("https://www2.assemblee-nationale.fr/sycomore/fiche/(num_dept)/7897", "7897")</f>
        <v>0</v>
      </c>
      <c r="N5115">
        <f>HYPERLINK("https://www.wikidata.org/wiki/Q16025525", "Q16025525")</f>
        <v>0</v>
      </c>
      <c r="O5115" t="s">
        <v>19993</v>
      </c>
      <c r="P5115" t="s">
        <v>20460</v>
      </c>
      <c r="Q5115" t="s">
        <v>20701</v>
      </c>
      <c r="R5115" t="s">
        <v>21493</v>
      </c>
      <c r="S5115">
        <v>1457</v>
      </c>
    </row>
    <row r="5116" spans="1:19">
      <c r="A5116" t="s">
        <v>26</v>
      </c>
      <c r="B5116" t="s">
        <v>148</v>
      </c>
      <c r="C5116" t="s">
        <v>158</v>
      </c>
      <c r="D5116" t="s">
        <v>287</v>
      </c>
      <c r="E5116" t="s">
        <v>416</v>
      </c>
      <c r="F5116">
        <f>HYPERLINK("https://www.wikidata.org/wiki/Q33756209", "Q33756209")</f>
        <v>0</v>
      </c>
      <c r="G5116" t="s">
        <v>3299</v>
      </c>
      <c r="H5116" t="s">
        <v>5946</v>
      </c>
      <c r="I5116" t="s">
        <v>10751</v>
      </c>
      <c r="J5116" t="s">
        <v>13913</v>
      </c>
      <c r="K5116" t="s">
        <v>18284</v>
      </c>
      <c r="L5116">
        <f>HYPERLINK("https://www2.assemblee-nationale.fr/sycomore/fiche/(num_dept)/7898", "7898")</f>
        <v>0</v>
      </c>
      <c r="N5116">
        <f>HYPERLINK("https://www.wikidata.org/wiki/Q21581605", "Q21581605")</f>
        <v>0</v>
      </c>
      <c r="O5116" t="s">
        <v>20032</v>
      </c>
      <c r="P5116" t="s">
        <v>20401</v>
      </c>
      <c r="Q5116" t="s">
        <v>20701</v>
      </c>
      <c r="R5116" t="s">
        <v>21493</v>
      </c>
      <c r="S5116">
        <v>1457</v>
      </c>
    </row>
    <row r="5117" spans="1:19">
      <c r="A5117" t="s">
        <v>26</v>
      </c>
      <c r="B5117" t="s">
        <v>148</v>
      </c>
      <c r="C5117" t="s">
        <v>158</v>
      </c>
      <c r="D5117" t="s">
        <v>287</v>
      </c>
      <c r="E5117" t="s">
        <v>416</v>
      </c>
      <c r="F5117">
        <f>HYPERLINK("https://www.wikidata.org/wiki/Q33756209", "Q33756209")</f>
        <v>0</v>
      </c>
      <c r="G5117" t="s">
        <v>2720</v>
      </c>
      <c r="H5117" t="s">
        <v>6085</v>
      </c>
      <c r="I5117" t="s">
        <v>10383</v>
      </c>
      <c r="J5117" t="s">
        <v>13361</v>
      </c>
      <c r="K5117" t="s">
        <v>17761</v>
      </c>
      <c r="L5117">
        <f>HYPERLINK("https://www2.assemblee-nationale.fr/sycomore/fiche/(num_dept)/7899", "7899")</f>
        <v>0</v>
      </c>
      <c r="N5117">
        <f>HYPERLINK("https://www.wikidata.org/wiki/Q11984749", "Q11984749")</f>
        <v>0</v>
      </c>
      <c r="O5117" t="s">
        <v>19958</v>
      </c>
      <c r="Q5117" t="s">
        <v>20701</v>
      </c>
      <c r="R5117" t="s">
        <v>21493</v>
      </c>
      <c r="S5117">
        <v>1457</v>
      </c>
    </row>
    <row r="5118" spans="1:19">
      <c r="A5118" t="s">
        <v>26</v>
      </c>
      <c r="B5118" t="s">
        <v>148</v>
      </c>
      <c r="C5118" t="s">
        <v>158</v>
      </c>
      <c r="D5118" t="s">
        <v>287</v>
      </c>
      <c r="E5118" t="s">
        <v>416</v>
      </c>
      <c r="F5118">
        <f>HYPERLINK("https://www.wikidata.org/wiki/Q33756209", "Q33756209")</f>
        <v>0</v>
      </c>
      <c r="G5118" t="s">
        <v>3300</v>
      </c>
      <c r="H5118" t="s">
        <v>7709</v>
      </c>
      <c r="I5118" t="s">
        <v>6994</v>
      </c>
      <c r="J5118" t="s">
        <v>13914</v>
      </c>
      <c r="K5118" t="s">
        <v>18285</v>
      </c>
      <c r="L5118">
        <f>HYPERLINK("https://www2.assemblee-nationale.fr/sycomore/fiche/(num_dept)/7900", "7900")</f>
        <v>0</v>
      </c>
      <c r="N5118">
        <f>HYPERLINK("https://www.wikidata.org/wiki/Q3073631", "Q3073631")</f>
        <v>0</v>
      </c>
      <c r="O5118" t="s">
        <v>19993</v>
      </c>
      <c r="P5118" t="s">
        <v>20403</v>
      </c>
      <c r="Q5118" t="s">
        <v>20701</v>
      </c>
      <c r="R5118" t="s">
        <v>21493</v>
      </c>
      <c r="S5118">
        <v>1457</v>
      </c>
    </row>
    <row r="5119" spans="1:19">
      <c r="A5119" t="s">
        <v>26</v>
      </c>
      <c r="B5119" t="s">
        <v>148</v>
      </c>
      <c r="C5119" t="s">
        <v>158</v>
      </c>
      <c r="D5119" t="s">
        <v>287</v>
      </c>
      <c r="E5119" t="s">
        <v>416</v>
      </c>
      <c r="F5119">
        <f>HYPERLINK("https://www.wikidata.org/wiki/Q33756209", "Q33756209")</f>
        <v>0</v>
      </c>
      <c r="G5119" t="s">
        <v>3301</v>
      </c>
      <c r="H5119" t="s">
        <v>7710</v>
      </c>
      <c r="I5119" t="s">
        <v>10752</v>
      </c>
      <c r="J5119" t="s">
        <v>13915</v>
      </c>
      <c r="K5119" t="s">
        <v>17697</v>
      </c>
      <c r="L5119">
        <f>HYPERLINK("https://www2.assemblee-nationale.fr/sycomore/fiche/(num_dept)/7903", "7903")</f>
        <v>0</v>
      </c>
      <c r="N5119">
        <f>HYPERLINK("https://www.wikidata.org/wiki/Q3163833", "Q3163833")</f>
        <v>0</v>
      </c>
      <c r="O5119" t="s">
        <v>20005</v>
      </c>
      <c r="Q5119" t="s">
        <v>20701</v>
      </c>
      <c r="R5119" t="s">
        <v>21493</v>
      </c>
      <c r="S5119">
        <v>1457</v>
      </c>
    </row>
    <row r="5120" spans="1:19">
      <c r="A5120" t="s">
        <v>26</v>
      </c>
      <c r="B5120" t="s">
        <v>148</v>
      </c>
      <c r="C5120" t="s">
        <v>158</v>
      </c>
      <c r="D5120" t="s">
        <v>287</v>
      </c>
      <c r="E5120" t="s">
        <v>416</v>
      </c>
      <c r="F5120">
        <f>HYPERLINK("https://www.wikidata.org/wiki/Q33756209", "Q33756209")</f>
        <v>0</v>
      </c>
      <c r="G5120" t="s">
        <v>3302</v>
      </c>
      <c r="H5120" t="s">
        <v>7711</v>
      </c>
      <c r="I5120" t="s">
        <v>6860</v>
      </c>
      <c r="J5120" t="s">
        <v>13916</v>
      </c>
      <c r="K5120" t="s">
        <v>18286</v>
      </c>
      <c r="L5120">
        <f>HYPERLINK("https://www2.assemblee-nationale.fr/sycomore/fiche/(num_dept)/7904", "7904")</f>
        <v>0</v>
      </c>
      <c r="M5120">
        <f>HYPERLINK("https://www.senat.fr/senateur-3eme-republique/bourganel_pierre1360r3.html", "bourganel_pierre1360r3")</f>
        <v>0</v>
      </c>
      <c r="N5120">
        <f>HYPERLINK("https://www.wikidata.org/wiki/Q3384140", "Q3384140")</f>
        <v>0</v>
      </c>
      <c r="O5120" t="s">
        <v>19997</v>
      </c>
      <c r="P5120" t="s">
        <v>20459</v>
      </c>
      <c r="Q5120" t="s">
        <v>20701</v>
      </c>
      <c r="R5120" t="s">
        <v>21493</v>
      </c>
      <c r="S5120">
        <v>1457</v>
      </c>
    </row>
    <row r="5121" spans="1:19">
      <c r="A5121" t="s">
        <v>26</v>
      </c>
      <c r="B5121" t="s">
        <v>148</v>
      </c>
      <c r="C5121" t="s">
        <v>158</v>
      </c>
      <c r="D5121" t="s">
        <v>287</v>
      </c>
      <c r="E5121" t="s">
        <v>416</v>
      </c>
      <c r="F5121">
        <f>HYPERLINK("https://www.wikidata.org/wiki/Q33756209", "Q33756209")</f>
        <v>0</v>
      </c>
      <c r="G5121" t="s">
        <v>3046</v>
      </c>
      <c r="H5121" t="s">
        <v>7502</v>
      </c>
      <c r="I5121" t="s">
        <v>10597</v>
      </c>
      <c r="J5121" t="s">
        <v>13673</v>
      </c>
      <c r="K5121" t="s">
        <v>18054</v>
      </c>
      <c r="L5121">
        <f>HYPERLINK("https://www2.assemblee-nationale.fr/sycomore/fiche/(num_dept)/7905", "7905")</f>
        <v>0</v>
      </c>
      <c r="N5121">
        <f>HYPERLINK("https://www.wikidata.org/wiki/Q725491", "Q725491")</f>
        <v>0</v>
      </c>
      <c r="O5121" t="s">
        <v>19969</v>
      </c>
      <c r="P5121" t="s">
        <v>20401</v>
      </c>
      <c r="Q5121" t="s">
        <v>20701</v>
      </c>
      <c r="R5121" t="s">
        <v>21493</v>
      </c>
      <c r="S5121">
        <v>1457</v>
      </c>
    </row>
    <row r="5122" spans="1:19">
      <c r="A5122" t="s">
        <v>26</v>
      </c>
      <c r="B5122" t="s">
        <v>148</v>
      </c>
      <c r="C5122" t="s">
        <v>158</v>
      </c>
      <c r="D5122" t="s">
        <v>287</v>
      </c>
      <c r="E5122" t="s">
        <v>416</v>
      </c>
      <c r="F5122">
        <f>HYPERLINK("https://www.wikidata.org/wiki/Q33756209", "Q33756209")</f>
        <v>0</v>
      </c>
      <c r="G5122" t="s">
        <v>3303</v>
      </c>
      <c r="H5122" t="s">
        <v>7712</v>
      </c>
      <c r="I5122" t="s">
        <v>10753</v>
      </c>
      <c r="J5122" t="s">
        <v>13917</v>
      </c>
      <c r="K5122" t="s">
        <v>18287</v>
      </c>
      <c r="L5122">
        <f>HYPERLINK("https://www2.assemblee-nationale.fr/sycomore/fiche/(num_dept)/7911", "7911")</f>
        <v>0</v>
      </c>
      <c r="N5122">
        <f>HYPERLINK("https://www.wikidata.org/wiki/Q3576518", "Q3576518")</f>
        <v>0</v>
      </c>
      <c r="O5122" t="s">
        <v>19969</v>
      </c>
      <c r="P5122" t="s">
        <v>20456</v>
      </c>
      <c r="Q5122" t="s">
        <v>20701</v>
      </c>
      <c r="R5122" t="s">
        <v>21493</v>
      </c>
      <c r="S5122">
        <v>1457</v>
      </c>
    </row>
    <row r="5123" spans="1:19">
      <c r="A5123" t="s">
        <v>26</v>
      </c>
      <c r="B5123" t="s">
        <v>148</v>
      </c>
      <c r="C5123" t="s">
        <v>158</v>
      </c>
      <c r="D5123" t="s">
        <v>287</v>
      </c>
      <c r="E5123" t="s">
        <v>416</v>
      </c>
      <c r="F5123">
        <f>HYPERLINK("https://www.wikidata.org/wiki/Q33756209", "Q33756209")</f>
        <v>0</v>
      </c>
      <c r="G5123" t="s">
        <v>2724</v>
      </c>
      <c r="H5123" t="s">
        <v>7249</v>
      </c>
      <c r="I5123" t="s">
        <v>10386</v>
      </c>
      <c r="J5123" t="s">
        <v>13365</v>
      </c>
      <c r="K5123" t="s">
        <v>17765</v>
      </c>
      <c r="L5123">
        <f>HYPERLINK("https://www2.assemblee-nationale.fr/sycomore/fiche/(num_dept)/7912", "7912")</f>
        <v>0</v>
      </c>
      <c r="N5123">
        <f>HYPERLINK("https://www.wikidata.org/wiki/Q13080872", "Q13080872")</f>
        <v>0</v>
      </c>
      <c r="O5123" t="s">
        <v>19969</v>
      </c>
      <c r="P5123" t="s">
        <v>20456</v>
      </c>
      <c r="Q5123" t="s">
        <v>20701</v>
      </c>
      <c r="R5123" t="s">
        <v>17765</v>
      </c>
      <c r="S5123">
        <v>497</v>
      </c>
    </row>
    <row r="5124" spans="1:19">
      <c r="A5124" t="s">
        <v>26</v>
      </c>
      <c r="B5124" t="s">
        <v>148</v>
      </c>
      <c r="C5124" t="s">
        <v>158</v>
      </c>
      <c r="D5124" t="s">
        <v>287</v>
      </c>
      <c r="E5124" t="s">
        <v>416</v>
      </c>
      <c r="F5124">
        <f>HYPERLINK("https://www.wikidata.org/wiki/Q33756209", "Q33756209")</f>
        <v>0</v>
      </c>
      <c r="G5124" t="s">
        <v>2726</v>
      </c>
      <c r="H5124" t="s">
        <v>7250</v>
      </c>
      <c r="I5124" t="s">
        <v>10388</v>
      </c>
      <c r="J5124" t="s">
        <v>13367</v>
      </c>
      <c r="K5124" t="s">
        <v>17767</v>
      </c>
      <c r="L5124">
        <f>HYPERLINK("https://www2.assemblee-nationale.fr/sycomore/fiche/(num_dept)/7917", "7917")</f>
        <v>0</v>
      </c>
      <c r="N5124">
        <f>HYPERLINK("https://www.wikidata.org/wiki/Q15974194", "Q15974194")</f>
        <v>0</v>
      </c>
      <c r="O5124" t="s">
        <v>19969</v>
      </c>
      <c r="P5124" t="s">
        <v>20459</v>
      </c>
      <c r="Q5124" t="s">
        <v>20701</v>
      </c>
      <c r="R5124" t="s">
        <v>21493</v>
      </c>
      <c r="S5124">
        <v>1457</v>
      </c>
    </row>
    <row r="5125" spans="1:19">
      <c r="A5125" t="s">
        <v>26</v>
      </c>
      <c r="B5125" t="s">
        <v>148</v>
      </c>
      <c r="C5125" t="s">
        <v>158</v>
      </c>
      <c r="D5125" t="s">
        <v>287</v>
      </c>
      <c r="E5125" t="s">
        <v>416</v>
      </c>
      <c r="F5125">
        <f>HYPERLINK("https://www.wikidata.org/wiki/Q33756209", "Q33756209")</f>
        <v>0</v>
      </c>
      <c r="G5125" t="s">
        <v>3304</v>
      </c>
      <c r="H5125" t="s">
        <v>7713</v>
      </c>
      <c r="I5125" t="s">
        <v>6200</v>
      </c>
      <c r="J5125" t="s">
        <v>13918</v>
      </c>
      <c r="K5125" t="s">
        <v>18288</v>
      </c>
      <c r="L5125">
        <f>HYPERLINK("https://www2.assemblee-nationale.fr/sycomore/fiche/(num_dept)/7918", "7918")</f>
        <v>0</v>
      </c>
      <c r="M5125">
        <f>HYPERLINK("https://www.senat.fr/senateur-3eme-republique/chantagrel_jean0998r3.html", "chantagrel_jean0998r3")</f>
        <v>0</v>
      </c>
      <c r="N5125">
        <f>HYPERLINK("https://www.wikidata.org/wiki/Q3171215", "Q3171215")</f>
        <v>0</v>
      </c>
      <c r="O5125" t="s">
        <v>20005</v>
      </c>
      <c r="P5125" t="s">
        <v>20401</v>
      </c>
      <c r="Q5125" t="s">
        <v>20701</v>
      </c>
      <c r="R5125" t="s">
        <v>21493</v>
      </c>
      <c r="S5125">
        <v>1457</v>
      </c>
    </row>
    <row r="5126" spans="1:19">
      <c r="A5126" t="s">
        <v>26</v>
      </c>
      <c r="B5126" t="s">
        <v>148</v>
      </c>
      <c r="C5126" t="s">
        <v>158</v>
      </c>
      <c r="D5126" t="s">
        <v>287</v>
      </c>
      <c r="E5126" t="s">
        <v>416</v>
      </c>
      <c r="F5126">
        <f>HYPERLINK("https://www.wikidata.org/wiki/Q33756209", "Q33756209")</f>
        <v>0</v>
      </c>
      <c r="G5126" t="s">
        <v>3305</v>
      </c>
      <c r="H5126" t="s">
        <v>7714</v>
      </c>
      <c r="I5126" t="s">
        <v>10754</v>
      </c>
      <c r="J5126" t="s">
        <v>13919</v>
      </c>
      <c r="K5126" t="s">
        <v>18289</v>
      </c>
      <c r="L5126">
        <f>HYPERLINK("https://www2.assemblee-nationale.fr/sycomore/fiche/(num_dept)/7919", "7919")</f>
        <v>0</v>
      </c>
      <c r="N5126">
        <f>HYPERLINK("https://www.wikidata.org/wiki/Q16025762", "Q16025762")</f>
        <v>0</v>
      </c>
      <c r="O5126" t="s">
        <v>19989</v>
      </c>
      <c r="P5126" t="s">
        <v>20460</v>
      </c>
      <c r="Q5126" t="s">
        <v>20701</v>
      </c>
      <c r="R5126" t="s">
        <v>21493</v>
      </c>
      <c r="S5126">
        <v>1457</v>
      </c>
    </row>
    <row r="5127" spans="1:19">
      <c r="A5127" t="s">
        <v>26</v>
      </c>
      <c r="B5127" t="s">
        <v>148</v>
      </c>
      <c r="C5127" t="s">
        <v>158</v>
      </c>
      <c r="D5127" t="s">
        <v>287</v>
      </c>
      <c r="E5127" t="s">
        <v>416</v>
      </c>
      <c r="F5127">
        <f>HYPERLINK("https://www.wikidata.org/wiki/Q33756209", "Q33756209")</f>
        <v>0</v>
      </c>
      <c r="G5127" t="s">
        <v>2727</v>
      </c>
      <c r="H5127" t="s">
        <v>7251</v>
      </c>
      <c r="I5127" t="s">
        <v>10389</v>
      </c>
      <c r="J5127" t="s">
        <v>13368</v>
      </c>
      <c r="K5127" t="s">
        <v>17768</v>
      </c>
      <c r="L5127">
        <f>HYPERLINK("https://www2.assemblee-nationale.fr/sycomore/fiche/(num_dept)/7920", "7920")</f>
        <v>0</v>
      </c>
      <c r="N5127">
        <f>HYPERLINK("https://www.wikidata.org/wiki/Q16025438", "Q16025438")</f>
        <v>0</v>
      </c>
      <c r="O5127" t="s">
        <v>19965</v>
      </c>
      <c r="P5127" t="s">
        <v>20401</v>
      </c>
      <c r="Q5127" t="s">
        <v>20701</v>
      </c>
      <c r="R5127" t="s">
        <v>21493</v>
      </c>
      <c r="S5127">
        <v>1457</v>
      </c>
    </row>
    <row r="5128" spans="1:19">
      <c r="A5128" t="s">
        <v>26</v>
      </c>
      <c r="B5128" t="s">
        <v>148</v>
      </c>
      <c r="C5128" t="s">
        <v>158</v>
      </c>
      <c r="D5128" t="s">
        <v>287</v>
      </c>
      <c r="E5128" t="s">
        <v>416</v>
      </c>
      <c r="F5128">
        <f>HYPERLINK("https://www.wikidata.org/wiki/Q33756209", "Q33756209")</f>
        <v>0</v>
      </c>
      <c r="G5128" t="s">
        <v>3306</v>
      </c>
      <c r="H5128" t="s">
        <v>7616</v>
      </c>
      <c r="I5128" t="s">
        <v>10755</v>
      </c>
      <c r="J5128" t="s">
        <v>13920</v>
      </c>
      <c r="K5128" t="s">
        <v>18290</v>
      </c>
      <c r="L5128">
        <f>HYPERLINK("https://www2.assemblee-nationale.fr/sycomore/fiche/(num_dept)/7922", "7922")</f>
        <v>0</v>
      </c>
      <c r="N5128">
        <f>HYPERLINK("https://www.wikidata.org/wiki/Q3056890", "Q3056890")</f>
        <v>0</v>
      </c>
      <c r="O5128" t="s">
        <v>19980</v>
      </c>
      <c r="P5128" t="s">
        <v>20460</v>
      </c>
      <c r="Q5128" t="s">
        <v>20701</v>
      </c>
      <c r="R5128" t="s">
        <v>18290</v>
      </c>
      <c r="S5128">
        <v>778</v>
      </c>
    </row>
    <row r="5129" spans="1:19">
      <c r="A5129" t="s">
        <v>26</v>
      </c>
      <c r="B5129" t="s">
        <v>148</v>
      </c>
      <c r="C5129" t="s">
        <v>158</v>
      </c>
      <c r="D5129" t="s">
        <v>287</v>
      </c>
      <c r="E5129" t="s">
        <v>416</v>
      </c>
      <c r="F5129">
        <f>HYPERLINK("https://www.wikidata.org/wiki/Q33756209", "Q33756209")</f>
        <v>0</v>
      </c>
      <c r="G5129" t="s">
        <v>2728</v>
      </c>
      <c r="H5129" t="s">
        <v>5344</v>
      </c>
      <c r="I5129" t="s">
        <v>9534</v>
      </c>
      <c r="J5129" t="s">
        <v>13369</v>
      </c>
      <c r="K5129" t="s">
        <v>17649</v>
      </c>
      <c r="L5129">
        <f>HYPERLINK("https://www2.assemblee-nationale.fr/sycomore/fiche/(num_dept)/7924", "7924")</f>
        <v>0</v>
      </c>
      <c r="M5129">
        <f>HYPERLINK("https://www.senat.fr/senateur-3eme-republique/cochery_adolphe0505r3.html", "cochery_adolphe0505r3")</f>
        <v>0</v>
      </c>
      <c r="N5129">
        <f>HYPERLINK("https://www.wikidata.org/wiki/Q960751", "Q960751")</f>
        <v>0</v>
      </c>
      <c r="O5129" t="s">
        <v>19958</v>
      </c>
      <c r="P5129" t="s">
        <v>20461</v>
      </c>
      <c r="Q5129" t="s">
        <v>20701</v>
      </c>
      <c r="R5129" t="s">
        <v>21508</v>
      </c>
      <c r="S5129">
        <v>821</v>
      </c>
    </row>
    <row r="5130" spans="1:19">
      <c r="A5130" t="s">
        <v>26</v>
      </c>
      <c r="B5130" t="s">
        <v>148</v>
      </c>
      <c r="C5130" t="s">
        <v>158</v>
      </c>
      <c r="D5130" t="s">
        <v>287</v>
      </c>
      <c r="E5130" t="s">
        <v>416</v>
      </c>
      <c r="F5130">
        <f>HYPERLINK("https://www.wikidata.org/wiki/Q33756209", "Q33756209")</f>
        <v>0</v>
      </c>
      <c r="G5130" t="s">
        <v>3307</v>
      </c>
      <c r="H5130" t="s">
        <v>7715</v>
      </c>
      <c r="I5130" t="s">
        <v>9694</v>
      </c>
      <c r="J5130" t="s">
        <v>13921</v>
      </c>
      <c r="K5130" t="s">
        <v>18291</v>
      </c>
      <c r="L5130">
        <f>HYPERLINK("https://www2.assemblee-nationale.fr/sycomore/fiche/(num_dept)/7925", "7925")</f>
        <v>0</v>
      </c>
      <c r="N5130">
        <f>HYPERLINK("https://www.wikidata.org/wiki/Q8312753", "Q8312753")</f>
        <v>0</v>
      </c>
      <c r="O5130" t="s">
        <v>19976</v>
      </c>
      <c r="P5130" t="s">
        <v>20401</v>
      </c>
      <c r="Q5130" t="s">
        <v>20701</v>
      </c>
      <c r="R5130" t="s">
        <v>21493</v>
      </c>
      <c r="S5130">
        <v>1457</v>
      </c>
    </row>
    <row r="5131" spans="1:19">
      <c r="A5131" t="s">
        <v>26</v>
      </c>
      <c r="B5131" t="s">
        <v>148</v>
      </c>
      <c r="C5131" t="s">
        <v>158</v>
      </c>
      <c r="D5131" t="s">
        <v>287</v>
      </c>
      <c r="E5131" t="s">
        <v>416</v>
      </c>
      <c r="F5131">
        <f>HYPERLINK("https://www.wikidata.org/wiki/Q33756209", "Q33756209")</f>
        <v>0</v>
      </c>
      <c r="G5131" t="s">
        <v>3308</v>
      </c>
      <c r="H5131" t="s">
        <v>7716</v>
      </c>
      <c r="I5131" t="s">
        <v>9389</v>
      </c>
      <c r="J5131" t="s">
        <v>13922</v>
      </c>
      <c r="K5131" t="s">
        <v>18292</v>
      </c>
      <c r="L5131">
        <f>HYPERLINK("https://www2.assemblee-nationale.fr/sycomore/fiche/(num_dept)/7928", "7928")</f>
        <v>0</v>
      </c>
      <c r="M5131">
        <f>HYPERLINK("https://www.senat.fr/senateur-3eme-republique/crozet_fourneyron_emile1348r3.html", "crozet_fourneyron_emile1348r3")</f>
        <v>0</v>
      </c>
      <c r="N5131">
        <f>HYPERLINK("https://www.wikidata.org/wiki/Q3588440", "Q3588440")</f>
        <v>0</v>
      </c>
      <c r="O5131" t="s">
        <v>19997</v>
      </c>
      <c r="Q5131" t="s">
        <v>20701</v>
      </c>
      <c r="R5131" t="s">
        <v>21493</v>
      </c>
      <c r="S5131">
        <v>1457</v>
      </c>
    </row>
    <row r="5132" spans="1:19">
      <c r="A5132" t="s">
        <v>26</v>
      </c>
      <c r="B5132" t="s">
        <v>148</v>
      </c>
      <c r="C5132" t="s">
        <v>158</v>
      </c>
      <c r="D5132" t="s">
        <v>287</v>
      </c>
      <c r="E5132" t="s">
        <v>416</v>
      </c>
      <c r="F5132">
        <f>HYPERLINK("https://www.wikidata.org/wiki/Q33756209", "Q33756209")</f>
        <v>0</v>
      </c>
      <c r="G5132" t="s">
        <v>2972</v>
      </c>
      <c r="H5132" t="s">
        <v>7440</v>
      </c>
      <c r="I5132" t="s">
        <v>10550</v>
      </c>
      <c r="J5132" t="s">
        <v>13604</v>
      </c>
      <c r="K5132" t="s">
        <v>17990</v>
      </c>
      <c r="L5132">
        <f>HYPERLINK("https://www2.assemblee-nationale.fr/sycomore/fiche/(num_dept)/7931", "7931")</f>
        <v>0</v>
      </c>
      <c r="N5132">
        <f>HYPERLINK("https://www.wikidata.org/wiki/Q13080865", "Q13080865")</f>
        <v>0</v>
      </c>
      <c r="O5132" t="s">
        <v>19969</v>
      </c>
      <c r="P5132" t="s">
        <v>20456</v>
      </c>
      <c r="Q5132" t="s">
        <v>20701</v>
      </c>
      <c r="R5132" t="s">
        <v>21493</v>
      </c>
      <c r="S5132">
        <v>1457</v>
      </c>
    </row>
    <row r="5133" spans="1:19">
      <c r="A5133" t="s">
        <v>26</v>
      </c>
      <c r="B5133" t="s">
        <v>148</v>
      </c>
      <c r="C5133" t="s">
        <v>158</v>
      </c>
      <c r="D5133" t="s">
        <v>287</v>
      </c>
      <c r="E5133" t="s">
        <v>416</v>
      </c>
      <c r="F5133">
        <f>HYPERLINK("https://www.wikidata.org/wiki/Q33756209", "Q33756209")</f>
        <v>0</v>
      </c>
      <c r="G5133" t="s">
        <v>3309</v>
      </c>
      <c r="H5133" t="s">
        <v>7717</v>
      </c>
      <c r="I5133" t="s">
        <v>10756</v>
      </c>
      <c r="J5133" t="s">
        <v>13923</v>
      </c>
      <c r="K5133" t="s">
        <v>18293</v>
      </c>
      <c r="L5133">
        <f>HYPERLINK("https://www2.assemblee-nationale.fr/sycomore/fiche/(num_dept)/7933", "7933")</f>
        <v>0</v>
      </c>
      <c r="N5133">
        <f>HYPERLINK("https://www.wikidata.org/wiki/Q16026555", "Q16026555")</f>
        <v>0</v>
      </c>
      <c r="O5133" t="s">
        <v>20025</v>
      </c>
      <c r="P5133" t="s">
        <v>20461</v>
      </c>
      <c r="Q5133" t="s">
        <v>20701</v>
      </c>
      <c r="R5133" t="s">
        <v>21493</v>
      </c>
      <c r="S5133">
        <v>1457</v>
      </c>
    </row>
    <row r="5134" spans="1:19">
      <c r="A5134" t="s">
        <v>26</v>
      </c>
      <c r="B5134" t="s">
        <v>148</v>
      </c>
      <c r="C5134" t="s">
        <v>158</v>
      </c>
      <c r="D5134" t="s">
        <v>287</v>
      </c>
      <c r="E5134" t="s">
        <v>416</v>
      </c>
      <c r="F5134">
        <f>HYPERLINK("https://www.wikidata.org/wiki/Q33756209", "Q33756209")</f>
        <v>0</v>
      </c>
      <c r="G5134" t="s">
        <v>3310</v>
      </c>
      <c r="H5134" t="s">
        <v>7718</v>
      </c>
      <c r="I5134" t="s">
        <v>10757</v>
      </c>
      <c r="J5134" t="s">
        <v>13924</v>
      </c>
      <c r="K5134" t="s">
        <v>18294</v>
      </c>
      <c r="L5134">
        <f>HYPERLINK("https://www2.assemblee-nationale.fr/sycomore/fiche/(num_dept)/7935", "7935")</f>
        <v>0</v>
      </c>
      <c r="N5134">
        <f>HYPERLINK("https://www.wikidata.org/wiki/Q16025900", "Q16025900")</f>
        <v>0</v>
      </c>
      <c r="O5134" t="s">
        <v>19970</v>
      </c>
      <c r="P5134" t="s">
        <v>20460</v>
      </c>
      <c r="Q5134" t="s">
        <v>20701</v>
      </c>
      <c r="R5134" t="s">
        <v>18294</v>
      </c>
      <c r="S5134">
        <v>439</v>
      </c>
    </row>
    <row r="5135" spans="1:19">
      <c r="A5135" t="s">
        <v>26</v>
      </c>
      <c r="B5135" t="s">
        <v>148</v>
      </c>
      <c r="C5135" t="s">
        <v>158</v>
      </c>
      <c r="D5135" t="s">
        <v>287</v>
      </c>
      <c r="E5135" t="s">
        <v>416</v>
      </c>
      <c r="F5135">
        <f>HYPERLINK("https://www.wikidata.org/wiki/Q33756209", "Q33756209")</f>
        <v>0</v>
      </c>
      <c r="G5135" t="s">
        <v>2730</v>
      </c>
      <c r="H5135" t="s">
        <v>7252</v>
      </c>
      <c r="I5135" t="s">
        <v>10390</v>
      </c>
      <c r="J5135" t="s">
        <v>13371</v>
      </c>
      <c r="K5135" t="s">
        <v>17770</v>
      </c>
      <c r="L5135">
        <f>HYPERLINK("https://www2.assemblee-nationale.fr/sycomore/fiche/(num_dept)/7936", "7936")</f>
        <v>0</v>
      </c>
      <c r="N5135">
        <f>HYPERLINK("https://www.wikidata.org/wiki/Q11984859", "Q11984859")</f>
        <v>0</v>
      </c>
      <c r="O5135" t="s">
        <v>19958</v>
      </c>
      <c r="P5135" t="s">
        <v>20460</v>
      </c>
      <c r="Q5135" t="s">
        <v>20701</v>
      </c>
      <c r="R5135" t="s">
        <v>17770</v>
      </c>
      <c r="S5135">
        <v>916</v>
      </c>
    </row>
    <row r="5136" spans="1:19">
      <c r="A5136" t="s">
        <v>26</v>
      </c>
      <c r="B5136" t="s">
        <v>148</v>
      </c>
      <c r="C5136" t="s">
        <v>158</v>
      </c>
      <c r="D5136" t="s">
        <v>287</v>
      </c>
      <c r="E5136" t="s">
        <v>416</v>
      </c>
      <c r="F5136">
        <f>HYPERLINK("https://www.wikidata.org/wiki/Q33756209", "Q33756209")</f>
        <v>0</v>
      </c>
      <c r="G5136" t="s">
        <v>3311</v>
      </c>
      <c r="H5136" t="s">
        <v>7719</v>
      </c>
      <c r="I5136" t="s">
        <v>10758</v>
      </c>
      <c r="J5136" t="s">
        <v>13925</v>
      </c>
      <c r="K5136" t="s">
        <v>18295</v>
      </c>
      <c r="L5136">
        <f>HYPERLINK("https://www2.assemblee-nationale.fr/sycomore/fiche/(num_dept)/7937", "7937")</f>
        <v>0</v>
      </c>
      <c r="N5136">
        <f>HYPERLINK("https://www.wikidata.org/wiki/Q16025621", "Q16025621")</f>
        <v>0</v>
      </c>
      <c r="O5136" t="s">
        <v>19997</v>
      </c>
      <c r="P5136" t="s">
        <v>20461</v>
      </c>
      <c r="Q5136" t="s">
        <v>20701</v>
      </c>
      <c r="R5136" t="s">
        <v>18295</v>
      </c>
      <c r="S5136">
        <v>794</v>
      </c>
    </row>
    <row r="5137" spans="1:19">
      <c r="A5137" t="s">
        <v>26</v>
      </c>
      <c r="B5137" t="s">
        <v>148</v>
      </c>
      <c r="C5137" t="s">
        <v>158</v>
      </c>
      <c r="D5137" t="s">
        <v>287</v>
      </c>
      <c r="E5137" t="s">
        <v>416</v>
      </c>
      <c r="F5137">
        <f>HYPERLINK("https://www.wikidata.org/wiki/Q33756209", "Q33756209")</f>
        <v>0</v>
      </c>
      <c r="G5137" t="s">
        <v>3312</v>
      </c>
      <c r="H5137" t="s">
        <v>7720</v>
      </c>
      <c r="I5137" t="s">
        <v>6584</v>
      </c>
      <c r="J5137" t="s">
        <v>13926</v>
      </c>
      <c r="K5137" t="s">
        <v>18296</v>
      </c>
      <c r="L5137">
        <f>HYPERLINK("https://www2.assemblee-nationale.fr/sycomore/fiche/(num_dept)/7938", "7938")</f>
        <v>0</v>
      </c>
      <c r="N5137">
        <f>HYPERLINK("https://www.wikidata.org/wiki/Q8324451", "Q8324451")</f>
        <v>0</v>
      </c>
      <c r="O5137" t="s">
        <v>19989</v>
      </c>
      <c r="P5137" t="s">
        <v>20460</v>
      </c>
      <c r="Q5137" t="s">
        <v>20701</v>
      </c>
      <c r="R5137" t="s">
        <v>21493</v>
      </c>
      <c r="S5137">
        <v>1457</v>
      </c>
    </row>
    <row r="5138" spans="1:19">
      <c r="A5138" t="s">
        <v>26</v>
      </c>
      <c r="B5138" t="s">
        <v>148</v>
      </c>
      <c r="C5138" t="s">
        <v>158</v>
      </c>
      <c r="D5138" t="s">
        <v>287</v>
      </c>
      <c r="E5138" t="s">
        <v>416</v>
      </c>
      <c r="F5138">
        <f>HYPERLINK("https://www.wikidata.org/wiki/Q33756209", "Q33756209")</f>
        <v>0</v>
      </c>
      <c r="G5138" t="s">
        <v>2973</v>
      </c>
      <c r="H5138" t="s">
        <v>5700</v>
      </c>
      <c r="I5138" t="s">
        <v>10551</v>
      </c>
      <c r="J5138" t="s">
        <v>13605</v>
      </c>
      <c r="K5138" t="s">
        <v>17991</v>
      </c>
      <c r="L5138">
        <f>HYPERLINK("https://www2.assemblee-nationale.fr/sycomore/fiche/(num_dept)/7939", "7939")</f>
        <v>0</v>
      </c>
      <c r="N5138">
        <f>HYPERLINK("https://www.wikidata.org/wiki/Q16025629", "Q16025629")</f>
        <v>0</v>
      </c>
      <c r="O5138" t="s">
        <v>19974</v>
      </c>
      <c r="P5138" t="s">
        <v>20460</v>
      </c>
      <c r="Q5138" t="s">
        <v>20701</v>
      </c>
      <c r="R5138" t="s">
        <v>21493</v>
      </c>
      <c r="S5138">
        <v>1457</v>
      </c>
    </row>
    <row r="5139" spans="1:19">
      <c r="A5139" t="s">
        <v>26</v>
      </c>
      <c r="B5139" t="s">
        <v>148</v>
      </c>
      <c r="C5139" t="s">
        <v>158</v>
      </c>
      <c r="D5139" t="s">
        <v>287</v>
      </c>
      <c r="E5139" t="s">
        <v>416</v>
      </c>
      <c r="F5139">
        <f>HYPERLINK("https://www.wikidata.org/wiki/Q33756209", "Q33756209")</f>
        <v>0</v>
      </c>
      <c r="G5139" t="s">
        <v>2732</v>
      </c>
      <c r="H5139" t="s">
        <v>5397</v>
      </c>
      <c r="I5139" t="s">
        <v>10391</v>
      </c>
      <c r="J5139" t="s">
        <v>13373</v>
      </c>
      <c r="K5139" t="s">
        <v>17772</v>
      </c>
      <c r="L5139">
        <f>HYPERLINK("https://www2.assemblee-nationale.fr/sycomore/fiche/(num_dept)/7944", "7944")</f>
        <v>0</v>
      </c>
      <c r="N5139">
        <f>HYPERLINK("https://www.wikidata.org/wiki/Q16025685", "Q16025685")</f>
        <v>0</v>
      </c>
      <c r="O5139" t="s">
        <v>20025</v>
      </c>
      <c r="P5139" t="s">
        <v>20459</v>
      </c>
      <c r="Q5139" t="s">
        <v>20701</v>
      </c>
      <c r="R5139" t="s">
        <v>21493</v>
      </c>
      <c r="S5139">
        <v>1457</v>
      </c>
    </row>
    <row r="5140" spans="1:19">
      <c r="A5140" t="s">
        <v>26</v>
      </c>
      <c r="B5140" t="s">
        <v>148</v>
      </c>
      <c r="C5140" t="s">
        <v>158</v>
      </c>
      <c r="D5140" t="s">
        <v>287</v>
      </c>
      <c r="E5140" t="s">
        <v>416</v>
      </c>
      <c r="F5140">
        <f>HYPERLINK("https://www.wikidata.org/wiki/Q33756209", "Q33756209")</f>
        <v>0</v>
      </c>
      <c r="G5140" t="s">
        <v>3060</v>
      </c>
      <c r="H5140" t="s">
        <v>5406</v>
      </c>
      <c r="I5140" t="s">
        <v>6076</v>
      </c>
      <c r="J5140" t="s">
        <v>13684</v>
      </c>
      <c r="K5140" t="s">
        <v>18067</v>
      </c>
      <c r="L5140">
        <f>HYPERLINK("https://www2.assemblee-nationale.fr/sycomore/fiche/(num_dept)/7947", "7947")</f>
        <v>0</v>
      </c>
      <c r="N5140">
        <f>HYPERLINK("https://www.wikidata.org/wiki/Q13080818", "Q13080818")</f>
        <v>0</v>
      </c>
      <c r="O5140" t="s">
        <v>19969</v>
      </c>
      <c r="P5140" t="s">
        <v>20401</v>
      </c>
      <c r="Q5140" t="s">
        <v>20701</v>
      </c>
      <c r="R5140" t="s">
        <v>21493</v>
      </c>
      <c r="S5140">
        <v>1457</v>
      </c>
    </row>
    <row r="5141" spans="1:19">
      <c r="A5141" t="s">
        <v>26</v>
      </c>
      <c r="B5141" t="s">
        <v>148</v>
      </c>
      <c r="C5141" t="s">
        <v>158</v>
      </c>
      <c r="D5141" t="s">
        <v>287</v>
      </c>
      <c r="E5141" t="s">
        <v>416</v>
      </c>
      <c r="F5141">
        <f>HYPERLINK("https://www.wikidata.org/wiki/Q33756209", "Q33756209")</f>
        <v>0</v>
      </c>
      <c r="G5141" t="s">
        <v>2735</v>
      </c>
      <c r="H5141" t="s">
        <v>7255</v>
      </c>
      <c r="I5141" t="s">
        <v>10393</v>
      </c>
      <c r="J5141" t="s">
        <v>13376</v>
      </c>
      <c r="K5141" t="s">
        <v>12649</v>
      </c>
      <c r="L5141">
        <f>HYPERLINK("https://www2.assemblee-nationale.fr/sycomore/fiche/(num_dept)/7948", "7948")</f>
        <v>0</v>
      </c>
      <c r="M5141">
        <f>HYPERLINK("https://www.senat.fr/senateur-3eme-republique/fousset_ernest0498r3.html", "fousset_ernest0498r3")</f>
        <v>0</v>
      </c>
      <c r="N5141">
        <f>HYPERLINK("https://www.wikidata.org/wiki/Q3056963", "Q3056963")</f>
        <v>0</v>
      </c>
      <c r="O5141" t="s">
        <v>19958</v>
      </c>
      <c r="P5141" t="s">
        <v>20459</v>
      </c>
      <c r="Q5141" t="s">
        <v>20701</v>
      </c>
      <c r="R5141" t="s">
        <v>21509</v>
      </c>
      <c r="S5141">
        <v>818</v>
      </c>
    </row>
    <row r="5142" spans="1:19">
      <c r="A5142" t="s">
        <v>26</v>
      </c>
      <c r="B5142" t="s">
        <v>148</v>
      </c>
      <c r="C5142" t="s">
        <v>158</v>
      </c>
      <c r="D5142" t="s">
        <v>287</v>
      </c>
      <c r="E5142" t="s">
        <v>416</v>
      </c>
      <c r="F5142">
        <f>HYPERLINK("https://www.wikidata.org/wiki/Q33756209", "Q33756209")</f>
        <v>0</v>
      </c>
      <c r="G5142" t="s">
        <v>2974</v>
      </c>
      <c r="H5142" t="s">
        <v>7441</v>
      </c>
      <c r="I5142" t="s">
        <v>10552</v>
      </c>
      <c r="J5142" t="s">
        <v>13606</v>
      </c>
      <c r="K5142" t="s">
        <v>17992</v>
      </c>
      <c r="L5142">
        <f>HYPERLINK("https://www2.assemblee-nationale.fr/sycomore/fiche/(num_dept)/7950", "7950")</f>
        <v>0</v>
      </c>
      <c r="N5142">
        <f>HYPERLINK("https://www.wikidata.org/wiki/Q16025744", "Q16025744")</f>
        <v>0</v>
      </c>
      <c r="O5142" t="s">
        <v>20021</v>
      </c>
      <c r="P5142" t="s">
        <v>20478</v>
      </c>
      <c r="Q5142" t="s">
        <v>20701</v>
      </c>
      <c r="R5142" t="s">
        <v>17992</v>
      </c>
      <c r="S5142">
        <v>91</v>
      </c>
    </row>
    <row r="5143" spans="1:19">
      <c r="A5143" t="s">
        <v>26</v>
      </c>
      <c r="B5143" t="s">
        <v>148</v>
      </c>
      <c r="C5143" t="s">
        <v>158</v>
      </c>
      <c r="D5143" t="s">
        <v>287</v>
      </c>
      <c r="E5143" t="s">
        <v>416</v>
      </c>
      <c r="F5143">
        <f>HYPERLINK("https://www.wikidata.org/wiki/Q33756209", "Q33756209")</f>
        <v>0</v>
      </c>
      <c r="G5143" t="s">
        <v>3313</v>
      </c>
      <c r="H5143" t="s">
        <v>7721</v>
      </c>
      <c r="I5143" t="s">
        <v>9476</v>
      </c>
      <c r="J5143" t="s">
        <v>13927</v>
      </c>
      <c r="K5143" t="s">
        <v>18297</v>
      </c>
      <c r="L5143">
        <f>HYPERLINK("https://www2.assemblee-nationale.fr/sycomore/fiche/(num_dept)/7953", "7953")</f>
        <v>0</v>
      </c>
      <c r="N5143">
        <f>HYPERLINK("https://www.wikidata.org/wiki/Q17350157", "Q17350157")</f>
        <v>0</v>
      </c>
      <c r="O5143" t="s">
        <v>20030</v>
      </c>
      <c r="P5143" t="s">
        <v>20459</v>
      </c>
      <c r="Q5143" t="s">
        <v>20701</v>
      </c>
      <c r="R5143" t="s">
        <v>21493</v>
      </c>
      <c r="S5143">
        <v>1457</v>
      </c>
    </row>
    <row r="5144" spans="1:19">
      <c r="A5144" t="s">
        <v>26</v>
      </c>
      <c r="B5144" t="s">
        <v>148</v>
      </c>
      <c r="C5144" t="s">
        <v>158</v>
      </c>
      <c r="D5144" t="s">
        <v>287</v>
      </c>
      <c r="E5144" t="s">
        <v>416</v>
      </c>
      <c r="F5144">
        <f>HYPERLINK("https://www.wikidata.org/wiki/Q33756209", "Q33756209")</f>
        <v>0</v>
      </c>
      <c r="G5144" t="s">
        <v>3314</v>
      </c>
      <c r="H5144" t="s">
        <v>7378</v>
      </c>
      <c r="I5144" t="s">
        <v>9843</v>
      </c>
      <c r="J5144" t="s">
        <v>13928</v>
      </c>
      <c r="K5144" t="s">
        <v>18298</v>
      </c>
      <c r="L5144">
        <f>HYPERLINK("https://www2.assemblee-nationale.fr/sycomore/fiche/(num_dept)/7958", "7958")</f>
        <v>0</v>
      </c>
      <c r="N5144">
        <f>HYPERLINK("https://www.wikidata.org/wiki/Q249982", "Q249982")</f>
        <v>0</v>
      </c>
      <c r="O5144" t="s">
        <v>19969</v>
      </c>
      <c r="P5144" t="s">
        <v>20456</v>
      </c>
      <c r="Q5144" t="s">
        <v>20701</v>
      </c>
      <c r="R5144" t="s">
        <v>21493</v>
      </c>
      <c r="S5144">
        <v>1457</v>
      </c>
    </row>
    <row r="5145" spans="1:19">
      <c r="A5145" t="s">
        <v>26</v>
      </c>
      <c r="B5145" t="s">
        <v>148</v>
      </c>
      <c r="C5145" t="s">
        <v>158</v>
      </c>
      <c r="D5145" t="s">
        <v>287</v>
      </c>
      <c r="E5145" t="s">
        <v>416</v>
      </c>
      <c r="F5145">
        <f>HYPERLINK("https://www.wikidata.org/wiki/Q33756209", "Q33756209")</f>
        <v>0</v>
      </c>
      <c r="G5145" t="s">
        <v>2975</v>
      </c>
      <c r="H5145" t="s">
        <v>7378</v>
      </c>
      <c r="I5145" t="s">
        <v>9388</v>
      </c>
      <c r="J5145" t="s">
        <v>13607</v>
      </c>
      <c r="K5145" t="s">
        <v>17993</v>
      </c>
      <c r="L5145">
        <f>HYPERLINK("https://www2.assemblee-nationale.fr/sycomore/fiche/(num_dept)/7959", "7959")</f>
        <v>0</v>
      </c>
      <c r="N5145">
        <f>HYPERLINK("https://www.wikidata.org/wiki/Q16025835", "Q16025835")</f>
        <v>0</v>
      </c>
      <c r="O5145" t="s">
        <v>20025</v>
      </c>
      <c r="P5145" t="s">
        <v>20403</v>
      </c>
      <c r="Q5145" t="s">
        <v>20701</v>
      </c>
      <c r="R5145" t="s">
        <v>21493</v>
      </c>
      <c r="S5145">
        <v>1457</v>
      </c>
    </row>
    <row r="5146" spans="1:19">
      <c r="A5146" t="s">
        <v>26</v>
      </c>
      <c r="B5146" t="s">
        <v>148</v>
      </c>
      <c r="C5146" t="s">
        <v>158</v>
      </c>
      <c r="D5146" t="s">
        <v>287</v>
      </c>
      <c r="E5146" t="s">
        <v>416</v>
      </c>
      <c r="F5146">
        <f>HYPERLINK("https://www.wikidata.org/wiki/Q33756209", "Q33756209")</f>
        <v>0</v>
      </c>
      <c r="G5146" t="s">
        <v>2738</v>
      </c>
      <c r="H5146" t="s">
        <v>7257</v>
      </c>
      <c r="I5146" t="s">
        <v>10395</v>
      </c>
      <c r="J5146" t="s">
        <v>13379</v>
      </c>
      <c r="K5146" t="s">
        <v>17777</v>
      </c>
      <c r="L5146">
        <f>HYPERLINK("https://www2.assemblee-nationale.fr/sycomore/fiche/(num_dept)/7962", "7962")</f>
        <v>0</v>
      </c>
      <c r="N5146">
        <f>HYPERLINK("https://www.wikidata.org/wiki/Q3480822", "Q3480822")</f>
        <v>0</v>
      </c>
      <c r="O5146" t="s">
        <v>19969</v>
      </c>
      <c r="P5146" t="s">
        <v>20401</v>
      </c>
      <c r="Q5146" t="s">
        <v>20701</v>
      </c>
      <c r="R5146" t="s">
        <v>21493</v>
      </c>
      <c r="S5146">
        <v>1457</v>
      </c>
    </row>
    <row r="5147" spans="1:19">
      <c r="A5147" t="s">
        <v>26</v>
      </c>
      <c r="B5147" t="s">
        <v>148</v>
      </c>
      <c r="C5147" t="s">
        <v>158</v>
      </c>
      <c r="D5147" t="s">
        <v>287</v>
      </c>
      <c r="E5147" t="s">
        <v>416</v>
      </c>
      <c r="F5147">
        <f>HYPERLINK("https://www.wikidata.org/wiki/Q33756209", "Q33756209")</f>
        <v>0</v>
      </c>
      <c r="G5147" t="s">
        <v>2739</v>
      </c>
      <c r="H5147" t="s">
        <v>7258</v>
      </c>
      <c r="I5147" t="s">
        <v>10396</v>
      </c>
      <c r="J5147" t="s">
        <v>13380</v>
      </c>
      <c r="K5147" t="s">
        <v>17778</v>
      </c>
      <c r="L5147">
        <f>HYPERLINK("https://www2.assemblee-nationale.fr/sycomore/fiche/(num_dept)/7963", "7963")</f>
        <v>0</v>
      </c>
      <c r="M5147">
        <f>HYPERLINK("https://www.senat.fr/senateur-3eme-republique/herisson_sylvestre1236r3.html", "herisson_sylvestre1236r3")</f>
        <v>0</v>
      </c>
      <c r="N5147">
        <f>HYPERLINK("https://www.wikidata.org/wiki/Q3507186", "Q3507186")</f>
        <v>0</v>
      </c>
      <c r="O5147" t="s">
        <v>20032</v>
      </c>
      <c r="P5147" t="s">
        <v>20401</v>
      </c>
      <c r="Q5147" t="s">
        <v>20701</v>
      </c>
      <c r="R5147" t="s">
        <v>21493</v>
      </c>
      <c r="S5147">
        <v>1457</v>
      </c>
    </row>
    <row r="5148" spans="1:19">
      <c r="A5148" t="s">
        <v>26</v>
      </c>
      <c r="B5148" t="s">
        <v>148</v>
      </c>
      <c r="C5148" t="s">
        <v>158</v>
      </c>
      <c r="D5148" t="s">
        <v>287</v>
      </c>
      <c r="E5148" t="s">
        <v>416</v>
      </c>
      <c r="F5148">
        <f>HYPERLINK("https://www.wikidata.org/wiki/Q33756209", "Q33756209")</f>
        <v>0</v>
      </c>
      <c r="G5148" t="s">
        <v>3315</v>
      </c>
      <c r="H5148" t="s">
        <v>7722</v>
      </c>
      <c r="I5148" t="s">
        <v>10759</v>
      </c>
      <c r="J5148" t="s">
        <v>13929</v>
      </c>
      <c r="K5148" t="s">
        <v>13023</v>
      </c>
      <c r="L5148">
        <f>HYPERLINK("https://www2.assemblee-nationale.fr/sycomore/fiche/(num_dept)/7965", "7965")</f>
        <v>0</v>
      </c>
      <c r="N5148">
        <f>HYPERLINK("https://www.wikidata.org/wiki/Q13077236", "Q13077236")</f>
        <v>0</v>
      </c>
      <c r="O5148" t="s">
        <v>19969</v>
      </c>
      <c r="P5148" t="s">
        <v>20401</v>
      </c>
      <c r="Q5148" t="s">
        <v>20701</v>
      </c>
      <c r="R5148" t="s">
        <v>13023</v>
      </c>
      <c r="S5148">
        <v>1162</v>
      </c>
    </row>
    <row r="5149" spans="1:19">
      <c r="A5149" t="s">
        <v>26</v>
      </c>
      <c r="B5149" t="s">
        <v>148</v>
      </c>
      <c r="C5149" t="s">
        <v>158</v>
      </c>
      <c r="D5149" t="s">
        <v>287</v>
      </c>
      <c r="E5149" t="s">
        <v>416</v>
      </c>
      <c r="F5149">
        <f>HYPERLINK("https://www.wikidata.org/wiki/Q33756209", "Q33756209")</f>
        <v>0</v>
      </c>
      <c r="G5149" t="s">
        <v>3316</v>
      </c>
      <c r="H5149" t="s">
        <v>7723</v>
      </c>
      <c r="I5149" t="s">
        <v>10760</v>
      </c>
      <c r="J5149" t="s">
        <v>13930</v>
      </c>
      <c r="K5149" t="s">
        <v>18299</v>
      </c>
      <c r="L5149">
        <f>HYPERLINK("https://www2.assemblee-nationale.fr/sycomore/fiche/(num_dept)/7966", "7966")</f>
        <v>0</v>
      </c>
      <c r="N5149">
        <f>HYPERLINK("https://www.wikidata.org/wiki/Q16025861", "Q16025861")</f>
        <v>0</v>
      </c>
      <c r="O5149" t="s">
        <v>19997</v>
      </c>
      <c r="P5149" t="s">
        <v>20459</v>
      </c>
      <c r="Q5149" t="s">
        <v>20701</v>
      </c>
      <c r="R5149" t="s">
        <v>21493</v>
      </c>
      <c r="S5149">
        <v>1457</v>
      </c>
    </row>
    <row r="5150" spans="1:19">
      <c r="A5150" t="s">
        <v>26</v>
      </c>
      <c r="B5150" t="s">
        <v>148</v>
      </c>
      <c r="C5150" t="s">
        <v>158</v>
      </c>
      <c r="D5150" t="s">
        <v>287</v>
      </c>
      <c r="E5150" t="s">
        <v>416</v>
      </c>
      <c r="F5150">
        <f>HYPERLINK("https://www.wikidata.org/wiki/Q33756209", "Q33756209")</f>
        <v>0</v>
      </c>
      <c r="G5150" t="s">
        <v>3317</v>
      </c>
      <c r="H5150" t="s">
        <v>5447</v>
      </c>
      <c r="I5150" t="s">
        <v>9955</v>
      </c>
      <c r="J5150" t="s">
        <v>13194</v>
      </c>
      <c r="K5150" t="s">
        <v>18300</v>
      </c>
      <c r="L5150">
        <f>HYPERLINK("https://www2.assemblee-nationale.fr/sycomore/fiche/(num_dept)/7967", "7967")</f>
        <v>0</v>
      </c>
      <c r="N5150">
        <f>HYPERLINK("https://www.wikidata.org/wiki/Q9294352", "Q9294352")</f>
        <v>0</v>
      </c>
      <c r="O5150" t="s">
        <v>19965</v>
      </c>
      <c r="P5150" t="s">
        <v>20401</v>
      </c>
      <c r="Q5150" t="s">
        <v>20701</v>
      </c>
      <c r="R5150" t="s">
        <v>21493</v>
      </c>
      <c r="S5150">
        <v>1457</v>
      </c>
    </row>
    <row r="5151" spans="1:19">
      <c r="A5151" t="s">
        <v>26</v>
      </c>
      <c r="B5151" t="s">
        <v>148</v>
      </c>
      <c r="C5151" t="s">
        <v>158</v>
      </c>
      <c r="D5151" t="s">
        <v>287</v>
      </c>
      <c r="E5151" t="s">
        <v>416</v>
      </c>
      <c r="F5151">
        <f>HYPERLINK("https://www.wikidata.org/wiki/Q33756209", "Q33756209")</f>
        <v>0</v>
      </c>
      <c r="G5151" t="s">
        <v>2740</v>
      </c>
      <c r="H5151" t="s">
        <v>7259</v>
      </c>
      <c r="I5151" t="s">
        <v>10397</v>
      </c>
      <c r="J5151" t="s">
        <v>13381</v>
      </c>
      <c r="K5151" t="s">
        <v>17779</v>
      </c>
      <c r="L5151">
        <f>HYPERLINK("https://www2.assemblee-nationale.fr/sycomore/fiche/(num_dept)/7968", "7968")</f>
        <v>0</v>
      </c>
      <c r="M5151">
        <f>HYPERLINK("https://www.senat.fr/senateur-3eme-republique/jametel_gustave1667r3.html", "jametel_gustave1667r3")</f>
        <v>0</v>
      </c>
      <c r="N5151">
        <f>HYPERLINK("https://www.wikidata.org/wiki/Q3121093", "Q3121093")</f>
        <v>0</v>
      </c>
      <c r="O5151" t="s">
        <v>20012</v>
      </c>
      <c r="P5151" t="s">
        <v>20459</v>
      </c>
      <c r="Q5151" t="s">
        <v>20701</v>
      </c>
      <c r="R5151" t="s">
        <v>21493</v>
      </c>
      <c r="S5151">
        <v>1457</v>
      </c>
    </row>
    <row r="5152" spans="1:19">
      <c r="A5152" t="s">
        <v>26</v>
      </c>
      <c r="B5152" t="s">
        <v>148</v>
      </c>
      <c r="C5152" t="s">
        <v>158</v>
      </c>
      <c r="D5152" t="s">
        <v>287</v>
      </c>
      <c r="E5152" t="s">
        <v>416</v>
      </c>
      <c r="F5152">
        <f>HYPERLINK("https://www.wikidata.org/wiki/Q33756209", "Q33756209")</f>
        <v>0</v>
      </c>
      <c r="G5152" t="s">
        <v>3318</v>
      </c>
      <c r="H5152" t="s">
        <v>7724</v>
      </c>
      <c r="I5152" t="s">
        <v>10761</v>
      </c>
      <c r="J5152" t="s">
        <v>13931</v>
      </c>
      <c r="K5152" t="s">
        <v>18301</v>
      </c>
      <c r="L5152">
        <f>HYPERLINK("https://www2.assemblee-nationale.fr/sycomore/fiche/(num_dept)/7972", "7972")</f>
        <v>0</v>
      </c>
      <c r="N5152">
        <f>HYPERLINK("https://www.wikidata.org/wiki/Q8344043", "Q8344043")</f>
        <v>0</v>
      </c>
      <c r="O5152" t="s">
        <v>19976</v>
      </c>
      <c r="P5152" t="s">
        <v>20401</v>
      </c>
      <c r="Q5152" t="s">
        <v>20701</v>
      </c>
      <c r="R5152" t="s">
        <v>21493</v>
      </c>
      <c r="S5152">
        <v>1457</v>
      </c>
    </row>
    <row r="5153" spans="1:19">
      <c r="A5153" t="s">
        <v>26</v>
      </c>
      <c r="B5153" t="s">
        <v>148</v>
      </c>
      <c r="C5153" t="s">
        <v>158</v>
      </c>
      <c r="D5153" t="s">
        <v>287</v>
      </c>
      <c r="E5153" t="s">
        <v>416</v>
      </c>
      <c r="F5153">
        <f>HYPERLINK("https://www.wikidata.org/wiki/Q33756209", "Q33756209")</f>
        <v>0</v>
      </c>
      <c r="G5153" t="s">
        <v>3319</v>
      </c>
      <c r="H5153" t="s">
        <v>7725</v>
      </c>
      <c r="I5153" t="s">
        <v>9389</v>
      </c>
      <c r="J5153" t="s">
        <v>13932</v>
      </c>
      <c r="K5153" t="s">
        <v>18302</v>
      </c>
      <c r="L5153">
        <f>HYPERLINK("https://www2.assemblee-nationale.fr/sycomore/fiche/(num_dept)/7973", "7973")</f>
        <v>0</v>
      </c>
      <c r="N5153">
        <f>HYPERLINK("https://www.wikidata.org/wiki/Q3588593", "Q3588593")</f>
        <v>0</v>
      </c>
      <c r="O5153" t="s">
        <v>20040</v>
      </c>
      <c r="P5153" t="s">
        <v>20460</v>
      </c>
      <c r="Q5153" t="s">
        <v>20701</v>
      </c>
      <c r="R5153" t="s">
        <v>21493</v>
      </c>
      <c r="S5153">
        <v>1457</v>
      </c>
    </row>
    <row r="5154" spans="1:19">
      <c r="A5154" t="s">
        <v>26</v>
      </c>
      <c r="B5154" t="s">
        <v>148</v>
      </c>
      <c r="C5154" t="s">
        <v>158</v>
      </c>
      <c r="D5154" t="s">
        <v>287</v>
      </c>
      <c r="E5154" t="s">
        <v>416</v>
      </c>
      <c r="F5154">
        <f>HYPERLINK("https://www.wikidata.org/wiki/Q33756209", "Q33756209")</f>
        <v>0</v>
      </c>
      <c r="G5154" t="s">
        <v>3049</v>
      </c>
      <c r="H5154" t="s">
        <v>7505</v>
      </c>
      <c r="I5154" t="s">
        <v>10599</v>
      </c>
      <c r="J5154" t="s">
        <v>13676</v>
      </c>
      <c r="K5154" t="s">
        <v>18056</v>
      </c>
      <c r="L5154">
        <f>HYPERLINK("https://www2.assemblee-nationale.fr/sycomore/fiche/(num_dept)/7975", "7975")</f>
        <v>0</v>
      </c>
      <c r="N5154">
        <f>HYPERLINK("https://www.wikidata.org/wiki/Q13091116", "Q13091116")</f>
        <v>0</v>
      </c>
      <c r="O5154" t="s">
        <v>19969</v>
      </c>
      <c r="P5154" t="s">
        <v>20401</v>
      </c>
      <c r="Q5154" t="s">
        <v>20701</v>
      </c>
      <c r="R5154" t="s">
        <v>21493</v>
      </c>
      <c r="S5154">
        <v>1457</v>
      </c>
    </row>
    <row r="5155" spans="1:19">
      <c r="A5155" t="s">
        <v>26</v>
      </c>
      <c r="B5155" t="s">
        <v>148</v>
      </c>
      <c r="C5155" t="s">
        <v>158</v>
      </c>
      <c r="D5155" t="s">
        <v>287</v>
      </c>
      <c r="E5155" t="s">
        <v>416</v>
      </c>
      <c r="F5155">
        <f>HYPERLINK("https://www.wikidata.org/wiki/Q33756209", "Q33756209")</f>
        <v>0</v>
      </c>
      <c r="G5155" t="s">
        <v>3011</v>
      </c>
      <c r="H5155" t="s">
        <v>5992</v>
      </c>
      <c r="I5155" t="s">
        <v>10573</v>
      </c>
      <c r="J5155" t="s">
        <v>13639</v>
      </c>
      <c r="K5155" t="s">
        <v>18024</v>
      </c>
      <c r="L5155">
        <f>HYPERLINK("https://www2.assemblee-nationale.fr/sycomore/fiche/(num_dept)/7976", "7976")</f>
        <v>0</v>
      </c>
      <c r="N5155">
        <f>HYPERLINK("https://www.wikidata.org/wiki/Q19628657", "Q19628657")</f>
        <v>0</v>
      </c>
      <c r="O5155" t="s">
        <v>19969</v>
      </c>
      <c r="Q5155" t="s">
        <v>20701</v>
      </c>
      <c r="R5155" t="s">
        <v>21493</v>
      </c>
      <c r="S5155">
        <v>1457</v>
      </c>
    </row>
    <row r="5156" spans="1:19">
      <c r="A5156" t="s">
        <v>26</v>
      </c>
      <c r="B5156" t="s">
        <v>148</v>
      </c>
      <c r="C5156" t="s">
        <v>158</v>
      </c>
      <c r="D5156" t="s">
        <v>287</v>
      </c>
      <c r="E5156" t="s">
        <v>416</v>
      </c>
      <c r="F5156">
        <f>HYPERLINK("https://www.wikidata.org/wiki/Q33756209", "Q33756209")</f>
        <v>0</v>
      </c>
      <c r="G5156" t="s">
        <v>3320</v>
      </c>
      <c r="H5156" t="s">
        <v>7726</v>
      </c>
      <c r="I5156" t="s">
        <v>10762</v>
      </c>
      <c r="J5156" t="s">
        <v>13933</v>
      </c>
      <c r="K5156" t="s">
        <v>18303</v>
      </c>
      <c r="L5156">
        <f>HYPERLINK("https://www2.assemblee-nationale.fr/sycomore/fiche/(num_dept)/7977", "7977")</f>
        <v>0</v>
      </c>
      <c r="N5156">
        <f>HYPERLINK("https://www.wikidata.org/wiki/Q16025514", "Q16025514")</f>
        <v>0</v>
      </c>
      <c r="O5156" t="s">
        <v>19977</v>
      </c>
      <c r="P5156" t="s">
        <v>20401</v>
      </c>
      <c r="Q5156" t="s">
        <v>20701</v>
      </c>
      <c r="R5156" t="s">
        <v>21493</v>
      </c>
      <c r="S5156">
        <v>1457</v>
      </c>
    </row>
    <row r="5157" spans="1:19">
      <c r="A5157" t="s">
        <v>26</v>
      </c>
      <c r="B5157" t="s">
        <v>148</v>
      </c>
      <c r="C5157" t="s">
        <v>158</v>
      </c>
      <c r="D5157" t="s">
        <v>287</v>
      </c>
      <c r="E5157" t="s">
        <v>416</v>
      </c>
      <c r="F5157">
        <f>HYPERLINK("https://www.wikidata.org/wiki/Q33756209", "Q33756209")</f>
        <v>0</v>
      </c>
      <c r="G5157" t="s">
        <v>3321</v>
      </c>
      <c r="H5157" t="s">
        <v>7727</v>
      </c>
      <c r="I5157" t="s">
        <v>10673</v>
      </c>
      <c r="J5157" t="s">
        <v>13934</v>
      </c>
      <c r="K5157" t="s">
        <v>18304</v>
      </c>
      <c r="L5157">
        <f>HYPERLINK("https://www2.assemblee-nationale.fr/sycomore/fiche/(num_dept)/7978", "7978")</f>
        <v>0</v>
      </c>
      <c r="N5157">
        <f>HYPERLINK("https://www.wikidata.org/wiki/Q16025932", "Q16025932")</f>
        <v>0</v>
      </c>
      <c r="O5157" t="s">
        <v>19974</v>
      </c>
      <c r="P5157" t="s">
        <v>20468</v>
      </c>
      <c r="Q5157" t="s">
        <v>20701</v>
      </c>
      <c r="R5157" t="s">
        <v>21493</v>
      </c>
      <c r="S5157">
        <v>1457</v>
      </c>
    </row>
    <row r="5158" spans="1:19">
      <c r="A5158" t="s">
        <v>26</v>
      </c>
      <c r="B5158" t="s">
        <v>148</v>
      </c>
      <c r="C5158" t="s">
        <v>158</v>
      </c>
      <c r="D5158" t="s">
        <v>287</v>
      </c>
      <c r="E5158" t="s">
        <v>416</v>
      </c>
      <c r="F5158">
        <f>HYPERLINK("https://www.wikidata.org/wiki/Q33756209", "Q33756209")</f>
        <v>0</v>
      </c>
      <c r="G5158" t="s">
        <v>3007</v>
      </c>
      <c r="H5158" t="s">
        <v>5607</v>
      </c>
      <c r="I5158" t="s">
        <v>10571</v>
      </c>
      <c r="J5158" t="s">
        <v>13636</v>
      </c>
      <c r="K5158" t="s">
        <v>18021</v>
      </c>
      <c r="L5158">
        <f>HYPERLINK("https://www2.assemblee-nationale.fr/sycomore/fiche/(num_dept)/7981", "7981")</f>
        <v>0</v>
      </c>
      <c r="N5158">
        <f>HYPERLINK("https://www.wikidata.org/wiki/Q3732116", "Q3732116")</f>
        <v>0</v>
      </c>
      <c r="O5158" t="s">
        <v>19969</v>
      </c>
      <c r="P5158" t="s">
        <v>20401</v>
      </c>
      <c r="Q5158" t="s">
        <v>20701</v>
      </c>
      <c r="R5158" t="s">
        <v>21493</v>
      </c>
      <c r="S5158">
        <v>1457</v>
      </c>
    </row>
    <row r="5159" spans="1:19">
      <c r="A5159" t="s">
        <v>26</v>
      </c>
      <c r="B5159" t="s">
        <v>148</v>
      </c>
      <c r="C5159" t="s">
        <v>158</v>
      </c>
      <c r="D5159" t="s">
        <v>287</v>
      </c>
      <c r="E5159" t="s">
        <v>416</v>
      </c>
      <c r="F5159">
        <f>HYPERLINK("https://www.wikidata.org/wiki/Q33756209", "Q33756209")</f>
        <v>0</v>
      </c>
      <c r="G5159" t="s">
        <v>2976</v>
      </c>
      <c r="H5159" t="s">
        <v>5939</v>
      </c>
      <c r="I5159" t="s">
        <v>10553</v>
      </c>
      <c r="J5159" t="s">
        <v>13608</v>
      </c>
      <c r="K5159" t="s">
        <v>17994</v>
      </c>
      <c r="L5159">
        <f>HYPERLINK("https://www2.assemblee-nationale.fr/sycomore/fiche/(num_dept)/7982", "7982")</f>
        <v>0</v>
      </c>
      <c r="N5159">
        <f>HYPERLINK("https://www.wikidata.org/wiki/Q16011460", "Q16011460")</f>
        <v>0</v>
      </c>
      <c r="O5159" t="s">
        <v>20026</v>
      </c>
      <c r="P5159" t="s">
        <v>20401</v>
      </c>
      <c r="Q5159" t="s">
        <v>20701</v>
      </c>
      <c r="R5159" t="s">
        <v>21493</v>
      </c>
      <c r="S5159">
        <v>1457</v>
      </c>
    </row>
    <row r="5160" spans="1:19">
      <c r="A5160" t="s">
        <v>26</v>
      </c>
      <c r="B5160" t="s">
        <v>148</v>
      </c>
      <c r="C5160" t="s">
        <v>158</v>
      </c>
      <c r="D5160" t="s">
        <v>287</v>
      </c>
      <c r="E5160" t="s">
        <v>416</v>
      </c>
      <c r="F5160">
        <f>HYPERLINK("https://www.wikidata.org/wiki/Q33756209", "Q33756209")</f>
        <v>0</v>
      </c>
      <c r="G5160" t="s">
        <v>3322</v>
      </c>
      <c r="H5160" t="s">
        <v>7728</v>
      </c>
      <c r="I5160" t="s">
        <v>10763</v>
      </c>
      <c r="J5160" t="s">
        <v>13935</v>
      </c>
      <c r="K5160" t="s">
        <v>17799</v>
      </c>
      <c r="L5160">
        <f>HYPERLINK("https://www2.assemblee-nationale.fr/sycomore/fiche/(num_dept)/7986", "7986")</f>
        <v>0</v>
      </c>
      <c r="M5160">
        <f>HYPERLINK("https://www.senat.fr/senateur-3eme-republique/le_guay_gilbert0985r3.html", "le_guay_gilbert0985r3")</f>
        <v>0</v>
      </c>
      <c r="N5160">
        <f>HYPERLINK("https://www.wikidata.org/wiki/Q3105767", "Q3105767")</f>
        <v>0</v>
      </c>
      <c r="O5160" t="s">
        <v>20005</v>
      </c>
      <c r="P5160" t="s">
        <v>20459</v>
      </c>
      <c r="Q5160" t="s">
        <v>20701</v>
      </c>
      <c r="R5160" t="s">
        <v>416</v>
      </c>
      <c r="S5160">
        <v>1485</v>
      </c>
    </row>
    <row r="5161" spans="1:19">
      <c r="A5161" t="s">
        <v>26</v>
      </c>
      <c r="B5161" t="s">
        <v>148</v>
      </c>
      <c r="C5161" t="s">
        <v>158</v>
      </c>
      <c r="D5161" t="s">
        <v>287</v>
      </c>
      <c r="E5161" t="s">
        <v>416</v>
      </c>
      <c r="F5161">
        <f>HYPERLINK("https://www.wikidata.org/wiki/Q33756209", "Q33756209")</f>
        <v>0</v>
      </c>
      <c r="G5161" t="s">
        <v>3323</v>
      </c>
      <c r="H5161" t="s">
        <v>7729</v>
      </c>
      <c r="I5161" t="s">
        <v>9474</v>
      </c>
      <c r="J5161" t="s">
        <v>13936</v>
      </c>
      <c r="K5161" t="s">
        <v>18305</v>
      </c>
      <c r="L5161">
        <f>HYPERLINK("https://www2.assemblee-nationale.fr/sycomore/fiche/(num_dept)/7991", "7991")</f>
        <v>0</v>
      </c>
      <c r="M5161">
        <f>HYPERLINK("https://www.senat.fr/senateur-3eme-republique/levrey_jean_baptiste1176r3.html", "levrey_jean_baptiste1176r3")</f>
        <v>0</v>
      </c>
      <c r="N5161">
        <f>HYPERLINK("https://www.wikidata.org/wiki/Q3164231", "Q3164231")</f>
        <v>0</v>
      </c>
      <c r="O5161" t="s">
        <v>20036</v>
      </c>
      <c r="P5161" t="s">
        <v>20459</v>
      </c>
      <c r="Q5161" t="s">
        <v>20701</v>
      </c>
      <c r="R5161" t="s">
        <v>21493</v>
      </c>
      <c r="S5161">
        <v>1457</v>
      </c>
    </row>
    <row r="5162" spans="1:19">
      <c r="A5162" t="s">
        <v>26</v>
      </c>
      <c r="B5162" t="s">
        <v>148</v>
      </c>
      <c r="C5162" t="s">
        <v>158</v>
      </c>
      <c r="D5162" t="s">
        <v>287</v>
      </c>
      <c r="E5162" t="s">
        <v>416</v>
      </c>
      <c r="F5162">
        <f>HYPERLINK("https://www.wikidata.org/wiki/Q33756209", "Q33756209")</f>
        <v>0</v>
      </c>
      <c r="G5162" t="s">
        <v>2742</v>
      </c>
      <c r="H5162" t="s">
        <v>6349</v>
      </c>
      <c r="I5162" t="s">
        <v>9457</v>
      </c>
      <c r="J5162" t="s">
        <v>13383</v>
      </c>
      <c r="K5162" t="s">
        <v>17781</v>
      </c>
      <c r="L5162">
        <f>HYPERLINK("https://www2.assemblee-nationale.fr/sycomore/fiche/(num_dept)/7994", "7994")</f>
        <v>0</v>
      </c>
      <c r="N5162">
        <f>HYPERLINK("https://www.wikidata.org/wiki/Q3131496", "Q3131496")</f>
        <v>0</v>
      </c>
      <c r="O5162" t="s">
        <v>20030</v>
      </c>
      <c r="P5162" t="s">
        <v>20459</v>
      </c>
      <c r="Q5162" t="s">
        <v>20701</v>
      </c>
      <c r="R5162" t="s">
        <v>17781</v>
      </c>
      <c r="S5162">
        <v>610</v>
      </c>
    </row>
    <row r="5163" spans="1:19">
      <c r="A5163" t="s">
        <v>26</v>
      </c>
      <c r="B5163" t="s">
        <v>148</v>
      </c>
      <c r="C5163" t="s">
        <v>158</v>
      </c>
      <c r="D5163" t="s">
        <v>287</v>
      </c>
      <c r="E5163" t="s">
        <v>416</v>
      </c>
      <c r="F5163">
        <f>HYPERLINK("https://www.wikidata.org/wiki/Q33756209", "Q33756209")</f>
        <v>0</v>
      </c>
      <c r="G5163" t="s">
        <v>3061</v>
      </c>
      <c r="H5163" t="s">
        <v>7514</v>
      </c>
      <c r="I5163" t="s">
        <v>9481</v>
      </c>
      <c r="J5163" t="s">
        <v>13685</v>
      </c>
      <c r="K5163" t="s">
        <v>18068</v>
      </c>
      <c r="L5163">
        <f>HYPERLINK("https://www2.assemblee-nationale.fr/sycomore/fiche/(num_dept)/7996", "7996")</f>
        <v>0</v>
      </c>
      <c r="N5163">
        <f>HYPERLINK("https://www.wikidata.org/wiki/Q16026007", "Q16026007")</f>
        <v>0</v>
      </c>
      <c r="O5163" t="s">
        <v>19994</v>
      </c>
      <c r="P5163" t="s">
        <v>20401</v>
      </c>
      <c r="Q5163" t="s">
        <v>20701</v>
      </c>
      <c r="R5163" t="s">
        <v>21493</v>
      </c>
      <c r="S5163">
        <v>1457</v>
      </c>
    </row>
    <row r="5164" spans="1:19">
      <c r="A5164" t="s">
        <v>26</v>
      </c>
      <c r="B5164" t="s">
        <v>148</v>
      </c>
      <c r="C5164" t="s">
        <v>158</v>
      </c>
      <c r="D5164" t="s">
        <v>287</v>
      </c>
      <c r="E5164" t="s">
        <v>416</v>
      </c>
      <c r="F5164">
        <f>HYPERLINK("https://www.wikidata.org/wiki/Q33756209", "Q33756209")</f>
        <v>0</v>
      </c>
      <c r="G5164" t="s">
        <v>2744</v>
      </c>
      <c r="H5164" t="s">
        <v>5481</v>
      </c>
      <c r="I5164" t="s">
        <v>10399</v>
      </c>
      <c r="J5164" t="s">
        <v>13385</v>
      </c>
      <c r="K5164" t="s">
        <v>17783</v>
      </c>
      <c r="L5164">
        <f>HYPERLINK("https://www2.assemblee-nationale.fr/sycomore/fiche/(num_dept)/7999", "7999")</f>
        <v>0</v>
      </c>
      <c r="M5164">
        <f>HYPERLINK("https://www.senat.fr/senateur-3eme-republique/margaine_henri0639r3.html", "margaine_henri0639r3")</f>
        <v>0</v>
      </c>
      <c r="N5164">
        <f>HYPERLINK("https://www.wikidata.org/wiki/Q2935008", "Q2935008")</f>
        <v>0</v>
      </c>
      <c r="O5164" t="s">
        <v>20025</v>
      </c>
      <c r="P5164" t="s">
        <v>20461</v>
      </c>
      <c r="Q5164" t="s">
        <v>20701</v>
      </c>
      <c r="R5164" t="s">
        <v>21510</v>
      </c>
      <c r="S5164">
        <v>814</v>
      </c>
    </row>
    <row r="5165" spans="1:19">
      <c r="A5165" t="s">
        <v>26</v>
      </c>
      <c r="B5165" t="s">
        <v>148</v>
      </c>
      <c r="C5165" t="s">
        <v>158</v>
      </c>
      <c r="D5165" t="s">
        <v>287</v>
      </c>
      <c r="E5165" t="s">
        <v>416</v>
      </c>
      <c r="F5165">
        <f>HYPERLINK("https://www.wikidata.org/wiki/Q33756209", "Q33756209")</f>
        <v>0</v>
      </c>
      <c r="G5165" t="s">
        <v>3324</v>
      </c>
      <c r="H5165" t="s">
        <v>7730</v>
      </c>
      <c r="I5165" t="s">
        <v>9457</v>
      </c>
      <c r="J5165" t="s">
        <v>13937</v>
      </c>
      <c r="K5165" t="s">
        <v>18306</v>
      </c>
      <c r="L5165">
        <f>HYPERLINK("https://www2.assemblee-nationale.fr/sycomore/fiche/(num_dept)/8000", "8000")</f>
        <v>0</v>
      </c>
      <c r="N5165">
        <f>HYPERLINK("https://www.wikidata.org/wiki/Q16026045", "Q16026045")</f>
        <v>0</v>
      </c>
      <c r="O5165" t="s">
        <v>19965</v>
      </c>
      <c r="P5165" t="s">
        <v>20465</v>
      </c>
      <c r="Q5165" t="s">
        <v>20701</v>
      </c>
      <c r="R5165" t="s">
        <v>21493</v>
      </c>
      <c r="S5165">
        <v>1457</v>
      </c>
    </row>
    <row r="5166" spans="1:19">
      <c r="A5166" t="s">
        <v>26</v>
      </c>
      <c r="B5166" t="s">
        <v>148</v>
      </c>
      <c r="C5166" t="s">
        <v>158</v>
      </c>
      <c r="D5166" t="s">
        <v>287</v>
      </c>
      <c r="E5166" t="s">
        <v>416</v>
      </c>
      <c r="F5166">
        <f>HYPERLINK("https://www.wikidata.org/wiki/Q33756209", "Q33756209")</f>
        <v>0</v>
      </c>
      <c r="G5166" t="s">
        <v>3325</v>
      </c>
      <c r="H5166" t="s">
        <v>6501</v>
      </c>
      <c r="I5166" t="s">
        <v>10764</v>
      </c>
      <c r="J5166" t="s">
        <v>13938</v>
      </c>
      <c r="K5166" t="s">
        <v>18307</v>
      </c>
      <c r="L5166">
        <f>HYPERLINK("https://www2.assemblee-nationale.fr/sycomore/fiche/(num_dept)/8003", "8003")</f>
        <v>0</v>
      </c>
      <c r="N5166">
        <f>HYPERLINK("https://www.wikidata.org/wiki/Q27899400", "Q27899400")</f>
        <v>0</v>
      </c>
      <c r="O5166" t="s">
        <v>19989</v>
      </c>
      <c r="P5166" t="s">
        <v>20460</v>
      </c>
      <c r="Q5166" t="s">
        <v>20701</v>
      </c>
      <c r="R5166" t="s">
        <v>21493</v>
      </c>
      <c r="S5166">
        <v>1457</v>
      </c>
    </row>
    <row r="5167" spans="1:19">
      <c r="A5167" t="s">
        <v>26</v>
      </c>
      <c r="B5167" t="s">
        <v>148</v>
      </c>
      <c r="C5167" t="s">
        <v>158</v>
      </c>
      <c r="D5167" t="s">
        <v>287</v>
      </c>
      <c r="E5167" t="s">
        <v>416</v>
      </c>
      <c r="F5167">
        <f>HYPERLINK("https://www.wikidata.org/wiki/Q33756209", "Q33756209")</f>
        <v>0</v>
      </c>
      <c r="G5167" t="s">
        <v>2746</v>
      </c>
      <c r="H5167" t="s">
        <v>6229</v>
      </c>
      <c r="I5167" t="s">
        <v>10401</v>
      </c>
      <c r="J5167" t="s">
        <v>13387</v>
      </c>
      <c r="K5167" t="s">
        <v>17785</v>
      </c>
      <c r="L5167">
        <f>HYPERLINK("https://www2.assemblee-nationale.fr/sycomore/fiche/(num_dept)/8005", "8005")</f>
        <v>0</v>
      </c>
      <c r="N5167">
        <f>HYPERLINK("https://www.wikidata.org/wiki/Q15972153", "Q15972153")</f>
        <v>0</v>
      </c>
      <c r="O5167" t="s">
        <v>20042</v>
      </c>
      <c r="P5167" t="s">
        <v>20456</v>
      </c>
      <c r="Q5167" t="s">
        <v>20701</v>
      </c>
      <c r="R5167" t="s">
        <v>21511</v>
      </c>
      <c r="S5167">
        <v>1087</v>
      </c>
    </row>
    <row r="5168" spans="1:19">
      <c r="A5168" t="s">
        <v>26</v>
      </c>
      <c r="B5168" t="s">
        <v>148</v>
      </c>
      <c r="C5168" t="s">
        <v>158</v>
      </c>
      <c r="D5168" t="s">
        <v>287</v>
      </c>
      <c r="E5168" t="s">
        <v>416</v>
      </c>
      <c r="F5168">
        <f>HYPERLINK("https://www.wikidata.org/wiki/Q33756209", "Q33756209")</f>
        <v>0</v>
      </c>
      <c r="G5168" t="s">
        <v>3326</v>
      </c>
      <c r="H5168" t="s">
        <v>7731</v>
      </c>
      <c r="I5168" t="s">
        <v>10765</v>
      </c>
      <c r="J5168" t="s">
        <v>13939</v>
      </c>
      <c r="K5168" t="s">
        <v>18308</v>
      </c>
      <c r="L5168">
        <f>HYPERLINK("https://www2.assemblee-nationale.fr/sycomore/fiche/(num_dept)/8008", "8008")</f>
        <v>0</v>
      </c>
      <c r="N5168">
        <f>HYPERLINK("https://www.wikidata.org/wiki/Q15971988", "Q15971988")</f>
        <v>0</v>
      </c>
      <c r="O5168" t="s">
        <v>20025</v>
      </c>
      <c r="P5168" t="s">
        <v>20459</v>
      </c>
      <c r="Q5168" t="s">
        <v>20701</v>
      </c>
      <c r="R5168" t="s">
        <v>21493</v>
      </c>
      <c r="S5168">
        <v>1457</v>
      </c>
    </row>
    <row r="5169" spans="1:19">
      <c r="A5169" t="s">
        <v>26</v>
      </c>
      <c r="B5169" t="s">
        <v>148</v>
      </c>
      <c r="C5169" t="s">
        <v>158</v>
      </c>
      <c r="D5169" t="s">
        <v>287</v>
      </c>
      <c r="E5169" t="s">
        <v>416</v>
      </c>
      <c r="F5169">
        <f>HYPERLINK("https://www.wikidata.org/wiki/Q33756209", "Q33756209")</f>
        <v>0</v>
      </c>
      <c r="G5169" t="s">
        <v>3327</v>
      </c>
      <c r="H5169" t="s">
        <v>7732</v>
      </c>
      <c r="I5169" t="s">
        <v>10766</v>
      </c>
      <c r="J5169" t="s">
        <v>13940</v>
      </c>
      <c r="K5169" t="s">
        <v>18309</v>
      </c>
      <c r="L5169">
        <f>HYPERLINK("https://www2.assemblee-nationale.fr/sycomore/fiche/(num_dept)/8010", "8010")</f>
        <v>0</v>
      </c>
      <c r="N5169">
        <f>HYPERLINK("https://www.wikidata.org/wiki/Q16026118", "Q16026118")</f>
        <v>0</v>
      </c>
      <c r="O5169" t="s">
        <v>20043</v>
      </c>
      <c r="P5169" t="s">
        <v>20459</v>
      </c>
      <c r="Q5169" t="s">
        <v>20701</v>
      </c>
      <c r="R5169" t="s">
        <v>21493</v>
      </c>
      <c r="S5169">
        <v>1457</v>
      </c>
    </row>
    <row r="5170" spans="1:19">
      <c r="A5170" t="s">
        <v>26</v>
      </c>
      <c r="B5170" t="s">
        <v>148</v>
      </c>
      <c r="C5170" t="s">
        <v>158</v>
      </c>
      <c r="D5170" t="s">
        <v>287</v>
      </c>
      <c r="E5170" t="s">
        <v>416</v>
      </c>
      <c r="F5170">
        <f>HYPERLINK("https://www.wikidata.org/wiki/Q33756209", "Q33756209")</f>
        <v>0</v>
      </c>
      <c r="G5170" t="s">
        <v>2750</v>
      </c>
      <c r="H5170" t="s">
        <v>5509</v>
      </c>
      <c r="I5170" t="s">
        <v>9612</v>
      </c>
      <c r="J5170" t="s">
        <v>13391</v>
      </c>
      <c r="K5170" t="s">
        <v>17789</v>
      </c>
      <c r="L5170">
        <f>HYPERLINK("https://www2.assemblee-nationale.fr/sycomore/fiche/(num_dept)/8021", "8021")</f>
        <v>0</v>
      </c>
      <c r="N5170">
        <f>HYPERLINK("https://www.wikidata.org/wiki/Q180409", "Q180409")</f>
        <v>0</v>
      </c>
      <c r="O5170" t="s">
        <v>19969</v>
      </c>
      <c r="P5170" t="s">
        <v>20459</v>
      </c>
      <c r="Q5170" t="s">
        <v>20701</v>
      </c>
      <c r="R5170" t="s">
        <v>21493</v>
      </c>
      <c r="S5170">
        <v>1457</v>
      </c>
    </row>
    <row r="5171" spans="1:19">
      <c r="A5171" t="s">
        <v>26</v>
      </c>
      <c r="B5171" t="s">
        <v>148</v>
      </c>
      <c r="C5171" t="s">
        <v>158</v>
      </c>
      <c r="D5171" t="s">
        <v>287</v>
      </c>
      <c r="E5171" t="s">
        <v>416</v>
      </c>
      <c r="F5171">
        <f>HYPERLINK("https://www.wikidata.org/wiki/Q33756209", "Q33756209")</f>
        <v>0</v>
      </c>
      <c r="G5171" t="s">
        <v>2751</v>
      </c>
      <c r="H5171" t="s">
        <v>6951</v>
      </c>
      <c r="I5171" t="s">
        <v>10405</v>
      </c>
      <c r="J5171" t="s">
        <v>13392</v>
      </c>
      <c r="K5171" t="s">
        <v>17790</v>
      </c>
      <c r="L5171">
        <f>HYPERLINK("https://www2.assemblee-nationale.fr/sycomore/fiche/(num_dept)/8022", "8022")</f>
        <v>0</v>
      </c>
      <c r="N5171">
        <f>HYPERLINK("https://www.wikidata.org/wiki/Q3103377", "Q3103377")</f>
        <v>0</v>
      </c>
      <c r="O5171" t="s">
        <v>19977</v>
      </c>
      <c r="P5171" t="s">
        <v>20465</v>
      </c>
      <c r="Q5171" t="s">
        <v>20701</v>
      </c>
      <c r="R5171" t="s">
        <v>21493</v>
      </c>
      <c r="S5171">
        <v>1457</v>
      </c>
    </row>
    <row r="5172" spans="1:19">
      <c r="A5172" t="s">
        <v>26</v>
      </c>
      <c r="B5172" t="s">
        <v>148</v>
      </c>
      <c r="C5172" t="s">
        <v>158</v>
      </c>
      <c r="D5172" t="s">
        <v>287</v>
      </c>
      <c r="E5172" t="s">
        <v>416</v>
      </c>
      <c r="F5172">
        <f>HYPERLINK("https://www.wikidata.org/wiki/Q33756209", "Q33756209")</f>
        <v>0</v>
      </c>
      <c r="G5172" t="s">
        <v>3328</v>
      </c>
      <c r="H5172" t="s">
        <v>7733</v>
      </c>
      <c r="I5172" t="s">
        <v>10767</v>
      </c>
      <c r="J5172" t="s">
        <v>13941</v>
      </c>
      <c r="K5172" t="s">
        <v>18310</v>
      </c>
      <c r="L5172">
        <f>HYPERLINK("https://www2.assemblee-nationale.fr/sycomore/fiche/(num_dept)/8025", "8025")</f>
        <v>0</v>
      </c>
      <c r="N5172">
        <f>HYPERLINK("https://www.wikidata.org/wiki/Q16026347", "Q16026347")</f>
        <v>0</v>
      </c>
      <c r="O5172" t="s">
        <v>19977</v>
      </c>
      <c r="P5172" t="s">
        <v>20401</v>
      </c>
      <c r="Q5172" t="s">
        <v>20701</v>
      </c>
      <c r="R5172" t="s">
        <v>21493</v>
      </c>
      <c r="S5172">
        <v>1457</v>
      </c>
    </row>
    <row r="5173" spans="1:19">
      <c r="A5173" t="s">
        <v>26</v>
      </c>
      <c r="B5173" t="s">
        <v>148</v>
      </c>
      <c r="C5173" t="s">
        <v>158</v>
      </c>
      <c r="D5173" t="s">
        <v>287</v>
      </c>
      <c r="E5173" t="s">
        <v>416</v>
      </c>
      <c r="F5173">
        <f>HYPERLINK("https://www.wikidata.org/wiki/Q33756209", "Q33756209")</f>
        <v>0</v>
      </c>
      <c r="G5173" t="s">
        <v>3329</v>
      </c>
      <c r="H5173" t="s">
        <v>7734</v>
      </c>
      <c r="I5173" t="s">
        <v>10768</v>
      </c>
      <c r="J5173" t="s">
        <v>13942</v>
      </c>
      <c r="K5173" t="s">
        <v>18311</v>
      </c>
      <c r="L5173">
        <f>HYPERLINK("https://www2.assemblee-nationale.fr/sycomore/fiche/(num_dept)/8026", "8026")</f>
        <v>0</v>
      </c>
      <c r="N5173">
        <f>HYPERLINK("https://www.wikidata.org/wiki/Q16026369", "Q16026369")</f>
        <v>0</v>
      </c>
      <c r="O5173" t="s">
        <v>19977</v>
      </c>
      <c r="P5173" t="s">
        <v>20456</v>
      </c>
      <c r="Q5173" t="s">
        <v>20701</v>
      </c>
      <c r="R5173" t="s">
        <v>21493</v>
      </c>
      <c r="S5173">
        <v>1457</v>
      </c>
    </row>
    <row r="5174" spans="1:19">
      <c r="A5174" t="s">
        <v>26</v>
      </c>
      <c r="B5174" t="s">
        <v>148</v>
      </c>
      <c r="C5174" t="s">
        <v>158</v>
      </c>
      <c r="D5174" t="s">
        <v>287</v>
      </c>
      <c r="E5174" t="s">
        <v>416</v>
      </c>
      <c r="F5174">
        <f>HYPERLINK("https://www.wikidata.org/wiki/Q33756209", "Q33756209")</f>
        <v>0</v>
      </c>
      <c r="G5174" t="s">
        <v>3330</v>
      </c>
      <c r="H5174" t="s">
        <v>7735</v>
      </c>
      <c r="I5174" t="s">
        <v>9472</v>
      </c>
      <c r="J5174" t="s">
        <v>13943</v>
      </c>
      <c r="K5174" t="s">
        <v>18312</v>
      </c>
      <c r="L5174">
        <f>HYPERLINK("https://www2.assemblee-nationale.fr/sycomore/fiche/(num_dept)/8027", "8027")</f>
        <v>0</v>
      </c>
      <c r="N5174">
        <f>HYPERLINK("https://www.wikidata.org/wiki/Q16026379", "Q16026379")</f>
        <v>0</v>
      </c>
      <c r="O5174" t="s">
        <v>19994</v>
      </c>
      <c r="P5174" t="s">
        <v>20456</v>
      </c>
      <c r="Q5174" t="s">
        <v>20701</v>
      </c>
      <c r="R5174" t="s">
        <v>21493</v>
      </c>
      <c r="S5174">
        <v>1457</v>
      </c>
    </row>
    <row r="5175" spans="1:19">
      <c r="A5175" t="s">
        <v>26</v>
      </c>
      <c r="B5175" t="s">
        <v>148</v>
      </c>
      <c r="C5175" t="s">
        <v>158</v>
      </c>
      <c r="D5175" t="s">
        <v>287</v>
      </c>
      <c r="E5175" t="s">
        <v>416</v>
      </c>
      <c r="F5175">
        <f>HYPERLINK("https://www.wikidata.org/wiki/Q33756209", "Q33756209")</f>
        <v>0</v>
      </c>
      <c r="G5175" t="s">
        <v>3331</v>
      </c>
      <c r="H5175" t="s">
        <v>7736</v>
      </c>
      <c r="I5175" t="s">
        <v>10769</v>
      </c>
      <c r="J5175" t="s">
        <v>13944</v>
      </c>
      <c r="K5175" t="s">
        <v>18313</v>
      </c>
      <c r="L5175">
        <f>HYPERLINK("https://www2.assemblee-nationale.fr/sycomore/fiche/(num_dept)/8028", "8028")</f>
        <v>0</v>
      </c>
      <c r="N5175">
        <f>HYPERLINK("https://www.wikidata.org/wiki/Q7127339", "Q7127339")</f>
        <v>0</v>
      </c>
      <c r="O5175" t="s">
        <v>19977</v>
      </c>
      <c r="P5175" t="s">
        <v>20456</v>
      </c>
      <c r="Q5175" t="s">
        <v>20701</v>
      </c>
      <c r="R5175" t="s">
        <v>21493</v>
      </c>
      <c r="S5175">
        <v>1457</v>
      </c>
    </row>
    <row r="5176" spans="1:19">
      <c r="A5176" t="s">
        <v>26</v>
      </c>
      <c r="B5176" t="s">
        <v>148</v>
      </c>
      <c r="C5176" t="s">
        <v>158</v>
      </c>
      <c r="D5176" t="s">
        <v>287</v>
      </c>
      <c r="E5176" t="s">
        <v>416</v>
      </c>
      <c r="F5176">
        <f>HYPERLINK("https://www.wikidata.org/wiki/Q33756209", "Q33756209")</f>
        <v>0</v>
      </c>
      <c r="G5176" t="s">
        <v>2754</v>
      </c>
      <c r="H5176" t="s">
        <v>7266</v>
      </c>
      <c r="I5176" t="s">
        <v>10408</v>
      </c>
      <c r="J5176" t="s">
        <v>13395</v>
      </c>
      <c r="K5176" t="s">
        <v>17793</v>
      </c>
      <c r="L5176">
        <f>HYPERLINK("https://www2.assemblee-nationale.fr/sycomore/fiche/(num_dept)/8029", "8029")</f>
        <v>0</v>
      </c>
      <c r="N5176">
        <f>HYPERLINK("https://www.wikidata.org/wiki/Q2896210", "Q2896210")</f>
        <v>0</v>
      </c>
      <c r="O5176" t="s">
        <v>19969</v>
      </c>
      <c r="P5176" t="s">
        <v>20401</v>
      </c>
      <c r="Q5176" t="s">
        <v>20701</v>
      </c>
      <c r="R5176" t="s">
        <v>21493</v>
      </c>
      <c r="S5176">
        <v>1457</v>
      </c>
    </row>
    <row r="5177" spans="1:19">
      <c r="A5177" t="s">
        <v>26</v>
      </c>
      <c r="B5177" t="s">
        <v>148</v>
      </c>
      <c r="C5177" t="s">
        <v>158</v>
      </c>
      <c r="D5177" t="s">
        <v>287</v>
      </c>
      <c r="E5177" t="s">
        <v>416</v>
      </c>
      <c r="F5177">
        <f>HYPERLINK("https://www.wikidata.org/wiki/Q33756209", "Q33756209")</f>
        <v>0</v>
      </c>
      <c r="G5177" t="s">
        <v>3332</v>
      </c>
      <c r="H5177" t="s">
        <v>7737</v>
      </c>
      <c r="I5177" t="s">
        <v>10770</v>
      </c>
      <c r="J5177" t="s">
        <v>13945</v>
      </c>
      <c r="K5177" t="s">
        <v>18314</v>
      </c>
      <c r="L5177">
        <f>HYPERLINK("https://www2.assemblee-nationale.fr/sycomore/fiche/(num_dept)/8031", "8031")</f>
        <v>0</v>
      </c>
      <c r="N5177">
        <f>HYPERLINK("https://www.wikidata.org/wiki/Q16025862", "Q16025862")</f>
        <v>0</v>
      </c>
      <c r="O5177" t="s">
        <v>19997</v>
      </c>
      <c r="P5177" t="s">
        <v>20461</v>
      </c>
      <c r="Q5177" t="s">
        <v>20701</v>
      </c>
      <c r="R5177" t="s">
        <v>18314</v>
      </c>
      <c r="S5177">
        <v>493</v>
      </c>
    </row>
    <row r="5178" spans="1:19">
      <c r="A5178" t="s">
        <v>26</v>
      </c>
      <c r="B5178" t="s">
        <v>148</v>
      </c>
      <c r="C5178" t="s">
        <v>158</v>
      </c>
      <c r="D5178" t="s">
        <v>287</v>
      </c>
      <c r="E5178" t="s">
        <v>416</v>
      </c>
      <c r="F5178">
        <f>HYPERLINK("https://www.wikidata.org/wiki/Q33756209", "Q33756209")</f>
        <v>0</v>
      </c>
      <c r="G5178" t="s">
        <v>3333</v>
      </c>
      <c r="H5178" t="s">
        <v>7738</v>
      </c>
      <c r="I5178" t="s">
        <v>10771</v>
      </c>
      <c r="J5178" t="s">
        <v>13946</v>
      </c>
      <c r="K5178" t="s">
        <v>18315</v>
      </c>
      <c r="L5178">
        <f>HYPERLINK("https://www2.assemblee-nationale.fr/sycomore/fiche/(num_dept)/8033", "8033")</f>
        <v>0</v>
      </c>
      <c r="N5178">
        <f>HYPERLINK("https://www.wikidata.org/wiki/Q642060", "Q642060")</f>
        <v>0</v>
      </c>
      <c r="O5178" t="s">
        <v>19969</v>
      </c>
      <c r="P5178" t="s">
        <v>20465</v>
      </c>
      <c r="Q5178" t="s">
        <v>20701</v>
      </c>
      <c r="R5178" t="s">
        <v>21512</v>
      </c>
      <c r="S5178">
        <v>113</v>
      </c>
    </row>
    <row r="5179" spans="1:19">
      <c r="A5179" t="s">
        <v>26</v>
      </c>
      <c r="B5179" t="s">
        <v>148</v>
      </c>
      <c r="C5179" t="s">
        <v>158</v>
      </c>
      <c r="D5179" t="s">
        <v>287</v>
      </c>
      <c r="E5179" t="s">
        <v>416</v>
      </c>
      <c r="F5179">
        <f>HYPERLINK("https://www.wikidata.org/wiki/Q33756209", "Q33756209")</f>
        <v>0</v>
      </c>
      <c r="G5179" t="s">
        <v>3334</v>
      </c>
      <c r="H5179" t="s">
        <v>7739</v>
      </c>
      <c r="I5179" t="s">
        <v>10772</v>
      </c>
      <c r="J5179" t="s">
        <v>13947</v>
      </c>
      <c r="K5179" t="s">
        <v>18316</v>
      </c>
      <c r="L5179">
        <f>HYPERLINK("https://www2.assemblee-nationale.fr/sycomore/fiche/(num_dept)/8034", "8034")</f>
        <v>0</v>
      </c>
      <c r="N5179">
        <f>HYPERLINK("https://www.wikidata.org/wiki/Q16026436", "Q16026436")</f>
        <v>0</v>
      </c>
      <c r="O5179" t="s">
        <v>19965</v>
      </c>
      <c r="P5179" t="s">
        <v>20401</v>
      </c>
      <c r="Q5179" t="s">
        <v>20701</v>
      </c>
      <c r="R5179" t="s">
        <v>18316</v>
      </c>
      <c r="S5179">
        <v>955</v>
      </c>
    </row>
    <row r="5180" spans="1:19">
      <c r="A5180" t="s">
        <v>26</v>
      </c>
      <c r="B5180" t="s">
        <v>148</v>
      </c>
      <c r="C5180" t="s">
        <v>158</v>
      </c>
      <c r="D5180" t="s">
        <v>287</v>
      </c>
      <c r="E5180" t="s">
        <v>416</v>
      </c>
      <c r="F5180">
        <f>HYPERLINK("https://www.wikidata.org/wiki/Q33756209", "Q33756209")</f>
        <v>0</v>
      </c>
      <c r="G5180" t="s">
        <v>2758</v>
      </c>
      <c r="H5180" t="s">
        <v>7270</v>
      </c>
      <c r="I5180" t="s">
        <v>10412</v>
      </c>
      <c r="J5180" t="s">
        <v>13399</v>
      </c>
      <c r="K5180" t="s">
        <v>17797</v>
      </c>
      <c r="L5180">
        <f>HYPERLINK("https://www2.assemblee-nationale.fr/sycomore/fiche/(num_dept)/8036", "8036")</f>
        <v>0</v>
      </c>
      <c r="N5180">
        <f>HYPERLINK("https://www.wikidata.org/wiki/Q15974206", "Q15974206")</f>
        <v>0</v>
      </c>
      <c r="O5180" t="s">
        <v>19969</v>
      </c>
      <c r="P5180" t="s">
        <v>20456</v>
      </c>
      <c r="Q5180" t="s">
        <v>20701</v>
      </c>
      <c r="R5180" t="s">
        <v>17797</v>
      </c>
      <c r="S5180">
        <v>1423</v>
      </c>
    </row>
    <row r="5181" spans="1:19">
      <c r="A5181" t="s">
        <v>26</v>
      </c>
      <c r="B5181" t="s">
        <v>148</v>
      </c>
      <c r="C5181" t="s">
        <v>158</v>
      </c>
      <c r="D5181" t="s">
        <v>287</v>
      </c>
      <c r="E5181" t="s">
        <v>416</v>
      </c>
      <c r="F5181">
        <f>HYPERLINK("https://www.wikidata.org/wiki/Q33756209", "Q33756209")</f>
        <v>0</v>
      </c>
      <c r="G5181" t="s">
        <v>3335</v>
      </c>
      <c r="H5181" t="s">
        <v>5532</v>
      </c>
      <c r="I5181" t="s">
        <v>10773</v>
      </c>
      <c r="J5181" t="s">
        <v>13948</v>
      </c>
      <c r="K5181" t="s">
        <v>18317</v>
      </c>
      <c r="L5181">
        <f>HYPERLINK("https://www2.assemblee-nationale.fr/sycomore/fiche/(num_dept)/8038", "8038")</f>
        <v>0</v>
      </c>
      <c r="N5181">
        <f>HYPERLINK("https://www.wikidata.org/wiki/Q8329092", "Q8329092")</f>
        <v>0</v>
      </c>
      <c r="O5181" t="s">
        <v>19957</v>
      </c>
      <c r="P5181" t="s">
        <v>20460</v>
      </c>
      <c r="Q5181" t="s">
        <v>20701</v>
      </c>
      <c r="R5181" t="s">
        <v>18317</v>
      </c>
      <c r="S5181">
        <v>700</v>
      </c>
    </row>
    <row r="5182" spans="1:19">
      <c r="A5182" t="s">
        <v>26</v>
      </c>
      <c r="B5182" t="s">
        <v>148</v>
      </c>
      <c r="C5182" t="s">
        <v>158</v>
      </c>
      <c r="D5182" t="s">
        <v>287</v>
      </c>
      <c r="E5182" t="s">
        <v>416</v>
      </c>
      <c r="F5182">
        <f>HYPERLINK("https://www.wikidata.org/wiki/Q33756209", "Q33756209")</f>
        <v>0</v>
      </c>
      <c r="G5182" t="s">
        <v>3336</v>
      </c>
      <c r="H5182" t="s">
        <v>7740</v>
      </c>
      <c r="I5182" t="s">
        <v>9407</v>
      </c>
      <c r="J5182" t="s">
        <v>13949</v>
      </c>
      <c r="K5182" t="s">
        <v>18318</v>
      </c>
      <c r="L5182">
        <f>HYPERLINK("https://www2.assemblee-nationale.fr/sycomore/fiche/(num_dept)/8040", "8040")</f>
        <v>0</v>
      </c>
      <c r="N5182">
        <f>HYPERLINK("https://www.wikidata.org/wiki/Q2388215", "Q2388215")</f>
        <v>0</v>
      </c>
      <c r="O5182" t="s">
        <v>19993</v>
      </c>
      <c r="P5182" t="s">
        <v>20461</v>
      </c>
      <c r="Q5182" t="s">
        <v>20701</v>
      </c>
      <c r="R5182" t="s">
        <v>21493</v>
      </c>
      <c r="S5182">
        <v>1457</v>
      </c>
    </row>
    <row r="5183" spans="1:19">
      <c r="A5183" t="s">
        <v>26</v>
      </c>
      <c r="B5183" t="s">
        <v>148</v>
      </c>
      <c r="C5183" t="s">
        <v>158</v>
      </c>
      <c r="D5183" t="s">
        <v>287</v>
      </c>
      <c r="E5183" t="s">
        <v>416</v>
      </c>
      <c r="F5183">
        <f>HYPERLINK("https://www.wikidata.org/wiki/Q33756209", "Q33756209")</f>
        <v>0</v>
      </c>
      <c r="G5183" t="s">
        <v>3337</v>
      </c>
      <c r="H5183" t="s">
        <v>7741</v>
      </c>
      <c r="I5183" t="s">
        <v>10774</v>
      </c>
      <c r="J5183" t="s">
        <v>13950</v>
      </c>
      <c r="K5183" t="s">
        <v>18319</v>
      </c>
      <c r="L5183">
        <f>HYPERLINK("https://www2.assemblee-nationale.fr/sycomore/fiche/(num_dept)/8044", "8044")</f>
        <v>0</v>
      </c>
      <c r="N5183">
        <f>HYPERLINK("https://www.wikidata.org/wiki/Q10645338", "Q10645338")</f>
        <v>0</v>
      </c>
      <c r="O5183" t="s">
        <v>19993</v>
      </c>
      <c r="P5183" t="s">
        <v>20459</v>
      </c>
      <c r="Q5183" t="s">
        <v>20701</v>
      </c>
      <c r="R5183" t="s">
        <v>21493</v>
      </c>
      <c r="S5183">
        <v>1457</v>
      </c>
    </row>
    <row r="5184" spans="1:19">
      <c r="A5184" t="s">
        <v>26</v>
      </c>
      <c r="B5184" t="s">
        <v>148</v>
      </c>
      <c r="C5184" t="s">
        <v>158</v>
      </c>
      <c r="D5184" t="s">
        <v>287</v>
      </c>
      <c r="E5184" t="s">
        <v>416</v>
      </c>
      <c r="F5184">
        <f>HYPERLINK("https://www.wikidata.org/wiki/Q33756209", "Q33756209")</f>
        <v>0</v>
      </c>
      <c r="G5184" t="s">
        <v>2760</v>
      </c>
      <c r="H5184" t="s">
        <v>7272</v>
      </c>
      <c r="I5184" t="s">
        <v>10414</v>
      </c>
      <c r="J5184" t="s">
        <v>13401</v>
      </c>
      <c r="K5184" t="s">
        <v>17799</v>
      </c>
      <c r="L5184">
        <f>HYPERLINK("https://www2.assemblee-nationale.fr/sycomore/fiche/(num_dept)/8046", "8046")</f>
        <v>0</v>
      </c>
      <c r="N5184">
        <f>HYPERLINK("https://www.wikidata.org/wiki/Q8302481", "Q8302481")</f>
        <v>0</v>
      </c>
      <c r="O5184" t="s">
        <v>20039</v>
      </c>
      <c r="P5184" t="s">
        <v>20459</v>
      </c>
      <c r="Q5184" t="s">
        <v>20701</v>
      </c>
      <c r="R5184" t="s">
        <v>21493</v>
      </c>
      <c r="S5184">
        <v>1457</v>
      </c>
    </row>
    <row r="5185" spans="1:19">
      <c r="A5185" t="s">
        <v>26</v>
      </c>
      <c r="B5185" t="s">
        <v>148</v>
      </c>
      <c r="C5185" t="s">
        <v>158</v>
      </c>
      <c r="D5185" t="s">
        <v>287</v>
      </c>
      <c r="E5185" t="s">
        <v>416</v>
      </c>
      <c r="F5185">
        <f>HYPERLINK("https://www.wikidata.org/wiki/Q33756209", "Q33756209")</f>
        <v>0</v>
      </c>
      <c r="G5185" t="s">
        <v>3338</v>
      </c>
      <c r="H5185" t="s">
        <v>7742</v>
      </c>
      <c r="I5185" t="s">
        <v>10775</v>
      </c>
      <c r="J5185" t="s">
        <v>13951</v>
      </c>
      <c r="K5185" t="s">
        <v>18320</v>
      </c>
      <c r="L5185">
        <f>HYPERLINK("https://www2.assemblee-nationale.fr/sycomore/fiche/(num_dept)/8048", "8048")</f>
        <v>0</v>
      </c>
      <c r="N5185">
        <f>HYPERLINK("https://www.wikidata.org/wiki/Q15964324", "Q15964324")</f>
        <v>0</v>
      </c>
      <c r="O5185" t="s">
        <v>20022</v>
      </c>
      <c r="P5185" t="s">
        <v>20459</v>
      </c>
      <c r="Q5185" t="s">
        <v>20701</v>
      </c>
      <c r="R5185" t="s">
        <v>21493</v>
      </c>
      <c r="S5185">
        <v>1457</v>
      </c>
    </row>
    <row r="5186" spans="1:19">
      <c r="A5186" t="s">
        <v>26</v>
      </c>
      <c r="B5186" t="s">
        <v>148</v>
      </c>
      <c r="C5186" t="s">
        <v>158</v>
      </c>
      <c r="D5186" t="s">
        <v>287</v>
      </c>
      <c r="E5186" t="s">
        <v>416</v>
      </c>
      <c r="F5186">
        <f>HYPERLINK("https://www.wikidata.org/wiki/Q33756209", "Q33756209")</f>
        <v>0</v>
      </c>
      <c r="G5186" t="s">
        <v>3339</v>
      </c>
      <c r="H5186" t="s">
        <v>7743</v>
      </c>
      <c r="I5186" t="s">
        <v>10776</v>
      </c>
      <c r="J5186" t="s">
        <v>13952</v>
      </c>
      <c r="K5186" t="s">
        <v>18321</v>
      </c>
      <c r="L5186">
        <f>HYPERLINK("https://www2.assemblee-nationale.fr/sycomore/fiche/(num_dept)/8053", "8053")</f>
        <v>0</v>
      </c>
      <c r="N5186">
        <f>HYPERLINK("https://www.wikidata.org/wiki/Q8329852", "Q8329852")</f>
        <v>0</v>
      </c>
      <c r="O5186" t="s">
        <v>19957</v>
      </c>
      <c r="P5186" t="s">
        <v>20460</v>
      </c>
      <c r="Q5186" t="s">
        <v>20701</v>
      </c>
      <c r="R5186" t="s">
        <v>21493</v>
      </c>
      <c r="S5186">
        <v>1457</v>
      </c>
    </row>
    <row r="5187" spans="1:19">
      <c r="A5187" t="s">
        <v>26</v>
      </c>
      <c r="B5187" t="s">
        <v>148</v>
      </c>
      <c r="C5187" t="s">
        <v>158</v>
      </c>
      <c r="D5187" t="s">
        <v>287</v>
      </c>
      <c r="E5187" t="s">
        <v>416</v>
      </c>
      <c r="F5187">
        <f>HYPERLINK("https://www.wikidata.org/wiki/Q33756209", "Q33756209")</f>
        <v>0</v>
      </c>
      <c r="G5187" t="s">
        <v>3340</v>
      </c>
      <c r="H5187" t="s">
        <v>7744</v>
      </c>
      <c r="I5187" t="s">
        <v>10777</v>
      </c>
      <c r="J5187" t="s">
        <v>13953</v>
      </c>
      <c r="K5187" t="s">
        <v>18322</v>
      </c>
      <c r="L5187">
        <f>HYPERLINK("https://www2.assemblee-nationale.fr/sycomore/fiche/(num_dept)/8055", "8055")</f>
        <v>0</v>
      </c>
      <c r="N5187">
        <f>HYPERLINK("https://www.wikidata.org/wiki/Q3301498", "Q3301498")</f>
        <v>0</v>
      </c>
      <c r="O5187" t="s">
        <v>19976</v>
      </c>
      <c r="P5187" t="s">
        <v>20401</v>
      </c>
      <c r="Q5187" t="s">
        <v>20701</v>
      </c>
      <c r="R5187" t="s">
        <v>21493</v>
      </c>
      <c r="S5187">
        <v>1457</v>
      </c>
    </row>
    <row r="5188" spans="1:19">
      <c r="A5188" t="s">
        <v>26</v>
      </c>
      <c r="B5188" t="s">
        <v>148</v>
      </c>
      <c r="C5188" t="s">
        <v>158</v>
      </c>
      <c r="D5188" t="s">
        <v>287</v>
      </c>
      <c r="E5188" t="s">
        <v>416</v>
      </c>
      <c r="F5188">
        <f>HYPERLINK("https://www.wikidata.org/wiki/Q33756209", "Q33756209")</f>
        <v>0</v>
      </c>
      <c r="G5188" t="s">
        <v>2765</v>
      </c>
      <c r="H5188" t="s">
        <v>7277</v>
      </c>
      <c r="I5188" t="s">
        <v>10419</v>
      </c>
      <c r="J5188" t="s">
        <v>13406</v>
      </c>
      <c r="K5188" t="s">
        <v>17804</v>
      </c>
      <c r="L5188">
        <f>HYPERLINK("https://www2.assemblee-nationale.fr/sycomore/fiche/(num_dept)/8056", "8056")</f>
        <v>0</v>
      </c>
      <c r="N5188">
        <f>HYPERLINK("https://www.wikidata.org/wiki/Q16026593", "Q16026593")</f>
        <v>0</v>
      </c>
      <c r="O5188" t="s">
        <v>20036</v>
      </c>
      <c r="P5188" t="s">
        <v>20461</v>
      </c>
      <c r="Q5188" t="s">
        <v>20701</v>
      </c>
      <c r="R5188" t="s">
        <v>21493</v>
      </c>
      <c r="S5188">
        <v>1457</v>
      </c>
    </row>
    <row r="5189" spans="1:19">
      <c r="A5189" t="s">
        <v>26</v>
      </c>
      <c r="B5189" t="s">
        <v>148</v>
      </c>
      <c r="C5189" t="s">
        <v>158</v>
      </c>
      <c r="D5189" t="s">
        <v>287</v>
      </c>
      <c r="E5189" t="s">
        <v>416</v>
      </c>
      <c r="F5189">
        <f>HYPERLINK("https://www.wikidata.org/wiki/Q33756209", "Q33756209")</f>
        <v>0</v>
      </c>
      <c r="G5189" t="s">
        <v>2766</v>
      </c>
      <c r="H5189" t="s">
        <v>7278</v>
      </c>
      <c r="I5189" t="s">
        <v>10420</v>
      </c>
      <c r="J5189" t="s">
        <v>13407</v>
      </c>
      <c r="K5189" t="s">
        <v>17805</v>
      </c>
      <c r="L5189">
        <f>HYPERLINK("https://www2.assemblee-nationale.fr/sycomore/fiche/(num_dept)/8057", "8057")</f>
        <v>0</v>
      </c>
      <c r="N5189">
        <f>HYPERLINK("https://www.wikidata.org/wiki/Q16026610", "Q16026610")</f>
        <v>0</v>
      </c>
      <c r="O5189" t="s">
        <v>19969</v>
      </c>
      <c r="P5189" t="s">
        <v>20401</v>
      </c>
      <c r="Q5189" t="s">
        <v>20701</v>
      </c>
      <c r="R5189" t="s">
        <v>21493</v>
      </c>
      <c r="S5189">
        <v>1457</v>
      </c>
    </row>
    <row r="5190" spans="1:19">
      <c r="A5190" t="s">
        <v>26</v>
      </c>
      <c r="B5190" t="s">
        <v>148</v>
      </c>
      <c r="C5190" t="s">
        <v>158</v>
      </c>
      <c r="D5190" t="s">
        <v>287</v>
      </c>
      <c r="E5190" t="s">
        <v>416</v>
      </c>
      <c r="F5190">
        <f>HYPERLINK("https://www.wikidata.org/wiki/Q33756209", "Q33756209")</f>
        <v>0</v>
      </c>
      <c r="G5190" t="s">
        <v>2768</v>
      </c>
      <c r="H5190" t="s">
        <v>7280</v>
      </c>
      <c r="I5190" t="s">
        <v>9426</v>
      </c>
      <c r="J5190" t="s">
        <v>13409</v>
      </c>
      <c r="K5190" t="s">
        <v>17807</v>
      </c>
      <c r="L5190">
        <f>HYPERLINK("https://www2.assemblee-nationale.fr/sycomore/fiche/(num_dept)/8059", "8059")</f>
        <v>0</v>
      </c>
      <c r="N5190">
        <f>HYPERLINK("https://www.wikidata.org/wiki/Q2839926", "Q2839926")</f>
        <v>0</v>
      </c>
      <c r="O5190" t="s">
        <v>20036</v>
      </c>
      <c r="P5190" t="s">
        <v>20459</v>
      </c>
      <c r="Q5190" t="s">
        <v>20701</v>
      </c>
      <c r="R5190" t="s">
        <v>21513</v>
      </c>
      <c r="S5190">
        <v>790</v>
      </c>
    </row>
    <row r="5191" spans="1:19">
      <c r="A5191" t="s">
        <v>26</v>
      </c>
      <c r="B5191" t="s">
        <v>148</v>
      </c>
      <c r="C5191" t="s">
        <v>158</v>
      </c>
      <c r="D5191" t="s">
        <v>287</v>
      </c>
      <c r="E5191" t="s">
        <v>416</v>
      </c>
      <c r="F5191">
        <f>HYPERLINK("https://www.wikidata.org/wiki/Q33756209", "Q33756209")</f>
        <v>0</v>
      </c>
      <c r="G5191" t="s">
        <v>2921</v>
      </c>
      <c r="H5191" t="s">
        <v>6176</v>
      </c>
      <c r="I5191" t="s">
        <v>10526</v>
      </c>
      <c r="J5191" t="s">
        <v>13555</v>
      </c>
      <c r="K5191" t="s">
        <v>17941</v>
      </c>
      <c r="L5191">
        <f>HYPERLINK("https://www2.assemblee-nationale.fr/sycomore/fiche/(num_dept)/8268", "8268")</f>
        <v>0</v>
      </c>
      <c r="N5191">
        <f>HYPERLINK("https://www.wikidata.org/wiki/Q16025780", "Q16025780")</f>
        <v>0</v>
      </c>
      <c r="O5191" t="s">
        <v>20021</v>
      </c>
      <c r="P5191" t="s">
        <v>20409</v>
      </c>
      <c r="Q5191" t="s">
        <v>20701</v>
      </c>
      <c r="R5191" t="s">
        <v>17941</v>
      </c>
      <c r="S5191">
        <v>643</v>
      </c>
    </row>
    <row r="5192" spans="1:19">
      <c r="A5192" t="s">
        <v>26</v>
      </c>
      <c r="B5192" t="s">
        <v>148</v>
      </c>
      <c r="C5192" t="s">
        <v>158</v>
      </c>
      <c r="D5192" t="s">
        <v>287</v>
      </c>
      <c r="E5192" t="s">
        <v>416</v>
      </c>
      <c r="F5192">
        <f>HYPERLINK("https://www.wikidata.org/wiki/Q33756209", "Q33756209")</f>
        <v>0</v>
      </c>
      <c r="G5192" t="s">
        <v>3341</v>
      </c>
      <c r="H5192" t="s">
        <v>7745</v>
      </c>
      <c r="I5192" t="s">
        <v>10778</v>
      </c>
      <c r="J5192" t="s">
        <v>13954</v>
      </c>
      <c r="K5192" t="s">
        <v>18323</v>
      </c>
      <c r="L5192">
        <f>HYPERLINK("https://www2.assemblee-nationale.fr/sycomore/fiche/(num_dept)/9610", "9610")</f>
        <v>0</v>
      </c>
      <c r="M5192">
        <f>HYPERLINK("https://www.senat.fr/senateur-3eme-republique/barriere_charles1004r3.html", "barriere_charles1004r3")</f>
        <v>0</v>
      </c>
      <c r="N5192">
        <f>HYPERLINK("https://www.wikidata.org/wiki/Q2958482", "Q2958482")</f>
        <v>0</v>
      </c>
      <c r="O5192" t="s">
        <v>20005</v>
      </c>
      <c r="Q5192" t="s">
        <v>20701</v>
      </c>
      <c r="R5192" t="s">
        <v>21493</v>
      </c>
      <c r="S5192">
        <v>1457</v>
      </c>
    </row>
    <row r="5193" spans="1:19">
      <c r="A5193" t="s">
        <v>26</v>
      </c>
      <c r="B5193" t="s">
        <v>148</v>
      </c>
      <c r="C5193" t="s">
        <v>158</v>
      </c>
      <c r="D5193" t="s">
        <v>287</v>
      </c>
      <c r="E5193" t="s">
        <v>416</v>
      </c>
      <c r="F5193">
        <f>HYPERLINK("https://www.wikidata.org/wiki/Q33756209", "Q33756209")</f>
        <v>0</v>
      </c>
      <c r="G5193" t="s">
        <v>3342</v>
      </c>
      <c r="H5193" t="s">
        <v>5387</v>
      </c>
      <c r="I5193" t="s">
        <v>9385</v>
      </c>
      <c r="J5193" t="s">
        <v>13955</v>
      </c>
      <c r="K5193" t="s">
        <v>18324</v>
      </c>
      <c r="L5193">
        <f>HYPERLINK("https://www2.assemblee-nationale.fr/sycomore/fiche/(num_dept)/10133", "10133")</f>
        <v>0</v>
      </c>
      <c r="M5193">
        <f>HYPERLINK("https://www.senat.fr/senateur-3eme-republique/dupuy_charles0513r3.html", "dupuy_charles0513r3")</f>
        <v>0</v>
      </c>
      <c r="N5193">
        <f>HYPERLINK("https://www.wikidata.org/wiki/Q356032", "Q356032")</f>
        <v>0</v>
      </c>
      <c r="O5193" t="s">
        <v>19993</v>
      </c>
      <c r="P5193" t="s">
        <v>20459</v>
      </c>
      <c r="Q5193" t="s">
        <v>20701</v>
      </c>
      <c r="R5193" t="s">
        <v>21493</v>
      </c>
      <c r="S5193">
        <v>1457</v>
      </c>
    </row>
    <row r="5194" spans="1:19">
      <c r="A5194" t="s">
        <v>26</v>
      </c>
      <c r="B5194" t="s">
        <v>148</v>
      </c>
      <c r="C5194" t="s">
        <v>158</v>
      </c>
      <c r="D5194" t="s">
        <v>287</v>
      </c>
      <c r="E5194" t="s">
        <v>416</v>
      </c>
      <c r="F5194">
        <f>HYPERLINK("https://www.wikidata.org/wiki/Q33756209", "Q33756209")</f>
        <v>0</v>
      </c>
      <c r="G5194" t="s">
        <v>2954</v>
      </c>
      <c r="H5194" t="s">
        <v>7428</v>
      </c>
      <c r="I5194" t="s">
        <v>9458</v>
      </c>
      <c r="J5194" t="s">
        <v>13587</v>
      </c>
      <c r="K5194" t="s">
        <v>17972</v>
      </c>
      <c r="L5194">
        <f>HYPERLINK("https://www2.assemblee-nationale.fr/sycomore/fiche/(num_dept)/3272", "3272")</f>
        <v>0</v>
      </c>
      <c r="N5194">
        <f>HYPERLINK("https://www.wikidata.org/wiki/Q2835142", "Q2835142")</f>
        <v>0</v>
      </c>
      <c r="O5194" t="s">
        <v>20046</v>
      </c>
      <c r="P5194" t="s">
        <v>20459</v>
      </c>
      <c r="Q5194" t="s">
        <v>20702</v>
      </c>
      <c r="R5194" t="s">
        <v>21493</v>
      </c>
      <c r="S5194">
        <v>1450</v>
      </c>
    </row>
    <row r="5195" spans="1:19">
      <c r="A5195" t="s">
        <v>26</v>
      </c>
      <c r="B5195" t="s">
        <v>148</v>
      </c>
      <c r="C5195" t="s">
        <v>158</v>
      </c>
      <c r="D5195" t="s">
        <v>287</v>
      </c>
      <c r="E5195" t="s">
        <v>416</v>
      </c>
      <c r="F5195">
        <f>HYPERLINK("https://www.wikidata.org/wiki/Q33756209", "Q33756209")</f>
        <v>0</v>
      </c>
      <c r="G5195" t="s">
        <v>3004</v>
      </c>
      <c r="H5195" t="s">
        <v>7466</v>
      </c>
      <c r="I5195" t="s">
        <v>9470</v>
      </c>
      <c r="J5195" t="s">
        <v>13634</v>
      </c>
      <c r="K5195" t="s">
        <v>18018</v>
      </c>
      <c r="L5195">
        <f>HYPERLINK("https://www2.assemblee-nationale.fr/sycomore/fiche/(num_dept)/6290", "6290")</f>
        <v>0</v>
      </c>
      <c r="N5195">
        <f>HYPERLINK("https://www.wikidata.org/wiki/Q28467659", "Q28467659")</f>
        <v>0</v>
      </c>
      <c r="O5195" t="s">
        <v>20028</v>
      </c>
      <c r="P5195" t="s">
        <v>20459</v>
      </c>
      <c r="Q5195" t="s">
        <v>20702</v>
      </c>
      <c r="R5195" t="s">
        <v>21493</v>
      </c>
      <c r="S5195">
        <v>1450</v>
      </c>
    </row>
    <row r="5196" spans="1:19">
      <c r="A5196" t="s">
        <v>26</v>
      </c>
      <c r="B5196" t="s">
        <v>148</v>
      </c>
      <c r="C5196" t="s">
        <v>158</v>
      </c>
      <c r="D5196" t="s">
        <v>287</v>
      </c>
      <c r="E5196" t="s">
        <v>416</v>
      </c>
      <c r="F5196">
        <f>HYPERLINK("https://www.wikidata.org/wiki/Q33756209", "Q33756209")</f>
        <v>0</v>
      </c>
      <c r="G5196" t="s">
        <v>3343</v>
      </c>
      <c r="H5196" t="s">
        <v>7410</v>
      </c>
      <c r="I5196" t="s">
        <v>10779</v>
      </c>
      <c r="J5196" t="s">
        <v>13956</v>
      </c>
      <c r="K5196" t="s">
        <v>18325</v>
      </c>
      <c r="L5196">
        <f>HYPERLINK("https://www2.assemblee-nationale.fr/sycomore/fiche/(num_dept)/4170", "4170")</f>
        <v>0</v>
      </c>
      <c r="N5196">
        <f>HYPERLINK("https://www.wikidata.org/wiki/Q3262750", "Q3262750")</f>
        <v>0</v>
      </c>
      <c r="O5196" t="s">
        <v>19972</v>
      </c>
      <c r="P5196" t="s">
        <v>20460</v>
      </c>
      <c r="Q5196" t="s">
        <v>20703</v>
      </c>
      <c r="R5196" t="s">
        <v>21493</v>
      </c>
      <c r="S5196">
        <v>1408</v>
      </c>
    </row>
    <row r="5197" spans="1:19">
      <c r="A5197" t="s">
        <v>26</v>
      </c>
      <c r="B5197" t="s">
        <v>148</v>
      </c>
      <c r="C5197" t="s">
        <v>158</v>
      </c>
      <c r="D5197" t="s">
        <v>287</v>
      </c>
      <c r="E5197" t="s">
        <v>416</v>
      </c>
      <c r="F5197">
        <f>HYPERLINK("https://www.wikidata.org/wiki/Q33756209", "Q33756209")</f>
        <v>0</v>
      </c>
      <c r="G5197" t="s">
        <v>2555</v>
      </c>
      <c r="H5197" t="s">
        <v>7114</v>
      </c>
      <c r="I5197" t="s">
        <v>10283</v>
      </c>
      <c r="J5197" t="s">
        <v>13199</v>
      </c>
      <c r="K5197" t="s">
        <v>12522</v>
      </c>
      <c r="L5197">
        <f>HYPERLINK("https://www2.assemblee-nationale.fr/sycomore/fiche/(num_dept)/2577", "2577")</f>
        <v>0</v>
      </c>
      <c r="N5197">
        <f>HYPERLINK("https://www.wikidata.org/wiki/Q5624188", "Q5624188")</f>
        <v>0</v>
      </c>
      <c r="O5197" t="s">
        <v>19969</v>
      </c>
      <c r="Q5197" t="s">
        <v>20704</v>
      </c>
      <c r="R5197" t="s">
        <v>21493</v>
      </c>
      <c r="S5197">
        <v>1401</v>
      </c>
    </row>
    <row r="5198" spans="1:19">
      <c r="A5198" t="s">
        <v>26</v>
      </c>
      <c r="B5198" t="s">
        <v>148</v>
      </c>
      <c r="C5198" t="s">
        <v>158</v>
      </c>
      <c r="D5198" t="s">
        <v>287</v>
      </c>
      <c r="E5198" t="s">
        <v>416</v>
      </c>
      <c r="F5198">
        <f>HYPERLINK("https://www.wikidata.org/wiki/Q33756209", "Q33756209")</f>
        <v>0</v>
      </c>
      <c r="G5198" t="s">
        <v>3344</v>
      </c>
      <c r="H5198" t="s">
        <v>7746</v>
      </c>
      <c r="I5198" t="s">
        <v>10780</v>
      </c>
      <c r="J5198" t="s">
        <v>13957</v>
      </c>
      <c r="K5198" t="s">
        <v>18326</v>
      </c>
      <c r="L5198">
        <f>HYPERLINK("https://www2.assemblee-nationale.fr/sycomore/fiche/(num_dept)/3302", "3302")</f>
        <v>0</v>
      </c>
      <c r="N5198">
        <f>HYPERLINK("https://www.wikidata.org/wiki/Q3484284", "Q3484284")</f>
        <v>0</v>
      </c>
      <c r="O5198" t="s">
        <v>20014</v>
      </c>
      <c r="P5198" t="s">
        <v>20456</v>
      </c>
      <c r="Q5198" t="s">
        <v>20704</v>
      </c>
      <c r="R5198" t="s">
        <v>21493</v>
      </c>
      <c r="S5198">
        <v>1401</v>
      </c>
    </row>
    <row r="5199" spans="1:19">
      <c r="A5199" t="s">
        <v>26</v>
      </c>
      <c r="B5199" t="s">
        <v>148</v>
      </c>
      <c r="C5199" t="s">
        <v>158</v>
      </c>
      <c r="D5199" t="s">
        <v>287</v>
      </c>
      <c r="E5199" t="s">
        <v>416</v>
      </c>
      <c r="F5199">
        <f>HYPERLINK("https://www.wikidata.org/wiki/Q33756209", "Q33756209")</f>
        <v>0</v>
      </c>
      <c r="G5199" t="s">
        <v>3045</v>
      </c>
      <c r="H5199" t="s">
        <v>7501</v>
      </c>
      <c r="I5199" t="s">
        <v>6175</v>
      </c>
      <c r="J5199" t="s">
        <v>13672</v>
      </c>
      <c r="K5199" t="s">
        <v>18053</v>
      </c>
      <c r="L5199">
        <f>HYPERLINK("https://www2.assemblee-nationale.fr/sycomore/fiche/(num_dept)/8225", "8225")</f>
        <v>0</v>
      </c>
      <c r="N5199">
        <f>HYPERLINK("https://www.wikidata.org/wiki/Q15973917", "Q15973917")</f>
        <v>0</v>
      </c>
      <c r="O5199" t="s">
        <v>19969</v>
      </c>
      <c r="P5199" t="s">
        <v>20456</v>
      </c>
      <c r="Q5199" t="s">
        <v>20704</v>
      </c>
      <c r="R5199" t="s">
        <v>21493</v>
      </c>
      <c r="S5199">
        <v>1401</v>
      </c>
    </row>
    <row r="5200" spans="1:19">
      <c r="A5200" t="s">
        <v>26</v>
      </c>
      <c r="B5200" t="s">
        <v>148</v>
      </c>
      <c r="C5200" t="s">
        <v>158</v>
      </c>
      <c r="D5200" t="s">
        <v>287</v>
      </c>
      <c r="E5200" t="s">
        <v>416</v>
      </c>
      <c r="F5200">
        <f>HYPERLINK("https://www.wikidata.org/wiki/Q33756209", "Q33756209")</f>
        <v>0</v>
      </c>
      <c r="G5200" t="s">
        <v>3345</v>
      </c>
      <c r="H5200" t="s">
        <v>7747</v>
      </c>
      <c r="I5200" t="s">
        <v>10781</v>
      </c>
      <c r="J5200" t="s">
        <v>13958</v>
      </c>
      <c r="K5200" t="s">
        <v>18327</v>
      </c>
      <c r="L5200">
        <f>HYPERLINK("https://www2.assemblee-nationale.fr/sycomore/fiche/(num_dept)/17859", "17859")</f>
        <v>0</v>
      </c>
      <c r="M5200">
        <f>HYPERLINK("https://www.senat.fr/senateur-3eme-republique/labordere_jean1340r3.html", "labordere_jean1340r3")</f>
        <v>0</v>
      </c>
      <c r="N5200">
        <f>HYPERLINK("https://www.wikidata.org/wiki/Q16025905", "Q16025905")</f>
        <v>0</v>
      </c>
      <c r="O5200" t="s">
        <v>19969</v>
      </c>
      <c r="P5200" t="s">
        <v>20456</v>
      </c>
      <c r="Q5200" t="s">
        <v>20704</v>
      </c>
      <c r="R5200" t="s">
        <v>21493</v>
      </c>
      <c r="S5200">
        <v>1401</v>
      </c>
    </row>
    <row r="5201" spans="1:19">
      <c r="A5201" t="s">
        <v>26</v>
      </c>
      <c r="B5201" t="s">
        <v>148</v>
      </c>
      <c r="C5201" t="s">
        <v>158</v>
      </c>
      <c r="D5201" t="s">
        <v>287</v>
      </c>
      <c r="E5201" t="s">
        <v>416</v>
      </c>
      <c r="F5201">
        <f>HYPERLINK("https://www.wikidata.org/wiki/Q33756209", "Q33756209")</f>
        <v>0</v>
      </c>
      <c r="G5201" t="s">
        <v>3086</v>
      </c>
      <c r="H5201" t="s">
        <v>7533</v>
      </c>
      <c r="I5201" t="s">
        <v>10621</v>
      </c>
      <c r="J5201" t="s">
        <v>13709</v>
      </c>
      <c r="K5201" t="s">
        <v>333</v>
      </c>
      <c r="L5201">
        <f>HYPERLINK("https://www2.assemblee-nationale.fr/sycomore/fiche/(num_dept)/201", "201")</f>
        <v>0</v>
      </c>
      <c r="N5201">
        <f>HYPERLINK("https://www.wikidata.org/wiki/Q15973335", "Q15973335")</f>
        <v>0</v>
      </c>
      <c r="O5201" t="s">
        <v>20045</v>
      </c>
      <c r="Q5201" t="s">
        <v>20705</v>
      </c>
      <c r="R5201" t="s">
        <v>21493</v>
      </c>
      <c r="S5201">
        <v>1394</v>
      </c>
    </row>
    <row r="5202" spans="1:19">
      <c r="A5202" t="s">
        <v>26</v>
      </c>
      <c r="B5202" t="s">
        <v>148</v>
      </c>
      <c r="C5202" t="s">
        <v>158</v>
      </c>
      <c r="D5202" t="s">
        <v>287</v>
      </c>
      <c r="E5202" t="s">
        <v>416</v>
      </c>
      <c r="F5202">
        <f>HYPERLINK("https://www.wikidata.org/wiki/Q33756209", "Q33756209")</f>
        <v>0</v>
      </c>
      <c r="G5202" t="s">
        <v>2616</v>
      </c>
      <c r="H5202" t="s">
        <v>6928</v>
      </c>
      <c r="I5202" t="s">
        <v>9407</v>
      </c>
      <c r="J5202" t="s">
        <v>13259</v>
      </c>
      <c r="K5202" t="s">
        <v>13039</v>
      </c>
      <c r="L5202">
        <f>HYPERLINK("https://www2.assemblee-nationale.fr/sycomore/fiche/(num_dept)/4383", "4383")</f>
        <v>0</v>
      </c>
      <c r="N5202">
        <f>HYPERLINK("https://www.wikidata.org/wiki/Q16025946", "Q16025946")</f>
        <v>0</v>
      </c>
      <c r="O5202" t="s">
        <v>20045</v>
      </c>
      <c r="Q5202" t="s">
        <v>20705</v>
      </c>
      <c r="R5202" t="s">
        <v>21493</v>
      </c>
      <c r="S5202">
        <v>1394</v>
      </c>
    </row>
    <row r="5203" spans="1:19">
      <c r="A5203" t="s">
        <v>26</v>
      </c>
      <c r="B5203" t="s">
        <v>148</v>
      </c>
      <c r="C5203" t="s">
        <v>158</v>
      </c>
      <c r="D5203" t="s">
        <v>287</v>
      </c>
      <c r="E5203" t="s">
        <v>416</v>
      </c>
      <c r="F5203">
        <f>HYPERLINK("https://www.wikidata.org/wiki/Q33756209", "Q33756209")</f>
        <v>0</v>
      </c>
      <c r="G5203" t="s">
        <v>3226</v>
      </c>
      <c r="H5203" t="s">
        <v>7652</v>
      </c>
      <c r="I5203" t="s">
        <v>10718</v>
      </c>
      <c r="J5203" t="s">
        <v>13845</v>
      </c>
      <c r="K5203" t="s">
        <v>18216</v>
      </c>
      <c r="L5203">
        <f>HYPERLINK("https://www2.assemblee-nationale.fr/sycomore/fiche/(num_dept)/8052", "8052")</f>
        <v>0</v>
      </c>
      <c r="N5203">
        <f>HYPERLINK("https://www.wikidata.org/wiki/Q16026573", "Q16026573")</f>
        <v>0</v>
      </c>
      <c r="O5203" t="s">
        <v>20045</v>
      </c>
      <c r="P5203" t="s">
        <v>20460</v>
      </c>
      <c r="Q5203" t="s">
        <v>20705</v>
      </c>
      <c r="R5203" t="s">
        <v>21493</v>
      </c>
      <c r="S5203">
        <v>1394</v>
      </c>
    </row>
    <row r="5204" spans="1:19">
      <c r="A5204" t="s">
        <v>26</v>
      </c>
      <c r="B5204" t="s">
        <v>148</v>
      </c>
      <c r="C5204" t="s">
        <v>158</v>
      </c>
      <c r="D5204" t="s">
        <v>287</v>
      </c>
      <c r="E5204" t="s">
        <v>416</v>
      </c>
      <c r="F5204">
        <f>HYPERLINK("https://www.wikidata.org/wiki/Q33756209", "Q33756209")</f>
        <v>0</v>
      </c>
      <c r="G5204" t="s">
        <v>3346</v>
      </c>
      <c r="H5204" t="s">
        <v>6218</v>
      </c>
      <c r="I5204" t="s">
        <v>10782</v>
      </c>
      <c r="J5204" t="s">
        <v>13959</v>
      </c>
      <c r="K5204" t="s">
        <v>18328</v>
      </c>
      <c r="L5204">
        <f>HYPERLINK("https://www2.assemblee-nationale.fr/sycomore/fiche/(num_dept)/14450", "14450")</f>
        <v>0</v>
      </c>
      <c r="N5204">
        <f>HYPERLINK("https://www.wikidata.org/wiki/Q13091111", "Q13091111")</f>
        <v>0</v>
      </c>
      <c r="O5204" t="s">
        <v>19969</v>
      </c>
      <c r="P5204" t="s">
        <v>20456</v>
      </c>
      <c r="Q5204" t="s">
        <v>20705</v>
      </c>
      <c r="R5204" t="s">
        <v>21493</v>
      </c>
      <c r="S5204">
        <v>1394</v>
      </c>
    </row>
    <row r="5205" spans="1:19">
      <c r="A5205" t="s">
        <v>26</v>
      </c>
      <c r="B5205" t="s">
        <v>148</v>
      </c>
      <c r="C5205" t="s">
        <v>158</v>
      </c>
      <c r="D5205" t="s">
        <v>287</v>
      </c>
      <c r="E5205" t="s">
        <v>416</v>
      </c>
      <c r="F5205">
        <f>HYPERLINK("https://www.wikidata.org/wiki/Q33756209", "Q33756209")</f>
        <v>0</v>
      </c>
      <c r="G5205" t="s">
        <v>1005</v>
      </c>
      <c r="H5205" t="s">
        <v>5756</v>
      </c>
      <c r="I5205" t="s">
        <v>9553</v>
      </c>
      <c r="J5205" t="s">
        <v>11742</v>
      </c>
      <c r="K5205" t="s">
        <v>16146</v>
      </c>
      <c r="L5205">
        <f>HYPERLINK("https://www2.assemblee-nationale.fr/sycomore/fiche/(num_dept)/5284", "5284")</f>
        <v>0</v>
      </c>
      <c r="M5205">
        <f>HYPERLINK("https://www.senat.fr/senateur-3eme-republique/millerand_alexandre0910r3.html", "millerand_alexandre0910r3")</f>
        <v>0</v>
      </c>
      <c r="N5205">
        <f>HYPERLINK("https://www.wikidata.org/wiki/Q274540", "Q274540")</f>
        <v>0</v>
      </c>
      <c r="O5205" t="s">
        <v>19969</v>
      </c>
      <c r="Q5205" t="s">
        <v>20706</v>
      </c>
      <c r="R5205" t="s">
        <v>21493</v>
      </c>
      <c r="S5205">
        <v>1387</v>
      </c>
    </row>
    <row r="5206" spans="1:19">
      <c r="A5206" t="s">
        <v>26</v>
      </c>
      <c r="B5206" t="s">
        <v>148</v>
      </c>
      <c r="C5206" t="s">
        <v>158</v>
      </c>
      <c r="D5206" t="s">
        <v>287</v>
      </c>
      <c r="E5206" t="s">
        <v>416</v>
      </c>
      <c r="F5206">
        <f>HYPERLINK("https://www.wikidata.org/wiki/Q33756209", "Q33756209")</f>
        <v>0</v>
      </c>
      <c r="G5206" t="s">
        <v>2759</v>
      </c>
      <c r="H5206" t="s">
        <v>7271</v>
      </c>
      <c r="I5206" t="s">
        <v>10413</v>
      </c>
      <c r="J5206" t="s">
        <v>13400</v>
      </c>
      <c r="K5206" t="s">
        <v>17798</v>
      </c>
      <c r="L5206">
        <f>HYPERLINK("https://www2.assemblee-nationale.fr/sycomore/fiche/(num_dept)/8042", "8042")</f>
        <v>0</v>
      </c>
      <c r="N5206">
        <f>HYPERLINK("https://www.wikidata.org/wiki/Q2825109", "Q2825109")</f>
        <v>0</v>
      </c>
      <c r="O5206" t="s">
        <v>19969</v>
      </c>
      <c r="P5206" t="s">
        <v>20401</v>
      </c>
      <c r="Q5206" t="s">
        <v>20706</v>
      </c>
      <c r="R5206" t="s">
        <v>21493</v>
      </c>
      <c r="S5206">
        <v>1387</v>
      </c>
    </row>
    <row r="5207" spans="1:19">
      <c r="A5207" t="s">
        <v>26</v>
      </c>
      <c r="B5207" t="s">
        <v>148</v>
      </c>
      <c r="C5207" t="s">
        <v>158</v>
      </c>
      <c r="D5207" t="s">
        <v>287</v>
      </c>
      <c r="E5207" t="s">
        <v>416</v>
      </c>
      <c r="F5207">
        <f>HYPERLINK("https://www.wikidata.org/wiki/Q33756209", "Q33756209")</f>
        <v>0</v>
      </c>
      <c r="G5207" t="s">
        <v>3006</v>
      </c>
      <c r="H5207" t="s">
        <v>7468</v>
      </c>
      <c r="I5207" t="s">
        <v>9414</v>
      </c>
      <c r="J5207" t="s">
        <v>12227</v>
      </c>
      <c r="K5207" t="s">
        <v>18020</v>
      </c>
      <c r="L5207">
        <f>HYPERLINK("https://www2.assemblee-nationale.fr/sycomore/fiche/(num_dept)/188", "188")</f>
        <v>0</v>
      </c>
      <c r="M5207">
        <f>HYPERLINK("https://www.senat.fr/senateur-3eme-republique/arene_emmanuel0489r3.html", "arene_emmanuel0489r3")</f>
        <v>0</v>
      </c>
      <c r="N5207">
        <f>HYPERLINK("https://www.wikidata.org/wiki/Q3052547", "Q3052547")</f>
        <v>0</v>
      </c>
      <c r="O5207" t="s">
        <v>19955</v>
      </c>
      <c r="Q5207" t="s">
        <v>20707</v>
      </c>
      <c r="R5207" t="s">
        <v>21493</v>
      </c>
      <c r="S5207">
        <v>1338</v>
      </c>
    </row>
    <row r="5208" spans="1:19">
      <c r="A5208" t="s">
        <v>26</v>
      </c>
      <c r="B5208" t="s">
        <v>148</v>
      </c>
      <c r="C5208" t="s">
        <v>158</v>
      </c>
      <c r="D5208" t="s">
        <v>287</v>
      </c>
      <c r="E5208" t="s">
        <v>416</v>
      </c>
      <c r="F5208">
        <f>HYPERLINK("https://www.wikidata.org/wiki/Q33756209", "Q33756209")</f>
        <v>0</v>
      </c>
      <c r="G5208" t="s">
        <v>3347</v>
      </c>
      <c r="H5208" t="s">
        <v>7748</v>
      </c>
      <c r="I5208" t="s">
        <v>10783</v>
      </c>
      <c r="J5208" t="s">
        <v>13960</v>
      </c>
      <c r="K5208" t="s">
        <v>18329</v>
      </c>
      <c r="L5208">
        <f>HYPERLINK("https://www2.assemblee-nationale.fr/sycomore/fiche/(num_dept)/224", "224")</f>
        <v>0</v>
      </c>
      <c r="N5208">
        <f>HYPERLINK("https://www.wikidata.org/wiki/Q15973329", "Q15973329")</f>
        <v>0</v>
      </c>
      <c r="O5208" t="s">
        <v>19955</v>
      </c>
      <c r="Q5208" t="s">
        <v>20707</v>
      </c>
      <c r="R5208" t="s">
        <v>21493</v>
      </c>
      <c r="S5208">
        <v>1338</v>
      </c>
    </row>
    <row r="5209" spans="1:19">
      <c r="A5209" t="s">
        <v>26</v>
      </c>
      <c r="B5209" t="s">
        <v>148</v>
      </c>
      <c r="C5209" t="s">
        <v>158</v>
      </c>
      <c r="D5209" t="s">
        <v>287</v>
      </c>
      <c r="E5209" t="s">
        <v>416</v>
      </c>
      <c r="F5209">
        <f>HYPERLINK("https://www.wikidata.org/wiki/Q33756209", "Q33756209")</f>
        <v>0</v>
      </c>
      <c r="G5209" t="s">
        <v>2508</v>
      </c>
      <c r="H5209" t="s">
        <v>7076</v>
      </c>
      <c r="I5209" t="s">
        <v>10254</v>
      </c>
      <c r="J5209" t="s">
        <v>13152</v>
      </c>
      <c r="K5209" t="s">
        <v>17560</v>
      </c>
      <c r="L5209">
        <f>HYPERLINK("https://www2.assemblee-nationale.fr/sycomore/fiche/(num_dept)/915", "915")</f>
        <v>0</v>
      </c>
      <c r="M5209">
        <f>HYPERLINK("https://www.senat.fr/senateur-3eme-republique/boissy_d_anglas_francois0142r3.html", "boissy_d_anglas_francois0142r3")</f>
        <v>0</v>
      </c>
      <c r="N5209">
        <f>HYPERLINK("https://www.wikidata.org/wiki/Q3084012", "Q3084012")</f>
        <v>0</v>
      </c>
      <c r="O5209" t="s">
        <v>19991</v>
      </c>
      <c r="Q5209" t="s">
        <v>20707</v>
      </c>
      <c r="R5209" t="s">
        <v>21493</v>
      </c>
      <c r="S5209">
        <v>1338</v>
      </c>
    </row>
    <row r="5210" spans="1:19">
      <c r="A5210" t="s">
        <v>26</v>
      </c>
      <c r="B5210" t="s">
        <v>148</v>
      </c>
      <c r="C5210" t="s">
        <v>158</v>
      </c>
      <c r="D5210" t="s">
        <v>287</v>
      </c>
      <c r="E5210" t="s">
        <v>416</v>
      </c>
      <c r="F5210">
        <f>HYPERLINK("https://www.wikidata.org/wiki/Q33756209", "Q33756209")</f>
        <v>0</v>
      </c>
      <c r="G5210" t="s">
        <v>2512</v>
      </c>
      <c r="H5210" t="s">
        <v>7080</v>
      </c>
      <c r="I5210" t="s">
        <v>10257</v>
      </c>
      <c r="J5210" t="s">
        <v>13156</v>
      </c>
      <c r="K5210" t="s">
        <v>12813</v>
      </c>
      <c r="L5210">
        <f>HYPERLINK("https://www2.assemblee-nationale.fr/sycomore/fiche/(num_dept)/1004", "1004")</f>
        <v>0</v>
      </c>
      <c r="N5210">
        <f>HYPERLINK("https://www.wikidata.org/wiki/Q15973811", "Q15973811")</f>
        <v>0</v>
      </c>
      <c r="O5210" t="s">
        <v>19995</v>
      </c>
      <c r="P5210" t="s">
        <v>20463</v>
      </c>
      <c r="Q5210" t="s">
        <v>20707</v>
      </c>
      <c r="R5210" t="s">
        <v>21493</v>
      </c>
      <c r="S5210">
        <v>1338</v>
      </c>
    </row>
    <row r="5211" spans="1:19">
      <c r="A5211" t="s">
        <v>26</v>
      </c>
      <c r="B5211" t="s">
        <v>148</v>
      </c>
      <c r="C5211" t="s">
        <v>158</v>
      </c>
      <c r="D5211" t="s">
        <v>287</v>
      </c>
      <c r="E5211" t="s">
        <v>416</v>
      </c>
      <c r="F5211">
        <f>HYPERLINK("https://www.wikidata.org/wiki/Q33756209", "Q33756209")</f>
        <v>0</v>
      </c>
      <c r="G5211" t="s">
        <v>3348</v>
      </c>
      <c r="H5211" t="s">
        <v>5658</v>
      </c>
      <c r="I5211" t="s">
        <v>10784</v>
      </c>
      <c r="J5211" t="s">
        <v>13409</v>
      </c>
      <c r="K5211" t="s">
        <v>18330</v>
      </c>
      <c r="L5211">
        <f>HYPERLINK("https://www2.assemblee-nationale.fr/sycomore/fiche/(num_dept)/1567", "1567")</f>
        <v>0</v>
      </c>
      <c r="N5211">
        <f>HYPERLINK("https://www.wikidata.org/wiki/Q15974233", "Q15974233")</f>
        <v>0</v>
      </c>
      <c r="O5211" t="s">
        <v>19955</v>
      </c>
      <c r="P5211" t="s">
        <v>20401</v>
      </c>
      <c r="Q5211" t="s">
        <v>20707</v>
      </c>
      <c r="R5211" t="s">
        <v>21493</v>
      </c>
      <c r="S5211">
        <v>1338</v>
      </c>
    </row>
    <row r="5212" spans="1:19">
      <c r="A5212" t="s">
        <v>26</v>
      </c>
      <c r="B5212" t="s">
        <v>148</v>
      </c>
      <c r="C5212" t="s">
        <v>158</v>
      </c>
      <c r="D5212" t="s">
        <v>287</v>
      </c>
      <c r="E5212" t="s">
        <v>416</v>
      </c>
      <c r="F5212">
        <f>HYPERLINK("https://www.wikidata.org/wiki/Q33756209", "Q33756209")</f>
        <v>0</v>
      </c>
      <c r="G5212" t="s">
        <v>3349</v>
      </c>
      <c r="H5212" t="s">
        <v>7749</v>
      </c>
      <c r="I5212" t="s">
        <v>10785</v>
      </c>
      <c r="J5212" t="s">
        <v>13961</v>
      </c>
      <c r="K5212" t="s">
        <v>18331</v>
      </c>
      <c r="L5212">
        <f>HYPERLINK("https://www2.assemblee-nationale.fr/sycomore/fiche/(num_dept)/1840", "1840")</f>
        <v>0</v>
      </c>
      <c r="N5212">
        <f>HYPERLINK("https://www.wikidata.org/wiki/Q16025459", "Q16025459")</f>
        <v>0</v>
      </c>
      <c r="O5212" t="s">
        <v>19991</v>
      </c>
      <c r="P5212" t="s">
        <v>20463</v>
      </c>
      <c r="Q5212" t="s">
        <v>20707</v>
      </c>
      <c r="R5212" t="s">
        <v>21493</v>
      </c>
      <c r="S5212">
        <v>1338</v>
      </c>
    </row>
    <row r="5213" spans="1:19">
      <c r="A5213" t="s">
        <v>26</v>
      </c>
      <c r="B5213" t="s">
        <v>148</v>
      </c>
      <c r="C5213" t="s">
        <v>158</v>
      </c>
      <c r="D5213" t="s">
        <v>287</v>
      </c>
      <c r="E5213" t="s">
        <v>416</v>
      </c>
      <c r="F5213">
        <f>HYPERLINK("https://www.wikidata.org/wiki/Q33756209", "Q33756209")</f>
        <v>0</v>
      </c>
      <c r="G5213" t="s">
        <v>3350</v>
      </c>
      <c r="H5213" t="s">
        <v>7750</v>
      </c>
      <c r="I5213" t="s">
        <v>10786</v>
      </c>
      <c r="J5213" t="s">
        <v>13962</v>
      </c>
      <c r="K5213" t="s">
        <v>18332</v>
      </c>
      <c r="L5213">
        <f>HYPERLINK("https://www2.assemblee-nationale.fr/sycomore/fiche/(num_dept)/2229", "2229")</f>
        <v>0</v>
      </c>
      <c r="N5213">
        <f>HYPERLINK("https://www.wikidata.org/wiki/Q3130347", "Q3130347")</f>
        <v>0</v>
      </c>
      <c r="O5213" t="s">
        <v>19991</v>
      </c>
      <c r="P5213" t="s">
        <v>20473</v>
      </c>
      <c r="Q5213" t="s">
        <v>20707</v>
      </c>
      <c r="R5213" t="s">
        <v>18332</v>
      </c>
      <c r="S5213">
        <v>813</v>
      </c>
    </row>
    <row r="5214" spans="1:19">
      <c r="A5214" t="s">
        <v>26</v>
      </c>
      <c r="B5214" t="s">
        <v>148</v>
      </c>
      <c r="C5214" t="s">
        <v>158</v>
      </c>
      <c r="D5214" t="s">
        <v>287</v>
      </c>
      <c r="E5214" t="s">
        <v>416</v>
      </c>
      <c r="F5214">
        <f>HYPERLINK("https://www.wikidata.org/wiki/Q33756209", "Q33756209")</f>
        <v>0</v>
      </c>
      <c r="G5214" t="s">
        <v>3057</v>
      </c>
      <c r="H5214" t="s">
        <v>7511</v>
      </c>
      <c r="I5214" t="s">
        <v>10602</v>
      </c>
      <c r="J5214" t="s">
        <v>13683</v>
      </c>
      <c r="K5214" t="s">
        <v>18064</v>
      </c>
      <c r="L5214">
        <f>HYPERLINK("https://www2.assemblee-nationale.fr/sycomore/fiche/(num_dept)/3076", "3076")</f>
        <v>0</v>
      </c>
      <c r="M5214">
        <f>HYPERLINK("https://www.senat.fr/senateur-3eme-republique/fougeirol_edouard0132r3.html", "fougeirol_edouard0132r3")</f>
        <v>0</v>
      </c>
      <c r="N5214">
        <f>HYPERLINK("https://www.wikidata.org/wiki/Q3579840", "Q3579840")</f>
        <v>0</v>
      </c>
      <c r="O5214" t="s">
        <v>19991</v>
      </c>
      <c r="P5214" t="s">
        <v>20459</v>
      </c>
      <c r="Q5214" t="s">
        <v>20707</v>
      </c>
      <c r="R5214" t="s">
        <v>21493</v>
      </c>
      <c r="S5214">
        <v>1338</v>
      </c>
    </row>
    <row r="5215" spans="1:19">
      <c r="A5215" t="s">
        <v>26</v>
      </c>
      <c r="B5215" t="s">
        <v>148</v>
      </c>
      <c r="C5215" t="s">
        <v>158</v>
      </c>
      <c r="D5215" t="s">
        <v>287</v>
      </c>
      <c r="E5215" t="s">
        <v>416</v>
      </c>
      <c r="F5215">
        <f>HYPERLINK("https://www.wikidata.org/wiki/Q33756209", "Q33756209")</f>
        <v>0</v>
      </c>
      <c r="G5215" t="s">
        <v>3351</v>
      </c>
      <c r="H5215" t="s">
        <v>7751</v>
      </c>
      <c r="I5215" t="s">
        <v>6495</v>
      </c>
      <c r="J5215" t="s">
        <v>13963</v>
      </c>
      <c r="K5215" t="s">
        <v>18333</v>
      </c>
      <c r="L5215">
        <f>HYPERLINK("https://www2.assemblee-nationale.fr/sycomore/fiche/(num_dept)/4072", "4072")</f>
        <v>0</v>
      </c>
      <c r="N5215">
        <f>HYPERLINK("https://www.wikidata.org/wiki/Q3262379", "Q3262379")</f>
        <v>0</v>
      </c>
      <c r="O5215" t="s">
        <v>20004</v>
      </c>
      <c r="Q5215" t="s">
        <v>20707</v>
      </c>
      <c r="R5215" t="s">
        <v>21493</v>
      </c>
      <c r="S5215">
        <v>1338</v>
      </c>
    </row>
    <row r="5216" spans="1:19">
      <c r="A5216" t="s">
        <v>26</v>
      </c>
      <c r="B5216" t="s">
        <v>148</v>
      </c>
      <c r="C5216" t="s">
        <v>158</v>
      </c>
      <c r="D5216" t="s">
        <v>287</v>
      </c>
      <c r="E5216" t="s">
        <v>416</v>
      </c>
      <c r="F5216">
        <f>HYPERLINK("https://www.wikidata.org/wiki/Q33756209", "Q33756209")</f>
        <v>0</v>
      </c>
      <c r="G5216" t="s">
        <v>3352</v>
      </c>
      <c r="H5216" t="s">
        <v>7752</v>
      </c>
      <c r="I5216" t="s">
        <v>10787</v>
      </c>
      <c r="J5216" t="s">
        <v>13964</v>
      </c>
      <c r="K5216" t="s">
        <v>18334</v>
      </c>
      <c r="L5216">
        <f>HYPERLINK("https://www2.assemblee-nationale.fr/sycomore/fiche/(num_dept)/4101", "4101")</f>
        <v>0</v>
      </c>
      <c r="N5216">
        <f>HYPERLINK("https://www.wikidata.org/wiki/Q16025888", "Q16025888")</f>
        <v>0</v>
      </c>
      <c r="O5216" t="s">
        <v>19995</v>
      </c>
      <c r="Q5216" t="s">
        <v>20707</v>
      </c>
      <c r="R5216" t="s">
        <v>21493</v>
      </c>
      <c r="S5216">
        <v>1338</v>
      </c>
    </row>
    <row r="5217" spans="1:19">
      <c r="A5217" t="s">
        <v>26</v>
      </c>
      <c r="B5217" t="s">
        <v>148</v>
      </c>
      <c r="C5217" t="s">
        <v>158</v>
      </c>
      <c r="D5217" t="s">
        <v>287</v>
      </c>
      <c r="E5217" t="s">
        <v>416</v>
      </c>
      <c r="F5217">
        <f>HYPERLINK("https://www.wikidata.org/wiki/Q33756209", "Q33756209")</f>
        <v>0</v>
      </c>
      <c r="G5217" t="s">
        <v>2617</v>
      </c>
      <c r="H5217" t="s">
        <v>5741</v>
      </c>
      <c r="I5217" t="s">
        <v>9421</v>
      </c>
      <c r="J5217" t="s">
        <v>13260</v>
      </c>
      <c r="K5217" t="s">
        <v>17661</v>
      </c>
      <c r="L5217">
        <f>HYPERLINK("https://www2.assemblee-nationale.fr/sycomore/fiche/(num_dept)/4830", "4830")</f>
        <v>0</v>
      </c>
      <c r="N5217">
        <f>HYPERLINK("https://www.wikidata.org/wiki/Q16026013", "Q16026013")</f>
        <v>0</v>
      </c>
      <c r="O5217" t="s">
        <v>19995</v>
      </c>
      <c r="P5217" t="s">
        <v>20461</v>
      </c>
      <c r="Q5217" t="s">
        <v>20707</v>
      </c>
      <c r="R5217" t="s">
        <v>21493</v>
      </c>
      <c r="S5217">
        <v>1338</v>
      </c>
    </row>
    <row r="5218" spans="1:19">
      <c r="A5218" t="s">
        <v>26</v>
      </c>
      <c r="B5218" t="s">
        <v>148</v>
      </c>
      <c r="C5218" t="s">
        <v>158</v>
      </c>
      <c r="D5218" t="s">
        <v>287</v>
      </c>
      <c r="E5218" t="s">
        <v>416</v>
      </c>
      <c r="F5218">
        <f>HYPERLINK("https://www.wikidata.org/wiki/Q33756209", "Q33756209")</f>
        <v>0</v>
      </c>
      <c r="G5218" t="s">
        <v>2967</v>
      </c>
      <c r="H5218" t="s">
        <v>7435</v>
      </c>
      <c r="I5218" t="s">
        <v>10547</v>
      </c>
      <c r="J5218" t="s">
        <v>13599</v>
      </c>
      <c r="K5218" t="s">
        <v>17985</v>
      </c>
      <c r="L5218">
        <f>HYPERLINK("https://www2.assemblee-nationale.fr/sycomore/fiche/(num_dept)/6228", "6228")</f>
        <v>0</v>
      </c>
      <c r="M5218">
        <f>HYPERLINK("https://www.senat.fr/senateur-3eme-republique/saint_prix_oscar0141r3.html", "saint_prix_oscar0141r3")</f>
        <v>0</v>
      </c>
      <c r="N5218">
        <f>HYPERLINK("https://www.wikidata.org/wiki/Q3357039", "Q3357039")</f>
        <v>0</v>
      </c>
      <c r="O5218" t="s">
        <v>19991</v>
      </c>
      <c r="Q5218" t="s">
        <v>20707</v>
      </c>
      <c r="R5218" t="s">
        <v>21493</v>
      </c>
      <c r="S5218">
        <v>1338</v>
      </c>
    </row>
    <row r="5219" spans="1:19">
      <c r="A5219" t="s">
        <v>26</v>
      </c>
      <c r="B5219" t="s">
        <v>148</v>
      </c>
      <c r="C5219" t="s">
        <v>158</v>
      </c>
      <c r="D5219" t="s">
        <v>287</v>
      </c>
      <c r="E5219" t="s">
        <v>416</v>
      </c>
      <c r="F5219">
        <f>HYPERLINK("https://www.wikidata.org/wiki/Q33756209", "Q33756209")</f>
        <v>0</v>
      </c>
      <c r="G5219" t="s">
        <v>2679</v>
      </c>
      <c r="H5219" t="s">
        <v>7213</v>
      </c>
      <c r="I5219" t="s">
        <v>10360</v>
      </c>
      <c r="J5219" t="s">
        <v>13320</v>
      </c>
      <c r="K5219" t="s">
        <v>17720</v>
      </c>
      <c r="L5219">
        <f>HYPERLINK("https://www2.assemblee-nationale.fr/sycomore/fiche/(num_dept)/6888", "6888")</f>
        <v>0</v>
      </c>
      <c r="N5219">
        <f>HYPERLINK("https://www.wikidata.org/wiki/Q16026519", "Q16026519")</f>
        <v>0</v>
      </c>
      <c r="O5219" t="s">
        <v>19995</v>
      </c>
      <c r="Q5219" t="s">
        <v>20707</v>
      </c>
      <c r="R5219" t="s">
        <v>21493</v>
      </c>
      <c r="S5219">
        <v>1338</v>
      </c>
    </row>
    <row r="5220" spans="1:19">
      <c r="A5220" t="s">
        <v>26</v>
      </c>
      <c r="B5220" t="s">
        <v>148</v>
      </c>
      <c r="C5220" t="s">
        <v>158</v>
      </c>
      <c r="D5220" t="s">
        <v>287</v>
      </c>
      <c r="E5220" t="s">
        <v>416</v>
      </c>
      <c r="F5220">
        <f>HYPERLINK("https://www.wikidata.org/wiki/Q33756209", "Q33756209")</f>
        <v>0</v>
      </c>
      <c r="G5220" t="s">
        <v>2701</v>
      </c>
      <c r="H5220" t="s">
        <v>7233</v>
      </c>
      <c r="I5220" t="s">
        <v>10374</v>
      </c>
      <c r="J5220" t="s">
        <v>13342</v>
      </c>
      <c r="K5220" t="s">
        <v>17742</v>
      </c>
      <c r="L5220">
        <f>HYPERLINK("https://www2.assemblee-nationale.fr/sycomore/fiche/(num_dept)/7471", "7471")</f>
        <v>0</v>
      </c>
      <c r="N5220">
        <f>HYPERLINK("https://www.wikidata.org/wiki/Q16026602", "Q16026602")</f>
        <v>0</v>
      </c>
      <c r="O5220" t="s">
        <v>19991</v>
      </c>
      <c r="P5220" t="s">
        <v>20461</v>
      </c>
      <c r="Q5220" t="s">
        <v>20707</v>
      </c>
      <c r="R5220" t="s">
        <v>21493</v>
      </c>
      <c r="S5220">
        <v>1338</v>
      </c>
    </row>
    <row r="5221" spans="1:19">
      <c r="A5221" t="s">
        <v>26</v>
      </c>
      <c r="B5221" t="s">
        <v>148</v>
      </c>
      <c r="C5221" t="s">
        <v>158</v>
      </c>
      <c r="D5221" t="s">
        <v>287</v>
      </c>
      <c r="E5221" t="s">
        <v>416</v>
      </c>
      <c r="F5221">
        <f>HYPERLINK("https://www.wikidata.org/wiki/Q33756209", "Q33756209")</f>
        <v>0</v>
      </c>
      <c r="G5221" t="s">
        <v>841</v>
      </c>
      <c r="H5221" t="s">
        <v>5598</v>
      </c>
      <c r="I5221" t="s">
        <v>9548</v>
      </c>
      <c r="J5221" t="s">
        <v>11588</v>
      </c>
      <c r="K5221" t="s">
        <v>15990</v>
      </c>
      <c r="L5221">
        <f>HYPERLINK("https://www2.assemblee-nationale.fr/sycomore/fiche/(num_dept)/7591", "7591")</f>
        <v>0</v>
      </c>
      <c r="M5221">
        <f>HYPERLINK("https://www.senat.fr/senateur-3eme-republique/le_herisse_rene0541r3.html", "le_herisse_rene0541r3")</f>
        <v>0</v>
      </c>
      <c r="N5221">
        <f>HYPERLINK("https://www.wikidata.org/wiki/Q3426501", "Q3426501")</f>
        <v>0</v>
      </c>
      <c r="O5221" t="s">
        <v>19998</v>
      </c>
      <c r="Q5221" t="s">
        <v>20707</v>
      </c>
      <c r="R5221" t="s">
        <v>21493</v>
      </c>
      <c r="S5221">
        <v>1338</v>
      </c>
    </row>
    <row r="5222" spans="1:19">
      <c r="A5222" t="s">
        <v>26</v>
      </c>
      <c r="B5222" t="s">
        <v>148</v>
      </c>
      <c r="C5222" t="s">
        <v>158</v>
      </c>
      <c r="D5222" t="s">
        <v>287</v>
      </c>
      <c r="E5222" t="s">
        <v>416</v>
      </c>
      <c r="F5222">
        <f>HYPERLINK("https://www.wikidata.org/wiki/Q33756209", "Q33756209")</f>
        <v>0</v>
      </c>
      <c r="G5222" t="s">
        <v>2710</v>
      </c>
      <c r="H5222" t="s">
        <v>6801</v>
      </c>
      <c r="I5222" t="s">
        <v>6158</v>
      </c>
      <c r="J5222" t="s">
        <v>13351</v>
      </c>
      <c r="K5222" t="s">
        <v>17751</v>
      </c>
      <c r="L5222">
        <f>HYPERLINK("https://www2.assemblee-nationale.fr/sycomore/fiche/(num_dept)/7718", "7718")</f>
        <v>0</v>
      </c>
      <c r="N5222">
        <f>HYPERLINK("https://www.wikidata.org/wiki/Q3092516", "Q3092516")</f>
        <v>0</v>
      </c>
      <c r="O5222" t="s">
        <v>19995</v>
      </c>
      <c r="P5222" t="s">
        <v>20459</v>
      </c>
      <c r="Q5222" t="s">
        <v>20707</v>
      </c>
      <c r="R5222" t="s">
        <v>21493</v>
      </c>
      <c r="S5222">
        <v>1338</v>
      </c>
    </row>
    <row r="5223" spans="1:19">
      <c r="A5223" t="s">
        <v>26</v>
      </c>
      <c r="B5223" t="s">
        <v>148</v>
      </c>
      <c r="C5223" t="s">
        <v>158</v>
      </c>
      <c r="D5223" t="s">
        <v>287</v>
      </c>
      <c r="E5223" t="s">
        <v>416</v>
      </c>
      <c r="F5223">
        <f>HYPERLINK("https://www.wikidata.org/wiki/Q33756209", "Q33756209")</f>
        <v>0</v>
      </c>
      <c r="G5223" t="s">
        <v>2842</v>
      </c>
      <c r="H5223" t="s">
        <v>7336</v>
      </c>
      <c r="I5223" t="s">
        <v>10472</v>
      </c>
      <c r="J5223" t="s">
        <v>13481</v>
      </c>
      <c r="K5223" t="s">
        <v>17870</v>
      </c>
      <c r="L5223">
        <f>HYPERLINK("https://www2.assemblee-nationale.fr/sycomore/fiche/(num_dept)/8165", "8165")</f>
        <v>0</v>
      </c>
      <c r="N5223">
        <f>HYPERLINK("https://www.wikidata.org/wiki/Q16026296", "Q16026296")</f>
        <v>0</v>
      </c>
      <c r="O5223" t="s">
        <v>20004</v>
      </c>
      <c r="P5223" t="s">
        <v>20459</v>
      </c>
      <c r="Q5223" t="s">
        <v>20707</v>
      </c>
      <c r="R5223" t="s">
        <v>21493</v>
      </c>
      <c r="S5223">
        <v>1338</v>
      </c>
    </row>
    <row r="5224" spans="1:19">
      <c r="A5224" t="s">
        <v>26</v>
      </c>
      <c r="B5224" t="s">
        <v>148</v>
      </c>
      <c r="C5224" t="s">
        <v>158</v>
      </c>
      <c r="D5224" t="s">
        <v>287</v>
      </c>
      <c r="E5224" t="s">
        <v>416</v>
      </c>
      <c r="F5224">
        <f>HYPERLINK("https://www.wikidata.org/wiki/Q33756209", "Q33756209")</f>
        <v>0</v>
      </c>
      <c r="G5224" t="s">
        <v>2843</v>
      </c>
      <c r="H5224" t="s">
        <v>7337</v>
      </c>
      <c r="I5224" t="s">
        <v>9868</v>
      </c>
      <c r="J5224" t="s">
        <v>13482</v>
      </c>
      <c r="K5224" t="s">
        <v>17871</v>
      </c>
      <c r="L5224">
        <f>HYPERLINK("https://www2.assemblee-nationale.fr/sycomore/fiche/(num_dept)/8166", "8166")</f>
        <v>0</v>
      </c>
      <c r="N5224">
        <f>HYPERLINK("https://www.wikidata.org/wiki/Q15973896", "Q15973896")</f>
        <v>0</v>
      </c>
      <c r="O5224" t="s">
        <v>20004</v>
      </c>
      <c r="P5224" t="s">
        <v>20463</v>
      </c>
      <c r="Q5224" t="s">
        <v>20707</v>
      </c>
      <c r="R5224" t="s">
        <v>21493</v>
      </c>
      <c r="S5224">
        <v>1338</v>
      </c>
    </row>
    <row r="5225" spans="1:19">
      <c r="A5225" t="s">
        <v>26</v>
      </c>
      <c r="B5225" t="s">
        <v>148</v>
      </c>
      <c r="C5225" t="s">
        <v>158</v>
      </c>
      <c r="D5225" t="s">
        <v>287</v>
      </c>
      <c r="E5225" t="s">
        <v>416</v>
      </c>
      <c r="F5225">
        <f>HYPERLINK("https://www.wikidata.org/wiki/Q33756209", "Q33756209")</f>
        <v>0</v>
      </c>
      <c r="G5225" t="s">
        <v>3353</v>
      </c>
      <c r="H5225" t="s">
        <v>7753</v>
      </c>
      <c r="I5225" t="s">
        <v>10673</v>
      </c>
      <c r="J5225" t="s">
        <v>13965</v>
      </c>
      <c r="K5225" t="s">
        <v>18335</v>
      </c>
      <c r="L5225">
        <f>HYPERLINK("https://www2.assemblee-nationale.fr/sycomore/fiche/(num_dept)/6925", "6925")</f>
        <v>0</v>
      </c>
      <c r="N5225">
        <f>HYPERLINK("https://www.wikidata.org/wiki/Q3372240", "Q3372240")</f>
        <v>0</v>
      </c>
      <c r="O5225" t="s">
        <v>19955</v>
      </c>
      <c r="Q5225" t="s">
        <v>20708</v>
      </c>
      <c r="R5225" t="s">
        <v>21493</v>
      </c>
      <c r="S5225">
        <v>1324</v>
      </c>
    </row>
    <row r="5226" spans="1:19">
      <c r="A5226" t="s">
        <v>26</v>
      </c>
      <c r="B5226" t="s">
        <v>148</v>
      </c>
      <c r="C5226" t="s">
        <v>158</v>
      </c>
      <c r="D5226" t="s">
        <v>287</v>
      </c>
      <c r="E5226" t="s">
        <v>416</v>
      </c>
      <c r="F5226">
        <f>HYPERLINK("https://www.wikidata.org/wiki/Q33756209", "Q33756209")</f>
        <v>0</v>
      </c>
      <c r="G5226" t="s">
        <v>3354</v>
      </c>
      <c r="H5226" t="s">
        <v>7261</v>
      </c>
      <c r="I5226" t="s">
        <v>10788</v>
      </c>
      <c r="J5226" t="s">
        <v>13966</v>
      </c>
      <c r="K5226" t="s">
        <v>18336</v>
      </c>
      <c r="L5226">
        <f>HYPERLINK("https://www2.assemblee-nationale.fr/sycomore/fiche/(num_dept)/4813", "4813")</f>
        <v>0</v>
      </c>
      <c r="N5226">
        <f>HYPERLINK("https://www.wikidata.org/wiki/Q3588627", "Q3588627")</f>
        <v>0</v>
      </c>
      <c r="O5226" t="s">
        <v>19961</v>
      </c>
      <c r="P5226" t="s">
        <v>20460</v>
      </c>
      <c r="Q5226" t="s">
        <v>20709</v>
      </c>
      <c r="R5226" t="s">
        <v>416</v>
      </c>
      <c r="S5226">
        <v>1338</v>
      </c>
    </row>
    <row r="5227" spans="1:19">
      <c r="A5227" t="s">
        <v>26</v>
      </c>
      <c r="B5227" t="s">
        <v>148</v>
      </c>
      <c r="C5227" t="s">
        <v>158</v>
      </c>
      <c r="D5227" t="s">
        <v>287</v>
      </c>
      <c r="E5227" t="s">
        <v>416</v>
      </c>
      <c r="F5227">
        <f>HYPERLINK("https://www.wikidata.org/wiki/Q33756209", "Q33756209")</f>
        <v>0</v>
      </c>
      <c r="G5227" t="s">
        <v>3355</v>
      </c>
      <c r="H5227" t="s">
        <v>6303</v>
      </c>
      <c r="I5227" t="s">
        <v>10789</v>
      </c>
      <c r="J5227" t="s">
        <v>13967</v>
      </c>
      <c r="K5227" t="s">
        <v>18337</v>
      </c>
      <c r="L5227">
        <f>HYPERLINK("https://www2.assemblee-nationale.fr/sycomore/fiche/(num_dept)/10795", "10795")</f>
        <v>0</v>
      </c>
      <c r="N5227">
        <f>HYPERLINK("https://www.wikidata.org/wiki/Q16026418", "Q16026418")</f>
        <v>0</v>
      </c>
      <c r="O5227" t="s">
        <v>20021</v>
      </c>
      <c r="Q5227" t="s">
        <v>20710</v>
      </c>
      <c r="R5227" t="s">
        <v>21493</v>
      </c>
      <c r="S5227">
        <v>1282</v>
      </c>
    </row>
    <row r="5228" spans="1:19">
      <c r="A5228" t="s">
        <v>26</v>
      </c>
      <c r="B5228" t="s">
        <v>148</v>
      </c>
      <c r="C5228" t="s">
        <v>158</v>
      </c>
      <c r="D5228" t="s">
        <v>287</v>
      </c>
      <c r="E5228" t="s">
        <v>416</v>
      </c>
      <c r="F5228">
        <f>HYPERLINK("https://www.wikidata.org/wiki/Q33756209", "Q33756209")</f>
        <v>0</v>
      </c>
      <c r="G5228" t="s">
        <v>3356</v>
      </c>
      <c r="H5228" t="s">
        <v>7754</v>
      </c>
      <c r="I5228" t="s">
        <v>7911</v>
      </c>
      <c r="J5228" t="s">
        <v>13968</v>
      </c>
      <c r="K5228" t="s">
        <v>18338</v>
      </c>
      <c r="L5228">
        <f>HYPERLINK("https://www2.assemblee-nationale.fr/sycomore/fiche/(num_dept)/3746", "3746")</f>
        <v>0</v>
      </c>
      <c r="N5228">
        <f>HYPERLINK("https://www.wikidata.org/wiki/Q956253", "Q956253")</f>
        <v>0</v>
      </c>
      <c r="O5228" t="s">
        <v>20015</v>
      </c>
      <c r="Q5228" t="s">
        <v>20711</v>
      </c>
      <c r="R5228" t="s">
        <v>21493</v>
      </c>
      <c r="S5228">
        <v>1275</v>
      </c>
    </row>
    <row r="5229" spans="1:19">
      <c r="A5229" t="s">
        <v>26</v>
      </c>
      <c r="B5229" t="s">
        <v>148</v>
      </c>
      <c r="C5229" t="s">
        <v>158</v>
      </c>
      <c r="D5229" t="s">
        <v>287</v>
      </c>
      <c r="E5229" t="s">
        <v>416</v>
      </c>
      <c r="F5229">
        <f>HYPERLINK("https://www.wikidata.org/wiki/Q33756209", "Q33756209")</f>
        <v>0</v>
      </c>
      <c r="G5229" t="s">
        <v>3357</v>
      </c>
      <c r="H5229" t="s">
        <v>7755</v>
      </c>
      <c r="I5229" t="s">
        <v>10548</v>
      </c>
      <c r="J5229" t="s">
        <v>13969</v>
      </c>
      <c r="K5229" t="s">
        <v>18339</v>
      </c>
      <c r="L5229">
        <f>HYPERLINK("https://www2.assemblee-nationale.fr/sycomore/fiche/(num_dept)/18089", "18089")</f>
        <v>0</v>
      </c>
      <c r="N5229">
        <f>HYPERLINK("https://www.wikidata.org/wiki/Q21169591", "Q21169591")</f>
        <v>0</v>
      </c>
      <c r="O5229" t="s">
        <v>19969</v>
      </c>
      <c r="P5229" t="s">
        <v>20401</v>
      </c>
      <c r="Q5229" t="s">
        <v>20712</v>
      </c>
      <c r="R5229" t="s">
        <v>21493</v>
      </c>
      <c r="S5229">
        <v>1261</v>
      </c>
    </row>
    <row r="5230" spans="1:19">
      <c r="A5230" t="s">
        <v>26</v>
      </c>
      <c r="B5230" t="s">
        <v>148</v>
      </c>
      <c r="C5230" t="s">
        <v>158</v>
      </c>
      <c r="D5230" t="s">
        <v>287</v>
      </c>
      <c r="E5230" t="s">
        <v>416</v>
      </c>
      <c r="F5230">
        <f>HYPERLINK("https://www.wikidata.org/wiki/Q33756209", "Q33756209")</f>
        <v>0</v>
      </c>
      <c r="G5230" t="s">
        <v>3358</v>
      </c>
      <c r="H5230" t="s">
        <v>7756</v>
      </c>
      <c r="I5230" t="s">
        <v>10790</v>
      </c>
      <c r="J5230" t="s">
        <v>13970</v>
      </c>
      <c r="K5230" t="s">
        <v>15668</v>
      </c>
      <c r="L5230">
        <f>HYPERLINK("https://www2.assemblee-nationale.fr/sycomore/fiche/(num_dept)/1471", "1471")</f>
        <v>0</v>
      </c>
      <c r="N5230">
        <f>HYPERLINK("https://www.wikidata.org/wiki/Q3370815", "Q3370815")</f>
        <v>0</v>
      </c>
      <c r="O5230" t="s">
        <v>19998</v>
      </c>
      <c r="Q5230" t="s">
        <v>20713</v>
      </c>
      <c r="R5230" t="s">
        <v>21493</v>
      </c>
      <c r="S5230">
        <v>1240</v>
      </c>
    </row>
    <row r="5231" spans="1:19">
      <c r="A5231" t="s">
        <v>26</v>
      </c>
      <c r="B5231" t="s">
        <v>148</v>
      </c>
      <c r="C5231" t="s">
        <v>158</v>
      </c>
      <c r="D5231" t="s">
        <v>287</v>
      </c>
      <c r="E5231" t="s">
        <v>416</v>
      </c>
      <c r="F5231">
        <f>HYPERLINK("https://www.wikidata.org/wiki/Q33756209", "Q33756209")</f>
        <v>0</v>
      </c>
      <c r="G5231" t="s">
        <v>3359</v>
      </c>
      <c r="H5231" t="s">
        <v>7757</v>
      </c>
      <c r="I5231" t="s">
        <v>10791</v>
      </c>
      <c r="J5231" t="s">
        <v>13971</v>
      </c>
      <c r="K5231" t="s">
        <v>18340</v>
      </c>
      <c r="L5231">
        <f>HYPERLINK("https://www2.assemblee-nationale.fr/sycomore/fiche/(num_dept)/6767", "6767")</f>
        <v>0</v>
      </c>
      <c r="N5231">
        <f>HYPERLINK("https://www.wikidata.org/wiki/Q16026427", "Q16026427")</f>
        <v>0</v>
      </c>
      <c r="O5231" t="s">
        <v>20015</v>
      </c>
      <c r="Q5231" t="s">
        <v>20714</v>
      </c>
      <c r="R5231" t="s">
        <v>21493</v>
      </c>
      <c r="S5231">
        <v>1058</v>
      </c>
    </row>
    <row r="5232" spans="1:19">
      <c r="A5232" t="s">
        <v>26</v>
      </c>
      <c r="B5232" t="s">
        <v>148</v>
      </c>
      <c r="C5232" t="s">
        <v>158</v>
      </c>
      <c r="D5232" t="s">
        <v>287</v>
      </c>
      <c r="E5232" t="s">
        <v>416</v>
      </c>
      <c r="F5232">
        <f>HYPERLINK("https://www.wikidata.org/wiki/Q33756209", "Q33756209")</f>
        <v>0</v>
      </c>
      <c r="G5232" t="s">
        <v>2865</v>
      </c>
      <c r="H5232" t="s">
        <v>7354</v>
      </c>
      <c r="I5232" t="s">
        <v>10486</v>
      </c>
      <c r="J5232" t="s">
        <v>13504</v>
      </c>
      <c r="K5232" t="s">
        <v>17891</v>
      </c>
      <c r="L5232">
        <f>HYPERLINK("https://www2.assemblee-nationale.fr/sycomore/fiche/(num_dept)/8193", "8193")</f>
        <v>0</v>
      </c>
      <c r="N5232">
        <f>HYPERLINK("https://www.wikidata.org/wiki/Q3164470", "Q3164470")</f>
        <v>0</v>
      </c>
      <c r="O5232" t="s">
        <v>20013</v>
      </c>
      <c r="P5232" t="s">
        <v>20461</v>
      </c>
      <c r="Q5232" t="s">
        <v>20714</v>
      </c>
      <c r="R5232" t="s">
        <v>21493</v>
      </c>
      <c r="S5232">
        <v>1058</v>
      </c>
    </row>
    <row r="5233" spans="1:19">
      <c r="A5233" t="s">
        <v>26</v>
      </c>
      <c r="B5233" t="s">
        <v>148</v>
      </c>
      <c r="C5233" t="s">
        <v>158</v>
      </c>
      <c r="D5233" t="s">
        <v>287</v>
      </c>
      <c r="E5233" t="s">
        <v>416</v>
      </c>
      <c r="F5233">
        <f>HYPERLINK("https://www.wikidata.org/wiki/Q33756209", "Q33756209")</f>
        <v>0</v>
      </c>
      <c r="G5233" t="s">
        <v>3360</v>
      </c>
      <c r="H5233" t="s">
        <v>6817</v>
      </c>
      <c r="I5233" t="s">
        <v>9407</v>
      </c>
      <c r="J5233" t="s">
        <v>13972</v>
      </c>
      <c r="K5233" t="s">
        <v>18341</v>
      </c>
      <c r="L5233">
        <f>HYPERLINK("https://www2.assemblee-nationale.fr/sycomore/fiche/(num_dept)/3585", "3585")</f>
        <v>0</v>
      </c>
      <c r="M5233">
        <f>HYPERLINK("https://www.senat.fr/senateur-3eme-republique/grimaud_joseph0083r3.html", "grimaud_joseph0083r3")</f>
        <v>0</v>
      </c>
      <c r="N5233">
        <f>HYPERLINK("https://www.wikidata.org/wiki/Q3185036", "Q3185036")</f>
        <v>0</v>
      </c>
      <c r="O5233" t="s">
        <v>19981</v>
      </c>
      <c r="Q5233" t="s">
        <v>15585</v>
      </c>
      <c r="R5233" t="s">
        <v>21493</v>
      </c>
      <c r="S5233">
        <v>1051</v>
      </c>
    </row>
    <row r="5234" spans="1:19">
      <c r="A5234" t="s">
        <v>26</v>
      </c>
      <c r="B5234" t="s">
        <v>148</v>
      </c>
      <c r="C5234" t="s">
        <v>158</v>
      </c>
      <c r="D5234" t="s">
        <v>287</v>
      </c>
      <c r="E5234" t="s">
        <v>416</v>
      </c>
      <c r="F5234">
        <f>HYPERLINK("https://www.wikidata.org/wiki/Q33756209", "Q33756209")</f>
        <v>0</v>
      </c>
      <c r="G5234" t="s">
        <v>2674</v>
      </c>
      <c r="H5234" t="s">
        <v>7209</v>
      </c>
      <c r="I5234" t="s">
        <v>10355</v>
      </c>
      <c r="J5234" t="s">
        <v>13315</v>
      </c>
      <c r="K5234" t="s">
        <v>17715</v>
      </c>
      <c r="L5234">
        <f>HYPERLINK("https://www2.assemblee-nationale.fr/sycomore/fiche/(num_dept)/6782", "6782")</f>
        <v>0</v>
      </c>
      <c r="M5234">
        <f>HYPERLINK("https://www.senat.fr/senateur-3eme-republique/riotteau_emile1031r3.html", "riotteau_emile1031r3")</f>
        <v>0</v>
      </c>
      <c r="N5234">
        <f>HYPERLINK("https://www.wikidata.org/wiki/Q3588719", "Q3588719")</f>
        <v>0</v>
      </c>
      <c r="O5234" t="s">
        <v>19985</v>
      </c>
      <c r="Q5234" t="s">
        <v>20715</v>
      </c>
      <c r="R5234" t="s">
        <v>21493</v>
      </c>
      <c r="S5234">
        <v>1017</v>
      </c>
    </row>
    <row r="5235" spans="1:19">
      <c r="A5235" t="s">
        <v>26</v>
      </c>
      <c r="B5235" t="s">
        <v>148</v>
      </c>
      <c r="C5235" t="s">
        <v>158</v>
      </c>
      <c r="D5235" t="s">
        <v>287</v>
      </c>
      <c r="E5235" t="s">
        <v>416</v>
      </c>
      <c r="F5235">
        <f>HYPERLINK("https://www.wikidata.org/wiki/Q33756209", "Q33756209")</f>
        <v>0</v>
      </c>
      <c r="G5235" t="s">
        <v>3361</v>
      </c>
      <c r="H5235" t="s">
        <v>7758</v>
      </c>
      <c r="I5235" t="s">
        <v>9476</v>
      </c>
      <c r="J5235" t="s">
        <v>13973</v>
      </c>
      <c r="K5235" t="s">
        <v>17720</v>
      </c>
      <c r="L5235">
        <f>HYPERLINK("https://www2.assemblee-nationale.fr/sycomore/fiche/(num_dept)/4252", "4252")</f>
        <v>0</v>
      </c>
      <c r="N5235">
        <f>HYPERLINK("https://www.wikidata.org/wiki/Q8339088", "Q8339088")</f>
        <v>0</v>
      </c>
      <c r="O5235" t="s">
        <v>20034</v>
      </c>
      <c r="Q5235" t="s">
        <v>20716</v>
      </c>
      <c r="R5235" t="s">
        <v>21493</v>
      </c>
      <c r="S5235">
        <v>995</v>
      </c>
    </row>
    <row r="5236" spans="1:19">
      <c r="A5236" t="s">
        <v>26</v>
      </c>
      <c r="B5236" t="s">
        <v>148</v>
      </c>
      <c r="C5236" t="s">
        <v>158</v>
      </c>
      <c r="D5236" t="s">
        <v>287</v>
      </c>
      <c r="E5236" t="s">
        <v>416</v>
      </c>
      <c r="F5236">
        <f>HYPERLINK("https://www.wikidata.org/wiki/Q33756209", "Q33756209")</f>
        <v>0</v>
      </c>
      <c r="G5236" t="s">
        <v>2647</v>
      </c>
      <c r="H5236" t="s">
        <v>7189</v>
      </c>
      <c r="I5236" t="s">
        <v>10336</v>
      </c>
      <c r="J5236" t="s">
        <v>13289</v>
      </c>
      <c r="K5236" t="s">
        <v>17688</v>
      </c>
      <c r="L5236">
        <f>HYPERLINK("https://www2.assemblee-nationale.fr/sycomore/fiche/(num_dept)/6043", "6043")</f>
        <v>0</v>
      </c>
      <c r="N5236">
        <f>HYPERLINK("https://www.wikidata.org/wiki/Q16026437", "Q16026437")</f>
        <v>0</v>
      </c>
      <c r="O5236" t="s">
        <v>19967</v>
      </c>
      <c r="Q5236" t="s">
        <v>17765</v>
      </c>
      <c r="R5236" t="s">
        <v>21493</v>
      </c>
      <c r="S5236">
        <v>960</v>
      </c>
    </row>
    <row r="5237" spans="1:19">
      <c r="A5237" t="s">
        <v>26</v>
      </c>
      <c r="B5237" t="s">
        <v>148</v>
      </c>
      <c r="C5237" t="s">
        <v>158</v>
      </c>
      <c r="D5237" t="s">
        <v>287</v>
      </c>
      <c r="E5237" t="s">
        <v>416</v>
      </c>
      <c r="F5237">
        <f>HYPERLINK("https://www.wikidata.org/wiki/Q33756209", "Q33756209")</f>
        <v>0</v>
      </c>
      <c r="G5237" t="s">
        <v>2698</v>
      </c>
      <c r="H5237" t="s">
        <v>7230</v>
      </c>
      <c r="I5237" t="s">
        <v>6495</v>
      </c>
      <c r="J5237" t="s">
        <v>13339</v>
      </c>
      <c r="K5237" t="s">
        <v>17739</v>
      </c>
      <c r="L5237">
        <f>HYPERLINK("https://www2.assemblee-nationale.fr/sycomore/fiche/(num_dept)/7463", "7463")</f>
        <v>0</v>
      </c>
      <c r="M5237">
        <f>HYPERLINK("https://www.senat.fr/senateur-3eme-republique/vignancour_louis1056r3.html", "vignancour_louis1056r3")</f>
        <v>0</v>
      </c>
      <c r="N5237">
        <f>HYPERLINK("https://www.wikidata.org/wiki/Q3263285", "Q3263285")</f>
        <v>0</v>
      </c>
      <c r="O5237" t="s">
        <v>19970</v>
      </c>
      <c r="Q5237" t="s">
        <v>17765</v>
      </c>
      <c r="R5237" t="s">
        <v>21493</v>
      </c>
      <c r="S5237">
        <v>960</v>
      </c>
    </row>
    <row r="5238" spans="1:19">
      <c r="A5238" t="s">
        <v>26</v>
      </c>
      <c r="B5238" t="s">
        <v>148</v>
      </c>
      <c r="C5238" t="s">
        <v>158</v>
      </c>
      <c r="D5238" t="s">
        <v>287</v>
      </c>
      <c r="E5238" t="s">
        <v>416</v>
      </c>
      <c r="F5238">
        <f>HYPERLINK("https://www.wikidata.org/wiki/Q33756209", "Q33756209")</f>
        <v>0</v>
      </c>
      <c r="G5238" t="s">
        <v>3362</v>
      </c>
      <c r="H5238" t="s">
        <v>7759</v>
      </c>
      <c r="I5238" t="s">
        <v>9483</v>
      </c>
      <c r="J5238" t="s">
        <v>13974</v>
      </c>
      <c r="K5238" t="s">
        <v>18342</v>
      </c>
      <c r="L5238">
        <f>HYPERLINK("https://www2.assemblee-nationale.fr/sycomore/fiche/(num_dept)/5287", "5287")</f>
        <v>0</v>
      </c>
      <c r="M5238">
        <f>HYPERLINK("https://www.senat.fr/senateur-3eme-republique/milliard_victor0760r3.html", "milliard_victor0760r3")</f>
        <v>0</v>
      </c>
      <c r="N5238">
        <f>HYPERLINK("https://www.wikidata.org/wiki/Q3557460", "Q3557460")</f>
        <v>0</v>
      </c>
      <c r="O5238" t="s">
        <v>19992</v>
      </c>
      <c r="Q5238" t="s">
        <v>20717</v>
      </c>
      <c r="R5238" t="s">
        <v>21493</v>
      </c>
      <c r="S5238">
        <v>911</v>
      </c>
    </row>
    <row r="5239" spans="1:19">
      <c r="A5239" t="s">
        <v>26</v>
      </c>
      <c r="B5239" t="s">
        <v>148</v>
      </c>
      <c r="C5239" t="s">
        <v>158</v>
      </c>
      <c r="D5239" t="s">
        <v>287</v>
      </c>
      <c r="E5239" t="s">
        <v>416</v>
      </c>
      <c r="F5239">
        <f>HYPERLINK("https://www.wikidata.org/wiki/Q33756209", "Q33756209")</f>
        <v>0</v>
      </c>
      <c r="G5239" t="s">
        <v>3363</v>
      </c>
      <c r="H5239" t="s">
        <v>7760</v>
      </c>
      <c r="I5239" t="s">
        <v>10792</v>
      </c>
      <c r="J5239" t="s">
        <v>13975</v>
      </c>
      <c r="K5239" t="s">
        <v>18343</v>
      </c>
      <c r="L5239">
        <f>HYPERLINK("https://www2.assemblee-nationale.fr/sycomore/fiche/(num_dept)/1393", "1393")</f>
        <v>0</v>
      </c>
      <c r="N5239">
        <f>HYPERLINK("https://www.wikidata.org/wiki/Q15974106", "Q15974106")</f>
        <v>0</v>
      </c>
      <c r="O5239" t="s">
        <v>20016</v>
      </c>
      <c r="P5239" t="s">
        <v>20456</v>
      </c>
      <c r="Q5239" t="s">
        <v>20718</v>
      </c>
      <c r="R5239" t="s">
        <v>21493</v>
      </c>
      <c r="S5239">
        <v>896</v>
      </c>
    </row>
    <row r="5240" spans="1:19">
      <c r="A5240" t="s">
        <v>26</v>
      </c>
      <c r="B5240" t="s">
        <v>148</v>
      </c>
      <c r="C5240" t="s">
        <v>158</v>
      </c>
      <c r="D5240" t="s">
        <v>287</v>
      </c>
      <c r="E5240" t="s">
        <v>416</v>
      </c>
      <c r="F5240">
        <f>HYPERLINK("https://www.wikidata.org/wiki/Q33756209", "Q33756209")</f>
        <v>0</v>
      </c>
      <c r="G5240" t="s">
        <v>3364</v>
      </c>
      <c r="H5240" t="s">
        <v>7761</v>
      </c>
      <c r="I5240" t="s">
        <v>9958</v>
      </c>
      <c r="J5240" t="s">
        <v>13976</v>
      </c>
      <c r="K5240" t="s">
        <v>18344</v>
      </c>
      <c r="L5240">
        <f>HYPERLINK("https://www2.assemblee-nationale.fr/sycomore/fiche/(num_dept)/2554", "2554")</f>
        <v>0</v>
      </c>
      <c r="N5240">
        <f>HYPERLINK("https://www.wikidata.org/wiki/Q16025605", "Q16025605")</f>
        <v>0</v>
      </c>
      <c r="O5240" t="s">
        <v>19997</v>
      </c>
      <c r="Q5240" t="s">
        <v>20719</v>
      </c>
      <c r="R5240" t="s">
        <v>21493</v>
      </c>
      <c r="S5240">
        <v>883</v>
      </c>
    </row>
    <row r="5241" spans="1:19">
      <c r="A5241" t="s">
        <v>26</v>
      </c>
      <c r="B5241" t="s">
        <v>148</v>
      </c>
      <c r="C5241" t="s">
        <v>158</v>
      </c>
      <c r="D5241" t="s">
        <v>287</v>
      </c>
      <c r="E5241" t="s">
        <v>416</v>
      </c>
      <c r="F5241">
        <f>HYPERLINK("https://www.wikidata.org/wiki/Q33756209", "Q33756209")</f>
        <v>0</v>
      </c>
      <c r="G5241" t="s">
        <v>3365</v>
      </c>
      <c r="H5241" t="s">
        <v>7762</v>
      </c>
      <c r="I5241" t="s">
        <v>9421</v>
      </c>
      <c r="J5241" t="s">
        <v>13977</v>
      </c>
      <c r="K5241" t="s">
        <v>18345</v>
      </c>
      <c r="L5241">
        <f>HYPERLINK("https://www2.assemblee-nationale.fr/sycomore/fiche/(num_dept)/5223", "5223")</f>
        <v>0</v>
      </c>
      <c r="N5241">
        <f>HYPERLINK("https://www.wikidata.org/wiki/Q3121269", "Q3121269")</f>
        <v>0</v>
      </c>
      <c r="O5241" t="s">
        <v>19969</v>
      </c>
      <c r="P5241" t="s">
        <v>20401</v>
      </c>
      <c r="Q5241" t="s">
        <v>19354</v>
      </c>
      <c r="R5241" t="s">
        <v>21493</v>
      </c>
      <c r="S5241">
        <v>876</v>
      </c>
    </row>
    <row r="5242" spans="1:19">
      <c r="A5242" t="s">
        <v>26</v>
      </c>
      <c r="B5242" t="s">
        <v>148</v>
      </c>
      <c r="C5242" t="s">
        <v>158</v>
      </c>
      <c r="D5242" t="s">
        <v>287</v>
      </c>
      <c r="E5242" t="s">
        <v>416</v>
      </c>
      <c r="F5242">
        <f>HYPERLINK("https://www.wikidata.org/wiki/Q33756209", "Q33756209")</f>
        <v>0</v>
      </c>
      <c r="G5242" t="s">
        <v>3366</v>
      </c>
      <c r="H5242" t="s">
        <v>7763</v>
      </c>
      <c r="I5242" t="s">
        <v>10793</v>
      </c>
      <c r="J5242" t="s">
        <v>13978</v>
      </c>
      <c r="K5242" t="s">
        <v>18346</v>
      </c>
      <c r="L5242">
        <f>HYPERLINK("https://www2.assemblee-nationale.fr/sycomore/fiche/(num_dept)/7474", "7474")</f>
        <v>0</v>
      </c>
      <c r="N5242">
        <f>HYPERLINK("https://www.wikidata.org/wiki/Q3083574", "Q3083574")</f>
        <v>0</v>
      </c>
      <c r="O5242" t="s">
        <v>20006</v>
      </c>
      <c r="Q5242" t="s">
        <v>20720</v>
      </c>
      <c r="R5242" t="s">
        <v>18346</v>
      </c>
      <c r="S5242">
        <v>272</v>
      </c>
    </row>
    <row r="5243" spans="1:19">
      <c r="A5243" t="s">
        <v>26</v>
      </c>
      <c r="B5243" t="s">
        <v>148</v>
      </c>
      <c r="C5243" t="s">
        <v>158</v>
      </c>
      <c r="D5243" t="s">
        <v>287</v>
      </c>
      <c r="E5243" t="s">
        <v>416</v>
      </c>
      <c r="F5243">
        <f>HYPERLINK("https://www.wikidata.org/wiki/Q33756209", "Q33756209")</f>
        <v>0</v>
      </c>
      <c r="G5243" t="s">
        <v>3367</v>
      </c>
      <c r="H5243" t="s">
        <v>7764</v>
      </c>
      <c r="I5243" t="s">
        <v>10794</v>
      </c>
      <c r="J5243" t="s">
        <v>13979</v>
      </c>
      <c r="K5243" t="s">
        <v>18347</v>
      </c>
      <c r="L5243">
        <f>HYPERLINK("https://www2.assemblee-nationale.fr/sycomore/fiche/(num_dept)/10599", "10599")</f>
        <v>0</v>
      </c>
      <c r="N5243">
        <f>HYPERLINK("https://www.wikidata.org/wiki/Q16026619", "Q16026619")</f>
        <v>0</v>
      </c>
      <c r="O5243" t="s">
        <v>20022</v>
      </c>
      <c r="P5243" t="s">
        <v>20401</v>
      </c>
      <c r="Q5243" t="s">
        <v>19272</v>
      </c>
      <c r="R5243" t="s">
        <v>21493</v>
      </c>
      <c r="S5243">
        <v>855</v>
      </c>
    </row>
    <row r="5244" spans="1:19">
      <c r="A5244" t="s">
        <v>26</v>
      </c>
      <c r="B5244" t="s">
        <v>148</v>
      </c>
      <c r="C5244" t="s">
        <v>158</v>
      </c>
      <c r="D5244" t="s">
        <v>287</v>
      </c>
      <c r="E5244" t="s">
        <v>416</v>
      </c>
      <c r="F5244">
        <f>HYPERLINK("https://www.wikidata.org/wiki/Q33756209", "Q33756209")</f>
        <v>0</v>
      </c>
      <c r="G5244" t="s">
        <v>3368</v>
      </c>
      <c r="H5244" t="s">
        <v>7765</v>
      </c>
      <c r="I5244" t="s">
        <v>10795</v>
      </c>
      <c r="J5244" t="s">
        <v>13980</v>
      </c>
      <c r="K5244" t="s">
        <v>18348</v>
      </c>
      <c r="L5244">
        <f>HYPERLINK("https://www2.assemblee-nationale.fr/sycomore/fiche/(num_dept)/4353", "4353")</f>
        <v>0</v>
      </c>
      <c r="N5244">
        <f>HYPERLINK("https://www.wikidata.org/wiki/Q7120698", "Q7120698")</f>
        <v>0</v>
      </c>
      <c r="O5244" t="s">
        <v>20023</v>
      </c>
      <c r="P5244" t="s">
        <v>20460</v>
      </c>
      <c r="Q5244" t="s">
        <v>20721</v>
      </c>
      <c r="R5244" t="s">
        <v>21493</v>
      </c>
      <c r="S5244">
        <v>820</v>
      </c>
    </row>
    <row r="5245" spans="1:19">
      <c r="A5245" t="s">
        <v>26</v>
      </c>
      <c r="B5245" t="s">
        <v>148</v>
      </c>
      <c r="C5245" t="s">
        <v>158</v>
      </c>
      <c r="D5245" t="s">
        <v>287</v>
      </c>
      <c r="E5245" t="s">
        <v>416</v>
      </c>
      <c r="F5245">
        <f>HYPERLINK("https://www.wikidata.org/wiki/Q33756209", "Q33756209")</f>
        <v>0</v>
      </c>
      <c r="G5245" t="s">
        <v>3369</v>
      </c>
      <c r="H5245" t="s">
        <v>7766</v>
      </c>
      <c r="I5245" t="s">
        <v>9692</v>
      </c>
      <c r="J5245" t="s">
        <v>13981</v>
      </c>
      <c r="K5245" t="s">
        <v>18349</v>
      </c>
      <c r="L5245">
        <f>HYPERLINK("https://www2.assemblee-nationale.fr/sycomore/fiche/(num_dept)/5994", "5994")</f>
        <v>0</v>
      </c>
      <c r="M5245">
        <f>HYPERLINK("https://www.senat.fr/senateur-3eme-republique/poincare_raymond1024r3.html", "poincare_raymond1024r3")</f>
        <v>0</v>
      </c>
      <c r="N5245">
        <f>HYPERLINK("https://www.wikidata.org/wiki/Q191974", "Q191974")</f>
        <v>0</v>
      </c>
      <c r="O5245" t="s">
        <v>20030</v>
      </c>
      <c r="Q5245" t="s">
        <v>20722</v>
      </c>
      <c r="R5245" t="s">
        <v>21493</v>
      </c>
      <c r="S5245">
        <v>806</v>
      </c>
    </row>
    <row r="5246" spans="1:19">
      <c r="A5246" t="s">
        <v>26</v>
      </c>
      <c r="B5246" t="s">
        <v>148</v>
      </c>
      <c r="C5246" t="s">
        <v>158</v>
      </c>
      <c r="D5246" t="s">
        <v>287</v>
      </c>
      <c r="E5246" t="s">
        <v>416</v>
      </c>
      <c r="F5246">
        <f>HYPERLINK("https://www.wikidata.org/wiki/Q33756209", "Q33756209")</f>
        <v>0</v>
      </c>
      <c r="G5246" t="s">
        <v>3370</v>
      </c>
      <c r="H5246" t="s">
        <v>6472</v>
      </c>
      <c r="I5246" t="s">
        <v>10037</v>
      </c>
      <c r="J5246" t="s">
        <v>13982</v>
      </c>
      <c r="K5246" t="s">
        <v>18350</v>
      </c>
      <c r="L5246">
        <f>HYPERLINK("https://www2.assemblee-nationale.fr/sycomore/fiche/(num_dept)/3472", "3472")</f>
        <v>0</v>
      </c>
      <c r="M5246">
        <f>HYPERLINK("https://www.senat.fr/senateur-3eme-republique/goirand_leopold1625r3.html", "goirand_leopold1625r3")</f>
        <v>0</v>
      </c>
      <c r="N5246">
        <f>HYPERLINK("https://www.wikidata.org/wiki/Q3271812", "Q3271812")</f>
        <v>0</v>
      </c>
      <c r="O5246" t="s">
        <v>20021</v>
      </c>
      <c r="Q5246" t="s">
        <v>12558</v>
      </c>
      <c r="R5246" t="s">
        <v>21493</v>
      </c>
      <c r="S5246">
        <v>748</v>
      </c>
    </row>
    <row r="5247" spans="1:19">
      <c r="A5247" t="s">
        <v>26</v>
      </c>
      <c r="B5247" t="s">
        <v>148</v>
      </c>
      <c r="C5247" t="s">
        <v>158</v>
      </c>
      <c r="D5247" t="s">
        <v>287</v>
      </c>
      <c r="E5247" t="s">
        <v>416</v>
      </c>
      <c r="F5247">
        <f>HYPERLINK("https://www.wikidata.org/wiki/Q33756209", "Q33756209")</f>
        <v>0</v>
      </c>
      <c r="G5247" t="s">
        <v>2538</v>
      </c>
      <c r="H5247" t="s">
        <v>7098</v>
      </c>
      <c r="I5247" t="s">
        <v>10275</v>
      </c>
      <c r="J5247" t="s">
        <v>13182</v>
      </c>
      <c r="K5247" t="s">
        <v>17587</v>
      </c>
      <c r="L5247">
        <f>HYPERLINK("https://www2.assemblee-nationale.fr/sycomore/fiche/(num_dept)/1818", "1818")</f>
        <v>0</v>
      </c>
      <c r="N5247">
        <f>HYPERLINK("https://www.wikidata.org/wiki/Q2190717", "Q2190717")</f>
        <v>0</v>
      </c>
      <c r="O5247" t="s">
        <v>19957</v>
      </c>
      <c r="Q5247" t="s">
        <v>20723</v>
      </c>
      <c r="R5247" t="s">
        <v>21493</v>
      </c>
      <c r="S5247">
        <v>729</v>
      </c>
    </row>
    <row r="5248" spans="1:19">
      <c r="A5248" t="s">
        <v>26</v>
      </c>
      <c r="B5248" t="s">
        <v>148</v>
      </c>
      <c r="C5248" t="s">
        <v>158</v>
      </c>
      <c r="D5248" t="s">
        <v>287</v>
      </c>
      <c r="E5248" t="s">
        <v>416</v>
      </c>
      <c r="F5248">
        <f>HYPERLINK("https://www.wikidata.org/wiki/Q33756209", "Q33756209")</f>
        <v>0</v>
      </c>
      <c r="G5248" t="s">
        <v>3371</v>
      </c>
      <c r="H5248" t="s">
        <v>7767</v>
      </c>
      <c r="I5248" t="s">
        <v>9457</v>
      </c>
      <c r="J5248" t="s">
        <v>13983</v>
      </c>
      <c r="K5248" t="s">
        <v>18351</v>
      </c>
      <c r="L5248">
        <f>HYPERLINK("https://www2.assemblee-nationale.fr/sycomore/fiche/(num_dept)/3828", "3828")</f>
        <v>0</v>
      </c>
      <c r="N5248">
        <f>HYPERLINK("https://www.wikidata.org/wiki/Q8326067", "Q8326067")</f>
        <v>0</v>
      </c>
      <c r="O5248" t="s">
        <v>20034</v>
      </c>
      <c r="Q5248" t="s">
        <v>20724</v>
      </c>
      <c r="R5248" t="s">
        <v>21493</v>
      </c>
      <c r="S5248">
        <v>687</v>
      </c>
    </row>
    <row r="5249" spans="1:19">
      <c r="A5249" t="s">
        <v>26</v>
      </c>
      <c r="B5249" t="s">
        <v>148</v>
      </c>
      <c r="C5249" t="s">
        <v>158</v>
      </c>
      <c r="D5249" t="s">
        <v>287</v>
      </c>
      <c r="E5249" t="s">
        <v>416</v>
      </c>
      <c r="F5249">
        <f>HYPERLINK("https://www.wikidata.org/wiki/Q33756209", "Q33756209")</f>
        <v>0</v>
      </c>
      <c r="G5249" t="s">
        <v>3072</v>
      </c>
      <c r="H5249" t="s">
        <v>7346</v>
      </c>
      <c r="I5249" t="s">
        <v>9554</v>
      </c>
      <c r="J5249" t="s">
        <v>13696</v>
      </c>
      <c r="K5249" t="s">
        <v>18079</v>
      </c>
      <c r="L5249">
        <f>HYPERLINK("https://www2.assemblee-nationale.fr/sycomore/fiche/(num_dept)/7665", "7665")</f>
        <v>0</v>
      </c>
      <c r="M5249">
        <f>HYPERLINK("https://www.senat.fr/senateur-3eme-republique/lecomte_maxime1379r3.html", "lecomte_maxime1379r3")</f>
        <v>0</v>
      </c>
      <c r="N5249">
        <f>HYPERLINK("https://www.wikidata.org/wiki/Q3302622", "Q3302622")</f>
        <v>0</v>
      </c>
      <c r="O5249" t="s">
        <v>20013</v>
      </c>
      <c r="Q5249" t="s">
        <v>20724</v>
      </c>
      <c r="R5249" t="s">
        <v>21493</v>
      </c>
      <c r="S5249">
        <v>687</v>
      </c>
    </row>
    <row r="5250" spans="1:19">
      <c r="A5250" t="s">
        <v>26</v>
      </c>
      <c r="B5250" t="s">
        <v>148</v>
      </c>
      <c r="C5250" t="s">
        <v>158</v>
      </c>
      <c r="D5250" t="s">
        <v>287</v>
      </c>
      <c r="E5250" t="s">
        <v>416</v>
      </c>
      <c r="F5250">
        <f>HYPERLINK("https://www.wikidata.org/wiki/Q33756209", "Q33756209")</f>
        <v>0</v>
      </c>
      <c r="G5250" t="s">
        <v>2711</v>
      </c>
      <c r="H5250" t="s">
        <v>5610</v>
      </c>
      <c r="I5250" t="s">
        <v>6860</v>
      </c>
      <c r="J5250" t="s">
        <v>13352</v>
      </c>
      <c r="K5250" t="s">
        <v>17752</v>
      </c>
      <c r="L5250">
        <f>HYPERLINK("https://www2.assemblee-nationale.fr/sycomore/fiche/(num_dept)/7726", "7726")</f>
        <v>0</v>
      </c>
      <c r="N5250">
        <f>HYPERLINK("https://www.wikidata.org/wiki/Q3385905", "Q3385905")</f>
        <v>0</v>
      </c>
      <c r="O5250" t="s">
        <v>20013</v>
      </c>
      <c r="P5250" t="s">
        <v>20462</v>
      </c>
      <c r="Q5250" t="s">
        <v>20724</v>
      </c>
      <c r="R5250" t="s">
        <v>21493</v>
      </c>
      <c r="S5250">
        <v>687</v>
      </c>
    </row>
    <row r="5251" spans="1:19">
      <c r="A5251" t="s">
        <v>26</v>
      </c>
      <c r="B5251" t="s">
        <v>148</v>
      </c>
      <c r="C5251" t="s">
        <v>158</v>
      </c>
      <c r="D5251" t="s">
        <v>287</v>
      </c>
      <c r="E5251" t="s">
        <v>416</v>
      </c>
      <c r="F5251">
        <f>HYPERLINK("https://www.wikidata.org/wiki/Q33756209", "Q33756209")</f>
        <v>0</v>
      </c>
      <c r="G5251" t="s">
        <v>2985</v>
      </c>
      <c r="H5251" t="s">
        <v>7449</v>
      </c>
      <c r="I5251" t="s">
        <v>10558</v>
      </c>
      <c r="J5251" t="s">
        <v>13617</v>
      </c>
      <c r="K5251" t="s">
        <v>17766</v>
      </c>
      <c r="L5251">
        <f>HYPERLINK("https://www2.assemblee-nationale.fr/sycomore/fiche/(num_dept)/8124", "8124")</f>
        <v>0</v>
      </c>
      <c r="M5251">
        <f>HYPERLINK("https://www.senat.fr/senateur-3eme-republique/camescasse_jean0957r3.html", "camescasse_jean0957r3")</f>
        <v>0</v>
      </c>
      <c r="N5251">
        <f>HYPERLINK("https://www.wikidata.org/wiki/Q3056871", "Q3056871")</f>
        <v>0</v>
      </c>
      <c r="O5251" t="s">
        <v>19968</v>
      </c>
      <c r="P5251" t="s">
        <v>20463</v>
      </c>
      <c r="Q5251" t="s">
        <v>20724</v>
      </c>
      <c r="R5251" t="s">
        <v>21493</v>
      </c>
      <c r="S5251">
        <v>687</v>
      </c>
    </row>
    <row r="5252" spans="1:19">
      <c r="A5252" t="s">
        <v>26</v>
      </c>
      <c r="B5252" t="s">
        <v>148</v>
      </c>
      <c r="C5252" t="s">
        <v>158</v>
      </c>
      <c r="D5252" t="s">
        <v>287</v>
      </c>
      <c r="E5252" t="s">
        <v>416</v>
      </c>
      <c r="F5252">
        <f>HYPERLINK("https://www.wikidata.org/wiki/Q33756209", "Q33756209")</f>
        <v>0</v>
      </c>
      <c r="G5252" t="s">
        <v>3372</v>
      </c>
      <c r="H5252" t="s">
        <v>6235</v>
      </c>
      <c r="I5252" t="s">
        <v>9407</v>
      </c>
      <c r="J5252" t="s">
        <v>13984</v>
      </c>
      <c r="K5252" t="s">
        <v>18352</v>
      </c>
      <c r="L5252">
        <f>HYPERLINK("https://www2.assemblee-nationale.fr/sycomore/fiche/(num_dept)/5195", "5195")</f>
        <v>0</v>
      </c>
      <c r="N5252">
        <f>HYPERLINK("https://www.wikidata.org/wiki/Q16026086", "Q16026086")</f>
        <v>0</v>
      </c>
      <c r="O5252" t="s">
        <v>20036</v>
      </c>
      <c r="Q5252" t="s">
        <v>20725</v>
      </c>
      <c r="R5252" t="s">
        <v>21493</v>
      </c>
      <c r="S5252">
        <v>624</v>
      </c>
    </row>
    <row r="5253" spans="1:19">
      <c r="A5253" t="s">
        <v>26</v>
      </c>
      <c r="B5253" t="s">
        <v>148</v>
      </c>
      <c r="C5253" t="s">
        <v>158</v>
      </c>
      <c r="D5253" t="s">
        <v>287</v>
      </c>
      <c r="E5253" t="s">
        <v>416</v>
      </c>
      <c r="F5253">
        <f>HYPERLINK("https://www.wikidata.org/wiki/Q33756209", "Q33756209")</f>
        <v>0</v>
      </c>
      <c r="G5253" t="s">
        <v>3373</v>
      </c>
      <c r="H5253" t="s">
        <v>7083</v>
      </c>
      <c r="I5253" t="s">
        <v>5528</v>
      </c>
      <c r="J5253" t="s">
        <v>13985</v>
      </c>
      <c r="K5253" t="s">
        <v>18353</v>
      </c>
      <c r="L5253">
        <f>HYPERLINK("https://www2.assemblee-nationale.fr/sycomore/fiche/(num_dept)/1083", "1083")</f>
        <v>0</v>
      </c>
      <c r="M5253">
        <f>HYPERLINK("https://www.senat.fr/senateur-3eme-republique/bourgeois_leon0647r3.html", "bourgeois_leon0647r3")</f>
        <v>0</v>
      </c>
      <c r="N5253">
        <f>HYPERLINK("https://www.wikidata.org/wiki/Q217706", "Q217706")</f>
        <v>0</v>
      </c>
      <c r="O5253" t="s">
        <v>20025</v>
      </c>
      <c r="P5253" t="s">
        <v>20477</v>
      </c>
      <c r="Q5253" t="s">
        <v>12187</v>
      </c>
      <c r="R5253" t="s">
        <v>21493</v>
      </c>
      <c r="S5253">
        <v>596</v>
      </c>
    </row>
    <row r="5254" spans="1:19">
      <c r="A5254" t="s">
        <v>26</v>
      </c>
      <c r="B5254" t="s">
        <v>148</v>
      </c>
      <c r="C5254" t="s">
        <v>158</v>
      </c>
      <c r="D5254" t="s">
        <v>287</v>
      </c>
      <c r="E5254" t="s">
        <v>416</v>
      </c>
      <c r="F5254">
        <f>HYPERLINK("https://www.wikidata.org/wiki/Q33756209", "Q33756209")</f>
        <v>0</v>
      </c>
      <c r="G5254" t="s">
        <v>3374</v>
      </c>
      <c r="H5254" t="s">
        <v>6432</v>
      </c>
      <c r="I5254" t="s">
        <v>10796</v>
      </c>
      <c r="J5254" t="s">
        <v>13986</v>
      </c>
      <c r="K5254" t="s">
        <v>18354</v>
      </c>
      <c r="L5254">
        <f>HYPERLINK("https://www2.assemblee-nationale.fr/sycomore/fiche/(num_dept)/1802", "1802")</f>
        <v>0</v>
      </c>
      <c r="M5254">
        <f>HYPERLINK("https://www.senat.fr/senateur-3eme-republique/chollet_andre1325r3.html", "chollet_andre1325r3")</f>
        <v>0</v>
      </c>
      <c r="N5254">
        <f>HYPERLINK("https://www.wikidata.org/wiki/Q2847520", "Q2847520")</f>
        <v>0</v>
      </c>
      <c r="O5254" t="s">
        <v>19997</v>
      </c>
      <c r="Q5254" t="s">
        <v>12187</v>
      </c>
      <c r="R5254" t="s">
        <v>21493</v>
      </c>
      <c r="S5254">
        <v>596</v>
      </c>
    </row>
    <row r="5255" spans="1:19">
      <c r="A5255" t="s">
        <v>26</v>
      </c>
      <c r="B5255" t="s">
        <v>148</v>
      </c>
      <c r="C5255" t="s">
        <v>158</v>
      </c>
      <c r="D5255" t="s">
        <v>287</v>
      </c>
      <c r="E5255" t="s">
        <v>416</v>
      </c>
      <c r="F5255">
        <f>HYPERLINK("https://www.wikidata.org/wiki/Q33756209", "Q33756209")</f>
        <v>0</v>
      </c>
      <c r="G5255" t="s">
        <v>3375</v>
      </c>
      <c r="H5255" t="s">
        <v>7768</v>
      </c>
      <c r="I5255" t="s">
        <v>9437</v>
      </c>
      <c r="J5255" t="s">
        <v>13748</v>
      </c>
      <c r="K5255" t="s">
        <v>18355</v>
      </c>
      <c r="L5255">
        <f>HYPERLINK("https://www2.assemblee-nationale.fr/sycomore/fiche/(num_dept)/3038", "3038")</f>
        <v>0</v>
      </c>
      <c r="N5255">
        <f>HYPERLINK("https://www.wikidata.org/wiki/Q2602696", "Q2602696")</f>
        <v>0</v>
      </c>
      <c r="O5255" t="s">
        <v>19981</v>
      </c>
      <c r="Q5255" t="s">
        <v>12187</v>
      </c>
      <c r="R5255" t="s">
        <v>21493</v>
      </c>
      <c r="S5255">
        <v>596</v>
      </c>
    </row>
    <row r="5256" spans="1:19">
      <c r="A5256" t="s">
        <v>26</v>
      </c>
      <c r="B5256" t="s">
        <v>148</v>
      </c>
      <c r="C5256" t="s">
        <v>158</v>
      </c>
      <c r="D5256" t="s">
        <v>287</v>
      </c>
      <c r="E5256" t="s">
        <v>416</v>
      </c>
      <c r="F5256">
        <f>HYPERLINK("https://www.wikidata.org/wiki/Q33756209", "Q33756209")</f>
        <v>0</v>
      </c>
      <c r="G5256" t="s">
        <v>3376</v>
      </c>
      <c r="H5256" t="s">
        <v>7160</v>
      </c>
      <c r="I5256" t="s">
        <v>10632</v>
      </c>
      <c r="J5256" t="s">
        <v>13987</v>
      </c>
      <c r="K5256" t="s">
        <v>18356</v>
      </c>
      <c r="L5256">
        <f>HYPERLINK("https://www2.assemblee-nationale.fr/sycomore/fiche/(num_dept)/4235", "4235")</f>
        <v>0</v>
      </c>
      <c r="N5256">
        <f>HYPERLINK("https://www.wikidata.org/wiki/Q8331614", "Q8331614")</f>
        <v>0</v>
      </c>
      <c r="O5256" t="s">
        <v>19980</v>
      </c>
      <c r="Q5256" t="s">
        <v>12187</v>
      </c>
      <c r="R5256" t="s">
        <v>21493</v>
      </c>
      <c r="S5256">
        <v>596</v>
      </c>
    </row>
    <row r="5257" spans="1:19">
      <c r="A5257" t="s">
        <v>26</v>
      </c>
      <c r="B5257" t="s">
        <v>148</v>
      </c>
      <c r="C5257" t="s">
        <v>158</v>
      </c>
      <c r="D5257" t="s">
        <v>287</v>
      </c>
      <c r="E5257" t="s">
        <v>416</v>
      </c>
      <c r="F5257">
        <f>HYPERLINK("https://www.wikidata.org/wiki/Q33756209", "Q33756209")</f>
        <v>0</v>
      </c>
      <c r="G5257" t="s">
        <v>771</v>
      </c>
      <c r="H5257" t="s">
        <v>5529</v>
      </c>
      <c r="I5257" t="s">
        <v>9518</v>
      </c>
      <c r="J5257" t="s">
        <v>11518</v>
      </c>
      <c r="K5257" t="s">
        <v>15922</v>
      </c>
      <c r="L5257">
        <f>HYPERLINK("https://www2.assemblee-nationale.fr/sycomore/fiche/(num_dept)/6086", "6086")</f>
        <v>0</v>
      </c>
      <c r="N5257">
        <f>HYPERLINK("https://www.wikidata.org/wiki/Q2395797", "Q2395797")</f>
        <v>0</v>
      </c>
      <c r="O5257" t="s">
        <v>20022</v>
      </c>
      <c r="Q5257" t="s">
        <v>12187</v>
      </c>
      <c r="R5257" t="s">
        <v>21493</v>
      </c>
      <c r="S5257">
        <v>596</v>
      </c>
    </row>
    <row r="5258" spans="1:19">
      <c r="A5258" t="s">
        <v>26</v>
      </c>
      <c r="B5258" t="s">
        <v>148</v>
      </c>
      <c r="C5258" t="s">
        <v>158</v>
      </c>
      <c r="D5258" t="s">
        <v>287</v>
      </c>
      <c r="E5258" t="s">
        <v>416</v>
      </c>
      <c r="F5258">
        <f>HYPERLINK("https://www.wikidata.org/wiki/Q33756209", "Q33756209")</f>
        <v>0</v>
      </c>
      <c r="G5258" t="s">
        <v>796</v>
      </c>
      <c r="H5258" t="s">
        <v>5553</v>
      </c>
      <c r="I5258" t="s">
        <v>9527</v>
      </c>
      <c r="J5258" t="s">
        <v>11543</v>
      </c>
      <c r="K5258" t="s">
        <v>15947</v>
      </c>
      <c r="L5258">
        <f>HYPERLINK("https://www2.assemblee-nationale.fr/sycomore/fiche/(num_dept)/6567", "6567")</f>
        <v>0</v>
      </c>
      <c r="M5258">
        <f>HYPERLINK("https://www.senat.fr/senateur-3eme-republique/rabier_fernand0501r3.html", "rabier_fernand0501r3")</f>
        <v>0</v>
      </c>
      <c r="N5258">
        <f>HYPERLINK("https://www.wikidata.org/wiki/Q3069308", "Q3069308")</f>
        <v>0</v>
      </c>
      <c r="O5258" t="s">
        <v>19958</v>
      </c>
      <c r="Q5258" t="s">
        <v>12187</v>
      </c>
      <c r="R5258" t="s">
        <v>21493</v>
      </c>
      <c r="S5258">
        <v>596</v>
      </c>
    </row>
    <row r="5259" spans="1:19">
      <c r="A5259" t="s">
        <v>26</v>
      </c>
      <c r="B5259" t="s">
        <v>148</v>
      </c>
      <c r="C5259" t="s">
        <v>158</v>
      </c>
      <c r="D5259" t="s">
        <v>287</v>
      </c>
      <c r="E5259" t="s">
        <v>416</v>
      </c>
      <c r="F5259">
        <f>HYPERLINK("https://www.wikidata.org/wiki/Q33756209", "Q33756209")</f>
        <v>0</v>
      </c>
      <c r="G5259" t="s">
        <v>3377</v>
      </c>
      <c r="H5259" t="s">
        <v>7769</v>
      </c>
      <c r="I5259" t="s">
        <v>10797</v>
      </c>
      <c r="J5259" t="s">
        <v>13988</v>
      </c>
      <c r="K5259" t="s">
        <v>18357</v>
      </c>
      <c r="L5259">
        <f>HYPERLINK("https://www2.assemblee-nationale.fr/sycomore/fiche/(num_dept)/17832", "17832")</f>
        <v>0</v>
      </c>
      <c r="M5259">
        <f>HYPERLINK("https://www.senat.fr/senateur-3eme-republique/marchais_de_la_berge_albert1365r3.html", "marchais_de_la_berge_albert1365r3")</f>
        <v>0</v>
      </c>
      <c r="N5259">
        <f>HYPERLINK("https://www.wikidata.org/wiki/Q2831379", "Q2831379")</f>
        <v>0</v>
      </c>
      <c r="O5259" t="s">
        <v>19997</v>
      </c>
      <c r="P5259" t="s">
        <v>20461</v>
      </c>
      <c r="Q5259" t="s">
        <v>12187</v>
      </c>
      <c r="R5259" t="s">
        <v>21493</v>
      </c>
      <c r="S5259">
        <v>596</v>
      </c>
    </row>
    <row r="5260" spans="1:19">
      <c r="A5260" t="s">
        <v>26</v>
      </c>
      <c r="B5260" t="s">
        <v>148</v>
      </c>
      <c r="C5260" t="s">
        <v>158</v>
      </c>
      <c r="D5260" t="s">
        <v>287</v>
      </c>
      <c r="E5260" t="s">
        <v>416</v>
      </c>
      <c r="F5260">
        <f>HYPERLINK("https://www.wikidata.org/wiki/Q33756209", "Q33756209")</f>
        <v>0</v>
      </c>
      <c r="G5260" t="s">
        <v>3378</v>
      </c>
      <c r="H5260" t="s">
        <v>7770</v>
      </c>
      <c r="I5260" t="s">
        <v>10286</v>
      </c>
      <c r="J5260" t="s">
        <v>13404</v>
      </c>
      <c r="K5260" t="s">
        <v>18358</v>
      </c>
      <c r="L5260">
        <f>HYPERLINK("https://www2.assemblee-nationale.fr/sycomore/fiche/(num_dept)/17848", "17848")</f>
        <v>0</v>
      </c>
      <c r="N5260">
        <f>HYPERLINK("https://www.wikidata.org/wiki/Q11984202", "Q11984202")</f>
        <v>0</v>
      </c>
      <c r="O5260" t="s">
        <v>19958</v>
      </c>
      <c r="P5260" t="s">
        <v>20401</v>
      </c>
      <c r="Q5260" t="s">
        <v>12187</v>
      </c>
      <c r="R5260" t="s">
        <v>21493</v>
      </c>
      <c r="S5260">
        <v>596</v>
      </c>
    </row>
    <row r="5261" spans="1:19">
      <c r="A5261" t="s">
        <v>26</v>
      </c>
      <c r="B5261" t="s">
        <v>148</v>
      </c>
      <c r="C5261" t="s">
        <v>158</v>
      </c>
      <c r="D5261" t="s">
        <v>287</v>
      </c>
      <c r="E5261" t="s">
        <v>416</v>
      </c>
      <c r="F5261">
        <f>HYPERLINK("https://www.wikidata.org/wiki/Q33756209", "Q33756209")</f>
        <v>0</v>
      </c>
      <c r="G5261" t="s">
        <v>3379</v>
      </c>
      <c r="H5261" t="s">
        <v>7771</v>
      </c>
      <c r="I5261" t="s">
        <v>10798</v>
      </c>
      <c r="J5261" t="s">
        <v>13989</v>
      </c>
      <c r="K5261" t="s">
        <v>18359</v>
      </c>
      <c r="L5261">
        <f>HYPERLINK("https://www2.assemblee-nationale.fr/sycomore/fiche/(num_dept)/1577", "1577")</f>
        <v>0</v>
      </c>
      <c r="N5261">
        <f>HYPERLINK("https://www.wikidata.org/wiki/Q15974254", "Q15974254")</f>
        <v>0</v>
      </c>
      <c r="O5261" t="s">
        <v>20002</v>
      </c>
      <c r="P5261" t="s">
        <v>20401</v>
      </c>
      <c r="Q5261" t="s">
        <v>20726</v>
      </c>
      <c r="R5261" t="s">
        <v>18359</v>
      </c>
      <c r="S5261">
        <v>464</v>
      </c>
    </row>
    <row r="5262" spans="1:19">
      <c r="A5262" t="s">
        <v>26</v>
      </c>
      <c r="B5262" t="s">
        <v>148</v>
      </c>
      <c r="C5262" t="s">
        <v>158</v>
      </c>
      <c r="D5262" t="s">
        <v>287</v>
      </c>
      <c r="E5262" t="s">
        <v>416</v>
      </c>
      <c r="F5262">
        <f>HYPERLINK("https://www.wikidata.org/wiki/Q33756209", "Q33756209")</f>
        <v>0</v>
      </c>
      <c r="G5262" t="s">
        <v>3380</v>
      </c>
      <c r="H5262" t="s">
        <v>7772</v>
      </c>
      <c r="I5262" t="s">
        <v>6158</v>
      </c>
      <c r="J5262" t="s">
        <v>13990</v>
      </c>
      <c r="K5262" t="s">
        <v>18360</v>
      </c>
      <c r="L5262">
        <f>HYPERLINK("https://www2.assemblee-nationale.fr/sycomore/fiche/(num_dept)/6543", "6543")</f>
        <v>0</v>
      </c>
      <c r="N5262">
        <f>HYPERLINK("https://www.wikidata.org/wiki/Q2476314", "Q2476314")</f>
        <v>0</v>
      </c>
      <c r="O5262" t="s">
        <v>19990</v>
      </c>
      <c r="P5262" t="s">
        <v>20456</v>
      </c>
      <c r="Q5262" t="s">
        <v>20727</v>
      </c>
      <c r="R5262" t="s">
        <v>18360</v>
      </c>
      <c r="S5262">
        <v>496</v>
      </c>
    </row>
    <row r="5263" spans="1:19">
      <c r="A5263" t="s">
        <v>26</v>
      </c>
      <c r="B5263" t="s">
        <v>148</v>
      </c>
      <c r="C5263" t="s">
        <v>158</v>
      </c>
      <c r="D5263" t="s">
        <v>287</v>
      </c>
      <c r="E5263" t="s">
        <v>416</v>
      </c>
      <c r="F5263">
        <f>HYPERLINK("https://www.wikidata.org/wiki/Q33756209", "Q33756209")</f>
        <v>0</v>
      </c>
      <c r="G5263" t="s">
        <v>3381</v>
      </c>
      <c r="H5263" t="s">
        <v>7773</v>
      </c>
      <c r="I5263" t="s">
        <v>9388</v>
      </c>
      <c r="J5263" t="s">
        <v>13991</v>
      </c>
      <c r="K5263" t="s">
        <v>18361</v>
      </c>
      <c r="L5263">
        <f>HYPERLINK("https://www2.assemblee-nationale.fr/sycomore/fiche/(num_dept)/2569", "2569")</f>
        <v>0</v>
      </c>
      <c r="M5263">
        <f>HYPERLINK("https://www.senat.fr/senateur-3eme-republique/doumer_paul0473r3.html", "doumer_paul0473r3")</f>
        <v>0</v>
      </c>
      <c r="N5263">
        <f>HYPERLINK("https://www.wikidata.org/wiki/Q12680", "Q12680")</f>
        <v>0</v>
      </c>
      <c r="O5263" t="s">
        <v>20015</v>
      </c>
      <c r="P5263" t="s">
        <v>20401</v>
      </c>
      <c r="Q5263" t="s">
        <v>20728</v>
      </c>
      <c r="R5263" t="s">
        <v>21493</v>
      </c>
      <c r="S5263">
        <v>553</v>
      </c>
    </row>
    <row r="5264" spans="1:19">
      <c r="A5264" t="s">
        <v>26</v>
      </c>
      <c r="B5264" t="s">
        <v>148</v>
      </c>
      <c r="C5264" t="s">
        <v>158</v>
      </c>
      <c r="D5264" t="s">
        <v>287</v>
      </c>
      <c r="E5264" t="s">
        <v>416</v>
      </c>
      <c r="F5264">
        <f>HYPERLINK("https://www.wikidata.org/wiki/Q33756209", "Q33756209")</f>
        <v>0</v>
      </c>
      <c r="G5264" t="s">
        <v>3382</v>
      </c>
      <c r="H5264" t="s">
        <v>5955</v>
      </c>
      <c r="I5264" t="s">
        <v>6175</v>
      </c>
      <c r="J5264" t="s">
        <v>13992</v>
      </c>
      <c r="K5264" t="s">
        <v>18362</v>
      </c>
      <c r="L5264">
        <f>HYPERLINK("https://www2.assemblee-nationale.fr/sycomore/fiche/(num_dept)/1047", "1047")</f>
        <v>0</v>
      </c>
      <c r="N5264">
        <f>HYPERLINK("https://www.wikidata.org/wiki/Q315747", "Q315747")</f>
        <v>0</v>
      </c>
      <c r="O5264" t="s">
        <v>20013</v>
      </c>
      <c r="Q5264" t="s">
        <v>20729</v>
      </c>
      <c r="R5264" t="s">
        <v>19440</v>
      </c>
      <c r="S5264">
        <v>88</v>
      </c>
    </row>
    <row r="5265" spans="1:19">
      <c r="A5265" t="s">
        <v>26</v>
      </c>
      <c r="B5265" t="s">
        <v>148</v>
      </c>
      <c r="C5265" t="s">
        <v>158</v>
      </c>
      <c r="D5265" t="s">
        <v>287</v>
      </c>
      <c r="E5265" t="s">
        <v>416</v>
      </c>
      <c r="F5265">
        <f>HYPERLINK("https://www.wikidata.org/wiki/Q33756209", "Q33756209")</f>
        <v>0</v>
      </c>
      <c r="G5265" t="s">
        <v>3383</v>
      </c>
      <c r="H5265" t="s">
        <v>7774</v>
      </c>
      <c r="I5265" t="s">
        <v>9442</v>
      </c>
      <c r="J5265" t="s">
        <v>13993</v>
      </c>
      <c r="K5265" t="s">
        <v>18363</v>
      </c>
      <c r="L5265">
        <f>HYPERLINK("https://www2.assemblee-nationale.fr/sycomore/fiche/(num_dept)/2981", "2981")</f>
        <v>0</v>
      </c>
      <c r="N5265">
        <f>HYPERLINK("https://www.wikidata.org/wiki/Q3056953", "Q3056953")</f>
        <v>0</v>
      </c>
      <c r="O5265" t="s">
        <v>19960</v>
      </c>
      <c r="Q5265" t="s">
        <v>20730</v>
      </c>
      <c r="R5265" t="s">
        <v>21493</v>
      </c>
      <c r="S5265">
        <v>539</v>
      </c>
    </row>
    <row r="5266" spans="1:19">
      <c r="A5266" t="s">
        <v>26</v>
      </c>
      <c r="B5266" t="s">
        <v>148</v>
      </c>
      <c r="C5266" t="s">
        <v>158</v>
      </c>
      <c r="D5266" t="s">
        <v>287</v>
      </c>
      <c r="E5266" t="s">
        <v>416</v>
      </c>
      <c r="F5266">
        <f>HYPERLINK("https://www.wikidata.org/wiki/Q33756209", "Q33756209")</f>
        <v>0</v>
      </c>
      <c r="G5266" t="s">
        <v>3384</v>
      </c>
      <c r="H5266" t="s">
        <v>7775</v>
      </c>
      <c r="I5266" t="s">
        <v>10799</v>
      </c>
      <c r="J5266" t="s">
        <v>13994</v>
      </c>
      <c r="K5266" t="s">
        <v>18364</v>
      </c>
      <c r="L5266">
        <f>HYPERLINK("https://www2.assemblee-nationale.fr/sycomore/fiche/(num_dept)/1293", "1293")</f>
        <v>0</v>
      </c>
      <c r="N5266">
        <f>HYPERLINK("https://www.wikidata.org/wiki/Q3092391", "Q3092391")</f>
        <v>0</v>
      </c>
      <c r="O5266" t="s">
        <v>20018</v>
      </c>
      <c r="P5266" t="s">
        <v>20463</v>
      </c>
      <c r="Q5266" t="s">
        <v>20731</v>
      </c>
      <c r="R5266" t="s">
        <v>21493</v>
      </c>
      <c r="S5266">
        <v>533</v>
      </c>
    </row>
    <row r="5267" spans="1:19">
      <c r="A5267" t="s">
        <v>26</v>
      </c>
      <c r="B5267" t="s">
        <v>148</v>
      </c>
      <c r="C5267" t="s">
        <v>158</v>
      </c>
      <c r="D5267" t="s">
        <v>287</v>
      </c>
      <c r="E5267" t="s">
        <v>416</v>
      </c>
      <c r="F5267">
        <f>HYPERLINK("https://www.wikidata.org/wiki/Q33756209", "Q33756209")</f>
        <v>0</v>
      </c>
      <c r="G5267" t="s">
        <v>3385</v>
      </c>
      <c r="H5267" t="s">
        <v>7477</v>
      </c>
      <c r="I5267" t="s">
        <v>10800</v>
      </c>
      <c r="J5267" t="s">
        <v>13995</v>
      </c>
      <c r="L5267">
        <f>HYPERLINK("https://www2.assemblee-nationale.fr/sycomore/fiche/(num_dept)/3198", "3198")</f>
        <v>0</v>
      </c>
      <c r="N5267">
        <f>HYPERLINK("https://www.wikidata.org/wiki/Q8313102", "Q8313102")</f>
        <v>0</v>
      </c>
      <c r="O5267" t="s">
        <v>20006</v>
      </c>
      <c r="P5267" t="s">
        <v>20401</v>
      </c>
      <c r="Q5267" t="s">
        <v>20732</v>
      </c>
      <c r="R5267" t="s">
        <v>21493</v>
      </c>
      <c r="S5267">
        <v>518</v>
      </c>
    </row>
    <row r="5268" spans="1:19">
      <c r="A5268" t="s">
        <v>26</v>
      </c>
      <c r="B5268" t="s">
        <v>148</v>
      </c>
      <c r="C5268" t="s">
        <v>158</v>
      </c>
      <c r="D5268" t="s">
        <v>287</v>
      </c>
      <c r="E5268" t="s">
        <v>416</v>
      </c>
      <c r="F5268">
        <f>HYPERLINK("https://www.wikidata.org/wiki/Q33756209", "Q33756209")</f>
        <v>0</v>
      </c>
      <c r="G5268" t="s">
        <v>3386</v>
      </c>
      <c r="H5268" t="s">
        <v>7776</v>
      </c>
      <c r="I5268" t="s">
        <v>10801</v>
      </c>
      <c r="J5268" t="s">
        <v>13996</v>
      </c>
      <c r="K5268" t="s">
        <v>18365</v>
      </c>
      <c r="L5268">
        <f>HYPERLINK("https://www2.assemblee-nationale.fr/sycomore/fiche/(num_dept)/6987", "6987")</f>
        <v>0</v>
      </c>
      <c r="N5268">
        <f>HYPERLINK("https://www.wikidata.org/wiki/Q27899382", "Q27899382")</f>
        <v>0</v>
      </c>
      <c r="O5268" t="s">
        <v>20038</v>
      </c>
      <c r="Q5268" t="s">
        <v>12950</v>
      </c>
      <c r="R5268" t="s">
        <v>21514</v>
      </c>
      <c r="S5268">
        <v>161</v>
      </c>
    </row>
    <row r="5269" spans="1:19">
      <c r="A5269" t="s">
        <v>26</v>
      </c>
      <c r="B5269" t="s">
        <v>148</v>
      </c>
      <c r="C5269" t="s">
        <v>158</v>
      </c>
      <c r="D5269" t="s">
        <v>287</v>
      </c>
      <c r="E5269" t="s">
        <v>416</v>
      </c>
      <c r="F5269">
        <f>HYPERLINK("https://www.wikidata.org/wiki/Q33756209", "Q33756209")</f>
        <v>0</v>
      </c>
      <c r="G5269" t="s">
        <v>3387</v>
      </c>
      <c r="H5269" t="s">
        <v>7777</v>
      </c>
      <c r="I5269" t="s">
        <v>10802</v>
      </c>
      <c r="J5269" t="s">
        <v>13997</v>
      </c>
      <c r="K5269" t="s">
        <v>18366</v>
      </c>
      <c r="L5269">
        <f>HYPERLINK("https://www2.assemblee-nationale.fr/sycomore/fiche/(num_dept)/3331", "3331")</f>
        <v>0</v>
      </c>
      <c r="N5269">
        <f>HYPERLINK("https://www.wikidata.org/wiki/Q16025760", "Q16025760")</f>
        <v>0</v>
      </c>
      <c r="O5269" t="s">
        <v>20031</v>
      </c>
      <c r="Q5269" t="s">
        <v>12296</v>
      </c>
      <c r="R5269" t="s">
        <v>21493</v>
      </c>
      <c r="S5269">
        <v>470</v>
      </c>
    </row>
    <row r="5270" spans="1:19">
      <c r="A5270" t="s">
        <v>26</v>
      </c>
      <c r="B5270" t="s">
        <v>148</v>
      </c>
      <c r="C5270" t="s">
        <v>158</v>
      </c>
      <c r="D5270" t="s">
        <v>287</v>
      </c>
      <c r="E5270" t="s">
        <v>416</v>
      </c>
      <c r="F5270">
        <f>HYPERLINK("https://www.wikidata.org/wiki/Q33756209", "Q33756209")</f>
        <v>0</v>
      </c>
      <c r="G5270" t="s">
        <v>3388</v>
      </c>
      <c r="H5270" t="s">
        <v>7778</v>
      </c>
      <c r="I5270" t="s">
        <v>10803</v>
      </c>
      <c r="J5270" t="s">
        <v>13998</v>
      </c>
      <c r="K5270" t="s">
        <v>18367</v>
      </c>
      <c r="L5270">
        <f>HYPERLINK("https://www2.assemblee-nationale.fr/sycomore/fiche/(num_dept)/14482", "14482")</f>
        <v>0</v>
      </c>
      <c r="N5270">
        <f>HYPERLINK("https://www.wikidata.org/wiki/Q16025443", "Q16025443")</f>
        <v>0</v>
      </c>
      <c r="O5270" t="s">
        <v>19965</v>
      </c>
      <c r="P5270" t="s">
        <v>20463</v>
      </c>
      <c r="Q5270" t="s">
        <v>20733</v>
      </c>
      <c r="R5270" t="s">
        <v>21493</v>
      </c>
      <c r="S5270">
        <v>463</v>
      </c>
    </row>
    <row r="5271" spans="1:19">
      <c r="A5271" t="s">
        <v>26</v>
      </c>
      <c r="B5271" t="s">
        <v>148</v>
      </c>
      <c r="C5271" t="s">
        <v>158</v>
      </c>
      <c r="D5271" t="s">
        <v>287</v>
      </c>
      <c r="E5271" t="s">
        <v>416</v>
      </c>
      <c r="F5271">
        <f>HYPERLINK("https://www.wikidata.org/wiki/Q33756209", "Q33756209")</f>
        <v>0</v>
      </c>
      <c r="G5271" t="s">
        <v>3389</v>
      </c>
      <c r="H5271" t="s">
        <v>7505</v>
      </c>
      <c r="I5271" t="s">
        <v>9423</v>
      </c>
      <c r="J5271" t="s">
        <v>13150</v>
      </c>
      <c r="K5271" t="s">
        <v>18368</v>
      </c>
      <c r="L5271">
        <f>HYPERLINK("https://www2.assemblee-nationale.fr/sycomore/fiche/(num_dept)/4238", "4238")</f>
        <v>0</v>
      </c>
      <c r="N5271">
        <f>HYPERLINK("https://www.wikidata.org/wiki/Q3120001", "Q3120001")</f>
        <v>0</v>
      </c>
      <c r="O5271" t="s">
        <v>19958</v>
      </c>
      <c r="Q5271" t="s">
        <v>12999</v>
      </c>
      <c r="R5271" t="s">
        <v>21493</v>
      </c>
      <c r="S5271">
        <v>456</v>
      </c>
    </row>
    <row r="5272" spans="1:19">
      <c r="A5272" t="s">
        <v>26</v>
      </c>
      <c r="B5272" t="s">
        <v>148</v>
      </c>
      <c r="C5272" t="s">
        <v>158</v>
      </c>
      <c r="D5272" t="s">
        <v>287</v>
      </c>
      <c r="E5272" t="s">
        <v>416</v>
      </c>
      <c r="F5272">
        <f>HYPERLINK("https://www.wikidata.org/wiki/Q33756209", "Q33756209")</f>
        <v>0</v>
      </c>
      <c r="G5272" t="s">
        <v>3390</v>
      </c>
      <c r="H5272" t="s">
        <v>7779</v>
      </c>
      <c r="I5272" t="s">
        <v>10804</v>
      </c>
      <c r="J5272" t="s">
        <v>13999</v>
      </c>
      <c r="K5272" t="s">
        <v>17767</v>
      </c>
      <c r="L5272">
        <f>HYPERLINK("https://www2.assemblee-nationale.fr/sycomore/fiche/(num_dept)/542", "542")</f>
        <v>0</v>
      </c>
      <c r="N5272">
        <f>HYPERLINK("https://www.wikidata.org/wiki/Q15973577", "Q15973577")</f>
        <v>0</v>
      </c>
      <c r="O5272" t="s">
        <v>19991</v>
      </c>
      <c r="Q5272" t="s">
        <v>19448</v>
      </c>
      <c r="R5272" t="s">
        <v>21493</v>
      </c>
      <c r="S5272">
        <v>449</v>
      </c>
    </row>
    <row r="5273" spans="1:19">
      <c r="A5273" t="s">
        <v>26</v>
      </c>
      <c r="B5273" t="s">
        <v>148</v>
      </c>
      <c r="C5273" t="s">
        <v>158</v>
      </c>
      <c r="D5273" t="s">
        <v>287</v>
      </c>
      <c r="E5273" t="s">
        <v>416</v>
      </c>
      <c r="F5273">
        <f>HYPERLINK("https://www.wikidata.org/wiki/Q33756209", "Q33756209")</f>
        <v>0</v>
      </c>
      <c r="G5273" t="s">
        <v>3391</v>
      </c>
      <c r="H5273" t="s">
        <v>7780</v>
      </c>
      <c r="I5273" t="s">
        <v>6166</v>
      </c>
      <c r="J5273" t="s">
        <v>14000</v>
      </c>
      <c r="K5273" t="s">
        <v>18369</v>
      </c>
      <c r="L5273">
        <f>HYPERLINK("https://www2.assemblee-nationale.fr/sycomore/fiche/(num_dept)/6935", "6935")</f>
        <v>0</v>
      </c>
      <c r="N5273">
        <f>HYPERLINK("https://www.wikidata.org/wiki/Q16026525", "Q16026525")</f>
        <v>0</v>
      </c>
      <c r="O5273" t="s">
        <v>20010</v>
      </c>
      <c r="Q5273" t="s">
        <v>19448</v>
      </c>
      <c r="R5273" t="s">
        <v>21493</v>
      </c>
      <c r="S5273">
        <v>449</v>
      </c>
    </row>
    <row r="5274" spans="1:19">
      <c r="A5274" t="s">
        <v>26</v>
      </c>
      <c r="B5274" t="s">
        <v>148</v>
      </c>
      <c r="C5274" t="s">
        <v>158</v>
      </c>
      <c r="D5274" t="s">
        <v>287</v>
      </c>
      <c r="E5274" t="s">
        <v>416</v>
      </c>
      <c r="F5274">
        <f>HYPERLINK("https://www.wikidata.org/wiki/Q33756209", "Q33756209")</f>
        <v>0</v>
      </c>
      <c r="G5274" t="s">
        <v>3382</v>
      </c>
      <c r="H5274" t="s">
        <v>5955</v>
      </c>
      <c r="I5274" t="s">
        <v>6175</v>
      </c>
      <c r="J5274" t="s">
        <v>13992</v>
      </c>
      <c r="K5274" t="s">
        <v>18362</v>
      </c>
      <c r="L5274">
        <f>HYPERLINK("https://www2.assemblee-nationale.fr/sycomore/fiche/(num_dept)/1047", "1047")</f>
        <v>0</v>
      </c>
      <c r="N5274">
        <f>HYPERLINK("https://www.wikidata.org/wiki/Q315747", "Q315747")</f>
        <v>0</v>
      </c>
      <c r="O5274" t="s">
        <v>20013</v>
      </c>
      <c r="Q5274" t="s">
        <v>20734</v>
      </c>
      <c r="R5274" t="s">
        <v>21493</v>
      </c>
      <c r="S5274">
        <v>421</v>
      </c>
    </row>
    <row r="5275" spans="1:19">
      <c r="A5275" t="s">
        <v>26</v>
      </c>
      <c r="B5275" t="s">
        <v>148</v>
      </c>
      <c r="C5275" t="s">
        <v>158</v>
      </c>
      <c r="D5275" t="s">
        <v>287</v>
      </c>
      <c r="E5275" t="s">
        <v>416</v>
      </c>
      <c r="F5275">
        <f>HYPERLINK("https://www.wikidata.org/wiki/Q33756209", "Q33756209")</f>
        <v>0</v>
      </c>
      <c r="G5275" t="s">
        <v>3392</v>
      </c>
      <c r="H5275" t="s">
        <v>7781</v>
      </c>
      <c r="I5275" t="s">
        <v>9458</v>
      </c>
      <c r="J5275" t="s">
        <v>14001</v>
      </c>
      <c r="K5275" t="s">
        <v>18370</v>
      </c>
      <c r="L5275">
        <f>HYPERLINK("https://www2.assemblee-nationale.fr/sycomore/fiche/(num_dept)/13396", "13396")</f>
        <v>0</v>
      </c>
      <c r="N5275">
        <f>HYPERLINK("https://www.wikidata.org/wiki/Q2835230", "Q2835230")</f>
        <v>0</v>
      </c>
      <c r="O5275" t="s">
        <v>20013</v>
      </c>
      <c r="Q5275" t="s">
        <v>20734</v>
      </c>
      <c r="R5275" t="s">
        <v>21515</v>
      </c>
      <c r="S5275">
        <v>448</v>
      </c>
    </row>
    <row r="5276" spans="1:19">
      <c r="A5276" t="s">
        <v>26</v>
      </c>
      <c r="B5276" t="s">
        <v>148</v>
      </c>
      <c r="C5276" t="s">
        <v>158</v>
      </c>
      <c r="D5276" t="s">
        <v>287</v>
      </c>
      <c r="E5276" t="s">
        <v>416</v>
      </c>
      <c r="F5276">
        <f>HYPERLINK("https://www.wikidata.org/wiki/Q33756209", "Q33756209")</f>
        <v>0</v>
      </c>
      <c r="G5276" t="s">
        <v>3393</v>
      </c>
      <c r="H5276" t="s">
        <v>7782</v>
      </c>
      <c r="I5276" t="s">
        <v>10805</v>
      </c>
      <c r="J5276" t="s">
        <v>14002</v>
      </c>
      <c r="K5276" t="s">
        <v>18371</v>
      </c>
      <c r="L5276">
        <f>HYPERLINK("https://www2.assemblee-nationale.fr/sycomore/fiche/(num_dept)/4182", "4182")</f>
        <v>0</v>
      </c>
      <c r="N5276">
        <f>HYPERLINK("https://www.wikidata.org/wiki/Q2960604", "Q2960604")</f>
        <v>0</v>
      </c>
      <c r="O5276" t="s">
        <v>19964</v>
      </c>
      <c r="P5276" t="s">
        <v>20460</v>
      </c>
      <c r="Q5276" t="s">
        <v>20735</v>
      </c>
      <c r="R5276" t="s">
        <v>21493</v>
      </c>
      <c r="S5276">
        <v>323</v>
      </c>
    </row>
    <row r="5277" spans="1:19">
      <c r="A5277" t="s">
        <v>26</v>
      </c>
      <c r="B5277" t="s">
        <v>148</v>
      </c>
      <c r="C5277" t="s">
        <v>158</v>
      </c>
      <c r="D5277" t="s">
        <v>287</v>
      </c>
      <c r="E5277" t="s">
        <v>416</v>
      </c>
      <c r="F5277">
        <f>HYPERLINK("https://www.wikidata.org/wiki/Q33756209", "Q33756209")</f>
        <v>0</v>
      </c>
      <c r="G5277" t="s">
        <v>3394</v>
      </c>
      <c r="H5277" t="s">
        <v>7783</v>
      </c>
      <c r="I5277" t="s">
        <v>9548</v>
      </c>
      <c r="J5277" t="s">
        <v>14003</v>
      </c>
      <c r="K5277" t="s">
        <v>13061</v>
      </c>
      <c r="L5277">
        <f>HYPERLINK("https://www2.assemblee-nationale.fr/sycomore/fiche/(num_dept)/7552", "7552")</f>
        <v>0</v>
      </c>
      <c r="N5277">
        <f>HYPERLINK("https://www.wikidata.org/wiki/Q3426487", "Q3426487")</f>
        <v>0</v>
      </c>
      <c r="O5277" t="s">
        <v>19964</v>
      </c>
      <c r="P5277" t="s">
        <v>20460</v>
      </c>
      <c r="Q5277" t="s">
        <v>20735</v>
      </c>
      <c r="R5277" t="s">
        <v>21493</v>
      </c>
      <c r="S5277">
        <v>323</v>
      </c>
    </row>
    <row r="5278" spans="1:19">
      <c r="A5278" t="s">
        <v>26</v>
      </c>
      <c r="B5278" t="s">
        <v>148</v>
      </c>
      <c r="C5278" t="s">
        <v>158</v>
      </c>
      <c r="D5278" t="s">
        <v>287</v>
      </c>
      <c r="E5278" t="s">
        <v>416</v>
      </c>
      <c r="F5278">
        <f>HYPERLINK("https://www.wikidata.org/wiki/Q33756209", "Q33756209")</f>
        <v>0</v>
      </c>
      <c r="G5278" t="s">
        <v>3395</v>
      </c>
      <c r="H5278" t="s">
        <v>7784</v>
      </c>
      <c r="I5278" t="s">
        <v>10349</v>
      </c>
      <c r="J5278" t="s">
        <v>14004</v>
      </c>
      <c r="K5278" t="s">
        <v>18372</v>
      </c>
      <c r="L5278">
        <f>HYPERLINK("https://www2.assemblee-nationale.fr/sycomore/fiche/(num_dept)/1862", "1862")</f>
        <v>0</v>
      </c>
      <c r="N5278">
        <f>HYPERLINK("https://www.wikidata.org/wiki/Q684449", "Q684449")</f>
        <v>0</v>
      </c>
      <c r="O5278" t="s">
        <v>20042</v>
      </c>
      <c r="P5278" t="s">
        <v>20446</v>
      </c>
      <c r="Q5278" t="s">
        <v>20736</v>
      </c>
      <c r="R5278" t="s">
        <v>21493</v>
      </c>
      <c r="S5278">
        <v>309</v>
      </c>
    </row>
    <row r="5279" spans="1:19">
      <c r="A5279" t="s">
        <v>26</v>
      </c>
      <c r="B5279" t="s">
        <v>148</v>
      </c>
      <c r="C5279" t="s">
        <v>158</v>
      </c>
      <c r="D5279" t="s">
        <v>287</v>
      </c>
      <c r="E5279" t="s">
        <v>416</v>
      </c>
      <c r="F5279">
        <f>HYPERLINK("https://www.wikidata.org/wiki/Q33756209", "Q33756209")</f>
        <v>0</v>
      </c>
      <c r="G5279" t="s">
        <v>3396</v>
      </c>
      <c r="H5279" t="s">
        <v>7785</v>
      </c>
      <c r="I5279" t="s">
        <v>10806</v>
      </c>
      <c r="J5279" t="s">
        <v>14005</v>
      </c>
      <c r="K5279" t="s">
        <v>18373</v>
      </c>
      <c r="L5279">
        <f>HYPERLINK("https://www2.assemblee-nationale.fr/sycomore/fiche/(num_dept)/7857", "7857")</f>
        <v>0</v>
      </c>
      <c r="M5279">
        <f>HYPERLINK("https://www.senat.fr/senateur-3eme-republique/linard_desire0173r3.html", "linard_desire0173r3")</f>
        <v>0</v>
      </c>
      <c r="N5279">
        <f>HYPERLINK("https://www.wikidata.org/wiki/Q3045178", "Q3045178")</f>
        <v>0</v>
      </c>
      <c r="O5279" t="s">
        <v>19959</v>
      </c>
      <c r="Q5279" t="s">
        <v>20736</v>
      </c>
      <c r="R5279" t="s">
        <v>21493</v>
      </c>
      <c r="S5279">
        <v>309</v>
      </c>
    </row>
    <row r="5280" spans="1:19">
      <c r="A5280" t="s">
        <v>26</v>
      </c>
      <c r="B5280" t="s">
        <v>148</v>
      </c>
      <c r="C5280" t="s">
        <v>158</v>
      </c>
      <c r="D5280" t="s">
        <v>287</v>
      </c>
      <c r="E5280" t="s">
        <v>416</v>
      </c>
      <c r="F5280">
        <f>HYPERLINK("https://www.wikidata.org/wiki/Q33756209", "Q33756209")</f>
        <v>0</v>
      </c>
      <c r="G5280" t="s">
        <v>3397</v>
      </c>
      <c r="H5280" t="s">
        <v>7786</v>
      </c>
      <c r="I5280" t="s">
        <v>10807</v>
      </c>
      <c r="J5280" t="s">
        <v>12835</v>
      </c>
      <c r="K5280" t="s">
        <v>18374</v>
      </c>
      <c r="L5280">
        <f>HYPERLINK("https://www2.assemblee-nationale.fr/sycomore/fiche/(num_dept)/2723", "2723")</f>
        <v>0</v>
      </c>
      <c r="N5280">
        <f>HYPERLINK("https://www.wikidata.org/wiki/Q16025649", "Q16025649")</f>
        <v>0</v>
      </c>
      <c r="O5280" t="s">
        <v>20037</v>
      </c>
      <c r="Q5280" t="s">
        <v>20737</v>
      </c>
      <c r="R5280" t="s">
        <v>21493</v>
      </c>
      <c r="S5280">
        <v>281</v>
      </c>
    </row>
    <row r="5281" spans="1:19">
      <c r="A5281" t="s">
        <v>26</v>
      </c>
      <c r="B5281" t="s">
        <v>148</v>
      </c>
      <c r="C5281" t="s">
        <v>158</v>
      </c>
      <c r="D5281" t="s">
        <v>287</v>
      </c>
      <c r="E5281" t="s">
        <v>416</v>
      </c>
      <c r="F5281">
        <f>HYPERLINK("https://www.wikidata.org/wiki/Q33756209", "Q33756209")</f>
        <v>0</v>
      </c>
      <c r="G5281" t="s">
        <v>3398</v>
      </c>
      <c r="H5281" t="s">
        <v>7787</v>
      </c>
      <c r="I5281" t="s">
        <v>10808</v>
      </c>
      <c r="J5281" t="s">
        <v>14006</v>
      </c>
      <c r="K5281" t="s">
        <v>18375</v>
      </c>
      <c r="L5281">
        <f>HYPERLINK("https://www2.assemblee-nationale.fr/sycomore/fiche/(num_dept)/17882", "17882")</f>
        <v>0</v>
      </c>
      <c r="N5281">
        <f>HYPERLINK("https://www.wikidata.org/wiki/Q3163823", "Q3163823")</f>
        <v>0</v>
      </c>
      <c r="O5281" t="s">
        <v>20012</v>
      </c>
      <c r="P5281" t="s">
        <v>20460</v>
      </c>
      <c r="Q5281" t="s">
        <v>20737</v>
      </c>
      <c r="R5281" t="s">
        <v>21493</v>
      </c>
      <c r="S5281">
        <v>281</v>
      </c>
    </row>
    <row r="5282" spans="1:19">
      <c r="A5282" t="s">
        <v>26</v>
      </c>
      <c r="B5282" t="s">
        <v>148</v>
      </c>
      <c r="C5282" t="s">
        <v>158</v>
      </c>
      <c r="D5282" t="s">
        <v>287</v>
      </c>
      <c r="E5282" t="s">
        <v>416</v>
      </c>
      <c r="F5282">
        <f>HYPERLINK("https://www.wikidata.org/wiki/Q33756209", "Q33756209")</f>
        <v>0</v>
      </c>
      <c r="G5282" t="s">
        <v>3399</v>
      </c>
      <c r="H5282" t="s">
        <v>7788</v>
      </c>
      <c r="I5282" t="s">
        <v>10809</v>
      </c>
      <c r="J5282" t="s">
        <v>14007</v>
      </c>
      <c r="K5282" t="s">
        <v>18050</v>
      </c>
      <c r="L5282">
        <f>HYPERLINK("https://www2.assemblee-nationale.fr/sycomore/fiche/(num_dept)/410", "410")</f>
        <v>0</v>
      </c>
      <c r="N5282">
        <f>HYPERLINK("https://www.wikidata.org/wiki/Q8308239", "Q8308239")</f>
        <v>0</v>
      </c>
      <c r="O5282" t="s">
        <v>20002</v>
      </c>
      <c r="P5282" t="s">
        <v>20401</v>
      </c>
      <c r="Q5282" t="s">
        <v>12705</v>
      </c>
      <c r="R5282" t="s">
        <v>21493</v>
      </c>
      <c r="S5282">
        <v>246</v>
      </c>
    </row>
    <row r="5283" spans="1:19">
      <c r="A5283" t="s">
        <v>27</v>
      </c>
      <c r="B5283" t="s">
        <v>148</v>
      </c>
      <c r="C5283" t="s">
        <v>159</v>
      </c>
      <c r="D5283" t="s">
        <v>288</v>
      </c>
      <c r="E5283" t="s">
        <v>417</v>
      </c>
      <c r="F5283">
        <f>HYPERLINK("https://www.wikidata.org/wiki/Q33755832", "Q33755832")</f>
        <v>0</v>
      </c>
      <c r="G5283" t="s">
        <v>3229</v>
      </c>
      <c r="H5283" t="s">
        <v>7655</v>
      </c>
      <c r="I5283" t="s">
        <v>7763</v>
      </c>
      <c r="J5283" t="s">
        <v>13848</v>
      </c>
      <c r="K5283" t="s">
        <v>18219</v>
      </c>
      <c r="L5283">
        <f>HYPERLINK("https://www2.assemblee-nationale.fr/sycomore/fiche/(num_dept)/15", "15")</f>
        <v>0</v>
      </c>
      <c r="M5283">
        <f>HYPERLINK("https://www.senat.fr/senateur-3eme-republique/abeille_valentin0093r3.html", "abeille_valentin0093r3")</f>
        <v>0</v>
      </c>
      <c r="N5283">
        <f>HYPERLINK("https://www.wikidata.org/wiki/Q3553555", "Q3553555")</f>
        <v>0</v>
      </c>
      <c r="O5283" t="s">
        <v>20016</v>
      </c>
      <c r="P5283" t="s">
        <v>20471</v>
      </c>
      <c r="Q5283" t="s">
        <v>20738</v>
      </c>
      <c r="R5283" t="s">
        <v>417</v>
      </c>
      <c r="S5283">
        <v>1483</v>
      </c>
    </row>
    <row r="5284" spans="1:19">
      <c r="A5284" t="s">
        <v>27</v>
      </c>
      <c r="B5284" t="s">
        <v>148</v>
      </c>
      <c r="C5284" t="s">
        <v>159</v>
      </c>
      <c r="D5284" t="s">
        <v>288</v>
      </c>
      <c r="E5284" t="s">
        <v>417</v>
      </c>
      <c r="F5284">
        <f>HYPERLINK("https://www.wikidata.org/wiki/Q33755832", "Q33755832")</f>
        <v>0</v>
      </c>
      <c r="G5284" t="s">
        <v>3069</v>
      </c>
      <c r="H5284" t="s">
        <v>7520</v>
      </c>
      <c r="I5284" t="s">
        <v>10609</v>
      </c>
      <c r="J5284" t="s">
        <v>13693</v>
      </c>
      <c r="K5284" t="s">
        <v>18076</v>
      </c>
      <c r="L5284">
        <f>HYPERLINK("https://www2.assemblee-nationale.fr/sycomore/fiche/(num_dept)/25", "25")</f>
        <v>0</v>
      </c>
      <c r="N5284">
        <f>HYPERLINK("https://www.wikidata.org/wiki/Q15302973", "Q15302973")</f>
        <v>0</v>
      </c>
      <c r="O5284" t="s">
        <v>19962</v>
      </c>
      <c r="Q5284" t="s">
        <v>20738</v>
      </c>
      <c r="R5284" t="s">
        <v>417</v>
      </c>
      <c r="S5284">
        <v>1483</v>
      </c>
    </row>
    <row r="5285" spans="1:19">
      <c r="A5285" t="s">
        <v>27</v>
      </c>
      <c r="B5285" t="s">
        <v>148</v>
      </c>
      <c r="C5285" t="s">
        <v>159</v>
      </c>
      <c r="D5285" t="s">
        <v>288</v>
      </c>
      <c r="E5285" t="s">
        <v>417</v>
      </c>
      <c r="F5285">
        <f>HYPERLINK("https://www.wikidata.org/wiki/Q33755832", "Q33755832")</f>
        <v>0</v>
      </c>
      <c r="G5285" t="s">
        <v>3016</v>
      </c>
      <c r="H5285" t="s">
        <v>7025</v>
      </c>
      <c r="I5285" t="s">
        <v>10578</v>
      </c>
      <c r="J5285" t="s">
        <v>13644</v>
      </c>
      <c r="K5285" t="s">
        <v>17719</v>
      </c>
      <c r="L5285">
        <f>HYPERLINK("https://www2.assemblee-nationale.fr/sycomore/fiche/(num_dept)/50", "50")</f>
        <v>0</v>
      </c>
      <c r="N5285">
        <f>HYPERLINK("https://www.wikidata.org/wiki/Q2871509", "Q2871509")</f>
        <v>0</v>
      </c>
      <c r="O5285" t="s">
        <v>19956</v>
      </c>
      <c r="P5285" t="s">
        <v>20460</v>
      </c>
      <c r="Q5285" t="s">
        <v>20738</v>
      </c>
      <c r="R5285" t="s">
        <v>417</v>
      </c>
      <c r="S5285">
        <v>1483</v>
      </c>
    </row>
    <row r="5286" spans="1:19">
      <c r="A5286" t="s">
        <v>27</v>
      </c>
      <c r="B5286" t="s">
        <v>148</v>
      </c>
      <c r="C5286" t="s">
        <v>159</v>
      </c>
      <c r="D5286" t="s">
        <v>288</v>
      </c>
      <c r="E5286" t="s">
        <v>417</v>
      </c>
      <c r="F5286">
        <f>HYPERLINK("https://www.wikidata.org/wiki/Q33755832", "Q33755832")</f>
        <v>0</v>
      </c>
      <c r="G5286" t="s">
        <v>3400</v>
      </c>
      <c r="H5286" t="s">
        <v>7789</v>
      </c>
      <c r="I5286" t="s">
        <v>10810</v>
      </c>
      <c r="J5286" t="s">
        <v>14008</v>
      </c>
      <c r="K5286" t="s">
        <v>18376</v>
      </c>
      <c r="L5286">
        <f>HYPERLINK("https://www2.assemblee-nationale.fr/sycomore/fiche/(num_dept)/187", "187")</f>
        <v>0</v>
      </c>
      <c r="N5286">
        <f>HYPERLINK("https://www.wikidata.org/wiki/Q2871297", "Q2871297")</f>
        <v>0</v>
      </c>
      <c r="O5286" t="s">
        <v>19996</v>
      </c>
      <c r="Q5286" t="s">
        <v>20738</v>
      </c>
      <c r="R5286" t="s">
        <v>417</v>
      </c>
      <c r="S5286">
        <v>1483</v>
      </c>
    </row>
    <row r="5287" spans="1:19">
      <c r="A5287" t="s">
        <v>27</v>
      </c>
      <c r="B5287" t="s">
        <v>148</v>
      </c>
      <c r="C5287" t="s">
        <v>159</v>
      </c>
      <c r="D5287" t="s">
        <v>288</v>
      </c>
      <c r="E5287" t="s">
        <v>417</v>
      </c>
      <c r="F5287">
        <f>HYPERLINK("https://www.wikidata.org/wiki/Q33755832", "Q33755832")</f>
        <v>0</v>
      </c>
      <c r="G5287" t="s">
        <v>3006</v>
      </c>
      <c r="H5287" t="s">
        <v>7468</v>
      </c>
      <c r="I5287" t="s">
        <v>9414</v>
      </c>
      <c r="J5287" t="s">
        <v>12227</v>
      </c>
      <c r="K5287" t="s">
        <v>18020</v>
      </c>
      <c r="L5287">
        <f>HYPERLINK("https://www2.assemblee-nationale.fr/sycomore/fiche/(num_dept)/188", "188")</f>
        <v>0</v>
      </c>
      <c r="M5287">
        <f>HYPERLINK("https://www.senat.fr/senateur-3eme-republique/arene_emmanuel0489r3.html", "arene_emmanuel0489r3")</f>
        <v>0</v>
      </c>
      <c r="N5287">
        <f>HYPERLINK("https://www.wikidata.org/wiki/Q3052547", "Q3052547")</f>
        <v>0</v>
      </c>
      <c r="O5287" t="s">
        <v>19955</v>
      </c>
      <c r="Q5287" t="s">
        <v>20738</v>
      </c>
      <c r="R5287" t="s">
        <v>417</v>
      </c>
      <c r="S5287">
        <v>1483</v>
      </c>
    </row>
    <row r="5288" spans="1:19">
      <c r="A5288" t="s">
        <v>27</v>
      </c>
      <c r="B5288" t="s">
        <v>148</v>
      </c>
      <c r="C5288" t="s">
        <v>159</v>
      </c>
      <c r="D5288" t="s">
        <v>288</v>
      </c>
      <c r="E5288" t="s">
        <v>417</v>
      </c>
      <c r="F5288">
        <f>HYPERLINK("https://www.wikidata.org/wiki/Q33755832", "Q33755832")</f>
        <v>0</v>
      </c>
      <c r="G5288" t="s">
        <v>3401</v>
      </c>
      <c r="H5288" t="s">
        <v>7790</v>
      </c>
      <c r="I5288" t="s">
        <v>9442</v>
      </c>
      <c r="J5288" t="s">
        <v>14009</v>
      </c>
      <c r="K5288" t="s">
        <v>18377</v>
      </c>
      <c r="L5288">
        <f>HYPERLINK("https://www2.assemblee-nationale.fr/sycomore/fiche/(num_dept)/193", "193")</f>
        <v>0</v>
      </c>
      <c r="N5288">
        <f>HYPERLINK("https://www.wikidata.org/wiki/Q3056825", "Q3056825")</f>
        <v>0</v>
      </c>
      <c r="O5288" t="s">
        <v>8449</v>
      </c>
      <c r="Q5288" t="s">
        <v>20738</v>
      </c>
      <c r="R5288" t="s">
        <v>417</v>
      </c>
      <c r="S5288">
        <v>1483</v>
      </c>
    </row>
    <row r="5289" spans="1:19">
      <c r="A5289" t="s">
        <v>27</v>
      </c>
      <c r="B5289" t="s">
        <v>148</v>
      </c>
      <c r="C5289" t="s">
        <v>159</v>
      </c>
      <c r="D5289" t="s">
        <v>288</v>
      </c>
      <c r="E5289" t="s">
        <v>417</v>
      </c>
      <c r="F5289">
        <f>HYPERLINK("https://www.wikidata.org/wiki/Q33755832", "Q33755832")</f>
        <v>0</v>
      </c>
      <c r="G5289" t="s">
        <v>503</v>
      </c>
      <c r="H5289" t="s">
        <v>5268</v>
      </c>
      <c r="I5289" t="s">
        <v>6495</v>
      </c>
      <c r="J5289" t="s">
        <v>11255</v>
      </c>
      <c r="K5289" t="s">
        <v>15655</v>
      </c>
      <c r="L5289">
        <f>HYPERLINK("https://www2.assemblee-nationale.fr/sycomore/fiche/(num_dept)/195", "195")</f>
        <v>0</v>
      </c>
      <c r="N5289">
        <f>HYPERLINK("https://www.wikidata.org/wiki/Q3261103", "Q3261103")</f>
        <v>0</v>
      </c>
      <c r="O5289" t="s">
        <v>19964</v>
      </c>
      <c r="P5289" t="s">
        <v>20457</v>
      </c>
      <c r="Q5289" t="s">
        <v>20738</v>
      </c>
      <c r="R5289" t="s">
        <v>417</v>
      </c>
      <c r="S5289">
        <v>1483</v>
      </c>
    </row>
    <row r="5290" spans="1:19">
      <c r="A5290" t="s">
        <v>27</v>
      </c>
      <c r="B5290" t="s">
        <v>148</v>
      </c>
      <c r="C5290" t="s">
        <v>159</v>
      </c>
      <c r="D5290" t="s">
        <v>288</v>
      </c>
      <c r="E5290" t="s">
        <v>417</v>
      </c>
      <c r="F5290">
        <f>HYPERLINK("https://www.wikidata.org/wiki/Q33755832", "Q33755832")</f>
        <v>0</v>
      </c>
      <c r="G5290" t="s">
        <v>3086</v>
      </c>
      <c r="H5290" t="s">
        <v>7533</v>
      </c>
      <c r="I5290" t="s">
        <v>10621</v>
      </c>
      <c r="J5290" t="s">
        <v>13709</v>
      </c>
      <c r="K5290" t="s">
        <v>333</v>
      </c>
      <c r="L5290">
        <f>HYPERLINK("https://www2.assemblee-nationale.fr/sycomore/fiche/(num_dept)/201", "201")</f>
        <v>0</v>
      </c>
      <c r="N5290">
        <f>HYPERLINK("https://www.wikidata.org/wiki/Q15973335", "Q15973335")</f>
        <v>0</v>
      </c>
      <c r="O5290" t="s">
        <v>20045</v>
      </c>
      <c r="Q5290" t="s">
        <v>20738</v>
      </c>
      <c r="R5290" t="s">
        <v>21516</v>
      </c>
      <c r="S5290">
        <v>65</v>
      </c>
    </row>
    <row r="5291" spans="1:19">
      <c r="A5291" t="s">
        <v>27</v>
      </c>
      <c r="B5291" t="s">
        <v>148</v>
      </c>
      <c r="C5291" t="s">
        <v>159</v>
      </c>
      <c r="D5291" t="s">
        <v>288</v>
      </c>
      <c r="E5291" t="s">
        <v>417</v>
      </c>
      <c r="F5291">
        <f>HYPERLINK("https://www.wikidata.org/wiki/Q33755832", "Q33755832")</f>
        <v>0</v>
      </c>
      <c r="G5291" t="s">
        <v>3064</v>
      </c>
      <c r="H5291" t="s">
        <v>7517</v>
      </c>
      <c r="I5291" t="s">
        <v>10604</v>
      </c>
      <c r="J5291" t="s">
        <v>13688</v>
      </c>
      <c r="K5291" t="s">
        <v>18071</v>
      </c>
      <c r="L5291">
        <f>HYPERLINK("https://www2.assemblee-nationale.fr/sycomore/fiche/(num_dept)/205", "205")</f>
        <v>0</v>
      </c>
      <c r="N5291">
        <f>HYPERLINK("https://www.wikidata.org/wiki/Q15973359", "Q15973359")</f>
        <v>0</v>
      </c>
      <c r="O5291" t="s">
        <v>20031</v>
      </c>
      <c r="P5291" t="s">
        <v>20460</v>
      </c>
      <c r="Q5291" t="s">
        <v>20738</v>
      </c>
      <c r="R5291" t="s">
        <v>417</v>
      </c>
      <c r="S5291">
        <v>1483</v>
      </c>
    </row>
    <row r="5292" spans="1:19">
      <c r="A5292" t="s">
        <v>27</v>
      </c>
      <c r="B5292" t="s">
        <v>148</v>
      </c>
      <c r="C5292" t="s">
        <v>159</v>
      </c>
      <c r="D5292" t="s">
        <v>288</v>
      </c>
      <c r="E5292" t="s">
        <v>417</v>
      </c>
      <c r="F5292">
        <f>HYPERLINK("https://www.wikidata.org/wiki/Q33755832", "Q33755832")</f>
        <v>0</v>
      </c>
      <c r="G5292" t="s">
        <v>2489</v>
      </c>
      <c r="H5292" t="s">
        <v>7062</v>
      </c>
      <c r="I5292" t="s">
        <v>9385</v>
      </c>
      <c r="J5292" t="s">
        <v>13133</v>
      </c>
      <c r="K5292" t="s">
        <v>17542</v>
      </c>
      <c r="L5292">
        <f>HYPERLINK("https://www2.assemblee-nationale.fr/sycomore/fiche/(num_dept)/337", "337")</f>
        <v>0</v>
      </c>
      <c r="N5292">
        <f>HYPERLINK("https://www.wikidata.org/wiki/Q2958501", "Q2958501")</f>
        <v>0</v>
      </c>
      <c r="O5292" t="s">
        <v>20036</v>
      </c>
      <c r="P5292" t="s">
        <v>20459</v>
      </c>
      <c r="Q5292" t="s">
        <v>20738</v>
      </c>
      <c r="R5292" t="s">
        <v>17663</v>
      </c>
      <c r="S5292">
        <v>1213</v>
      </c>
    </row>
    <row r="5293" spans="1:19">
      <c r="A5293" t="s">
        <v>27</v>
      </c>
      <c r="B5293" t="s">
        <v>148</v>
      </c>
      <c r="C5293" t="s">
        <v>159</v>
      </c>
      <c r="D5293" t="s">
        <v>288</v>
      </c>
      <c r="E5293" t="s">
        <v>417</v>
      </c>
      <c r="F5293">
        <f>HYPERLINK("https://www.wikidata.org/wiki/Q33755832", "Q33755832")</f>
        <v>0</v>
      </c>
      <c r="G5293" t="s">
        <v>3402</v>
      </c>
      <c r="H5293" t="s">
        <v>5274</v>
      </c>
      <c r="I5293" t="s">
        <v>10811</v>
      </c>
      <c r="J5293" t="s">
        <v>14010</v>
      </c>
      <c r="K5293" t="s">
        <v>18378</v>
      </c>
      <c r="L5293">
        <f>HYPERLINK("https://www2.assemblee-nationale.fr/sycomore/fiche/(num_dept)/367", "367")</f>
        <v>0</v>
      </c>
      <c r="N5293">
        <f>HYPERLINK("https://www.wikidata.org/wiki/Q17354003", "Q17354003")</f>
        <v>0</v>
      </c>
      <c r="O5293" t="s">
        <v>20005</v>
      </c>
      <c r="Q5293" t="s">
        <v>20738</v>
      </c>
      <c r="R5293" t="s">
        <v>417</v>
      </c>
      <c r="S5293">
        <v>1483</v>
      </c>
    </row>
    <row r="5294" spans="1:19">
      <c r="A5294" t="s">
        <v>27</v>
      </c>
      <c r="B5294" t="s">
        <v>148</v>
      </c>
      <c r="C5294" t="s">
        <v>159</v>
      </c>
      <c r="D5294" t="s">
        <v>288</v>
      </c>
      <c r="E5294" t="s">
        <v>417</v>
      </c>
      <c r="F5294">
        <f>HYPERLINK("https://www.wikidata.org/wiki/Q33755832", "Q33755832")</f>
        <v>0</v>
      </c>
      <c r="G5294" t="s">
        <v>3088</v>
      </c>
      <c r="H5294" t="s">
        <v>7535</v>
      </c>
      <c r="I5294" t="s">
        <v>10622</v>
      </c>
      <c r="J5294" t="s">
        <v>13710</v>
      </c>
      <c r="K5294" t="s">
        <v>18093</v>
      </c>
      <c r="L5294">
        <f>HYPERLINK("https://www2.assemblee-nationale.fr/sycomore/fiche/(num_dept)/376", "376")</f>
        <v>0</v>
      </c>
      <c r="N5294">
        <f>HYPERLINK("https://www.wikidata.org/wiki/Q15973464", "Q15973464")</f>
        <v>0</v>
      </c>
      <c r="O5294" t="s">
        <v>19967</v>
      </c>
      <c r="Q5294" t="s">
        <v>20738</v>
      </c>
      <c r="R5294" t="s">
        <v>417</v>
      </c>
      <c r="S5294">
        <v>1483</v>
      </c>
    </row>
    <row r="5295" spans="1:19">
      <c r="A5295" t="s">
        <v>27</v>
      </c>
      <c r="B5295" t="s">
        <v>148</v>
      </c>
      <c r="C5295" t="s">
        <v>159</v>
      </c>
      <c r="D5295" t="s">
        <v>288</v>
      </c>
      <c r="E5295" t="s">
        <v>417</v>
      </c>
      <c r="F5295">
        <f>HYPERLINK("https://www.wikidata.org/wiki/Q33755832", "Q33755832")</f>
        <v>0</v>
      </c>
      <c r="G5295" t="s">
        <v>3230</v>
      </c>
      <c r="H5295" t="s">
        <v>7656</v>
      </c>
      <c r="I5295" t="s">
        <v>9388</v>
      </c>
      <c r="J5295" t="s">
        <v>13849</v>
      </c>
      <c r="K5295" t="s">
        <v>18220</v>
      </c>
      <c r="L5295">
        <f>HYPERLINK("https://www2.assemblee-nationale.fr/sycomore/fiche/(num_dept)/381", "381")</f>
        <v>0</v>
      </c>
      <c r="N5295">
        <f>HYPERLINK("https://www.wikidata.org/wiki/Q18384840", "Q18384840")</f>
        <v>0</v>
      </c>
      <c r="O5295" t="s">
        <v>19976</v>
      </c>
      <c r="P5295" t="s">
        <v>20401</v>
      </c>
      <c r="Q5295" t="s">
        <v>20738</v>
      </c>
      <c r="R5295" t="s">
        <v>18220</v>
      </c>
      <c r="S5295">
        <v>310</v>
      </c>
    </row>
    <row r="5296" spans="1:19">
      <c r="A5296" t="s">
        <v>27</v>
      </c>
      <c r="B5296" t="s">
        <v>148</v>
      </c>
      <c r="C5296" t="s">
        <v>159</v>
      </c>
      <c r="D5296" t="s">
        <v>288</v>
      </c>
      <c r="E5296" t="s">
        <v>417</v>
      </c>
      <c r="F5296">
        <f>HYPERLINK("https://www.wikidata.org/wiki/Q33755832", "Q33755832")</f>
        <v>0</v>
      </c>
      <c r="G5296" t="s">
        <v>3403</v>
      </c>
      <c r="H5296" t="s">
        <v>7791</v>
      </c>
      <c r="I5296" t="s">
        <v>10812</v>
      </c>
      <c r="J5296" t="s">
        <v>14011</v>
      </c>
      <c r="K5296" t="s">
        <v>17631</v>
      </c>
      <c r="L5296">
        <f>HYPERLINK("https://www2.assemblee-nationale.fr/sycomore/fiche/(num_dept)/394", "394")</f>
        <v>0</v>
      </c>
      <c r="N5296">
        <f>HYPERLINK("https://www.wikidata.org/wiki/Q3083894", "Q3083894")</f>
        <v>0</v>
      </c>
      <c r="O5296" t="s">
        <v>19998</v>
      </c>
      <c r="P5296" t="s">
        <v>20460</v>
      </c>
      <c r="Q5296" t="s">
        <v>20738</v>
      </c>
      <c r="R5296" t="s">
        <v>417</v>
      </c>
      <c r="S5296">
        <v>1483</v>
      </c>
    </row>
    <row r="5297" spans="1:19">
      <c r="A5297" t="s">
        <v>27</v>
      </c>
      <c r="B5297" t="s">
        <v>148</v>
      </c>
      <c r="C5297" t="s">
        <v>159</v>
      </c>
      <c r="D5297" t="s">
        <v>288</v>
      </c>
      <c r="E5297" t="s">
        <v>417</v>
      </c>
      <c r="F5297">
        <f>HYPERLINK("https://www.wikidata.org/wiki/Q33755832", "Q33755832")</f>
        <v>0</v>
      </c>
      <c r="G5297" t="s">
        <v>2491</v>
      </c>
      <c r="H5297" t="s">
        <v>7064</v>
      </c>
      <c r="I5297" t="s">
        <v>10242</v>
      </c>
      <c r="J5297" t="s">
        <v>13135</v>
      </c>
      <c r="K5297" t="s">
        <v>17544</v>
      </c>
      <c r="L5297">
        <f>HYPERLINK("https://www2.assemblee-nationale.fr/sycomore/fiche/(num_dept)/420", "420")</f>
        <v>0</v>
      </c>
      <c r="M5297">
        <f>HYPERLINK("https://www.senat.fr/senateur-3eme-republique/barodet_desire1412r3.html", "barodet_desire1412r3")</f>
        <v>0</v>
      </c>
      <c r="N5297">
        <f>HYPERLINK("https://www.wikidata.org/wiki/Q1096310", "Q1096310")</f>
        <v>0</v>
      </c>
      <c r="O5297" t="s">
        <v>19969</v>
      </c>
      <c r="P5297" t="s">
        <v>20477</v>
      </c>
      <c r="Q5297" t="s">
        <v>20738</v>
      </c>
      <c r="R5297" t="s">
        <v>417</v>
      </c>
      <c r="S5297">
        <v>1483</v>
      </c>
    </row>
    <row r="5298" spans="1:19">
      <c r="A5298" t="s">
        <v>27</v>
      </c>
      <c r="B5298" t="s">
        <v>148</v>
      </c>
      <c r="C5298" t="s">
        <v>159</v>
      </c>
      <c r="D5298" t="s">
        <v>288</v>
      </c>
      <c r="E5298" t="s">
        <v>417</v>
      </c>
      <c r="F5298">
        <f>HYPERLINK("https://www.wikidata.org/wiki/Q33755832", "Q33755832")</f>
        <v>0</v>
      </c>
      <c r="G5298" t="s">
        <v>510</v>
      </c>
      <c r="H5298" t="s">
        <v>5275</v>
      </c>
      <c r="I5298" t="s">
        <v>9380</v>
      </c>
      <c r="J5298" t="s">
        <v>11262</v>
      </c>
      <c r="K5298" t="s">
        <v>15662</v>
      </c>
      <c r="L5298">
        <f>HYPERLINK("https://www2.assemblee-nationale.fr/sycomore/fiche/(num_dept)/434", "434")</f>
        <v>0</v>
      </c>
      <c r="N5298">
        <f>HYPERLINK("https://www.wikidata.org/wiki/Q314957", "Q314957")</f>
        <v>0</v>
      </c>
      <c r="O5298" t="s">
        <v>20007</v>
      </c>
      <c r="Q5298" t="s">
        <v>20738</v>
      </c>
      <c r="R5298" t="s">
        <v>417</v>
      </c>
      <c r="S5298">
        <v>1483</v>
      </c>
    </row>
    <row r="5299" spans="1:19">
      <c r="A5299" t="s">
        <v>27</v>
      </c>
      <c r="B5299" t="s">
        <v>148</v>
      </c>
      <c r="C5299" t="s">
        <v>159</v>
      </c>
      <c r="D5299" t="s">
        <v>288</v>
      </c>
      <c r="E5299" t="s">
        <v>417</v>
      </c>
      <c r="F5299">
        <f>HYPERLINK("https://www.wikidata.org/wiki/Q33755832", "Q33755832")</f>
        <v>0</v>
      </c>
      <c r="G5299" t="s">
        <v>512</v>
      </c>
      <c r="H5299" t="s">
        <v>5277</v>
      </c>
      <c r="I5299" t="s">
        <v>6495</v>
      </c>
      <c r="J5299" t="s">
        <v>11264</v>
      </c>
      <c r="K5299" t="s">
        <v>15664</v>
      </c>
      <c r="L5299">
        <f>HYPERLINK("https://www2.assemblee-nationale.fr/sycomore/fiche/(num_dept)/451", "451")</f>
        <v>0</v>
      </c>
      <c r="M5299">
        <f>HYPERLINK("https://www.senat.fr/senateur-3eme-republique/barthou_louis1071r3.html", "barthou_louis1071r3")</f>
        <v>0</v>
      </c>
      <c r="N5299">
        <f>HYPERLINK("https://www.wikidata.org/wiki/Q271887", "Q271887")</f>
        <v>0</v>
      </c>
      <c r="O5299" t="s">
        <v>19970</v>
      </c>
      <c r="Q5299" t="s">
        <v>20738</v>
      </c>
      <c r="R5299" t="s">
        <v>417</v>
      </c>
      <c r="S5299">
        <v>1483</v>
      </c>
    </row>
    <row r="5300" spans="1:19">
      <c r="A5300" t="s">
        <v>27</v>
      </c>
      <c r="B5300" t="s">
        <v>148</v>
      </c>
      <c r="C5300" t="s">
        <v>159</v>
      </c>
      <c r="D5300" t="s">
        <v>288</v>
      </c>
      <c r="E5300" t="s">
        <v>417</v>
      </c>
      <c r="F5300">
        <f>HYPERLINK("https://www.wikidata.org/wiki/Q33755832", "Q33755832")</f>
        <v>0</v>
      </c>
      <c r="G5300" t="s">
        <v>3404</v>
      </c>
      <c r="H5300" t="s">
        <v>7792</v>
      </c>
      <c r="I5300" t="s">
        <v>10813</v>
      </c>
      <c r="J5300" t="s">
        <v>14012</v>
      </c>
      <c r="K5300" t="s">
        <v>18379</v>
      </c>
      <c r="L5300">
        <f>HYPERLINK("https://www2.assemblee-nationale.fr/sycomore/fiche/(num_dept)/481", "481")</f>
        <v>0</v>
      </c>
      <c r="N5300">
        <f>HYPERLINK("https://www.wikidata.org/wiki/Q15973508", "Q15973508")</f>
        <v>0</v>
      </c>
      <c r="O5300" t="s">
        <v>19972</v>
      </c>
      <c r="P5300" t="s">
        <v>20473</v>
      </c>
      <c r="Q5300" t="s">
        <v>20738</v>
      </c>
      <c r="R5300" t="s">
        <v>417</v>
      </c>
      <c r="S5300">
        <v>1483</v>
      </c>
    </row>
    <row r="5301" spans="1:19">
      <c r="A5301" t="s">
        <v>27</v>
      </c>
      <c r="B5301" t="s">
        <v>148</v>
      </c>
      <c r="C5301" t="s">
        <v>159</v>
      </c>
      <c r="D5301" t="s">
        <v>288</v>
      </c>
      <c r="E5301" t="s">
        <v>417</v>
      </c>
      <c r="F5301">
        <f>HYPERLINK("https://www.wikidata.org/wiki/Q33755832", "Q33755832")</f>
        <v>0</v>
      </c>
      <c r="G5301" t="s">
        <v>516</v>
      </c>
      <c r="H5301" t="s">
        <v>5280</v>
      </c>
      <c r="I5301" t="s">
        <v>9384</v>
      </c>
      <c r="J5301" t="s">
        <v>11268</v>
      </c>
      <c r="K5301" t="s">
        <v>15668</v>
      </c>
      <c r="L5301">
        <f>HYPERLINK("https://www2.assemblee-nationale.fr/sycomore/fiche/(num_dept)/501", "501")</f>
        <v>0</v>
      </c>
      <c r="N5301">
        <f>HYPERLINK("https://www.wikidata.org/wiki/Q2861911", "Q2861911")</f>
        <v>0</v>
      </c>
      <c r="O5301" t="s">
        <v>19972</v>
      </c>
      <c r="Q5301" t="s">
        <v>20738</v>
      </c>
      <c r="R5301" t="s">
        <v>417</v>
      </c>
      <c r="S5301">
        <v>1483</v>
      </c>
    </row>
    <row r="5302" spans="1:19">
      <c r="A5302" t="s">
        <v>27</v>
      </c>
      <c r="B5302" t="s">
        <v>148</v>
      </c>
      <c r="C5302" t="s">
        <v>159</v>
      </c>
      <c r="D5302" t="s">
        <v>288</v>
      </c>
      <c r="E5302" t="s">
        <v>417</v>
      </c>
      <c r="F5302">
        <f>HYPERLINK("https://www.wikidata.org/wiki/Q33755832", "Q33755832")</f>
        <v>0</v>
      </c>
      <c r="G5302" t="s">
        <v>3405</v>
      </c>
      <c r="H5302" t="s">
        <v>7793</v>
      </c>
      <c r="I5302" t="s">
        <v>10814</v>
      </c>
      <c r="J5302" t="s">
        <v>13459</v>
      </c>
      <c r="K5302" t="s">
        <v>18380</v>
      </c>
      <c r="L5302">
        <f>HYPERLINK("https://www2.assemblee-nationale.fr/sycomore/fiche/(num_dept)/502", "502")</f>
        <v>0</v>
      </c>
      <c r="N5302">
        <f>HYPERLINK("https://www.wikidata.org/wiki/Q3188340", "Q3188340")</f>
        <v>0</v>
      </c>
      <c r="O5302" t="s">
        <v>19969</v>
      </c>
      <c r="Q5302" t="s">
        <v>20738</v>
      </c>
      <c r="R5302" t="s">
        <v>417</v>
      </c>
      <c r="S5302">
        <v>1483</v>
      </c>
    </row>
    <row r="5303" spans="1:19">
      <c r="A5303" t="s">
        <v>27</v>
      </c>
      <c r="B5303" t="s">
        <v>148</v>
      </c>
      <c r="C5303" t="s">
        <v>159</v>
      </c>
      <c r="D5303" t="s">
        <v>288</v>
      </c>
      <c r="E5303" t="s">
        <v>417</v>
      </c>
      <c r="F5303">
        <f>HYPERLINK("https://www.wikidata.org/wiki/Q33755832", "Q33755832")</f>
        <v>0</v>
      </c>
      <c r="G5303" t="s">
        <v>2495</v>
      </c>
      <c r="H5303" t="s">
        <v>7067</v>
      </c>
      <c r="I5303" t="s">
        <v>9401</v>
      </c>
      <c r="J5303" t="s">
        <v>13139</v>
      </c>
      <c r="K5303" t="s">
        <v>15720</v>
      </c>
      <c r="L5303">
        <f>HYPERLINK("https://www2.assemblee-nationale.fr/sycomore/fiche/(num_dept)/609", "609")</f>
        <v>0</v>
      </c>
      <c r="M5303">
        <f>HYPERLINK("https://www.senat.fr/senateur-3eme-republique/benazet_paul_antoine0262r3.html", "benazet_paul_antoine0262r3")</f>
        <v>0</v>
      </c>
      <c r="N5303">
        <f>HYPERLINK("https://www.wikidata.org/wiki/Q3370245", "Q3370245")</f>
        <v>0</v>
      </c>
      <c r="O5303" t="s">
        <v>19975</v>
      </c>
      <c r="P5303" t="s">
        <v>20460</v>
      </c>
      <c r="Q5303" t="s">
        <v>20738</v>
      </c>
      <c r="R5303" t="s">
        <v>21517</v>
      </c>
      <c r="S5303">
        <v>524</v>
      </c>
    </row>
    <row r="5304" spans="1:19">
      <c r="A5304" t="s">
        <v>27</v>
      </c>
      <c r="B5304" t="s">
        <v>148</v>
      </c>
      <c r="C5304" t="s">
        <v>159</v>
      </c>
      <c r="D5304" t="s">
        <v>288</v>
      </c>
      <c r="E5304" t="s">
        <v>417</v>
      </c>
      <c r="F5304">
        <f>HYPERLINK("https://www.wikidata.org/wiki/Q33755832", "Q33755832")</f>
        <v>0</v>
      </c>
      <c r="G5304" t="s">
        <v>3090</v>
      </c>
      <c r="H5304" t="s">
        <v>7537</v>
      </c>
      <c r="I5304" t="s">
        <v>10623</v>
      </c>
      <c r="J5304" t="s">
        <v>13712</v>
      </c>
      <c r="K5304" t="s">
        <v>18095</v>
      </c>
      <c r="L5304">
        <f>HYPERLINK("https://www2.assemblee-nationale.fr/sycomore/fiche/(num_dept)/636", "636")</f>
        <v>0</v>
      </c>
      <c r="N5304">
        <f>HYPERLINK("https://www.wikidata.org/wiki/Q16025420", "Q16025420")</f>
        <v>0</v>
      </c>
      <c r="O5304" t="s">
        <v>19967</v>
      </c>
      <c r="P5304" t="s">
        <v>20460</v>
      </c>
      <c r="Q5304" t="s">
        <v>20738</v>
      </c>
      <c r="R5304" t="s">
        <v>417</v>
      </c>
      <c r="S5304">
        <v>1483</v>
      </c>
    </row>
    <row r="5305" spans="1:19">
      <c r="A5305" t="s">
        <v>27</v>
      </c>
      <c r="B5305" t="s">
        <v>148</v>
      </c>
      <c r="C5305" t="s">
        <v>159</v>
      </c>
      <c r="D5305" t="s">
        <v>288</v>
      </c>
      <c r="E5305" t="s">
        <v>417</v>
      </c>
      <c r="F5305">
        <f>HYPERLINK("https://www.wikidata.org/wiki/Q33755832", "Q33755832")</f>
        <v>0</v>
      </c>
      <c r="G5305" t="s">
        <v>3091</v>
      </c>
      <c r="H5305" t="s">
        <v>5946</v>
      </c>
      <c r="I5305" t="s">
        <v>10624</v>
      </c>
      <c r="J5305" t="s">
        <v>13713</v>
      </c>
      <c r="K5305" t="s">
        <v>18096</v>
      </c>
      <c r="L5305">
        <f>HYPERLINK("https://www2.assemblee-nationale.fr/sycomore/fiche/(num_dept)/663", "663")</f>
        <v>0</v>
      </c>
      <c r="N5305">
        <f>HYPERLINK("https://www.wikidata.org/wiki/Q8307059", "Q8307059")</f>
        <v>0</v>
      </c>
      <c r="O5305" t="s">
        <v>19980</v>
      </c>
      <c r="P5305" t="s">
        <v>20460</v>
      </c>
      <c r="Q5305" t="s">
        <v>20738</v>
      </c>
      <c r="R5305" t="s">
        <v>417</v>
      </c>
      <c r="S5305">
        <v>1483</v>
      </c>
    </row>
    <row r="5306" spans="1:19">
      <c r="A5306" t="s">
        <v>27</v>
      </c>
      <c r="B5306" t="s">
        <v>148</v>
      </c>
      <c r="C5306" t="s">
        <v>159</v>
      </c>
      <c r="D5306" t="s">
        <v>288</v>
      </c>
      <c r="E5306" t="s">
        <v>417</v>
      </c>
      <c r="F5306">
        <f>HYPERLINK("https://www.wikidata.org/wiki/Q33755832", "Q33755832")</f>
        <v>0</v>
      </c>
      <c r="G5306" t="s">
        <v>2496</v>
      </c>
      <c r="H5306" t="s">
        <v>6635</v>
      </c>
      <c r="I5306" t="s">
        <v>10246</v>
      </c>
      <c r="J5306" t="s">
        <v>13140</v>
      </c>
      <c r="K5306" t="s">
        <v>17548</v>
      </c>
      <c r="L5306">
        <f>HYPERLINK("https://www2.assemblee-nationale.fr/sycomore/fiche/(num_dept)/670", "670")</f>
        <v>0</v>
      </c>
      <c r="N5306">
        <f>HYPERLINK("https://www.wikidata.org/wiki/Q15973639", "Q15973639")</f>
        <v>0</v>
      </c>
      <c r="O5306" t="s">
        <v>20013</v>
      </c>
      <c r="P5306" t="s">
        <v>20460</v>
      </c>
      <c r="Q5306" t="s">
        <v>20738</v>
      </c>
      <c r="R5306" t="s">
        <v>417</v>
      </c>
      <c r="S5306">
        <v>1483</v>
      </c>
    </row>
    <row r="5307" spans="1:19">
      <c r="A5307" t="s">
        <v>27</v>
      </c>
      <c r="B5307" t="s">
        <v>148</v>
      </c>
      <c r="C5307" t="s">
        <v>159</v>
      </c>
      <c r="D5307" t="s">
        <v>288</v>
      </c>
      <c r="E5307" t="s">
        <v>417</v>
      </c>
      <c r="F5307">
        <f>HYPERLINK("https://www.wikidata.org/wiki/Q33755832", "Q33755832")</f>
        <v>0</v>
      </c>
      <c r="G5307" t="s">
        <v>3406</v>
      </c>
      <c r="H5307" t="s">
        <v>5630</v>
      </c>
      <c r="I5307" t="s">
        <v>10815</v>
      </c>
      <c r="J5307" t="s">
        <v>11427</v>
      </c>
      <c r="K5307" t="s">
        <v>18381</v>
      </c>
      <c r="L5307">
        <f>HYPERLINK("https://www2.assemblee-nationale.fr/sycomore/fiche/(num_dept)/747", "747")</f>
        <v>0</v>
      </c>
      <c r="N5307">
        <f>HYPERLINK("https://www.wikidata.org/wiki/Q16011065", "Q16011065")</f>
        <v>0</v>
      </c>
      <c r="O5307" t="s">
        <v>20025</v>
      </c>
      <c r="Q5307" t="s">
        <v>20738</v>
      </c>
      <c r="R5307" t="s">
        <v>417</v>
      </c>
      <c r="S5307">
        <v>1483</v>
      </c>
    </row>
    <row r="5308" spans="1:19">
      <c r="A5308" t="s">
        <v>27</v>
      </c>
      <c r="B5308" t="s">
        <v>148</v>
      </c>
      <c r="C5308" t="s">
        <v>159</v>
      </c>
      <c r="D5308" t="s">
        <v>288</v>
      </c>
      <c r="E5308" t="s">
        <v>417</v>
      </c>
      <c r="F5308">
        <f>HYPERLINK("https://www.wikidata.org/wiki/Q33755832", "Q33755832")</f>
        <v>0</v>
      </c>
      <c r="G5308" t="s">
        <v>3407</v>
      </c>
      <c r="H5308" t="s">
        <v>7794</v>
      </c>
      <c r="I5308" t="s">
        <v>9388</v>
      </c>
      <c r="J5308" t="s">
        <v>14013</v>
      </c>
      <c r="K5308" t="s">
        <v>18382</v>
      </c>
      <c r="L5308">
        <f>HYPERLINK("https://www2.assemblee-nationale.fr/sycomore/fiche/(num_dept)/776", "776")</f>
        <v>0</v>
      </c>
      <c r="N5308">
        <f>HYPERLINK("https://www.wikidata.org/wiki/Q16025421", "Q16025421")</f>
        <v>0</v>
      </c>
      <c r="O5308" t="s">
        <v>20036</v>
      </c>
      <c r="P5308" t="s">
        <v>20475</v>
      </c>
      <c r="Q5308" t="s">
        <v>20738</v>
      </c>
      <c r="R5308" t="s">
        <v>18382</v>
      </c>
      <c r="S5308">
        <v>1378</v>
      </c>
    </row>
    <row r="5309" spans="1:19">
      <c r="A5309" t="s">
        <v>27</v>
      </c>
      <c r="B5309" t="s">
        <v>148</v>
      </c>
      <c r="C5309" t="s">
        <v>159</v>
      </c>
      <c r="D5309" t="s">
        <v>288</v>
      </c>
      <c r="E5309" t="s">
        <v>417</v>
      </c>
      <c r="F5309">
        <f>HYPERLINK("https://www.wikidata.org/wiki/Q33755832", "Q33755832")</f>
        <v>0</v>
      </c>
      <c r="G5309" t="s">
        <v>3093</v>
      </c>
      <c r="H5309" t="s">
        <v>7539</v>
      </c>
      <c r="I5309" t="s">
        <v>10626</v>
      </c>
      <c r="J5309" t="s">
        <v>13715</v>
      </c>
      <c r="K5309" t="s">
        <v>17818</v>
      </c>
      <c r="L5309">
        <f>HYPERLINK("https://www2.assemblee-nationale.fr/sycomore/fiche/(num_dept)/800", "800")</f>
        <v>0</v>
      </c>
      <c r="N5309">
        <f>HYPERLINK("https://www.wikidata.org/wiki/Q15973702", "Q15973702")</f>
        <v>0</v>
      </c>
      <c r="O5309" t="s">
        <v>19984</v>
      </c>
      <c r="Q5309" t="s">
        <v>20738</v>
      </c>
      <c r="R5309" t="s">
        <v>417</v>
      </c>
      <c r="S5309">
        <v>1483</v>
      </c>
    </row>
    <row r="5310" spans="1:19">
      <c r="A5310" t="s">
        <v>27</v>
      </c>
      <c r="B5310" t="s">
        <v>148</v>
      </c>
      <c r="C5310" t="s">
        <v>159</v>
      </c>
      <c r="D5310" t="s">
        <v>288</v>
      </c>
      <c r="E5310" t="s">
        <v>417</v>
      </c>
      <c r="F5310">
        <f>HYPERLINK("https://www.wikidata.org/wiki/Q33755832", "Q33755832")</f>
        <v>0</v>
      </c>
      <c r="G5310" t="s">
        <v>2502</v>
      </c>
      <c r="H5310" t="s">
        <v>7072</v>
      </c>
      <c r="I5310" t="s">
        <v>10250</v>
      </c>
      <c r="J5310" t="s">
        <v>13146</v>
      </c>
      <c r="K5310" t="s">
        <v>17554</v>
      </c>
      <c r="L5310">
        <f>HYPERLINK("https://www2.assemblee-nationale.fr/sycomore/fiche/(num_dept)/827", "827")</f>
        <v>0</v>
      </c>
      <c r="N5310">
        <f>HYPERLINK("https://www.wikidata.org/wiki/Q3419404", "Q3419404")</f>
        <v>0</v>
      </c>
      <c r="O5310" t="s">
        <v>20024</v>
      </c>
      <c r="P5310" t="s">
        <v>20409</v>
      </c>
      <c r="Q5310" t="s">
        <v>20738</v>
      </c>
      <c r="R5310" t="s">
        <v>21518</v>
      </c>
      <c r="S5310">
        <v>121</v>
      </c>
    </row>
    <row r="5311" spans="1:19">
      <c r="A5311" t="s">
        <v>27</v>
      </c>
      <c r="B5311" t="s">
        <v>148</v>
      </c>
      <c r="C5311" t="s">
        <v>159</v>
      </c>
      <c r="D5311" t="s">
        <v>288</v>
      </c>
      <c r="E5311" t="s">
        <v>417</v>
      </c>
      <c r="F5311">
        <f>HYPERLINK("https://www.wikidata.org/wiki/Q33755832", "Q33755832")</f>
        <v>0</v>
      </c>
      <c r="G5311" t="s">
        <v>2503</v>
      </c>
      <c r="H5311" t="s">
        <v>7073</v>
      </c>
      <c r="I5311" t="s">
        <v>6495</v>
      </c>
      <c r="J5311" t="s">
        <v>13147</v>
      </c>
      <c r="K5311" t="s">
        <v>17555</v>
      </c>
      <c r="L5311">
        <f>HYPERLINK("https://www2.assemblee-nationale.fr/sycomore/fiche/(num_dept)/831", "831")</f>
        <v>0</v>
      </c>
      <c r="M5311">
        <f>HYPERLINK("https://www.senat.fr/senateur-3eme-republique/bizarelli_louis0715r3.html", "bizarelli_louis0715r3")</f>
        <v>0</v>
      </c>
      <c r="N5311">
        <f>HYPERLINK("https://www.wikidata.org/wiki/Q3261277", "Q3261277")</f>
        <v>0</v>
      </c>
      <c r="O5311" t="s">
        <v>20044</v>
      </c>
      <c r="Q5311" t="s">
        <v>20738</v>
      </c>
      <c r="R5311" t="s">
        <v>417</v>
      </c>
      <c r="S5311">
        <v>1483</v>
      </c>
    </row>
    <row r="5312" spans="1:19">
      <c r="A5312" t="s">
        <v>27</v>
      </c>
      <c r="B5312" t="s">
        <v>148</v>
      </c>
      <c r="C5312" t="s">
        <v>159</v>
      </c>
      <c r="D5312" t="s">
        <v>288</v>
      </c>
      <c r="E5312" t="s">
        <v>417</v>
      </c>
      <c r="F5312">
        <f>HYPERLINK("https://www.wikidata.org/wiki/Q33755832", "Q33755832")</f>
        <v>0</v>
      </c>
      <c r="G5312" t="s">
        <v>3094</v>
      </c>
      <c r="H5312" t="s">
        <v>7540</v>
      </c>
      <c r="I5312" t="s">
        <v>10627</v>
      </c>
      <c r="J5312" t="s">
        <v>13716</v>
      </c>
      <c r="K5312" t="s">
        <v>18098</v>
      </c>
      <c r="L5312">
        <f>HYPERLINK("https://www2.assemblee-nationale.fr/sycomore/fiche/(num_dept)/837", "837")</f>
        <v>0</v>
      </c>
      <c r="N5312">
        <f>HYPERLINK("https://www.wikidata.org/wiki/Q15973737", "Q15973737")</f>
        <v>0</v>
      </c>
      <c r="O5312" t="s">
        <v>19991</v>
      </c>
      <c r="Q5312" t="s">
        <v>20738</v>
      </c>
      <c r="R5312" t="s">
        <v>417</v>
      </c>
      <c r="S5312">
        <v>1483</v>
      </c>
    </row>
    <row r="5313" spans="1:19">
      <c r="A5313" t="s">
        <v>27</v>
      </c>
      <c r="B5313" t="s">
        <v>148</v>
      </c>
      <c r="C5313" t="s">
        <v>159</v>
      </c>
      <c r="D5313" t="s">
        <v>288</v>
      </c>
      <c r="E5313" t="s">
        <v>417</v>
      </c>
      <c r="F5313">
        <f>HYPERLINK("https://www.wikidata.org/wiki/Q33755832", "Q33755832")</f>
        <v>0</v>
      </c>
      <c r="G5313" t="s">
        <v>2505</v>
      </c>
      <c r="H5313" t="s">
        <v>5296</v>
      </c>
      <c r="I5313" t="s">
        <v>6860</v>
      </c>
      <c r="J5313" t="s">
        <v>13149</v>
      </c>
      <c r="K5313" t="s">
        <v>17557</v>
      </c>
      <c r="L5313">
        <f>HYPERLINK("https://www2.assemblee-nationale.fr/sycomore/fiche/(num_dept)/851", "851")</f>
        <v>0</v>
      </c>
      <c r="N5313">
        <f>HYPERLINK("https://www.wikidata.org/wiki/Q3384025", "Q3384025")</f>
        <v>0</v>
      </c>
      <c r="O5313" t="s">
        <v>19988</v>
      </c>
      <c r="P5313" t="s">
        <v>20458</v>
      </c>
      <c r="Q5313" t="s">
        <v>20738</v>
      </c>
      <c r="R5313" t="s">
        <v>417</v>
      </c>
      <c r="S5313">
        <v>1483</v>
      </c>
    </row>
    <row r="5314" spans="1:19">
      <c r="A5314" t="s">
        <v>27</v>
      </c>
      <c r="B5314" t="s">
        <v>148</v>
      </c>
      <c r="C5314" t="s">
        <v>159</v>
      </c>
      <c r="D5314" t="s">
        <v>288</v>
      </c>
      <c r="E5314" t="s">
        <v>417</v>
      </c>
      <c r="F5314">
        <f>HYPERLINK("https://www.wikidata.org/wiki/Q33755832", "Q33755832")</f>
        <v>0</v>
      </c>
      <c r="G5314" t="s">
        <v>2507</v>
      </c>
      <c r="H5314" t="s">
        <v>7075</v>
      </c>
      <c r="I5314" t="s">
        <v>10253</v>
      </c>
      <c r="J5314" t="s">
        <v>13151</v>
      </c>
      <c r="K5314" t="s">
        <v>17559</v>
      </c>
      <c r="L5314">
        <f>HYPERLINK("https://www2.assemblee-nationale.fr/sycomore/fiche/(num_dept)/870", "870")</f>
        <v>0</v>
      </c>
      <c r="N5314">
        <f>HYPERLINK("https://www.wikidata.org/wiki/Q3292335", "Q3292335")</f>
        <v>0</v>
      </c>
      <c r="O5314" t="s">
        <v>20012</v>
      </c>
      <c r="P5314" t="s">
        <v>20460</v>
      </c>
      <c r="Q5314" t="s">
        <v>20738</v>
      </c>
      <c r="R5314" t="s">
        <v>417</v>
      </c>
      <c r="S5314">
        <v>1483</v>
      </c>
    </row>
    <row r="5315" spans="1:19">
      <c r="A5315" t="s">
        <v>27</v>
      </c>
      <c r="B5315" t="s">
        <v>148</v>
      </c>
      <c r="C5315" t="s">
        <v>159</v>
      </c>
      <c r="D5315" t="s">
        <v>288</v>
      </c>
      <c r="E5315" t="s">
        <v>417</v>
      </c>
      <c r="F5315">
        <f>HYPERLINK("https://www.wikidata.org/wiki/Q33755832", "Q33755832")</f>
        <v>0</v>
      </c>
      <c r="G5315" t="s">
        <v>3408</v>
      </c>
      <c r="H5315" t="s">
        <v>7795</v>
      </c>
      <c r="I5315" t="s">
        <v>9603</v>
      </c>
      <c r="J5315" t="s">
        <v>14014</v>
      </c>
      <c r="K5315" t="s">
        <v>16155</v>
      </c>
      <c r="L5315">
        <f>HYPERLINK("https://www2.assemblee-nationale.fr/sycomore/fiche/(num_dept)/898", "898")</f>
        <v>0</v>
      </c>
      <c r="N5315">
        <f>HYPERLINK("https://www.wikidata.org/wiki/Q2960523", "Q2960523")</f>
        <v>0</v>
      </c>
      <c r="O5315" t="s">
        <v>19964</v>
      </c>
      <c r="Q5315" t="s">
        <v>20738</v>
      </c>
      <c r="R5315" t="s">
        <v>417</v>
      </c>
      <c r="S5315">
        <v>1483</v>
      </c>
    </row>
    <row r="5316" spans="1:19">
      <c r="A5316" t="s">
        <v>27</v>
      </c>
      <c r="B5316" t="s">
        <v>148</v>
      </c>
      <c r="C5316" t="s">
        <v>159</v>
      </c>
      <c r="D5316" t="s">
        <v>288</v>
      </c>
      <c r="E5316" t="s">
        <v>417</v>
      </c>
      <c r="F5316">
        <f>HYPERLINK("https://www.wikidata.org/wiki/Q33755832", "Q33755832")</f>
        <v>0</v>
      </c>
      <c r="G5316" t="s">
        <v>3409</v>
      </c>
      <c r="H5316" t="s">
        <v>7796</v>
      </c>
      <c r="I5316" t="s">
        <v>9401</v>
      </c>
      <c r="J5316" t="s">
        <v>14015</v>
      </c>
      <c r="K5316" t="s">
        <v>18383</v>
      </c>
      <c r="L5316">
        <f>HYPERLINK("https://www2.assemblee-nationale.fr/sycomore/fiche/(num_dept)/965", "965")</f>
        <v>0</v>
      </c>
      <c r="M5316">
        <f>HYPERLINK("https://www.senat.fr/senateur-3eme-republique/bony_cisternes_antoine0999r3.html", "bony_cisternes_antoine0999r3")</f>
        <v>0</v>
      </c>
      <c r="N5316">
        <f>HYPERLINK("https://www.wikidata.org/wiki/Q2853703", "Q2853703")</f>
        <v>0</v>
      </c>
      <c r="O5316" t="s">
        <v>20005</v>
      </c>
      <c r="P5316" t="s">
        <v>20411</v>
      </c>
      <c r="Q5316" t="s">
        <v>20738</v>
      </c>
      <c r="R5316" t="s">
        <v>417</v>
      </c>
      <c r="S5316">
        <v>1483</v>
      </c>
    </row>
    <row r="5317" spans="1:19">
      <c r="A5317" t="s">
        <v>27</v>
      </c>
      <c r="B5317" t="s">
        <v>148</v>
      </c>
      <c r="C5317" t="s">
        <v>159</v>
      </c>
      <c r="D5317" t="s">
        <v>288</v>
      </c>
      <c r="E5317" t="s">
        <v>417</v>
      </c>
      <c r="F5317">
        <f>HYPERLINK("https://www.wikidata.org/wiki/Q33755832", "Q33755832")</f>
        <v>0</v>
      </c>
      <c r="G5317" t="s">
        <v>3233</v>
      </c>
      <c r="H5317" t="s">
        <v>7659</v>
      </c>
      <c r="I5317" t="s">
        <v>10721</v>
      </c>
      <c r="J5317" t="s">
        <v>13851</v>
      </c>
      <c r="K5317" t="s">
        <v>18223</v>
      </c>
      <c r="L5317">
        <f>HYPERLINK("https://www2.assemblee-nationale.fr/sycomore/fiche/(num_dept)/978", "978")</f>
        <v>0</v>
      </c>
      <c r="N5317">
        <f>HYPERLINK("https://www.wikidata.org/wiki/Q15973845", "Q15973845")</f>
        <v>0</v>
      </c>
      <c r="O5317" t="s">
        <v>20020</v>
      </c>
      <c r="Q5317" t="s">
        <v>20738</v>
      </c>
      <c r="R5317" t="s">
        <v>417</v>
      </c>
      <c r="S5317">
        <v>1483</v>
      </c>
    </row>
    <row r="5318" spans="1:19">
      <c r="A5318" t="s">
        <v>27</v>
      </c>
      <c r="B5318" t="s">
        <v>148</v>
      </c>
      <c r="C5318" t="s">
        <v>159</v>
      </c>
      <c r="D5318" t="s">
        <v>288</v>
      </c>
      <c r="E5318" t="s">
        <v>417</v>
      </c>
      <c r="F5318">
        <f>HYPERLINK("https://www.wikidata.org/wiki/Q33755832", "Q33755832")</f>
        <v>0</v>
      </c>
      <c r="G5318" t="s">
        <v>2510</v>
      </c>
      <c r="H5318" t="s">
        <v>7078</v>
      </c>
      <c r="I5318" t="s">
        <v>10255</v>
      </c>
      <c r="J5318" t="s">
        <v>13154</v>
      </c>
      <c r="K5318" t="s">
        <v>17562</v>
      </c>
      <c r="L5318">
        <f>HYPERLINK("https://www2.assemblee-nationale.fr/sycomore/fiche/(num_dept)/987", "987")</f>
        <v>0</v>
      </c>
      <c r="M5318">
        <f>HYPERLINK("https://www.senat.fr/senateur-3eme-republique/borriglione_alfred0114r3.html", "borriglione_alfred0114r3")</f>
        <v>0</v>
      </c>
      <c r="N5318">
        <f>HYPERLINK("https://www.wikidata.org/wiki/Q2834977", "Q2834977")</f>
        <v>0</v>
      </c>
      <c r="O5318" t="s">
        <v>20024</v>
      </c>
      <c r="Q5318" t="s">
        <v>20738</v>
      </c>
      <c r="R5318" t="s">
        <v>17998</v>
      </c>
      <c r="S5318">
        <v>179</v>
      </c>
    </row>
    <row r="5319" spans="1:19">
      <c r="A5319" t="s">
        <v>27</v>
      </c>
      <c r="B5319" t="s">
        <v>148</v>
      </c>
      <c r="C5319" t="s">
        <v>159</v>
      </c>
      <c r="D5319" t="s">
        <v>288</v>
      </c>
      <c r="E5319" t="s">
        <v>417</v>
      </c>
      <c r="F5319">
        <f>HYPERLINK("https://www.wikidata.org/wiki/Q33755832", "Q33755832")</f>
        <v>0</v>
      </c>
      <c r="G5319" t="s">
        <v>3410</v>
      </c>
      <c r="H5319" t="s">
        <v>7544</v>
      </c>
      <c r="I5319" t="s">
        <v>6478</v>
      </c>
      <c r="J5319" t="s">
        <v>14016</v>
      </c>
      <c r="K5319" t="s">
        <v>18384</v>
      </c>
      <c r="L5319">
        <f>HYPERLINK("https://www2.assemblee-nationale.fr/sycomore/fiche/(num_dept)/1008", "1008")</f>
        <v>0</v>
      </c>
      <c r="M5319">
        <f>HYPERLINK("https://www.senat.fr/senateur-3eme-republique/boucher_henry1805r3.html", "boucher_henry1805r3")</f>
        <v>0</v>
      </c>
      <c r="N5319">
        <f>HYPERLINK("https://www.wikidata.org/wiki/Q3132647", "Q3132647")</f>
        <v>0</v>
      </c>
      <c r="O5319" t="s">
        <v>20017</v>
      </c>
      <c r="Q5319" t="s">
        <v>20738</v>
      </c>
      <c r="R5319" t="s">
        <v>417</v>
      </c>
      <c r="S5319">
        <v>1483</v>
      </c>
    </row>
    <row r="5320" spans="1:19">
      <c r="A5320" t="s">
        <v>27</v>
      </c>
      <c r="B5320" t="s">
        <v>148</v>
      </c>
      <c r="C5320" t="s">
        <v>159</v>
      </c>
      <c r="D5320" t="s">
        <v>288</v>
      </c>
      <c r="E5320" t="s">
        <v>417</v>
      </c>
      <c r="F5320">
        <f>HYPERLINK("https://www.wikidata.org/wiki/Q33755832", "Q33755832")</f>
        <v>0</v>
      </c>
      <c r="G5320" t="s">
        <v>3098</v>
      </c>
      <c r="H5320" t="s">
        <v>7544</v>
      </c>
      <c r="I5320" t="s">
        <v>9775</v>
      </c>
      <c r="J5320" t="s">
        <v>13720</v>
      </c>
      <c r="K5320" t="s">
        <v>18102</v>
      </c>
      <c r="L5320">
        <f>HYPERLINK("https://www2.assemblee-nationale.fr/sycomore/fiche/(num_dept)/1009", "1009")</f>
        <v>0</v>
      </c>
      <c r="N5320">
        <f>HYPERLINK("https://www.wikidata.org/wiki/Q3184343", "Q3184343")</f>
        <v>0</v>
      </c>
      <c r="O5320" t="s">
        <v>20011</v>
      </c>
      <c r="P5320" t="s">
        <v>20460</v>
      </c>
      <c r="Q5320" t="s">
        <v>20738</v>
      </c>
      <c r="R5320" t="s">
        <v>417</v>
      </c>
      <c r="S5320">
        <v>1483</v>
      </c>
    </row>
    <row r="5321" spans="1:19">
      <c r="A5321" t="s">
        <v>27</v>
      </c>
      <c r="B5321" t="s">
        <v>148</v>
      </c>
      <c r="C5321" t="s">
        <v>159</v>
      </c>
      <c r="D5321" t="s">
        <v>288</v>
      </c>
      <c r="E5321" t="s">
        <v>417</v>
      </c>
      <c r="F5321">
        <f>HYPERLINK("https://www.wikidata.org/wiki/Q33755832", "Q33755832")</f>
        <v>0</v>
      </c>
      <c r="G5321" t="s">
        <v>3411</v>
      </c>
      <c r="H5321" t="s">
        <v>7797</v>
      </c>
      <c r="I5321" t="s">
        <v>10816</v>
      </c>
      <c r="J5321" t="s">
        <v>14017</v>
      </c>
      <c r="K5321" t="s">
        <v>18385</v>
      </c>
      <c r="L5321">
        <f>HYPERLINK("https://www2.assemblee-nationale.fr/sycomore/fiche/(num_dept)/1018", "1018")</f>
        <v>0</v>
      </c>
      <c r="M5321">
        <f>HYPERLINK("https://www.senat.fr/senateur-3eme-republique/boudenoot_louis0930r3.html", "boudenoot_louis0930r3")</f>
        <v>0</v>
      </c>
      <c r="N5321">
        <f>HYPERLINK("https://www.wikidata.org/wiki/Q3261324", "Q3261324")</f>
        <v>0</v>
      </c>
      <c r="O5321" t="s">
        <v>19968</v>
      </c>
      <c r="P5321" t="s">
        <v>20411</v>
      </c>
      <c r="Q5321" t="s">
        <v>20738</v>
      </c>
      <c r="R5321" t="s">
        <v>417</v>
      </c>
      <c r="S5321">
        <v>1483</v>
      </c>
    </row>
    <row r="5322" spans="1:19">
      <c r="A5322" t="s">
        <v>27</v>
      </c>
      <c r="B5322" t="s">
        <v>148</v>
      </c>
      <c r="C5322" t="s">
        <v>159</v>
      </c>
      <c r="D5322" t="s">
        <v>288</v>
      </c>
      <c r="E5322" t="s">
        <v>417</v>
      </c>
      <c r="F5322">
        <f>HYPERLINK("https://www.wikidata.org/wiki/Q33755832", "Q33755832")</f>
        <v>0</v>
      </c>
      <c r="G5322" t="s">
        <v>2514</v>
      </c>
      <c r="H5322" t="s">
        <v>7082</v>
      </c>
      <c r="I5322" t="s">
        <v>9385</v>
      </c>
      <c r="J5322" t="s">
        <v>13158</v>
      </c>
      <c r="K5322" t="s">
        <v>17565</v>
      </c>
      <c r="L5322">
        <f>HYPERLINK("https://www2.assemblee-nationale.fr/sycomore/fiche/(num_dept)/1021", "1021")</f>
        <v>0</v>
      </c>
      <c r="N5322">
        <f>HYPERLINK("https://www.wikidata.org/wiki/Q15973825", "Q15973825")</f>
        <v>0</v>
      </c>
      <c r="O5322" t="s">
        <v>19989</v>
      </c>
      <c r="P5322" t="s">
        <v>20459</v>
      </c>
      <c r="Q5322" t="s">
        <v>20738</v>
      </c>
      <c r="R5322" t="s">
        <v>417</v>
      </c>
      <c r="S5322">
        <v>1483</v>
      </c>
    </row>
    <row r="5323" spans="1:19">
      <c r="A5323" t="s">
        <v>27</v>
      </c>
      <c r="B5323" t="s">
        <v>148</v>
      </c>
      <c r="C5323" t="s">
        <v>159</v>
      </c>
      <c r="D5323" t="s">
        <v>288</v>
      </c>
      <c r="E5323" t="s">
        <v>417</v>
      </c>
      <c r="F5323">
        <f>HYPERLINK("https://www.wikidata.org/wiki/Q33755832", "Q33755832")</f>
        <v>0</v>
      </c>
      <c r="G5323" t="s">
        <v>3373</v>
      </c>
      <c r="H5323" t="s">
        <v>7083</v>
      </c>
      <c r="I5323" t="s">
        <v>5528</v>
      </c>
      <c r="J5323" t="s">
        <v>13985</v>
      </c>
      <c r="K5323" t="s">
        <v>18353</v>
      </c>
      <c r="L5323">
        <f>HYPERLINK("https://www2.assemblee-nationale.fr/sycomore/fiche/(num_dept)/1083", "1083")</f>
        <v>0</v>
      </c>
      <c r="M5323">
        <f>HYPERLINK("https://www.senat.fr/senateur-3eme-republique/bourgeois_leon0647r3.html", "bourgeois_leon0647r3")</f>
        <v>0</v>
      </c>
      <c r="N5323">
        <f>HYPERLINK("https://www.wikidata.org/wiki/Q217706", "Q217706")</f>
        <v>0</v>
      </c>
      <c r="O5323" t="s">
        <v>20025</v>
      </c>
      <c r="P5323" t="s">
        <v>20477</v>
      </c>
      <c r="Q5323" t="s">
        <v>20738</v>
      </c>
      <c r="R5323" t="s">
        <v>417</v>
      </c>
      <c r="S5323">
        <v>1483</v>
      </c>
    </row>
    <row r="5324" spans="1:19">
      <c r="A5324" t="s">
        <v>27</v>
      </c>
      <c r="B5324" t="s">
        <v>148</v>
      </c>
      <c r="C5324" t="s">
        <v>159</v>
      </c>
      <c r="D5324" t="s">
        <v>288</v>
      </c>
      <c r="E5324" t="s">
        <v>417</v>
      </c>
      <c r="F5324">
        <f>HYPERLINK("https://www.wikidata.org/wiki/Q33755832", "Q33755832")</f>
        <v>0</v>
      </c>
      <c r="G5324" t="s">
        <v>2515</v>
      </c>
      <c r="H5324" t="s">
        <v>7083</v>
      </c>
      <c r="I5324" t="s">
        <v>10259</v>
      </c>
      <c r="J5324" t="s">
        <v>13159</v>
      </c>
      <c r="K5324" t="s">
        <v>17566</v>
      </c>
      <c r="L5324">
        <f>HYPERLINK("https://www2.assemblee-nationale.fr/sycomore/fiche/(num_dept)/1085", "1085")</f>
        <v>0</v>
      </c>
      <c r="N5324">
        <f>HYPERLINK("https://www.wikidata.org/wiki/Q15973888", "Q15973888")</f>
        <v>0</v>
      </c>
      <c r="O5324" t="s">
        <v>19972</v>
      </c>
      <c r="Q5324" t="s">
        <v>20738</v>
      </c>
      <c r="R5324" t="s">
        <v>417</v>
      </c>
      <c r="S5324">
        <v>1483</v>
      </c>
    </row>
    <row r="5325" spans="1:19">
      <c r="A5325" t="s">
        <v>27</v>
      </c>
      <c r="B5325" t="s">
        <v>148</v>
      </c>
      <c r="C5325" t="s">
        <v>159</v>
      </c>
      <c r="D5325" t="s">
        <v>288</v>
      </c>
      <c r="E5325" t="s">
        <v>417</v>
      </c>
      <c r="F5325">
        <f>HYPERLINK("https://www.wikidata.org/wiki/Q33755832", "Q33755832")</f>
        <v>0</v>
      </c>
      <c r="G5325" t="s">
        <v>3099</v>
      </c>
      <c r="H5325" t="s">
        <v>7545</v>
      </c>
      <c r="I5325" t="s">
        <v>10631</v>
      </c>
      <c r="J5325" t="s">
        <v>13721</v>
      </c>
      <c r="K5325" t="s">
        <v>18103</v>
      </c>
      <c r="L5325">
        <f>HYPERLINK("https://www2.assemblee-nationale.fr/sycomore/fiche/(num_dept)/1087", "1087")</f>
        <v>0</v>
      </c>
      <c r="M5325">
        <f>HYPERLINK("https://www.senat.fr/senateur-3eme-republique/bourgeois_jean0438r3.html", "bourgeois_jean0438r3")</f>
        <v>0</v>
      </c>
      <c r="N5325">
        <f>HYPERLINK("https://www.wikidata.org/wiki/Q3163901", "Q3163901")</f>
        <v>0</v>
      </c>
      <c r="O5325" t="s">
        <v>20041</v>
      </c>
      <c r="P5325" t="s">
        <v>20401</v>
      </c>
      <c r="Q5325" t="s">
        <v>20738</v>
      </c>
      <c r="R5325" t="s">
        <v>417</v>
      </c>
      <c r="S5325">
        <v>1483</v>
      </c>
    </row>
    <row r="5326" spans="1:19">
      <c r="A5326" t="s">
        <v>27</v>
      </c>
      <c r="B5326" t="s">
        <v>148</v>
      </c>
      <c r="C5326" t="s">
        <v>159</v>
      </c>
      <c r="D5326" t="s">
        <v>288</v>
      </c>
      <c r="E5326" t="s">
        <v>417</v>
      </c>
      <c r="F5326">
        <f>HYPERLINK("https://www.wikidata.org/wiki/Q33755832", "Q33755832")</f>
        <v>0</v>
      </c>
      <c r="G5326" t="s">
        <v>3100</v>
      </c>
      <c r="H5326" t="s">
        <v>7546</v>
      </c>
      <c r="I5326" t="s">
        <v>10632</v>
      </c>
      <c r="J5326" t="s">
        <v>13722</v>
      </c>
      <c r="K5326" t="s">
        <v>18104</v>
      </c>
      <c r="L5326">
        <f>HYPERLINK("https://www2.assemblee-nationale.fr/sycomore/fiche/(num_dept)/1098", "1098")</f>
        <v>0</v>
      </c>
      <c r="N5326">
        <f>HYPERLINK("https://www.wikidata.org/wiki/Q16627632", "Q16627632")</f>
        <v>0</v>
      </c>
      <c r="O5326" t="s">
        <v>20000</v>
      </c>
      <c r="P5326" t="s">
        <v>20459</v>
      </c>
      <c r="Q5326" t="s">
        <v>20738</v>
      </c>
      <c r="R5326" t="s">
        <v>417</v>
      </c>
      <c r="S5326">
        <v>1483</v>
      </c>
    </row>
    <row r="5327" spans="1:19">
      <c r="A5327" t="s">
        <v>27</v>
      </c>
      <c r="B5327" t="s">
        <v>148</v>
      </c>
      <c r="C5327" t="s">
        <v>159</v>
      </c>
      <c r="D5327" t="s">
        <v>288</v>
      </c>
      <c r="E5327" t="s">
        <v>417</v>
      </c>
      <c r="F5327">
        <f>HYPERLINK("https://www.wikidata.org/wiki/Q33755832", "Q33755832")</f>
        <v>0</v>
      </c>
      <c r="G5327" t="s">
        <v>3412</v>
      </c>
      <c r="H5327" t="s">
        <v>7798</v>
      </c>
      <c r="I5327" t="s">
        <v>10817</v>
      </c>
      <c r="J5327" t="s">
        <v>14018</v>
      </c>
      <c r="K5327" t="s">
        <v>18386</v>
      </c>
      <c r="L5327">
        <f>HYPERLINK("https://www2.assemblee-nationale.fr/sycomore/fiche/(num_dept)/1100", "1100")</f>
        <v>0</v>
      </c>
      <c r="N5327">
        <f>HYPERLINK("https://www.wikidata.org/wiki/Q2958604", "Q2958604")</f>
        <v>0</v>
      </c>
      <c r="O5327" t="s">
        <v>20022</v>
      </c>
      <c r="P5327" t="s">
        <v>20479</v>
      </c>
      <c r="Q5327" t="s">
        <v>20738</v>
      </c>
      <c r="R5327" t="s">
        <v>417</v>
      </c>
      <c r="S5327">
        <v>1483</v>
      </c>
    </row>
    <row r="5328" spans="1:19">
      <c r="A5328" t="s">
        <v>27</v>
      </c>
      <c r="B5328" t="s">
        <v>148</v>
      </c>
      <c r="C5328" t="s">
        <v>159</v>
      </c>
      <c r="D5328" t="s">
        <v>288</v>
      </c>
      <c r="E5328" t="s">
        <v>417</v>
      </c>
      <c r="F5328">
        <f>HYPERLINK("https://www.wikidata.org/wiki/Q33755832", "Q33755832")</f>
        <v>0</v>
      </c>
      <c r="G5328" t="s">
        <v>2518</v>
      </c>
      <c r="H5328" t="s">
        <v>7084</v>
      </c>
      <c r="I5328" t="s">
        <v>10261</v>
      </c>
      <c r="J5328" t="s">
        <v>13162</v>
      </c>
      <c r="K5328" t="s">
        <v>17569</v>
      </c>
      <c r="L5328">
        <f>HYPERLINK("https://www2.assemblee-nationale.fr/sycomore/fiche/(num_dept)/1131", "1131")</f>
        <v>0</v>
      </c>
      <c r="N5328">
        <f>HYPERLINK("https://www.wikidata.org/wiki/Q15973924", "Q15973924")</f>
        <v>0</v>
      </c>
      <c r="O5328" t="s">
        <v>19994</v>
      </c>
      <c r="P5328" t="s">
        <v>20458</v>
      </c>
      <c r="Q5328" t="s">
        <v>20738</v>
      </c>
      <c r="R5328" t="s">
        <v>17569</v>
      </c>
      <c r="S5328">
        <v>629</v>
      </c>
    </row>
    <row r="5329" spans="1:19">
      <c r="A5329" t="s">
        <v>27</v>
      </c>
      <c r="B5329" t="s">
        <v>148</v>
      </c>
      <c r="C5329" t="s">
        <v>159</v>
      </c>
      <c r="D5329" t="s">
        <v>288</v>
      </c>
      <c r="E5329" t="s">
        <v>417</v>
      </c>
      <c r="F5329">
        <f>HYPERLINK("https://www.wikidata.org/wiki/Q33755832", "Q33755832")</f>
        <v>0</v>
      </c>
      <c r="G5329" t="s">
        <v>2519</v>
      </c>
      <c r="H5329" t="s">
        <v>6100</v>
      </c>
      <c r="I5329" t="s">
        <v>10262</v>
      </c>
      <c r="J5329" t="s">
        <v>13163</v>
      </c>
      <c r="K5329" t="s">
        <v>17570</v>
      </c>
      <c r="L5329">
        <f>HYPERLINK("https://www2.assemblee-nationale.fr/sycomore/fiche/(num_dept)/1148", "1148")</f>
        <v>0</v>
      </c>
      <c r="N5329">
        <f>HYPERLINK("https://www.wikidata.org/wiki/Q8309995", "Q8309995")</f>
        <v>0</v>
      </c>
      <c r="O5329" t="s">
        <v>20006</v>
      </c>
      <c r="P5329" t="s">
        <v>20401</v>
      </c>
      <c r="Q5329" t="s">
        <v>20738</v>
      </c>
      <c r="R5329" t="s">
        <v>417</v>
      </c>
      <c r="S5329">
        <v>1483</v>
      </c>
    </row>
    <row r="5330" spans="1:19">
      <c r="A5330" t="s">
        <v>27</v>
      </c>
      <c r="B5330" t="s">
        <v>148</v>
      </c>
      <c r="C5330" t="s">
        <v>159</v>
      </c>
      <c r="D5330" t="s">
        <v>288</v>
      </c>
      <c r="E5330" t="s">
        <v>417</v>
      </c>
      <c r="F5330">
        <f>HYPERLINK("https://www.wikidata.org/wiki/Q33755832", "Q33755832")</f>
        <v>0</v>
      </c>
      <c r="G5330" t="s">
        <v>2521</v>
      </c>
      <c r="H5330" t="s">
        <v>7085</v>
      </c>
      <c r="I5330" t="s">
        <v>10264</v>
      </c>
      <c r="J5330" t="s">
        <v>13165</v>
      </c>
      <c r="K5330" t="s">
        <v>17571</v>
      </c>
      <c r="L5330">
        <f>HYPERLINK("https://www2.assemblee-nationale.fr/sycomore/fiche/(num_dept)/1158", "1158")</f>
        <v>0</v>
      </c>
      <c r="N5330">
        <f>HYPERLINK("https://www.wikidata.org/wiki/Q8305634", "Q8305634")</f>
        <v>0</v>
      </c>
      <c r="O5330" t="s">
        <v>19994</v>
      </c>
      <c r="P5330" t="s">
        <v>20401</v>
      </c>
      <c r="Q5330" t="s">
        <v>20738</v>
      </c>
      <c r="R5330" t="s">
        <v>417</v>
      </c>
      <c r="S5330">
        <v>1483</v>
      </c>
    </row>
    <row r="5331" spans="1:19">
      <c r="A5331" t="s">
        <v>27</v>
      </c>
      <c r="B5331" t="s">
        <v>148</v>
      </c>
      <c r="C5331" t="s">
        <v>159</v>
      </c>
      <c r="D5331" t="s">
        <v>288</v>
      </c>
      <c r="E5331" t="s">
        <v>417</v>
      </c>
      <c r="F5331">
        <f>HYPERLINK("https://www.wikidata.org/wiki/Q33755832", "Q33755832")</f>
        <v>0</v>
      </c>
      <c r="G5331" t="s">
        <v>3101</v>
      </c>
      <c r="H5331" t="s">
        <v>7547</v>
      </c>
      <c r="I5331" t="s">
        <v>10633</v>
      </c>
      <c r="J5331" t="s">
        <v>13723</v>
      </c>
      <c r="K5331" t="s">
        <v>18105</v>
      </c>
      <c r="L5331">
        <f>HYPERLINK("https://www2.assemblee-nationale.fr/sycomore/fiche/(num_dept)/1198", "1198")</f>
        <v>0</v>
      </c>
      <c r="N5331">
        <f>HYPERLINK("https://www.wikidata.org/wiki/Q3132908", "Q3132908")</f>
        <v>0</v>
      </c>
      <c r="O5331" t="s">
        <v>20027</v>
      </c>
      <c r="P5331" t="s">
        <v>20460</v>
      </c>
      <c r="Q5331" t="s">
        <v>20738</v>
      </c>
      <c r="R5331" t="s">
        <v>21095</v>
      </c>
      <c r="S5331">
        <v>1122</v>
      </c>
    </row>
    <row r="5332" spans="1:19">
      <c r="A5332" t="s">
        <v>27</v>
      </c>
      <c r="B5332" t="s">
        <v>148</v>
      </c>
      <c r="C5332" t="s">
        <v>159</v>
      </c>
      <c r="D5332" t="s">
        <v>288</v>
      </c>
      <c r="E5332" t="s">
        <v>417</v>
      </c>
      <c r="F5332">
        <f>HYPERLINK("https://www.wikidata.org/wiki/Q33755832", "Q33755832")</f>
        <v>0</v>
      </c>
      <c r="G5332" t="s">
        <v>3413</v>
      </c>
      <c r="H5332" t="s">
        <v>5315</v>
      </c>
      <c r="I5332" t="s">
        <v>9442</v>
      </c>
      <c r="J5332" t="s">
        <v>13838</v>
      </c>
      <c r="K5332" t="s">
        <v>18387</v>
      </c>
      <c r="L5332">
        <f>HYPERLINK("https://www2.assemblee-nationale.fr/sycomore/fiche/(num_dept)/1201", "1201")</f>
        <v>0</v>
      </c>
      <c r="N5332">
        <f>HYPERLINK("https://www.wikidata.org/wiki/Q13080862", "Q13080862")</f>
        <v>0</v>
      </c>
      <c r="O5332" t="s">
        <v>19978</v>
      </c>
      <c r="P5332" t="s">
        <v>20479</v>
      </c>
      <c r="Q5332" t="s">
        <v>20738</v>
      </c>
      <c r="R5332" t="s">
        <v>417</v>
      </c>
      <c r="S5332">
        <v>1483</v>
      </c>
    </row>
    <row r="5333" spans="1:19">
      <c r="A5333" t="s">
        <v>27</v>
      </c>
      <c r="B5333" t="s">
        <v>148</v>
      </c>
      <c r="C5333" t="s">
        <v>159</v>
      </c>
      <c r="D5333" t="s">
        <v>288</v>
      </c>
      <c r="E5333" t="s">
        <v>417</v>
      </c>
      <c r="F5333">
        <f>HYPERLINK("https://www.wikidata.org/wiki/Q33755832", "Q33755832")</f>
        <v>0</v>
      </c>
      <c r="G5333" t="s">
        <v>3414</v>
      </c>
      <c r="H5333" t="s">
        <v>7799</v>
      </c>
      <c r="I5333" t="s">
        <v>10818</v>
      </c>
      <c r="J5333" t="s">
        <v>14019</v>
      </c>
      <c r="K5333" t="s">
        <v>18388</v>
      </c>
      <c r="L5333">
        <f>HYPERLINK("https://www2.assemblee-nationale.fr/sycomore/fiche/(num_dept)/1207", "1207")</f>
        <v>0</v>
      </c>
      <c r="N5333">
        <f>HYPERLINK("https://www.wikidata.org/wiki/Q16026138", "Q16026138")</f>
        <v>0</v>
      </c>
      <c r="O5333" t="s">
        <v>20022</v>
      </c>
      <c r="P5333" t="s">
        <v>20460</v>
      </c>
      <c r="Q5333" t="s">
        <v>20738</v>
      </c>
      <c r="R5333" t="s">
        <v>417</v>
      </c>
      <c r="S5333">
        <v>1483</v>
      </c>
    </row>
    <row r="5334" spans="1:19">
      <c r="A5334" t="s">
        <v>27</v>
      </c>
      <c r="B5334" t="s">
        <v>148</v>
      </c>
      <c r="C5334" t="s">
        <v>159</v>
      </c>
      <c r="D5334" t="s">
        <v>288</v>
      </c>
      <c r="E5334" t="s">
        <v>417</v>
      </c>
      <c r="F5334">
        <f>HYPERLINK("https://www.wikidata.org/wiki/Q33755832", "Q33755832")</f>
        <v>0</v>
      </c>
      <c r="G5334" t="s">
        <v>3054</v>
      </c>
      <c r="H5334" t="s">
        <v>7509</v>
      </c>
      <c r="I5334" t="s">
        <v>10571</v>
      </c>
      <c r="J5334" t="s">
        <v>13680</v>
      </c>
      <c r="K5334" t="s">
        <v>18061</v>
      </c>
      <c r="L5334">
        <f>HYPERLINK("https://www2.assemblee-nationale.fr/sycomore/fiche/(num_dept)/1224", "1224")</f>
        <v>0</v>
      </c>
      <c r="M5334">
        <f>HYPERLINK("https://www.senat.fr/senateur-3eme-republique/briens_ernest1030r3.html", "briens_ernest1030r3")</f>
        <v>0</v>
      </c>
      <c r="N5334">
        <f>HYPERLINK("https://www.wikidata.org/wiki/Q3056863", "Q3056863")</f>
        <v>0</v>
      </c>
      <c r="O5334" t="s">
        <v>19985</v>
      </c>
      <c r="P5334" t="s">
        <v>20479</v>
      </c>
      <c r="Q5334" t="s">
        <v>20738</v>
      </c>
      <c r="R5334" t="s">
        <v>417</v>
      </c>
      <c r="S5334">
        <v>1483</v>
      </c>
    </row>
    <row r="5335" spans="1:19">
      <c r="A5335" t="s">
        <v>27</v>
      </c>
      <c r="B5335" t="s">
        <v>148</v>
      </c>
      <c r="C5335" t="s">
        <v>159</v>
      </c>
      <c r="D5335" t="s">
        <v>288</v>
      </c>
      <c r="E5335" t="s">
        <v>417</v>
      </c>
      <c r="F5335">
        <f>HYPERLINK("https://www.wikidata.org/wiki/Q33755832", "Q33755832")</f>
        <v>0</v>
      </c>
      <c r="G5335" t="s">
        <v>892</v>
      </c>
      <c r="H5335" t="s">
        <v>5648</v>
      </c>
      <c r="I5335" t="s">
        <v>9457</v>
      </c>
      <c r="J5335" t="s">
        <v>11638</v>
      </c>
      <c r="K5335" t="s">
        <v>16038</v>
      </c>
      <c r="L5335">
        <f>HYPERLINK("https://www2.assemblee-nationale.fr/sycomore/fiche/(num_dept)/1240", "1240")</f>
        <v>0</v>
      </c>
      <c r="N5335">
        <f>HYPERLINK("https://www.wikidata.org/wiki/Q669725", "Q669725")</f>
        <v>0</v>
      </c>
      <c r="O5335" t="s">
        <v>19969</v>
      </c>
      <c r="P5335" t="s">
        <v>20401</v>
      </c>
      <c r="Q5335" t="s">
        <v>20738</v>
      </c>
      <c r="R5335" t="s">
        <v>417</v>
      </c>
      <c r="S5335">
        <v>1483</v>
      </c>
    </row>
    <row r="5336" spans="1:19">
      <c r="A5336" t="s">
        <v>27</v>
      </c>
      <c r="B5336" t="s">
        <v>148</v>
      </c>
      <c r="C5336" t="s">
        <v>159</v>
      </c>
      <c r="D5336" t="s">
        <v>288</v>
      </c>
      <c r="E5336" t="s">
        <v>417</v>
      </c>
      <c r="F5336">
        <f>HYPERLINK("https://www.wikidata.org/wiki/Q33755832", "Q33755832")</f>
        <v>0</v>
      </c>
      <c r="G5336" t="s">
        <v>2523</v>
      </c>
      <c r="H5336" t="s">
        <v>5320</v>
      </c>
      <c r="I5336" t="s">
        <v>9389</v>
      </c>
      <c r="J5336" t="s">
        <v>13167</v>
      </c>
      <c r="K5336" t="s">
        <v>17573</v>
      </c>
      <c r="L5336">
        <f>HYPERLINK("https://www2.assemblee-nationale.fr/sycomore/fiche/(num_dept)/1259", "1259")</f>
        <v>0</v>
      </c>
      <c r="N5336">
        <f>HYPERLINK("https://www.wikidata.org/wiki/Q15968404", "Q15968404")</f>
        <v>0</v>
      </c>
      <c r="O5336" t="s">
        <v>20001</v>
      </c>
      <c r="P5336" t="s">
        <v>20401</v>
      </c>
      <c r="Q5336" t="s">
        <v>20738</v>
      </c>
      <c r="R5336" t="s">
        <v>417</v>
      </c>
      <c r="S5336">
        <v>1483</v>
      </c>
    </row>
    <row r="5337" spans="1:19">
      <c r="A5337" t="s">
        <v>27</v>
      </c>
      <c r="B5337" t="s">
        <v>148</v>
      </c>
      <c r="C5337" t="s">
        <v>159</v>
      </c>
      <c r="D5337" t="s">
        <v>288</v>
      </c>
      <c r="E5337" t="s">
        <v>417</v>
      </c>
      <c r="F5337">
        <f>HYPERLINK("https://www.wikidata.org/wiki/Q33755832", "Q33755832")</f>
        <v>0</v>
      </c>
      <c r="G5337" t="s">
        <v>2525</v>
      </c>
      <c r="H5337" t="s">
        <v>7088</v>
      </c>
      <c r="I5337" t="s">
        <v>10267</v>
      </c>
      <c r="J5337" t="s">
        <v>13169</v>
      </c>
      <c r="K5337" t="s">
        <v>17575</v>
      </c>
      <c r="L5337">
        <f>HYPERLINK("https://www2.assemblee-nationale.fr/sycomore/fiche/(num_dept)/1271", "1271")</f>
        <v>0</v>
      </c>
      <c r="M5337">
        <f>HYPERLINK("https://www.senat.fr/senateur-3eme-republique/brugnot_alfred1798r3.html", "brugnot_alfred1798r3")</f>
        <v>0</v>
      </c>
      <c r="N5337">
        <f>HYPERLINK("https://www.wikidata.org/wiki/Q2834995", "Q2834995")</f>
        <v>0</v>
      </c>
      <c r="O5337" t="s">
        <v>20017</v>
      </c>
      <c r="Q5337" t="s">
        <v>20738</v>
      </c>
      <c r="R5337" t="s">
        <v>19459</v>
      </c>
      <c r="S5337">
        <v>484</v>
      </c>
    </row>
    <row r="5338" spans="1:19">
      <c r="A5338" t="s">
        <v>27</v>
      </c>
      <c r="B5338" t="s">
        <v>148</v>
      </c>
      <c r="C5338" t="s">
        <v>159</v>
      </c>
      <c r="D5338" t="s">
        <v>288</v>
      </c>
      <c r="E5338" t="s">
        <v>417</v>
      </c>
      <c r="F5338">
        <f>HYPERLINK("https://www.wikidata.org/wiki/Q33755832", "Q33755832")</f>
        <v>0</v>
      </c>
      <c r="G5338" t="s">
        <v>3384</v>
      </c>
      <c r="H5338" t="s">
        <v>7775</v>
      </c>
      <c r="I5338" t="s">
        <v>10799</v>
      </c>
      <c r="J5338" t="s">
        <v>13994</v>
      </c>
      <c r="K5338" t="s">
        <v>18364</v>
      </c>
      <c r="L5338">
        <f>HYPERLINK("https://www2.assemblee-nationale.fr/sycomore/fiche/(num_dept)/1293", "1293")</f>
        <v>0</v>
      </c>
      <c r="N5338">
        <f>HYPERLINK("https://www.wikidata.org/wiki/Q3092391", "Q3092391")</f>
        <v>0</v>
      </c>
      <c r="O5338" t="s">
        <v>20018</v>
      </c>
      <c r="P5338" t="s">
        <v>20463</v>
      </c>
      <c r="Q5338" t="s">
        <v>20738</v>
      </c>
      <c r="R5338" t="s">
        <v>18364</v>
      </c>
      <c r="S5338">
        <v>774</v>
      </c>
    </row>
    <row r="5339" spans="1:19">
      <c r="A5339" t="s">
        <v>27</v>
      </c>
      <c r="B5339" t="s">
        <v>148</v>
      </c>
      <c r="C5339" t="s">
        <v>159</v>
      </c>
      <c r="D5339" t="s">
        <v>288</v>
      </c>
      <c r="E5339" t="s">
        <v>417</v>
      </c>
      <c r="F5339">
        <f>HYPERLINK("https://www.wikidata.org/wiki/Q33755832", "Q33755832")</f>
        <v>0</v>
      </c>
      <c r="G5339" t="s">
        <v>3237</v>
      </c>
      <c r="H5339" t="s">
        <v>7662</v>
      </c>
      <c r="I5339" t="s">
        <v>9552</v>
      </c>
      <c r="J5339" t="s">
        <v>13855</v>
      </c>
      <c r="K5339" t="s">
        <v>18227</v>
      </c>
      <c r="L5339">
        <f>HYPERLINK("https://www2.assemblee-nationale.fr/sycomore/fiche/(num_dept)/1312", "1312")</f>
        <v>0</v>
      </c>
      <c r="N5339">
        <f>HYPERLINK("https://www.wikidata.org/wiki/Q2341410", "Q2341410")</f>
        <v>0</v>
      </c>
      <c r="O5339" t="s">
        <v>19965</v>
      </c>
      <c r="P5339" t="s">
        <v>20458</v>
      </c>
      <c r="Q5339" t="s">
        <v>20738</v>
      </c>
      <c r="R5339" t="s">
        <v>417</v>
      </c>
      <c r="S5339">
        <v>1483</v>
      </c>
    </row>
    <row r="5340" spans="1:19">
      <c r="A5340" t="s">
        <v>27</v>
      </c>
      <c r="B5340" t="s">
        <v>148</v>
      </c>
      <c r="C5340" t="s">
        <v>159</v>
      </c>
      <c r="D5340" t="s">
        <v>288</v>
      </c>
      <c r="E5340" t="s">
        <v>417</v>
      </c>
      <c r="F5340">
        <f>HYPERLINK("https://www.wikidata.org/wiki/Q33755832", "Q33755832")</f>
        <v>0</v>
      </c>
      <c r="G5340" t="s">
        <v>2947</v>
      </c>
      <c r="H5340" t="s">
        <v>7422</v>
      </c>
      <c r="I5340" t="s">
        <v>9849</v>
      </c>
      <c r="J5340" t="s">
        <v>13580</v>
      </c>
      <c r="K5340" t="s">
        <v>17965</v>
      </c>
      <c r="L5340">
        <f>HYPERLINK("https://www2.assemblee-nationale.fr/sycomore/fiche/(num_dept)/1331", "1331")</f>
        <v>0</v>
      </c>
      <c r="M5340">
        <f>HYPERLINK("https://www.senat.fr/senateur-3eme-republique/buvignier_jean1022r3.html", "buvignier_jean1022r3")</f>
        <v>0</v>
      </c>
      <c r="N5340">
        <f>HYPERLINK("https://www.wikidata.org/wiki/Q3171041", "Q3171041")</f>
        <v>0</v>
      </c>
      <c r="O5340" t="s">
        <v>20030</v>
      </c>
      <c r="P5340" t="s">
        <v>20459</v>
      </c>
      <c r="Q5340" t="s">
        <v>20738</v>
      </c>
      <c r="R5340" t="s">
        <v>417</v>
      </c>
      <c r="S5340">
        <v>1483</v>
      </c>
    </row>
    <row r="5341" spans="1:19">
      <c r="A5341" t="s">
        <v>27</v>
      </c>
      <c r="B5341" t="s">
        <v>148</v>
      </c>
      <c r="C5341" t="s">
        <v>159</v>
      </c>
      <c r="D5341" t="s">
        <v>288</v>
      </c>
      <c r="E5341" t="s">
        <v>417</v>
      </c>
      <c r="F5341">
        <f>HYPERLINK("https://www.wikidata.org/wiki/Q33755832", "Q33755832")</f>
        <v>0</v>
      </c>
      <c r="G5341" t="s">
        <v>3415</v>
      </c>
      <c r="H5341" t="s">
        <v>7800</v>
      </c>
      <c r="I5341" t="s">
        <v>10819</v>
      </c>
      <c r="J5341" t="s">
        <v>14020</v>
      </c>
      <c r="K5341" t="s">
        <v>18389</v>
      </c>
      <c r="L5341">
        <f>HYPERLINK("https://www2.assemblee-nationale.fr/sycomore/fiche/(num_dept)/1355", "1355")</f>
        <v>0</v>
      </c>
      <c r="N5341">
        <f>HYPERLINK("https://www.wikidata.org/wiki/Q15974110", "Q15974110")</f>
        <v>0</v>
      </c>
      <c r="O5341" t="s">
        <v>20015</v>
      </c>
      <c r="Q5341" t="s">
        <v>20738</v>
      </c>
      <c r="R5341" t="s">
        <v>417</v>
      </c>
      <c r="S5341">
        <v>1483</v>
      </c>
    </row>
    <row r="5342" spans="1:19">
      <c r="A5342" t="s">
        <v>27</v>
      </c>
      <c r="B5342" t="s">
        <v>148</v>
      </c>
      <c r="C5342" t="s">
        <v>159</v>
      </c>
      <c r="D5342" t="s">
        <v>288</v>
      </c>
      <c r="E5342" t="s">
        <v>417</v>
      </c>
      <c r="F5342">
        <f>HYPERLINK("https://www.wikidata.org/wiki/Q33755832", "Q33755832")</f>
        <v>0</v>
      </c>
      <c r="G5342" t="s">
        <v>3363</v>
      </c>
      <c r="H5342" t="s">
        <v>7760</v>
      </c>
      <c r="I5342" t="s">
        <v>10792</v>
      </c>
      <c r="J5342" t="s">
        <v>13975</v>
      </c>
      <c r="K5342" t="s">
        <v>18343</v>
      </c>
      <c r="L5342">
        <f>HYPERLINK("https://www2.assemblee-nationale.fr/sycomore/fiche/(num_dept)/1393", "1393")</f>
        <v>0</v>
      </c>
      <c r="N5342">
        <f>HYPERLINK("https://www.wikidata.org/wiki/Q15974106", "Q15974106")</f>
        <v>0</v>
      </c>
      <c r="O5342" t="s">
        <v>20016</v>
      </c>
      <c r="P5342" t="s">
        <v>20480</v>
      </c>
      <c r="Q5342" t="s">
        <v>20738</v>
      </c>
      <c r="R5342" t="s">
        <v>18274</v>
      </c>
      <c r="S5342">
        <v>139</v>
      </c>
    </row>
    <row r="5343" spans="1:19">
      <c r="A5343" t="s">
        <v>27</v>
      </c>
      <c r="B5343" t="s">
        <v>148</v>
      </c>
      <c r="C5343" t="s">
        <v>159</v>
      </c>
      <c r="D5343" t="s">
        <v>288</v>
      </c>
      <c r="E5343" t="s">
        <v>417</v>
      </c>
      <c r="F5343">
        <f>HYPERLINK("https://www.wikidata.org/wiki/Q33755832", "Q33755832")</f>
        <v>0</v>
      </c>
      <c r="G5343" t="s">
        <v>3416</v>
      </c>
      <c r="H5343" t="s">
        <v>7801</v>
      </c>
      <c r="I5343" t="s">
        <v>9601</v>
      </c>
      <c r="J5343" t="s">
        <v>14021</v>
      </c>
      <c r="K5343" t="s">
        <v>18390</v>
      </c>
      <c r="L5343">
        <f>HYPERLINK("https://www2.assemblee-nationale.fr/sycomore/fiche/(num_dept)/1462", "1462")</f>
        <v>0</v>
      </c>
      <c r="N5343">
        <f>HYPERLINK("https://www.wikidata.org/wiki/Q38118958", "Q38118958")</f>
        <v>0</v>
      </c>
      <c r="O5343" t="s">
        <v>19988</v>
      </c>
      <c r="P5343" t="s">
        <v>20411</v>
      </c>
      <c r="Q5343" t="s">
        <v>20738</v>
      </c>
      <c r="R5343" t="s">
        <v>417</v>
      </c>
      <c r="S5343">
        <v>1483</v>
      </c>
    </row>
    <row r="5344" spans="1:19">
      <c r="A5344" t="s">
        <v>27</v>
      </c>
      <c r="B5344" t="s">
        <v>148</v>
      </c>
      <c r="C5344" t="s">
        <v>159</v>
      </c>
      <c r="D5344" t="s">
        <v>288</v>
      </c>
      <c r="E5344" t="s">
        <v>417</v>
      </c>
      <c r="F5344">
        <f>HYPERLINK("https://www.wikidata.org/wiki/Q33755832", "Q33755832")</f>
        <v>0</v>
      </c>
      <c r="G5344" t="s">
        <v>3358</v>
      </c>
      <c r="H5344" t="s">
        <v>7756</v>
      </c>
      <c r="I5344" t="s">
        <v>10790</v>
      </c>
      <c r="J5344" t="s">
        <v>13970</v>
      </c>
      <c r="K5344" t="s">
        <v>15668</v>
      </c>
      <c r="L5344">
        <f>HYPERLINK("https://www2.assemblee-nationale.fr/sycomore/fiche/(num_dept)/1471", "1471")</f>
        <v>0</v>
      </c>
      <c r="N5344">
        <f>HYPERLINK("https://www.wikidata.org/wiki/Q3370815", "Q3370815")</f>
        <v>0</v>
      </c>
      <c r="O5344" t="s">
        <v>19998</v>
      </c>
      <c r="Q5344" t="s">
        <v>20738</v>
      </c>
      <c r="R5344" t="s">
        <v>417</v>
      </c>
      <c r="S5344">
        <v>1483</v>
      </c>
    </row>
    <row r="5345" spans="1:19">
      <c r="A5345" t="s">
        <v>27</v>
      </c>
      <c r="B5345" t="s">
        <v>148</v>
      </c>
      <c r="C5345" t="s">
        <v>159</v>
      </c>
      <c r="D5345" t="s">
        <v>288</v>
      </c>
      <c r="E5345" t="s">
        <v>417</v>
      </c>
      <c r="F5345">
        <f>HYPERLINK("https://www.wikidata.org/wiki/Q33755832", "Q33755832")</f>
        <v>0</v>
      </c>
      <c r="G5345" t="s">
        <v>2529</v>
      </c>
      <c r="H5345" t="s">
        <v>7090</v>
      </c>
      <c r="I5345" t="s">
        <v>6200</v>
      </c>
      <c r="J5345" t="s">
        <v>13173</v>
      </c>
      <c r="K5345" t="s">
        <v>17579</v>
      </c>
      <c r="L5345">
        <f>HYPERLINK("https://www2.assemblee-nationale.fr/sycomore/fiche/(num_dept)/1484", "1484")</f>
        <v>0</v>
      </c>
      <c r="N5345">
        <f>HYPERLINK("https://www.wikidata.org/wiki/Q315656", "Q315656")</f>
        <v>0</v>
      </c>
      <c r="O5345" t="s">
        <v>8449</v>
      </c>
      <c r="Q5345" t="s">
        <v>20738</v>
      </c>
      <c r="R5345" t="s">
        <v>417</v>
      </c>
      <c r="S5345">
        <v>1483</v>
      </c>
    </row>
    <row r="5346" spans="1:19">
      <c r="A5346" t="s">
        <v>27</v>
      </c>
      <c r="B5346" t="s">
        <v>148</v>
      </c>
      <c r="C5346" t="s">
        <v>159</v>
      </c>
      <c r="D5346" t="s">
        <v>288</v>
      </c>
      <c r="E5346" t="s">
        <v>417</v>
      </c>
      <c r="F5346">
        <f>HYPERLINK("https://www.wikidata.org/wiki/Q33755832", "Q33755832")</f>
        <v>0</v>
      </c>
      <c r="G5346" t="s">
        <v>2530</v>
      </c>
      <c r="H5346" t="s">
        <v>6111</v>
      </c>
      <c r="I5346" t="s">
        <v>10269</v>
      </c>
      <c r="J5346" t="s">
        <v>13174</v>
      </c>
      <c r="K5346" t="s">
        <v>17580</v>
      </c>
      <c r="L5346">
        <f>HYPERLINK("https://www2.assemblee-nationale.fr/sycomore/fiche/(num_dept)/1488", "1488")</f>
        <v>0</v>
      </c>
      <c r="N5346">
        <f>HYPERLINK("https://www.wikidata.org/wiki/Q3372467", "Q3372467")</f>
        <v>0</v>
      </c>
      <c r="O5346" t="s">
        <v>20003</v>
      </c>
      <c r="P5346" t="s">
        <v>20470</v>
      </c>
      <c r="Q5346" t="s">
        <v>20738</v>
      </c>
      <c r="R5346" t="s">
        <v>417</v>
      </c>
      <c r="S5346">
        <v>1483</v>
      </c>
    </row>
    <row r="5347" spans="1:19">
      <c r="A5347" t="s">
        <v>27</v>
      </c>
      <c r="B5347" t="s">
        <v>148</v>
      </c>
      <c r="C5347" t="s">
        <v>159</v>
      </c>
      <c r="D5347" t="s">
        <v>288</v>
      </c>
      <c r="E5347" t="s">
        <v>417</v>
      </c>
      <c r="F5347">
        <f>HYPERLINK("https://www.wikidata.org/wiki/Q33755832", "Q33755832")</f>
        <v>0</v>
      </c>
      <c r="G5347" t="s">
        <v>901</v>
      </c>
      <c r="H5347" t="s">
        <v>5657</v>
      </c>
      <c r="I5347" t="s">
        <v>6585</v>
      </c>
      <c r="J5347" t="s">
        <v>11321</v>
      </c>
      <c r="K5347" t="s">
        <v>16045</v>
      </c>
      <c r="L5347">
        <f>HYPERLINK("https://www2.assemblee-nationale.fr/sycomore/fiche/(num_dept)/1501", "1501")</f>
        <v>0</v>
      </c>
      <c r="N5347">
        <f>HYPERLINK("https://www.wikidata.org/wiki/Q8322845", "Q8322845")</f>
        <v>0</v>
      </c>
      <c r="O5347" t="s">
        <v>20015</v>
      </c>
      <c r="Q5347" t="s">
        <v>20738</v>
      </c>
      <c r="R5347" t="s">
        <v>417</v>
      </c>
      <c r="S5347">
        <v>1483</v>
      </c>
    </row>
    <row r="5348" spans="1:19">
      <c r="A5348" t="s">
        <v>27</v>
      </c>
      <c r="B5348" t="s">
        <v>148</v>
      </c>
      <c r="C5348" t="s">
        <v>159</v>
      </c>
      <c r="D5348" t="s">
        <v>288</v>
      </c>
      <c r="E5348" t="s">
        <v>417</v>
      </c>
      <c r="F5348">
        <f>HYPERLINK("https://www.wikidata.org/wiki/Q33755832", "Q33755832")</f>
        <v>0</v>
      </c>
      <c r="G5348" t="s">
        <v>3019</v>
      </c>
      <c r="H5348" t="s">
        <v>7476</v>
      </c>
      <c r="I5348" t="s">
        <v>10580</v>
      </c>
      <c r="J5348" t="s">
        <v>13647</v>
      </c>
      <c r="K5348" t="s">
        <v>18031</v>
      </c>
      <c r="L5348">
        <f>HYPERLINK("https://www2.assemblee-nationale.fr/sycomore/fiche/(num_dept)/1539", "1539")</f>
        <v>0</v>
      </c>
      <c r="N5348">
        <f>HYPERLINK("https://www.wikidata.org/wiki/Q573739", "Q573739")</f>
        <v>0</v>
      </c>
      <c r="O5348" t="s">
        <v>19956</v>
      </c>
      <c r="Q5348" t="s">
        <v>20738</v>
      </c>
      <c r="R5348" t="s">
        <v>417</v>
      </c>
      <c r="S5348">
        <v>1483</v>
      </c>
    </row>
    <row r="5349" spans="1:19">
      <c r="A5349" t="s">
        <v>27</v>
      </c>
      <c r="B5349" t="s">
        <v>148</v>
      </c>
      <c r="C5349" t="s">
        <v>159</v>
      </c>
      <c r="D5349" t="s">
        <v>288</v>
      </c>
      <c r="E5349" t="s">
        <v>417</v>
      </c>
      <c r="F5349">
        <f>HYPERLINK("https://www.wikidata.org/wiki/Q33755832", "Q33755832")</f>
        <v>0</v>
      </c>
      <c r="G5349" t="s">
        <v>2532</v>
      </c>
      <c r="H5349" t="s">
        <v>7092</v>
      </c>
      <c r="I5349" t="s">
        <v>10271</v>
      </c>
      <c r="J5349" t="s">
        <v>13176</v>
      </c>
      <c r="K5349" t="s">
        <v>17582</v>
      </c>
      <c r="L5349">
        <f>HYPERLINK("https://www2.assemblee-nationale.fr/sycomore/fiche/(num_dept)/1541", "1541")</f>
        <v>0</v>
      </c>
      <c r="N5349">
        <f>HYPERLINK("https://www.wikidata.org/wiki/Q15974252", "Q15974252")</f>
        <v>0</v>
      </c>
      <c r="O5349" t="s">
        <v>19962</v>
      </c>
      <c r="P5349" t="s">
        <v>20463</v>
      </c>
      <c r="Q5349" t="s">
        <v>20738</v>
      </c>
      <c r="R5349" t="s">
        <v>417</v>
      </c>
      <c r="S5349">
        <v>1483</v>
      </c>
    </row>
    <row r="5350" spans="1:19">
      <c r="A5350" t="s">
        <v>27</v>
      </c>
      <c r="B5350" t="s">
        <v>148</v>
      </c>
      <c r="C5350" t="s">
        <v>159</v>
      </c>
      <c r="D5350" t="s">
        <v>288</v>
      </c>
      <c r="E5350" t="s">
        <v>417</v>
      </c>
      <c r="F5350">
        <f>HYPERLINK("https://www.wikidata.org/wiki/Q33755832", "Q33755832")</f>
        <v>0</v>
      </c>
      <c r="G5350" t="s">
        <v>2533</v>
      </c>
      <c r="H5350" t="s">
        <v>7093</v>
      </c>
      <c r="I5350" t="s">
        <v>9602</v>
      </c>
      <c r="J5350" t="s">
        <v>13177</v>
      </c>
      <c r="K5350" t="s">
        <v>17583</v>
      </c>
      <c r="L5350">
        <f>HYPERLINK("https://www2.assemblee-nationale.fr/sycomore/fiche/(num_dept)/1556", "1556")</f>
        <v>0</v>
      </c>
      <c r="M5350">
        <f>HYPERLINK("https://www.senat.fr/senateur-3eme-republique/caze_edmond0102r3.html", "caze_edmond0102r3")</f>
        <v>0</v>
      </c>
      <c r="N5350">
        <f>HYPERLINK("https://www.wikidata.org/wiki/Q3047779", "Q3047779")</f>
        <v>0</v>
      </c>
      <c r="O5350" t="s">
        <v>20016</v>
      </c>
      <c r="Q5350" t="s">
        <v>20738</v>
      </c>
      <c r="R5350" t="s">
        <v>417</v>
      </c>
      <c r="S5350">
        <v>1483</v>
      </c>
    </row>
    <row r="5351" spans="1:19">
      <c r="A5351" t="s">
        <v>27</v>
      </c>
      <c r="B5351" t="s">
        <v>148</v>
      </c>
      <c r="C5351" t="s">
        <v>159</v>
      </c>
      <c r="D5351" t="s">
        <v>288</v>
      </c>
      <c r="E5351" t="s">
        <v>417</v>
      </c>
      <c r="F5351">
        <f>HYPERLINK("https://www.wikidata.org/wiki/Q33755832", "Q33755832")</f>
        <v>0</v>
      </c>
      <c r="G5351" t="s">
        <v>3079</v>
      </c>
      <c r="H5351" t="s">
        <v>7528</v>
      </c>
      <c r="I5351" t="s">
        <v>10615</v>
      </c>
      <c r="J5351" t="s">
        <v>13448</v>
      </c>
      <c r="K5351" t="s">
        <v>18085</v>
      </c>
      <c r="L5351">
        <f>HYPERLINK("https://www2.assemblee-nationale.fr/sycomore/fiche/(num_dept)/1564", "1564")</f>
        <v>0</v>
      </c>
      <c r="N5351">
        <f>HYPERLINK("https://www.wikidata.org/wiki/Q3580075", "Q3580075")</f>
        <v>0</v>
      </c>
      <c r="O5351" t="s">
        <v>20023</v>
      </c>
      <c r="P5351" t="s">
        <v>20460</v>
      </c>
      <c r="Q5351" t="s">
        <v>20738</v>
      </c>
      <c r="R5351" t="s">
        <v>417</v>
      </c>
      <c r="S5351">
        <v>1483</v>
      </c>
    </row>
    <row r="5352" spans="1:19">
      <c r="A5352" t="s">
        <v>27</v>
      </c>
      <c r="B5352" t="s">
        <v>148</v>
      </c>
      <c r="C5352" t="s">
        <v>159</v>
      </c>
      <c r="D5352" t="s">
        <v>288</v>
      </c>
      <c r="E5352" t="s">
        <v>417</v>
      </c>
      <c r="F5352">
        <f>HYPERLINK("https://www.wikidata.org/wiki/Q33755832", "Q33755832")</f>
        <v>0</v>
      </c>
      <c r="G5352" t="s">
        <v>3104</v>
      </c>
      <c r="H5352" t="s">
        <v>7550</v>
      </c>
      <c r="I5352" t="s">
        <v>10636</v>
      </c>
      <c r="J5352" t="s">
        <v>13726</v>
      </c>
      <c r="K5352" t="s">
        <v>18108</v>
      </c>
      <c r="L5352">
        <f>HYPERLINK("https://www2.assemblee-nationale.fr/sycomore/fiche/(num_dept)/1632", "1632")</f>
        <v>0</v>
      </c>
      <c r="N5352">
        <f>HYPERLINK("https://www.wikidata.org/wiki/Q16025635", "Q16025635")</f>
        <v>0</v>
      </c>
      <c r="O5352" t="s">
        <v>20031</v>
      </c>
      <c r="P5352" t="s">
        <v>20460</v>
      </c>
      <c r="Q5352" t="s">
        <v>20738</v>
      </c>
      <c r="R5352" t="s">
        <v>18108</v>
      </c>
      <c r="S5352">
        <v>160</v>
      </c>
    </row>
    <row r="5353" spans="1:19">
      <c r="A5353" t="s">
        <v>27</v>
      </c>
      <c r="B5353" t="s">
        <v>148</v>
      </c>
      <c r="C5353" t="s">
        <v>159</v>
      </c>
      <c r="D5353" t="s">
        <v>288</v>
      </c>
      <c r="E5353" t="s">
        <v>417</v>
      </c>
      <c r="F5353">
        <f>HYPERLINK("https://www.wikidata.org/wiki/Q33755832", "Q33755832")</f>
        <v>0</v>
      </c>
      <c r="G5353" t="s">
        <v>2482</v>
      </c>
      <c r="H5353" t="s">
        <v>7055</v>
      </c>
      <c r="I5353" t="s">
        <v>10236</v>
      </c>
      <c r="J5353" t="s">
        <v>13126</v>
      </c>
      <c r="K5353" t="s">
        <v>17536</v>
      </c>
      <c r="L5353">
        <f>HYPERLINK("https://www2.assemblee-nationale.fr/sycomore/fiche/(num_dept)/1672", "1672")</f>
        <v>0</v>
      </c>
      <c r="M5353">
        <f>HYPERLINK("https://www.senat.fr/senateur-3eme-republique/charmes_francis0370r3.html", "charmes_francis0370r3")</f>
        <v>0</v>
      </c>
      <c r="N5353">
        <f>HYPERLINK("https://www.wikidata.org/wiki/Q2341785", "Q2341785")</f>
        <v>0</v>
      </c>
      <c r="O5353" t="s">
        <v>19966</v>
      </c>
      <c r="Q5353" t="s">
        <v>20738</v>
      </c>
      <c r="R5353" t="s">
        <v>417</v>
      </c>
      <c r="S5353">
        <v>1483</v>
      </c>
    </row>
    <row r="5354" spans="1:19">
      <c r="A5354" t="s">
        <v>27</v>
      </c>
      <c r="B5354" t="s">
        <v>148</v>
      </c>
      <c r="C5354" t="s">
        <v>159</v>
      </c>
      <c r="D5354" t="s">
        <v>288</v>
      </c>
      <c r="E5354" t="s">
        <v>417</v>
      </c>
      <c r="F5354">
        <f>HYPERLINK("https://www.wikidata.org/wiki/Q33755832", "Q33755832")</f>
        <v>0</v>
      </c>
      <c r="G5354" t="s">
        <v>3417</v>
      </c>
      <c r="H5354" t="s">
        <v>5332</v>
      </c>
      <c r="I5354" t="s">
        <v>10820</v>
      </c>
      <c r="J5354" t="s">
        <v>14022</v>
      </c>
      <c r="K5354" t="s">
        <v>18391</v>
      </c>
      <c r="L5354">
        <f>HYPERLINK("https://www2.assemblee-nationale.fr/sycomore/fiche/(num_dept)/1694", "1694")</f>
        <v>0</v>
      </c>
      <c r="N5354">
        <f>HYPERLINK("https://www.wikidata.org/wiki/Q3130344", "Q3130344")</f>
        <v>0</v>
      </c>
      <c r="O5354" t="s">
        <v>19969</v>
      </c>
      <c r="P5354" t="s">
        <v>20477</v>
      </c>
      <c r="Q5354" t="s">
        <v>20738</v>
      </c>
      <c r="R5354" t="s">
        <v>417</v>
      </c>
      <c r="S5354">
        <v>1483</v>
      </c>
    </row>
    <row r="5355" spans="1:19">
      <c r="A5355" t="s">
        <v>27</v>
      </c>
      <c r="B5355" t="s">
        <v>148</v>
      </c>
      <c r="C5355" t="s">
        <v>159</v>
      </c>
      <c r="D5355" t="s">
        <v>288</v>
      </c>
      <c r="E5355" t="s">
        <v>417</v>
      </c>
      <c r="F5355">
        <f>HYPERLINK("https://www.wikidata.org/wiki/Q33755832", "Q33755832")</f>
        <v>0</v>
      </c>
      <c r="G5355" t="s">
        <v>3418</v>
      </c>
      <c r="H5355" t="s">
        <v>5335</v>
      </c>
      <c r="I5355" t="s">
        <v>9455</v>
      </c>
      <c r="J5355" t="s">
        <v>14023</v>
      </c>
      <c r="K5355" t="s">
        <v>18392</v>
      </c>
      <c r="L5355">
        <f>HYPERLINK("https://www2.assemblee-nationale.fr/sycomore/fiche/(num_dept)/1712", "1712")</f>
        <v>0</v>
      </c>
      <c r="N5355">
        <f>HYPERLINK("https://www.wikidata.org/wiki/Q3265425", "Q3265425")</f>
        <v>0</v>
      </c>
      <c r="O5355" t="s">
        <v>19984</v>
      </c>
      <c r="P5355" t="s">
        <v>20479</v>
      </c>
      <c r="Q5355" t="s">
        <v>20738</v>
      </c>
      <c r="R5355" t="s">
        <v>417</v>
      </c>
      <c r="S5355">
        <v>1483</v>
      </c>
    </row>
    <row r="5356" spans="1:19">
      <c r="A5356" t="s">
        <v>27</v>
      </c>
      <c r="B5356" t="s">
        <v>148</v>
      </c>
      <c r="C5356" t="s">
        <v>159</v>
      </c>
      <c r="D5356" t="s">
        <v>288</v>
      </c>
      <c r="E5356" t="s">
        <v>417</v>
      </c>
      <c r="F5356">
        <f>HYPERLINK("https://www.wikidata.org/wiki/Q33755832", "Q33755832")</f>
        <v>0</v>
      </c>
      <c r="G5356" t="s">
        <v>2535</v>
      </c>
      <c r="H5356" t="s">
        <v>7095</v>
      </c>
      <c r="I5356" t="s">
        <v>10272</v>
      </c>
      <c r="J5356" t="s">
        <v>13179</v>
      </c>
      <c r="K5356" t="s">
        <v>13005</v>
      </c>
      <c r="L5356">
        <f>HYPERLINK("https://www2.assemblee-nationale.fr/sycomore/fiche/(num_dept)/1779", "1779")</f>
        <v>0</v>
      </c>
      <c r="M5356">
        <f>HYPERLINK("https://www.senat.fr/senateur-3eme-republique/chevandier_antoine0726r3.html", "chevandier_antoine0726r3")</f>
        <v>0</v>
      </c>
      <c r="N5356">
        <f>HYPERLINK("https://www.wikidata.org/wiki/Q2853793", "Q2853793")</f>
        <v>0</v>
      </c>
      <c r="O5356" t="s">
        <v>20044</v>
      </c>
      <c r="Q5356" t="s">
        <v>20738</v>
      </c>
      <c r="R5356" t="s">
        <v>21519</v>
      </c>
      <c r="S5356">
        <v>1126</v>
      </c>
    </row>
    <row r="5357" spans="1:19">
      <c r="A5357" t="s">
        <v>27</v>
      </c>
      <c r="B5357" t="s">
        <v>148</v>
      </c>
      <c r="C5357" t="s">
        <v>159</v>
      </c>
      <c r="D5357" t="s">
        <v>288</v>
      </c>
      <c r="E5357" t="s">
        <v>417</v>
      </c>
      <c r="F5357">
        <f>HYPERLINK("https://www.wikidata.org/wiki/Q33755832", "Q33755832")</f>
        <v>0</v>
      </c>
      <c r="G5357" t="s">
        <v>3374</v>
      </c>
      <c r="H5357" t="s">
        <v>6432</v>
      </c>
      <c r="I5357" t="s">
        <v>10796</v>
      </c>
      <c r="J5357" t="s">
        <v>13986</v>
      </c>
      <c r="K5357" t="s">
        <v>18354</v>
      </c>
      <c r="L5357">
        <f>HYPERLINK("https://www2.assemblee-nationale.fr/sycomore/fiche/(num_dept)/1802", "1802")</f>
        <v>0</v>
      </c>
      <c r="M5357">
        <f>HYPERLINK("https://www.senat.fr/senateur-3eme-republique/chollet_andre1325r3.html", "chollet_andre1325r3")</f>
        <v>0</v>
      </c>
      <c r="N5357">
        <f>HYPERLINK("https://www.wikidata.org/wiki/Q2847520", "Q2847520")</f>
        <v>0</v>
      </c>
      <c r="O5357" t="s">
        <v>19997</v>
      </c>
      <c r="Q5357" t="s">
        <v>20738</v>
      </c>
      <c r="R5357" t="s">
        <v>417</v>
      </c>
      <c r="S5357">
        <v>1483</v>
      </c>
    </row>
    <row r="5358" spans="1:19">
      <c r="A5358" t="s">
        <v>27</v>
      </c>
      <c r="B5358" t="s">
        <v>148</v>
      </c>
      <c r="C5358" t="s">
        <v>159</v>
      </c>
      <c r="D5358" t="s">
        <v>288</v>
      </c>
      <c r="E5358" t="s">
        <v>417</v>
      </c>
      <c r="F5358">
        <f>HYPERLINK("https://www.wikidata.org/wiki/Q33755832", "Q33755832")</f>
        <v>0</v>
      </c>
      <c r="G5358" t="s">
        <v>2538</v>
      </c>
      <c r="H5358" t="s">
        <v>7098</v>
      </c>
      <c r="I5358" t="s">
        <v>10275</v>
      </c>
      <c r="J5358" t="s">
        <v>13182</v>
      </c>
      <c r="K5358" t="s">
        <v>17587</v>
      </c>
      <c r="L5358">
        <f>HYPERLINK("https://www2.assemblee-nationale.fr/sycomore/fiche/(num_dept)/1818", "1818")</f>
        <v>0</v>
      </c>
      <c r="N5358">
        <f>HYPERLINK("https://www.wikidata.org/wiki/Q2190717", "Q2190717")</f>
        <v>0</v>
      </c>
      <c r="O5358" t="s">
        <v>19957</v>
      </c>
      <c r="Q5358" t="s">
        <v>20738</v>
      </c>
      <c r="R5358" t="s">
        <v>417</v>
      </c>
      <c r="S5358">
        <v>1483</v>
      </c>
    </row>
    <row r="5359" spans="1:19">
      <c r="A5359" t="s">
        <v>27</v>
      </c>
      <c r="B5359" t="s">
        <v>148</v>
      </c>
      <c r="C5359" t="s">
        <v>159</v>
      </c>
      <c r="D5359" t="s">
        <v>288</v>
      </c>
      <c r="E5359" t="s">
        <v>417</v>
      </c>
      <c r="F5359">
        <f>HYPERLINK("https://www.wikidata.org/wiki/Q33755832", "Q33755832")</f>
        <v>0</v>
      </c>
      <c r="G5359" t="s">
        <v>577</v>
      </c>
      <c r="H5359" t="s">
        <v>5339</v>
      </c>
      <c r="I5359" t="s">
        <v>9428</v>
      </c>
      <c r="J5359" t="s">
        <v>11328</v>
      </c>
      <c r="K5359" t="s">
        <v>15729</v>
      </c>
      <c r="L5359">
        <f>HYPERLINK("https://www2.assemblee-nationale.fr/sycomore/fiche/(num_dept)/1822", "1822")</f>
        <v>0</v>
      </c>
      <c r="N5359">
        <f>HYPERLINK("https://www.wikidata.org/wiki/Q2835023", "Q2835023")</f>
        <v>0</v>
      </c>
      <c r="O5359" t="s">
        <v>19967</v>
      </c>
      <c r="Q5359" t="s">
        <v>20738</v>
      </c>
      <c r="R5359" t="s">
        <v>417</v>
      </c>
      <c r="S5359">
        <v>1483</v>
      </c>
    </row>
    <row r="5360" spans="1:19">
      <c r="A5360" t="s">
        <v>27</v>
      </c>
      <c r="B5360" t="s">
        <v>148</v>
      </c>
      <c r="C5360" t="s">
        <v>159</v>
      </c>
      <c r="D5360" t="s">
        <v>288</v>
      </c>
      <c r="E5360" t="s">
        <v>417</v>
      </c>
      <c r="F5360">
        <f>HYPERLINK("https://www.wikidata.org/wiki/Q33755832", "Q33755832")</f>
        <v>0</v>
      </c>
      <c r="G5360" t="s">
        <v>3349</v>
      </c>
      <c r="H5360" t="s">
        <v>7749</v>
      </c>
      <c r="I5360" t="s">
        <v>10785</v>
      </c>
      <c r="J5360" t="s">
        <v>13961</v>
      </c>
      <c r="K5360" t="s">
        <v>18331</v>
      </c>
      <c r="L5360">
        <f>HYPERLINK("https://www2.assemblee-nationale.fr/sycomore/fiche/(num_dept)/1840", "1840")</f>
        <v>0</v>
      </c>
      <c r="N5360">
        <f>HYPERLINK("https://www.wikidata.org/wiki/Q16025459", "Q16025459")</f>
        <v>0</v>
      </c>
      <c r="O5360" t="s">
        <v>19991</v>
      </c>
      <c r="P5360" t="s">
        <v>20463</v>
      </c>
      <c r="Q5360" t="s">
        <v>20738</v>
      </c>
      <c r="R5360" t="s">
        <v>18331</v>
      </c>
      <c r="S5360">
        <v>1220</v>
      </c>
    </row>
    <row r="5361" spans="1:19">
      <c r="A5361" t="s">
        <v>27</v>
      </c>
      <c r="B5361" t="s">
        <v>148</v>
      </c>
      <c r="C5361" t="s">
        <v>159</v>
      </c>
      <c r="D5361" t="s">
        <v>288</v>
      </c>
      <c r="E5361" t="s">
        <v>417</v>
      </c>
      <c r="F5361">
        <f>HYPERLINK("https://www.wikidata.org/wiki/Q33755832", "Q33755832")</f>
        <v>0</v>
      </c>
      <c r="G5361" t="s">
        <v>3419</v>
      </c>
      <c r="H5361" t="s">
        <v>7802</v>
      </c>
      <c r="I5361" t="s">
        <v>9606</v>
      </c>
      <c r="J5361" t="s">
        <v>14024</v>
      </c>
      <c r="K5361" t="s">
        <v>18393</v>
      </c>
      <c r="L5361">
        <f>HYPERLINK("https://www2.assemblee-nationale.fr/sycomore/fiche/(num_dept)/1842", "1842")</f>
        <v>0</v>
      </c>
      <c r="N5361">
        <f>HYPERLINK("https://www.wikidata.org/wiki/Q3167610", "Q3167610")</f>
        <v>0</v>
      </c>
      <c r="O5361" t="s">
        <v>20011</v>
      </c>
      <c r="P5361" t="s">
        <v>20411</v>
      </c>
      <c r="Q5361" t="s">
        <v>20738</v>
      </c>
      <c r="R5361" t="s">
        <v>18393</v>
      </c>
      <c r="S5361">
        <v>510</v>
      </c>
    </row>
    <row r="5362" spans="1:19">
      <c r="A5362" t="s">
        <v>27</v>
      </c>
      <c r="B5362" t="s">
        <v>148</v>
      </c>
      <c r="C5362" t="s">
        <v>159</v>
      </c>
      <c r="D5362" t="s">
        <v>288</v>
      </c>
      <c r="E5362" t="s">
        <v>417</v>
      </c>
      <c r="F5362">
        <f>HYPERLINK("https://www.wikidata.org/wiki/Q33755832", "Q33755832")</f>
        <v>0</v>
      </c>
      <c r="G5362" t="s">
        <v>3420</v>
      </c>
      <c r="H5362" t="s">
        <v>7803</v>
      </c>
      <c r="I5362" t="s">
        <v>10821</v>
      </c>
      <c r="J5362" t="s">
        <v>14025</v>
      </c>
      <c r="K5362" t="s">
        <v>18394</v>
      </c>
      <c r="L5362">
        <f>HYPERLINK("https://www2.assemblee-nationale.fr/sycomore/fiche/(num_dept)/1855", "1855")</f>
        <v>0</v>
      </c>
      <c r="N5362">
        <f>HYPERLINK("https://www.wikidata.org/wiki/Q16025462", "Q16025462")</f>
        <v>0</v>
      </c>
      <c r="O5362" t="s">
        <v>20010</v>
      </c>
      <c r="P5362" t="s">
        <v>20411</v>
      </c>
      <c r="Q5362" t="s">
        <v>20738</v>
      </c>
      <c r="R5362" t="s">
        <v>18394</v>
      </c>
      <c r="S5362">
        <v>666</v>
      </c>
    </row>
    <row r="5363" spans="1:19">
      <c r="A5363" t="s">
        <v>27</v>
      </c>
      <c r="B5363" t="s">
        <v>148</v>
      </c>
      <c r="C5363" t="s">
        <v>159</v>
      </c>
      <c r="D5363" t="s">
        <v>288</v>
      </c>
      <c r="E5363" t="s">
        <v>417</v>
      </c>
      <c r="F5363">
        <f>HYPERLINK("https://www.wikidata.org/wiki/Q33755832", "Q33755832")</f>
        <v>0</v>
      </c>
      <c r="G5363" t="s">
        <v>582</v>
      </c>
      <c r="H5363" t="s">
        <v>5344</v>
      </c>
      <c r="I5363" t="s">
        <v>6175</v>
      </c>
      <c r="J5363" t="s">
        <v>11333</v>
      </c>
      <c r="K5363" t="s">
        <v>15734</v>
      </c>
      <c r="L5363">
        <f>HYPERLINK("https://www2.assemblee-nationale.fr/sycomore/fiche/(num_dept)/1869", "1869")</f>
        <v>0</v>
      </c>
      <c r="N5363">
        <f>HYPERLINK("https://www.wikidata.org/wiki/Q2599226", "Q2599226")</f>
        <v>0</v>
      </c>
      <c r="O5363" t="s">
        <v>19958</v>
      </c>
      <c r="P5363" t="s">
        <v>20461</v>
      </c>
      <c r="Q5363" t="s">
        <v>20738</v>
      </c>
      <c r="R5363" t="s">
        <v>417</v>
      </c>
      <c r="S5363">
        <v>1483</v>
      </c>
    </row>
    <row r="5364" spans="1:19">
      <c r="A5364" t="s">
        <v>27</v>
      </c>
      <c r="B5364" t="s">
        <v>148</v>
      </c>
      <c r="C5364" t="s">
        <v>159</v>
      </c>
      <c r="D5364" t="s">
        <v>288</v>
      </c>
      <c r="E5364" t="s">
        <v>417</v>
      </c>
      <c r="F5364">
        <f>HYPERLINK("https://www.wikidata.org/wiki/Q33755832", "Q33755832")</f>
        <v>0</v>
      </c>
      <c r="G5364" t="s">
        <v>2541</v>
      </c>
      <c r="H5364" t="s">
        <v>7101</v>
      </c>
      <c r="I5364" t="s">
        <v>10277</v>
      </c>
      <c r="J5364" t="s">
        <v>13185</v>
      </c>
      <c r="K5364" t="s">
        <v>17590</v>
      </c>
      <c r="L5364">
        <f>HYPERLINK("https://www2.assemblee-nationale.fr/sycomore/fiche/(num_dept)/1890", "1890")</f>
        <v>0</v>
      </c>
      <c r="N5364">
        <f>HYPERLINK("https://www.wikidata.org/wiki/Q3383298", "Q3383298")</f>
        <v>0</v>
      </c>
      <c r="O5364" t="s">
        <v>20009</v>
      </c>
      <c r="P5364" t="s">
        <v>20460</v>
      </c>
      <c r="Q5364" t="s">
        <v>20738</v>
      </c>
      <c r="R5364" t="s">
        <v>417</v>
      </c>
      <c r="S5364">
        <v>1483</v>
      </c>
    </row>
    <row r="5365" spans="1:19">
      <c r="A5365" t="s">
        <v>27</v>
      </c>
      <c r="B5365" t="s">
        <v>148</v>
      </c>
      <c r="C5365" t="s">
        <v>159</v>
      </c>
      <c r="D5365" t="s">
        <v>288</v>
      </c>
      <c r="E5365" t="s">
        <v>417</v>
      </c>
      <c r="F5365">
        <f>HYPERLINK("https://www.wikidata.org/wiki/Q33755832", "Q33755832")</f>
        <v>0</v>
      </c>
      <c r="G5365" t="s">
        <v>3108</v>
      </c>
      <c r="H5365" t="s">
        <v>7553</v>
      </c>
      <c r="I5365" t="s">
        <v>9449</v>
      </c>
      <c r="J5365" t="s">
        <v>13730</v>
      </c>
      <c r="K5365" t="s">
        <v>18112</v>
      </c>
      <c r="L5365">
        <f>HYPERLINK("https://www2.assemblee-nationale.fr/sycomore/fiche/(num_dept)/1960", "1960")</f>
        <v>0</v>
      </c>
      <c r="N5365">
        <f>HYPERLINK("https://www.wikidata.org/wiki/Q18400140", "Q18400140")</f>
        <v>0</v>
      </c>
      <c r="O5365" t="s">
        <v>20007</v>
      </c>
      <c r="Q5365" t="s">
        <v>20738</v>
      </c>
      <c r="R5365" t="s">
        <v>417</v>
      </c>
      <c r="S5365">
        <v>1483</v>
      </c>
    </row>
    <row r="5366" spans="1:19">
      <c r="A5366" t="s">
        <v>27</v>
      </c>
      <c r="B5366" t="s">
        <v>148</v>
      </c>
      <c r="C5366" t="s">
        <v>159</v>
      </c>
      <c r="D5366" t="s">
        <v>288</v>
      </c>
      <c r="E5366" t="s">
        <v>417</v>
      </c>
      <c r="F5366">
        <f>HYPERLINK("https://www.wikidata.org/wiki/Q33755832", "Q33755832")</f>
        <v>0</v>
      </c>
      <c r="G5366" t="s">
        <v>3018</v>
      </c>
      <c r="H5366" t="s">
        <v>7475</v>
      </c>
      <c r="I5366" t="s">
        <v>10579</v>
      </c>
      <c r="J5366" t="s">
        <v>13646</v>
      </c>
      <c r="K5366" t="s">
        <v>18030</v>
      </c>
      <c r="L5366">
        <f>HYPERLINK("https://www2.assemblee-nationale.fr/sycomore/fiche/(num_dept)/1978", "1978")</f>
        <v>0</v>
      </c>
      <c r="N5366">
        <f>HYPERLINK("https://www.wikidata.org/wiki/Q3588430", "Q3588430")</f>
        <v>0</v>
      </c>
      <c r="O5366" t="s">
        <v>19979</v>
      </c>
      <c r="Q5366" t="s">
        <v>20738</v>
      </c>
      <c r="R5366" t="s">
        <v>417</v>
      </c>
      <c r="S5366">
        <v>1483</v>
      </c>
    </row>
    <row r="5367" spans="1:19">
      <c r="A5367" t="s">
        <v>27</v>
      </c>
      <c r="B5367" t="s">
        <v>148</v>
      </c>
      <c r="C5367" t="s">
        <v>159</v>
      </c>
      <c r="D5367" t="s">
        <v>288</v>
      </c>
      <c r="E5367" t="s">
        <v>417</v>
      </c>
      <c r="F5367">
        <f>HYPERLINK("https://www.wikidata.org/wiki/Q33755832", "Q33755832")</f>
        <v>0</v>
      </c>
      <c r="G5367" t="s">
        <v>3109</v>
      </c>
      <c r="H5367" t="s">
        <v>7554</v>
      </c>
      <c r="I5367" t="s">
        <v>9772</v>
      </c>
      <c r="J5367" t="s">
        <v>13731</v>
      </c>
      <c r="K5367" t="s">
        <v>18113</v>
      </c>
      <c r="L5367">
        <f>HYPERLINK("https://www2.assemblee-nationale.fr/sycomore/fiche/(num_dept)/1980", "1980")</f>
        <v>0</v>
      </c>
      <c r="N5367">
        <f>HYPERLINK("https://www.wikidata.org/wiki/Q3110589", "Q3110589")</f>
        <v>0</v>
      </c>
      <c r="O5367" t="s">
        <v>20009</v>
      </c>
      <c r="Q5367" t="s">
        <v>20738</v>
      </c>
      <c r="R5367" t="s">
        <v>417</v>
      </c>
      <c r="S5367">
        <v>1483</v>
      </c>
    </row>
    <row r="5368" spans="1:19">
      <c r="A5368" t="s">
        <v>27</v>
      </c>
      <c r="B5368" t="s">
        <v>148</v>
      </c>
      <c r="C5368" t="s">
        <v>159</v>
      </c>
      <c r="D5368" t="s">
        <v>288</v>
      </c>
      <c r="E5368" t="s">
        <v>417</v>
      </c>
      <c r="F5368">
        <f>HYPERLINK("https://www.wikidata.org/wiki/Q33755832", "Q33755832")</f>
        <v>0</v>
      </c>
      <c r="G5368" t="s">
        <v>3240</v>
      </c>
      <c r="H5368" t="s">
        <v>7664</v>
      </c>
      <c r="I5368" t="s">
        <v>9506</v>
      </c>
      <c r="J5368" t="s">
        <v>13858</v>
      </c>
      <c r="K5368" t="s">
        <v>18230</v>
      </c>
      <c r="L5368">
        <f>HYPERLINK("https://www2.assemblee-nationale.fr/sycomore/fiche/(num_dept)/2042", "2042")</f>
        <v>0</v>
      </c>
      <c r="N5368">
        <f>HYPERLINK("https://www.wikidata.org/wiki/Q16025496", "Q16025496")</f>
        <v>0</v>
      </c>
      <c r="O5368" t="s">
        <v>19979</v>
      </c>
      <c r="Q5368" t="s">
        <v>20738</v>
      </c>
      <c r="R5368" t="s">
        <v>417</v>
      </c>
      <c r="S5368">
        <v>1483</v>
      </c>
    </row>
    <row r="5369" spans="1:19">
      <c r="A5369" t="s">
        <v>27</v>
      </c>
      <c r="B5369" t="s">
        <v>148</v>
      </c>
      <c r="C5369" t="s">
        <v>159</v>
      </c>
      <c r="D5369" t="s">
        <v>288</v>
      </c>
      <c r="E5369" t="s">
        <v>417</v>
      </c>
      <c r="F5369">
        <f>HYPERLINK("https://www.wikidata.org/wiki/Q33755832", "Q33755832")</f>
        <v>0</v>
      </c>
      <c r="G5369" t="s">
        <v>3421</v>
      </c>
      <c r="H5369" t="s">
        <v>7804</v>
      </c>
      <c r="I5369" t="s">
        <v>9474</v>
      </c>
      <c r="J5369" t="s">
        <v>14026</v>
      </c>
      <c r="K5369" t="s">
        <v>18395</v>
      </c>
      <c r="L5369">
        <f>HYPERLINK("https://www2.assemblee-nationale.fr/sycomore/fiche/(num_dept)/2134", "2134")</f>
        <v>0</v>
      </c>
      <c r="N5369">
        <f>HYPERLINK("https://www.wikidata.org/wiki/Q3163997", "Q3163997")</f>
        <v>0</v>
      </c>
      <c r="O5369" t="s">
        <v>20043</v>
      </c>
      <c r="Q5369" t="s">
        <v>20738</v>
      </c>
      <c r="R5369" t="s">
        <v>417</v>
      </c>
      <c r="S5369">
        <v>1483</v>
      </c>
    </row>
    <row r="5370" spans="1:19">
      <c r="A5370" t="s">
        <v>27</v>
      </c>
      <c r="B5370" t="s">
        <v>148</v>
      </c>
      <c r="C5370" t="s">
        <v>159</v>
      </c>
      <c r="D5370" t="s">
        <v>288</v>
      </c>
      <c r="E5370" t="s">
        <v>417</v>
      </c>
      <c r="F5370">
        <f>HYPERLINK("https://www.wikidata.org/wiki/Q33755832", "Q33755832")</f>
        <v>0</v>
      </c>
      <c r="G5370" t="s">
        <v>2548</v>
      </c>
      <c r="H5370" t="s">
        <v>7107</v>
      </c>
      <c r="I5370" t="s">
        <v>9455</v>
      </c>
      <c r="J5370" t="s">
        <v>13192</v>
      </c>
      <c r="K5370" t="s">
        <v>17597</v>
      </c>
      <c r="L5370">
        <f>HYPERLINK("https://www2.assemblee-nationale.fr/sycomore/fiche/(num_dept)/2165", "2165")</f>
        <v>0</v>
      </c>
      <c r="M5370">
        <f>HYPERLINK("https://www.senat.fr/senateur-3eme-republique/dautresme_lucien1592r3.html", "dautresme_lucien1592r3")</f>
        <v>0</v>
      </c>
      <c r="N5370">
        <f>HYPERLINK("https://www.wikidata.org/wiki/Q3265453", "Q3265453")</f>
        <v>0</v>
      </c>
      <c r="O5370" t="s">
        <v>19978</v>
      </c>
      <c r="Q5370" t="s">
        <v>20738</v>
      </c>
      <c r="R5370" t="s">
        <v>17837</v>
      </c>
      <c r="S5370">
        <v>485</v>
      </c>
    </row>
    <row r="5371" spans="1:19">
      <c r="A5371" t="s">
        <v>27</v>
      </c>
      <c r="B5371" t="s">
        <v>148</v>
      </c>
      <c r="C5371" t="s">
        <v>159</v>
      </c>
      <c r="D5371" t="s">
        <v>288</v>
      </c>
      <c r="E5371" t="s">
        <v>417</v>
      </c>
      <c r="F5371">
        <f>HYPERLINK("https://www.wikidata.org/wiki/Q33755832", "Q33755832")</f>
        <v>0</v>
      </c>
      <c r="G5371" t="s">
        <v>3422</v>
      </c>
      <c r="H5371" t="s">
        <v>5361</v>
      </c>
      <c r="I5371" t="s">
        <v>10822</v>
      </c>
      <c r="J5371" t="s">
        <v>14027</v>
      </c>
      <c r="K5371" t="s">
        <v>17732</v>
      </c>
      <c r="L5371">
        <f>HYPERLINK("https://www2.assemblee-nationale.fr/sycomore/fiche/(num_dept)/2169", "2169")</f>
        <v>0</v>
      </c>
      <c r="N5371">
        <f>HYPERLINK("https://www.wikidata.org/wiki/Q16025522", "Q16025522")</f>
        <v>0</v>
      </c>
      <c r="O5371" t="s">
        <v>19975</v>
      </c>
      <c r="P5371" t="s">
        <v>20401</v>
      </c>
      <c r="Q5371" t="s">
        <v>20738</v>
      </c>
      <c r="R5371" t="s">
        <v>417</v>
      </c>
      <c r="S5371">
        <v>1483</v>
      </c>
    </row>
    <row r="5372" spans="1:19">
      <c r="A5372" t="s">
        <v>27</v>
      </c>
      <c r="B5372" t="s">
        <v>148</v>
      </c>
      <c r="C5372" t="s">
        <v>159</v>
      </c>
      <c r="D5372" t="s">
        <v>288</v>
      </c>
      <c r="E5372" t="s">
        <v>417</v>
      </c>
      <c r="F5372">
        <f>HYPERLINK("https://www.wikidata.org/wiki/Q33755832", "Q33755832")</f>
        <v>0</v>
      </c>
      <c r="G5372" t="s">
        <v>3423</v>
      </c>
      <c r="H5372" t="s">
        <v>5361</v>
      </c>
      <c r="I5372" t="s">
        <v>10823</v>
      </c>
      <c r="J5372" t="s">
        <v>14028</v>
      </c>
      <c r="K5372" t="s">
        <v>18396</v>
      </c>
      <c r="L5372">
        <f>HYPERLINK("https://www2.assemblee-nationale.fr/sycomore/fiche/(num_dept)/2177", "2177")</f>
        <v>0</v>
      </c>
      <c r="N5372">
        <f>HYPERLINK("https://www.wikidata.org/wiki/Q3526647", "Q3526647")</f>
        <v>0</v>
      </c>
      <c r="O5372" t="s">
        <v>20024</v>
      </c>
      <c r="P5372" t="s">
        <v>20411</v>
      </c>
      <c r="Q5372" t="s">
        <v>20738</v>
      </c>
      <c r="R5372" t="s">
        <v>18396</v>
      </c>
      <c r="S5372">
        <v>933</v>
      </c>
    </row>
    <row r="5373" spans="1:19">
      <c r="A5373" t="s">
        <v>27</v>
      </c>
      <c r="B5373" t="s">
        <v>148</v>
      </c>
      <c r="C5373" t="s">
        <v>159</v>
      </c>
      <c r="D5373" t="s">
        <v>288</v>
      </c>
      <c r="E5373" t="s">
        <v>417</v>
      </c>
      <c r="F5373">
        <f>HYPERLINK("https://www.wikidata.org/wiki/Q33755832", "Q33755832")</f>
        <v>0</v>
      </c>
      <c r="G5373" t="s">
        <v>2949</v>
      </c>
      <c r="H5373" t="s">
        <v>7423</v>
      </c>
      <c r="I5373" t="s">
        <v>9376</v>
      </c>
      <c r="J5373" t="s">
        <v>13582</v>
      </c>
      <c r="K5373" t="s">
        <v>17967</v>
      </c>
      <c r="L5373">
        <f>HYPERLINK("https://www2.assemblee-nationale.fr/sycomore/fiche/(num_dept)/2182", "2182")</f>
        <v>0</v>
      </c>
      <c r="N5373">
        <f>HYPERLINK("https://www.wikidata.org/wiki/Q16025524", "Q16025524")</f>
        <v>0</v>
      </c>
      <c r="O5373" t="s">
        <v>20003</v>
      </c>
      <c r="Q5373" t="s">
        <v>20738</v>
      </c>
      <c r="R5373" t="s">
        <v>417</v>
      </c>
      <c r="S5373">
        <v>1483</v>
      </c>
    </row>
    <row r="5374" spans="1:19">
      <c r="A5374" t="s">
        <v>27</v>
      </c>
      <c r="B5374" t="s">
        <v>148</v>
      </c>
      <c r="C5374" t="s">
        <v>159</v>
      </c>
      <c r="D5374" t="s">
        <v>288</v>
      </c>
      <c r="E5374" t="s">
        <v>417</v>
      </c>
      <c r="F5374">
        <f>HYPERLINK("https://www.wikidata.org/wiki/Q33755832", "Q33755832")</f>
        <v>0</v>
      </c>
      <c r="G5374" t="s">
        <v>3111</v>
      </c>
      <c r="H5374" t="s">
        <v>7556</v>
      </c>
      <c r="I5374" t="s">
        <v>9442</v>
      </c>
      <c r="J5374" t="s">
        <v>13733</v>
      </c>
      <c r="K5374" t="s">
        <v>18115</v>
      </c>
      <c r="L5374">
        <f>HYPERLINK("https://www2.assemblee-nationale.fr/sycomore/fiche/(num_dept)/2237", "2237")</f>
        <v>0</v>
      </c>
      <c r="N5374">
        <f>HYPERLINK("https://www.wikidata.org/wiki/Q3056933", "Q3056933")</f>
        <v>0</v>
      </c>
      <c r="O5374" t="s">
        <v>20013</v>
      </c>
      <c r="Q5374" t="s">
        <v>20738</v>
      </c>
      <c r="R5374" t="s">
        <v>417</v>
      </c>
      <c r="S5374">
        <v>1483</v>
      </c>
    </row>
    <row r="5375" spans="1:19">
      <c r="A5375" t="s">
        <v>27</v>
      </c>
      <c r="B5375" t="s">
        <v>148</v>
      </c>
      <c r="C5375" t="s">
        <v>159</v>
      </c>
      <c r="D5375" t="s">
        <v>288</v>
      </c>
      <c r="E5375" t="s">
        <v>417</v>
      </c>
      <c r="F5375">
        <f>HYPERLINK("https://www.wikidata.org/wiki/Q33755832", "Q33755832")</f>
        <v>0</v>
      </c>
      <c r="G5375" t="s">
        <v>605</v>
      </c>
      <c r="H5375" t="s">
        <v>5365</v>
      </c>
      <c r="I5375" t="s">
        <v>9449</v>
      </c>
      <c r="J5375" t="s">
        <v>11356</v>
      </c>
      <c r="K5375" t="s">
        <v>15757</v>
      </c>
      <c r="L5375">
        <f>HYPERLINK("https://www2.assemblee-nationale.fr/sycomore/fiche/(num_dept)/2249", "2249")</f>
        <v>0</v>
      </c>
      <c r="N5375">
        <f>HYPERLINK("https://www.wikidata.org/wiki/Q3188520", "Q3188520")</f>
        <v>0</v>
      </c>
      <c r="O5375" t="s">
        <v>20009</v>
      </c>
      <c r="Q5375" t="s">
        <v>20738</v>
      </c>
      <c r="R5375" t="s">
        <v>417</v>
      </c>
      <c r="S5375">
        <v>1483</v>
      </c>
    </row>
    <row r="5376" spans="1:19">
      <c r="A5376" t="s">
        <v>27</v>
      </c>
      <c r="B5376" t="s">
        <v>148</v>
      </c>
      <c r="C5376" t="s">
        <v>159</v>
      </c>
      <c r="D5376" t="s">
        <v>288</v>
      </c>
      <c r="E5376" t="s">
        <v>417</v>
      </c>
      <c r="F5376">
        <f>HYPERLINK("https://www.wikidata.org/wiki/Q33755832", "Q33755832")</f>
        <v>0</v>
      </c>
      <c r="G5376" t="s">
        <v>607</v>
      </c>
      <c r="H5376" t="s">
        <v>5367</v>
      </c>
      <c r="I5376" t="s">
        <v>9450</v>
      </c>
      <c r="J5376" t="s">
        <v>11358</v>
      </c>
      <c r="K5376" t="s">
        <v>15759</v>
      </c>
      <c r="L5376">
        <f>HYPERLINK("https://www2.assemblee-nationale.fr/sycomore/fiche/(num_dept)/2261", "2261")</f>
        <v>0</v>
      </c>
      <c r="N5376">
        <f>HYPERLINK("https://www.wikidata.org/wiki/Q8323934", "Q8323934")</f>
        <v>0</v>
      </c>
      <c r="O5376" t="s">
        <v>8449</v>
      </c>
      <c r="Q5376" t="s">
        <v>20738</v>
      </c>
      <c r="R5376" t="s">
        <v>417</v>
      </c>
      <c r="S5376">
        <v>1483</v>
      </c>
    </row>
    <row r="5377" spans="1:19">
      <c r="A5377" t="s">
        <v>27</v>
      </c>
      <c r="B5377" t="s">
        <v>148</v>
      </c>
      <c r="C5377" t="s">
        <v>159</v>
      </c>
      <c r="D5377" t="s">
        <v>288</v>
      </c>
      <c r="E5377" t="s">
        <v>417</v>
      </c>
      <c r="F5377">
        <f>HYPERLINK("https://www.wikidata.org/wiki/Q33755832", "Q33755832")</f>
        <v>0</v>
      </c>
      <c r="G5377" t="s">
        <v>3424</v>
      </c>
      <c r="H5377" t="s">
        <v>7805</v>
      </c>
      <c r="I5377" t="s">
        <v>10824</v>
      </c>
      <c r="J5377" t="s">
        <v>14029</v>
      </c>
      <c r="K5377" t="s">
        <v>18397</v>
      </c>
      <c r="L5377">
        <f>HYPERLINK("https://www2.assemblee-nationale.fr/sycomore/fiche/(num_dept)/2272", "2272")</f>
        <v>0</v>
      </c>
      <c r="N5377">
        <f>HYPERLINK("https://www.wikidata.org/wiki/Q7122898", "Q7122898")</f>
        <v>0</v>
      </c>
      <c r="O5377" t="s">
        <v>19989</v>
      </c>
      <c r="Q5377" t="s">
        <v>20738</v>
      </c>
      <c r="R5377" t="s">
        <v>417</v>
      </c>
      <c r="S5377">
        <v>1483</v>
      </c>
    </row>
    <row r="5378" spans="1:19">
      <c r="A5378" t="s">
        <v>27</v>
      </c>
      <c r="B5378" t="s">
        <v>148</v>
      </c>
      <c r="C5378" t="s">
        <v>159</v>
      </c>
      <c r="D5378" t="s">
        <v>288</v>
      </c>
      <c r="E5378" t="s">
        <v>417</v>
      </c>
      <c r="F5378">
        <f>HYPERLINK("https://www.wikidata.org/wiki/Q33755832", "Q33755832")</f>
        <v>0</v>
      </c>
      <c r="G5378" t="s">
        <v>608</v>
      </c>
      <c r="H5378" t="s">
        <v>5368</v>
      </c>
      <c r="I5378" t="s">
        <v>9451</v>
      </c>
      <c r="J5378" t="s">
        <v>11359</v>
      </c>
      <c r="K5378" t="s">
        <v>15760</v>
      </c>
      <c r="L5378">
        <f>HYPERLINK("https://www2.assemblee-nationale.fr/sycomore/fiche/(num_dept)/2283", "2283")</f>
        <v>0</v>
      </c>
      <c r="N5378">
        <f>HYPERLINK("https://www.wikidata.org/wiki/Q503827", "Q503827")</f>
        <v>0</v>
      </c>
      <c r="O5378" t="s">
        <v>20019</v>
      </c>
      <c r="P5378" t="s">
        <v>20401</v>
      </c>
      <c r="Q5378" t="s">
        <v>20738</v>
      </c>
      <c r="R5378" t="s">
        <v>417</v>
      </c>
      <c r="S5378">
        <v>1483</v>
      </c>
    </row>
    <row r="5379" spans="1:19">
      <c r="A5379" t="s">
        <v>27</v>
      </c>
      <c r="B5379" t="s">
        <v>148</v>
      </c>
      <c r="C5379" t="s">
        <v>159</v>
      </c>
      <c r="D5379" t="s">
        <v>288</v>
      </c>
      <c r="E5379" t="s">
        <v>417</v>
      </c>
      <c r="F5379">
        <f>HYPERLINK("https://www.wikidata.org/wiki/Q33755832", "Q33755832")</f>
        <v>0</v>
      </c>
      <c r="G5379" t="s">
        <v>3242</v>
      </c>
      <c r="H5379" t="s">
        <v>7666</v>
      </c>
      <c r="I5379" t="s">
        <v>10727</v>
      </c>
      <c r="J5379" t="s">
        <v>13860</v>
      </c>
      <c r="K5379" t="s">
        <v>16223</v>
      </c>
      <c r="L5379">
        <f>HYPERLINK("https://www2.assemblee-nationale.fr/sycomore/fiche/(num_dept)/2309", "2309")</f>
        <v>0</v>
      </c>
      <c r="M5379">
        <f>HYPERLINK("https://www.senat.fr/senateur-3eme-republique/dellestable_antoine0462r3.html", "dellestable_antoine0462r3")</f>
        <v>0</v>
      </c>
      <c r="N5379">
        <f>HYPERLINK("https://www.wikidata.org/wiki/Q2853848", "Q2853848")</f>
        <v>0</v>
      </c>
      <c r="O5379" t="s">
        <v>20020</v>
      </c>
      <c r="P5379" t="s">
        <v>20401</v>
      </c>
      <c r="Q5379" t="s">
        <v>20738</v>
      </c>
      <c r="R5379" t="s">
        <v>417</v>
      </c>
      <c r="S5379">
        <v>1483</v>
      </c>
    </row>
    <row r="5380" spans="1:19">
      <c r="A5380" t="s">
        <v>27</v>
      </c>
      <c r="B5380" t="s">
        <v>148</v>
      </c>
      <c r="C5380" t="s">
        <v>159</v>
      </c>
      <c r="D5380" t="s">
        <v>288</v>
      </c>
      <c r="E5380" t="s">
        <v>417</v>
      </c>
      <c r="F5380">
        <f>HYPERLINK("https://www.wikidata.org/wiki/Q33755832", "Q33755832")</f>
        <v>0</v>
      </c>
      <c r="G5380" t="s">
        <v>1121</v>
      </c>
      <c r="H5380" t="s">
        <v>5681</v>
      </c>
      <c r="I5380" t="s">
        <v>6166</v>
      </c>
      <c r="J5380" t="s">
        <v>11855</v>
      </c>
      <c r="K5380" t="s">
        <v>16257</v>
      </c>
      <c r="L5380">
        <f>HYPERLINK("https://www2.assemblee-nationale.fr/sycomore/fiche/(num_dept)/2328", "2328")</f>
        <v>0</v>
      </c>
      <c r="N5380">
        <f>HYPERLINK("https://www.wikidata.org/wiki/Q3084405", "Q3084405")</f>
        <v>0</v>
      </c>
      <c r="O5380" t="s">
        <v>20033</v>
      </c>
      <c r="P5380" t="s">
        <v>20402</v>
      </c>
      <c r="Q5380" t="s">
        <v>20738</v>
      </c>
      <c r="R5380" t="s">
        <v>417</v>
      </c>
      <c r="S5380">
        <v>1483</v>
      </c>
    </row>
    <row r="5381" spans="1:19">
      <c r="A5381" t="s">
        <v>27</v>
      </c>
      <c r="B5381" t="s">
        <v>148</v>
      </c>
      <c r="C5381" t="s">
        <v>159</v>
      </c>
      <c r="D5381" t="s">
        <v>288</v>
      </c>
      <c r="E5381" t="s">
        <v>417</v>
      </c>
      <c r="F5381">
        <f>HYPERLINK("https://www.wikidata.org/wiki/Q33755832", "Q33755832")</f>
        <v>0</v>
      </c>
      <c r="G5381" t="s">
        <v>2549</v>
      </c>
      <c r="H5381" t="s">
        <v>7108</v>
      </c>
      <c r="I5381" t="s">
        <v>6860</v>
      </c>
      <c r="J5381" t="s">
        <v>13193</v>
      </c>
      <c r="K5381" t="s">
        <v>17598</v>
      </c>
      <c r="L5381">
        <f>HYPERLINK("https://www2.assemblee-nationale.fr/sycomore/fiche/(num_dept)/2353", "2353")</f>
        <v>0</v>
      </c>
      <c r="N5381">
        <f>HYPERLINK("https://www.wikidata.org/wiki/Q3384693", "Q3384693")</f>
        <v>0</v>
      </c>
      <c r="O5381" t="s">
        <v>20043</v>
      </c>
      <c r="P5381" t="s">
        <v>20461</v>
      </c>
      <c r="Q5381" t="s">
        <v>20738</v>
      </c>
      <c r="R5381" t="s">
        <v>417</v>
      </c>
      <c r="S5381">
        <v>1483</v>
      </c>
    </row>
    <row r="5382" spans="1:19">
      <c r="A5382" t="s">
        <v>27</v>
      </c>
      <c r="B5382" t="s">
        <v>148</v>
      </c>
      <c r="C5382" t="s">
        <v>159</v>
      </c>
      <c r="D5382" t="s">
        <v>288</v>
      </c>
      <c r="E5382" t="s">
        <v>417</v>
      </c>
      <c r="F5382">
        <f>HYPERLINK("https://www.wikidata.org/wiki/Q33755832", "Q33755832")</f>
        <v>0</v>
      </c>
      <c r="G5382" t="s">
        <v>2550</v>
      </c>
      <c r="H5382" t="s">
        <v>7109</v>
      </c>
      <c r="I5382" t="s">
        <v>10282</v>
      </c>
      <c r="J5382" t="s">
        <v>13194</v>
      </c>
      <c r="K5382" t="s">
        <v>17599</v>
      </c>
      <c r="L5382">
        <f>HYPERLINK("https://www2.assemblee-nationale.fr/sycomore/fiche/(num_dept)/2359", "2359")</f>
        <v>0</v>
      </c>
      <c r="M5382">
        <f>HYPERLINK("https://www.senat.fr/senateur-3eme-republique/demarcay_maurice1771r3.html", "demarcay_maurice1771r3")</f>
        <v>0</v>
      </c>
      <c r="N5382">
        <f>HYPERLINK("https://www.wikidata.org/wiki/Q3300667", "Q3300667")</f>
        <v>0</v>
      </c>
      <c r="O5382" t="s">
        <v>19982</v>
      </c>
      <c r="Q5382" t="s">
        <v>20738</v>
      </c>
      <c r="R5382" t="s">
        <v>417</v>
      </c>
      <c r="S5382">
        <v>1483</v>
      </c>
    </row>
    <row r="5383" spans="1:19">
      <c r="A5383" t="s">
        <v>27</v>
      </c>
      <c r="B5383" t="s">
        <v>148</v>
      </c>
      <c r="C5383" t="s">
        <v>159</v>
      </c>
      <c r="D5383" t="s">
        <v>288</v>
      </c>
      <c r="E5383" t="s">
        <v>417</v>
      </c>
      <c r="F5383">
        <f>HYPERLINK("https://www.wikidata.org/wiki/Q33755832", "Q33755832")</f>
        <v>0</v>
      </c>
      <c r="G5383" t="s">
        <v>3425</v>
      </c>
      <c r="H5383" t="s">
        <v>7806</v>
      </c>
      <c r="I5383" t="s">
        <v>9736</v>
      </c>
      <c r="J5383" t="s">
        <v>14030</v>
      </c>
      <c r="K5383" t="s">
        <v>18398</v>
      </c>
      <c r="L5383">
        <f>HYPERLINK("https://www2.assemblee-nationale.fr/sycomore/fiche/(num_dept)/2385", "2385")</f>
        <v>0</v>
      </c>
      <c r="N5383">
        <f>HYPERLINK("https://www.wikidata.org/wiki/Q16025566", "Q16025566")</f>
        <v>0</v>
      </c>
      <c r="O5383" t="s">
        <v>19982</v>
      </c>
      <c r="P5383" t="s">
        <v>20411</v>
      </c>
      <c r="Q5383" t="s">
        <v>20738</v>
      </c>
      <c r="R5383" t="s">
        <v>18398</v>
      </c>
      <c r="S5383">
        <v>803</v>
      </c>
    </row>
    <row r="5384" spans="1:19">
      <c r="A5384" t="s">
        <v>27</v>
      </c>
      <c r="B5384" t="s">
        <v>148</v>
      </c>
      <c r="C5384" t="s">
        <v>159</v>
      </c>
      <c r="D5384" t="s">
        <v>288</v>
      </c>
      <c r="E5384" t="s">
        <v>417</v>
      </c>
      <c r="F5384">
        <f>HYPERLINK("https://www.wikidata.org/wiki/Q33755832", "Q33755832")</f>
        <v>0</v>
      </c>
      <c r="G5384" t="s">
        <v>3426</v>
      </c>
      <c r="H5384" t="s">
        <v>7807</v>
      </c>
      <c r="I5384" t="s">
        <v>9388</v>
      </c>
      <c r="J5384" t="s">
        <v>14031</v>
      </c>
      <c r="K5384" t="s">
        <v>18399</v>
      </c>
      <c r="L5384">
        <f>HYPERLINK("https://www2.assemblee-nationale.fr/sycomore/fiche/(num_dept)/2409", "2409")</f>
        <v>0</v>
      </c>
      <c r="N5384">
        <f>HYPERLINK("https://www.wikidata.org/wiki/Q1094964", "Q1094964")</f>
        <v>0</v>
      </c>
      <c r="O5384" t="s">
        <v>20031</v>
      </c>
      <c r="Q5384" t="s">
        <v>20738</v>
      </c>
      <c r="R5384" t="s">
        <v>21520</v>
      </c>
      <c r="S5384">
        <v>1369</v>
      </c>
    </row>
    <row r="5385" spans="1:19">
      <c r="A5385" t="s">
        <v>27</v>
      </c>
      <c r="B5385" t="s">
        <v>148</v>
      </c>
      <c r="C5385" t="s">
        <v>159</v>
      </c>
      <c r="D5385" t="s">
        <v>288</v>
      </c>
      <c r="E5385" t="s">
        <v>417</v>
      </c>
      <c r="F5385">
        <f>HYPERLINK("https://www.wikidata.org/wiki/Q33755832", "Q33755832")</f>
        <v>0</v>
      </c>
      <c r="G5385" t="s">
        <v>2552</v>
      </c>
      <c r="H5385" t="s">
        <v>7111</v>
      </c>
      <c r="I5385" t="s">
        <v>6584</v>
      </c>
      <c r="J5385" t="s">
        <v>13196</v>
      </c>
      <c r="K5385" t="s">
        <v>17601</v>
      </c>
      <c r="L5385">
        <f>HYPERLINK("https://www2.assemblee-nationale.fr/sycomore/fiche/(num_dept)/2416", "2416")</f>
        <v>0</v>
      </c>
      <c r="N5385">
        <f>HYPERLINK("https://www.wikidata.org/wiki/Q16025572", "Q16025572")</f>
        <v>0</v>
      </c>
      <c r="O5385" t="s">
        <v>20003</v>
      </c>
      <c r="P5385" t="s">
        <v>20461</v>
      </c>
      <c r="Q5385" t="s">
        <v>20738</v>
      </c>
      <c r="R5385" t="s">
        <v>417</v>
      </c>
      <c r="S5385">
        <v>1483</v>
      </c>
    </row>
    <row r="5386" spans="1:19">
      <c r="A5386" t="s">
        <v>27</v>
      </c>
      <c r="B5386" t="s">
        <v>148</v>
      </c>
      <c r="C5386" t="s">
        <v>159</v>
      </c>
      <c r="D5386" t="s">
        <v>288</v>
      </c>
      <c r="E5386" t="s">
        <v>417</v>
      </c>
      <c r="F5386">
        <f>HYPERLINK("https://www.wikidata.org/wiki/Q33755832", "Q33755832")</f>
        <v>0</v>
      </c>
      <c r="G5386" t="s">
        <v>3112</v>
      </c>
      <c r="H5386" t="s">
        <v>7557</v>
      </c>
      <c r="I5386" t="s">
        <v>9385</v>
      </c>
      <c r="J5386" t="s">
        <v>13734</v>
      </c>
      <c r="K5386" t="s">
        <v>18116</v>
      </c>
      <c r="L5386">
        <f>HYPERLINK("https://www2.assemblee-nationale.fr/sycomore/fiche/(num_dept)/2418", "2418")</f>
        <v>0</v>
      </c>
      <c r="N5386">
        <f>HYPERLINK("https://www.wikidata.org/wiki/Q16025573", "Q16025573")</f>
        <v>0</v>
      </c>
      <c r="O5386" t="s">
        <v>20012</v>
      </c>
      <c r="P5386" t="s">
        <v>20460</v>
      </c>
      <c r="Q5386" t="s">
        <v>20738</v>
      </c>
      <c r="R5386" t="s">
        <v>18116</v>
      </c>
      <c r="S5386">
        <v>1214</v>
      </c>
    </row>
    <row r="5387" spans="1:19">
      <c r="A5387" t="s">
        <v>27</v>
      </c>
      <c r="B5387" t="s">
        <v>148</v>
      </c>
      <c r="C5387" t="s">
        <v>159</v>
      </c>
      <c r="D5387" t="s">
        <v>288</v>
      </c>
      <c r="E5387" t="s">
        <v>417</v>
      </c>
      <c r="F5387">
        <f>HYPERLINK("https://www.wikidata.org/wiki/Q33755832", "Q33755832")</f>
        <v>0</v>
      </c>
      <c r="G5387" t="s">
        <v>613</v>
      </c>
      <c r="H5387" t="s">
        <v>5373</v>
      </c>
      <c r="I5387" t="s">
        <v>9388</v>
      </c>
      <c r="J5387" t="s">
        <v>11364</v>
      </c>
      <c r="K5387" t="s">
        <v>15765</v>
      </c>
      <c r="L5387">
        <f>HYPERLINK("https://www2.assemblee-nationale.fr/sycomore/fiche/(num_dept)/2425", "2425")</f>
        <v>0</v>
      </c>
      <c r="M5387">
        <f>HYPERLINK("https://www.senat.fr/senateur-3eme-republique/deschanel_paul0768r3.html", "deschanel_paul0768r3")</f>
        <v>0</v>
      </c>
      <c r="N5387">
        <f>HYPERLINK("https://www.wikidata.org/wiki/Q309995", "Q309995")</f>
        <v>0</v>
      </c>
      <c r="O5387" t="s">
        <v>19971</v>
      </c>
      <c r="Q5387" t="s">
        <v>20738</v>
      </c>
      <c r="R5387" t="s">
        <v>417</v>
      </c>
      <c r="S5387">
        <v>1483</v>
      </c>
    </row>
    <row r="5388" spans="1:19">
      <c r="A5388" t="s">
        <v>27</v>
      </c>
      <c r="B5388" t="s">
        <v>148</v>
      </c>
      <c r="C5388" t="s">
        <v>159</v>
      </c>
      <c r="D5388" t="s">
        <v>288</v>
      </c>
      <c r="E5388" t="s">
        <v>417</v>
      </c>
      <c r="F5388">
        <f>HYPERLINK("https://www.wikidata.org/wiki/Q33755832", "Q33755832")</f>
        <v>0</v>
      </c>
      <c r="G5388" t="s">
        <v>3427</v>
      </c>
      <c r="H5388" t="s">
        <v>5686</v>
      </c>
      <c r="I5388" t="s">
        <v>9442</v>
      </c>
      <c r="J5388" t="s">
        <v>14032</v>
      </c>
      <c r="K5388" t="s">
        <v>18400</v>
      </c>
      <c r="L5388">
        <f>HYPERLINK("https://www2.assemblee-nationale.fr/sycomore/fiche/(num_dept)/2442", "2442")</f>
        <v>0</v>
      </c>
      <c r="N5388">
        <f>HYPERLINK("https://www.wikidata.org/wiki/Q3056926", "Q3056926")</f>
        <v>0</v>
      </c>
      <c r="O5388" t="s">
        <v>20015</v>
      </c>
      <c r="Q5388" t="s">
        <v>20738</v>
      </c>
      <c r="R5388" t="s">
        <v>18400</v>
      </c>
      <c r="S5388">
        <v>1279</v>
      </c>
    </row>
    <row r="5389" spans="1:19">
      <c r="A5389" t="s">
        <v>27</v>
      </c>
      <c r="B5389" t="s">
        <v>148</v>
      </c>
      <c r="C5389" t="s">
        <v>159</v>
      </c>
      <c r="D5389" t="s">
        <v>288</v>
      </c>
      <c r="E5389" t="s">
        <v>417</v>
      </c>
      <c r="F5389">
        <f>HYPERLINK("https://www.wikidata.org/wiki/Q33755832", "Q33755832")</f>
        <v>0</v>
      </c>
      <c r="G5389" t="s">
        <v>2950</v>
      </c>
      <c r="H5389" t="s">
        <v>7424</v>
      </c>
      <c r="I5389" t="s">
        <v>9612</v>
      </c>
      <c r="J5389" t="s">
        <v>13583</v>
      </c>
      <c r="K5389" t="s">
        <v>17968</v>
      </c>
      <c r="L5389">
        <f>HYPERLINK("https://www2.assemblee-nationale.fr/sycomore/fiche/(num_dept)/2445", "2445")</f>
        <v>0</v>
      </c>
      <c r="M5389">
        <f>HYPERLINK("https://www.senat.fr/senateur-3eme-republique/desmons_frederic0832r3.html", "desmons_frederic0832r3")</f>
        <v>0</v>
      </c>
      <c r="N5389">
        <f>HYPERLINK("https://www.wikidata.org/wiki/Q346783", "Q346783")</f>
        <v>0</v>
      </c>
      <c r="O5389" t="s">
        <v>20014</v>
      </c>
      <c r="P5389" t="s">
        <v>20401</v>
      </c>
      <c r="Q5389" t="s">
        <v>20738</v>
      </c>
      <c r="R5389" t="s">
        <v>417</v>
      </c>
      <c r="S5389">
        <v>1483</v>
      </c>
    </row>
    <row r="5390" spans="1:19">
      <c r="A5390" t="s">
        <v>27</v>
      </c>
      <c r="B5390" t="s">
        <v>148</v>
      </c>
      <c r="C5390" t="s">
        <v>159</v>
      </c>
      <c r="D5390" t="s">
        <v>288</v>
      </c>
      <c r="E5390" t="s">
        <v>417</v>
      </c>
      <c r="F5390">
        <f>HYPERLINK("https://www.wikidata.org/wiki/Q33755832", "Q33755832")</f>
        <v>0</v>
      </c>
      <c r="G5390" t="s">
        <v>3428</v>
      </c>
      <c r="H5390" t="s">
        <v>7808</v>
      </c>
      <c r="I5390" t="s">
        <v>9453</v>
      </c>
      <c r="J5390" t="s">
        <v>14033</v>
      </c>
      <c r="K5390" t="s">
        <v>18401</v>
      </c>
      <c r="L5390">
        <f>HYPERLINK("https://www2.assemblee-nationale.fr/sycomore/fiche/(num_dept)/2517", "2517")</f>
        <v>0</v>
      </c>
      <c r="N5390">
        <f>HYPERLINK("https://www.wikidata.org/wiki/Q2865079", "Q2865079")</f>
        <v>0</v>
      </c>
      <c r="O5390" t="s">
        <v>19961</v>
      </c>
      <c r="Q5390" t="s">
        <v>20738</v>
      </c>
      <c r="R5390" t="s">
        <v>21521</v>
      </c>
      <c r="S5390">
        <v>64</v>
      </c>
    </row>
    <row r="5391" spans="1:19">
      <c r="A5391" t="s">
        <v>27</v>
      </c>
      <c r="B5391" t="s">
        <v>148</v>
      </c>
      <c r="C5391" t="s">
        <v>159</v>
      </c>
      <c r="D5391" t="s">
        <v>288</v>
      </c>
      <c r="E5391" t="s">
        <v>417</v>
      </c>
      <c r="F5391">
        <f>HYPERLINK("https://www.wikidata.org/wiki/Q33755832", "Q33755832")</f>
        <v>0</v>
      </c>
      <c r="G5391" t="s">
        <v>3114</v>
      </c>
      <c r="H5391" t="s">
        <v>7559</v>
      </c>
      <c r="I5391" t="s">
        <v>9385</v>
      </c>
      <c r="J5391" t="s">
        <v>13736</v>
      </c>
      <c r="K5391" t="s">
        <v>18118</v>
      </c>
      <c r="L5391">
        <f>HYPERLINK("https://www2.assemblee-nationale.fr/sycomore/fiche/(num_dept)/2545", "2545")</f>
        <v>0</v>
      </c>
      <c r="M5391">
        <f>HYPERLINK("https://www.senat.fr/senateur-3eme-republique/de_dompierre_d_hornoy_charles1675r3.html", "de_dompierre_d_hornoy_charles1675r3")</f>
        <v>0</v>
      </c>
      <c r="N5391">
        <f>HYPERLINK("https://www.wikidata.org/wiki/Q2960566", "Q2960566")</f>
        <v>0</v>
      </c>
      <c r="O5391" t="s">
        <v>20012</v>
      </c>
      <c r="P5391" t="s">
        <v>20460</v>
      </c>
      <c r="Q5391" t="s">
        <v>20738</v>
      </c>
      <c r="R5391" t="s">
        <v>417</v>
      </c>
      <c r="S5391">
        <v>1483</v>
      </c>
    </row>
    <row r="5392" spans="1:19">
      <c r="A5392" t="s">
        <v>27</v>
      </c>
      <c r="B5392" t="s">
        <v>148</v>
      </c>
      <c r="C5392" t="s">
        <v>159</v>
      </c>
      <c r="D5392" t="s">
        <v>288</v>
      </c>
      <c r="E5392" t="s">
        <v>417</v>
      </c>
      <c r="F5392">
        <f>HYPERLINK("https://www.wikidata.org/wiki/Q33755832", "Q33755832")</f>
        <v>0</v>
      </c>
      <c r="G5392" t="s">
        <v>2555</v>
      </c>
      <c r="H5392" t="s">
        <v>7114</v>
      </c>
      <c r="I5392" t="s">
        <v>10283</v>
      </c>
      <c r="J5392" t="s">
        <v>13199</v>
      </c>
      <c r="K5392" t="s">
        <v>12522</v>
      </c>
      <c r="L5392">
        <f>HYPERLINK("https://www2.assemblee-nationale.fr/sycomore/fiche/(num_dept)/2577", "2577")</f>
        <v>0</v>
      </c>
      <c r="N5392">
        <f>HYPERLINK("https://www.wikidata.org/wiki/Q5624188", "Q5624188")</f>
        <v>0</v>
      </c>
      <c r="O5392" t="s">
        <v>20012</v>
      </c>
      <c r="P5392" t="s">
        <v>20412</v>
      </c>
      <c r="Q5392" t="s">
        <v>20738</v>
      </c>
      <c r="R5392" t="s">
        <v>417</v>
      </c>
      <c r="S5392">
        <v>1483</v>
      </c>
    </row>
    <row r="5393" spans="1:19">
      <c r="A5393" t="s">
        <v>27</v>
      </c>
      <c r="B5393" t="s">
        <v>148</v>
      </c>
      <c r="C5393" t="s">
        <v>159</v>
      </c>
      <c r="D5393" t="s">
        <v>288</v>
      </c>
      <c r="E5393" t="s">
        <v>417</v>
      </c>
      <c r="F5393">
        <f>HYPERLINK("https://www.wikidata.org/wiki/Q33755832", "Q33755832")</f>
        <v>0</v>
      </c>
      <c r="G5393" t="s">
        <v>2557</v>
      </c>
      <c r="H5393" t="s">
        <v>7116</v>
      </c>
      <c r="I5393" t="s">
        <v>10285</v>
      </c>
      <c r="J5393" t="s">
        <v>13201</v>
      </c>
      <c r="K5393" t="s">
        <v>17605</v>
      </c>
      <c r="L5393">
        <f>HYPERLINK("https://www2.assemblee-nationale.fr/sycomore/fiche/(num_dept)/2605", "2605")</f>
        <v>0</v>
      </c>
      <c r="N5393">
        <f>HYPERLINK("https://www.wikidata.org/wiki/Q2959275", "Q2959275")</f>
        <v>0</v>
      </c>
      <c r="O5393" t="s">
        <v>19961</v>
      </c>
      <c r="P5393" t="s">
        <v>20460</v>
      </c>
      <c r="Q5393" t="s">
        <v>20738</v>
      </c>
      <c r="R5393" t="s">
        <v>417</v>
      </c>
      <c r="S5393">
        <v>1483</v>
      </c>
    </row>
    <row r="5394" spans="1:19">
      <c r="A5394" t="s">
        <v>27</v>
      </c>
      <c r="B5394" t="s">
        <v>148</v>
      </c>
      <c r="C5394" t="s">
        <v>159</v>
      </c>
      <c r="D5394" t="s">
        <v>288</v>
      </c>
      <c r="E5394" t="s">
        <v>417</v>
      </c>
      <c r="F5394">
        <f>HYPERLINK("https://www.wikidata.org/wiki/Q33755832", "Q33755832")</f>
        <v>0</v>
      </c>
      <c r="G5394" t="s">
        <v>3429</v>
      </c>
      <c r="H5394" t="s">
        <v>5695</v>
      </c>
      <c r="I5394" t="s">
        <v>10825</v>
      </c>
      <c r="J5394" t="s">
        <v>14034</v>
      </c>
      <c r="K5394" t="s">
        <v>17695</v>
      </c>
      <c r="L5394">
        <f>HYPERLINK("https://www2.assemblee-nationale.fr/sycomore/fiche/(num_dept)/2619", "2619")</f>
        <v>0</v>
      </c>
      <c r="N5394">
        <f>HYPERLINK("https://www.wikidata.org/wiki/Q3588468", "Q3588468")</f>
        <v>0</v>
      </c>
      <c r="O5394" t="s">
        <v>20013</v>
      </c>
      <c r="Q5394" t="s">
        <v>20738</v>
      </c>
      <c r="R5394" t="s">
        <v>417</v>
      </c>
      <c r="S5394">
        <v>1483</v>
      </c>
    </row>
    <row r="5395" spans="1:19">
      <c r="A5395" t="s">
        <v>27</v>
      </c>
      <c r="B5395" t="s">
        <v>148</v>
      </c>
      <c r="C5395" t="s">
        <v>159</v>
      </c>
      <c r="D5395" t="s">
        <v>288</v>
      </c>
      <c r="E5395" t="s">
        <v>417</v>
      </c>
      <c r="F5395">
        <f>HYPERLINK("https://www.wikidata.org/wiki/Q33755832", "Q33755832")</f>
        <v>0</v>
      </c>
      <c r="G5395" t="s">
        <v>2559</v>
      </c>
      <c r="H5395" t="s">
        <v>7117</v>
      </c>
      <c r="I5395" t="s">
        <v>10017</v>
      </c>
      <c r="J5395" t="s">
        <v>13203</v>
      </c>
      <c r="K5395" t="s">
        <v>17607</v>
      </c>
      <c r="L5395">
        <f>HYPERLINK("https://www2.assemblee-nationale.fr/sycomore/fiche/(num_dept)/2632", "2632")</f>
        <v>0</v>
      </c>
      <c r="M5395">
        <f>HYPERLINK("https://www.senat.fr/senateur-3eme-republique/dubost_antonin1187r3.html", "dubost_antonin1187r3")</f>
        <v>0</v>
      </c>
      <c r="N5395">
        <f>HYPERLINK("https://www.wikidata.org/wiki/Q2857118", "Q2857118")</f>
        <v>0</v>
      </c>
      <c r="O5395" t="s">
        <v>20006</v>
      </c>
      <c r="P5395" t="s">
        <v>20401</v>
      </c>
      <c r="Q5395" t="s">
        <v>20738</v>
      </c>
      <c r="R5395" t="s">
        <v>417</v>
      </c>
      <c r="S5395">
        <v>1483</v>
      </c>
    </row>
    <row r="5396" spans="1:19">
      <c r="A5396" t="s">
        <v>27</v>
      </c>
      <c r="B5396" t="s">
        <v>148</v>
      </c>
      <c r="C5396" t="s">
        <v>159</v>
      </c>
      <c r="D5396" t="s">
        <v>288</v>
      </c>
      <c r="E5396" t="s">
        <v>417</v>
      </c>
      <c r="F5396">
        <f>HYPERLINK("https://www.wikidata.org/wiki/Q33755832", "Q33755832")</f>
        <v>0</v>
      </c>
      <c r="G5396" t="s">
        <v>2560</v>
      </c>
      <c r="H5396" t="s">
        <v>7118</v>
      </c>
      <c r="I5396" t="s">
        <v>9474</v>
      </c>
      <c r="J5396" t="s">
        <v>13204</v>
      </c>
      <c r="K5396" t="s">
        <v>17608</v>
      </c>
      <c r="L5396">
        <f>HYPERLINK("https://www2.assemblee-nationale.fr/sycomore/fiche/(num_dept)/2643", "2643")</f>
        <v>0</v>
      </c>
      <c r="N5396">
        <f>HYPERLINK("https://www.wikidata.org/wiki/Q3164037", "Q3164037")</f>
        <v>0</v>
      </c>
      <c r="O5396" t="s">
        <v>20005</v>
      </c>
      <c r="P5396" t="s">
        <v>20401</v>
      </c>
      <c r="Q5396" t="s">
        <v>20738</v>
      </c>
      <c r="R5396" t="s">
        <v>417</v>
      </c>
      <c r="S5396">
        <v>1483</v>
      </c>
    </row>
    <row r="5397" spans="1:19">
      <c r="A5397" t="s">
        <v>27</v>
      </c>
      <c r="B5397" t="s">
        <v>148</v>
      </c>
      <c r="C5397" t="s">
        <v>159</v>
      </c>
      <c r="D5397" t="s">
        <v>288</v>
      </c>
      <c r="E5397" t="s">
        <v>417</v>
      </c>
      <c r="F5397">
        <f>HYPERLINK("https://www.wikidata.org/wiki/Q33755832", "Q33755832")</f>
        <v>0</v>
      </c>
      <c r="G5397" t="s">
        <v>2561</v>
      </c>
      <c r="H5397" t="s">
        <v>7119</v>
      </c>
      <c r="I5397" t="s">
        <v>6585</v>
      </c>
      <c r="J5397" t="s">
        <v>13205</v>
      </c>
      <c r="K5397" t="s">
        <v>17609</v>
      </c>
      <c r="L5397">
        <f>HYPERLINK("https://www2.assemblee-nationale.fr/sycomore/fiche/(num_dept)/2650", "2650")</f>
        <v>0</v>
      </c>
      <c r="N5397">
        <f>HYPERLINK("https://www.wikidata.org/wiki/Q16025623", "Q16025623")</f>
        <v>0</v>
      </c>
      <c r="O5397" t="s">
        <v>20031</v>
      </c>
      <c r="Q5397" t="s">
        <v>20738</v>
      </c>
      <c r="R5397" t="s">
        <v>17609</v>
      </c>
      <c r="S5397">
        <v>318</v>
      </c>
    </row>
    <row r="5398" spans="1:19">
      <c r="A5398" t="s">
        <v>27</v>
      </c>
      <c r="B5398" t="s">
        <v>148</v>
      </c>
      <c r="C5398" t="s">
        <v>159</v>
      </c>
      <c r="D5398" t="s">
        <v>288</v>
      </c>
      <c r="E5398" t="s">
        <v>417</v>
      </c>
      <c r="F5398">
        <f>HYPERLINK("https://www.wikidata.org/wiki/Q33755832", "Q33755832")</f>
        <v>0</v>
      </c>
      <c r="G5398" t="s">
        <v>3116</v>
      </c>
      <c r="H5398" t="s">
        <v>7561</v>
      </c>
      <c r="I5398" t="s">
        <v>6166</v>
      </c>
      <c r="J5398" t="s">
        <v>13738</v>
      </c>
      <c r="K5398" t="s">
        <v>18120</v>
      </c>
      <c r="L5398">
        <f>HYPERLINK("https://www2.assemblee-nationale.fr/sycomore/fiche/(num_dept)/2657", "2657")</f>
        <v>0</v>
      </c>
      <c r="M5398">
        <f>HYPERLINK("https://www.senat.fr/senateur-3eme-republique/ducoudray_felix1262r3.html", "ducoudray_felix1262r3")</f>
        <v>0</v>
      </c>
      <c r="N5398">
        <f>HYPERLINK("https://www.wikidata.org/wiki/Q3092431", "Q3092431")</f>
        <v>0</v>
      </c>
      <c r="O5398" t="s">
        <v>20032</v>
      </c>
      <c r="Q5398" t="s">
        <v>20738</v>
      </c>
      <c r="R5398" t="s">
        <v>417</v>
      </c>
      <c r="S5398">
        <v>1483</v>
      </c>
    </row>
    <row r="5399" spans="1:19">
      <c r="A5399" t="s">
        <v>27</v>
      </c>
      <c r="B5399" t="s">
        <v>148</v>
      </c>
      <c r="C5399" t="s">
        <v>159</v>
      </c>
      <c r="D5399" t="s">
        <v>288</v>
      </c>
      <c r="E5399" t="s">
        <v>417</v>
      </c>
      <c r="F5399">
        <f>HYPERLINK("https://www.wikidata.org/wiki/Q33755832", "Q33755832")</f>
        <v>0</v>
      </c>
      <c r="G5399" t="s">
        <v>2562</v>
      </c>
      <c r="H5399" t="s">
        <v>7120</v>
      </c>
      <c r="I5399" t="s">
        <v>6584</v>
      </c>
      <c r="J5399" t="s">
        <v>13206</v>
      </c>
      <c r="K5399" t="s">
        <v>17610</v>
      </c>
      <c r="L5399">
        <f>HYPERLINK("https://www2.assemblee-nationale.fr/sycomore/fiche/(num_dept)/2661", "2661")</f>
        <v>0</v>
      </c>
      <c r="N5399">
        <f>HYPERLINK("https://www.wikidata.org/wiki/Q2831135", "Q2831135")</f>
        <v>0</v>
      </c>
      <c r="O5399" t="s">
        <v>20018</v>
      </c>
      <c r="P5399" t="s">
        <v>20459</v>
      </c>
      <c r="Q5399" t="s">
        <v>20738</v>
      </c>
      <c r="R5399" t="s">
        <v>17610</v>
      </c>
      <c r="S5399">
        <v>637</v>
      </c>
    </row>
    <row r="5400" spans="1:19">
      <c r="A5400" t="s">
        <v>27</v>
      </c>
      <c r="B5400" t="s">
        <v>148</v>
      </c>
      <c r="C5400" t="s">
        <v>159</v>
      </c>
      <c r="D5400" t="s">
        <v>288</v>
      </c>
      <c r="E5400" t="s">
        <v>417</v>
      </c>
      <c r="F5400">
        <f>HYPERLINK("https://www.wikidata.org/wiki/Q33755832", "Q33755832")</f>
        <v>0</v>
      </c>
      <c r="G5400" t="s">
        <v>3430</v>
      </c>
      <c r="H5400" t="s">
        <v>7809</v>
      </c>
      <c r="I5400" t="s">
        <v>9440</v>
      </c>
      <c r="J5400" t="s">
        <v>14035</v>
      </c>
      <c r="K5400" t="s">
        <v>18402</v>
      </c>
      <c r="L5400">
        <f>HYPERLINK("https://www2.assemblee-nationale.fr/sycomore/fiche/(num_dept)/2665", "2665")</f>
        <v>0</v>
      </c>
      <c r="N5400">
        <f>HYPERLINK("https://www.wikidata.org/wiki/Q8323785", "Q8323785")</f>
        <v>0</v>
      </c>
      <c r="O5400" t="s">
        <v>19976</v>
      </c>
      <c r="Q5400" t="s">
        <v>20738</v>
      </c>
      <c r="R5400" t="s">
        <v>417</v>
      </c>
      <c r="S5400">
        <v>1483</v>
      </c>
    </row>
    <row r="5401" spans="1:19">
      <c r="A5401" t="s">
        <v>27</v>
      </c>
      <c r="B5401" t="s">
        <v>148</v>
      </c>
      <c r="C5401" t="s">
        <v>159</v>
      </c>
      <c r="D5401" t="s">
        <v>288</v>
      </c>
      <c r="E5401" t="s">
        <v>417</v>
      </c>
      <c r="F5401">
        <f>HYPERLINK("https://www.wikidata.org/wiki/Q33755832", "Q33755832")</f>
        <v>0</v>
      </c>
      <c r="G5401" t="s">
        <v>3246</v>
      </c>
      <c r="H5401" t="s">
        <v>7668</v>
      </c>
      <c r="I5401" t="s">
        <v>10730</v>
      </c>
      <c r="J5401" t="s">
        <v>13864</v>
      </c>
      <c r="K5401" t="s">
        <v>385</v>
      </c>
      <c r="L5401">
        <f>HYPERLINK("https://www2.assemblee-nationale.fr/sycomore/fiche/(num_dept)/2681", "2681")</f>
        <v>0</v>
      </c>
      <c r="N5401">
        <f>HYPERLINK("https://www.wikidata.org/wiki/Q3130409", "Q3130409")</f>
        <v>0</v>
      </c>
      <c r="O5401" t="s">
        <v>19957</v>
      </c>
      <c r="P5401" t="s">
        <v>20460</v>
      </c>
      <c r="Q5401" t="s">
        <v>20738</v>
      </c>
      <c r="R5401" t="s">
        <v>417</v>
      </c>
      <c r="S5401">
        <v>1483</v>
      </c>
    </row>
    <row r="5402" spans="1:19">
      <c r="A5402" t="s">
        <v>27</v>
      </c>
      <c r="B5402" t="s">
        <v>148</v>
      </c>
      <c r="C5402" t="s">
        <v>159</v>
      </c>
      <c r="D5402" t="s">
        <v>288</v>
      </c>
      <c r="E5402" t="s">
        <v>417</v>
      </c>
      <c r="F5402">
        <f>HYPERLINK("https://www.wikidata.org/wiki/Q33755832", "Q33755832")</f>
        <v>0</v>
      </c>
      <c r="G5402" t="s">
        <v>623</v>
      </c>
      <c r="H5402" t="s">
        <v>5383</v>
      </c>
      <c r="I5402" t="s">
        <v>5394</v>
      </c>
      <c r="J5402" t="s">
        <v>11373</v>
      </c>
      <c r="K5402" t="s">
        <v>15775</v>
      </c>
      <c r="L5402">
        <f>HYPERLINK("https://www2.assemblee-nationale.fr/sycomore/fiche/(num_dept)/2685", "2685")</f>
        <v>0</v>
      </c>
      <c r="M5402">
        <f>HYPERLINK("https://www.senat.fr/senateur-3eme-republique/dujardin_beaumetz_henri0274r3.html", "dujardin_beaumetz_henri0274r3")</f>
        <v>0</v>
      </c>
      <c r="N5402">
        <f>HYPERLINK("https://www.wikidata.org/wiki/Q289596", "Q289596")</f>
        <v>0</v>
      </c>
      <c r="O5402" t="s">
        <v>19960</v>
      </c>
      <c r="Q5402" t="s">
        <v>20738</v>
      </c>
      <c r="R5402" t="s">
        <v>417</v>
      </c>
      <c r="S5402">
        <v>1483</v>
      </c>
    </row>
    <row r="5403" spans="1:19">
      <c r="A5403" t="s">
        <v>27</v>
      </c>
      <c r="B5403" t="s">
        <v>148</v>
      </c>
      <c r="C5403" t="s">
        <v>159</v>
      </c>
      <c r="D5403" t="s">
        <v>288</v>
      </c>
      <c r="E5403" t="s">
        <v>417</v>
      </c>
      <c r="F5403">
        <f>HYPERLINK("https://www.wikidata.org/wiki/Q33755832", "Q33755832")</f>
        <v>0</v>
      </c>
      <c r="G5403" t="s">
        <v>3431</v>
      </c>
      <c r="H5403" t="s">
        <v>7810</v>
      </c>
      <c r="I5403" t="s">
        <v>10826</v>
      </c>
      <c r="J5403" t="s">
        <v>14036</v>
      </c>
      <c r="K5403" t="s">
        <v>18403</v>
      </c>
      <c r="L5403">
        <f>HYPERLINK("https://www2.assemblee-nationale.fr/sycomore/fiche/(num_dept)/2707", "2707")</f>
        <v>0</v>
      </c>
      <c r="N5403">
        <f>HYPERLINK("https://www.wikidata.org/wiki/Q8311788", "Q8311788")</f>
        <v>0</v>
      </c>
      <c r="O5403" t="s">
        <v>20015</v>
      </c>
      <c r="Q5403" t="s">
        <v>20738</v>
      </c>
      <c r="R5403" t="s">
        <v>417</v>
      </c>
      <c r="S5403">
        <v>1483</v>
      </c>
    </row>
    <row r="5404" spans="1:19">
      <c r="A5404" t="s">
        <v>27</v>
      </c>
      <c r="B5404" t="s">
        <v>148</v>
      </c>
      <c r="C5404" t="s">
        <v>159</v>
      </c>
      <c r="D5404" t="s">
        <v>288</v>
      </c>
      <c r="E5404" t="s">
        <v>417</v>
      </c>
      <c r="F5404">
        <f>HYPERLINK("https://www.wikidata.org/wiki/Q33755832", "Q33755832")</f>
        <v>0</v>
      </c>
      <c r="G5404" t="s">
        <v>3432</v>
      </c>
      <c r="H5404" t="s">
        <v>7811</v>
      </c>
      <c r="I5404" t="s">
        <v>9692</v>
      </c>
      <c r="J5404" t="s">
        <v>14037</v>
      </c>
      <c r="K5404" t="s">
        <v>18404</v>
      </c>
      <c r="L5404">
        <f>HYPERLINK("https://www2.assemblee-nationale.fr/sycomore/fiche/(num_dept)/2745", "2745")</f>
        <v>0</v>
      </c>
      <c r="N5404">
        <f>HYPERLINK("https://www.wikidata.org/wiki/Q3420824", "Q3420824")</f>
        <v>0</v>
      </c>
      <c r="O5404" t="s">
        <v>19982</v>
      </c>
      <c r="Q5404" t="s">
        <v>20738</v>
      </c>
      <c r="R5404" t="s">
        <v>21522</v>
      </c>
      <c r="S5404">
        <v>69</v>
      </c>
    </row>
    <row r="5405" spans="1:19">
      <c r="A5405" t="s">
        <v>27</v>
      </c>
      <c r="B5405" t="s">
        <v>148</v>
      </c>
      <c r="C5405" t="s">
        <v>159</v>
      </c>
      <c r="D5405" t="s">
        <v>288</v>
      </c>
      <c r="E5405" t="s">
        <v>417</v>
      </c>
      <c r="F5405">
        <f>HYPERLINK("https://www.wikidata.org/wiki/Q33755832", "Q33755832")</f>
        <v>0</v>
      </c>
      <c r="G5405" t="s">
        <v>3433</v>
      </c>
      <c r="H5405" t="s">
        <v>7562</v>
      </c>
      <c r="I5405" t="s">
        <v>9981</v>
      </c>
      <c r="J5405" t="s">
        <v>14038</v>
      </c>
      <c r="K5405" t="s">
        <v>18405</v>
      </c>
      <c r="L5405">
        <f>HYPERLINK("https://www2.assemblee-nationale.fr/sycomore/fiche/(num_dept)/2763", "2763")</f>
        <v>0</v>
      </c>
      <c r="N5405">
        <f>HYPERLINK("https://www.wikidata.org/wiki/Q3161040", "Q3161040")</f>
        <v>0</v>
      </c>
      <c r="O5405" t="s">
        <v>20006</v>
      </c>
      <c r="Q5405" t="s">
        <v>20738</v>
      </c>
      <c r="R5405" t="s">
        <v>417</v>
      </c>
      <c r="S5405">
        <v>1483</v>
      </c>
    </row>
    <row r="5406" spans="1:19">
      <c r="A5406" t="s">
        <v>27</v>
      </c>
      <c r="B5406" t="s">
        <v>148</v>
      </c>
      <c r="C5406" t="s">
        <v>159</v>
      </c>
      <c r="D5406" t="s">
        <v>288</v>
      </c>
      <c r="E5406" t="s">
        <v>417</v>
      </c>
      <c r="F5406">
        <f>HYPERLINK("https://www.wikidata.org/wiki/Q33755832", "Q33755832")</f>
        <v>0</v>
      </c>
      <c r="G5406" t="s">
        <v>3055</v>
      </c>
      <c r="H5406" t="s">
        <v>6149</v>
      </c>
      <c r="I5406" t="s">
        <v>9538</v>
      </c>
      <c r="J5406" t="s">
        <v>13681</v>
      </c>
      <c r="K5406" t="s">
        <v>18062</v>
      </c>
      <c r="L5406">
        <f>HYPERLINK("https://www2.assemblee-nationale.fr/sycomore/fiche/(num_dept)/2799", "2799")</f>
        <v>0</v>
      </c>
      <c r="M5406">
        <f>HYPERLINK("https://www.senat.fr/senateur-3eme-republique/duval_cesar1318r3.html", "duval_cesar1318r3")</f>
        <v>0</v>
      </c>
      <c r="N5406">
        <f>HYPERLINK("https://www.wikidata.org/wiki/Q3010446", "Q3010446")</f>
        <v>0</v>
      </c>
      <c r="O5406" t="s">
        <v>20018</v>
      </c>
      <c r="Q5406" t="s">
        <v>20738</v>
      </c>
      <c r="R5406" t="s">
        <v>417</v>
      </c>
      <c r="S5406">
        <v>1483</v>
      </c>
    </row>
    <row r="5407" spans="1:19">
      <c r="A5407" t="s">
        <v>27</v>
      </c>
      <c r="B5407" t="s">
        <v>148</v>
      </c>
      <c r="C5407" t="s">
        <v>159</v>
      </c>
      <c r="D5407" t="s">
        <v>288</v>
      </c>
      <c r="E5407" t="s">
        <v>417</v>
      </c>
      <c r="F5407">
        <f>HYPERLINK("https://www.wikidata.org/wiki/Q33755832", "Q33755832")</f>
        <v>0</v>
      </c>
      <c r="G5407" t="s">
        <v>2565</v>
      </c>
      <c r="H5407" t="s">
        <v>7122</v>
      </c>
      <c r="I5407" t="s">
        <v>10288</v>
      </c>
      <c r="J5407" t="s">
        <v>13209</v>
      </c>
      <c r="K5407" t="s">
        <v>13113</v>
      </c>
      <c r="L5407">
        <f>HYPERLINK("https://www2.assemblee-nationale.fr/sycomore/fiche/(num_dept)/2808", "2808")</f>
        <v>0</v>
      </c>
      <c r="N5407">
        <f>HYPERLINK("https://www.wikidata.org/wiki/Q16025664", "Q16025664")</f>
        <v>0</v>
      </c>
      <c r="O5407" t="s">
        <v>19978</v>
      </c>
      <c r="P5407" t="s">
        <v>20401</v>
      </c>
      <c r="Q5407" t="s">
        <v>20738</v>
      </c>
      <c r="R5407" t="s">
        <v>13113</v>
      </c>
      <c r="S5407">
        <v>35</v>
      </c>
    </row>
    <row r="5408" spans="1:19">
      <c r="A5408" t="s">
        <v>27</v>
      </c>
      <c r="B5408" t="s">
        <v>148</v>
      </c>
      <c r="C5408" t="s">
        <v>159</v>
      </c>
      <c r="D5408" t="s">
        <v>288</v>
      </c>
      <c r="E5408" t="s">
        <v>417</v>
      </c>
      <c r="F5408">
        <f>HYPERLINK("https://www.wikidata.org/wiki/Q33755832", "Q33755832")</f>
        <v>0</v>
      </c>
      <c r="G5408" t="s">
        <v>3434</v>
      </c>
      <c r="H5408" t="s">
        <v>7812</v>
      </c>
      <c r="I5408" t="s">
        <v>6154</v>
      </c>
      <c r="J5408" t="s">
        <v>14039</v>
      </c>
      <c r="K5408" t="s">
        <v>18406</v>
      </c>
      <c r="L5408">
        <f>HYPERLINK("https://www2.assemblee-nationale.fr/sycomore/fiche/(num_dept)/2818", "2818")</f>
        <v>0</v>
      </c>
      <c r="M5408">
        <f>HYPERLINK("https://www.senat.fr/senateur-3eme-republique/eliez_evrard_evrard1386r3.html", "eliez_evrard_evrard1386r3")</f>
        <v>0</v>
      </c>
      <c r="N5408">
        <f>HYPERLINK("https://www.wikidata.org/wiki/Q3061659", "Q3061659")</f>
        <v>0</v>
      </c>
      <c r="O5408" t="s">
        <v>20013</v>
      </c>
      <c r="Q5408" t="s">
        <v>20738</v>
      </c>
      <c r="R5408" t="s">
        <v>417</v>
      </c>
      <c r="S5408">
        <v>1483</v>
      </c>
    </row>
    <row r="5409" spans="1:19">
      <c r="A5409" t="s">
        <v>27</v>
      </c>
      <c r="B5409" t="s">
        <v>148</v>
      </c>
      <c r="C5409" t="s">
        <v>159</v>
      </c>
      <c r="D5409" t="s">
        <v>288</v>
      </c>
      <c r="E5409" t="s">
        <v>417</v>
      </c>
      <c r="F5409">
        <f>HYPERLINK("https://www.wikidata.org/wiki/Q33755832", "Q33755832")</f>
        <v>0</v>
      </c>
      <c r="G5409" t="s">
        <v>3435</v>
      </c>
      <c r="H5409" t="s">
        <v>7813</v>
      </c>
      <c r="I5409" t="s">
        <v>10827</v>
      </c>
      <c r="J5409" t="s">
        <v>11615</v>
      </c>
      <c r="K5409" t="s">
        <v>18407</v>
      </c>
      <c r="L5409">
        <f>HYPERLINK("https://www2.assemblee-nationale.fr/sycomore/fiche/(num_dept)/2823", "2823")</f>
        <v>0</v>
      </c>
      <c r="M5409">
        <f>HYPERLINK("https://www.senat.fr/senateur-3eme-republique/elva_christian0958r3.html", "elva_christian0958r3")</f>
        <v>0</v>
      </c>
      <c r="N5409">
        <f>HYPERLINK("https://www.wikidata.org/wiki/Q2965715", "Q2965715")</f>
        <v>0</v>
      </c>
      <c r="O5409" t="s">
        <v>19984</v>
      </c>
      <c r="Q5409" t="s">
        <v>20738</v>
      </c>
      <c r="R5409" t="s">
        <v>417</v>
      </c>
      <c r="S5409">
        <v>1483</v>
      </c>
    </row>
    <row r="5410" spans="1:19">
      <c r="A5410" t="s">
        <v>27</v>
      </c>
      <c r="B5410" t="s">
        <v>148</v>
      </c>
      <c r="C5410" t="s">
        <v>159</v>
      </c>
      <c r="D5410" t="s">
        <v>288</v>
      </c>
      <c r="E5410" t="s">
        <v>417</v>
      </c>
      <c r="F5410">
        <f>HYPERLINK("https://www.wikidata.org/wiki/Q33755832", "Q33755832")</f>
        <v>0</v>
      </c>
      <c r="G5410" t="s">
        <v>2568</v>
      </c>
      <c r="H5410" t="s">
        <v>7125</v>
      </c>
      <c r="I5410" t="s">
        <v>10289</v>
      </c>
      <c r="J5410" t="s">
        <v>13212</v>
      </c>
      <c r="K5410" t="s">
        <v>17615</v>
      </c>
      <c r="L5410">
        <f>HYPERLINK("https://www2.assemblee-nationale.fr/sycomore/fiche/(num_dept)/2839", "2839")</f>
        <v>0</v>
      </c>
      <c r="N5410">
        <f>HYPERLINK("https://www.wikidata.org/wiki/Q3059850", "Q3059850")</f>
        <v>0</v>
      </c>
      <c r="O5410" t="s">
        <v>20037</v>
      </c>
      <c r="P5410" t="s">
        <v>20460</v>
      </c>
      <c r="Q5410" t="s">
        <v>20738</v>
      </c>
      <c r="R5410" t="s">
        <v>417</v>
      </c>
      <c r="S5410">
        <v>1483</v>
      </c>
    </row>
    <row r="5411" spans="1:19">
      <c r="A5411" t="s">
        <v>27</v>
      </c>
      <c r="B5411" t="s">
        <v>148</v>
      </c>
      <c r="C5411" t="s">
        <v>159</v>
      </c>
      <c r="D5411" t="s">
        <v>288</v>
      </c>
      <c r="E5411" t="s">
        <v>417</v>
      </c>
      <c r="F5411">
        <f>HYPERLINK("https://www.wikidata.org/wiki/Q33755832", "Q33755832")</f>
        <v>0</v>
      </c>
      <c r="G5411" t="s">
        <v>2569</v>
      </c>
      <c r="H5411" t="s">
        <v>7126</v>
      </c>
      <c r="I5411" t="s">
        <v>10290</v>
      </c>
      <c r="J5411" t="s">
        <v>13213</v>
      </c>
      <c r="K5411" t="s">
        <v>17616</v>
      </c>
      <c r="L5411">
        <f>HYPERLINK("https://www2.assemblee-nationale.fr/sycomore/fiche/(num_dept)/2849", "2849")</f>
        <v>0</v>
      </c>
      <c r="N5411">
        <f>HYPERLINK("https://www.wikidata.org/wiki/Q8324733", "Q8324733")</f>
        <v>0</v>
      </c>
      <c r="O5411" t="s">
        <v>20032</v>
      </c>
      <c r="P5411" t="s">
        <v>20460</v>
      </c>
      <c r="Q5411" t="s">
        <v>20738</v>
      </c>
      <c r="R5411" t="s">
        <v>417</v>
      </c>
      <c r="S5411">
        <v>1483</v>
      </c>
    </row>
    <row r="5412" spans="1:19">
      <c r="A5412" t="s">
        <v>27</v>
      </c>
      <c r="B5412" t="s">
        <v>148</v>
      </c>
      <c r="C5412" t="s">
        <v>159</v>
      </c>
      <c r="D5412" t="s">
        <v>288</v>
      </c>
      <c r="E5412" t="s">
        <v>417</v>
      </c>
      <c r="F5412">
        <f>HYPERLINK("https://www.wikidata.org/wiki/Q33755832", "Q33755832")</f>
        <v>0</v>
      </c>
      <c r="G5412" t="s">
        <v>3248</v>
      </c>
      <c r="H5412" t="s">
        <v>7669</v>
      </c>
      <c r="I5412" t="s">
        <v>10732</v>
      </c>
      <c r="J5412" t="s">
        <v>13866</v>
      </c>
      <c r="K5412" t="s">
        <v>18236</v>
      </c>
      <c r="L5412">
        <f>HYPERLINK("https://www2.assemblee-nationale.fr/sycomore/fiche/(num_dept)/2855", "2855")</f>
        <v>0</v>
      </c>
      <c r="N5412">
        <f>HYPERLINK("https://www.wikidata.org/wiki/Q15969530", "Q15969530")</f>
        <v>0</v>
      </c>
      <c r="O5412" t="s">
        <v>20012</v>
      </c>
      <c r="P5412" t="s">
        <v>20460</v>
      </c>
      <c r="Q5412" t="s">
        <v>20738</v>
      </c>
      <c r="R5412" t="s">
        <v>417</v>
      </c>
      <c r="S5412">
        <v>1483</v>
      </c>
    </row>
    <row r="5413" spans="1:19">
      <c r="A5413" t="s">
        <v>27</v>
      </c>
      <c r="B5413" t="s">
        <v>148</v>
      </c>
      <c r="C5413" t="s">
        <v>159</v>
      </c>
      <c r="D5413" t="s">
        <v>288</v>
      </c>
      <c r="E5413" t="s">
        <v>417</v>
      </c>
      <c r="F5413">
        <f>HYPERLINK("https://www.wikidata.org/wiki/Q33755832", "Q33755832")</f>
        <v>0</v>
      </c>
      <c r="G5413" t="s">
        <v>3436</v>
      </c>
      <c r="H5413" t="s">
        <v>7814</v>
      </c>
      <c r="I5413" t="s">
        <v>10828</v>
      </c>
      <c r="J5413" t="s">
        <v>14040</v>
      </c>
      <c r="K5413" t="s">
        <v>18408</v>
      </c>
      <c r="L5413">
        <f>HYPERLINK("https://www2.assemblee-nationale.fr/sycomore/fiche/(num_dept)/2859", "2859")</f>
        <v>0</v>
      </c>
      <c r="N5413">
        <f>HYPERLINK("https://www.wikidata.org/wiki/Q12262626", "Q12262626")</f>
        <v>0</v>
      </c>
      <c r="O5413" t="s">
        <v>19970</v>
      </c>
      <c r="Q5413" t="s">
        <v>20738</v>
      </c>
      <c r="R5413" t="s">
        <v>417</v>
      </c>
      <c r="S5413">
        <v>1483</v>
      </c>
    </row>
    <row r="5414" spans="1:19">
      <c r="A5414" t="s">
        <v>27</v>
      </c>
      <c r="B5414" t="s">
        <v>148</v>
      </c>
      <c r="C5414" t="s">
        <v>159</v>
      </c>
      <c r="D5414" t="s">
        <v>288</v>
      </c>
      <c r="E5414" t="s">
        <v>417</v>
      </c>
      <c r="F5414">
        <f>HYPERLINK("https://www.wikidata.org/wiki/Q33755832", "Q33755832")</f>
        <v>0</v>
      </c>
      <c r="G5414" t="s">
        <v>635</v>
      </c>
      <c r="H5414" t="s">
        <v>5394</v>
      </c>
      <c r="I5414" t="s">
        <v>9465</v>
      </c>
      <c r="J5414" t="s">
        <v>11385</v>
      </c>
      <c r="K5414" t="s">
        <v>15787</v>
      </c>
      <c r="L5414">
        <f>HYPERLINK("https://www2.assemblee-nationale.fr/sycomore/fiche/(num_dept)/2861", "2861")</f>
        <v>0</v>
      </c>
      <c r="M5414">
        <f>HYPERLINK("https://www.senat.fr/senateur-3eme-republique/etienne_eugene1824r3.html", "etienne_eugene1824r3")</f>
        <v>0</v>
      </c>
      <c r="N5414">
        <f>HYPERLINK("https://www.wikidata.org/wiki/Q2612305", "Q2612305")</f>
        <v>0</v>
      </c>
      <c r="O5414" t="s">
        <v>20000</v>
      </c>
      <c r="Q5414" t="s">
        <v>20738</v>
      </c>
      <c r="R5414" t="s">
        <v>417</v>
      </c>
      <c r="S5414">
        <v>1483</v>
      </c>
    </row>
    <row r="5415" spans="1:19">
      <c r="A5415" t="s">
        <v>27</v>
      </c>
      <c r="B5415" t="s">
        <v>148</v>
      </c>
      <c r="C5415" t="s">
        <v>159</v>
      </c>
      <c r="D5415" t="s">
        <v>288</v>
      </c>
      <c r="E5415" t="s">
        <v>417</v>
      </c>
      <c r="F5415">
        <f>HYPERLINK("https://www.wikidata.org/wiki/Q33755832", "Q33755832")</f>
        <v>0</v>
      </c>
      <c r="G5415" t="s">
        <v>3437</v>
      </c>
      <c r="H5415" t="s">
        <v>7815</v>
      </c>
      <c r="I5415" t="s">
        <v>9612</v>
      </c>
      <c r="J5415" t="s">
        <v>14041</v>
      </c>
      <c r="K5415" t="s">
        <v>18409</v>
      </c>
      <c r="L5415">
        <f>HYPERLINK("https://www2.assemblee-nationale.fr/sycomore/fiche/(num_dept)/2864", "2864")</f>
        <v>0</v>
      </c>
      <c r="N5415">
        <f>HYPERLINK("https://www.wikidata.org/wiki/Q16025675", "Q16025675")</f>
        <v>0</v>
      </c>
      <c r="O5415" t="s">
        <v>19981</v>
      </c>
      <c r="Q5415" t="s">
        <v>20738</v>
      </c>
      <c r="R5415" t="s">
        <v>417</v>
      </c>
      <c r="S5415">
        <v>1483</v>
      </c>
    </row>
    <row r="5416" spans="1:19">
      <c r="A5416" t="s">
        <v>27</v>
      </c>
      <c r="B5416" t="s">
        <v>148</v>
      </c>
      <c r="C5416" t="s">
        <v>159</v>
      </c>
      <c r="D5416" t="s">
        <v>288</v>
      </c>
      <c r="E5416" t="s">
        <v>417</v>
      </c>
      <c r="F5416">
        <f>HYPERLINK("https://www.wikidata.org/wiki/Q33755832", "Q33755832")</f>
        <v>0</v>
      </c>
      <c r="G5416" t="s">
        <v>2570</v>
      </c>
      <c r="H5416" t="s">
        <v>6156</v>
      </c>
      <c r="I5416" t="s">
        <v>7790</v>
      </c>
      <c r="J5416" t="s">
        <v>13214</v>
      </c>
      <c r="K5416" t="s">
        <v>17617</v>
      </c>
      <c r="L5416">
        <f>HYPERLINK("https://www2.assemblee-nationale.fr/sycomore/fiche/(num_dept)/2901", "2901")</f>
        <v>0</v>
      </c>
      <c r="M5416">
        <f>HYPERLINK("https://www.senat.fr/senateur-3eme-republique/fallieres_armand0754r3.html", "fallieres_armand0754r3")</f>
        <v>0</v>
      </c>
      <c r="N5416">
        <f>HYPERLINK("https://www.wikidata.org/wiki/Q296673", "Q296673")</f>
        <v>0</v>
      </c>
      <c r="O5416" t="s">
        <v>20043</v>
      </c>
      <c r="Q5416" t="s">
        <v>20738</v>
      </c>
      <c r="R5416" t="s">
        <v>21523</v>
      </c>
      <c r="S5416">
        <v>270</v>
      </c>
    </row>
    <row r="5417" spans="1:19">
      <c r="A5417" t="s">
        <v>27</v>
      </c>
      <c r="B5417" t="s">
        <v>148</v>
      </c>
      <c r="C5417" t="s">
        <v>159</v>
      </c>
      <c r="D5417" t="s">
        <v>288</v>
      </c>
      <c r="E5417" t="s">
        <v>417</v>
      </c>
      <c r="F5417">
        <f>HYPERLINK("https://www.wikidata.org/wiki/Q33755832", "Q33755832")</f>
        <v>0</v>
      </c>
      <c r="G5417" t="s">
        <v>2571</v>
      </c>
      <c r="H5417" t="s">
        <v>7127</v>
      </c>
      <c r="I5417" t="s">
        <v>9681</v>
      </c>
      <c r="J5417" t="s">
        <v>13215</v>
      </c>
      <c r="K5417" t="s">
        <v>17618</v>
      </c>
      <c r="L5417">
        <f>HYPERLINK("https://www2.assemblee-nationale.fr/sycomore/fiche/(num_dept)/2903", "2903")</f>
        <v>0</v>
      </c>
      <c r="N5417">
        <f>HYPERLINK("https://www.wikidata.org/wiki/Q16025681", "Q16025681")</f>
        <v>0</v>
      </c>
      <c r="O5417" t="s">
        <v>19968</v>
      </c>
      <c r="Q5417" t="s">
        <v>20738</v>
      </c>
      <c r="R5417" t="s">
        <v>417</v>
      </c>
      <c r="S5417">
        <v>1483</v>
      </c>
    </row>
    <row r="5418" spans="1:19">
      <c r="A5418" t="s">
        <v>27</v>
      </c>
      <c r="B5418" t="s">
        <v>148</v>
      </c>
      <c r="C5418" t="s">
        <v>159</v>
      </c>
      <c r="D5418" t="s">
        <v>288</v>
      </c>
      <c r="E5418" t="s">
        <v>417</v>
      </c>
      <c r="F5418">
        <f>HYPERLINK("https://www.wikidata.org/wiki/Q33755832", "Q33755832")</f>
        <v>0</v>
      </c>
      <c r="G5418" t="s">
        <v>2572</v>
      </c>
      <c r="H5418" t="s">
        <v>7128</v>
      </c>
      <c r="I5418" t="s">
        <v>10291</v>
      </c>
      <c r="J5418" t="s">
        <v>13216</v>
      </c>
      <c r="K5418" t="s">
        <v>17619</v>
      </c>
      <c r="L5418">
        <f>HYPERLINK("https://www2.assemblee-nationale.fr/sycomore/fiche/(num_dept)/2907", "2907")</f>
        <v>0</v>
      </c>
      <c r="N5418">
        <f>HYPERLINK("https://www.wikidata.org/wiki/Q13080866", "Q13080866")</f>
        <v>0</v>
      </c>
      <c r="O5418" t="s">
        <v>19969</v>
      </c>
      <c r="P5418" t="s">
        <v>20401</v>
      </c>
      <c r="Q5418" t="s">
        <v>20738</v>
      </c>
      <c r="R5418" t="s">
        <v>417</v>
      </c>
      <c r="S5418">
        <v>1483</v>
      </c>
    </row>
    <row r="5419" spans="1:19">
      <c r="A5419" t="s">
        <v>27</v>
      </c>
      <c r="B5419" t="s">
        <v>148</v>
      </c>
      <c r="C5419" t="s">
        <v>159</v>
      </c>
      <c r="D5419" t="s">
        <v>288</v>
      </c>
      <c r="E5419" t="s">
        <v>417</v>
      </c>
      <c r="F5419">
        <f>HYPERLINK("https://www.wikidata.org/wiki/Q33755832", "Q33755832")</f>
        <v>0</v>
      </c>
      <c r="G5419" t="s">
        <v>3438</v>
      </c>
      <c r="H5419" t="s">
        <v>7816</v>
      </c>
      <c r="I5419" t="s">
        <v>10829</v>
      </c>
      <c r="J5419" t="s">
        <v>14042</v>
      </c>
      <c r="K5419" t="s">
        <v>18410</v>
      </c>
      <c r="L5419">
        <f>HYPERLINK("https://www2.assemblee-nationale.fr/sycomore/fiche/(num_dept)/2911", "2911")</f>
        <v>0</v>
      </c>
      <c r="N5419">
        <f>HYPERLINK("https://www.wikidata.org/wiki/Q10644147", "Q10644147")</f>
        <v>0</v>
      </c>
      <c r="O5419" t="s">
        <v>20005</v>
      </c>
      <c r="P5419" t="s">
        <v>20479</v>
      </c>
      <c r="Q5419" t="s">
        <v>20738</v>
      </c>
      <c r="R5419" t="s">
        <v>417</v>
      </c>
      <c r="S5419">
        <v>1483</v>
      </c>
    </row>
    <row r="5420" spans="1:19">
      <c r="A5420" t="s">
        <v>27</v>
      </c>
      <c r="B5420" t="s">
        <v>148</v>
      </c>
      <c r="C5420" t="s">
        <v>159</v>
      </c>
      <c r="D5420" t="s">
        <v>288</v>
      </c>
      <c r="E5420" t="s">
        <v>417</v>
      </c>
      <c r="F5420">
        <f>HYPERLINK("https://www.wikidata.org/wiki/Q33755832", "Q33755832")</f>
        <v>0</v>
      </c>
      <c r="G5420" t="s">
        <v>2573</v>
      </c>
      <c r="H5420" t="s">
        <v>5397</v>
      </c>
      <c r="I5420" t="s">
        <v>6158</v>
      </c>
      <c r="J5420" t="s">
        <v>13217</v>
      </c>
      <c r="K5420" t="s">
        <v>17620</v>
      </c>
      <c r="L5420">
        <f>HYPERLINK("https://www2.assemblee-nationale.fr/sycomore/fiche/(num_dept)/2925", "2925")</f>
        <v>0</v>
      </c>
      <c r="N5420">
        <f>HYPERLINK("https://www.wikidata.org/wiki/Q296076", "Q296076")</f>
        <v>0</v>
      </c>
      <c r="O5420" t="s">
        <v>19978</v>
      </c>
      <c r="P5420" t="s">
        <v>20479</v>
      </c>
      <c r="Q5420" t="s">
        <v>20738</v>
      </c>
      <c r="R5420" t="s">
        <v>417</v>
      </c>
      <c r="S5420">
        <v>1483</v>
      </c>
    </row>
    <row r="5421" spans="1:19">
      <c r="A5421" t="s">
        <v>27</v>
      </c>
      <c r="B5421" t="s">
        <v>148</v>
      </c>
      <c r="C5421" t="s">
        <v>159</v>
      </c>
      <c r="D5421" t="s">
        <v>288</v>
      </c>
      <c r="E5421" t="s">
        <v>417</v>
      </c>
      <c r="F5421">
        <f>HYPERLINK("https://www.wikidata.org/wiki/Q33755832", "Q33755832")</f>
        <v>0</v>
      </c>
      <c r="G5421" t="s">
        <v>2574</v>
      </c>
      <c r="H5421" t="s">
        <v>7129</v>
      </c>
      <c r="I5421" t="s">
        <v>10292</v>
      </c>
      <c r="J5421" t="s">
        <v>13218</v>
      </c>
      <c r="K5421" t="s">
        <v>17621</v>
      </c>
      <c r="L5421">
        <f>HYPERLINK("https://www2.assemblee-nationale.fr/sycomore/fiche/(num_dept)/2931", "2931")</f>
        <v>0</v>
      </c>
      <c r="N5421">
        <f>HYPERLINK("https://www.wikidata.org/wiki/Q16025684", "Q16025684")</f>
        <v>0</v>
      </c>
      <c r="O5421" t="s">
        <v>20003</v>
      </c>
      <c r="P5421" t="s">
        <v>20460</v>
      </c>
      <c r="Q5421" t="s">
        <v>20738</v>
      </c>
      <c r="R5421" t="s">
        <v>417</v>
      </c>
      <c r="S5421">
        <v>1483</v>
      </c>
    </row>
    <row r="5422" spans="1:19">
      <c r="A5422" t="s">
        <v>27</v>
      </c>
      <c r="B5422" t="s">
        <v>148</v>
      </c>
      <c r="C5422" t="s">
        <v>159</v>
      </c>
      <c r="D5422" t="s">
        <v>288</v>
      </c>
      <c r="E5422" t="s">
        <v>417</v>
      </c>
      <c r="F5422">
        <f>HYPERLINK("https://www.wikidata.org/wiki/Q33755832", "Q33755832")</f>
        <v>0</v>
      </c>
      <c r="G5422" t="s">
        <v>3121</v>
      </c>
      <c r="H5422" t="s">
        <v>5397</v>
      </c>
      <c r="I5422" t="s">
        <v>9651</v>
      </c>
      <c r="J5422" t="s">
        <v>13743</v>
      </c>
      <c r="K5422" t="s">
        <v>282</v>
      </c>
      <c r="L5422">
        <f>HYPERLINK("https://www2.assemblee-nationale.fr/sycomore/fiche/(num_dept)/2933", "2933")</f>
        <v>0</v>
      </c>
      <c r="N5422">
        <f>HYPERLINK("https://www.wikidata.org/wiki/Q3300286", "Q3300286")</f>
        <v>0</v>
      </c>
      <c r="O5422" t="s">
        <v>20044</v>
      </c>
      <c r="P5422" t="s">
        <v>20474</v>
      </c>
      <c r="Q5422" t="s">
        <v>20738</v>
      </c>
      <c r="R5422" t="s">
        <v>417</v>
      </c>
      <c r="S5422">
        <v>1483</v>
      </c>
    </row>
    <row r="5423" spans="1:19">
      <c r="A5423" t="s">
        <v>27</v>
      </c>
      <c r="B5423" t="s">
        <v>148</v>
      </c>
      <c r="C5423" t="s">
        <v>159</v>
      </c>
      <c r="D5423" t="s">
        <v>288</v>
      </c>
      <c r="E5423" t="s">
        <v>417</v>
      </c>
      <c r="F5423">
        <f>HYPERLINK("https://www.wikidata.org/wiki/Q33755832", "Q33755832")</f>
        <v>0</v>
      </c>
      <c r="G5423" t="s">
        <v>3122</v>
      </c>
      <c r="H5423" t="s">
        <v>7565</v>
      </c>
      <c r="I5423" t="s">
        <v>10645</v>
      </c>
      <c r="J5423" t="s">
        <v>13744</v>
      </c>
      <c r="K5423" t="s">
        <v>14826</v>
      </c>
      <c r="L5423">
        <f>HYPERLINK("https://www2.assemblee-nationale.fr/sycomore/fiche/(num_dept)/2959", "2959")</f>
        <v>0</v>
      </c>
      <c r="N5423">
        <f>HYPERLINK("https://www.wikidata.org/wiki/Q15973218", "Q15973218")</f>
        <v>0</v>
      </c>
      <c r="O5423" t="s">
        <v>20027</v>
      </c>
      <c r="Q5423" t="s">
        <v>20738</v>
      </c>
      <c r="R5423" t="s">
        <v>417</v>
      </c>
      <c r="S5423">
        <v>1483</v>
      </c>
    </row>
    <row r="5424" spans="1:19">
      <c r="A5424" t="s">
        <v>27</v>
      </c>
      <c r="B5424" t="s">
        <v>148</v>
      </c>
      <c r="C5424" t="s">
        <v>159</v>
      </c>
      <c r="D5424" t="s">
        <v>288</v>
      </c>
      <c r="E5424" t="s">
        <v>417</v>
      </c>
      <c r="F5424">
        <f>HYPERLINK("https://www.wikidata.org/wiki/Q33755832", "Q33755832")</f>
        <v>0</v>
      </c>
      <c r="G5424" t="s">
        <v>3383</v>
      </c>
      <c r="H5424" t="s">
        <v>7774</v>
      </c>
      <c r="I5424" t="s">
        <v>9442</v>
      </c>
      <c r="J5424" t="s">
        <v>13993</v>
      </c>
      <c r="K5424" t="s">
        <v>18363</v>
      </c>
      <c r="L5424">
        <f>HYPERLINK("https://www2.assemblee-nationale.fr/sycomore/fiche/(num_dept)/2981", "2981")</f>
        <v>0</v>
      </c>
      <c r="N5424">
        <f>HYPERLINK("https://www.wikidata.org/wiki/Q3056953", "Q3056953")</f>
        <v>0</v>
      </c>
      <c r="O5424" t="s">
        <v>19960</v>
      </c>
      <c r="Q5424" t="s">
        <v>20738</v>
      </c>
      <c r="R5424" t="s">
        <v>417</v>
      </c>
      <c r="S5424">
        <v>1483</v>
      </c>
    </row>
    <row r="5425" spans="1:19">
      <c r="A5425" t="s">
        <v>27</v>
      </c>
      <c r="B5425" t="s">
        <v>148</v>
      </c>
      <c r="C5425" t="s">
        <v>159</v>
      </c>
      <c r="D5425" t="s">
        <v>288</v>
      </c>
      <c r="E5425" t="s">
        <v>417</v>
      </c>
      <c r="F5425">
        <f>HYPERLINK("https://www.wikidata.org/wiki/Q33755832", "Q33755832")</f>
        <v>0</v>
      </c>
      <c r="G5425" t="s">
        <v>2576</v>
      </c>
      <c r="H5425" t="s">
        <v>5400</v>
      </c>
      <c r="I5425" t="s">
        <v>10294</v>
      </c>
      <c r="J5425" t="s">
        <v>13220</v>
      </c>
      <c r="K5425" t="s">
        <v>17623</v>
      </c>
      <c r="L5425">
        <f>HYPERLINK("https://www2.assemblee-nationale.fr/sycomore/fiche/(num_dept)/2985", "2985")</f>
        <v>0</v>
      </c>
      <c r="M5425">
        <f>HYPERLINK("https://www.senat.fr/senateur-3eme-republique/ferry_albert1810r3.html", "ferry_albert1810r3")</f>
        <v>0</v>
      </c>
      <c r="N5425">
        <f>HYPERLINK("https://www.wikidata.org/wiki/Q2831174", "Q2831174")</f>
        <v>0</v>
      </c>
      <c r="O5425" t="s">
        <v>20017</v>
      </c>
      <c r="Q5425" t="s">
        <v>20738</v>
      </c>
      <c r="R5425" t="s">
        <v>21524</v>
      </c>
      <c r="S5425">
        <v>1371</v>
      </c>
    </row>
    <row r="5426" spans="1:19">
      <c r="A5426" t="s">
        <v>27</v>
      </c>
      <c r="B5426" t="s">
        <v>148</v>
      </c>
      <c r="C5426" t="s">
        <v>159</v>
      </c>
      <c r="D5426" t="s">
        <v>288</v>
      </c>
      <c r="E5426" t="s">
        <v>417</v>
      </c>
      <c r="F5426">
        <f>HYPERLINK("https://www.wikidata.org/wiki/Q33755832", "Q33755832")</f>
        <v>0</v>
      </c>
      <c r="G5426" t="s">
        <v>3375</v>
      </c>
      <c r="H5426" t="s">
        <v>7768</v>
      </c>
      <c r="I5426" t="s">
        <v>9437</v>
      </c>
      <c r="J5426" t="s">
        <v>13748</v>
      </c>
      <c r="K5426" t="s">
        <v>18355</v>
      </c>
      <c r="L5426">
        <f>HYPERLINK("https://www2.assemblee-nationale.fr/sycomore/fiche/(num_dept)/3038", "3038")</f>
        <v>0</v>
      </c>
      <c r="N5426">
        <f>HYPERLINK("https://www.wikidata.org/wiki/Q2602696", "Q2602696")</f>
        <v>0</v>
      </c>
      <c r="O5426" t="s">
        <v>19981</v>
      </c>
      <c r="P5426" t="s">
        <v>20479</v>
      </c>
      <c r="Q5426" t="s">
        <v>20738</v>
      </c>
      <c r="R5426" t="s">
        <v>417</v>
      </c>
      <c r="S5426">
        <v>1483</v>
      </c>
    </row>
    <row r="5427" spans="1:19">
      <c r="A5427" t="s">
        <v>27</v>
      </c>
      <c r="B5427" t="s">
        <v>148</v>
      </c>
      <c r="C5427" t="s">
        <v>159</v>
      </c>
      <c r="D5427" t="s">
        <v>288</v>
      </c>
      <c r="E5427" t="s">
        <v>417</v>
      </c>
      <c r="F5427">
        <f>HYPERLINK("https://www.wikidata.org/wiki/Q33755832", "Q33755832")</f>
        <v>0</v>
      </c>
      <c r="G5427" t="s">
        <v>2579</v>
      </c>
      <c r="H5427" t="s">
        <v>7132</v>
      </c>
      <c r="I5427" t="s">
        <v>6585</v>
      </c>
      <c r="J5427" t="s">
        <v>13223</v>
      </c>
      <c r="K5427" t="s">
        <v>17626</v>
      </c>
      <c r="L5427">
        <f>HYPERLINK("https://www2.assemblee-nationale.fr/sycomore/fiche/(num_dept)/3040", "3040")</f>
        <v>0</v>
      </c>
      <c r="M5427">
        <f>HYPERLINK("https://www.senat.fr/senateur-3eme-republique/folliet_andre1312r3.html", "folliet_andre1312r3")</f>
        <v>0</v>
      </c>
      <c r="N5427">
        <f>HYPERLINK("https://www.wikidata.org/wiki/Q2847756", "Q2847756")</f>
        <v>0</v>
      </c>
      <c r="O5427" t="s">
        <v>20018</v>
      </c>
      <c r="Q5427" t="s">
        <v>20738</v>
      </c>
      <c r="R5427" t="s">
        <v>417</v>
      </c>
      <c r="S5427">
        <v>1483</v>
      </c>
    </row>
    <row r="5428" spans="1:19">
      <c r="A5428" t="s">
        <v>27</v>
      </c>
      <c r="B5428" t="s">
        <v>148</v>
      </c>
      <c r="C5428" t="s">
        <v>159</v>
      </c>
      <c r="D5428" t="s">
        <v>288</v>
      </c>
      <c r="E5428" t="s">
        <v>417</v>
      </c>
      <c r="F5428">
        <f>HYPERLINK("https://www.wikidata.org/wiki/Q33755832", "Q33755832")</f>
        <v>0</v>
      </c>
      <c r="G5428" t="s">
        <v>3439</v>
      </c>
      <c r="H5428" t="s">
        <v>7817</v>
      </c>
      <c r="I5428" t="s">
        <v>9636</v>
      </c>
      <c r="J5428" t="s">
        <v>14043</v>
      </c>
      <c r="K5428" t="s">
        <v>18411</v>
      </c>
      <c r="L5428">
        <f>HYPERLINK("https://www2.assemblee-nationale.fr/sycomore/fiche/(num_dept)/3052", "3052")</f>
        <v>0</v>
      </c>
      <c r="M5428">
        <f>HYPERLINK("https://www.senat.fr/senateur-3eme-republique/forcioli_dominique0691r3.html", "forcioli_dominique0691r3")</f>
        <v>0</v>
      </c>
      <c r="N5428">
        <f>HYPERLINK("https://www.wikidata.org/wiki/Q16025715", "Q16025715")</f>
        <v>0</v>
      </c>
      <c r="O5428" t="s">
        <v>20000</v>
      </c>
      <c r="Q5428" t="s">
        <v>20738</v>
      </c>
      <c r="R5428" t="s">
        <v>417</v>
      </c>
      <c r="S5428">
        <v>1483</v>
      </c>
    </row>
    <row r="5429" spans="1:19">
      <c r="A5429" t="s">
        <v>27</v>
      </c>
      <c r="B5429" t="s">
        <v>148</v>
      </c>
      <c r="C5429" t="s">
        <v>159</v>
      </c>
      <c r="D5429" t="s">
        <v>288</v>
      </c>
      <c r="E5429" t="s">
        <v>417</v>
      </c>
      <c r="F5429">
        <f>HYPERLINK("https://www.wikidata.org/wiki/Q33755832", "Q33755832")</f>
        <v>0</v>
      </c>
      <c r="G5429" t="s">
        <v>3057</v>
      </c>
      <c r="H5429" t="s">
        <v>7511</v>
      </c>
      <c r="I5429" t="s">
        <v>10602</v>
      </c>
      <c r="J5429" t="s">
        <v>13683</v>
      </c>
      <c r="K5429" t="s">
        <v>18064</v>
      </c>
      <c r="L5429">
        <f>HYPERLINK("https://www2.assemblee-nationale.fr/sycomore/fiche/(num_dept)/3076", "3076")</f>
        <v>0</v>
      </c>
      <c r="M5429">
        <f>HYPERLINK("https://www.senat.fr/senateur-3eme-republique/fougeirol_edouard0132r3.html", "fougeirol_edouard0132r3")</f>
        <v>0</v>
      </c>
      <c r="N5429">
        <f>HYPERLINK("https://www.wikidata.org/wiki/Q3579840", "Q3579840")</f>
        <v>0</v>
      </c>
      <c r="O5429" t="s">
        <v>19991</v>
      </c>
      <c r="P5429" t="s">
        <v>20459</v>
      </c>
      <c r="Q5429" t="s">
        <v>20738</v>
      </c>
      <c r="R5429" t="s">
        <v>417</v>
      </c>
      <c r="S5429">
        <v>1483</v>
      </c>
    </row>
    <row r="5430" spans="1:19">
      <c r="A5430" t="s">
        <v>27</v>
      </c>
      <c r="B5430" t="s">
        <v>148</v>
      </c>
      <c r="C5430" t="s">
        <v>159</v>
      </c>
      <c r="D5430" t="s">
        <v>288</v>
      </c>
      <c r="E5430" t="s">
        <v>417</v>
      </c>
      <c r="F5430">
        <f>HYPERLINK("https://www.wikidata.org/wiki/Q33755832", "Q33755832")</f>
        <v>0</v>
      </c>
      <c r="G5430" t="s">
        <v>3440</v>
      </c>
      <c r="H5430" t="s">
        <v>6165</v>
      </c>
      <c r="I5430" t="s">
        <v>9681</v>
      </c>
      <c r="J5430" t="s">
        <v>14044</v>
      </c>
      <c r="K5430" t="s">
        <v>18412</v>
      </c>
      <c r="L5430">
        <f>HYPERLINK("https://www2.assemblee-nationale.fr/sycomore/fiche/(num_dept)/3081", "3081")</f>
        <v>0</v>
      </c>
      <c r="N5430">
        <f>HYPERLINK("https://www.wikidata.org/wiki/Q2411428", "Q2411428")</f>
        <v>0</v>
      </c>
      <c r="O5430" t="s">
        <v>20027</v>
      </c>
      <c r="P5430" t="s">
        <v>20457</v>
      </c>
      <c r="Q5430" t="s">
        <v>20738</v>
      </c>
      <c r="R5430" t="s">
        <v>417</v>
      </c>
      <c r="S5430">
        <v>1483</v>
      </c>
    </row>
    <row r="5431" spans="1:19">
      <c r="A5431" t="s">
        <v>27</v>
      </c>
      <c r="B5431" t="s">
        <v>148</v>
      </c>
      <c r="C5431" t="s">
        <v>159</v>
      </c>
      <c r="D5431" t="s">
        <v>288</v>
      </c>
      <c r="E5431" t="s">
        <v>417</v>
      </c>
      <c r="F5431">
        <f>HYPERLINK("https://www.wikidata.org/wiki/Q33755832", "Q33755832")</f>
        <v>0</v>
      </c>
      <c r="G5431" t="s">
        <v>650</v>
      </c>
      <c r="H5431" t="s">
        <v>5409</v>
      </c>
      <c r="I5431" t="s">
        <v>9469</v>
      </c>
      <c r="J5431" t="s">
        <v>11400</v>
      </c>
      <c r="K5431" t="s">
        <v>15802</v>
      </c>
      <c r="L5431">
        <f>HYPERLINK("https://www2.assemblee-nationale.fr/sycomore/fiche/(num_dept)/3084", "3084")</f>
        <v>0</v>
      </c>
      <c r="N5431">
        <f>HYPERLINK("https://www.wikidata.org/wiki/Q3261915", "Q3261915")</f>
        <v>0</v>
      </c>
      <c r="O5431" t="s">
        <v>19992</v>
      </c>
      <c r="P5431" t="s">
        <v>20460</v>
      </c>
      <c r="Q5431" t="s">
        <v>20738</v>
      </c>
      <c r="R5431" t="s">
        <v>417</v>
      </c>
      <c r="S5431">
        <v>1483</v>
      </c>
    </row>
    <row r="5432" spans="1:19">
      <c r="A5432" t="s">
        <v>27</v>
      </c>
      <c r="B5432" t="s">
        <v>148</v>
      </c>
      <c r="C5432" t="s">
        <v>159</v>
      </c>
      <c r="D5432" t="s">
        <v>288</v>
      </c>
      <c r="E5432" t="s">
        <v>417</v>
      </c>
      <c r="F5432">
        <f>HYPERLINK("https://www.wikidata.org/wiki/Q33755832", "Q33755832")</f>
        <v>0</v>
      </c>
      <c r="G5432" t="s">
        <v>3441</v>
      </c>
      <c r="H5432" t="s">
        <v>7818</v>
      </c>
      <c r="I5432" t="s">
        <v>9457</v>
      </c>
      <c r="J5432" t="s">
        <v>14045</v>
      </c>
      <c r="K5432" t="s">
        <v>18413</v>
      </c>
      <c r="L5432">
        <f>HYPERLINK("https://www2.assemblee-nationale.fr/sycomore/fiche/(num_dept)/3086", "3086")</f>
        <v>0</v>
      </c>
      <c r="N5432">
        <f>HYPERLINK("https://www.wikidata.org/wiki/Q3132781", "Q3132781")</f>
        <v>0</v>
      </c>
      <c r="O5432" t="s">
        <v>20033</v>
      </c>
      <c r="Q5432" t="s">
        <v>20738</v>
      </c>
      <c r="R5432" t="s">
        <v>417</v>
      </c>
      <c r="S5432">
        <v>1483</v>
      </c>
    </row>
    <row r="5433" spans="1:19">
      <c r="A5433" t="s">
        <v>27</v>
      </c>
      <c r="B5433" t="s">
        <v>148</v>
      </c>
      <c r="C5433" t="s">
        <v>159</v>
      </c>
      <c r="D5433" t="s">
        <v>288</v>
      </c>
      <c r="E5433" t="s">
        <v>417</v>
      </c>
      <c r="F5433">
        <f>HYPERLINK("https://www.wikidata.org/wiki/Q33755832", "Q33755832")</f>
        <v>0</v>
      </c>
      <c r="G5433" t="s">
        <v>3442</v>
      </c>
      <c r="H5433" t="s">
        <v>7819</v>
      </c>
      <c r="I5433" t="s">
        <v>6731</v>
      </c>
      <c r="J5433" t="s">
        <v>14046</v>
      </c>
      <c r="K5433" t="s">
        <v>18414</v>
      </c>
      <c r="L5433">
        <f>HYPERLINK("https://www2.assemblee-nationale.fr/sycomore/fiche/(num_dept)/3104", "3104")</f>
        <v>0</v>
      </c>
      <c r="M5433">
        <f>HYPERLINK("https://www.senat.fr/senateur-3eme-republique/de_fourtou_marie0654r3.html", "de_fourtou_marie0654r3")</f>
        <v>0</v>
      </c>
      <c r="N5433">
        <f>HYPERLINK("https://www.wikidata.org/wiki/Q330554", "Q330554")</f>
        <v>0</v>
      </c>
      <c r="O5433" t="s">
        <v>20010</v>
      </c>
      <c r="Q5433" t="s">
        <v>20738</v>
      </c>
      <c r="R5433" t="s">
        <v>417</v>
      </c>
      <c r="S5433">
        <v>1483</v>
      </c>
    </row>
    <row r="5434" spans="1:19">
      <c r="A5434" t="s">
        <v>27</v>
      </c>
      <c r="B5434" t="s">
        <v>148</v>
      </c>
      <c r="C5434" t="s">
        <v>159</v>
      </c>
      <c r="D5434" t="s">
        <v>288</v>
      </c>
      <c r="E5434" t="s">
        <v>417</v>
      </c>
      <c r="F5434">
        <f>HYPERLINK("https://www.wikidata.org/wiki/Q33755832", "Q33755832")</f>
        <v>0</v>
      </c>
      <c r="G5434" t="s">
        <v>3443</v>
      </c>
      <c r="H5434" t="s">
        <v>6166</v>
      </c>
      <c r="I5434" t="s">
        <v>9458</v>
      </c>
      <c r="J5434" t="s">
        <v>14047</v>
      </c>
      <c r="K5434" t="s">
        <v>18415</v>
      </c>
      <c r="L5434">
        <f>HYPERLINK("https://www2.assemblee-nationale.fr/sycomore/fiche/(num_dept)/3125", "3125")</f>
        <v>0</v>
      </c>
      <c r="N5434">
        <f>HYPERLINK("https://www.wikidata.org/wiki/Q16025730", "Q16025730")</f>
        <v>0</v>
      </c>
      <c r="O5434" t="s">
        <v>20012</v>
      </c>
      <c r="P5434" t="s">
        <v>20411</v>
      </c>
      <c r="Q5434" t="s">
        <v>20738</v>
      </c>
      <c r="R5434" t="s">
        <v>18415</v>
      </c>
      <c r="S5434">
        <v>846</v>
      </c>
    </row>
    <row r="5435" spans="1:19">
      <c r="A5435" t="s">
        <v>27</v>
      </c>
      <c r="B5435" t="s">
        <v>148</v>
      </c>
      <c r="C5435" t="s">
        <v>159</v>
      </c>
      <c r="D5435" t="s">
        <v>288</v>
      </c>
      <c r="E5435" t="s">
        <v>417</v>
      </c>
      <c r="F5435">
        <f>HYPERLINK("https://www.wikidata.org/wiki/Q33755832", "Q33755832")</f>
        <v>0</v>
      </c>
      <c r="G5435" t="s">
        <v>2581</v>
      </c>
      <c r="H5435" t="s">
        <v>7133</v>
      </c>
      <c r="I5435" t="s">
        <v>9421</v>
      </c>
      <c r="J5435" t="s">
        <v>13225</v>
      </c>
      <c r="K5435" t="s">
        <v>17628</v>
      </c>
      <c r="L5435">
        <f>HYPERLINK("https://www2.assemblee-nationale.fr/sycomore/fiche/(num_dept)/3132", "3132")</f>
        <v>0</v>
      </c>
      <c r="N5435">
        <f>HYPERLINK("https://www.wikidata.org/wiki/Q28123320", "Q28123320")</f>
        <v>0</v>
      </c>
      <c r="O5435" t="s">
        <v>20029</v>
      </c>
      <c r="P5435" t="s">
        <v>20446</v>
      </c>
      <c r="Q5435" t="s">
        <v>20738</v>
      </c>
      <c r="R5435" t="s">
        <v>21525</v>
      </c>
      <c r="S5435">
        <v>251</v>
      </c>
    </row>
    <row r="5436" spans="1:19">
      <c r="A5436" t="s">
        <v>27</v>
      </c>
      <c r="B5436" t="s">
        <v>148</v>
      </c>
      <c r="C5436" t="s">
        <v>159</v>
      </c>
      <c r="D5436" t="s">
        <v>288</v>
      </c>
      <c r="E5436" t="s">
        <v>417</v>
      </c>
      <c r="F5436">
        <f>HYPERLINK("https://www.wikidata.org/wiki/Q33755832", "Q33755832")</f>
        <v>0</v>
      </c>
      <c r="G5436" t="s">
        <v>2583</v>
      </c>
      <c r="H5436" t="s">
        <v>7135</v>
      </c>
      <c r="I5436" t="s">
        <v>10297</v>
      </c>
      <c r="J5436" t="s">
        <v>13227</v>
      </c>
      <c r="K5436" t="s">
        <v>17630</v>
      </c>
      <c r="L5436">
        <f>HYPERLINK("https://www2.assemblee-nationale.fr/sycomore/fiche/(num_dept)/3148", "3148")</f>
        <v>0</v>
      </c>
      <c r="N5436">
        <f>HYPERLINK("https://www.wikidata.org/wiki/Q1063452", "Q1063452")</f>
        <v>0</v>
      </c>
      <c r="O5436" t="s">
        <v>20011</v>
      </c>
      <c r="P5436" t="s">
        <v>20460</v>
      </c>
      <c r="Q5436" t="s">
        <v>20738</v>
      </c>
      <c r="R5436" t="s">
        <v>17630</v>
      </c>
      <c r="S5436">
        <v>821</v>
      </c>
    </row>
    <row r="5437" spans="1:19">
      <c r="A5437" t="s">
        <v>27</v>
      </c>
      <c r="B5437" t="s">
        <v>148</v>
      </c>
      <c r="C5437" t="s">
        <v>159</v>
      </c>
      <c r="D5437" t="s">
        <v>288</v>
      </c>
      <c r="E5437" t="s">
        <v>417</v>
      </c>
      <c r="F5437">
        <f>HYPERLINK("https://www.wikidata.org/wiki/Q33755832", "Q33755832")</f>
        <v>0</v>
      </c>
      <c r="G5437" t="s">
        <v>3125</v>
      </c>
      <c r="H5437" t="s">
        <v>7568</v>
      </c>
      <c r="I5437" t="s">
        <v>10647</v>
      </c>
      <c r="J5437" t="s">
        <v>13747</v>
      </c>
      <c r="K5437" t="s">
        <v>18126</v>
      </c>
      <c r="L5437">
        <f>HYPERLINK("https://www2.assemblee-nationale.fr/sycomore/fiche/(num_dept)/3149", "3149")</f>
        <v>0</v>
      </c>
      <c r="N5437">
        <f>HYPERLINK("https://www.wikidata.org/wiki/Q3184637", "Q3184637")</f>
        <v>0</v>
      </c>
      <c r="O5437" t="s">
        <v>20013</v>
      </c>
      <c r="P5437" t="s">
        <v>20460</v>
      </c>
      <c r="Q5437" t="s">
        <v>20738</v>
      </c>
      <c r="R5437" t="s">
        <v>417</v>
      </c>
      <c r="S5437">
        <v>1483</v>
      </c>
    </row>
    <row r="5438" spans="1:19">
      <c r="A5438" t="s">
        <v>27</v>
      </c>
      <c r="B5438" t="s">
        <v>148</v>
      </c>
      <c r="C5438" t="s">
        <v>159</v>
      </c>
      <c r="D5438" t="s">
        <v>288</v>
      </c>
      <c r="E5438" t="s">
        <v>417</v>
      </c>
      <c r="F5438">
        <f>HYPERLINK("https://www.wikidata.org/wiki/Q33755832", "Q33755832")</f>
        <v>0</v>
      </c>
      <c r="G5438" t="s">
        <v>2584</v>
      </c>
      <c r="H5438" t="s">
        <v>7136</v>
      </c>
      <c r="I5438" t="s">
        <v>9388</v>
      </c>
      <c r="J5438" t="s">
        <v>13228</v>
      </c>
      <c r="K5438" t="s">
        <v>17631</v>
      </c>
      <c r="L5438">
        <f>HYPERLINK("https://www2.assemblee-nationale.fr/sycomore/fiche/(num_dept)/3159", "3159")</f>
        <v>0</v>
      </c>
      <c r="M5438">
        <f>HYPERLINK("https://www.senat.fr/senateur-3eme-republique/frogier_de_ponlevoy_paul1811r3.html", "frogier_de_ponlevoy_paul1811r3")</f>
        <v>0</v>
      </c>
      <c r="N5438">
        <f>HYPERLINK("https://www.wikidata.org/wiki/Q3371249", "Q3371249")</f>
        <v>0</v>
      </c>
      <c r="O5438" t="s">
        <v>20017</v>
      </c>
      <c r="P5438" t="s">
        <v>20459</v>
      </c>
      <c r="Q5438" t="s">
        <v>20738</v>
      </c>
      <c r="R5438" t="s">
        <v>417</v>
      </c>
      <c r="S5438">
        <v>1483</v>
      </c>
    </row>
    <row r="5439" spans="1:19">
      <c r="A5439" t="s">
        <v>27</v>
      </c>
      <c r="B5439" t="s">
        <v>148</v>
      </c>
      <c r="C5439" t="s">
        <v>159</v>
      </c>
      <c r="D5439" t="s">
        <v>288</v>
      </c>
      <c r="E5439" t="s">
        <v>417</v>
      </c>
      <c r="F5439">
        <f>HYPERLINK("https://www.wikidata.org/wiki/Q33755832", "Q33755832")</f>
        <v>0</v>
      </c>
      <c r="G5439" t="s">
        <v>653</v>
      </c>
      <c r="H5439" t="s">
        <v>5412</v>
      </c>
      <c r="I5439" t="s">
        <v>9470</v>
      </c>
      <c r="J5439" t="s">
        <v>11403</v>
      </c>
      <c r="K5439" t="s">
        <v>15805</v>
      </c>
      <c r="L5439">
        <f>HYPERLINK("https://www2.assemblee-nationale.fr/sycomore/fiche/(num_dept)/3229", "3229")</f>
        <v>0</v>
      </c>
      <c r="N5439">
        <f>HYPERLINK("https://www.wikidata.org/wiki/Q8298734", "Q8298734")</f>
        <v>0</v>
      </c>
      <c r="O5439" t="s">
        <v>19956</v>
      </c>
      <c r="P5439" t="s">
        <v>20409</v>
      </c>
      <c r="Q5439" t="s">
        <v>20738</v>
      </c>
      <c r="R5439" t="s">
        <v>417</v>
      </c>
      <c r="S5439">
        <v>1483</v>
      </c>
    </row>
    <row r="5440" spans="1:19">
      <c r="A5440" t="s">
        <v>27</v>
      </c>
      <c r="B5440" t="s">
        <v>148</v>
      </c>
      <c r="C5440" t="s">
        <v>159</v>
      </c>
      <c r="D5440" t="s">
        <v>288</v>
      </c>
      <c r="E5440" t="s">
        <v>417</v>
      </c>
      <c r="F5440">
        <f>HYPERLINK("https://www.wikidata.org/wiki/Q33755832", "Q33755832")</f>
        <v>0</v>
      </c>
      <c r="G5440" t="s">
        <v>3444</v>
      </c>
      <c r="H5440" t="s">
        <v>7529</v>
      </c>
      <c r="I5440" t="s">
        <v>10830</v>
      </c>
      <c r="J5440" t="s">
        <v>14048</v>
      </c>
      <c r="K5440" t="s">
        <v>18416</v>
      </c>
      <c r="L5440">
        <f>HYPERLINK("https://www2.assemblee-nationale.fr/sycomore/fiche/(num_dept)/3261", "3261")</f>
        <v>0</v>
      </c>
      <c r="M5440">
        <f>HYPERLINK("https://www.senat.fr/senateur-3eme-republique/garnier_frederic0419r3.html", "garnier_frederic0419r3")</f>
        <v>0</v>
      </c>
      <c r="N5440">
        <f>HYPERLINK("https://www.wikidata.org/wiki/Q3089831", "Q3089831")</f>
        <v>0</v>
      </c>
      <c r="O5440" t="s">
        <v>20037</v>
      </c>
      <c r="P5440" t="s">
        <v>20479</v>
      </c>
      <c r="Q5440" t="s">
        <v>20738</v>
      </c>
      <c r="R5440" t="s">
        <v>417</v>
      </c>
      <c r="S5440">
        <v>1483</v>
      </c>
    </row>
    <row r="5441" spans="1:19">
      <c r="A5441" t="s">
        <v>27</v>
      </c>
      <c r="B5441" t="s">
        <v>148</v>
      </c>
      <c r="C5441" t="s">
        <v>159</v>
      </c>
      <c r="D5441" t="s">
        <v>288</v>
      </c>
      <c r="E5441" t="s">
        <v>417</v>
      </c>
      <c r="F5441">
        <f>HYPERLINK("https://www.wikidata.org/wiki/Q33755832", "Q33755832")</f>
        <v>0</v>
      </c>
      <c r="G5441" t="s">
        <v>3081</v>
      </c>
      <c r="H5441" t="s">
        <v>7529</v>
      </c>
      <c r="I5441" t="s">
        <v>10617</v>
      </c>
      <c r="J5441" t="s">
        <v>13704</v>
      </c>
      <c r="K5441" t="s">
        <v>18087</v>
      </c>
      <c r="L5441">
        <f>HYPERLINK("https://www2.assemblee-nationale.fr/sycomore/fiche/(num_dept)/3262", "3262")</f>
        <v>0</v>
      </c>
      <c r="N5441">
        <f>HYPERLINK("https://www.wikidata.org/wiki/Q16025746", "Q16025746")</f>
        <v>0</v>
      </c>
      <c r="O5441" t="s">
        <v>20034</v>
      </c>
      <c r="Q5441" t="s">
        <v>20738</v>
      </c>
      <c r="R5441" t="s">
        <v>18087</v>
      </c>
      <c r="S5441">
        <v>332</v>
      </c>
    </row>
    <row r="5442" spans="1:19">
      <c r="A5442" t="s">
        <v>27</v>
      </c>
      <c r="B5442" t="s">
        <v>148</v>
      </c>
      <c r="C5442" t="s">
        <v>159</v>
      </c>
      <c r="D5442" t="s">
        <v>288</v>
      </c>
      <c r="E5442" t="s">
        <v>417</v>
      </c>
      <c r="F5442">
        <f>HYPERLINK("https://www.wikidata.org/wiki/Q33755832", "Q33755832")</f>
        <v>0</v>
      </c>
      <c r="G5442" t="s">
        <v>3129</v>
      </c>
      <c r="H5442" t="s">
        <v>7571</v>
      </c>
      <c r="I5442" t="s">
        <v>10485</v>
      </c>
      <c r="J5442" t="s">
        <v>13751</v>
      </c>
      <c r="K5442" t="s">
        <v>18129</v>
      </c>
      <c r="L5442">
        <f>HYPERLINK("https://www2.assemblee-nationale.fr/sycomore/fiche/(num_dept)/3282", "3282")</f>
        <v>0</v>
      </c>
      <c r="N5442">
        <f>HYPERLINK("https://www.wikidata.org/wiki/Q16025749", "Q16025749")</f>
        <v>0</v>
      </c>
      <c r="O5442" t="s">
        <v>20026</v>
      </c>
      <c r="P5442" t="s">
        <v>20477</v>
      </c>
      <c r="Q5442" t="s">
        <v>20738</v>
      </c>
      <c r="R5442" t="s">
        <v>417</v>
      </c>
      <c r="S5442">
        <v>1483</v>
      </c>
    </row>
    <row r="5443" spans="1:19">
      <c r="A5443" t="s">
        <v>27</v>
      </c>
      <c r="B5443" t="s">
        <v>148</v>
      </c>
      <c r="C5443" t="s">
        <v>159</v>
      </c>
      <c r="D5443" t="s">
        <v>288</v>
      </c>
      <c r="E5443" t="s">
        <v>417</v>
      </c>
      <c r="F5443">
        <f>HYPERLINK("https://www.wikidata.org/wiki/Q33755832", "Q33755832")</f>
        <v>0</v>
      </c>
      <c r="G5443" t="s">
        <v>3445</v>
      </c>
      <c r="H5443" t="s">
        <v>7746</v>
      </c>
      <c r="I5443" t="s">
        <v>9612</v>
      </c>
      <c r="J5443" t="s">
        <v>14049</v>
      </c>
      <c r="K5443" t="s">
        <v>18417</v>
      </c>
      <c r="L5443">
        <f>HYPERLINK("https://www2.assemblee-nationale.fr/sycomore/fiche/(num_dept)/3301", "3301")</f>
        <v>0</v>
      </c>
      <c r="N5443">
        <f>HYPERLINK("https://www.wikidata.org/wiki/Q3089834", "Q3089834")</f>
        <v>0</v>
      </c>
      <c r="O5443" t="s">
        <v>20014</v>
      </c>
      <c r="Q5443" t="s">
        <v>20738</v>
      </c>
      <c r="R5443" t="s">
        <v>417</v>
      </c>
      <c r="S5443">
        <v>1483</v>
      </c>
    </row>
    <row r="5444" spans="1:19">
      <c r="A5444" t="s">
        <v>27</v>
      </c>
      <c r="B5444" t="s">
        <v>148</v>
      </c>
      <c r="C5444" t="s">
        <v>159</v>
      </c>
      <c r="D5444" t="s">
        <v>288</v>
      </c>
      <c r="E5444" t="s">
        <v>417</v>
      </c>
      <c r="F5444">
        <f>HYPERLINK("https://www.wikidata.org/wiki/Q33755832", "Q33755832")</f>
        <v>0</v>
      </c>
      <c r="G5444" t="s">
        <v>3446</v>
      </c>
      <c r="H5444" t="s">
        <v>7820</v>
      </c>
      <c r="I5444" t="s">
        <v>10831</v>
      </c>
      <c r="J5444" t="s">
        <v>14050</v>
      </c>
      <c r="K5444" t="s">
        <v>18418</v>
      </c>
      <c r="L5444">
        <f>HYPERLINK("https://www2.assemblee-nationale.fr/sycomore/fiche/(num_dept)/3305", "3305")</f>
        <v>0</v>
      </c>
      <c r="N5444">
        <f>HYPERLINK("https://www.wikidata.org/wiki/Q8343994", "Q8343994")</f>
        <v>0</v>
      </c>
      <c r="O5444" t="s">
        <v>19976</v>
      </c>
      <c r="P5444" t="s">
        <v>20409</v>
      </c>
      <c r="Q5444" t="s">
        <v>20738</v>
      </c>
      <c r="R5444" t="s">
        <v>417</v>
      </c>
      <c r="S5444">
        <v>1483</v>
      </c>
    </row>
    <row r="5445" spans="1:19">
      <c r="A5445" t="s">
        <v>27</v>
      </c>
      <c r="B5445" t="s">
        <v>148</v>
      </c>
      <c r="C5445" t="s">
        <v>159</v>
      </c>
      <c r="D5445" t="s">
        <v>288</v>
      </c>
      <c r="E5445" t="s">
        <v>417</v>
      </c>
      <c r="F5445">
        <f>HYPERLINK("https://www.wikidata.org/wiki/Q33755832", "Q33755832")</f>
        <v>0</v>
      </c>
      <c r="G5445" t="s">
        <v>1472</v>
      </c>
      <c r="H5445" t="s">
        <v>6171</v>
      </c>
      <c r="I5445" t="s">
        <v>9401</v>
      </c>
      <c r="J5445" t="s">
        <v>12191</v>
      </c>
      <c r="K5445" t="s">
        <v>16597</v>
      </c>
      <c r="L5445">
        <f>HYPERLINK("https://www2.assemblee-nationale.fr/sycomore/fiche/(num_dept)/3314", "3314")</f>
        <v>0</v>
      </c>
      <c r="M5445">
        <f>HYPERLINK("https://www.senat.fr/senateur-3eme-republique/gavini_antoine0491r3.html", "gavini_antoine0491r3")</f>
        <v>0</v>
      </c>
      <c r="N5445">
        <f>HYPERLINK("https://www.wikidata.org/wiki/Q2853978", "Q2853978")</f>
        <v>0</v>
      </c>
      <c r="O5445" t="s">
        <v>19955</v>
      </c>
      <c r="Q5445" t="s">
        <v>20738</v>
      </c>
      <c r="R5445" t="s">
        <v>417</v>
      </c>
      <c r="S5445">
        <v>1483</v>
      </c>
    </row>
    <row r="5446" spans="1:19">
      <c r="A5446" t="s">
        <v>27</v>
      </c>
      <c r="B5446" t="s">
        <v>148</v>
      </c>
      <c r="C5446" t="s">
        <v>159</v>
      </c>
      <c r="D5446" t="s">
        <v>288</v>
      </c>
      <c r="E5446" t="s">
        <v>417</v>
      </c>
      <c r="F5446">
        <f>HYPERLINK("https://www.wikidata.org/wiki/Q33755832", "Q33755832")</f>
        <v>0</v>
      </c>
      <c r="G5446" t="s">
        <v>2956</v>
      </c>
      <c r="H5446" t="s">
        <v>5417</v>
      </c>
      <c r="I5446" t="s">
        <v>10542</v>
      </c>
      <c r="J5446" t="s">
        <v>13589</v>
      </c>
      <c r="K5446" t="s">
        <v>17974</v>
      </c>
      <c r="L5446">
        <f>HYPERLINK("https://www2.assemblee-nationale.fr/sycomore/fiche/(num_dept)/3361", "3361")</f>
        <v>0</v>
      </c>
      <c r="N5446">
        <f>HYPERLINK("https://www.wikidata.org/wiki/Q3131251", "Q3131251")</f>
        <v>0</v>
      </c>
      <c r="O5446" t="s">
        <v>20009</v>
      </c>
      <c r="Q5446" t="s">
        <v>20738</v>
      </c>
      <c r="R5446" t="s">
        <v>417</v>
      </c>
      <c r="S5446">
        <v>1483</v>
      </c>
    </row>
    <row r="5447" spans="1:19">
      <c r="A5447" t="s">
        <v>27</v>
      </c>
      <c r="B5447" t="s">
        <v>148</v>
      </c>
      <c r="C5447" t="s">
        <v>159</v>
      </c>
      <c r="D5447" t="s">
        <v>288</v>
      </c>
      <c r="E5447" t="s">
        <v>417</v>
      </c>
      <c r="F5447">
        <f>HYPERLINK("https://www.wikidata.org/wiki/Q33755832", "Q33755832")</f>
        <v>0</v>
      </c>
      <c r="G5447" t="s">
        <v>3447</v>
      </c>
      <c r="H5447" t="s">
        <v>7821</v>
      </c>
      <c r="I5447" t="s">
        <v>9388</v>
      </c>
      <c r="J5447" t="s">
        <v>14051</v>
      </c>
      <c r="K5447" t="s">
        <v>18419</v>
      </c>
      <c r="L5447">
        <f>HYPERLINK("https://www2.assemblee-nationale.fr/sycomore/fiche/(num_dept)/3366", "3366")</f>
        <v>0</v>
      </c>
      <c r="N5447">
        <f>HYPERLINK("https://www.wikidata.org/wiki/Q16025766", "Q16025766")</f>
        <v>0</v>
      </c>
      <c r="O5447" t="s">
        <v>19997</v>
      </c>
      <c r="Q5447" t="s">
        <v>20738</v>
      </c>
      <c r="R5447" t="s">
        <v>18419</v>
      </c>
      <c r="S5447">
        <v>754</v>
      </c>
    </row>
    <row r="5448" spans="1:19">
      <c r="A5448" t="s">
        <v>27</v>
      </c>
      <c r="B5448" t="s">
        <v>148</v>
      </c>
      <c r="C5448" t="s">
        <v>159</v>
      </c>
      <c r="D5448" t="s">
        <v>288</v>
      </c>
      <c r="E5448" t="s">
        <v>417</v>
      </c>
      <c r="F5448">
        <f>HYPERLINK("https://www.wikidata.org/wiki/Q33755832", "Q33755832")</f>
        <v>0</v>
      </c>
      <c r="G5448" t="s">
        <v>2590</v>
      </c>
      <c r="H5448" t="s">
        <v>7140</v>
      </c>
      <c r="I5448" t="s">
        <v>10300</v>
      </c>
      <c r="J5448" t="s">
        <v>13233</v>
      </c>
      <c r="K5448" t="s">
        <v>17637</v>
      </c>
      <c r="L5448">
        <f>HYPERLINK("https://www2.assemblee-nationale.fr/sycomore/fiche/(num_dept)/3372", "3372")</f>
        <v>0</v>
      </c>
      <c r="N5448">
        <f>HYPERLINK("https://www.wikidata.org/wiki/Q327403", "Q327403")</f>
        <v>0</v>
      </c>
      <c r="O5448" t="s">
        <v>19986</v>
      </c>
      <c r="P5448" t="s">
        <v>20462</v>
      </c>
      <c r="Q5448" t="s">
        <v>20738</v>
      </c>
      <c r="R5448" t="s">
        <v>417</v>
      </c>
      <c r="S5448">
        <v>1483</v>
      </c>
    </row>
    <row r="5449" spans="1:19">
      <c r="A5449" t="s">
        <v>27</v>
      </c>
      <c r="B5449" t="s">
        <v>148</v>
      </c>
      <c r="C5449" t="s">
        <v>159</v>
      </c>
      <c r="D5449" t="s">
        <v>288</v>
      </c>
      <c r="E5449" t="s">
        <v>417</v>
      </c>
      <c r="F5449">
        <f>HYPERLINK("https://www.wikidata.org/wiki/Q33755832", "Q33755832")</f>
        <v>0</v>
      </c>
      <c r="G5449" t="s">
        <v>2591</v>
      </c>
      <c r="H5449" t="s">
        <v>7140</v>
      </c>
      <c r="I5449" t="s">
        <v>5349</v>
      </c>
      <c r="J5449" t="s">
        <v>13234</v>
      </c>
      <c r="K5449" t="s">
        <v>17638</v>
      </c>
      <c r="L5449">
        <f>HYPERLINK("https://www2.assemblee-nationale.fr/sycomore/fiche/(num_dept)/3374", "3374")</f>
        <v>0</v>
      </c>
      <c r="N5449">
        <f>HYPERLINK("https://www.wikidata.org/wiki/Q16025768", "Q16025768")</f>
        <v>0</v>
      </c>
      <c r="O5449" t="s">
        <v>20016</v>
      </c>
      <c r="Q5449" t="s">
        <v>20738</v>
      </c>
      <c r="R5449" t="s">
        <v>17638</v>
      </c>
      <c r="S5449">
        <v>869</v>
      </c>
    </row>
    <row r="5450" spans="1:19">
      <c r="A5450" t="s">
        <v>27</v>
      </c>
      <c r="B5450" t="s">
        <v>148</v>
      </c>
      <c r="C5450" t="s">
        <v>159</v>
      </c>
      <c r="D5450" t="s">
        <v>288</v>
      </c>
      <c r="E5450" t="s">
        <v>417</v>
      </c>
      <c r="F5450">
        <f>HYPERLINK("https://www.wikidata.org/wiki/Q33755832", "Q33755832")</f>
        <v>0</v>
      </c>
      <c r="G5450" t="s">
        <v>3448</v>
      </c>
      <c r="H5450" t="s">
        <v>7822</v>
      </c>
      <c r="I5450" t="s">
        <v>9385</v>
      </c>
      <c r="J5450" t="s">
        <v>14052</v>
      </c>
      <c r="K5450" t="s">
        <v>18420</v>
      </c>
      <c r="L5450">
        <f>HYPERLINK("https://www2.assemblee-nationale.fr/sycomore/fiche/(num_dept)/3385", "3385")</f>
        <v>0</v>
      </c>
      <c r="M5450">
        <f>HYPERLINK("https://www.senat.fr/senateur-3eme-republique/gervais_charles1585r3.html", "gervais_charles1585r3")</f>
        <v>0</v>
      </c>
      <c r="N5450">
        <f>HYPERLINK("https://www.wikidata.org/wiki/Q3188616", "Q3188616")</f>
        <v>0</v>
      </c>
      <c r="O5450" t="s">
        <v>19978</v>
      </c>
      <c r="Q5450" t="s">
        <v>20738</v>
      </c>
      <c r="R5450" t="s">
        <v>417</v>
      </c>
      <c r="S5450">
        <v>1483</v>
      </c>
    </row>
    <row r="5451" spans="1:19">
      <c r="A5451" t="s">
        <v>27</v>
      </c>
      <c r="B5451" t="s">
        <v>148</v>
      </c>
      <c r="C5451" t="s">
        <v>159</v>
      </c>
      <c r="D5451" t="s">
        <v>288</v>
      </c>
      <c r="E5451" t="s">
        <v>417</v>
      </c>
      <c r="F5451">
        <f>HYPERLINK("https://www.wikidata.org/wiki/Q33755832", "Q33755832")</f>
        <v>0</v>
      </c>
      <c r="G5451" t="s">
        <v>2957</v>
      </c>
      <c r="H5451" t="s">
        <v>7429</v>
      </c>
      <c r="I5451" t="s">
        <v>10543</v>
      </c>
      <c r="J5451" t="s">
        <v>11365</v>
      </c>
      <c r="K5451" t="s">
        <v>17975</v>
      </c>
      <c r="L5451">
        <f>HYPERLINK("https://www2.assemblee-nationale.fr/sycomore/fiche/(num_dept)/3387", "3387")</f>
        <v>0</v>
      </c>
      <c r="N5451">
        <f>HYPERLINK("https://www.wikidata.org/wiki/Q3099023", "Q3099023")</f>
        <v>0</v>
      </c>
      <c r="O5451" t="s">
        <v>20028</v>
      </c>
      <c r="Q5451" t="s">
        <v>20738</v>
      </c>
      <c r="R5451" t="s">
        <v>417</v>
      </c>
      <c r="S5451">
        <v>1483</v>
      </c>
    </row>
    <row r="5452" spans="1:19">
      <c r="A5452" t="s">
        <v>27</v>
      </c>
      <c r="B5452" t="s">
        <v>148</v>
      </c>
      <c r="C5452" t="s">
        <v>159</v>
      </c>
      <c r="D5452" t="s">
        <v>288</v>
      </c>
      <c r="E5452" t="s">
        <v>417</v>
      </c>
      <c r="F5452">
        <f>HYPERLINK("https://www.wikidata.org/wiki/Q33755832", "Q33755832")</f>
        <v>0</v>
      </c>
      <c r="G5452" t="s">
        <v>2592</v>
      </c>
      <c r="H5452" t="s">
        <v>7141</v>
      </c>
      <c r="I5452" t="s">
        <v>10301</v>
      </c>
      <c r="J5452" t="s">
        <v>13235</v>
      </c>
      <c r="K5452" t="s">
        <v>17639</v>
      </c>
      <c r="L5452">
        <f>HYPERLINK("https://www2.assemblee-nationale.fr/sycomore/fiche/(num_dept)/3392", "3392")</f>
        <v>0</v>
      </c>
      <c r="N5452">
        <f>HYPERLINK("https://www.wikidata.org/wiki/Q3188644", "Q3188644")</f>
        <v>0</v>
      </c>
      <c r="O5452" t="s">
        <v>19957</v>
      </c>
      <c r="P5452" t="s">
        <v>20479</v>
      </c>
      <c r="Q5452" t="s">
        <v>20738</v>
      </c>
      <c r="R5452" t="s">
        <v>417</v>
      </c>
      <c r="S5452">
        <v>1483</v>
      </c>
    </row>
    <row r="5453" spans="1:19">
      <c r="A5453" t="s">
        <v>27</v>
      </c>
      <c r="B5453" t="s">
        <v>148</v>
      </c>
      <c r="C5453" t="s">
        <v>159</v>
      </c>
      <c r="D5453" t="s">
        <v>288</v>
      </c>
      <c r="E5453" t="s">
        <v>417</v>
      </c>
      <c r="F5453">
        <f>HYPERLINK("https://www.wikidata.org/wiki/Q33755832", "Q33755832")</f>
        <v>0</v>
      </c>
      <c r="G5453" t="s">
        <v>3063</v>
      </c>
      <c r="H5453" t="s">
        <v>7516</v>
      </c>
      <c r="I5453" t="s">
        <v>9438</v>
      </c>
      <c r="J5453" t="s">
        <v>13687</v>
      </c>
      <c r="K5453" t="s">
        <v>18070</v>
      </c>
      <c r="L5453">
        <f>HYPERLINK("https://www2.assemblee-nationale.fr/sycomore/fiche/(num_dept)/3405", "3405")</f>
        <v>0</v>
      </c>
      <c r="M5453">
        <f>HYPERLINK("https://www.senat.fr/senateur-3eme-republique/giguet_honore0009r3.html", "giguet_honore0009r3")</f>
        <v>0</v>
      </c>
      <c r="N5453">
        <f>HYPERLINK("https://www.wikidata.org/wiki/Q3140225", "Q3140225")</f>
        <v>0</v>
      </c>
      <c r="O5453" t="s">
        <v>19986</v>
      </c>
      <c r="P5453" t="s">
        <v>20479</v>
      </c>
      <c r="Q5453" t="s">
        <v>20738</v>
      </c>
      <c r="R5453" t="s">
        <v>417</v>
      </c>
      <c r="S5453">
        <v>1483</v>
      </c>
    </row>
    <row r="5454" spans="1:19">
      <c r="A5454" t="s">
        <v>27</v>
      </c>
      <c r="B5454" t="s">
        <v>148</v>
      </c>
      <c r="C5454" t="s">
        <v>159</v>
      </c>
      <c r="D5454" t="s">
        <v>288</v>
      </c>
      <c r="E5454" t="s">
        <v>417</v>
      </c>
      <c r="F5454">
        <f>HYPERLINK("https://www.wikidata.org/wiki/Q33755832", "Q33755832")</f>
        <v>0</v>
      </c>
      <c r="G5454" t="s">
        <v>3449</v>
      </c>
      <c r="H5454" t="s">
        <v>7823</v>
      </c>
      <c r="I5454" t="s">
        <v>5528</v>
      </c>
      <c r="J5454" t="s">
        <v>13985</v>
      </c>
      <c r="K5454" t="s">
        <v>18421</v>
      </c>
      <c r="L5454">
        <f>HYPERLINK("https://www2.assemblee-nationale.fr/sycomore/fiche/(num_dept)/3411", "3411")</f>
        <v>0</v>
      </c>
      <c r="M5454">
        <f>HYPERLINK("https://www.senat.fr/senateur-3eme-republique/gillot_leon1209r3.html", "gillot_leon1209r3")</f>
        <v>0</v>
      </c>
      <c r="N5454">
        <f>HYPERLINK("https://www.wikidata.org/wiki/Q3270992", "Q3270992")</f>
        <v>0</v>
      </c>
      <c r="O5454" t="s">
        <v>19994</v>
      </c>
      <c r="P5454" t="s">
        <v>20402</v>
      </c>
      <c r="Q5454" t="s">
        <v>20738</v>
      </c>
      <c r="R5454" t="s">
        <v>417</v>
      </c>
      <c r="S5454">
        <v>1483</v>
      </c>
    </row>
    <row r="5455" spans="1:19">
      <c r="A5455" t="s">
        <v>27</v>
      </c>
      <c r="B5455" t="s">
        <v>148</v>
      </c>
      <c r="C5455" t="s">
        <v>159</v>
      </c>
      <c r="D5455" t="s">
        <v>288</v>
      </c>
      <c r="E5455" t="s">
        <v>417</v>
      </c>
      <c r="F5455">
        <f>HYPERLINK("https://www.wikidata.org/wiki/Q33755832", "Q33755832")</f>
        <v>0</v>
      </c>
      <c r="G5455" t="s">
        <v>3450</v>
      </c>
      <c r="H5455" t="s">
        <v>7824</v>
      </c>
      <c r="I5455" t="s">
        <v>9506</v>
      </c>
      <c r="J5455" t="s">
        <v>13737</v>
      </c>
      <c r="K5455" t="s">
        <v>18422</v>
      </c>
      <c r="L5455">
        <f>HYPERLINK("https://www2.assemblee-nationale.fr/sycomore/fiche/(num_dept)/3462", "3462")</f>
        <v>0</v>
      </c>
      <c r="N5455">
        <f>HYPERLINK("https://www.wikidata.org/wiki/Q16025790", "Q16025790")</f>
        <v>0</v>
      </c>
      <c r="O5455" t="s">
        <v>20015</v>
      </c>
      <c r="Q5455" t="s">
        <v>20738</v>
      </c>
      <c r="R5455" t="s">
        <v>21526</v>
      </c>
      <c r="S5455">
        <v>1242</v>
      </c>
    </row>
    <row r="5456" spans="1:19">
      <c r="A5456" t="s">
        <v>27</v>
      </c>
      <c r="B5456" t="s">
        <v>148</v>
      </c>
      <c r="C5456" t="s">
        <v>159</v>
      </c>
      <c r="D5456" t="s">
        <v>288</v>
      </c>
      <c r="E5456" t="s">
        <v>417</v>
      </c>
      <c r="F5456">
        <f>HYPERLINK("https://www.wikidata.org/wiki/Q33755832", "Q33755832")</f>
        <v>0</v>
      </c>
      <c r="G5456" t="s">
        <v>3370</v>
      </c>
      <c r="H5456" t="s">
        <v>6472</v>
      </c>
      <c r="I5456" t="s">
        <v>10037</v>
      </c>
      <c r="J5456" t="s">
        <v>13982</v>
      </c>
      <c r="K5456" t="s">
        <v>18350</v>
      </c>
      <c r="L5456">
        <f>HYPERLINK("https://www2.assemblee-nationale.fr/sycomore/fiche/(num_dept)/3472", "3472")</f>
        <v>0</v>
      </c>
      <c r="M5456">
        <f>HYPERLINK("https://www.senat.fr/senateur-3eme-republique/goirand_leopold1625r3.html", "goirand_leopold1625r3")</f>
        <v>0</v>
      </c>
      <c r="N5456">
        <f>HYPERLINK("https://www.wikidata.org/wiki/Q3271812", "Q3271812")</f>
        <v>0</v>
      </c>
      <c r="O5456" t="s">
        <v>20021</v>
      </c>
      <c r="Q5456" t="s">
        <v>20738</v>
      </c>
      <c r="R5456" t="s">
        <v>417</v>
      </c>
      <c r="S5456">
        <v>1483</v>
      </c>
    </row>
    <row r="5457" spans="1:19">
      <c r="A5457" t="s">
        <v>27</v>
      </c>
      <c r="B5457" t="s">
        <v>148</v>
      </c>
      <c r="C5457" t="s">
        <v>159</v>
      </c>
      <c r="D5457" t="s">
        <v>288</v>
      </c>
      <c r="E5457" t="s">
        <v>417</v>
      </c>
      <c r="F5457">
        <f>HYPERLINK("https://www.wikidata.org/wiki/Q33755832", "Q33755832")</f>
        <v>0</v>
      </c>
      <c r="G5457" t="s">
        <v>3451</v>
      </c>
      <c r="H5457" t="s">
        <v>6178</v>
      </c>
      <c r="I5457" t="s">
        <v>10832</v>
      </c>
      <c r="J5457" t="s">
        <v>14053</v>
      </c>
      <c r="K5457" t="s">
        <v>18423</v>
      </c>
      <c r="L5457">
        <f>HYPERLINK("https://www2.assemblee-nationale.fr/sycomore/fiche/(num_dept)/3478", "3478")</f>
        <v>0</v>
      </c>
      <c r="N5457">
        <f>HYPERLINK("https://www.wikidata.org/wiki/Q16025795", "Q16025795")</f>
        <v>0</v>
      </c>
      <c r="O5457" t="s">
        <v>20012</v>
      </c>
      <c r="Q5457" t="s">
        <v>20738</v>
      </c>
      <c r="R5457" t="s">
        <v>417</v>
      </c>
      <c r="S5457">
        <v>1483</v>
      </c>
    </row>
    <row r="5458" spans="1:19">
      <c r="A5458" t="s">
        <v>27</v>
      </c>
      <c r="B5458" t="s">
        <v>148</v>
      </c>
      <c r="C5458" t="s">
        <v>159</v>
      </c>
      <c r="D5458" t="s">
        <v>288</v>
      </c>
      <c r="E5458" t="s">
        <v>417</v>
      </c>
      <c r="F5458">
        <f>HYPERLINK("https://www.wikidata.org/wiki/Q33755832", "Q33755832")</f>
        <v>0</v>
      </c>
      <c r="G5458" t="s">
        <v>3452</v>
      </c>
      <c r="H5458" t="s">
        <v>7825</v>
      </c>
      <c r="I5458" t="s">
        <v>9389</v>
      </c>
      <c r="J5458" t="s">
        <v>14054</v>
      </c>
      <c r="K5458" t="s">
        <v>16868</v>
      </c>
      <c r="L5458">
        <f>HYPERLINK("https://www2.assemblee-nationale.fr/sycomore/fiche/(num_dept)/3517", "3517")</f>
        <v>0</v>
      </c>
      <c r="N5458">
        <f>HYPERLINK("https://www.wikidata.org/wiki/Q13091124", "Q13091124")</f>
        <v>0</v>
      </c>
      <c r="O5458" t="s">
        <v>19969</v>
      </c>
      <c r="Q5458" t="s">
        <v>20738</v>
      </c>
      <c r="R5458" t="s">
        <v>417</v>
      </c>
      <c r="S5458">
        <v>1483</v>
      </c>
    </row>
    <row r="5459" spans="1:19">
      <c r="A5459" t="s">
        <v>27</v>
      </c>
      <c r="B5459" t="s">
        <v>148</v>
      </c>
      <c r="C5459" t="s">
        <v>159</v>
      </c>
      <c r="D5459" t="s">
        <v>288</v>
      </c>
      <c r="E5459" t="s">
        <v>417</v>
      </c>
      <c r="F5459">
        <f>HYPERLINK("https://www.wikidata.org/wiki/Q33755832", "Q33755832")</f>
        <v>0</v>
      </c>
      <c r="G5459" t="s">
        <v>3453</v>
      </c>
      <c r="H5459" t="s">
        <v>7826</v>
      </c>
      <c r="I5459" t="s">
        <v>10833</v>
      </c>
      <c r="J5459" t="s">
        <v>14055</v>
      </c>
      <c r="K5459" t="s">
        <v>15867</v>
      </c>
      <c r="L5459">
        <f>HYPERLINK("https://www2.assemblee-nationale.fr/sycomore/fiche/(num_dept)/3533", "3533")</f>
        <v>0</v>
      </c>
      <c r="N5459">
        <f>HYPERLINK("https://www.wikidata.org/wiki/Q2828011", "Q2828011")</f>
        <v>0</v>
      </c>
      <c r="O5459" t="s">
        <v>19964</v>
      </c>
      <c r="Q5459" t="s">
        <v>20738</v>
      </c>
      <c r="R5459" t="s">
        <v>417</v>
      </c>
      <c r="S5459">
        <v>1483</v>
      </c>
    </row>
    <row r="5460" spans="1:19">
      <c r="A5460" t="s">
        <v>27</v>
      </c>
      <c r="B5460" t="s">
        <v>148</v>
      </c>
      <c r="C5460" t="s">
        <v>159</v>
      </c>
      <c r="D5460" t="s">
        <v>288</v>
      </c>
      <c r="E5460" t="s">
        <v>417</v>
      </c>
      <c r="F5460">
        <f>HYPERLINK("https://www.wikidata.org/wiki/Q33755832", "Q33755832")</f>
        <v>0</v>
      </c>
      <c r="G5460" t="s">
        <v>3008</v>
      </c>
      <c r="H5460" t="s">
        <v>7469</v>
      </c>
      <c r="I5460" t="s">
        <v>6158</v>
      </c>
      <c r="J5460" t="s">
        <v>13637</v>
      </c>
      <c r="K5460" t="s">
        <v>18022</v>
      </c>
      <c r="L5460">
        <f>HYPERLINK("https://www2.assemblee-nationale.fr/sycomore/fiche/(num_dept)/3547", "3547")</f>
        <v>0</v>
      </c>
      <c r="N5460">
        <f>HYPERLINK("https://www.wikidata.org/wiki/Q3092454", "Q3092454")</f>
        <v>0</v>
      </c>
      <c r="O5460" t="s">
        <v>19990</v>
      </c>
      <c r="P5460" t="s">
        <v>20401</v>
      </c>
      <c r="Q5460" t="s">
        <v>20738</v>
      </c>
      <c r="R5460" t="s">
        <v>417</v>
      </c>
      <c r="S5460">
        <v>1483</v>
      </c>
    </row>
    <row r="5461" spans="1:19">
      <c r="A5461" t="s">
        <v>27</v>
      </c>
      <c r="B5461" t="s">
        <v>148</v>
      </c>
      <c r="C5461" t="s">
        <v>159</v>
      </c>
      <c r="D5461" t="s">
        <v>288</v>
      </c>
      <c r="E5461" t="s">
        <v>417</v>
      </c>
      <c r="F5461">
        <f>HYPERLINK("https://www.wikidata.org/wiki/Q33755832", "Q33755832")</f>
        <v>0</v>
      </c>
      <c r="G5461" t="s">
        <v>2484</v>
      </c>
      <c r="H5461" t="s">
        <v>7057</v>
      </c>
      <c r="I5461" t="s">
        <v>10237</v>
      </c>
      <c r="J5461" t="s">
        <v>13128</v>
      </c>
      <c r="K5461" t="s">
        <v>17538</v>
      </c>
      <c r="L5461">
        <f>HYPERLINK("https://www2.assemblee-nationale.fr/sycomore/fiche/(num_dept)/3559", "3559")</f>
        <v>0</v>
      </c>
      <c r="N5461">
        <f>HYPERLINK("https://www.wikidata.org/wiki/Q16025808", "Q16025808")</f>
        <v>0</v>
      </c>
      <c r="O5461" t="s">
        <v>19968</v>
      </c>
      <c r="P5461" t="s">
        <v>20402</v>
      </c>
      <c r="Q5461" t="s">
        <v>20738</v>
      </c>
      <c r="R5461" t="s">
        <v>417</v>
      </c>
      <c r="S5461">
        <v>1483</v>
      </c>
    </row>
    <row r="5462" spans="1:19">
      <c r="A5462" t="s">
        <v>27</v>
      </c>
      <c r="B5462" t="s">
        <v>148</v>
      </c>
      <c r="C5462" t="s">
        <v>159</v>
      </c>
      <c r="D5462" t="s">
        <v>288</v>
      </c>
      <c r="E5462" t="s">
        <v>417</v>
      </c>
      <c r="F5462">
        <f>HYPERLINK("https://www.wikidata.org/wiki/Q33755832", "Q33755832")</f>
        <v>0</v>
      </c>
      <c r="G5462" t="s">
        <v>3454</v>
      </c>
      <c r="H5462" t="s">
        <v>7827</v>
      </c>
      <c r="I5462" t="s">
        <v>9457</v>
      </c>
      <c r="J5462" t="s">
        <v>14056</v>
      </c>
      <c r="K5462" t="s">
        <v>18424</v>
      </c>
      <c r="L5462">
        <f>HYPERLINK("https://www2.assemblee-nationale.fr/sycomore/fiche/(num_dept)/3566", "3566")</f>
        <v>0</v>
      </c>
      <c r="N5462">
        <f>HYPERLINK("https://www.wikidata.org/wiki/Q3132810", "Q3132810")</f>
        <v>0</v>
      </c>
      <c r="O5462" t="s">
        <v>20026</v>
      </c>
      <c r="Q5462" t="s">
        <v>20738</v>
      </c>
      <c r="R5462" t="s">
        <v>417</v>
      </c>
      <c r="S5462">
        <v>1483</v>
      </c>
    </row>
    <row r="5463" spans="1:19">
      <c r="A5463" t="s">
        <v>27</v>
      </c>
      <c r="B5463" t="s">
        <v>148</v>
      </c>
      <c r="C5463" t="s">
        <v>159</v>
      </c>
      <c r="D5463" t="s">
        <v>288</v>
      </c>
      <c r="E5463" t="s">
        <v>417</v>
      </c>
      <c r="F5463">
        <f>HYPERLINK("https://www.wikidata.org/wiki/Q33755832", "Q33755832")</f>
        <v>0</v>
      </c>
      <c r="G5463" t="s">
        <v>3455</v>
      </c>
      <c r="H5463" t="s">
        <v>7828</v>
      </c>
      <c r="I5463" t="s">
        <v>6166</v>
      </c>
      <c r="J5463" t="s">
        <v>14057</v>
      </c>
      <c r="K5463" t="s">
        <v>18425</v>
      </c>
      <c r="L5463">
        <f>HYPERLINK("https://www2.assemblee-nationale.fr/sycomore/fiche/(num_dept)/3591", "3591")</f>
        <v>0</v>
      </c>
      <c r="N5463">
        <f>HYPERLINK("https://www.wikidata.org/wiki/Q16025812", "Q16025812")</f>
        <v>0</v>
      </c>
      <c r="O5463" t="s">
        <v>20040</v>
      </c>
      <c r="P5463" t="s">
        <v>20459</v>
      </c>
      <c r="Q5463" t="s">
        <v>20738</v>
      </c>
      <c r="R5463" t="s">
        <v>417</v>
      </c>
      <c r="S5463">
        <v>1483</v>
      </c>
    </row>
    <row r="5464" spans="1:19">
      <c r="A5464" t="s">
        <v>27</v>
      </c>
      <c r="B5464" t="s">
        <v>148</v>
      </c>
      <c r="C5464" t="s">
        <v>159</v>
      </c>
      <c r="D5464" t="s">
        <v>288</v>
      </c>
      <c r="E5464" t="s">
        <v>417</v>
      </c>
      <c r="F5464">
        <f>HYPERLINK("https://www.wikidata.org/wiki/Q33755832", "Q33755832")</f>
        <v>0</v>
      </c>
      <c r="G5464" t="s">
        <v>3456</v>
      </c>
      <c r="H5464" t="s">
        <v>7829</v>
      </c>
      <c r="I5464" t="s">
        <v>9612</v>
      </c>
      <c r="J5464" t="s">
        <v>14058</v>
      </c>
      <c r="K5464" t="s">
        <v>18426</v>
      </c>
      <c r="L5464">
        <f>HYPERLINK("https://www2.assemblee-nationale.fr/sycomore/fiche/(num_dept)/3607", "3607")</f>
        <v>0</v>
      </c>
      <c r="N5464">
        <f>HYPERLINK("https://www.wikidata.org/wiki/Q3089858", "Q3089858")</f>
        <v>0</v>
      </c>
      <c r="O5464" t="s">
        <v>20004</v>
      </c>
      <c r="Q5464" t="s">
        <v>20738</v>
      </c>
      <c r="R5464" t="s">
        <v>417</v>
      </c>
      <c r="S5464">
        <v>1483</v>
      </c>
    </row>
    <row r="5465" spans="1:19">
      <c r="A5465" t="s">
        <v>27</v>
      </c>
      <c r="B5465" t="s">
        <v>148</v>
      </c>
      <c r="C5465" t="s">
        <v>159</v>
      </c>
      <c r="D5465" t="s">
        <v>288</v>
      </c>
      <c r="E5465" t="s">
        <v>417</v>
      </c>
      <c r="F5465">
        <f>HYPERLINK("https://www.wikidata.org/wiki/Q33755832", "Q33755832")</f>
        <v>0</v>
      </c>
      <c r="G5465" t="s">
        <v>2596</v>
      </c>
      <c r="H5465" t="s">
        <v>7145</v>
      </c>
      <c r="I5465" t="s">
        <v>10303</v>
      </c>
      <c r="J5465" t="s">
        <v>13239</v>
      </c>
      <c r="K5465" t="s">
        <v>17643</v>
      </c>
      <c r="L5465">
        <f>HYPERLINK("https://www2.assemblee-nationale.fr/sycomore/fiche/(num_dept)/3618", "3618")</f>
        <v>0</v>
      </c>
      <c r="N5465">
        <f>HYPERLINK("https://www.wikidata.org/wiki/Q3184417", "Q3184417")</f>
        <v>0</v>
      </c>
      <c r="O5465" t="s">
        <v>20011</v>
      </c>
      <c r="Q5465" t="s">
        <v>20738</v>
      </c>
      <c r="R5465" t="s">
        <v>17643</v>
      </c>
      <c r="S5465">
        <v>589</v>
      </c>
    </row>
    <row r="5466" spans="1:19">
      <c r="A5466" t="s">
        <v>27</v>
      </c>
      <c r="B5466" t="s">
        <v>148</v>
      </c>
      <c r="C5466" t="s">
        <v>159</v>
      </c>
      <c r="D5466" t="s">
        <v>288</v>
      </c>
      <c r="E5466" t="s">
        <v>417</v>
      </c>
      <c r="F5466">
        <f>HYPERLINK("https://www.wikidata.org/wiki/Q33755832", "Q33755832")</f>
        <v>0</v>
      </c>
      <c r="G5466" t="s">
        <v>2598</v>
      </c>
      <c r="H5466" t="s">
        <v>7147</v>
      </c>
      <c r="I5466" t="s">
        <v>10304</v>
      </c>
      <c r="J5466" t="s">
        <v>13241</v>
      </c>
      <c r="K5466" t="s">
        <v>17645</v>
      </c>
      <c r="L5466">
        <f>HYPERLINK("https://www2.assemblee-nationale.fr/sycomore/fiche/(num_dept)/3690", "3690")</f>
        <v>0</v>
      </c>
      <c r="N5466">
        <f>HYPERLINK("https://www.wikidata.org/wiki/Q15969562", "Q15969562")</f>
        <v>0</v>
      </c>
      <c r="O5466" t="s">
        <v>19995</v>
      </c>
      <c r="P5466" t="s">
        <v>20460</v>
      </c>
      <c r="Q5466" t="s">
        <v>20738</v>
      </c>
      <c r="R5466" t="s">
        <v>417</v>
      </c>
      <c r="S5466">
        <v>1483</v>
      </c>
    </row>
    <row r="5467" spans="1:19">
      <c r="A5467" t="s">
        <v>27</v>
      </c>
      <c r="B5467" t="s">
        <v>148</v>
      </c>
      <c r="C5467" t="s">
        <v>159</v>
      </c>
      <c r="D5467" t="s">
        <v>288</v>
      </c>
      <c r="E5467" t="s">
        <v>417</v>
      </c>
      <c r="F5467">
        <f>HYPERLINK("https://www.wikidata.org/wiki/Q33755832", "Q33755832")</f>
        <v>0</v>
      </c>
      <c r="G5467" t="s">
        <v>3255</v>
      </c>
      <c r="H5467" t="s">
        <v>7675</v>
      </c>
      <c r="I5467" t="s">
        <v>6200</v>
      </c>
      <c r="J5467" t="s">
        <v>13872</v>
      </c>
      <c r="K5467" t="s">
        <v>18243</v>
      </c>
      <c r="L5467">
        <f>HYPERLINK("https://www2.assemblee-nationale.fr/sycomore/fiche/(num_dept)/3714", "3714")</f>
        <v>0</v>
      </c>
      <c r="N5467">
        <f>HYPERLINK("https://www.wikidata.org/wiki/Q3172111", "Q3172111")</f>
        <v>0</v>
      </c>
      <c r="O5467" t="s">
        <v>20005</v>
      </c>
      <c r="P5467" t="s">
        <v>20474</v>
      </c>
      <c r="Q5467" t="s">
        <v>20738</v>
      </c>
      <c r="R5467" t="s">
        <v>417</v>
      </c>
      <c r="S5467">
        <v>1483</v>
      </c>
    </row>
    <row r="5468" spans="1:19">
      <c r="A5468" t="s">
        <v>27</v>
      </c>
      <c r="B5468" t="s">
        <v>148</v>
      </c>
      <c r="C5468" t="s">
        <v>159</v>
      </c>
      <c r="D5468" t="s">
        <v>288</v>
      </c>
      <c r="E5468" t="s">
        <v>417</v>
      </c>
      <c r="F5468">
        <f>HYPERLINK("https://www.wikidata.org/wiki/Q33755832", "Q33755832")</f>
        <v>0</v>
      </c>
      <c r="G5468" t="s">
        <v>3457</v>
      </c>
      <c r="H5468" t="s">
        <v>7830</v>
      </c>
      <c r="I5468" t="s">
        <v>9421</v>
      </c>
      <c r="J5468" t="s">
        <v>14059</v>
      </c>
      <c r="K5468" t="s">
        <v>18427</v>
      </c>
      <c r="L5468">
        <f>HYPERLINK("https://www2.assemblee-nationale.fr/sycomore/fiche/(num_dept)/3727", "3727")</f>
        <v>0</v>
      </c>
      <c r="N5468">
        <f>HYPERLINK("https://www.wikidata.org/wiki/Q16025837", "Q16025837")</f>
        <v>0</v>
      </c>
      <c r="O5468" t="s">
        <v>19989</v>
      </c>
      <c r="Q5468" t="s">
        <v>20738</v>
      </c>
      <c r="R5468" t="s">
        <v>417</v>
      </c>
      <c r="S5468">
        <v>1483</v>
      </c>
    </row>
    <row r="5469" spans="1:19">
      <c r="A5469" t="s">
        <v>27</v>
      </c>
      <c r="B5469" t="s">
        <v>148</v>
      </c>
      <c r="C5469" t="s">
        <v>159</v>
      </c>
      <c r="D5469" t="s">
        <v>288</v>
      </c>
      <c r="E5469" t="s">
        <v>417</v>
      </c>
      <c r="F5469">
        <f>HYPERLINK("https://www.wikidata.org/wiki/Q33755832", "Q33755832")</f>
        <v>0</v>
      </c>
      <c r="G5469" t="s">
        <v>3458</v>
      </c>
      <c r="H5469" t="s">
        <v>7831</v>
      </c>
      <c r="I5469" t="s">
        <v>9457</v>
      </c>
      <c r="J5469" t="s">
        <v>14060</v>
      </c>
      <c r="K5469" t="s">
        <v>18428</v>
      </c>
      <c r="L5469">
        <f>HYPERLINK("https://www2.assemblee-nationale.fr/sycomore/fiche/(num_dept)/3763", "3763")</f>
        <v>0</v>
      </c>
      <c r="M5469">
        <f>HYPERLINK("https://www.senat.fr/senateur-3eme-republique/haulon_seraphin1068r3.html", "haulon_seraphin1068r3")</f>
        <v>0</v>
      </c>
      <c r="N5469">
        <f>HYPERLINK("https://www.wikidata.org/wiki/Q3511110", "Q3511110")</f>
        <v>0</v>
      </c>
      <c r="O5469" t="s">
        <v>19970</v>
      </c>
      <c r="Q5469" t="s">
        <v>20738</v>
      </c>
      <c r="R5469" t="s">
        <v>17998</v>
      </c>
      <c r="S5469">
        <v>179</v>
      </c>
    </row>
    <row r="5470" spans="1:19">
      <c r="A5470" t="s">
        <v>27</v>
      </c>
      <c r="B5470" t="s">
        <v>148</v>
      </c>
      <c r="C5470" t="s">
        <v>159</v>
      </c>
      <c r="D5470" t="s">
        <v>288</v>
      </c>
      <c r="E5470" t="s">
        <v>417</v>
      </c>
      <c r="F5470">
        <f>HYPERLINK("https://www.wikidata.org/wiki/Q33755832", "Q33755832")</f>
        <v>0</v>
      </c>
      <c r="G5470" t="s">
        <v>3459</v>
      </c>
      <c r="H5470" t="s">
        <v>7832</v>
      </c>
      <c r="I5470" t="s">
        <v>10834</v>
      </c>
      <c r="J5470" t="s">
        <v>14061</v>
      </c>
      <c r="K5470" t="s">
        <v>18429</v>
      </c>
      <c r="L5470">
        <f>HYPERLINK("https://www2.assemblee-nationale.fr/sycomore/fiche/(num_dept)/3768", "3768")</f>
        <v>0</v>
      </c>
      <c r="N5470">
        <f>HYPERLINK("https://www.wikidata.org/wiki/Q17629005", "Q17629005")</f>
        <v>0</v>
      </c>
      <c r="O5470" t="s">
        <v>19976</v>
      </c>
      <c r="Q5470" t="s">
        <v>20738</v>
      </c>
      <c r="R5470" t="s">
        <v>417</v>
      </c>
      <c r="S5470">
        <v>1483</v>
      </c>
    </row>
    <row r="5471" spans="1:19">
      <c r="A5471" t="s">
        <v>27</v>
      </c>
      <c r="B5471" t="s">
        <v>148</v>
      </c>
      <c r="C5471" t="s">
        <v>159</v>
      </c>
      <c r="D5471" t="s">
        <v>288</v>
      </c>
      <c r="E5471" t="s">
        <v>417</v>
      </c>
      <c r="F5471">
        <f>HYPERLINK("https://www.wikidata.org/wiki/Q33755832", "Q33755832")</f>
        <v>0</v>
      </c>
      <c r="G5471" t="s">
        <v>3460</v>
      </c>
      <c r="H5471" t="s">
        <v>7833</v>
      </c>
      <c r="I5471" t="s">
        <v>10835</v>
      </c>
      <c r="J5471" t="s">
        <v>14062</v>
      </c>
      <c r="K5471" t="s">
        <v>18430</v>
      </c>
      <c r="L5471">
        <f>HYPERLINK("https://www2.assemblee-nationale.fr/sycomore/fiche/(num_dept)/3775", "3775")</f>
        <v>0</v>
      </c>
      <c r="N5471">
        <f>HYPERLINK("https://www.wikidata.org/wiki/Q3059920", "Q3059920")</f>
        <v>0</v>
      </c>
      <c r="O5471" t="s">
        <v>19968</v>
      </c>
      <c r="Q5471" t="s">
        <v>20738</v>
      </c>
      <c r="R5471" t="s">
        <v>18430</v>
      </c>
      <c r="S5471">
        <v>818</v>
      </c>
    </row>
    <row r="5472" spans="1:19">
      <c r="A5472" t="s">
        <v>27</v>
      </c>
      <c r="B5472" t="s">
        <v>148</v>
      </c>
      <c r="C5472" t="s">
        <v>159</v>
      </c>
      <c r="D5472" t="s">
        <v>288</v>
      </c>
      <c r="E5472" t="s">
        <v>417</v>
      </c>
      <c r="F5472">
        <f>HYPERLINK("https://www.wikidata.org/wiki/Q33755832", "Q33755832")</f>
        <v>0</v>
      </c>
      <c r="G5472" t="s">
        <v>680</v>
      </c>
      <c r="H5472" t="s">
        <v>5439</v>
      </c>
      <c r="I5472" t="s">
        <v>6495</v>
      </c>
      <c r="J5472" t="s">
        <v>11430</v>
      </c>
      <c r="K5472" t="s">
        <v>15831</v>
      </c>
      <c r="L5472">
        <f>HYPERLINK("https://www2.assemblee-nationale.fr/sycomore/fiche/(num_dept)/3790", "3790")</f>
        <v>0</v>
      </c>
      <c r="M5472">
        <f>HYPERLINK("https://www.senat.fr/senateur-3eme-republique/hemon_louis0801r3.html", "hemon_louis0801r3")</f>
        <v>0</v>
      </c>
      <c r="N5472">
        <f>HYPERLINK("https://www.wikidata.org/wiki/Q3262222", "Q3262222")</f>
        <v>0</v>
      </c>
      <c r="O5472" t="s">
        <v>20011</v>
      </c>
      <c r="Q5472" t="s">
        <v>20738</v>
      </c>
      <c r="R5472" t="s">
        <v>417</v>
      </c>
      <c r="S5472">
        <v>1483</v>
      </c>
    </row>
    <row r="5473" spans="1:19">
      <c r="A5473" t="s">
        <v>27</v>
      </c>
      <c r="B5473" t="s">
        <v>148</v>
      </c>
      <c r="C5473" t="s">
        <v>159</v>
      </c>
      <c r="D5473" t="s">
        <v>288</v>
      </c>
      <c r="E5473" t="s">
        <v>417</v>
      </c>
      <c r="F5473">
        <f>HYPERLINK("https://www.wikidata.org/wiki/Q33755832", "Q33755832")</f>
        <v>0</v>
      </c>
      <c r="G5473" t="s">
        <v>3461</v>
      </c>
      <c r="H5473" t="s">
        <v>7834</v>
      </c>
      <c r="I5473" t="s">
        <v>9472</v>
      </c>
      <c r="J5473" t="s">
        <v>14063</v>
      </c>
      <c r="K5473" t="s">
        <v>18431</v>
      </c>
      <c r="L5473">
        <f>HYPERLINK("https://www2.assemblee-nationale.fr/sycomore/fiche/(num_dept)/3807", "3807")</f>
        <v>0</v>
      </c>
      <c r="N5473">
        <f>HYPERLINK("https://www.wikidata.org/wiki/Q7124799", "Q7124799")</f>
        <v>0</v>
      </c>
      <c r="O5473" t="s">
        <v>19986</v>
      </c>
      <c r="P5473" t="s">
        <v>20401</v>
      </c>
      <c r="Q5473" t="s">
        <v>20738</v>
      </c>
      <c r="R5473" t="s">
        <v>417</v>
      </c>
      <c r="S5473">
        <v>1483</v>
      </c>
    </row>
    <row r="5474" spans="1:19">
      <c r="A5474" t="s">
        <v>27</v>
      </c>
      <c r="B5474" t="s">
        <v>148</v>
      </c>
      <c r="C5474" t="s">
        <v>159</v>
      </c>
      <c r="D5474" t="s">
        <v>288</v>
      </c>
      <c r="E5474" t="s">
        <v>417</v>
      </c>
      <c r="F5474">
        <f>HYPERLINK("https://www.wikidata.org/wiki/Q33755832", "Q33755832")</f>
        <v>0</v>
      </c>
      <c r="G5474" t="s">
        <v>2599</v>
      </c>
      <c r="H5474" t="s">
        <v>7148</v>
      </c>
      <c r="I5474" t="s">
        <v>9788</v>
      </c>
      <c r="J5474" t="s">
        <v>13242</v>
      </c>
      <c r="K5474" t="s">
        <v>17646</v>
      </c>
      <c r="L5474">
        <f>HYPERLINK("https://www2.assemblee-nationale.fr/sycomore/fiche/(num_dept)/3861", "3861")</f>
        <v>0</v>
      </c>
      <c r="N5474">
        <f>HYPERLINK("https://www.wikidata.org/wiki/Q3188346", "Q3188346")</f>
        <v>0</v>
      </c>
      <c r="O5474" t="s">
        <v>19988</v>
      </c>
      <c r="P5474" t="s">
        <v>20459</v>
      </c>
      <c r="Q5474" t="s">
        <v>20738</v>
      </c>
      <c r="R5474" t="s">
        <v>417</v>
      </c>
      <c r="S5474">
        <v>1483</v>
      </c>
    </row>
    <row r="5475" spans="1:19">
      <c r="A5475" t="s">
        <v>27</v>
      </c>
      <c r="B5475" t="s">
        <v>148</v>
      </c>
      <c r="C5475" t="s">
        <v>159</v>
      </c>
      <c r="D5475" t="s">
        <v>288</v>
      </c>
      <c r="E5475" t="s">
        <v>417</v>
      </c>
      <c r="F5475">
        <f>HYPERLINK("https://www.wikidata.org/wiki/Q33755832", "Q33755832")</f>
        <v>0</v>
      </c>
      <c r="G5475" t="s">
        <v>3462</v>
      </c>
      <c r="H5475" t="s">
        <v>7835</v>
      </c>
      <c r="I5475" t="s">
        <v>10836</v>
      </c>
      <c r="J5475" t="s">
        <v>14064</v>
      </c>
      <c r="K5475" t="s">
        <v>18432</v>
      </c>
      <c r="L5475">
        <f>HYPERLINK("https://www2.assemblee-nationale.fr/sycomore/fiche/(num_dept)/3945", "3945")</f>
        <v>0</v>
      </c>
      <c r="N5475">
        <f>HYPERLINK("https://www.wikidata.org/wiki/Q3293813", "Q3293813")</f>
        <v>0</v>
      </c>
      <c r="O5475" t="s">
        <v>20033</v>
      </c>
      <c r="Q5475" t="s">
        <v>20738</v>
      </c>
      <c r="R5475" t="s">
        <v>417</v>
      </c>
      <c r="S5475">
        <v>1483</v>
      </c>
    </row>
    <row r="5476" spans="1:19">
      <c r="A5476" t="s">
        <v>27</v>
      </c>
      <c r="B5476" t="s">
        <v>148</v>
      </c>
      <c r="C5476" t="s">
        <v>159</v>
      </c>
      <c r="D5476" t="s">
        <v>288</v>
      </c>
      <c r="E5476" t="s">
        <v>417</v>
      </c>
      <c r="F5476">
        <f>HYPERLINK("https://www.wikidata.org/wiki/Q33755832", "Q33755832")</f>
        <v>0</v>
      </c>
      <c r="G5476" t="s">
        <v>3463</v>
      </c>
      <c r="H5476" t="s">
        <v>7836</v>
      </c>
      <c r="I5476" t="s">
        <v>6584</v>
      </c>
      <c r="J5476" t="s">
        <v>14065</v>
      </c>
      <c r="K5476" t="s">
        <v>18009</v>
      </c>
      <c r="L5476">
        <f>HYPERLINK("https://www2.assemblee-nationale.fr/sycomore/fiche/(num_dept)/3963", "3963")</f>
        <v>0</v>
      </c>
      <c r="N5476">
        <f>HYPERLINK("https://www.wikidata.org/wiki/Q2831269", "Q2831269")</f>
        <v>0</v>
      </c>
      <c r="O5476" t="s">
        <v>19964</v>
      </c>
      <c r="Q5476" t="s">
        <v>20738</v>
      </c>
      <c r="R5476" t="s">
        <v>417</v>
      </c>
      <c r="S5476">
        <v>1483</v>
      </c>
    </row>
    <row r="5477" spans="1:19">
      <c r="A5477" t="s">
        <v>27</v>
      </c>
      <c r="B5477" t="s">
        <v>148</v>
      </c>
      <c r="C5477" t="s">
        <v>159</v>
      </c>
      <c r="D5477" t="s">
        <v>288</v>
      </c>
      <c r="E5477" t="s">
        <v>417</v>
      </c>
      <c r="F5477">
        <f>HYPERLINK("https://www.wikidata.org/wiki/Q33755832", "Q33755832")</f>
        <v>0</v>
      </c>
      <c r="G5477" t="s">
        <v>3464</v>
      </c>
      <c r="H5477" t="s">
        <v>7837</v>
      </c>
      <c r="I5477" t="s">
        <v>9449</v>
      </c>
      <c r="J5477" t="s">
        <v>13900</v>
      </c>
      <c r="K5477" t="s">
        <v>18433</v>
      </c>
      <c r="L5477">
        <f>HYPERLINK("https://www2.assemblee-nationale.fr/sycomore/fiche/(num_dept)/3984", "3984")</f>
        <v>0</v>
      </c>
      <c r="N5477">
        <f>HYPERLINK("https://www.wikidata.org/wiki/Q1266110", "Q1266110")</f>
        <v>0</v>
      </c>
      <c r="O5477" t="s">
        <v>20032</v>
      </c>
      <c r="P5477" t="s">
        <v>20479</v>
      </c>
      <c r="Q5477" t="s">
        <v>20738</v>
      </c>
      <c r="R5477" t="s">
        <v>417</v>
      </c>
      <c r="S5477">
        <v>1483</v>
      </c>
    </row>
    <row r="5478" spans="1:19">
      <c r="A5478" t="s">
        <v>27</v>
      </c>
      <c r="B5478" t="s">
        <v>148</v>
      </c>
      <c r="C5478" t="s">
        <v>159</v>
      </c>
      <c r="D5478" t="s">
        <v>288</v>
      </c>
      <c r="E5478" t="s">
        <v>417</v>
      </c>
      <c r="F5478">
        <f>HYPERLINK("https://www.wikidata.org/wiki/Q33755832", "Q33755832")</f>
        <v>0</v>
      </c>
      <c r="G5478" t="s">
        <v>3258</v>
      </c>
      <c r="H5478" t="s">
        <v>7678</v>
      </c>
      <c r="I5478" t="s">
        <v>9437</v>
      </c>
      <c r="J5478" t="s">
        <v>13874</v>
      </c>
      <c r="K5478" t="s">
        <v>18246</v>
      </c>
      <c r="L5478">
        <f>HYPERLINK("https://www2.assemblee-nationale.fr/sycomore/fiche/(num_dept)/3985", "3985")</f>
        <v>0</v>
      </c>
      <c r="N5478">
        <f>HYPERLINK("https://www.wikidata.org/wiki/Q286003", "Q286003")</f>
        <v>0</v>
      </c>
      <c r="O5478" t="s">
        <v>20014</v>
      </c>
      <c r="Q5478" t="s">
        <v>20738</v>
      </c>
      <c r="R5478" t="s">
        <v>417</v>
      </c>
      <c r="S5478">
        <v>1483</v>
      </c>
    </row>
    <row r="5479" spans="1:19">
      <c r="A5479" t="s">
        <v>27</v>
      </c>
      <c r="B5479" t="s">
        <v>148</v>
      </c>
      <c r="C5479" t="s">
        <v>159</v>
      </c>
      <c r="D5479" t="s">
        <v>288</v>
      </c>
      <c r="E5479" t="s">
        <v>417</v>
      </c>
      <c r="F5479">
        <f>HYPERLINK("https://www.wikidata.org/wiki/Q33755832", "Q33755832")</f>
        <v>0</v>
      </c>
      <c r="G5479" t="s">
        <v>2602</v>
      </c>
      <c r="H5479" t="s">
        <v>7151</v>
      </c>
      <c r="I5479" t="s">
        <v>9465</v>
      </c>
      <c r="J5479" t="s">
        <v>13245</v>
      </c>
      <c r="K5479" t="s">
        <v>17648</v>
      </c>
      <c r="L5479">
        <f>HYPERLINK("https://www2.assemblee-nationale.fr/sycomore/fiche/(num_dept)/4039", "4039")</f>
        <v>0</v>
      </c>
      <c r="N5479">
        <f>HYPERLINK("https://www.wikidata.org/wiki/Q15971837", "Q15971837")</f>
        <v>0</v>
      </c>
      <c r="O5479" t="s">
        <v>20037</v>
      </c>
      <c r="P5479" t="s">
        <v>20460</v>
      </c>
      <c r="Q5479" t="s">
        <v>20738</v>
      </c>
      <c r="R5479" t="s">
        <v>417</v>
      </c>
      <c r="S5479">
        <v>1483</v>
      </c>
    </row>
    <row r="5480" spans="1:19">
      <c r="A5480" t="s">
        <v>27</v>
      </c>
      <c r="B5480" t="s">
        <v>148</v>
      </c>
      <c r="C5480" t="s">
        <v>159</v>
      </c>
      <c r="D5480" t="s">
        <v>288</v>
      </c>
      <c r="E5480" t="s">
        <v>417</v>
      </c>
      <c r="F5480">
        <f>HYPERLINK("https://www.wikidata.org/wiki/Q33755832", "Q33755832")</f>
        <v>0</v>
      </c>
      <c r="G5480" t="s">
        <v>692</v>
      </c>
      <c r="H5480" t="s">
        <v>5450</v>
      </c>
      <c r="I5480" t="s">
        <v>9385</v>
      </c>
      <c r="J5480" t="s">
        <v>11442</v>
      </c>
      <c r="K5480" t="s">
        <v>15843</v>
      </c>
      <c r="L5480">
        <f>HYPERLINK("https://www2.assemblee-nationale.fr/sycomore/fiche/(num_dept)/4047", "4047")</f>
        <v>0</v>
      </c>
      <c r="M5480">
        <f>HYPERLINK("https://www.senat.fr/senateur-3eme-republique/jonnart_celestin0975r3.html", "jonnart_celestin0975r3")</f>
        <v>0</v>
      </c>
      <c r="N5480">
        <f>HYPERLINK("https://www.wikidata.org/wiki/Q212634", "Q212634")</f>
        <v>0</v>
      </c>
      <c r="O5480" t="s">
        <v>19968</v>
      </c>
      <c r="Q5480" t="s">
        <v>20738</v>
      </c>
      <c r="R5480" t="s">
        <v>417</v>
      </c>
      <c r="S5480">
        <v>1483</v>
      </c>
    </row>
    <row r="5481" spans="1:19">
      <c r="A5481" t="s">
        <v>27</v>
      </c>
      <c r="B5481" t="s">
        <v>148</v>
      </c>
      <c r="C5481" t="s">
        <v>159</v>
      </c>
      <c r="D5481" t="s">
        <v>288</v>
      </c>
      <c r="E5481" t="s">
        <v>417</v>
      </c>
      <c r="F5481">
        <f>HYPERLINK("https://www.wikidata.org/wiki/Q33755832", "Q33755832")</f>
        <v>0</v>
      </c>
      <c r="G5481" t="s">
        <v>3465</v>
      </c>
      <c r="H5481" t="s">
        <v>7838</v>
      </c>
      <c r="I5481" t="s">
        <v>9506</v>
      </c>
      <c r="J5481" t="s">
        <v>14066</v>
      </c>
      <c r="K5481" t="s">
        <v>18434</v>
      </c>
      <c r="L5481">
        <f>HYPERLINK("https://www2.assemblee-nationale.fr/sycomore/fiche/(num_dept)/4062", "4062")</f>
        <v>0</v>
      </c>
      <c r="M5481">
        <f>HYPERLINK("https://www.senat.fr/senateur-3eme-republique/jouffray_camille1192r3.html", "jouffray_camille1192r3")</f>
        <v>0</v>
      </c>
      <c r="N5481">
        <f>HYPERLINK("https://www.wikidata.org/wiki/Q2934968", "Q2934968")</f>
        <v>0</v>
      </c>
      <c r="O5481" t="s">
        <v>20006</v>
      </c>
      <c r="Q5481" t="s">
        <v>20738</v>
      </c>
      <c r="R5481" t="s">
        <v>417</v>
      </c>
      <c r="S5481">
        <v>1483</v>
      </c>
    </row>
    <row r="5482" spans="1:19">
      <c r="A5482" t="s">
        <v>27</v>
      </c>
      <c r="B5482" t="s">
        <v>148</v>
      </c>
      <c r="C5482" t="s">
        <v>159</v>
      </c>
      <c r="D5482" t="s">
        <v>288</v>
      </c>
      <c r="E5482" t="s">
        <v>417</v>
      </c>
      <c r="F5482">
        <f>HYPERLINK("https://www.wikidata.org/wiki/Q33755832", "Q33755832")</f>
        <v>0</v>
      </c>
      <c r="G5482" t="s">
        <v>3466</v>
      </c>
      <c r="H5482" t="s">
        <v>7839</v>
      </c>
      <c r="I5482" t="s">
        <v>10837</v>
      </c>
      <c r="J5482" t="s">
        <v>14067</v>
      </c>
      <c r="K5482" t="s">
        <v>18435</v>
      </c>
      <c r="L5482">
        <f>HYPERLINK("https://www2.assemblee-nationale.fr/sycomore/fiche/(num_dept)/4064", "4064")</f>
        <v>0</v>
      </c>
      <c r="N5482">
        <f>HYPERLINK("https://www.wikidata.org/wiki/Q8308543", "Q8308543")</f>
        <v>0</v>
      </c>
      <c r="O5482" t="s">
        <v>19973</v>
      </c>
      <c r="Q5482" t="s">
        <v>20738</v>
      </c>
      <c r="R5482" t="s">
        <v>417</v>
      </c>
      <c r="S5482">
        <v>1483</v>
      </c>
    </row>
    <row r="5483" spans="1:19">
      <c r="A5483" t="s">
        <v>27</v>
      </c>
      <c r="B5483" t="s">
        <v>148</v>
      </c>
      <c r="C5483" t="s">
        <v>159</v>
      </c>
      <c r="D5483" t="s">
        <v>288</v>
      </c>
      <c r="E5483" t="s">
        <v>417</v>
      </c>
      <c r="F5483">
        <f>HYPERLINK("https://www.wikidata.org/wiki/Q33755832", "Q33755832")</f>
        <v>0</v>
      </c>
      <c r="G5483" t="s">
        <v>3351</v>
      </c>
      <c r="H5483" t="s">
        <v>7751</v>
      </c>
      <c r="I5483" t="s">
        <v>6495</v>
      </c>
      <c r="J5483" t="s">
        <v>13963</v>
      </c>
      <c r="K5483" t="s">
        <v>18333</v>
      </c>
      <c r="L5483">
        <f>HYPERLINK("https://www2.assemblee-nationale.fr/sycomore/fiche/(num_dept)/4072", "4072")</f>
        <v>0</v>
      </c>
      <c r="N5483">
        <f>HYPERLINK("https://www.wikidata.org/wiki/Q3262379", "Q3262379")</f>
        <v>0</v>
      </c>
      <c r="O5483" t="s">
        <v>20004</v>
      </c>
      <c r="Q5483" t="s">
        <v>20738</v>
      </c>
      <c r="R5483" t="s">
        <v>417</v>
      </c>
      <c r="S5483">
        <v>1483</v>
      </c>
    </row>
    <row r="5484" spans="1:19">
      <c r="A5484" t="s">
        <v>27</v>
      </c>
      <c r="B5484" t="s">
        <v>148</v>
      </c>
      <c r="C5484" t="s">
        <v>159</v>
      </c>
      <c r="D5484" t="s">
        <v>288</v>
      </c>
      <c r="E5484" t="s">
        <v>417</v>
      </c>
      <c r="F5484">
        <f>HYPERLINK("https://www.wikidata.org/wiki/Q33755832", "Q33755832")</f>
        <v>0</v>
      </c>
      <c r="G5484" t="s">
        <v>2603</v>
      </c>
      <c r="H5484" t="s">
        <v>7152</v>
      </c>
      <c r="I5484" t="s">
        <v>10306</v>
      </c>
      <c r="J5484" t="s">
        <v>13246</v>
      </c>
      <c r="K5484" t="s">
        <v>17649</v>
      </c>
      <c r="L5484">
        <f>HYPERLINK("https://www2.assemblee-nationale.fr/sycomore/fiche/(num_dept)/4091", "4091")</f>
        <v>0</v>
      </c>
      <c r="M5484">
        <f>HYPERLINK("https://www.senat.fr/senateur-3eme-republique/leclerc_de_juigne_charles1283r3.html", "leclerc_de_juigne_charles1283r3")</f>
        <v>0</v>
      </c>
      <c r="N5484">
        <f>HYPERLINK("https://www.wikidata.org/wiki/Q2960767", "Q2960767")</f>
        <v>0</v>
      </c>
      <c r="O5484" t="s">
        <v>20023</v>
      </c>
      <c r="P5484" t="s">
        <v>20460</v>
      </c>
      <c r="Q5484" t="s">
        <v>20738</v>
      </c>
      <c r="R5484" t="s">
        <v>417</v>
      </c>
      <c r="S5484">
        <v>1483</v>
      </c>
    </row>
    <row r="5485" spans="1:19">
      <c r="A5485" t="s">
        <v>27</v>
      </c>
      <c r="B5485" t="s">
        <v>148</v>
      </c>
      <c r="C5485" t="s">
        <v>159</v>
      </c>
      <c r="D5485" t="s">
        <v>288</v>
      </c>
      <c r="E5485" t="s">
        <v>417</v>
      </c>
      <c r="F5485">
        <f>HYPERLINK("https://www.wikidata.org/wiki/Q33755832", "Q33755832")</f>
        <v>0</v>
      </c>
      <c r="G5485" t="s">
        <v>2604</v>
      </c>
      <c r="H5485" t="s">
        <v>7153</v>
      </c>
      <c r="I5485" t="s">
        <v>10307</v>
      </c>
      <c r="J5485" t="s">
        <v>13247</v>
      </c>
      <c r="K5485" t="s">
        <v>16045</v>
      </c>
      <c r="L5485">
        <f>HYPERLINK("https://www2.assemblee-nationale.fr/sycomore/fiche/(num_dept)/4099", "4099")</f>
        <v>0</v>
      </c>
      <c r="N5485">
        <f>HYPERLINK("https://www.wikidata.org/wiki/Q16025887", "Q16025887")</f>
        <v>0</v>
      </c>
      <c r="O5485" t="s">
        <v>20039</v>
      </c>
      <c r="P5485" t="s">
        <v>20401</v>
      </c>
      <c r="Q5485" t="s">
        <v>20738</v>
      </c>
      <c r="R5485" t="s">
        <v>417</v>
      </c>
      <c r="S5485">
        <v>1483</v>
      </c>
    </row>
    <row r="5486" spans="1:19">
      <c r="A5486" t="s">
        <v>27</v>
      </c>
      <c r="B5486" t="s">
        <v>148</v>
      </c>
      <c r="C5486" t="s">
        <v>159</v>
      </c>
      <c r="D5486" t="s">
        <v>288</v>
      </c>
      <c r="E5486" t="s">
        <v>417</v>
      </c>
      <c r="F5486">
        <f>HYPERLINK("https://www.wikidata.org/wiki/Q33755832", "Q33755832")</f>
        <v>0</v>
      </c>
      <c r="G5486" t="s">
        <v>3352</v>
      </c>
      <c r="H5486" t="s">
        <v>7752</v>
      </c>
      <c r="I5486" t="s">
        <v>10787</v>
      </c>
      <c r="J5486" t="s">
        <v>13964</v>
      </c>
      <c r="K5486" t="s">
        <v>18334</v>
      </c>
      <c r="L5486">
        <f>HYPERLINK("https://www2.assemblee-nationale.fr/sycomore/fiche/(num_dept)/4101", "4101")</f>
        <v>0</v>
      </c>
      <c r="N5486">
        <f>HYPERLINK("https://www.wikidata.org/wiki/Q16025888", "Q16025888")</f>
        <v>0</v>
      </c>
      <c r="O5486" t="s">
        <v>19995</v>
      </c>
      <c r="Q5486" t="s">
        <v>20738</v>
      </c>
      <c r="R5486" t="s">
        <v>417</v>
      </c>
      <c r="S5486">
        <v>1483</v>
      </c>
    </row>
    <row r="5487" spans="1:19">
      <c r="A5487" t="s">
        <v>27</v>
      </c>
      <c r="B5487" t="s">
        <v>148</v>
      </c>
      <c r="C5487" t="s">
        <v>159</v>
      </c>
      <c r="D5487" t="s">
        <v>288</v>
      </c>
      <c r="E5487" t="s">
        <v>417</v>
      </c>
      <c r="F5487">
        <f>HYPERLINK("https://www.wikidata.org/wiki/Q33755832", "Q33755832")</f>
        <v>0</v>
      </c>
      <c r="G5487" t="s">
        <v>3135</v>
      </c>
      <c r="H5487" t="s">
        <v>7576</v>
      </c>
      <c r="I5487" t="s">
        <v>9603</v>
      </c>
      <c r="J5487" t="s">
        <v>13757</v>
      </c>
      <c r="K5487" t="s">
        <v>18134</v>
      </c>
      <c r="L5487">
        <f>HYPERLINK("https://www2.assemblee-nationale.fr/sycomore/fiche/(num_dept)/4125", "4125")</f>
        <v>0</v>
      </c>
      <c r="N5487">
        <f>HYPERLINK("https://www.wikidata.org/wiki/Q2959750", "Q2959750")</f>
        <v>0</v>
      </c>
      <c r="O5487" t="s">
        <v>19964</v>
      </c>
      <c r="Q5487" t="s">
        <v>20738</v>
      </c>
      <c r="R5487" t="s">
        <v>417</v>
      </c>
      <c r="S5487">
        <v>1483</v>
      </c>
    </row>
    <row r="5488" spans="1:19">
      <c r="A5488" t="s">
        <v>27</v>
      </c>
      <c r="B5488" t="s">
        <v>148</v>
      </c>
      <c r="C5488" t="s">
        <v>159</v>
      </c>
      <c r="D5488" t="s">
        <v>288</v>
      </c>
      <c r="E5488" t="s">
        <v>417</v>
      </c>
      <c r="F5488">
        <f>HYPERLINK("https://www.wikidata.org/wiki/Q33755832", "Q33755832")</f>
        <v>0</v>
      </c>
      <c r="G5488" t="s">
        <v>2959</v>
      </c>
      <c r="H5488" t="s">
        <v>7430</v>
      </c>
      <c r="I5488" t="s">
        <v>10545</v>
      </c>
      <c r="J5488" t="s">
        <v>13591</v>
      </c>
      <c r="K5488" t="s">
        <v>17977</v>
      </c>
      <c r="L5488">
        <f>HYPERLINK("https://www2.assemblee-nationale.fr/sycomore/fiche/(num_dept)/4126", "4126")</f>
        <v>0</v>
      </c>
      <c r="N5488">
        <f>HYPERLINK("https://www.wikidata.org/wiki/Q8326442", "Q8326442")</f>
        <v>0</v>
      </c>
      <c r="O5488" t="s">
        <v>19993</v>
      </c>
      <c r="P5488" t="s">
        <v>20460</v>
      </c>
      <c r="Q5488" t="s">
        <v>20738</v>
      </c>
      <c r="R5488" t="s">
        <v>417</v>
      </c>
      <c r="S5488">
        <v>1483</v>
      </c>
    </row>
    <row r="5489" spans="1:19">
      <c r="A5489" t="s">
        <v>27</v>
      </c>
      <c r="B5489" t="s">
        <v>148</v>
      </c>
      <c r="C5489" t="s">
        <v>159</v>
      </c>
      <c r="D5489" t="s">
        <v>288</v>
      </c>
      <c r="E5489" t="s">
        <v>417</v>
      </c>
      <c r="F5489">
        <f>HYPERLINK("https://www.wikidata.org/wiki/Q33755832", "Q33755832")</f>
        <v>0</v>
      </c>
      <c r="G5489" t="s">
        <v>3467</v>
      </c>
      <c r="H5489" t="s">
        <v>7840</v>
      </c>
      <c r="I5489" t="s">
        <v>10838</v>
      </c>
      <c r="J5489" t="s">
        <v>14068</v>
      </c>
      <c r="K5489" t="s">
        <v>18436</v>
      </c>
      <c r="L5489">
        <f>HYPERLINK("https://www2.assemblee-nationale.fr/sycomore/fiche/(num_dept)/4130", "4130")</f>
        <v>0</v>
      </c>
      <c r="N5489">
        <f>HYPERLINK("https://www.wikidata.org/wiki/Q3161253", "Q3161253")</f>
        <v>0</v>
      </c>
      <c r="O5489" t="s">
        <v>20011</v>
      </c>
      <c r="Q5489" t="s">
        <v>20738</v>
      </c>
      <c r="R5489" t="s">
        <v>417</v>
      </c>
      <c r="S5489">
        <v>1483</v>
      </c>
    </row>
    <row r="5490" spans="1:19">
      <c r="A5490" t="s">
        <v>27</v>
      </c>
      <c r="B5490" t="s">
        <v>148</v>
      </c>
      <c r="C5490" t="s">
        <v>159</v>
      </c>
      <c r="D5490" t="s">
        <v>288</v>
      </c>
      <c r="E5490" t="s">
        <v>417</v>
      </c>
      <c r="F5490">
        <f>HYPERLINK("https://www.wikidata.org/wiki/Q33755832", "Q33755832")</f>
        <v>0</v>
      </c>
      <c r="G5490" t="s">
        <v>2605</v>
      </c>
      <c r="H5490" t="s">
        <v>7154</v>
      </c>
      <c r="I5490" t="s">
        <v>10308</v>
      </c>
      <c r="J5490" t="s">
        <v>13248</v>
      </c>
      <c r="K5490" t="s">
        <v>17650</v>
      </c>
      <c r="L5490">
        <f>HYPERLINK("https://www2.assemblee-nationale.fr/sycomore/fiche/(num_dept)/4131", "4131")</f>
        <v>0</v>
      </c>
      <c r="N5490">
        <f>HYPERLINK("https://www.wikidata.org/wiki/Q3588415", "Q3588415")</f>
        <v>0</v>
      </c>
      <c r="O5490" t="s">
        <v>20011</v>
      </c>
      <c r="P5490" t="s">
        <v>20460</v>
      </c>
      <c r="Q5490" t="s">
        <v>20738</v>
      </c>
      <c r="R5490" t="s">
        <v>417</v>
      </c>
      <c r="S5490">
        <v>1483</v>
      </c>
    </row>
    <row r="5491" spans="1:19">
      <c r="A5491" t="s">
        <v>27</v>
      </c>
      <c r="B5491" t="s">
        <v>148</v>
      </c>
      <c r="C5491" t="s">
        <v>159</v>
      </c>
      <c r="D5491" t="s">
        <v>288</v>
      </c>
      <c r="E5491" t="s">
        <v>417</v>
      </c>
      <c r="F5491">
        <f>HYPERLINK("https://www.wikidata.org/wiki/Q33755832", "Q33755832")</f>
        <v>0</v>
      </c>
      <c r="G5491" t="s">
        <v>3137</v>
      </c>
      <c r="H5491" t="s">
        <v>6856</v>
      </c>
      <c r="I5491" t="s">
        <v>10653</v>
      </c>
      <c r="J5491" t="s">
        <v>13759</v>
      </c>
      <c r="K5491" t="s">
        <v>18136</v>
      </c>
      <c r="L5491">
        <f>HYPERLINK("https://www2.assemblee-nationale.fr/sycomore/fiche/(num_dept)/4165", "4165")</f>
        <v>0</v>
      </c>
      <c r="N5491">
        <f>HYPERLINK("https://www.wikidata.org/wiki/Q3436746", "Q3436746")</f>
        <v>0</v>
      </c>
      <c r="O5491" t="s">
        <v>19989</v>
      </c>
      <c r="Q5491" t="s">
        <v>20738</v>
      </c>
      <c r="R5491" t="s">
        <v>417</v>
      </c>
      <c r="S5491">
        <v>1483</v>
      </c>
    </row>
    <row r="5492" spans="1:19">
      <c r="A5492" t="s">
        <v>27</v>
      </c>
      <c r="B5492" t="s">
        <v>148</v>
      </c>
      <c r="C5492" t="s">
        <v>159</v>
      </c>
      <c r="D5492" t="s">
        <v>288</v>
      </c>
      <c r="E5492" t="s">
        <v>417</v>
      </c>
      <c r="F5492">
        <f>HYPERLINK("https://www.wikidata.org/wiki/Q33755832", "Q33755832")</f>
        <v>0</v>
      </c>
      <c r="G5492" t="s">
        <v>3343</v>
      </c>
      <c r="H5492" t="s">
        <v>7410</v>
      </c>
      <c r="I5492" t="s">
        <v>10779</v>
      </c>
      <c r="J5492" t="s">
        <v>13956</v>
      </c>
      <c r="K5492" t="s">
        <v>18325</v>
      </c>
      <c r="L5492">
        <f>HYPERLINK("https://www2.assemblee-nationale.fr/sycomore/fiche/(num_dept)/4170", "4170")</f>
        <v>0</v>
      </c>
      <c r="N5492">
        <f>HYPERLINK("https://www.wikidata.org/wiki/Q3262750", "Q3262750")</f>
        <v>0</v>
      </c>
      <c r="O5492" t="s">
        <v>19972</v>
      </c>
      <c r="P5492" t="s">
        <v>20460</v>
      </c>
      <c r="Q5492" t="s">
        <v>20738</v>
      </c>
      <c r="R5492" t="s">
        <v>417</v>
      </c>
      <c r="S5492">
        <v>1483</v>
      </c>
    </row>
    <row r="5493" spans="1:19">
      <c r="A5493" t="s">
        <v>27</v>
      </c>
      <c r="B5493" t="s">
        <v>148</v>
      </c>
      <c r="C5493" t="s">
        <v>159</v>
      </c>
      <c r="D5493" t="s">
        <v>288</v>
      </c>
      <c r="E5493" t="s">
        <v>417</v>
      </c>
      <c r="F5493">
        <f>HYPERLINK("https://www.wikidata.org/wiki/Q33755832", "Q33755832")</f>
        <v>0</v>
      </c>
      <c r="G5493" t="s">
        <v>699</v>
      </c>
      <c r="H5493" t="s">
        <v>5457</v>
      </c>
      <c r="I5493" t="s">
        <v>9376</v>
      </c>
      <c r="J5493" t="s">
        <v>11449</v>
      </c>
      <c r="K5493" t="s">
        <v>15850</v>
      </c>
      <c r="L5493">
        <f>HYPERLINK("https://www2.assemblee-nationale.fr/sycomore/fiche/(num_dept)/4171", "4171")</f>
        <v>0</v>
      </c>
      <c r="M5493">
        <f>HYPERLINK("https://www.senat.fr/senateur-3eme-republique/de_la_batut_ferdinand0668r3.html", "de_la_batut_ferdinand0668r3")</f>
        <v>0</v>
      </c>
      <c r="N5493">
        <f>HYPERLINK("https://www.wikidata.org/wiki/Q3068680", "Q3068680")</f>
        <v>0</v>
      </c>
      <c r="O5493" t="s">
        <v>20010</v>
      </c>
      <c r="Q5493" t="s">
        <v>20738</v>
      </c>
      <c r="R5493" t="s">
        <v>417</v>
      </c>
      <c r="S5493">
        <v>1483</v>
      </c>
    </row>
    <row r="5494" spans="1:19">
      <c r="A5494" t="s">
        <v>27</v>
      </c>
      <c r="B5494" t="s">
        <v>148</v>
      </c>
      <c r="C5494" t="s">
        <v>159</v>
      </c>
      <c r="D5494" t="s">
        <v>288</v>
      </c>
      <c r="E5494" t="s">
        <v>417</v>
      </c>
      <c r="F5494">
        <f>HYPERLINK("https://www.wikidata.org/wiki/Q33755832", "Q33755832")</f>
        <v>0</v>
      </c>
      <c r="G5494" t="s">
        <v>3071</v>
      </c>
      <c r="H5494" t="s">
        <v>7522</v>
      </c>
      <c r="I5494" t="s">
        <v>9500</v>
      </c>
      <c r="J5494" t="s">
        <v>13695</v>
      </c>
      <c r="K5494" t="s">
        <v>18078</v>
      </c>
      <c r="L5494">
        <f>HYPERLINK("https://www2.assemblee-nationale.fr/sycomore/fiche/(num_dept)/4172", "4172")</f>
        <v>0</v>
      </c>
      <c r="M5494">
        <f>HYPERLINK("https://www.senat.fr/senateur-3eme-republique/de_la_bourdonnaye_raoul1062r3.html", "de_la_bourdonnaye_raoul1062r3")</f>
        <v>0</v>
      </c>
      <c r="N5494">
        <f>HYPERLINK("https://www.wikidata.org/wiki/Q3292518", "Q3292518")</f>
        <v>0</v>
      </c>
      <c r="O5494" t="s">
        <v>19980</v>
      </c>
      <c r="Q5494" t="s">
        <v>20738</v>
      </c>
      <c r="R5494" t="s">
        <v>417</v>
      </c>
      <c r="S5494">
        <v>1483</v>
      </c>
    </row>
    <row r="5495" spans="1:19">
      <c r="A5495" t="s">
        <v>27</v>
      </c>
      <c r="B5495" t="s">
        <v>148</v>
      </c>
      <c r="C5495" t="s">
        <v>159</v>
      </c>
      <c r="D5495" t="s">
        <v>288</v>
      </c>
      <c r="E5495" t="s">
        <v>417</v>
      </c>
      <c r="F5495">
        <f>HYPERLINK("https://www.wikidata.org/wiki/Q33755832", "Q33755832")</f>
        <v>0</v>
      </c>
      <c r="G5495" t="s">
        <v>3138</v>
      </c>
      <c r="H5495" t="s">
        <v>5458</v>
      </c>
      <c r="I5495" t="s">
        <v>10654</v>
      </c>
      <c r="J5495" t="s">
        <v>13760</v>
      </c>
      <c r="K5495" t="s">
        <v>18137</v>
      </c>
      <c r="L5495">
        <f>HYPERLINK("https://www2.assemblee-nationale.fr/sycomore/fiche/(num_dept)/4178", "4178")</f>
        <v>0</v>
      </c>
      <c r="N5495">
        <f>HYPERLINK("https://www.wikidata.org/wiki/Q3131569", "Q3131569")</f>
        <v>0</v>
      </c>
      <c r="O5495" t="s">
        <v>20023</v>
      </c>
      <c r="Q5495" t="s">
        <v>20738</v>
      </c>
      <c r="R5495" t="s">
        <v>417</v>
      </c>
      <c r="S5495">
        <v>1483</v>
      </c>
    </row>
    <row r="5496" spans="1:19">
      <c r="A5496" t="s">
        <v>27</v>
      </c>
      <c r="B5496" t="s">
        <v>148</v>
      </c>
      <c r="C5496" t="s">
        <v>159</v>
      </c>
      <c r="D5496" t="s">
        <v>288</v>
      </c>
      <c r="E5496" t="s">
        <v>417</v>
      </c>
      <c r="F5496">
        <f>HYPERLINK("https://www.wikidata.org/wiki/Q33755832", "Q33755832")</f>
        <v>0</v>
      </c>
      <c r="G5496" t="s">
        <v>3139</v>
      </c>
      <c r="H5496" t="s">
        <v>7578</v>
      </c>
      <c r="I5496" t="s">
        <v>10655</v>
      </c>
      <c r="J5496" t="s">
        <v>13761</v>
      </c>
      <c r="K5496" t="s">
        <v>18138</v>
      </c>
      <c r="L5496">
        <f>HYPERLINK("https://www2.assemblee-nationale.fr/sycomore/fiche/(num_dept)/4179", "4179")</f>
        <v>0</v>
      </c>
      <c r="N5496">
        <f>HYPERLINK("https://www.wikidata.org/wiki/Q3580045", "Q3580045")</f>
        <v>0</v>
      </c>
      <c r="O5496" t="s">
        <v>19985</v>
      </c>
      <c r="Q5496" t="s">
        <v>20738</v>
      </c>
      <c r="R5496" t="s">
        <v>417</v>
      </c>
      <c r="S5496">
        <v>1483</v>
      </c>
    </row>
    <row r="5497" spans="1:19">
      <c r="A5497" t="s">
        <v>27</v>
      </c>
      <c r="B5497" t="s">
        <v>148</v>
      </c>
      <c r="C5497" t="s">
        <v>159</v>
      </c>
      <c r="D5497" t="s">
        <v>288</v>
      </c>
      <c r="E5497" t="s">
        <v>417</v>
      </c>
      <c r="F5497">
        <f>HYPERLINK("https://www.wikidata.org/wiki/Q33755832", "Q33755832")</f>
        <v>0</v>
      </c>
      <c r="G5497" t="s">
        <v>3393</v>
      </c>
      <c r="H5497" t="s">
        <v>7782</v>
      </c>
      <c r="I5497" t="s">
        <v>10805</v>
      </c>
      <c r="J5497" t="s">
        <v>14002</v>
      </c>
      <c r="K5497" t="s">
        <v>18371</v>
      </c>
      <c r="L5497">
        <f>HYPERLINK("https://www2.assemblee-nationale.fr/sycomore/fiche/(num_dept)/4182", "4182")</f>
        <v>0</v>
      </c>
      <c r="N5497">
        <f>HYPERLINK("https://www.wikidata.org/wiki/Q2960604", "Q2960604")</f>
        <v>0</v>
      </c>
      <c r="O5497" t="s">
        <v>19964</v>
      </c>
      <c r="P5497" t="s">
        <v>20460</v>
      </c>
      <c r="Q5497" t="s">
        <v>20738</v>
      </c>
      <c r="R5497" t="s">
        <v>417</v>
      </c>
      <c r="S5497">
        <v>1483</v>
      </c>
    </row>
    <row r="5498" spans="1:19">
      <c r="A5498" t="s">
        <v>27</v>
      </c>
      <c r="B5498" t="s">
        <v>148</v>
      </c>
      <c r="C5498" t="s">
        <v>159</v>
      </c>
      <c r="D5498" t="s">
        <v>288</v>
      </c>
      <c r="E5498" t="s">
        <v>417</v>
      </c>
      <c r="F5498">
        <f>HYPERLINK("https://www.wikidata.org/wiki/Q33755832", "Q33755832")</f>
        <v>0</v>
      </c>
      <c r="G5498" t="s">
        <v>2607</v>
      </c>
      <c r="H5498" t="s">
        <v>7156</v>
      </c>
      <c r="I5498" t="s">
        <v>10309</v>
      </c>
      <c r="J5498" t="s">
        <v>13250</v>
      </c>
      <c r="K5498" t="s">
        <v>17652</v>
      </c>
      <c r="L5498">
        <f>HYPERLINK("https://www2.assemblee-nationale.fr/sycomore/fiche/(num_dept)/4186", "4186")</f>
        <v>0</v>
      </c>
      <c r="N5498">
        <f>HYPERLINK("https://www.wikidata.org/wiki/Q3491366", "Q3491366")</f>
        <v>0</v>
      </c>
      <c r="O5498" t="s">
        <v>19956</v>
      </c>
      <c r="P5498" t="s">
        <v>20460</v>
      </c>
      <c r="Q5498" t="s">
        <v>20738</v>
      </c>
      <c r="R5498" t="s">
        <v>417</v>
      </c>
      <c r="S5498">
        <v>1483</v>
      </c>
    </row>
    <row r="5499" spans="1:19">
      <c r="A5499" t="s">
        <v>27</v>
      </c>
      <c r="B5499" t="s">
        <v>148</v>
      </c>
      <c r="C5499" t="s">
        <v>159</v>
      </c>
      <c r="D5499" t="s">
        <v>288</v>
      </c>
      <c r="E5499" t="s">
        <v>417</v>
      </c>
      <c r="F5499">
        <f>HYPERLINK("https://www.wikidata.org/wiki/Q33755832", "Q33755832")</f>
        <v>0</v>
      </c>
      <c r="G5499" t="s">
        <v>2608</v>
      </c>
      <c r="H5499" t="s">
        <v>7157</v>
      </c>
      <c r="I5499" t="s">
        <v>10310</v>
      </c>
      <c r="J5499" t="s">
        <v>13251</v>
      </c>
      <c r="K5499" t="s">
        <v>17653</v>
      </c>
      <c r="L5499">
        <f>HYPERLINK("https://www2.assemblee-nationale.fr/sycomore/fiche/(num_dept)/4187", "4187")</f>
        <v>0</v>
      </c>
      <c r="N5499">
        <f>HYPERLINK("https://www.wikidata.org/wiki/Q6075430", "Q6075430")</f>
        <v>0</v>
      </c>
      <c r="O5499" t="s">
        <v>20021</v>
      </c>
      <c r="P5499" t="s">
        <v>20460</v>
      </c>
      <c r="Q5499" t="s">
        <v>20738</v>
      </c>
      <c r="R5499" t="s">
        <v>417</v>
      </c>
      <c r="S5499">
        <v>1483</v>
      </c>
    </row>
    <row r="5500" spans="1:19">
      <c r="A5500" t="s">
        <v>27</v>
      </c>
      <c r="B5500" t="s">
        <v>148</v>
      </c>
      <c r="C5500" t="s">
        <v>159</v>
      </c>
      <c r="D5500" t="s">
        <v>288</v>
      </c>
      <c r="E5500" t="s">
        <v>417</v>
      </c>
      <c r="F5500">
        <f>HYPERLINK("https://www.wikidata.org/wiki/Q33755832", "Q33755832")</f>
        <v>0</v>
      </c>
      <c r="G5500" t="s">
        <v>2609</v>
      </c>
      <c r="H5500" t="s">
        <v>7158</v>
      </c>
      <c r="I5500" t="s">
        <v>10311</v>
      </c>
      <c r="J5500" t="s">
        <v>13252</v>
      </c>
      <c r="K5500" t="s">
        <v>17654</v>
      </c>
      <c r="L5500">
        <f>HYPERLINK("https://www2.assemblee-nationale.fr/sycomore/fiche/(num_dept)/4195", "4195")</f>
        <v>0</v>
      </c>
      <c r="N5500">
        <f>HYPERLINK("https://www.wikidata.org/wiki/Q15264150", "Q15264150")</f>
        <v>0</v>
      </c>
      <c r="O5500" t="s">
        <v>19970</v>
      </c>
      <c r="P5500" t="s">
        <v>20468</v>
      </c>
      <c r="Q5500" t="s">
        <v>20738</v>
      </c>
      <c r="R5500" t="s">
        <v>417</v>
      </c>
      <c r="S5500">
        <v>1483</v>
      </c>
    </row>
    <row r="5501" spans="1:19">
      <c r="A5501" t="s">
        <v>27</v>
      </c>
      <c r="B5501" t="s">
        <v>148</v>
      </c>
      <c r="C5501" t="s">
        <v>159</v>
      </c>
      <c r="D5501" t="s">
        <v>288</v>
      </c>
      <c r="E5501" t="s">
        <v>417</v>
      </c>
      <c r="F5501">
        <f>HYPERLINK("https://www.wikidata.org/wiki/Q33755832", "Q33755832")</f>
        <v>0</v>
      </c>
      <c r="G5501" t="s">
        <v>3067</v>
      </c>
      <c r="H5501" t="s">
        <v>7519</v>
      </c>
      <c r="I5501" t="s">
        <v>10607</v>
      </c>
      <c r="J5501" t="s">
        <v>13691</v>
      </c>
      <c r="K5501" t="s">
        <v>18074</v>
      </c>
      <c r="L5501">
        <f>HYPERLINK("https://www2.assemblee-nationale.fr/sycomore/fiche/(num_dept)/4209", "4209")</f>
        <v>0</v>
      </c>
      <c r="M5501">
        <f>HYPERLINK("https://www.senat.fr/senateur-3eme-republique/labrousse_philippe0456r3.html", "labrousse_philippe0456r3")</f>
        <v>0</v>
      </c>
      <c r="N5501">
        <f>HYPERLINK("https://www.wikidata.org/wiki/Q3380114", "Q3380114")</f>
        <v>0</v>
      </c>
      <c r="O5501" t="s">
        <v>20020</v>
      </c>
      <c r="P5501" t="s">
        <v>20401</v>
      </c>
      <c r="Q5501" t="s">
        <v>20738</v>
      </c>
      <c r="R5501" t="s">
        <v>417</v>
      </c>
      <c r="S5501">
        <v>1483</v>
      </c>
    </row>
    <row r="5502" spans="1:19">
      <c r="A5502" t="s">
        <v>27</v>
      </c>
      <c r="B5502" t="s">
        <v>148</v>
      </c>
      <c r="C5502" t="s">
        <v>159</v>
      </c>
      <c r="D5502" t="s">
        <v>288</v>
      </c>
      <c r="E5502" t="s">
        <v>417</v>
      </c>
      <c r="F5502">
        <f>HYPERLINK("https://www.wikidata.org/wiki/Q33755832", "Q33755832")</f>
        <v>0</v>
      </c>
      <c r="G5502" t="s">
        <v>3468</v>
      </c>
      <c r="H5502" t="s">
        <v>7841</v>
      </c>
      <c r="I5502" t="s">
        <v>6584</v>
      </c>
      <c r="J5502" t="s">
        <v>14069</v>
      </c>
      <c r="K5502" t="s">
        <v>18437</v>
      </c>
      <c r="L5502">
        <f>HYPERLINK("https://www2.assemblee-nationale.fr/sycomore/fiche/(num_dept)/4222", "4222")</f>
        <v>0</v>
      </c>
      <c r="N5502">
        <f>HYPERLINK("https://www.wikidata.org/wiki/Q2831302", "Q2831302")</f>
        <v>0</v>
      </c>
      <c r="O5502" t="s">
        <v>19974</v>
      </c>
      <c r="P5502" t="s">
        <v>20479</v>
      </c>
      <c r="Q5502" t="s">
        <v>20738</v>
      </c>
      <c r="R5502" t="s">
        <v>417</v>
      </c>
      <c r="S5502">
        <v>1483</v>
      </c>
    </row>
    <row r="5503" spans="1:19">
      <c r="A5503" t="s">
        <v>27</v>
      </c>
      <c r="B5503" t="s">
        <v>148</v>
      </c>
      <c r="C5503" t="s">
        <v>159</v>
      </c>
      <c r="D5503" t="s">
        <v>288</v>
      </c>
      <c r="E5503" t="s">
        <v>417</v>
      </c>
      <c r="F5503">
        <f>HYPERLINK("https://www.wikidata.org/wiki/Q33755832", "Q33755832")</f>
        <v>0</v>
      </c>
      <c r="G5503" t="s">
        <v>2611</v>
      </c>
      <c r="H5503" t="s">
        <v>7160</v>
      </c>
      <c r="I5503" t="s">
        <v>10312</v>
      </c>
      <c r="J5503" t="s">
        <v>13254</v>
      </c>
      <c r="K5503" t="s">
        <v>17656</v>
      </c>
      <c r="L5503">
        <f>HYPERLINK("https://www2.assemblee-nationale.fr/sycomore/fiche/(num_dept)/4236", "4236")</f>
        <v>0</v>
      </c>
      <c r="N5503">
        <f>HYPERLINK("https://www.wikidata.org/wiki/Q3383114", "Q3383114")</f>
        <v>0</v>
      </c>
      <c r="O5503" t="s">
        <v>19994</v>
      </c>
      <c r="P5503" t="s">
        <v>20401</v>
      </c>
      <c r="Q5503" t="s">
        <v>20738</v>
      </c>
      <c r="R5503" t="s">
        <v>417</v>
      </c>
      <c r="S5503">
        <v>1483</v>
      </c>
    </row>
    <row r="5504" spans="1:19">
      <c r="A5504" t="s">
        <v>27</v>
      </c>
      <c r="B5504" t="s">
        <v>148</v>
      </c>
      <c r="C5504" t="s">
        <v>159</v>
      </c>
      <c r="D5504" t="s">
        <v>288</v>
      </c>
      <c r="E5504" t="s">
        <v>417</v>
      </c>
      <c r="F5504">
        <f>HYPERLINK("https://www.wikidata.org/wiki/Q33755832", "Q33755832")</f>
        <v>0</v>
      </c>
      <c r="G5504" t="s">
        <v>3389</v>
      </c>
      <c r="H5504" t="s">
        <v>7505</v>
      </c>
      <c r="I5504" t="s">
        <v>9423</v>
      </c>
      <c r="J5504" t="s">
        <v>13150</v>
      </c>
      <c r="K5504" t="s">
        <v>18368</v>
      </c>
      <c r="L5504">
        <f>HYPERLINK("https://www2.assemblee-nationale.fr/sycomore/fiche/(num_dept)/4238", "4238")</f>
        <v>0</v>
      </c>
      <c r="N5504">
        <f>HYPERLINK("https://www.wikidata.org/wiki/Q3120001", "Q3120001")</f>
        <v>0</v>
      </c>
      <c r="O5504" t="s">
        <v>19958</v>
      </c>
      <c r="Q5504" t="s">
        <v>20738</v>
      </c>
      <c r="R5504" t="s">
        <v>417</v>
      </c>
      <c r="S5504">
        <v>1483</v>
      </c>
    </row>
    <row r="5505" spans="1:19">
      <c r="A5505" t="s">
        <v>27</v>
      </c>
      <c r="B5505" t="s">
        <v>148</v>
      </c>
      <c r="C5505" t="s">
        <v>159</v>
      </c>
      <c r="D5505" t="s">
        <v>288</v>
      </c>
      <c r="E5505" t="s">
        <v>417</v>
      </c>
      <c r="F5505">
        <f>HYPERLINK("https://www.wikidata.org/wiki/Q33755832", "Q33755832")</f>
        <v>0</v>
      </c>
      <c r="G5505" t="s">
        <v>2612</v>
      </c>
      <c r="H5505" t="s">
        <v>7161</v>
      </c>
      <c r="I5505" t="s">
        <v>10313</v>
      </c>
      <c r="J5505" t="s">
        <v>13255</v>
      </c>
      <c r="K5505" t="s">
        <v>17657</v>
      </c>
      <c r="L5505">
        <f>HYPERLINK("https://www2.assemblee-nationale.fr/sycomore/fiche/(num_dept)/4242", "4242")</f>
        <v>0</v>
      </c>
      <c r="N5505">
        <f>HYPERLINK("https://www.wikidata.org/wiki/Q16025916", "Q16025916")</f>
        <v>0</v>
      </c>
      <c r="O5505" t="s">
        <v>19959</v>
      </c>
      <c r="Q5505" t="s">
        <v>20738</v>
      </c>
      <c r="R5505" t="s">
        <v>417</v>
      </c>
      <c r="S5505">
        <v>1483</v>
      </c>
    </row>
    <row r="5506" spans="1:19">
      <c r="A5506" t="s">
        <v>27</v>
      </c>
      <c r="B5506" t="s">
        <v>148</v>
      </c>
      <c r="C5506" t="s">
        <v>159</v>
      </c>
      <c r="D5506" t="s">
        <v>288</v>
      </c>
      <c r="E5506" t="s">
        <v>417</v>
      </c>
      <c r="F5506">
        <f>HYPERLINK("https://www.wikidata.org/wiki/Q33755832", "Q33755832")</f>
        <v>0</v>
      </c>
      <c r="G5506" t="s">
        <v>2613</v>
      </c>
      <c r="H5506" t="s">
        <v>7162</v>
      </c>
      <c r="I5506" t="s">
        <v>10314</v>
      </c>
      <c r="J5506" t="s">
        <v>13256</v>
      </c>
      <c r="K5506" t="s">
        <v>17658</v>
      </c>
      <c r="L5506">
        <f>HYPERLINK("https://www2.assemblee-nationale.fr/sycomore/fiche/(num_dept)/4251", "4251")</f>
        <v>0</v>
      </c>
      <c r="N5506">
        <f>HYPERLINK("https://www.wikidata.org/wiki/Q16025919", "Q16025919")</f>
        <v>0</v>
      </c>
      <c r="O5506" t="s">
        <v>20043</v>
      </c>
      <c r="Q5506" t="s">
        <v>20738</v>
      </c>
      <c r="R5506" t="s">
        <v>417</v>
      </c>
      <c r="S5506">
        <v>1483</v>
      </c>
    </row>
    <row r="5507" spans="1:19">
      <c r="A5507" t="s">
        <v>27</v>
      </c>
      <c r="B5507" t="s">
        <v>148</v>
      </c>
      <c r="C5507" t="s">
        <v>159</v>
      </c>
      <c r="D5507" t="s">
        <v>288</v>
      </c>
      <c r="E5507" t="s">
        <v>417</v>
      </c>
      <c r="F5507">
        <f>HYPERLINK("https://www.wikidata.org/wiki/Q33755832", "Q33755832")</f>
        <v>0</v>
      </c>
      <c r="G5507" t="s">
        <v>3469</v>
      </c>
      <c r="H5507" t="s">
        <v>7842</v>
      </c>
      <c r="I5507" t="s">
        <v>9401</v>
      </c>
      <c r="J5507" t="s">
        <v>14070</v>
      </c>
      <c r="K5507" t="s">
        <v>18438</v>
      </c>
      <c r="L5507">
        <f>HYPERLINK("https://www2.assemblee-nationale.fr/sycomore/fiche/(num_dept)/4264", "4264")</f>
        <v>0</v>
      </c>
      <c r="N5507">
        <f>HYPERLINK("https://www.wikidata.org/wiki/Q586560", "Q586560")</f>
        <v>0</v>
      </c>
      <c r="O5507" t="s">
        <v>19990</v>
      </c>
      <c r="P5507" t="s">
        <v>20481</v>
      </c>
      <c r="Q5507" t="s">
        <v>20738</v>
      </c>
      <c r="R5507" t="s">
        <v>417</v>
      </c>
      <c r="S5507">
        <v>1483</v>
      </c>
    </row>
    <row r="5508" spans="1:19">
      <c r="A5508" t="s">
        <v>27</v>
      </c>
      <c r="B5508" t="s">
        <v>148</v>
      </c>
      <c r="C5508" t="s">
        <v>159</v>
      </c>
      <c r="D5508" t="s">
        <v>288</v>
      </c>
      <c r="E5508" t="s">
        <v>417</v>
      </c>
      <c r="F5508">
        <f>HYPERLINK("https://www.wikidata.org/wiki/Q33755832", "Q33755832")</f>
        <v>0</v>
      </c>
      <c r="G5508" t="s">
        <v>3009</v>
      </c>
      <c r="H5508" t="s">
        <v>6926</v>
      </c>
      <c r="I5508" t="s">
        <v>10572</v>
      </c>
      <c r="J5508" t="s">
        <v>11702</v>
      </c>
      <c r="K5508" t="s">
        <v>17862</v>
      </c>
      <c r="L5508">
        <f>HYPERLINK("https://www2.assemblee-nationale.fr/sycomore/fiche/(num_dept)/4270", "4270")</f>
        <v>0</v>
      </c>
      <c r="N5508">
        <f>HYPERLINK("https://www.wikidata.org/wiki/Q16025923", "Q16025923")</f>
        <v>0</v>
      </c>
      <c r="O5508" t="s">
        <v>19965</v>
      </c>
      <c r="P5508" t="s">
        <v>20401</v>
      </c>
      <c r="Q5508" t="s">
        <v>20738</v>
      </c>
      <c r="R5508" t="s">
        <v>417</v>
      </c>
      <c r="S5508">
        <v>1483</v>
      </c>
    </row>
    <row r="5509" spans="1:19">
      <c r="A5509" t="s">
        <v>27</v>
      </c>
      <c r="B5509" t="s">
        <v>148</v>
      </c>
      <c r="C5509" t="s">
        <v>159</v>
      </c>
      <c r="D5509" t="s">
        <v>288</v>
      </c>
      <c r="E5509" t="s">
        <v>417</v>
      </c>
      <c r="F5509">
        <f>HYPERLINK("https://www.wikidata.org/wiki/Q33755832", "Q33755832")</f>
        <v>0</v>
      </c>
      <c r="G5509" t="s">
        <v>981</v>
      </c>
      <c r="H5509" t="s">
        <v>5733</v>
      </c>
      <c r="I5509" t="s">
        <v>6175</v>
      </c>
      <c r="J5509" t="s">
        <v>11719</v>
      </c>
      <c r="K5509" t="s">
        <v>16123</v>
      </c>
      <c r="L5509">
        <f>HYPERLINK("https://www2.assemblee-nationale.fr/sycomore/fiche/(num_dept)/4272", "4272")</f>
        <v>0</v>
      </c>
      <c r="N5509">
        <f>HYPERLINK("https://www.wikidata.org/wiki/Q3103015", "Q3103015")</f>
        <v>0</v>
      </c>
      <c r="O5509" t="s">
        <v>19969</v>
      </c>
      <c r="Q5509" t="s">
        <v>20738</v>
      </c>
      <c r="R5509" t="s">
        <v>417</v>
      </c>
      <c r="S5509">
        <v>1483</v>
      </c>
    </row>
    <row r="5510" spans="1:19">
      <c r="A5510" t="s">
        <v>27</v>
      </c>
      <c r="B5510" t="s">
        <v>148</v>
      </c>
      <c r="C5510" t="s">
        <v>159</v>
      </c>
      <c r="D5510" t="s">
        <v>288</v>
      </c>
      <c r="E5510" t="s">
        <v>417</v>
      </c>
      <c r="F5510">
        <f>HYPERLINK("https://www.wikidata.org/wiki/Q33755832", "Q33755832")</f>
        <v>0</v>
      </c>
      <c r="G5510" t="s">
        <v>3470</v>
      </c>
      <c r="H5510" t="s">
        <v>7843</v>
      </c>
      <c r="I5510" t="s">
        <v>9385</v>
      </c>
      <c r="J5510" t="s">
        <v>14071</v>
      </c>
      <c r="K5510" t="s">
        <v>18439</v>
      </c>
      <c r="L5510">
        <f>HYPERLINK("https://www2.assemblee-nationale.fr/sycomore/fiche/(num_dept)/4292", "4292")</f>
        <v>0</v>
      </c>
      <c r="N5510">
        <f>HYPERLINK("https://www.wikidata.org/wiki/Q2959554", "Q2959554")</f>
        <v>0</v>
      </c>
      <c r="O5510" t="s">
        <v>20013</v>
      </c>
      <c r="Q5510" t="s">
        <v>20738</v>
      </c>
      <c r="R5510" t="s">
        <v>417</v>
      </c>
      <c r="S5510">
        <v>1483</v>
      </c>
    </row>
    <row r="5511" spans="1:19">
      <c r="A5511" t="s">
        <v>27</v>
      </c>
      <c r="B5511" t="s">
        <v>148</v>
      </c>
      <c r="C5511" t="s">
        <v>159</v>
      </c>
      <c r="D5511" t="s">
        <v>288</v>
      </c>
      <c r="E5511" t="s">
        <v>417</v>
      </c>
      <c r="F5511">
        <f>HYPERLINK("https://www.wikidata.org/wiki/Q33755832", "Q33755832")</f>
        <v>0</v>
      </c>
      <c r="G5511" t="s">
        <v>3140</v>
      </c>
      <c r="H5511" t="s">
        <v>7579</v>
      </c>
      <c r="I5511" t="s">
        <v>9421</v>
      </c>
      <c r="J5511" t="s">
        <v>13762</v>
      </c>
      <c r="K5511" t="s">
        <v>18139</v>
      </c>
      <c r="L5511">
        <f>HYPERLINK("https://www2.assemblee-nationale.fr/sycomore/fiche/(num_dept)/4298", "4298")</f>
        <v>0</v>
      </c>
      <c r="M5511">
        <f>HYPERLINK("https://www.senat.fr/senateur-3eme-republique/de_lamarzelle_gustave0902r3.html", "de_lamarzelle_gustave0902r3")</f>
        <v>0</v>
      </c>
      <c r="N5511">
        <f>HYPERLINK("https://www.wikidata.org/wiki/Q3121364", "Q3121364")</f>
        <v>0</v>
      </c>
      <c r="O5511" t="s">
        <v>19961</v>
      </c>
      <c r="P5511" t="s">
        <v>20460</v>
      </c>
      <c r="Q5511" t="s">
        <v>20738</v>
      </c>
      <c r="R5511" t="s">
        <v>417</v>
      </c>
      <c r="S5511">
        <v>1483</v>
      </c>
    </row>
    <row r="5512" spans="1:19">
      <c r="A5512" t="s">
        <v>27</v>
      </c>
      <c r="B5512" t="s">
        <v>148</v>
      </c>
      <c r="C5512" t="s">
        <v>159</v>
      </c>
      <c r="D5512" t="s">
        <v>288</v>
      </c>
      <c r="E5512" t="s">
        <v>417</v>
      </c>
      <c r="F5512">
        <f>HYPERLINK("https://www.wikidata.org/wiki/Q33755832", "Q33755832")</f>
        <v>0</v>
      </c>
      <c r="G5512" t="s">
        <v>710</v>
      </c>
      <c r="H5512" t="s">
        <v>5468</v>
      </c>
      <c r="I5512" t="s">
        <v>9491</v>
      </c>
      <c r="J5512" t="s">
        <v>11459</v>
      </c>
      <c r="K5512" t="s">
        <v>15861</v>
      </c>
      <c r="L5512">
        <f>HYPERLINK("https://www2.assemblee-nationale.fr/sycomore/fiche/(num_dept)/4339", "4339")</f>
        <v>0</v>
      </c>
      <c r="N5512">
        <f>HYPERLINK("https://www.wikidata.org/wiki/Q3370301", "Q3370301")</f>
        <v>0</v>
      </c>
      <c r="O5512" t="s">
        <v>19961</v>
      </c>
      <c r="Q5512" t="s">
        <v>20738</v>
      </c>
      <c r="R5512" t="s">
        <v>417</v>
      </c>
      <c r="S5512">
        <v>1483</v>
      </c>
    </row>
    <row r="5513" spans="1:19">
      <c r="A5513" t="s">
        <v>27</v>
      </c>
      <c r="B5513" t="s">
        <v>148</v>
      </c>
      <c r="C5513" t="s">
        <v>159</v>
      </c>
      <c r="D5513" t="s">
        <v>288</v>
      </c>
      <c r="E5513" t="s">
        <v>417</v>
      </c>
      <c r="F5513">
        <f>HYPERLINK("https://www.wikidata.org/wiki/Q33755832", "Q33755832")</f>
        <v>0</v>
      </c>
      <c r="G5513" t="s">
        <v>2962</v>
      </c>
      <c r="H5513" t="s">
        <v>6492</v>
      </c>
      <c r="I5513" t="s">
        <v>9470</v>
      </c>
      <c r="J5513" t="s">
        <v>13594</v>
      </c>
      <c r="K5513" t="s">
        <v>17980</v>
      </c>
      <c r="L5513">
        <f>HYPERLINK("https://www2.assemblee-nationale.fr/sycomore/fiche/(num_dept)/4346", "4346")</f>
        <v>0</v>
      </c>
      <c r="N5513">
        <f>HYPERLINK("https://www.wikidata.org/wiki/Q8318772", "Q8318772")</f>
        <v>0</v>
      </c>
      <c r="O5513" t="s">
        <v>20032</v>
      </c>
      <c r="Q5513" t="s">
        <v>20738</v>
      </c>
      <c r="R5513" t="s">
        <v>417</v>
      </c>
      <c r="S5513">
        <v>1483</v>
      </c>
    </row>
    <row r="5514" spans="1:19">
      <c r="A5514" t="s">
        <v>27</v>
      </c>
      <c r="B5514" t="s">
        <v>148</v>
      </c>
      <c r="C5514" t="s">
        <v>159</v>
      </c>
      <c r="D5514" t="s">
        <v>288</v>
      </c>
      <c r="E5514" t="s">
        <v>417</v>
      </c>
      <c r="F5514">
        <f>HYPERLINK("https://www.wikidata.org/wiki/Q33755832", "Q33755832")</f>
        <v>0</v>
      </c>
      <c r="G5514" t="s">
        <v>3368</v>
      </c>
      <c r="H5514" t="s">
        <v>7765</v>
      </c>
      <c r="I5514" t="s">
        <v>10795</v>
      </c>
      <c r="J5514" t="s">
        <v>13980</v>
      </c>
      <c r="K5514" t="s">
        <v>18348</v>
      </c>
      <c r="L5514">
        <f>HYPERLINK("https://www2.assemblee-nationale.fr/sycomore/fiche/(num_dept)/4353", "4353")</f>
        <v>0</v>
      </c>
      <c r="N5514">
        <f>HYPERLINK("https://www.wikidata.org/wiki/Q7120698", "Q7120698")</f>
        <v>0</v>
      </c>
      <c r="O5514" t="s">
        <v>20023</v>
      </c>
      <c r="P5514" t="s">
        <v>20460</v>
      </c>
      <c r="Q5514" t="s">
        <v>20738</v>
      </c>
      <c r="R5514" t="s">
        <v>417</v>
      </c>
      <c r="S5514">
        <v>1483</v>
      </c>
    </row>
    <row r="5515" spans="1:19">
      <c r="A5515" t="s">
        <v>27</v>
      </c>
      <c r="B5515" t="s">
        <v>148</v>
      </c>
      <c r="C5515" t="s">
        <v>159</v>
      </c>
      <c r="D5515" t="s">
        <v>288</v>
      </c>
      <c r="E5515" t="s">
        <v>417</v>
      </c>
      <c r="F5515">
        <f>HYPERLINK("https://www.wikidata.org/wiki/Q33755832", "Q33755832")</f>
        <v>0</v>
      </c>
      <c r="G5515" t="s">
        <v>3080</v>
      </c>
      <c r="H5515" t="s">
        <v>6493</v>
      </c>
      <c r="I5515" t="s">
        <v>10616</v>
      </c>
      <c r="J5515" t="s">
        <v>13703</v>
      </c>
      <c r="K5515" t="s">
        <v>18086</v>
      </c>
      <c r="L5515">
        <f>HYPERLINK("https://www2.assemblee-nationale.fr/sycomore/fiche/(num_dept)/4363", "4363")</f>
        <v>0</v>
      </c>
      <c r="N5515">
        <f>HYPERLINK("https://www.wikidata.org/wiki/Q3047523", "Q3047523")</f>
        <v>0</v>
      </c>
      <c r="O5515" t="s">
        <v>20031</v>
      </c>
      <c r="Q5515" t="s">
        <v>20738</v>
      </c>
      <c r="R5515" t="s">
        <v>417</v>
      </c>
      <c r="S5515">
        <v>1483</v>
      </c>
    </row>
    <row r="5516" spans="1:19">
      <c r="A5516" t="s">
        <v>27</v>
      </c>
      <c r="B5516" t="s">
        <v>148</v>
      </c>
      <c r="C5516" t="s">
        <v>159</v>
      </c>
      <c r="D5516" t="s">
        <v>288</v>
      </c>
      <c r="E5516" t="s">
        <v>417</v>
      </c>
      <c r="F5516">
        <f>HYPERLINK("https://www.wikidata.org/wiki/Q33755832", "Q33755832")</f>
        <v>0</v>
      </c>
      <c r="G5516" t="s">
        <v>2615</v>
      </c>
      <c r="H5516" t="s">
        <v>7164</v>
      </c>
      <c r="I5516" t="s">
        <v>9449</v>
      </c>
      <c r="J5516" t="s">
        <v>13258</v>
      </c>
      <c r="K5516" t="s">
        <v>17660</v>
      </c>
      <c r="L5516">
        <f>HYPERLINK("https://www2.assemblee-nationale.fr/sycomore/fiche/(num_dept)/4374", "4374")</f>
        <v>0</v>
      </c>
      <c r="N5516">
        <f>HYPERLINK("https://www.wikidata.org/wiki/Q16025944", "Q16025944")</f>
        <v>0</v>
      </c>
      <c r="O5516" t="s">
        <v>20019</v>
      </c>
      <c r="P5516" t="s">
        <v>20401</v>
      </c>
      <c r="Q5516" t="s">
        <v>20738</v>
      </c>
      <c r="R5516" t="s">
        <v>17660</v>
      </c>
      <c r="S5516">
        <v>1238</v>
      </c>
    </row>
    <row r="5517" spans="1:19">
      <c r="A5517" t="s">
        <v>27</v>
      </c>
      <c r="B5517" t="s">
        <v>148</v>
      </c>
      <c r="C5517" t="s">
        <v>159</v>
      </c>
      <c r="D5517" t="s">
        <v>288</v>
      </c>
      <c r="E5517" t="s">
        <v>417</v>
      </c>
      <c r="F5517">
        <f>HYPERLINK("https://www.wikidata.org/wiki/Q33755832", "Q33755832")</f>
        <v>0</v>
      </c>
      <c r="G5517" t="s">
        <v>3144</v>
      </c>
      <c r="H5517" t="s">
        <v>7583</v>
      </c>
      <c r="I5517" t="s">
        <v>9401</v>
      </c>
      <c r="J5517" t="s">
        <v>13766</v>
      </c>
      <c r="K5517" t="s">
        <v>18141</v>
      </c>
      <c r="L5517">
        <f>HYPERLINK("https://www2.assemblee-nationale.fr/sycomore/fiche/(num_dept)/4376", "4376")</f>
        <v>0</v>
      </c>
      <c r="N5517">
        <f>HYPERLINK("https://www.wikidata.org/wiki/Q16025945", "Q16025945")</f>
        <v>0</v>
      </c>
      <c r="O5517" t="s">
        <v>19966</v>
      </c>
      <c r="Q5517" t="s">
        <v>20738</v>
      </c>
      <c r="R5517" t="s">
        <v>417</v>
      </c>
      <c r="S5517">
        <v>1483</v>
      </c>
    </row>
    <row r="5518" spans="1:19">
      <c r="A5518" t="s">
        <v>27</v>
      </c>
      <c r="B5518" t="s">
        <v>148</v>
      </c>
      <c r="C5518" t="s">
        <v>159</v>
      </c>
      <c r="D5518" t="s">
        <v>288</v>
      </c>
      <c r="E5518" t="s">
        <v>417</v>
      </c>
      <c r="F5518">
        <f>HYPERLINK("https://www.wikidata.org/wiki/Q33755832", "Q33755832")</f>
        <v>0</v>
      </c>
      <c r="G5518" t="s">
        <v>2616</v>
      </c>
      <c r="H5518" t="s">
        <v>6928</v>
      </c>
      <c r="I5518" t="s">
        <v>9407</v>
      </c>
      <c r="J5518" t="s">
        <v>13259</v>
      </c>
      <c r="K5518" t="s">
        <v>13039</v>
      </c>
      <c r="L5518">
        <f>HYPERLINK("https://www2.assemblee-nationale.fr/sycomore/fiche/(num_dept)/4383", "4383")</f>
        <v>0</v>
      </c>
      <c r="N5518">
        <f>HYPERLINK("https://www.wikidata.org/wiki/Q16025946", "Q16025946")</f>
        <v>0</v>
      </c>
      <c r="O5518" t="s">
        <v>20045</v>
      </c>
      <c r="Q5518" t="s">
        <v>20738</v>
      </c>
      <c r="R5518" t="s">
        <v>13039</v>
      </c>
      <c r="S5518">
        <v>97</v>
      </c>
    </row>
    <row r="5519" spans="1:19">
      <c r="A5519" t="s">
        <v>27</v>
      </c>
      <c r="B5519" t="s">
        <v>148</v>
      </c>
      <c r="C5519" t="s">
        <v>159</v>
      </c>
      <c r="D5519" t="s">
        <v>288</v>
      </c>
      <c r="E5519" t="s">
        <v>417</v>
      </c>
      <c r="F5519">
        <f>HYPERLINK("https://www.wikidata.org/wiki/Q33755832", "Q33755832")</f>
        <v>0</v>
      </c>
      <c r="G5519" t="s">
        <v>1095</v>
      </c>
      <c r="H5519" t="s">
        <v>5837</v>
      </c>
      <c r="I5519" t="s">
        <v>9385</v>
      </c>
      <c r="J5519" t="s">
        <v>11831</v>
      </c>
      <c r="K5519" t="s">
        <v>16231</v>
      </c>
      <c r="L5519">
        <f>HYPERLINK("https://www2.assemblee-nationale.fr/sycomore/fiche/(num_dept)/4812", "4812")</f>
        <v>0</v>
      </c>
      <c r="N5519">
        <f>HYPERLINK("https://www.wikidata.org/wiki/Q2959663", "Q2959663")</f>
        <v>0</v>
      </c>
      <c r="O5519" t="s">
        <v>19992</v>
      </c>
      <c r="Q5519" t="s">
        <v>20738</v>
      </c>
      <c r="R5519" t="s">
        <v>417</v>
      </c>
      <c r="S5519">
        <v>1483</v>
      </c>
    </row>
    <row r="5520" spans="1:19">
      <c r="A5520" t="s">
        <v>27</v>
      </c>
      <c r="B5520" t="s">
        <v>148</v>
      </c>
      <c r="C5520" t="s">
        <v>159</v>
      </c>
      <c r="D5520" t="s">
        <v>288</v>
      </c>
      <c r="E5520" t="s">
        <v>417</v>
      </c>
      <c r="F5520">
        <f>HYPERLINK("https://www.wikidata.org/wiki/Q33755832", "Q33755832")</f>
        <v>0</v>
      </c>
      <c r="G5520" t="s">
        <v>3354</v>
      </c>
      <c r="H5520" t="s">
        <v>7261</v>
      </c>
      <c r="I5520" t="s">
        <v>10788</v>
      </c>
      <c r="J5520" t="s">
        <v>13966</v>
      </c>
      <c r="K5520" t="s">
        <v>18336</v>
      </c>
      <c r="L5520">
        <f>HYPERLINK("https://www2.assemblee-nationale.fr/sycomore/fiche/(num_dept)/4813", "4813")</f>
        <v>0</v>
      </c>
      <c r="N5520">
        <f>HYPERLINK("https://www.wikidata.org/wiki/Q3588627", "Q3588627")</f>
        <v>0</v>
      </c>
      <c r="O5520" t="s">
        <v>19961</v>
      </c>
      <c r="P5520" t="s">
        <v>20460</v>
      </c>
      <c r="Q5520" t="s">
        <v>20738</v>
      </c>
      <c r="R5520" t="s">
        <v>417</v>
      </c>
      <c r="S5520">
        <v>1483</v>
      </c>
    </row>
    <row r="5521" spans="1:19">
      <c r="A5521" t="s">
        <v>27</v>
      </c>
      <c r="B5521" t="s">
        <v>148</v>
      </c>
      <c r="C5521" t="s">
        <v>159</v>
      </c>
      <c r="D5521" t="s">
        <v>288</v>
      </c>
      <c r="E5521" t="s">
        <v>417</v>
      </c>
      <c r="F5521">
        <f>HYPERLINK("https://www.wikidata.org/wiki/Q33755832", "Q33755832")</f>
        <v>0</v>
      </c>
      <c r="G5521" t="s">
        <v>2617</v>
      </c>
      <c r="H5521" t="s">
        <v>5741</v>
      </c>
      <c r="I5521" t="s">
        <v>9421</v>
      </c>
      <c r="J5521" t="s">
        <v>13260</v>
      </c>
      <c r="K5521" t="s">
        <v>17661</v>
      </c>
      <c r="L5521">
        <f>HYPERLINK("https://www2.assemblee-nationale.fr/sycomore/fiche/(num_dept)/4830", "4830")</f>
        <v>0</v>
      </c>
      <c r="N5521">
        <f>HYPERLINK("https://www.wikidata.org/wiki/Q16026013", "Q16026013")</f>
        <v>0</v>
      </c>
      <c r="O5521" t="s">
        <v>19995</v>
      </c>
      <c r="P5521" t="s">
        <v>20461</v>
      </c>
      <c r="Q5521" t="s">
        <v>20738</v>
      </c>
      <c r="R5521" t="s">
        <v>417</v>
      </c>
      <c r="S5521">
        <v>1483</v>
      </c>
    </row>
    <row r="5522" spans="1:19">
      <c r="A5522" t="s">
        <v>27</v>
      </c>
      <c r="B5522" t="s">
        <v>148</v>
      </c>
      <c r="C5522" t="s">
        <v>159</v>
      </c>
      <c r="D5522" t="s">
        <v>288</v>
      </c>
      <c r="E5522" t="s">
        <v>417</v>
      </c>
      <c r="F5522">
        <f>HYPERLINK("https://www.wikidata.org/wiki/Q33755832", "Q33755832")</f>
        <v>0</v>
      </c>
      <c r="G5522" t="s">
        <v>3471</v>
      </c>
      <c r="H5522" t="s">
        <v>7844</v>
      </c>
      <c r="I5522" t="s">
        <v>10839</v>
      </c>
      <c r="J5522" t="s">
        <v>14072</v>
      </c>
      <c r="K5522" t="s">
        <v>18440</v>
      </c>
      <c r="L5522">
        <f>HYPERLINK("https://www2.assemblee-nationale.fr/sycomore/fiche/(num_dept)/4857", "4857")</f>
        <v>0</v>
      </c>
      <c r="N5522">
        <f>HYPERLINK("https://www.wikidata.org/wiki/Q2844622", "Q2844622")</f>
        <v>0</v>
      </c>
      <c r="O5522" t="s">
        <v>19987</v>
      </c>
      <c r="P5522" t="s">
        <v>20460</v>
      </c>
      <c r="Q5522" t="s">
        <v>20738</v>
      </c>
      <c r="R5522" t="s">
        <v>417</v>
      </c>
      <c r="S5522">
        <v>1483</v>
      </c>
    </row>
    <row r="5523" spans="1:19">
      <c r="A5523" t="s">
        <v>27</v>
      </c>
      <c r="B5523" t="s">
        <v>148</v>
      </c>
      <c r="C5523" t="s">
        <v>159</v>
      </c>
      <c r="D5523" t="s">
        <v>288</v>
      </c>
      <c r="E5523" t="s">
        <v>417</v>
      </c>
      <c r="F5523">
        <f>HYPERLINK("https://www.wikidata.org/wiki/Q33755832", "Q33755832")</f>
        <v>0</v>
      </c>
      <c r="G5523" t="s">
        <v>3472</v>
      </c>
      <c r="H5523" t="s">
        <v>7845</v>
      </c>
      <c r="I5523" t="s">
        <v>10840</v>
      </c>
      <c r="J5523" t="s">
        <v>14073</v>
      </c>
      <c r="K5523" t="s">
        <v>18441</v>
      </c>
      <c r="L5523">
        <f>HYPERLINK("https://www2.assemblee-nationale.fr/sycomore/fiche/(num_dept)/4864", "4864")</f>
        <v>0</v>
      </c>
      <c r="N5523">
        <f>HYPERLINK("https://www.wikidata.org/wiki/Q16026020", "Q16026020")</f>
        <v>0</v>
      </c>
      <c r="O5523" t="s">
        <v>20033</v>
      </c>
      <c r="P5523" t="s">
        <v>20479</v>
      </c>
      <c r="Q5523" t="s">
        <v>20738</v>
      </c>
      <c r="R5523" t="s">
        <v>417</v>
      </c>
      <c r="S5523">
        <v>1483</v>
      </c>
    </row>
    <row r="5524" spans="1:19">
      <c r="A5524" t="s">
        <v>27</v>
      </c>
      <c r="B5524" t="s">
        <v>148</v>
      </c>
      <c r="C5524" t="s">
        <v>159</v>
      </c>
      <c r="D5524" t="s">
        <v>288</v>
      </c>
      <c r="E5524" t="s">
        <v>417</v>
      </c>
      <c r="F5524">
        <f>HYPERLINK("https://www.wikidata.org/wiki/Q33755832", "Q33755832")</f>
        <v>0</v>
      </c>
      <c r="G5524" t="s">
        <v>716</v>
      </c>
      <c r="H5524" t="s">
        <v>5474</v>
      </c>
      <c r="I5524" t="s">
        <v>9495</v>
      </c>
      <c r="J5524" t="s">
        <v>11465</v>
      </c>
      <c r="K5524" t="s">
        <v>15867</v>
      </c>
      <c r="L5524">
        <f>HYPERLINK("https://www2.assemblee-nationale.fr/sycomore/fiche/(num_dept)/4868", "4868")</f>
        <v>0</v>
      </c>
      <c r="N5524">
        <f>HYPERLINK("https://www.wikidata.org/wiki/Q2862011", "Q2862011")</f>
        <v>0</v>
      </c>
      <c r="O5524" t="s">
        <v>19957</v>
      </c>
      <c r="P5524" t="s">
        <v>20460</v>
      </c>
      <c r="Q5524" t="s">
        <v>20738</v>
      </c>
      <c r="R5524" t="s">
        <v>417</v>
      </c>
      <c r="S5524">
        <v>1483</v>
      </c>
    </row>
    <row r="5525" spans="1:19">
      <c r="A5525" t="s">
        <v>27</v>
      </c>
      <c r="B5525" t="s">
        <v>148</v>
      </c>
      <c r="C5525" t="s">
        <v>159</v>
      </c>
      <c r="D5525" t="s">
        <v>288</v>
      </c>
      <c r="E5525" t="s">
        <v>417</v>
      </c>
      <c r="F5525">
        <f>HYPERLINK("https://www.wikidata.org/wiki/Q33755832", "Q33755832")</f>
        <v>0</v>
      </c>
      <c r="G5525" t="s">
        <v>2618</v>
      </c>
      <c r="H5525" t="s">
        <v>7165</v>
      </c>
      <c r="I5525" t="s">
        <v>10316</v>
      </c>
      <c r="J5525" t="s">
        <v>13261</v>
      </c>
      <c r="K5525" t="s">
        <v>17662</v>
      </c>
      <c r="L5525">
        <f>HYPERLINK("https://www2.assemblee-nationale.fr/sycomore/fiche/(num_dept)/4874", "4874")</f>
        <v>0</v>
      </c>
      <c r="N5525">
        <f>HYPERLINK("https://www.wikidata.org/wiki/Q8319402", "Q8319402")</f>
        <v>0</v>
      </c>
      <c r="O5525" t="s">
        <v>20044</v>
      </c>
      <c r="P5525" t="s">
        <v>20459</v>
      </c>
      <c r="Q5525" t="s">
        <v>20738</v>
      </c>
      <c r="R5525" t="s">
        <v>17662</v>
      </c>
      <c r="S5525">
        <v>977</v>
      </c>
    </row>
    <row r="5526" spans="1:19">
      <c r="A5526" t="s">
        <v>27</v>
      </c>
      <c r="B5526" t="s">
        <v>148</v>
      </c>
      <c r="C5526" t="s">
        <v>159</v>
      </c>
      <c r="D5526" t="s">
        <v>288</v>
      </c>
      <c r="E5526" t="s">
        <v>417</v>
      </c>
      <c r="F5526">
        <f>HYPERLINK("https://www.wikidata.org/wiki/Q33755832", "Q33755832")</f>
        <v>0</v>
      </c>
      <c r="G5526" t="s">
        <v>2964</v>
      </c>
      <c r="H5526" t="s">
        <v>7434</v>
      </c>
      <c r="I5526" t="s">
        <v>6166</v>
      </c>
      <c r="J5526" t="s">
        <v>13596</v>
      </c>
      <c r="K5526" t="s">
        <v>17982</v>
      </c>
      <c r="L5526">
        <f>HYPERLINK("https://www2.assemblee-nationale.fr/sycomore/fiche/(num_dept)/4897", "4897")</f>
        <v>0</v>
      </c>
      <c r="N5526">
        <f>HYPERLINK("https://www.wikidata.org/wiki/Q962478", "Q962478")</f>
        <v>0</v>
      </c>
      <c r="O5526" t="s">
        <v>19963</v>
      </c>
      <c r="Q5526" t="s">
        <v>20738</v>
      </c>
      <c r="R5526" t="s">
        <v>417</v>
      </c>
      <c r="S5526">
        <v>1483</v>
      </c>
    </row>
    <row r="5527" spans="1:19">
      <c r="A5527" t="s">
        <v>27</v>
      </c>
      <c r="B5527" t="s">
        <v>148</v>
      </c>
      <c r="C5527" t="s">
        <v>159</v>
      </c>
      <c r="D5527" t="s">
        <v>288</v>
      </c>
      <c r="E5527" t="s">
        <v>417</v>
      </c>
      <c r="F5527">
        <f>HYPERLINK("https://www.wikidata.org/wiki/Q33755832", "Q33755832")</f>
        <v>0</v>
      </c>
      <c r="G5527" t="s">
        <v>2619</v>
      </c>
      <c r="H5527" t="s">
        <v>7166</v>
      </c>
      <c r="I5527" t="s">
        <v>10317</v>
      </c>
      <c r="J5527" t="s">
        <v>13262</v>
      </c>
      <c r="K5527" t="s">
        <v>17663</v>
      </c>
      <c r="L5527">
        <f>HYPERLINK("https://www2.assemblee-nationale.fr/sycomore/fiche/(num_dept)/4898", "4898")</f>
        <v>0</v>
      </c>
      <c r="N5527">
        <f>HYPERLINK("https://www.wikidata.org/wiki/Q8304268", "Q8304268")</f>
        <v>0</v>
      </c>
      <c r="O5527" t="s">
        <v>19993</v>
      </c>
      <c r="P5527" t="s">
        <v>20467</v>
      </c>
      <c r="Q5527" t="s">
        <v>20738</v>
      </c>
      <c r="R5527" t="s">
        <v>17663</v>
      </c>
      <c r="S5527">
        <v>1213</v>
      </c>
    </row>
    <row r="5528" spans="1:19">
      <c r="A5528" t="s">
        <v>27</v>
      </c>
      <c r="B5528" t="s">
        <v>148</v>
      </c>
      <c r="C5528" t="s">
        <v>159</v>
      </c>
      <c r="D5528" t="s">
        <v>288</v>
      </c>
      <c r="E5528" t="s">
        <v>417</v>
      </c>
      <c r="F5528">
        <f>HYPERLINK("https://www.wikidata.org/wiki/Q33755832", "Q33755832")</f>
        <v>0</v>
      </c>
      <c r="G5528" t="s">
        <v>2620</v>
      </c>
      <c r="H5528" t="s">
        <v>7167</v>
      </c>
      <c r="I5528" t="s">
        <v>7790</v>
      </c>
      <c r="J5528" t="s">
        <v>13263</v>
      </c>
      <c r="K5528" t="s">
        <v>17664</v>
      </c>
      <c r="L5528">
        <f>HYPERLINK("https://www2.assemblee-nationale.fr/sycomore/fiche/(num_dept)/4903", "4903")</f>
        <v>0</v>
      </c>
      <c r="M5528">
        <f>HYPERLINK("https://www.senat.fr/senateur-3eme-republique/de_maille_de_la_jumelliere_armand1160r3.html", "de_maille_de_la_jumelliere_armand1160r3")</f>
        <v>0</v>
      </c>
      <c r="N5528">
        <f>HYPERLINK("https://www.wikidata.org/wiki/Q2861743", "Q2861743")</f>
        <v>0</v>
      </c>
      <c r="O5528" t="s">
        <v>19980</v>
      </c>
      <c r="P5528" t="s">
        <v>20460</v>
      </c>
      <c r="Q5528" t="s">
        <v>20738</v>
      </c>
      <c r="R5528" t="s">
        <v>417</v>
      </c>
      <c r="S5528">
        <v>1483</v>
      </c>
    </row>
    <row r="5529" spans="1:19">
      <c r="A5529" t="s">
        <v>27</v>
      </c>
      <c r="B5529" t="s">
        <v>148</v>
      </c>
      <c r="C5529" t="s">
        <v>159</v>
      </c>
      <c r="D5529" t="s">
        <v>288</v>
      </c>
      <c r="E5529" t="s">
        <v>417</v>
      </c>
      <c r="F5529">
        <f>HYPERLINK("https://www.wikidata.org/wiki/Q33755832", "Q33755832")</f>
        <v>0</v>
      </c>
      <c r="G5529" t="s">
        <v>2621</v>
      </c>
      <c r="H5529" t="s">
        <v>7168</v>
      </c>
      <c r="I5529" t="s">
        <v>10318</v>
      </c>
      <c r="J5529" t="s">
        <v>13264</v>
      </c>
      <c r="K5529" t="s">
        <v>17665</v>
      </c>
      <c r="L5529">
        <f>HYPERLINK("https://www2.assemblee-nationale.fr/sycomore/fiche/(num_dept)/4916", "4916")</f>
        <v>0</v>
      </c>
      <c r="N5529">
        <f>HYPERLINK("https://www.wikidata.org/wiki/Q16026099", "Q16026099")</f>
        <v>0</v>
      </c>
      <c r="O5529" t="s">
        <v>19993</v>
      </c>
      <c r="P5529" t="s">
        <v>20460</v>
      </c>
      <c r="Q5529" t="s">
        <v>20738</v>
      </c>
      <c r="R5529" t="s">
        <v>417</v>
      </c>
      <c r="S5529">
        <v>1483</v>
      </c>
    </row>
    <row r="5530" spans="1:19">
      <c r="A5530" t="s">
        <v>27</v>
      </c>
      <c r="B5530" t="s">
        <v>148</v>
      </c>
      <c r="C5530" t="s">
        <v>159</v>
      </c>
      <c r="D5530" t="s">
        <v>288</v>
      </c>
      <c r="E5530" t="s">
        <v>417</v>
      </c>
      <c r="F5530">
        <f>HYPERLINK("https://www.wikidata.org/wiki/Q33755832", "Q33755832")</f>
        <v>0</v>
      </c>
      <c r="G5530" t="s">
        <v>3473</v>
      </c>
      <c r="H5530" t="s">
        <v>7846</v>
      </c>
      <c r="I5530" t="s">
        <v>9455</v>
      </c>
      <c r="J5530" t="s">
        <v>13392</v>
      </c>
      <c r="K5530" t="s">
        <v>18442</v>
      </c>
      <c r="L5530">
        <f>HYPERLINK("https://www2.assemblee-nationale.fr/sycomore/fiche/(num_dept)/4953", "4953")</f>
        <v>0</v>
      </c>
      <c r="N5530">
        <f>HYPERLINK("https://www.wikidata.org/wiki/Q16026034", "Q16026034")</f>
        <v>0</v>
      </c>
      <c r="O5530" t="s">
        <v>20016</v>
      </c>
      <c r="P5530" t="s">
        <v>20471</v>
      </c>
      <c r="Q5530" t="s">
        <v>20738</v>
      </c>
      <c r="R5530" t="s">
        <v>417</v>
      </c>
      <c r="S5530">
        <v>1483</v>
      </c>
    </row>
    <row r="5531" spans="1:19">
      <c r="A5531" t="s">
        <v>27</v>
      </c>
      <c r="B5531" t="s">
        <v>148</v>
      </c>
      <c r="C5531" t="s">
        <v>159</v>
      </c>
      <c r="D5531" t="s">
        <v>288</v>
      </c>
      <c r="E5531" t="s">
        <v>417</v>
      </c>
      <c r="F5531">
        <f>HYPERLINK("https://www.wikidata.org/wiki/Q33755832", "Q33755832")</f>
        <v>0</v>
      </c>
      <c r="G5531" t="s">
        <v>3474</v>
      </c>
      <c r="H5531" t="s">
        <v>7847</v>
      </c>
      <c r="I5531" t="s">
        <v>10389</v>
      </c>
      <c r="J5531" t="s">
        <v>14074</v>
      </c>
      <c r="K5531" t="s">
        <v>18443</v>
      </c>
      <c r="L5531">
        <f>HYPERLINK("https://www2.assemblee-nationale.fr/sycomore/fiche/(num_dept)/4986", "4986")</f>
        <v>0</v>
      </c>
      <c r="N5531">
        <f>HYPERLINK("https://www.wikidata.org/wiki/Q16026042", "Q16026042")</f>
        <v>0</v>
      </c>
      <c r="O5531" t="s">
        <v>20010</v>
      </c>
      <c r="Q5531" t="s">
        <v>20738</v>
      </c>
      <c r="R5531" t="s">
        <v>417</v>
      </c>
      <c r="S5531">
        <v>1483</v>
      </c>
    </row>
    <row r="5532" spans="1:19">
      <c r="A5532" t="s">
        <v>27</v>
      </c>
      <c r="B5532" t="s">
        <v>148</v>
      </c>
      <c r="C5532" t="s">
        <v>159</v>
      </c>
      <c r="D5532" t="s">
        <v>288</v>
      </c>
      <c r="E5532" t="s">
        <v>417</v>
      </c>
      <c r="F5532">
        <f>HYPERLINK("https://www.wikidata.org/wiki/Q33755832", "Q33755832")</f>
        <v>0</v>
      </c>
      <c r="G5532" t="s">
        <v>2624</v>
      </c>
      <c r="H5532" t="s">
        <v>7171</v>
      </c>
      <c r="I5532" t="s">
        <v>6478</v>
      </c>
      <c r="J5532" t="s">
        <v>13267</v>
      </c>
      <c r="K5532" t="s">
        <v>17668</v>
      </c>
      <c r="L5532">
        <f>HYPERLINK("https://www2.assemblee-nationale.fr/sycomore/fiche/(num_dept)/4988", "4988")</f>
        <v>0</v>
      </c>
      <c r="N5532">
        <f>HYPERLINK("https://www.wikidata.org/wiki/Q3131564", "Q3131564")</f>
        <v>0</v>
      </c>
      <c r="O5532" t="s">
        <v>19996</v>
      </c>
      <c r="Q5532" t="s">
        <v>20738</v>
      </c>
      <c r="R5532" t="s">
        <v>417</v>
      </c>
      <c r="S5532">
        <v>1483</v>
      </c>
    </row>
    <row r="5533" spans="1:19">
      <c r="A5533" t="s">
        <v>27</v>
      </c>
      <c r="B5533" t="s">
        <v>148</v>
      </c>
      <c r="C5533" t="s">
        <v>159</v>
      </c>
      <c r="D5533" t="s">
        <v>288</v>
      </c>
      <c r="E5533" t="s">
        <v>417</v>
      </c>
      <c r="F5533">
        <f>HYPERLINK("https://www.wikidata.org/wiki/Q33755832", "Q33755832")</f>
        <v>0</v>
      </c>
      <c r="G5533" t="s">
        <v>3475</v>
      </c>
      <c r="H5533" t="s">
        <v>7848</v>
      </c>
      <c r="I5533" t="s">
        <v>10841</v>
      </c>
      <c r="J5533" t="s">
        <v>14075</v>
      </c>
      <c r="K5533" t="s">
        <v>18444</v>
      </c>
      <c r="L5533">
        <f>HYPERLINK("https://www2.assemblee-nationale.fr/sycomore/fiche/(num_dept)/5055", "5055")</f>
        <v>0</v>
      </c>
      <c r="N5533">
        <f>HYPERLINK("https://www.wikidata.org/wiki/Q16026057", "Q16026057")</f>
        <v>0</v>
      </c>
      <c r="O5533" t="s">
        <v>19979</v>
      </c>
      <c r="Q5533" t="s">
        <v>20738</v>
      </c>
      <c r="R5533" t="s">
        <v>417</v>
      </c>
      <c r="S5533">
        <v>1483</v>
      </c>
    </row>
    <row r="5534" spans="1:19">
      <c r="A5534" t="s">
        <v>27</v>
      </c>
      <c r="B5534" t="s">
        <v>148</v>
      </c>
      <c r="C5534" t="s">
        <v>159</v>
      </c>
      <c r="D5534" t="s">
        <v>288</v>
      </c>
      <c r="E5534" t="s">
        <v>417</v>
      </c>
      <c r="F5534">
        <f>HYPERLINK("https://www.wikidata.org/wiki/Q33755832", "Q33755832")</f>
        <v>0</v>
      </c>
      <c r="G5534" t="s">
        <v>3476</v>
      </c>
      <c r="H5534" t="s">
        <v>7849</v>
      </c>
      <c r="I5534" t="s">
        <v>9437</v>
      </c>
      <c r="J5534" t="s">
        <v>14076</v>
      </c>
      <c r="K5534" t="s">
        <v>18023</v>
      </c>
      <c r="L5534">
        <f>HYPERLINK("https://www2.assemblee-nationale.fr/sycomore/fiche/(num_dept)/5059", "5059")</f>
        <v>0</v>
      </c>
      <c r="N5534">
        <f>HYPERLINK("https://www.wikidata.org/wiki/Q3588648", "Q3588648")</f>
        <v>0</v>
      </c>
      <c r="O5534" t="s">
        <v>19967</v>
      </c>
      <c r="Q5534" t="s">
        <v>20738</v>
      </c>
      <c r="R5534" t="s">
        <v>417</v>
      </c>
      <c r="S5534">
        <v>1483</v>
      </c>
    </row>
    <row r="5535" spans="1:19">
      <c r="A5535" t="s">
        <v>27</v>
      </c>
      <c r="B5535" t="s">
        <v>148</v>
      </c>
      <c r="C5535" t="s">
        <v>159</v>
      </c>
      <c r="D5535" t="s">
        <v>288</v>
      </c>
      <c r="E5535" t="s">
        <v>417</v>
      </c>
      <c r="F5535">
        <f>HYPERLINK("https://www.wikidata.org/wiki/Q33755832", "Q33755832")</f>
        <v>0</v>
      </c>
      <c r="G5535" t="s">
        <v>3146</v>
      </c>
      <c r="H5535" t="s">
        <v>7416</v>
      </c>
      <c r="I5535" t="s">
        <v>10658</v>
      </c>
      <c r="J5535" t="s">
        <v>13768</v>
      </c>
      <c r="K5535" t="s">
        <v>18143</v>
      </c>
      <c r="L5535">
        <f>HYPERLINK("https://www2.assemblee-nationale.fr/sycomore/fiche/(num_dept)/5093", "5093")</f>
        <v>0</v>
      </c>
      <c r="N5535">
        <f>HYPERLINK("https://www.wikidata.org/wiki/Q16026065", "Q16026065")</f>
        <v>0</v>
      </c>
      <c r="O5535" t="s">
        <v>19999</v>
      </c>
      <c r="P5535" t="s">
        <v>20411</v>
      </c>
      <c r="Q5535" t="s">
        <v>20738</v>
      </c>
      <c r="R5535" t="s">
        <v>417</v>
      </c>
      <c r="S5535">
        <v>1483</v>
      </c>
    </row>
    <row r="5536" spans="1:19">
      <c r="A5536" t="s">
        <v>27</v>
      </c>
      <c r="B5536" t="s">
        <v>148</v>
      </c>
      <c r="C5536" t="s">
        <v>159</v>
      </c>
      <c r="D5536" t="s">
        <v>288</v>
      </c>
      <c r="E5536" t="s">
        <v>417</v>
      </c>
      <c r="F5536">
        <f>HYPERLINK("https://www.wikidata.org/wiki/Q33755832", "Q33755832")</f>
        <v>0</v>
      </c>
      <c r="G5536" t="s">
        <v>3477</v>
      </c>
      <c r="H5536" t="s">
        <v>7850</v>
      </c>
      <c r="I5536" t="s">
        <v>10842</v>
      </c>
      <c r="J5536" t="s">
        <v>14077</v>
      </c>
      <c r="K5536" t="s">
        <v>18445</v>
      </c>
      <c r="L5536">
        <f>HYPERLINK("https://www2.assemblee-nationale.fr/sycomore/fiche/(num_dept)/5164", "5164")</f>
        <v>0</v>
      </c>
      <c r="N5536">
        <f>HYPERLINK("https://www.wikidata.org/wiki/Q16026082", "Q16026082")</f>
        <v>0</v>
      </c>
      <c r="O5536" t="s">
        <v>20010</v>
      </c>
      <c r="Q5536" t="s">
        <v>20738</v>
      </c>
      <c r="R5536" t="s">
        <v>17998</v>
      </c>
      <c r="S5536">
        <v>179</v>
      </c>
    </row>
    <row r="5537" spans="1:19">
      <c r="A5537" t="s">
        <v>27</v>
      </c>
      <c r="B5537" t="s">
        <v>148</v>
      </c>
      <c r="C5537" t="s">
        <v>159</v>
      </c>
      <c r="D5537" t="s">
        <v>288</v>
      </c>
      <c r="E5537" t="s">
        <v>417</v>
      </c>
      <c r="F5537">
        <f>HYPERLINK("https://www.wikidata.org/wiki/Q33755832", "Q33755832")</f>
        <v>0</v>
      </c>
      <c r="G5537" t="s">
        <v>2629</v>
      </c>
      <c r="H5537" t="s">
        <v>7175</v>
      </c>
      <c r="I5537" t="s">
        <v>9449</v>
      </c>
      <c r="J5537" t="s">
        <v>13271</v>
      </c>
      <c r="K5537" t="s">
        <v>17673</v>
      </c>
      <c r="L5537">
        <f>HYPERLINK("https://www2.assemblee-nationale.fr/sycomore/fiche/(num_dept)/5168", "5168")</f>
        <v>0</v>
      </c>
      <c r="M5537">
        <f>HYPERLINK("https://www.senat.fr/senateur-3eme-republique/meline_jules1799r3.html", "meline_jules1799r3")</f>
        <v>0</v>
      </c>
      <c r="N5537">
        <f>HYPERLINK("https://www.wikidata.org/wiki/Q459914", "Q459914")</f>
        <v>0</v>
      </c>
      <c r="O5537" t="s">
        <v>20017</v>
      </c>
      <c r="P5537" t="s">
        <v>20479</v>
      </c>
      <c r="Q5537" t="s">
        <v>20738</v>
      </c>
      <c r="R5537" t="s">
        <v>417</v>
      </c>
      <c r="S5537">
        <v>1483</v>
      </c>
    </row>
    <row r="5538" spans="1:19">
      <c r="A5538" t="s">
        <v>27</v>
      </c>
      <c r="B5538" t="s">
        <v>148</v>
      </c>
      <c r="C5538" t="s">
        <v>159</v>
      </c>
      <c r="D5538" t="s">
        <v>288</v>
      </c>
      <c r="E5538" t="s">
        <v>417</v>
      </c>
      <c r="F5538">
        <f>HYPERLINK("https://www.wikidata.org/wiki/Q33755832", "Q33755832")</f>
        <v>0</v>
      </c>
      <c r="G5538" t="s">
        <v>2630</v>
      </c>
      <c r="H5538" t="s">
        <v>7176</v>
      </c>
      <c r="I5538" t="s">
        <v>10324</v>
      </c>
      <c r="J5538" t="s">
        <v>13272</v>
      </c>
      <c r="K5538" t="s">
        <v>17674</v>
      </c>
      <c r="L5538">
        <f>HYPERLINK("https://www2.assemblee-nationale.fr/sycomore/fiche/(num_dept)/5175", "5175")</f>
        <v>0</v>
      </c>
      <c r="N5538">
        <f>HYPERLINK("https://www.wikidata.org/wiki/Q3371888", "Q3371888")</f>
        <v>0</v>
      </c>
      <c r="O5538" t="s">
        <v>7411</v>
      </c>
      <c r="P5538" t="s">
        <v>20456</v>
      </c>
      <c r="Q5538" t="s">
        <v>20738</v>
      </c>
      <c r="R5538" t="s">
        <v>21527</v>
      </c>
      <c r="S5538">
        <v>187</v>
      </c>
    </row>
    <row r="5539" spans="1:19">
      <c r="A5539" t="s">
        <v>27</v>
      </c>
      <c r="B5539" t="s">
        <v>148</v>
      </c>
      <c r="C5539" t="s">
        <v>159</v>
      </c>
      <c r="D5539" t="s">
        <v>288</v>
      </c>
      <c r="E5539" t="s">
        <v>417</v>
      </c>
      <c r="F5539">
        <f>HYPERLINK("https://www.wikidata.org/wiki/Q33755832", "Q33755832")</f>
        <v>0</v>
      </c>
      <c r="G5539" t="s">
        <v>3372</v>
      </c>
      <c r="H5539" t="s">
        <v>6235</v>
      </c>
      <c r="I5539" t="s">
        <v>9407</v>
      </c>
      <c r="J5539" t="s">
        <v>13984</v>
      </c>
      <c r="K5539" t="s">
        <v>18352</v>
      </c>
      <c r="L5539">
        <f>HYPERLINK("https://www2.assemblee-nationale.fr/sycomore/fiche/(num_dept)/5195", "5195")</f>
        <v>0</v>
      </c>
      <c r="N5539">
        <f>HYPERLINK("https://www.wikidata.org/wiki/Q16026086", "Q16026086")</f>
        <v>0</v>
      </c>
      <c r="O5539" t="s">
        <v>20036</v>
      </c>
      <c r="Q5539" t="s">
        <v>20738</v>
      </c>
      <c r="R5539" t="s">
        <v>417</v>
      </c>
      <c r="S5539">
        <v>1483</v>
      </c>
    </row>
    <row r="5540" spans="1:19">
      <c r="A5540" t="s">
        <v>27</v>
      </c>
      <c r="B5540" t="s">
        <v>148</v>
      </c>
      <c r="C5540" t="s">
        <v>159</v>
      </c>
      <c r="D5540" t="s">
        <v>288</v>
      </c>
      <c r="E5540" t="s">
        <v>417</v>
      </c>
      <c r="F5540">
        <f>HYPERLINK("https://www.wikidata.org/wiki/Q33755832", "Q33755832")</f>
        <v>0</v>
      </c>
      <c r="G5540" t="s">
        <v>3147</v>
      </c>
      <c r="H5540" t="s">
        <v>7584</v>
      </c>
      <c r="I5540" t="s">
        <v>10659</v>
      </c>
      <c r="J5540" t="s">
        <v>13769</v>
      </c>
      <c r="K5540" t="s">
        <v>18144</v>
      </c>
      <c r="L5540">
        <f>HYPERLINK("https://www2.assemblee-nationale.fr/sycomore/fiche/(num_dept)/5216", "5216")</f>
        <v>0</v>
      </c>
      <c r="N5540">
        <f>HYPERLINK("https://www.wikidata.org/wiki/Q3580088", "Q3580088")</f>
        <v>0</v>
      </c>
      <c r="O5540" t="s">
        <v>19985</v>
      </c>
      <c r="P5540" t="s">
        <v>20460</v>
      </c>
      <c r="Q5540" t="s">
        <v>20738</v>
      </c>
      <c r="R5540" t="s">
        <v>20743</v>
      </c>
      <c r="S5540">
        <v>126</v>
      </c>
    </row>
    <row r="5541" spans="1:19">
      <c r="A5541" t="s">
        <v>27</v>
      </c>
      <c r="B5541" t="s">
        <v>148</v>
      </c>
      <c r="C5541" t="s">
        <v>159</v>
      </c>
      <c r="D5541" t="s">
        <v>288</v>
      </c>
      <c r="E5541" t="s">
        <v>417</v>
      </c>
      <c r="F5541">
        <f>HYPERLINK("https://www.wikidata.org/wiki/Q33755832", "Q33755832")</f>
        <v>0</v>
      </c>
      <c r="G5541" t="s">
        <v>2632</v>
      </c>
      <c r="H5541" t="s">
        <v>7177</v>
      </c>
      <c r="I5541" t="s">
        <v>10326</v>
      </c>
      <c r="J5541" t="s">
        <v>13274</v>
      </c>
      <c r="K5541" t="s">
        <v>17676</v>
      </c>
      <c r="L5541">
        <f>HYPERLINK("https://www2.assemblee-nationale.fr/sycomore/fiche/(num_dept)/5247", "5247")</f>
        <v>0</v>
      </c>
      <c r="M5541">
        <f>HYPERLINK("https://www.senat.fr/senateur-3eme-republique/mezieres_alfred0932r3.html", "mezieres_alfred0932r3")</f>
        <v>0</v>
      </c>
      <c r="N5541">
        <f>HYPERLINK("https://www.wikidata.org/wiki/Q2835365", "Q2835365")</f>
        <v>0</v>
      </c>
      <c r="O5541" t="s">
        <v>20007</v>
      </c>
      <c r="Q5541" t="s">
        <v>20738</v>
      </c>
      <c r="R5541" t="s">
        <v>417</v>
      </c>
      <c r="S5541">
        <v>1483</v>
      </c>
    </row>
    <row r="5542" spans="1:19">
      <c r="A5542" t="s">
        <v>27</v>
      </c>
      <c r="B5542" t="s">
        <v>148</v>
      </c>
      <c r="C5542" t="s">
        <v>159</v>
      </c>
      <c r="D5542" t="s">
        <v>288</v>
      </c>
      <c r="E5542" t="s">
        <v>417</v>
      </c>
      <c r="F5542">
        <f>HYPERLINK("https://www.wikidata.org/wiki/Q33755832", "Q33755832")</f>
        <v>0</v>
      </c>
      <c r="G5542" t="s">
        <v>3478</v>
      </c>
      <c r="H5542" t="s">
        <v>7851</v>
      </c>
      <c r="I5542" t="s">
        <v>9451</v>
      </c>
      <c r="J5542" t="s">
        <v>14078</v>
      </c>
      <c r="K5542" t="s">
        <v>15668</v>
      </c>
      <c r="L5542">
        <f>HYPERLINK("https://www2.assemblee-nationale.fr/sycomore/fiche/(num_dept)/5251", "5251")</f>
        <v>0</v>
      </c>
      <c r="N5542">
        <f>HYPERLINK("https://www.wikidata.org/wiki/Q16026097", "Q16026097")</f>
        <v>0</v>
      </c>
      <c r="O5542" t="s">
        <v>20013</v>
      </c>
      <c r="Q5542" t="s">
        <v>20738</v>
      </c>
      <c r="R5542" t="s">
        <v>417</v>
      </c>
      <c r="S5542">
        <v>1483</v>
      </c>
    </row>
    <row r="5543" spans="1:19">
      <c r="A5543" t="s">
        <v>27</v>
      </c>
      <c r="B5543" t="s">
        <v>148</v>
      </c>
      <c r="C5543" t="s">
        <v>159</v>
      </c>
      <c r="D5543" t="s">
        <v>288</v>
      </c>
      <c r="E5543" t="s">
        <v>417</v>
      </c>
      <c r="F5543">
        <f>HYPERLINK("https://www.wikidata.org/wiki/Q33755832", "Q33755832")</f>
        <v>0</v>
      </c>
      <c r="G5543" t="s">
        <v>3267</v>
      </c>
      <c r="H5543" t="s">
        <v>6941</v>
      </c>
      <c r="I5543" t="s">
        <v>9458</v>
      </c>
      <c r="J5543" t="s">
        <v>13461</v>
      </c>
      <c r="K5543" t="s">
        <v>18255</v>
      </c>
      <c r="L5543">
        <f>HYPERLINK("https://www2.assemblee-nationale.fr/sycomore/fiche/(num_dept)/5256", "5256")</f>
        <v>0</v>
      </c>
      <c r="N5543">
        <f>HYPERLINK("https://www.wikidata.org/wiki/Q2835332", "Q2835332")</f>
        <v>0</v>
      </c>
      <c r="O5543" t="s">
        <v>20047</v>
      </c>
      <c r="P5543" t="s">
        <v>20401</v>
      </c>
      <c r="Q5543" t="s">
        <v>20738</v>
      </c>
      <c r="R5543" t="s">
        <v>18255</v>
      </c>
      <c r="S5543">
        <v>739</v>
      </c>
    </row>
    <row r="5544" spans="1:19">
      <c r="A5544" t="s">
        <v>27</v>
      </c>
      <c r="B5544" t="s">
        <v>148</v>
      </c>
      <c r="C5544" t="s">
        <v>159</v>
      </c>
      <c r="D5544" t="s">
        <v>288</v>
      </c>
      <c r="E5544" t="s">
        <v>417</v>
      </c>
      <c r="F5544">
        <f>HYPERLINK("https://www.wikidata.org/wiki/Q33755832", "Q33755832")</f>
        <v>0</v>
      </c>
      <c r="G5544" t="s">
        <v>732</v>
      </c>
      <c r="H5544" t="s">
        <v>5490</v>
      </c>
      <c r="I5544" t="s">
        <v>9455</v>
      </c>
      <c r="J5544" t="s">
        <v>11481</v>
      </c>
      <c r="K5544" t="s">
        <v>15883</v>
      </c>
      <c r="L5544">
        <f>HYPERLINK("https://www2.assemblee-nationale.fr/sycomore/fiche/(num_dept)/5286", "5286")</f>
        <v>0</v>
      </c>
      <c r="N5544">
        <f>HYPERLINK("https://www.wikidata.org/wiki/Q3265642", "Q3265642")</f>
        <v>0</v>
      </c>
      <c r="O5544" t="s">
        <v>20012</v>
      </c>
      <c r="Q5544" t="s">
        <v>20738</v>
      </c>
      <c r="R5544" t="s">
        <v>21520</v>
      </c>
      <c r="S5544">
        <v>1369</v>
      </c>
    </row>
    <row r="5545" spans="1:19">
      <c r="A5545" t="s">
        <v>27</v>
      </c>
      <c r="B5545" t="s">
        <v>148</v>
      </c>
      <c r="C5545" t="s">
        <v>159</v>
      </c>
      <c r="D5545" t="s">
        <v>288</v>
      </c>
      <c r="E5545" t="s">
        <v>417</v>
      </c>
      <c r="F5545">
        <f>HYPERLINK("https://www.wikidata.org/wiki/Q33755832", "Q33755832")</f>
        <v>0</v>
      </c>
      <c r="G5545" t="s">
        <v>3030</v>
      </c>
      <c r="H5545" t="s">
        <v>7487</v>
      </c>
      <c r="I5545" t="s">
        <v>6495</v>
      </c>
      <c r="J5545" t="s">
        <v>13658</v>
      </c>
      <c r="K5545" t="s">
        <v>18041</v>
      </c>
      <c r="L5545">
        <f>HYPERLINK("https://www2.assemblee-nationale.fr/sycomore/fiche/(num_dept)/5289", "5289")</f>
        <v>0</v>
      </c>
      <c r="M5545">
        <f>HYPERLINK("https://www.senat.fr/senateur-3eme-republique/million_louis1142r3.html", "million_louis1142r3")</f>
        <v>0</v>
      </c>
      <c r="N5545">
        <f>HYPERLINK("https://www.wikidata.org/wiki/Q3262708", "Q3262708")</f>
        <v>0</v>
      </c>
      <c r="O5545" t="s">
        <v>19965</v>
      </c>
      <c r="Q5545" t="s">
        <v>20738</v>
      </c>
      <c r="R5545" t="s">
        <v>417</v>
      </c>
      <c r="S5545">
        <v>1483</v>
      </c>
    </row>
    <row r="5546" spans="1:19">
      <c r="A5546" t="s">
        <v>27</v>
      </c>
      <c r="B5546" t="s">
        <v>148</v>
      </c>
      <c r="C5546" t="s">
        <v>159</v>
      </c>
      <c r="D5546" t="s">
        <v>288</v>
      </c>
      <c r="E5546" t="s">
        <v>417</v>
      </c>
      <c r="F5546">
        <f>HYPERLINK("https://www.wikidata.org/wiki/Q33755832", "Q33755832")</f>
        <v>0</v>
      </c>
      <c r="G5546" t="s">
        <v>3148</v>
      </c>
      <c r="H5546" t="s">
        <v>7585</v>
      </c>
      <c r="I5546" t="s">
        <v>10660</v>
      </c>
      <c r="J5546" t="s">
        <v>13770</v>
      </c>
      <c r="K5546" t="s">
        <v>18145</v>
      </c>
      <c r="L5546">
        <f>HYPERLINK("https://www2.assemblee-nationale.fr/sycomore/fiche/(num_dept)/5293", "5293")</f>
        <v>0</v>
      </c>
      <c r="N5546">
        <f>HYPERLINK("https://www.wikidata.org/wiki/Q16026106", "Q16026106")</f>
        <v>0</v>
      </c>
      <c r="O5546" t="s">
        <v>19971</v>
      </c>
      <c r="Q5546" t="s">
        <v>20738</v>
      </c>
      <c r="R5546" t="s">
        <v>417</v>
      </c>
      <c r="S5546">
        <v>1483</v>
      </c>
    </row>
    <row r="5547" spans="1:19">
      <c r="A5547" t="s">
        <v>27</v>
      </c>
      <c r="B5547" t="s">
        <v>148</v>
      </c>
      <c r="C5547" t="s">
        <v>159</v>
      </c>
      <c r="D5547" t="s">
        <v>288</v>
      </c>
      <c r="E5547" t="s">
        <v>417</v>
      </c>
      <c r="F5547">
        <f>HYPERLINK("https://www.wikidata.org/wiki/Q33755832", "Q33755832")</f>
        <v>0</v>
      </c>
      <c r="G5547" t="s">
        <v>3479</v>
      </c>
      <c r="H5547" t="s">
        <v>7852</v>
      </c>
      <c r="I5547" t="s">
        <v>10843</v>
      </c>
      <c r="J5547" t="s">
        <v>14079</v>
      </c>
      <c r="K5547" t="s">
        <v>18446</v>
      </c>
      <c r="L5547">
        <f>HYPERLINK("https://www2.assemblee-nationale.fr/sycomore/fiche/(num_dept)/5367", "5367")</f>
        <v>0</v>
      </c>
      <c r="N5547">
        <f>HYPERLINK("https://www.wikidata.org/wiki/Q3188997", "Q3188997")</f>
        <v>0</v>
      </c>
      <c r="O5547" t="s">
        <v>20013</v>
      </c>
      <c r="Q5547" t="s">
        <v>20738</v>
      </c>
      <c r="R5547" t="s">
        <v>417</v>
      </c>
      <c r="S5547">
        <v>1483</v>
      </c>
    </row>
    <row r="5548" spans="1:19">
      <c r="A5548" t="s">
        <v>27</v>
      </c>
      <c r="B5548" t="s">
        <v>148</v>
      </c>
      <c r="C5548" t="s">
        <v>159</v>
      </c>
      <c r="D5548" t="s">
        <v>288</v>
      </c>
      <c r="E5548" t="s">
        <v>417</v>
      </c>
      <c r="F5548">
        <f>HYPERLINK("https://www.wikidata.org/wiki/Q33755832", "Q33755832")</f>
        <v>0</v>
      </c>
      <c r="G5548" t="s">
        <v>3149</v>
      </c>
      <c r="H5548" t="s">
        <v>7586</v>
      </c>
      <c r="I5548" t="s">
        <v>10661</v>
      </c>
      <c r="J5548" t="s">
        <v>13771</v>
      </c>
      <c r="K5548" t="s">
        <v>18146</v>
      </c>
      <c r="L5548">
        <f>HYPERLINK("https://www2.assemblee-nationale.fr/sycomore/fiche/(num_dept)/5370", "5370")</f>
        <v>0</v>
      </c>
      <c r="N5548">
        <f>HYPERLINK("https://www.wikidata.org/wiki/Q13077251", "Q13077251")</f>
        <v>0</v>
      </c>
      <c r="O5548" t="s">
        <v>20026</v>
      </c>
      <c r="Q5548" t="s">
        <v>20738</v>
      </c>
      <c r="R5548" t="s">
        <v>417</v>
      </c>
      <c r="S5548">
        <v>1483</v>
      </c>
    </row>
    <row r="5549" spans="1:19">
      <c r="A5549" t="s">
        <v>27</v>
      </c>
      <c r="B5549" t="s">
        <v>148</v>
      </c>
      <c r="C5549" t="s">
        <v>159</v>
      </c>
      <c r="D5549" t="s">
        <v>288</v>
      </c>
      <c r="E5549" t="s">
        <v>417</v>
      </c>
      <c r="F5549">
        <f>HYPERLINK("https://www.wikidata.org/wiki/Q33755832", "Q33755832")</f>
        <v>0</v>
      </c>
      <c r="G5549" t="s">
        <v>3150</v>
      </c>
      <c r="H5549" t="s">
        <v>7587</v>
      </c>
      <c r="I5549" t="s">
        <v>10662</v>
      </c>
      <c r="J5549" t="s">
        <v>13772</v>
      </c>
      <c r="K5549" t="s">
        <v>18147</v>
      </c>
      <c r="L5549">
        <f>HYPERLINK("https://www2.assemblee-nationale.fr/sycomore/fiche/(num_dept)/5383", "5383")</f>
        <v>0</v>
      </c>
      <c r="N5549">
        <f>HYPERLINK("https://www.wikidata.org/wiki/Q16026120", "Q16026120")</f>
        <v>0</v>
      </c>
      <c r="O5549" t="s">
        <v>19967</v>
      </c>
      <c r="P5549" t="s">
        <v>20460</v>
      </c>
      <c r="Q5549" t="s">
        <v>20738</v>
      </c>
      <c r="R5549" t="s">
        <v>417</v>
      </c>
      <c r="S5549">
        <v>1483</v>
      </c>
    </row>
    <row r="5550" spans="1:19">
      <c r="A5550" t="s">
        <v>27</v>
      </c>
      <c r="B5550" t="s">
        <v>148</v>
      </c>
      <c r="C5550" t="s">
        <v>159</v>
      </c>
      <c r="D5550" t="s">
        <v>288</v>
      </c>
      <c r="E5550" t="s">
        <v>417</v>
      </c>
      <c r="F5550">
        <f>HYPERLINK("https://www.wikidata.org/wiki/Q33755832", "Q33755832")</f>
        <v>0</v>
      </c>
      <c r="G5550" t="s">
        <v>3151</v>
      </c>
      <c r="H5550" t="s">
        <v>7588</v>
      </c>
      <c r="I5550" t="s">
        <v>10663</v>
      </c>
      <c r="J5550" t="s">
        <v>13773</v>
      </c>
      <c r="K5550" t="s">
        <v>18148</v>
      </c>
      <c r="L5550">
        <f>HYPERLINK("https://www2.assemblee-nationale.fr/sycomore/fiche/(num_dept)/5385", "5385")</f>
        <v>0</v>
      </c>
      <c r="N5550">
        <f>HYPERLINK("https://www.wikidata.org/wiki/Q2871481", "Q2871481")</f>
        <v>0</v>
      </c>
      <c r="O5550" t="s">
        <v>19991</v>
      </c>
      <c r="P5550" t="s">
        <v>20460</v>
      </c>
      <c r="Q5550" t="s">
        <v>20738</v>
      </c>
      <c r="R5550" t="s">
        <v>417</v>
      </c>
      <c r="S5550">
        <v>1483</v>
      </c>
    </row>
    <row r="5551" spans="1:19">
      <c r="A5551" t="s">
        <v>27</v>
      </c>
      <c r="B5551" t="s">
        <v>148</v>
      </c>
      <c r="C5551" t="s">
        <v>159</v>
      </c>
      <c r="D5551" t="s">
        <v>288</v>
      </c>
      <c r="E5551" t="s">
        <v>417</v>
      </c>
      <c r="F5551">
        <f>HYPERLINK("https://www.wikidata.org/wiki/Q33755832", "Q33755832")</f>
        <v>0</v>
      </c>
      <c r="G5551" t="s">
        <v>3480</v>
      </c>
      <c r="H5551" t="s">
        <v>7853</v>
      </c>
      <c r="I5551" t="s">
        <v>10844</v>
      </c>
      <c r="J5551" t="s">
        <v>14080</v>
      </c>
      <c r="K5551" t="s">
        <v>18229</v>
      </c>
      <c r="L5551">
        <f>HYPERLINK("https://www2.assemblee-nationale.fr/sycomore/fiche/(num_dept)/5393", "5393")</f>
        <v>0</v>
      </c>
      <c r="N5551">
        <f>HYPERLINK("https://www.wikidata.org/wiki/Q3086264", "Q3086264")</f>
        <v>0</v>
      </c>
      <c r="O5551" t="s">
        <v>19996</v>
      </c>
      <c r="Q5551" t="s">
        <v>20738</v>
      </c>
      <c r="R5551" t="s">
        <v>417</v>
      </c>
      <c r="S5551">
        <v>1483</v>
      </c>
    </row>
    <row r="5552" spans="1:19">
      <c r="A5552" t="s">
        <v>27</v>
      </c>
      <c r="B5552" t="s">
        <v>148</v>
      </c>
      <c r="C5552" t="s">
        <v>159</v>
      </c>
      <c r="D5552" t="s">
        <v>288</v>
      </c>
      <c r="E5552" t="s">
        <v>417</v>
      </c>
      <c r="F5552">
        <f>HYPERLINK("https://www.wikidata.org/wiki/Q33755832", "Q33755832")</f>
        <v>0</v>
      </c>
      <c r="G5552" t="s">
        <v>3481</v>
      </c>
      <c r="H5552" t="s">
        <v>7854</v>
      </c>
      <c r="I5552" t="s">
        <v>9389</v>
      </c>
      <c r="J5552" t="s">
        <v>14081</v>
      </c>
      <c r="K5552" t="s">
        <v>18447</v>
      </c>
      <c r="L5552">
        <f>HYPERLINK("https://www2.assemblee-nationale.fr/sycomore/fiche/(num_dept)/5403", "5403")</f>
        <v>0</v>
      </c>
      <c r="N5552">
        <f>HYPERLINK("https://www.wikidata.org/wiki/Q16026141", "Q16026141")</f>
        <v>0</v>
      </c>
      <c r="O5552" t="s">
        <v>20013</v>
      </c>
      <c r="Q5552" t="s">
        <v>20738</v>
      </c>
      <c r="R5552" t="s">
        <v>417</v>
      </c>
      <c r="S5552">
        <v>1483</v>
      </c>
    </row>
    <row r="5553" spans="1:19">
      <c r="A5553" t="s">
        <v>27</v>
      </c>
      <c r="B5553" t="s">
        <v>148</v>
      </c>
      <c r="C5553" t="s">
        <v>159</v>
      </c>
      <c r="D5553" t="s">
        <v>288</v>
      </c>
      <c r="E5553" t="s">
        <v>417</v>
      </c>
      <c r="F5553">
        <f>HYPERLINK("https://www.wikidata.org/wiki/Q33755832", "Q33755832")</f>
        <v>0</v>
      </c>
      <c r="G5553" t="s">
        <v>3482</v>
      </c>
      <c r="H5553" t="s">
        <v>7855</v>
      </c>
      <c r="I5553" t="s">
        <v>5528</v>
      </c>
      <c r="J5553" t="s">
        <v>14082</v>
      </c>
      <c r="K5553" t="s">
        <v>18448</v>
      </c>
      <c r="L5553">
        <f>HYPERLINK("https://www2.assemblee-nationale.fr/sycomore/fiche/(num_dept)/5420", "5420")</f>
        <v>0</v>
      </c>
      <c r="N5553">
        <f>HYPERLINK("https://www.wikidata.org/wiki/Q16026155", "Q16026155")</f>
        <v>0</v>
      </c>
      <c r="O5553" t="s">
        <v>20025</v>
      </c>
      <c r="P5553" t="s">
        <v>20479</v>
      </c>
      <c r="Q5553" t="s">
        <v>20738</v>
      </c>
      <c r="R5553" t="s">
        <v>417</v>
      </c>
      <c r="S5553">
        <v>1483</v>
      </c>
    </row>
    <row r="5554" spans="1:19">
      <c r="A5554" t="s">
        <v>27</v>
      </c>
      <c r="B5554" t="s">
        <v>148</v>
      </c>
      <c r="C5554" t="s">
        <v>159</v>
      </c>
      <c r="D5554" t="s">
        <v>288</v>
      </c>
      <c r="E5554" t="s">
        <v>417</v>
      </c>
      <c r="F5554">
        <f>HYPERLINK("https://www.wikidata.org/wiki/Q33755832", "Q33755832")</f>
        <v>0</v>
      </c>
      <c r="G5554" t="s">
        <v>3152</v>
      </c>
      <c r="H5554" t="s">
        <v>7589</v>
      </c>
      <c r="I5554" t="s">
        <v>9442</v>
      </c>
      <c r="J5554" t="s">
        <v>13774</v>
      </c>
      <c r="K5554" t="s">
        <v>18149</v>
      </c>
      <c r="L5554">
        <f>HYPERLINK("https://www2.assemblee-nationale.fr/sycomore/fiche/(num_dept)/5424", "5424")</f>
        <v>0</v>
      </c>
      <c r="N5554">
        <f>HYPERLINK("https://www.wikidata.org/wiki/Q16026158", "Q16026158")</f>
        <v>0</v>
      </c>
      <c r="O5554" t="s">
        <v>19991</v>
      </c>
      <c r="P5554" t="s">
        <v>20460</v>
      </c>
      <c r="Q5554" t="s">
        <v>20738</v>
      </c>
      <c r="R5554" t="s">
        <v>21528</v>
      </c>
      <c r="S5554">
        <v>165</v>
      </c>
    </row>
    <row r="5555" spans="1:19">
      <c r="A5555" t="s">
        <v>27</v>
      </c>
      <c r="B5555" t="s">
        <v>148</v>
      </c>
      <c r="C5555" t="s">
        <v>159</v>
      </c>
      <c r="D5555" t="s">
        <v>288</v>
      </c>
      <c r="E5555" t="s">
        <v>417</v>
      </c>
      <c r="F5555">
        <f>HYPERLINK("https://www.wikidata.org/wiki/Q33755832", "Q33755832")</f>
        <v>0</v>
      </c>
      <c r="G5555" t="s">
        <v>3483</v>
      </c>
      <c r="H5555" t="s">
        <v>7856</v>
      </c>
      <c r="I5555" t="s">
        <v>9868</v>
      </c>
      <c r="J5555" t="s">
        <v>14083</v>
      </c>
      <c r="K5555" t="s">
        <v>18449</v>
      </c>
      <c r="L5555">
        <f>HYPERLINK("https://www2.assemblee-nationale.fr/sycomore/fiche/(num_dept)/5446", "5446")</f>
        <v>0</v>
      </c>
      <c r="N5555">
        <f>HYPERLINK("https://www.wikidata.org/wiki/Q15970080", "Q15970080")</f>
        <v>0</v>
      </c>
      <c r="O5555" t="s">
        <v>20017</v>
      </c>
      <c r="Q5555" t="s">
        <v>20738</v>
      </c>
      <c r="R5555" t="s">
        <v>417</v>
      </c>
      <c r="S5555">
        <v>1483</v>
      </c>
    </row>
    <row r="5556" spans="1:19">
      <c r="A5556" t="s">
        <v>27</v>
      </c>
      <c r="B5556" t="s">
        <v>148</v>
      </c>
      <c r="C5556" t="s">
        <v>159</v>
      </c>
      <c r="D5556" t="s">
        <v>288</v>
      </c>
      <c r="E5556" t="s">
        <v>417</v>
      </c>
      <c r="F5556">
        <f>HYPERLINK("https://www.wikidata.org/wiki/Q33755832", "Q33755832")</f>
        <v>0</v>
      </c>
      <c r="G5556" t="s">
        <v>741</v>
      </c>
      <c r="H5556" t="s">
        <v>5499</v>
      </c>
      <c r="I5556" t="s">
        <v>9476</v>
      </c>
      <c r="J5556" t="s">
        <v>11490</v>
      </c>
      <c r="K5556" t="s">
        <v>15892</v>
      </c>
      <c r="L5556">
        <f>HYPERLINK("https://www2.assemblee-nationale.fr/sycomore/fiche/(num_dept)/5463", "5463")</f>
        <v>0</v>
      </c>
      <c r="M5556">
        <f>HYPERLINK("https://www.senat.fr/senateur-3eme-republique/de_moustier_rene0688r3.html", "de_moustier_rene0688r3")</f>
        <v>0</v>
      </c>
      <c r="N5556">
        <f>HYPERLINK("https://www.wikidata.org/wiki/Q3427071", "Q3427071")</f>
        <v>0</v>
      </c>
      <c r="O5556" t="s">
        <v>19973</v>
      </c>
      <c r="Q5556" t="s">
        <v>20738</v>
      </c>
      <c r="R5556" t="s">
        <v>417</v>
      </c>
      <c r="S5556">
        <v>1483</v>
      </c>
    </row>
    <row r="5557" spans="1:19">
      <c r="A5557" t="s">
        <v>27</v>
      </c>
      <c r="B5557" t="s">
        <v>148</v>
      </c>
      <c r="C5557" t="s">
        <v>159</v>
      </c>
      <c r="D5557" t="s">
        <v>288</v>
      </c>
      <c r="E5557" t="s">
        <v>417</v>
      </c>
      <c r="F5557">
        <f>HYPERLINK("https://www.wikidata.org/wiki/Q33755832", "Q33755832")</f>
        <v>0</v>
      </c>
      <c r="G5557" t="s">
        <v>742</v>
      </c>
      <c r="H5557" t="s">
        <v>5500</v>
      </c>
      <c r="I5557" t="s">
        <v>9505</v>
      </c>
      <c r="J5557" t="s">
        <v>11491</v>
      </c>
      <c r="K5557" t="s">
        <v>15893</v>
      </c>
      <c r="L5557">
        <f>HYPERLINK("https://www2.assemblee-nationale.fr/sycomore/fiche/(num_dept)/5482", "5482")</f>
        <v>0</v>
      </c>
      <c r="N5557">
        <f>HYPERLINK("https://www.wikidata.org/wiki/Q2475967", "Q2475967")</f>
        <v>0</v>
      </c>
      <c r="O5557" t="s">
        <v>19961</v>
      </c>
      <c r="P5557" t="s">
        <v>20460</v>
      </c>
      <c r="Q5557" t="s">
        <v>20738</v>
      </c>
      <c r="R5557" t="s">
        <v>417</v>
      </c>
      <c r="S5557">
        <v>1483</v>
      </c>
    </row>
    <row r="5558" spans="1:19">
      <c r="A5558" t="s">
        <v>27</v>
      </c>
      <c r="B5558" t="s">
        <v>148</v>
      </c>
      <c r="C5558" t="s">
        <v>159</v>
      </c>
      <c r="D5558" t="s">
        <v>288</v>
      </c>
      <c r="E5558" t="s">
        <v>417</v>
      </c>
      <c r="F5558">
        <f>HYPERLINK("https://www.wikidata.org/wiki/Q33755832", "Q33755832")</f>
        <v>0</v>
      </c>
      <c r="G5558" t="s">
        <v>3484</v>
      </c>
      <c r="H5558" t="s">
        <v>7857</v>
      </c>
      <c r="I5558" t="s">
        <v>9385</v>
      </c>
      <c r="J5558" t="s">
        <v>13831</v>
      </c>
      <c r="K5558" t="s">
        <v>18450</v>
      </c>
      <c r="L5558">
        <f>HYPERLINK("https://www2.assemblee-nationale.fr/sycomore/fiche/(num_dept)/5537", "5537")</f>
        <v>0</v>
      </c>
      <c r="N5558">
        <f>HYPERLINK("https://www.wikidata.org/wiki/Q2959893", "Q2959893")</f>
        <v>0</v>
      </c>
      <c r="O5558" t="s">
        <v>19997</v>
      </c>
      <c r="Q5558" t="s">
        <v>20738</v>
      </c>
      <c r="R5558" t="s">
        <v>417</v>
      </c>
      <c r="S5558">
        <v>1483</v>
      </c>
    </row>
    <row r="5559" spans="1:19">
      <c r="A5559" t="s">
        <v>27</v>
      </c>
      <c r="B5559" t="s">
        <v>148</v>
      </c>
      <c r="C5559" t="s">
        <v>159</v>
      </c>
      <c r="D5559" t="s">
        <v>288</v>
      </c>
      <c r="E5559" t="s">
        <v>417</v>
      </c>
      <c r="F5559">
        <f>HYPERLINK("https://www.wikidata.org/wiki/Q33755832", "Q33755832")</f>
        <v>0</v>
      </c>
      <c r="G5559" t="s">
        <v>3485</v>
      </c>
      <c r="H5559" t="s">
        <v>7858</v>
      </c>
      <c r="I5559" t="s">
        <v>6584</v>
      </c>
      <c r="J5559" t="s">
        <v>14084</v>
      </c>
      <c r="L5559">
        <f>HYPERLINK("https://www2.assemblee-nationale.fr/sycomore/fiche/(num_dept)/5558", "5558")</f>
        <v>0</v>
      </c>
      <c r="N5559">
        <f>HYPERLINK("https://www.wikidata.org/wiki/Q2410261", "Q2410261")</f>
        <v>0</v>
      </c>
      <c r="O5559" t="s">
        <v>19982</v>
      </c>
      <c r="Q5559" t="s">
        <v>20738</v>
      </c>
      <c r="R5559" t="s">
        <v>417</v>
      </c>
      <c r="S5559">
        <v>1483</v>
      </c>
    </row>
    <row r="5560" spans="1:19">
      <c r="A5560" t="s">
        <v>27</v>
      </c>
      <c r="B5560" t="s">
        <v>148</v>
      </c>
      <c r="C5560" t="s">
        <v>159</v>
      </c>
      <c r="D5560" t="s">
        <v>288</v>
      </c>
      <c r="E5560" t="s">
        <v>417</v>
      </c>
      <c r="F5560">
        <f>HYPERLINK("https://www.wikidata.org/wiki/Q33755832", "Q33755832")</f>
        <v>0</v>
      </c>
      <c r="G5560" t="s">
        <v>3077</v>
      </c>
      <c r="H5560" t="s">
        <v>7195</v>
      </c>
      <c r="I5560" t="s">
        <v>10614</v>
      </c>
      <c r="J5560" t="s">
        <v>13701</v>
      </c>
      <c r="K5560" t="s">
        <v>18084</v>
      </c>
      <c r="L5560">
        <f>HYPERLINK("https://www2.assemblee-nationale.fr/sycomore/fiche/(num_dept)/5591", "5591")</f>
        <v>0</v>
      </c>
      <c r="M5560">
        <f>HYPERLINK("https://www.senat.fr/senateur-3eme-republique/obissier_louis0200r3.html", "obissier_louis0200r3")</f>
        <v>0</v>
      </c>
      <c r="N5560">
        <f>HYPERLINK("https://www.wikidata.org/wiki/Q16026221", "Q16026221")</f>
        <v>0</v>
      </c>
      <c r="O5560" t="s">
        <v>19987</v>
      </c>
      <c r="Q5560" t="s">
        <v>20738</v>
      </c>
      <c r="R5560" t="s">
        <v>417</v>
      </c>
      <c r="S5560">
        <v>1483</v>
      </c>
    </row>
    <row r="5561" spans="1:19">
      <c r="A5561" t="s">
        <v>27</v>
      </c>
      <c r="B5561" t="s">
        <v>148</v>
      </c>
      <c r="C5561" t="s">
        <v>159</v>
      </c>
      <c r="D5561" t="s">
        <v>288</v>
      </c>
      <c r="E5561" t="s">
        <v>417</v>
      </c>
      <c r="F5561">
        <f>HYPERLINK("https://www.wikidata.org/wiki/Q33755832", "Q33755832")</f>
        <v>0</v>
      </c>
      <c r="G5561" t="s">
        <v>3486</v>
      </c>
      <c r="H5561" t="s">
        <v>7859</v>
      </c>
      <c r="I5561" t="s">
        <v>7419</v>
      </c>
      <c r="J5561" t="s">
        <v>14085</v>
      </c>
      <c r="K5561" t="s">
        <v>18451</v>
      </c>
      <c r="L5561">
        <f>HYPERLINK("https://www2.assemblee-nationale.fr/sycomore/fiche/(num_dept)/5606", "5606")</f>
        <v>0</v>
      </c>
      <c r="N5561">
        <f>HYPERLINK("https://www.wikidata.org/wiki/Q16026230", "Q16026230")</f>
        <v>0</v>
      </c>
      <c r="O5561" t="s">
        <v>19992</v>
      </c>
      <c r="Q5561" t="s">
        <v>20738</v>
      </c>
      <c r="R5561" t="s">
        <v>417</v>
      </c>
      <c r="S5561">
        <v>1483</v>
      </c>
    </row>
    <row r="5562" spans="1:19">
      <c r="A5562" t="s">
        <v>27</v>
      </c>
      <c r="B5562" t="s">
        <v>148</v>
      </c>
      <c r="C5562" t="s">
        <v>159</v>
      </c>
      <c r="D5562" t="s">
        <v>288</v>
      </c>
      <c r="E5562" t="s">
        <v>417</v>
      </c>
      <c r="F5562">
        <f>HYPERLINK("https://www.wikidata.org/wiki/Q33755832", "Q33755832")</f>
        <v>0</v>
      </c>
      <c r="G5562" t="s">
        <v>2640</v>
      </c>
      <c r="H5562" t="s">
        <v>7185</v>
      </c>
      <c r="I5562" t="s">
        <v>10331</v>
      </c>
      <c r="J5562" t="s">
        <v>13282</v>
      </c>
      <c r="K5562" t="s">
        <v>17684</v>
      </c>
      <c r="L5562">
        <f>HYPERLINK("https://www2.assemblee-nationale.fr/sycomore/fiche/(num_dept)/5609", "5609")</f>
        <v>0</v>
      </c>
      <c r="N5562">
        <f>HYPERLINK("https://www.wikidata.org/wiki/Q16026232", "Q16026232")</f>
        <v>0</v>
      </c>
      <c r="O5562" t="s">
        <v>19973</v>
      </c>
      <c r="P5562" t="s">
        <v>20459</v>
      </c>
      <c r="Q5562" t="s">
        <v>20738</v>
      </c>
      <c r="R5562" t="s">
        <v>417</v>
      </c>
      <c r="S5562">
        <v>1483</v>
      </c>
    </row>
    <row r="5563" spans="1:19">
      <c r="A5563" t="s">
        <v>27</v>
      </c>
      <c r="B5563" t="s">
        <v>148</v>
      </c>
      <c r="C5563" t="s">
        <v>159</v>
      </c>
      <c r="D5563" t="s">
        <v>288</v>
      </c>
      <c r="E5563" t="s">
        <v>417</v>
      </c>
      <c r="F5563">
        <f>HYPERLINK("https://www.wikidata.org/wiki/Q33755832", "Q33755832")</f>
        <v>0</v>
      </c>
      <c r="G5563" t="s">
        <v>2641</v>
      </c>
      <c r="H5563" t="s">
        <v>7186</v>
      </c>
      <c r="I5563" t="s">
        <v>10332</v>
      </c>
      <c r="J5563" t="s">
        <v>13283</v>
      </c>
      <c r="K5563" t="s">
        <v>17685</v>
      </c>
      <c r="L5563">
        <f>HYPERLINK("https://www2.assemblee-nationale.fr/sycomore/fiche/(num_dept)/5612", "5612")</f>
        <v>0</v>
      </c>
      <c r="N5563">
        <f>HYPERLINK("https://www.wikidata.org/wiki/Q16025508", "Q16025508")</f>
        <v>0</v>
      </c>
      <c r="O5563" t="s">
        <v>20031</v>
      </c>
      <c r="Q5563" t="s">
        <v>20738</v>
      </c>
      <c r="R5563" t="s">
        <v>417</v>
      </c>
      <c r="S5563">
        <v>1483</v>
      </c>
    </row>
    <row r="5564" spans="1:19">
      <c r="A5564" t="s">
        <v>27</v>
      </c>
      <c r="B5564" t="s">
        <v>148</v>
      </c>
      <c r="C5564" t="s">
        <v>159</v>
      </c>
      <c r="D5564" t="s">
        <v>288</v>
      </c>
      <c r="E5564" t="s">
        <v>417</v>
      </c>
      <c r="F5564">
        <f>HYPERLINK("https://www.wikidata.org/wiki/Q33755832", "Q33755832")</f>
        <v>0</v>
      </c>
      <c r="G5564" t="s">
        <v>3272</v>
      </c>
      <c r="H5564" t="s">
        <v>7687</v>
      </c>
      <c r="I5564" t="s">
        <v>10739</v>
      </c>
      <c r="J5564" t="s">
        <v>13886</v>
      </c>
      <c r="K5564" t="s">
        <v>18259</v>
      </c>
      <c r="L5564">
        <f>HYPERLINK("https://www2.assemblee-nationale.fr/sycomore/fiche/(num_dept)/5657", "5657")</f>
        <v>0</v>
      </c>
      <c r="M5564">
        <f>HYPERLINK("https://www.senat.fr/senateur-3eme-republique/pajot_christophe0430r3.html", "pajot_christophe0430r3")</f>
        <v>0</v>
      </c>
      <c r="N5564">
        <f>HYPERLINK("https://www.wikidata.org/wiki/Q2966424", "Q2966424")</f>
        <v>0</v>
      </c>
      <c r="O5564" t="s">
        <v>19996</v>
      </c>
      <c r="Q5564" t="s">
        <v>20738</v>
      </c>
      <c r="R5564" t="s">
        <v>417</v>
      </c>
      <c r="S5564">
        <v>1483</v>
      </c>
    </row>
    <row r="5565" spans="1:19">
      <c r="A5565" t="s">
        <v>27</v>
      </c>
      <c r="B5565" t="s">
        <v>148</v>
      </c>
      <c r="C5565" t="s">
        <v>159</v>
      </c>
      <c r="D5565" t="s">
        <v>288</v>
      </c>
      <c r="E5565" t="s">
        <v>417</v>
      </c>
      <c r="F5565">
        <f>HYPERLINK("https://www.wikidata.org/wiki/Q33755832", "Q33755832")</f>
        <v>0</v>
      </c>
      <c r="G5565" t="s">
        <v>3487</v>
      </c>
      <c r="H5565" t="s">
        <v>7860</v>
      </c>
      <c r="I5565" t="s">
        <v>9449</v>
      </c>
      <c r="J5565" t="s">
        <v>14086</v>
      </c>
      <c r="K5565" t="s">
        <v>16985</v>
      </c>
      <c r="L5565">
        <f>HYPERLINK("https://www2.assemblee-nationale.fr/sycomore/fiche/(num_dept)/5700", "5700")</f>
        <v>0</v>
      </c>
      <c r="N5565">
        <f>HYPERLINK("https://www.wikidata.org/wiki/Q15971936", "Q15971936")</f>
        <v>0</v>
      </c>
      <c r="O5565" t="s">
        <v>20015</v>
      </c>
      <c r="Q5565" t="s">
        <v>20738</v>
      </c>
      <c r="R5565" t="s">
        <v>417</v>
      </c>
      <c r="S5565">
        <v>1483</v>
      </c>
    </row>
    <row r="5566" spans="1:19">
      <c r="A5566" t="s">
        <v>27</v>
      </c>
      <c r="B5566" t="s">
        <v>148</v>
      </c>
      <c r="C5566" t="s">
        <v>159</v>
      </c>
      <c r="D5566" t="s">
        <v>288</v>
      </c>
      <c r="E5566" t="s">
        <v>417</v>
      </c>
      <c r="F5566">
        <f>HYPERLINK("https://www.wikidata.org/wiki/Q33755832", "Q33755832")</f>
        <v>0</v>
      </c>
      <c r="G5566" t="s">
        <v>751</v>
      </c>
      <c r="H5566" t="s">
        <v>5509</v>
      </c>
      <c r="I5566" t="s">
        <v>9509</v>
      </c>
      <c r="J5566" t="s">
        <v>11499</v>
      </c>
      <c r="K5566" t="s">
        <v>15902</v>
      </c>
      <c r="L5566">
        <f>HYPERLINK("https://www2.assemblee-nationale.fr/sycomore/fiche/(num_dept)/5702", "5702")</f>
        <v>0</v>
      </c>
      <c r="N5566">
        <f>HYPERLINK("https://www.wikidata.org/wiki/Q3262846", "Q3262846")</f>
        <v>0</v>
      </c>
      <c r="O5566" t="s">
        <v>19992</v>
      </c>
      <c r="Q5566" t="s">
        <v>20738</v>
      </c>
      <c r="R5566" t="s">
        <v>417</v>
      </c>
      <c r="S5566">
        <v>1483</v>
      </c>
    </row>
    <row r="5567" spans="1:19">
      <c r="A5567" t="s">
        <v>27</v>
      </c>
      <c r="B5567" t="s">
        <v>148</v>
      </c>
      <c r="C5567" t="s">
        <v>159</v>
      </c>
      <c r="D5567" t="s">
        <v>288</v>
      </c>
      <c r="E5567" t="s">
        <v>417</v>
      </c>
      <c r="F5567">
        <f>HYPERLINK("https://www.wikidata.org/wiki/Q33755832", "Q33755832")</f>
        <v>0</v>
      </c>
      <c r="G5567" t="s">
        <v>3154</v>
      </c>
      <c r="H5567" t="s">
        <v>7590</v>
      </c>
      <c r="I5567" t="s">
        <v>10664</v>
      </c>
      <c r="J5567" t="s">
        <v>13776</v>
      </c>
      <c r="K5567" t="s">
        <v>18151</v>
      </c>
      <c r="L5567">
        <f>HYPERLINK("https://www2.assemblee-nationale.fr/sycomore/fiche/(num_dept)/5729", "5729")</f>
        <v>0</v>
      </c>
      <c r="N5567">
        <f>HYPERLINK("https://www.wikidata.org/wiki/Q17350275", "Q17350275")</f>
        <v>0</v>
      </c>
      <c r="O5567" t="s">
        <v>20009</v>
      </c>
      <c r="P5567" t="s">
        <v>20460</v>
      </c>
      <c r="Q5567" t="s">
        <v>20738</v>
      </c>
      <c r="R5567" t="s">
        <v>417</v>
      </c>
      <c r="S5567">
        <v>1483</v>
      </c>
    </row>
    <row r="5568" spans="1:19">
      <c r="A5568" t="s">
        <v>27</v>
      </c>
      <c r="B5568" t="s">
        <v>148</v>
      </c>
      <c r="C5568" t="s">
        <v>159</v>
      </c>
      <c r="D5568" t="s">
        <v>288</v>
      </c>
      <c r="E5568" t="s">
        <v>417</v>
      </c>
      <c r="F5568">
        <f>HYPERLINK("https://www.wikidata.org/wiki/Q33755832", "Q33755832")</f>
        <v>0</v>
      </c>
      <c r="G5568" t="s">
        <v>3488</v>
      </c>
      <c r="H5568" t="s">
        <v>7861</v>
      </c>
      <c r="I5568" t="s">
        <v>10845</v>
      </c>
      <c r="J5568" t="s">
        <v>14087</v>
      </c>
      <c r="K5568" t="s">
        <v>18452</v>
      </c>
      <c r="L5568">
        <f>HYPERLINK("https://www2.assemblee-nationale.fr/sycomore/fiche/(num_dept)/5789", "5789")</f>
        <v>0</v>
      </c>
      <c r="N5568">
        <f>HYPERLINK("https://www.wikidata.org/wiki/Q16026302", "Q16026302")</f>
        <v>0</v>
      </c>
      <c r="O5568" t="s">
        <v>19987</v>
      </c>
      <c r="P5568" t="s">
        <v>20479</v>
      </c>
      <c r="Q5568" t="s">
        <v>20738</v>
      </c>
      <c r="R5568" t="s">
        <v>417</v>
      </c>
      <c r="S5568">
        <v>1483</v>
      </c>
    </row>
    <row r="5569" spans="1:19">
      <c r="A5569" t="s">
        <v>27</v>
      </c>
      <c r="B5569" t="s">
        <v>148</v>
      </c>
      <c r="C5569" t="s">
        <v>159</v>
      </c>
      <c r="D5569" t="s">
        <v>288</v>
      </c>
      <c r="E5569" t="s">
        <v>417</v>
      </c>
      <c r="F5569">
        <f>HYPERLINK("https://www.wikidata.org/wiki/Q33755832", "Q33755832")</f>
        <v>0</v>
      </c>
      <c r="G5569" t="s">
        <v>3489</v>
      </c>
      <c r="H5569" t="s">
        <v>5776</v>
      </c>
      <c r="I5569" t="s">
        <v>9401</v>
      </c>
      <c r="J5569" t="s">
        <v>14088</v>
      </c>
      <c r="K5569" t="s">
        <v>18453</v>
      </c>
      <c r="L5569">
        <f>HYPERLINK("https://www2.assemblee-nationale.fr/sycomore/fiche/(num_dept)/5810", "5810")</f>
        <v>0</v>
      </c>
      <c r="M5569">
        <f>HYPERLINK("https://www.senat.fr/senateur-3eme-republique/perrier_antoine1304r3.html", "perrier_antoine1304r3")</f>
        <v>0</v>
      </c>
      <c r="N5569">
        <f>HYPERLINK("https://www.wikidata.org/wiki/Q2856600", "Q2856600")</f>
        <v>0</v>
      </c>
      <c r="O5569" t="s">
        <v>19988</v>
      </c>
      <c r="P5569" t="s">
        <v>20479</v>
      </c>
      <c r="Q5569" t="s">
        <v>20738</v>
      </c>
      <c r="R5569" t="s">
        <v>417</v>
      </c>
      <c r="S5569">
        <v>1483</v>
      </c>
    </row>
    <row r="5570" spans="1:19">
      <c r="A5570" t="s">
        <v>27</v>
      </c>
      <c r="B5570" t="s">
        <v>148</v>
      </c>
      <c r="C5570" t="s">
        <v>159</v>
      </c>
      <c r="D5570" t="s">
        <v>288</v>
      </c>
      <c r="E5570" t="s">
        <v>417</v>
      </c>
      <c r="F5570">
        <f>HYPERLINK("https://www.wikidata.org/wiki/Q33755832", "Q33755832")</f>
        <v>0</v>
      </c>
      <c r="G5570" t="s">
        <v>3005</v>
      </c>
      <c r="H5570" t="s">
        <v>7467</v>
      </c>
      <c r="I5570" t="s">
        <v>6584</v>
      </c>
      <c r="J5570" t="s">
        <v>13635</v>
      </c>
      <c r="K5570" t="s">
        <v>18019</v>
      </c>
      <c r="L5570">
        <f>HYPERLINK("https://www2.assemblee-nationale.fr/sycomore/fiche/(num_dept)/5837", "5837")</f>
        <v>0</v>
      </c>
      <c r="N5570">
        <f>HYPERLINK("https://www.wikidata.org/wiki/Q11984911", "Q11984911")</f>
        <v>0</v>
      </c>
      <c r="O5570" t="s">
        <v>20008</v>
      </c>
      <c r="P5570" t="s">
        <v>20459</v>
      </c>
      <c r="Q5570" t="s">
        <v>20738</v>
      </c>
      <c r="R5570" t="s">
        <v>18019</v>
      </c>
      <c r="S5570">
        <v>517</v>
      </c>
    </row>
    <row r="5571" spans="1:19">
      <c r="A5571" t="s">
        <v>27</v>
      </c>
      <c r="B5571" t="s">
        <v>148</v>
      </c>
      <c r="C5571" t="s">
        <v>159</v>
      </c>
      <c r="D5571" t="s">
        <v>288</v>
      </c>
      <c r="E5571" t="s">
        <v>417</v>
      </c>
      <c r="F5571">
        <f>HYPERLINK("https://www.wikidata.org/wiki/Q33755832", "Q33755832")</f>
        <v>0</v>
      </c>
      <c r="G5571" t="s">
        <v>3155</v>
      </c>
      <c r="H5571" t="s">
        <v>7591</v>
      </c>
      <c r="I5571" t="s">
        <v>10665</v>
      </c>
      <c r="J5571" t="s">
        <v>13567</v>
      </c>
      <c r="K5571" t="s">
        <v>18152</v>
      </c>
      <c r="L5571">
        <f>HYPERLINK("https://www2.assemblee-nationale.fr/sycomore/fiche/(num_dept)/5871", "5871")</f>
        <v>0</v>
      </c>
      <c r="N5571">
        <f>HYPERLINK("https://www.wikidata.org/wiki/Q16026335", "Q16026335")</f>
        <v>0</v>
      </c>
      <c r="O5571" t="s">
        <v>20003</v>
      </c>
      <c r="P5571" t="s">
        <v>20460</v>
      </c>
      <c r="Q5571" t="s">
        <v>20738</v>
      </c>
      <c r="R5571" t="s">
        <v>417</v>
      </c>
      <c r="S5571">
        <v>1483</v>
      </c>
    </row>
    <row r="5572" spans="1:19">
      <c r="A5572" t="s">
        <v>27</v>
      </c>
      <c r="B5572" t="s">
        <v>148</v>
      </c>
      <c r="C5572" t="s">
        <v>159</v>
      </c>
      <c r="D5572" t="s">
        <v>288</v>
      </c>
      <c r="E5572" t="s">
        <v>417</v>
      </c>
      <c r="F5572">
        <f>HYPERLINK("https://www.wikidata.org/wiki/Q33755832", "Q33755832")</f>
        <v>0</v>
      </c>
      <c r="G5572" t="s">
        <v>2965</v>
      </c>
      <c r="H5572" t="s">
        <v>5848</v>
      </c>
      <c r="I5572" t="s">
        <v>9388</v>
      </c>
      <c r="J5572" t="s">
        <v>13597</v>
      </c>
      <c r="K5572" t="s">
        <v>17983</v>
      </c>
      <c r="L5572">
        <f>HYPERLINK("https://www2.assemblee-nationale.fr/sycomore/fiche/(num_dept)/5873", "5873")</f>
        <v>0</v>
      </c>
      <c r="M5572">
        <f>HYPERLINK("https://www.senat.fr/senateur-3eme-republique/peytral_paul0322r3.html", "peytral_paul0322r3")</f>
        <v>0</v>
      </c>
      <c r="N5572">
        <f>HYPERLINK("https://www.wikidata.org/wiki/Q179491", "Q179491")</f>
        <v>0</v>
      </c>
      <c r="O5572" t="s">
        <v>19990</v>
      </c>
      <c r="P5572" t="s">
        <v>20471</v>
      </c>
      <c r="Q5572" t="s">
        <v>20738</v>
      </c>
      <c r="R5572" t="s">
        <v>417</v>
      </c>
      <c r="S5572">
        <v>1483</v>
      </c>
    </row>
    <row r="5573" spans="1:19">
      <c r="A5573" t="s">
        <v>27</v>
      </c>
      <c r="B5573" t="s">
        <v>148</v>
      </c>
      <c r="C5573" t="s">
        <v>159</v>
      </c>
      <c r="D5573" t="s">
        <v>288</v>
      </c>
      <c r="E5573" t="s">
        <v>417</v>
      </c>
      <c r="F5573">
        <f>HYPERLINK("https://www.wikidata.org/wiki/Q33755832", "Q33755832")</f>
        <v>0</v>
      </c>
      <c r="G5573" t="s">
        <v>3156</v>
      </c>
      <c r="H5573" t="s">
        <v>7592</v>
      </c>
      <c r="I5573" t="s">
        <v>10666</v>
      </c>
      <c r="J5573" t="s">
        <v>13777</v>
      </c>
      <c r="K5573" t="s">
        <v>18153</v>
      </c>
      <c r="L5573">
        <f>HYPERLINK("https://www2.assemblee-nationale.fr/sycomore/fiche/(num_dept)/5886", "5886")</f>
        <v>0</v>
      </c>
      <c r="N5573">
        <f>HYPERLINK("https://www.wikidata.org/wiki/Q8313632", "Q8313632")</f>
        <v>0</v>
      </c>
      <c r="O5573" t="s">
        <v>19986</v>
      </c>
      <c r="Q5573" t="s">
        <v>20738</v>
      </c>
      <c r="R5573" t="s">
        <v>417</v>
      </c>
      <c r="S5573">
        <v>1483</v>
      </c>
    </row>
    <row r="5574" spans="1:19">
      <c r="A5574" t="s">
        <v>27</v>
      </c>
      <c r="B5574" t="s">
        <v>148</v>
      </c>
      <c r="C5574" t="s">
        <v>159</v>
      </c>
      <c r="D5574" t="s">
        <v>288</v>
      </c>
      <c r="E5574" t="s">
        <v>417</v>
      </c>
      <c r="F5574">
        <f>HYPERLINK("https://www.wikidata.org/wiki/Q33755832", "Q33755832")</f>
        <v>0</v>
      </c>
      <c r="G5574" t="s">
        <v>3490</v>
      </c>
      <c r="H5574" t="s">
        <v>6263</v>
      </c>
      <c r="I5574" t="s">
        <v>10846</v>
      </c>
      <c r="J5574" t="s">
        <v>14089</v>
      </c>
      <c r="K5574" t="s">
        <v>18454</v>
      </c>
      <c r="L5574">
        <f>HYPERLINK("https://www2.assemblee-nationale.fr/sycomore/fiche/(num_dept)/5907", "5907")</f>
        <v>0</v>
      </c>
      <c r="N5574">
        <f>HYPERLINK("https://www.wikidata.org/wiki/Q16026341", "Q16026341")</f>
        <v>0</v>
      </c>
      <c r="O5574" t="s">
        <v>20017</v>
      </c>
      <c r="Q5574" t="s">
        <v>20738</v>
      </c>
      <c r="R5574" t="s">
        <v>12358</v>
      </c>
      <c r="S5574">
        <v>249</v>
      </c>
    </row>
    <row r="5575" spans="1:19">
      <c r="A5575" t="s">
        <v>27</v>
      </c>
      <c r="B5575" t="s">
        <v>148</v>
      </c>
      <c r="C5575" t="s">
        <v>159</v>
      </c>
      <c r="D5575" t="s">
        <v>288</v>
      </c>
      <c r="E5575" t="s">
        <v>417</v>
      </c>
      <c r="F5575">
        <f>HYPERLINK("https://www.wikidata.org/wiki/Q33755832", "Q33755832")</f>
        <v>0</v>
      </c>
      <c r="G5575" t="s">
        <v>3491</v>
      </c>
      <c r="H5575" t="s">
        <v>7862</v>
      </c>
      <c r="I5575" t="s">
        <v>6585</v>
      </c>
      <c r="J5575" t="s">
        <v>14090</v>
      </c>
      <c r="K5575" t="s">
        <v>18455</v>
      </c>
      <c r="L5575">
        <f>HYPERLINK("https://www2.assemblee-nationale.fr/sycomore/fiche/(num_dept)/5914", "5914")</f>
        <v>0</v>
      </c>
      <c r="N5575">
        <f>HYPERLINK("https://www.wikidata.org/wiki/Q13077232", "Q13077232")</f>
        <v>0</v>
      </c>
      <c r="O5575" t="s">
        <v>19978</v>
      </c>
      <c r="Q5575" t="s">
        <v>20738</v>
      </c>
      <c r="R5575" t="s">
        <v>417</v>
      </c>
      <c r="S5575">
        <v>1483</v>
      </c>
    </row>
    <row r="5576" spans="1:19">
      <c r="A5576" t="s">
        <v>27</v>
      </c>
      <c r="B5576" t="s">
        <v>148</v>
      </c>
      <c r="C5576" t="s">
        <v>159</v>
      </c>
      <c r="D5576" t="s">
        <v>288</v>
      </c>
      <c r="E5576" t="s">
        <v>417</v>
      </c>
      <c r="F5576">
        <f>HYPERLINK("https://www.wikidata.org/wiki/Q33755832", "Q33755832")</f>
        <v>0</v>
      </c>
      <c r="G5576" t="s">
        <v>2645</v>
      </c>
      <c r="H5576" t="s">
        <v>7188</v>
      </c>
      <c r="I5576" t="s">
        <v>10334</v>
      </c>
      <c r="J5576" t="s">
        <v>13287</v>
      </c>
      <c r="K5576" t="s">
        <v>17592</v>
      </c>
      <c r="L5576">
        <f>HYPERLINK("https://www2.assemblee-nationale.fr/sycomore/fiche/(num_dept)/5919", "5919")</f>
        <v>0</v>
      </c>
      <c r="N5576">
        <f>HYPERLINK("https://www.wikidata.org/wiki/Q20204178", "Q20204178")</f>
        <v>0</v>
      </c>
      <c r="O5576" t="s">
        <v>19983</v>
      </c>
      <c r="P5576" t="s">
        <v>20401</v>
      </c>
      <c r="Q5576" t="s">
        <v>20738</v>
      </c>
      <c r="R5576" t="s">
        <v>417</v>
      </c>
      <c r="S5576">
        <v>1483</v>
      </c>
    </row>
    <row r="5577" spans="1:19">
      <c r="A5577" t="s">
        <v>27</v>
      </c>
      <c r="B5577" t="s">
        <v>148</v>
      </c>
      <c r="C5577" t="s">
        <v>159</v>
      </c>
      <c r="D5577" t="s">
        <v>288</v>
      </c>
      <c r="E5577" t="s">
        <v>417</v>
      </c>
      <c r="F5577">
        <f>HYPERLINK("https://www.wikidata.org/wiki/Q33755832", "Q33755832")</f>
        <v>0</v>
      </c>
      <c r="G5577" t="s">
        <v>3157</v>
      </c>
      <c r="H5577" t="s">
        <v>7593</v>
      </c>
      <c r="I5577" t="s">
        <v>10667</v>
      </c>
      <c r="J5577" t="s">
        <v>13778</v>
      </c>
      <c r="K5577" t="s">
        <v>17662</v>
      </c>
      <c r="L5577">
        <f>HYPERLINK("https://www2.assemblee-nationale.fr/sycomore/fiche/(num_dept)/5978", "5978")</f>
        <v>0</v>
      </c>
      <c r="N5577">
        <f>HYPERLINK("https://www.wikidata.org/wiki/Q2960325", "Q2960325")</f>
        <v>0</v>
      </c>
      <c r="O5577" t="s">
        <v>19984</v>
      </c>
      <c r="P5577" t="s">
        <v>20460</v>
      </c>
      <c r="Q5577" t="s">
        <v>20738</v>
      </c>
      <c r="R5577" t="s">
        <v>17662</v>
      </c>
      <c r="S5577">
        <v>977</v>
      </c>
    </row>
    <row r="5578" spans="1:19">
      <c r="A5578" t="s">
        <v>27</v>
      </c>
      <c r="B5578" t="s">
        <v>148</v>
      </c>
      <c r="C5578" t="s">
        <v>159</v>
      </c>
      <c r="D5578" t="s">
        <v>288</v>
      </c>
      <c r="E5578" t="s">
        <v>417</v>
      </c>
      <c r="F5578">
        <f>HYPERLINK("https://www.wikidata.org/wiki/Q33755832", "Q33755832")</f>
        <v>0</v>
      </c>
      <c r="G5578" t="s">
        <v>762</v>
      </c>
      <c r="H5578" t="s">
        <v>5520</v>
      </c>
      <c r="I5578" t="s">
        <v>9514</v>
      </c>
      <c r="J5578" t="s">
        <v>11507</v>
      </c>
      <c r="K5578" t="s">
        <v>15913</v>
      </c>
      <c r="L5578">
        <f>HYPERLINK("https://www2.assemblee-nationale.fr/sycomore/fiche/(num_dept)/5981", "5981")</f>
        <v>0</v>
      </c>
      <c r="M5578">
        <f>HYPERLINK("https://www.senat.fr/senateur-3eme-republique/plichon_jean1422r3.html", "plichon_jean1422r3")</f>
        <v>0</v>
      </c>
      <c r="N5578">
        <f>HYPERLINK("https://www.wikidata.org/wiki/Q3174051", "Q3174051")</f>
        <v>0</v>
      </c>
      <c r="O5578" t="s">
        <v>20013</v>
      </c>
      <c r="P5578" t="s">
        <v>20410</v>
      </c>
      <c r="Q5578" t="s">
        <v>20738</v>
      </c>
      <c r="R5578" t="s">
        <v>417</v>
      </c>
      <c r="S5578">
        <v>1483</v>
      </c>
    </row>
    <row r="5579" spans="1:19">
      <c r="A5579" t="s">
        <v>27</v>
      </c>
      <c r="B5579" t="s">
        <v>148</v>
      </c>
      <c r="C5579" t="s">
        <v>159</v>
      </c>
      <c r="D5579" t="s">
        <v>288</v>
      </c>
      <c r="E5579" t="s">
        <v>417</v>
      </c>
      <c r="F5579">
        <f>HYPERLINK("https://www.wikidata.org/wiki/Q33755832", "Q33755832")</f>
        <v>0</v>
      </c>
      <c r="G5579" t="s">
        <v>3052</v>
      </c>
      <c r="H5579" t="s">
        <v>7507</v>
      </c>
      <c r="I5579" t="s">
        <v>10601</v>
      </c>
      <c r="J5579" t="s">
        <v>13678</v>
      </c>
      <c r="K5579" t="s">
        <v>18059</v>
      </c>
      <c r="L5579">
        <f>HYPERLINK("https://www2.assemblee-nationale.fr/sycomore/fiche/(num_dept)/5987", "5987")</f>
        <v>0</v>
      </c>
      <c r="M5579">
        <f>HYPERLINK("https://www.senat.fr/senateur-3eme-republique/pochon_joseph0015r3.html", "pochon_joseph0015r3")</f>
        <v>0</v>
      </c>
      <c r="N5579">
        <f>HYPERLINK("https://www.wikidata.org/wiki/Q3185501", "Q3185501")</f>
        <v>0</v>
      </c>
      <c r="O5579" t="s">
        <v>19986</v>
      </c>
      <c r="P5579" t="s">
        <v>20456</v>
      </c>
      <c r="Q5579" t="s">
        <v>20738</v>
      </c>
      <c r="R5579" t="s">
        <v>417</v>
      </c>
      <c r="S5579">
        <v>1483</v>
      </c>
    </row>
    <row r="5580" spans="1:19">
      <c r="A5580" t="s">
        <v>27</v>
      </c>
      <c r="B5580" t="s">
        <v>148</v>
      </c>
      <c r="C5580" t="s">
        <v>159</v>
      </c>
      <c r="D5580" t="s">
        <v>288</v>
      </c>
      <c r="E5580" t="s">
        <v>417</v>
      </c>
      <c r="F5580">
        <f>HYPERLINK("https://www.wikidata.org/wiki/Q33755832", "Q33755832")</f>
        <v>0</v>
      </c>
      <c r="G5580" t="s">
        <v>3369</v>
      </c>
      <c r="H5580" t="s">
        <v>7766</v>
      </c>
      <c r="I5580" t="s">
        <v>9692</v>
      </c>
      <c r="J5580" t="s">
        <v>13981</v>
      </c>
      <c r="K5580" t="s">
        <v>18349</v>
      </c>
      <c r="L5580">
        <f>HYPERLINK("https://www2.assemblee-nationale.fr/sycomore/fiche/(num_dept)/5994", "5994")</f>
        <v>0</v>
      </c>
      <c r="M5580">
        <f>HYPERLINK("https://www.senat.fr/senateur-3eme-republique/poincare_raymond1024r3.html", "poincare_raymond1024r3")</f>
        <v>0</v>
      </c>
      <c r="N5580">
        <f>HYPERLINK("https://www.wikidata.org/wiki/Q191974", "Q191974")</f>
        <v>0</v>
      </c>
      <c r="O5580" t="s">
        <v>20030</v>
      </c>
      <c r="Q5580" t="s">
        <v>20738</v>
      </c>
      <c r="R5580" t="s">
        <v>417</v>
      </c>
      <c r="S5580">
        <v>1483</v>
      </c>
    </row>
    <row r="5581" spans="1:19">
      <c r="A5581" t="s">
        <v>27</v>
      </c>
      <c r="B5581" t="s">
        <v>148</v>
      </c>
      <c r="C5581" t="s">
        <v>159</v>
      </c>
      <c r="D5581" t="s">
        <v>288</v>
      </c>
      <c r="E5581" t="s">
        <v>417</v>
      </c>
      <c r="F5581">
        <f>HYPERLINK("https://www.wikidata.org/wiki/Q33755832", "Q33755832")</f>
        <v>0</v>
      </c>
      <c r="G5581" t="s">
        <v>3047</v>
      </c>
      <c r="H5581" t="s">
        <v>7503</v>
      </c>
      <c r="I5581" t="s">
        <v>9421</v>
      </c>
      <c r="J5581" t="s">
        <v>13674</v>
      </c>
      <c r="K5581" t="s">
        <v>18055</v>
      </c>
      <c r="L5581">
        <f>HYPERLINK("https://www2.assemblee-nationale.fr/sycomore/fiche/(num_dept)/6001", "6001")</f>
        <v>0</v>
      </c>
      <c r="M5581">
        <f>HYPERLINK("https://www.senat.fr/senateur-3eme-republique/rivet_gustave1198r3.html", "rivet_gustave1198r3")</f>
        <v>0</v>
      </c>
      <c r="N5581">
        <f>HYPERLINK("https://www.wikidata.org/wiki/Q3121310", "Q3121310")</f>
        <v>0</v>
      </c>
      <c r="O5581" t="s">
        <v>20006</v>
      </c>
      <c r="P5581" t="s">
        <v>20401</v>
      </c>
      <c r="Q5581" t="s">
        <v>20738</v>
      </c>
      <c r="R5581" t="s">
        <v>417</v>
      </c>
      <c r="S5581">
        <v>1483</v>
      </c>
    </row>
    <row r="5582" spans="1:19">
      <c r="A5582" t="s">
        <v>27</v>
      </c>
      <c r="B5582" t="s">
        <v>148</v>
      </c>
      <c r="C5582" t="s">
        <v>159</v>
      </c>
      <c r="D5582" t="s">
        <v>288</v>
      </c>
      <c r="E5582" t="s">
        <v>417</v>
      </c>
      <c r="F5582">
        <f>HYPERLINK("https://www.wikidata.org/wiki/Q33755832", "Q33755832")</f>
        <v>0</v>
      </c>
      <c r="G5582" t="s">
        <v>3492</v>
      </c>
      <c r="H5582" t="s">
        <v>7863</v>
      </c>
      <c r="I5582" t="s">
        <v>6759</v>
      </c>
      <c r="J5582" t="s">
        <v>14091</v>
      </c>
      <c r="K5582" t="s">
        <v>18456</v>
      </c>
      <c r="L5582">
        <f>HYPERLINK("https://www2.assemblee-nationale.fr/sycomore/fiche/(num_dept)/6017", "6017")</f>
        <v>0</v>
      </c>
      <c r="N5582">
        <f>HYPERLINK("https://www.wikidata.org/wiki/Q16026431", "Q16026431")</f>
        <v>0</v>
      </c>
      <c r="O5582" t="s">
        <v>19987</v>
      </c>
      <c r="Q5582" t="s">
        <v>20738</v>
      </c>
      <c r="R5582" t="s">
        <v>417</v>
      </c>
      <c r="S5582">
        <v>1483</v>
      </c>
    </row>
    <row r="5583" spans="1:19">
      <c r="A5583" t="s">
        <v>27</v>
      </c>
      <c r="B5583" t="s">
        <v>148</v>
      </c>
      <c r="C5583" t="s">
        <v>159</v>
      </c>
      <c r="D5583" t="s">
        <v>288</v>
      </c>
      <c r="E5583" t="s">
        <v>417</v>
      </c>
      <c r="F5583">
        <f>HYPERLINK("https://www.wikidata.org/wiki/Q33755832", "Q33755832")</f>
        <v>0</v>
      </c>
      <c r="G5583" t="s">
        <v>767</v>
      </c>
      <c r="H5583" t="s">
        <v>5525</v>
      </c>
      <c r="I5583" t="s">
        <v>9449</v>
      </c>
      <c r="J5583" t="s">
        <v>11514</v>
      </c>
      <c r="K5583" t="s">
        <v>15918</v>
      </c>
      <c r="L5583">
        <f>HYPERLINK("https://www2.assemblee-nationale.fr/sycomore/fiche/(num_dept)/6031", "6031")</f>
        <v>0</v>
      </c>
      <c r="N5583">
        <f>HYPERLINK("https://www.wikidata.org/wiki/Q3188891", "Q3188891")</f>
        <v>0</v>
      </c>
      <c r="O5583" t="s">
        <v>19988</v>
      </c>
      <c r="Q5583" t="s">
        <v>20738</v>
      </c>
      <c r="R5583" t="s">
        <v>417</v>
      </c>
      <c r="S5583">
        <v>1483</v>
      </c>
    </row>
    <row r="5584" spans="1:19">
      <c r="A5584" t="s">
        <v>27</v>
      </c>
      <c r="B5584" t="s">
        <v>148</v>
      </c>
      <c r="C5584" t="s">
        <v>159</v>
      </c>
      <c r="D5584" t="s">
        <v>288</v>
      </c>
      <c r="E5584" t="s">
        <v>417</v>
      </c>
      <c r="F5584">
        <f>HYPERLINK("https://www.wikidata.org/wiki/Q33755832", "Q33755832")</f>
        <v>0</v>
      </c>
      <c r="G5584" t="s">
        <v>770</v>
      </c>
      <c r="H5584" t="s">
        <v>5528</v>
      </c>
      <c r="I5584" t="s">
        <v>9517</v>
      </c>
      <c r="J5584" t="s">
        <v>11517</v>
      </c>
      <c r="K5584" t="s">
        <v>15921</v>
      </c>
      <c r="L5584">
        <f>HYPERLINK("https://www2.assemblee-nationale.fr/sycomore/fiche/(num_dept)/6054", "6054")</f>
        <v>0</v>
      </c>
      <c r="N5584">
        <f>HYPERLINK("https://www.wikidata.org/wiki/Q2829651", "Q2829651")</f>
        <v>0</v>
      </c>
      <c r="O5584" t="s">
        <v>19961</v>
      </c>
      <c r="Q5584" t="s">
        <v>20738</v>
      </c>
      <c r="R5584" t="s">
        <v>417</v>
      </c>
      <c r="S5584">
        <v>1483</v>
      </c>
    </row>
    <row r="5585" spans="1:19">
      <c r="A5585" t="s">
        <v>27</v>
      </c>
      <c r="B5585" t="s">
        <v>148</v>
      </c>
      <c r="C5585" t="s">
        <v>159</v>
      </c>
      <c r="D5585" t="s">
        <v>288</v>
      </c>
      <c r="E5585" t="s">
        <v>417</v>
      </c>
      <c r="F5585">
        <f>HYPERLINK("https://www.wikidata.org/wiki/Q33755832", "Q33755832")</f>
        <v>0</v>
      </c>
      <c r="G5585" t="s">
        <v>1582</v>
      </c>
      <c r="H5585" t="s">
        <v>6272</v>
      </c>
      <c r="I5585" t="s">
        <v>9470</v>
      </c>
      <c r="J5585" t="s">
        <v>11968</v>
      </c>
      <c r="K5585" t="s">
        <v>16701</v>
      </c>
      <c r="L5585">
        <f>HYPERLINK("https://www2.assemblee-nationale.fr/sycomore/fiche/(num_dept)/6081", "6081")</f>
        <v>0</v>
      </c>
      <c r="N5585">
        <f>HYPERLINK("https://www.wikidata.org/wiki/Q16026448", "Q16026448")</f>
        <v>0</v>
      </c>
      <c r="O5585" t="s">
        <v>19967</v>
      </c>
      <c r="Q5585" t="s">
        <v>20738</v>
      </c>
      <c r="R5585" t="s">
        <v>417</v>
      </c>
      <c r="S5585">
        <v>1483</v>
      </c>
    </row>
    <row r="5586" spans="1:19">
      <c r="A5586" t="s">
        <v>27</v>
      </c>
      <c r="B5586" t="s">
        <v>148</v>
      </c>
      <c r="C5586" t="s">
        <v>159</v>
      </c>
      <c r="D5586" t="s">
        <v>288</v>
      </c>
      <c r="E5586" t="s">
        <v>417</v>
      </c>
      <c r="F5586">
        <f>HYPERLINK("https://www.wikidata.org/wiki/Q33755832", "Q33755832")</f>
        <v>0</v>
      </c>
      <c r="G5586" t="s">
        <v>2648</v>
      </c>
      <c r="H5586" t="s">
        <v>7190</v>
      </c>
      <c r="I5586" t="s">
        <v>10337</v>
      </c>
      <c r="J5586" t="s">
        <v>13290</v>
      </c>
      <c r="K5586" t="s">
        <v>17689</v>
      </c>
      <c r="L5586">
        <f>HYPERLINK("https://www2.assemblee-nationale.fr/sycomore/fiche/(num_dept)/6106", "6106")</f>
        <v>0</v>
      </c>
      <c r="N5586">
        <f>HYPERLINK("https://www.wikidata.org/wiki/Q2401407", "Q2401407")</f>
        <v>0</v>
      </c>
      <c r="O5586" t="s">
        <v>20013</v>
      </c>
      <c r="P5586" t="s">
        <v>20460</v>
      </c>
      <c r="Q5586" t="s">
        <v>20738</v>
      </c>
      <c r="R5586" t="s">
        <v>417</v>
      </c>
      <c r="S5586">
        <v>1483</v>
      </c>
    </row>
    <row r="5587" spans="1:19">
      <c r="A5587" t="s">
        <v>27</v>
      </c>
      <c r="B5587" t="s">
        <v>148</v>
      </c>
      <c r="C5587" t="s">
        <v>159</v>
      </c>
      <c r="D5587" t="s">
        <v>288</v>
      </c>
      <c r="E5587" t="s">
        <v>417</v>
      </c>
      <c r="F5587">
        <f>HYPERLINK("https://www.wikidata.org/wiki/Q33755832", "Q33755832")</f>
        <v>0</v>
      </c>
      <c r="G5587" t="s">
        <v>2650</v>
      </c>
      <c r="H5587" t="s">
        <v>7191</v>
      </c>
      <c r="I5587" t="s">
        <v>7642</v>
      </c>
      <c r="J5587" t="s">
        <v>13292</v>
      </c>
      <c r="K5587" t="s">
        <v>17691</v>
      </c>
      <c r="L5587">
        <f>HYPERLINK("https://www2.assemblee-nationale.fr/sycomore/fiche/(num_dept)/6152", "6152")</f>
        <v>0</v>
      </c>
      <c r="M5587">
        <f>HYPERLINK("https://www.senat.fr/senateur-3eme-republique/rouvier_maurice0115r3.html", "rouvier_maurice0115r3")</f>
        <v>0</v>
      </c>
      <c r="N5587">
        <f>HYPERLINK("https://www.wikidata.org/wiki/Q471293", "Q471293")</f>
        <v>0</v>
      </c>
      <c r="O5587" t="s">
        <v>20024</v>
      </c>
      <c r="P5587" t="s">
        <v>20459</v>
      </c>
      <c r="Q5587" t="s">
        <v>20738</v>
      </c>
      <c r="R5587" t="s">
        <v>417</v>
      </c>
      <c r="S5587">
        <v>1483</v>
      </c>
    </row>
    <row r="5588" spans="1:19">
      <c r="A5588" t="s">
        <v>27</v>
      </c>
      <c r="B5588" t="s">
        <v>148</v>
      </c>
      <c r="C5588" t="s">
        <v>159</v>
      </c>
      <c r="D5588" t="s">
        <v>288</v>
      </c>
      <c r="E5588" t="s">
        <v>417</v>
      </c>
      <c r="F5588">
        <f>HYPERLINK("https://www.wikidata.org/wiki/Q33755832", "Q33755832")</f>
        <v>0</v>
      </c>
      <c r="G5588" t="s">
        <v>2652</v>
      </c>
      <c r="H5588" t="s">
        <v>7193</v>
      </c>
      <c r="I5588" t="s">
        <v>10340</v>
      </c>
      <c r="J5588" t="s">
        <v>13294</v>
      </c>
      <c r="K5588" t="s">
        <v>17693</v>
      </c>
      <c r="L5588">
        <f>HYPERLINK("https://www2.assemblee-nationale.fr/sycomore/fiche/(num_dept)/6175", "6175")</f>
        <v>0</v>
      </c>
      <c r="N5588">
        <f>HYPERLINK("https://www.wikidata.org/wiki/Q16026458", "Q16026458")</f>
        <v>0</v>
      </c>
      <c r="O5588" t="s">
        <v>20030</v>
      </c>
      <c r="P5588" t="s">
        <v>20459</v>
      </c>
      <c r="Q5588" t="s">
        <v>20738</v>
      </c>
      <c r="R5588" t="s">
        <v>417</v>
      </c>
      <c r="S5588">
        <v>1483</v>
      </c>
    </row>
    <row r="5589" spans="1:19">
      <c r="A5589" t="s">
        <v>27</v>
      </c>
      <c r="B5589" t="s">
        <v>148</v>
      </c>
      <c r="C5589" t="s">
        <v>159</v>
      </c>
      <c r="D5589" t="s">
        <v>288</v>
      </c>
      <c r="E5589" t="s">
        <v>417</v>
      </c>
      <c r="F5589">
        <f>HYPERLINK("https://www.wikidata.org/wiki/Q33755832", "Q33755832")</f>
        <v>0</v>
      </c>
      <c r="G5589" t="s">
        <v>1033</v>
      </c>
      <c r="H5589" t="s">
        <v>5782</v>
      </c>
      <c r="I5589" t="s">
        <v>9630</v>
      </c>
      <c r="J5589" t="s">
        <v>11770</v>
      </c>
      <c r="K5589" t="s">
        <v>16171</v>
      </c>
      <c r="L5589">
        <f>HYPERLINK("https://www2.assemblee-nationale.fr/sycomore/fiche/(num_dept)/6179", "6179")</f>
        <v>0</v>
      </c>
      <c r="N5589">
        <f>HYPERLINK("https://www.wikidata.org/wiki/Q13077219", "Q13077219")</f>
        <v>0</v>
      </c>
      <c r="O5589" t="s">
        <v>20022</v>
      </c>
      <c r="Q5589" t="s">
        <v>20738</v>
      </c>
      <c r="R5589" t="s">
        <v>417</v>
      </c>
      <c r="S5589">
        <v>1483</v>
      </c>
    </row>
    <row r="5590" spans="1:19">
      <c r="A5590" t="s">
        <v>27</v>
      </c>
      <c r="B5590" t="s">
        <v>148</v>
      </c>
      <c r="C5590" t="s">
        <v>159</v>
      </c>
      <c r="D5590" t="s">
        <v>288</v>
      </c>
      <c r="E5590" t="s">
        <v>417</v>
      </c>
      <c r="F5590">
        <f>HYPERLINK("https://www.wikidata.org/wiki/Q33755832", "Q33755832")</f>
        <v>0</v>
      </c>
      <c r="G5590" t="s">
        <v>3161</v>
      </c>
      <c r="H5590" t="s">
        <v>7596</v>
      </c>
      <c r="I5590" t="s">
        <v>10671</v>
      </c>
      <c r="J5590" t="s">
        <v>13782</v>
      </c>
      <c r="K5590" t="s">
        <v>18157</v>
      </c>
      <c r="L5590">
        <f>HYPERLINK("https://www2.assemblee-nationale.fr/sycomore/fiche/(num_dept)/6203", "6203")</f>
        <v>0</v>
      </c>
      <c r="N5590">
        <f>HYPERLINK("https://www.wikidata.org/wiki/Q16026463", "Q16026463")</f>
        <v>0</v>
      </c>
      <c r="O5590" t="s">
        <v>19972</v>
      </c>
      <c r="P5590" t="s">
        <v>20460</v>
      </c>
      <c r="Q5590" t="s">
        <v>20738</v>
      </c>
      <c r="R5590" t="s">
        <v>21529</v>
      </c>
      <c r="S5590">
        <v>132</v>
      </c>
    </row>
    <row r="5591" spans="1:19">
      <c r="A5591" t="s">
        <v>27</v>
      </c>
      <c r="B5591" t="s">
        <v>148</v>
      </c>
      <c r="C5591" t="s">
        <v>159</v>
      </c>
      <c r="D5591" t="s">
        <v>288</v>
      </c>
      <c r="E5591" t="s">
        <v>417</v>
      </c>
      <c r="F5591">
        <f>HYPERLINK("https://www.wikidata.org/wiki/Q33755832", "Q33755832")</f>
        <v>0</v>
      </c>
      <c r="G5591" t="s">
        <v>3493</v>
      </c>
      <c r="H5591" t="s">
        <v>7799</v>
      </c>
      <c r="I5591" t="s">
        <v>9523</v>
      </c>
      <c r="J5591" t="s">
        <v>14092</v>
      </c>
      <c r="K5591" t="s">
        <v>18457</v>
      </c>
      <c r="L5591">
        <f>HYPERLINK("https://www2.assemblee-nationale.fr/sycomore/fiche/(num_dept)/6215", "6215")</f>
        <v>0</v>
      </c>
      <c r="M5591">
        <f>HYPERLINK("https://www.senat.fr/senateur-3eme-republique/saint_germain_marcel1823r3.html", "saint_germain_marcel1823r3")</f>
        <v>0</v>
      </c>
      <c r="N5591">
        <f>HYPERLINK("https://www.wikidata.org/wiki/Q16798548", "Q16798548")</f>
        <v>0</v>
      </c>
      <c r="O5591" t="s">
        <v>20000</v>
      </c>
      <c r="P5591" t="s">
        <v>20482</v>
      </c>
      <c r="Q5591" t="s">
        <v>20738</v>
      </c>
      <c r="R5591" t="s">
        <v>417</v>
      </c>
      <c r="S5591">
        <v>1483</v>
      </c>
    </row>
    <row r="5592" spans="1:19">
      <c r="A5592" t="s">
        <v>27</v>
      </c>
      <c r="B5592" t="s">
        <v>148</v>
      </c>
      <c r="C5592" t="s">
        <v>159</v>
      </c>
      <c r="D5592" t="s">
        <v>288</v>
      </c>
      <c r="E5592" t="s">
        <v>417</v>
      </c>
      <c r="F5592">
        <f>HYPERLINK("https://www.wikidata.org/wiki/Q33755832", "Q33755832")</f>
        <v>0</v>
      </c>
      <c r="G5592" t="s">
        <v>2655</v>
      </c>
      <c r="H5592" t="s">
        <v>7195</v>
      </c>
      <c r="I5592" t="s">
        <v>9474</v>
      </c>
      <c r="J5592" t="s">
        <v>13297</v>
      </c>
      <c r="K5592" t="s">
        <v>17696</v>
      </c>
      <c r="L5592">
        <f>HYPERLINK("https://www2.assemblee-nationale.fr/sycomore/fiche/(num_dept)/6219", "6219")</f>
        <v>0</v>
      </c>
      <c r="N5592">
        <f>HYPERLINK("https://www.wikidata.org/wiki/Q3164428", "Q3164428")</f>
        <v>0</v>
      </c>
      <c r="O5592" t="s">
        <v>19969</v>
      </c>
      <c r="P5592" t="s">
        <v>20401</v>
      </c>
      <c r="Q5592" t="s">
        <v>20738</v>
      </c>
      <c r="R5592" t="s">
        <v>417</v>
      </c>
      <c r="S5592">
        <v>1483</v>
      </c>
    </row>
    <row r="5593" spans="1:19">
      <c r="A5593" t="s">
        <v>27</v>
      </c>
      <c r="B5593" t="s">
        <v>148</v>
      </c>
      <c r="C5593" t="s">
        <v>159</v>
      </c>
      <c r="D5593" t="s">
        <v>288</v>
      </c>
      <c r="E5593" t="s">
        <v>417</v>
      </c>
      <c r="F5593">
        <f>HYPERLINK("https://www.wikidata.org/wiki/Q33755832", "Q33755832")</f>
        <v>0</v>
      </c>
      <c r="G5593" t="s">
        <v>2656</v>
      </c>
      <c r="H5593" t="s">
        <v>7196</v>
      </c>
      <c r="I5593" t="s">
        <v>10343</v>
      </c>
      <c r="J5593" t="s">
        <v>13298</v>
      </c>
      <c r="K5593" t="s">
        <v>17697</v>
      </c>
      <c r="L5593">
        <f>HYPERLINK("https://www2.assemblee-nationale.fr/sycomore/fiche/(num_dept)/6222", "6222")</f>
        <v>0</v>
      </c>
      <c r="N5593">
        <f>HYPERLINK("https://www.wikidata.org/wiki/Q3592434", "Q3592434")</f>
        <v>0</v>
      </c>
      <c r="O5593" t="s">
        <v>19975</v>
      </c>
      <c r="P5593" t="s">
        <v>20460</v>
      </c>
      <c r="Q5593" t="s">
        <v>20738</v>
      </c>
      <c r="R5593" t="s">
        <v>417</v>
      </c>
      <c r="S5593">
        <v>1483</v>
      </c>
    </row>
    <row r="5594" spans="1:19">
      <c r="A5594" t="s">
        <v>27</v>
      </c>
      <c r="B5594" t="s">
        <v>148</v>
      </c>
      <c r="C5594" t="s">
        <v>159</v>
      </c>
      <c r="D5594" t="s">
        <v>288</v>
      </c>
      <c r="E5594" t="s">
        <v>417</v>
      </c>
      <c r="F5594">
        <f>HYPERLINK("https://www.wikidata.org/wiki/Q33755832", "Q33755832")</f>
        <v>0</v>
      </c>
      <c r="G5594" t="s">
        <v>2659</v>
      </c>
      <c r="H5594" t="s">
        <v>7199</v>
      </c>
      <c r="I5594" t="s">
        <v>9376</v>
      </c>
      <c r="J5594" t="s">
        <v>13300</v>
      </c>
      <c r="K5594" t="s">
        <v>17700</v>
      </c>
      <c r="L5594">
        <f>HYPERLINK("https://www2.assemblee-nationale.fr/sycomore/fiche/(num_dept)/6297", "6297")</f>
        <v>0</v>
      </c>
      <c r="M5594">
        <f>HYPERLINK("https://www.senat.fr/senateur-3eme-republique/sarrien_ferdinand1219r3.html", "sarrien_ferdinand1219r3")</f>
        <v>0</v>
      </c>
      <c r="N5594">
        <f>HYPERLINK("https://www.wikidata.org/wiki/Q718698", "Q718698")</f>
        <v>0</v>
      </c>
      <c r="O5594" t="s">
        <v>19994</v>
      </c>
      <c r="Q5594" t="s">
        <v>20738</v>
      </c>
      <c r="R5594" t="s">
        <v>417</v>
      </c>
      <c r="S5594">
        <v>1483</v>
      </c>
    </row>
    <row r="5595" spans="1:19">
      <c r="A5595" t="s">
        <v>27</v>
      </c>
      <c r="B5595" t="s">
        <v>148</v>
      </c>
      <c r="C5595" t="s">
        <v>159</v>
      </c>
      <c r="D5595" t="s">
        <v>288</v>
      </c>
      <c r="E5595" t="s">
        <v>417</v>
      </c>
      <c r="F5595">
        <f>HYPERLINK("https://www.wikidata.org/wiki/Q33755832", "Q33755832")</f>
        <v>0</v>
      </c>
      <c r="G5595" t="s">
        <v>3494</v>
      </c>
      <c r="H5595" t="s">
        <v>7864</v>
      </c>
      <c r="I5595" t="s">
        <v>5528</v>
      </c>
      <c r="J5595" t="s">
        <v>13235</v>
      </c>
      <c r="K5595" t="s">
        <v>18458</v>
      </c>
      <c r="L5595">
        <f>HYPERLINK("https://www2.assemblee-nationale.fr/sycomore/fiche/(num_dept)/6327", "6327")</f>
        <v>0</v>
      </c>
      <c r="M5595">
        <f>HYPERLINK("https://www.senat.fr/senateur-3eme-republique/say_leon1623r3.html", "say_leon1623r3")</f>
        <v>0</v>
      </c>
      <c r="N5595">
        <f>HYPERLINK("https://www.wikidata.org/wiki/Q3271322", "Q3271322")</f>
        <v>0</v>
      </c>
      <c r="O5595" t="s">
        <v>19970</v>
      </c>
      <c r="P5595" t="s">
        <v>20410</v>
      </c>
      <c r="Q5595" t="s">
        <v>20738</v>
      </c>
      <c r="R5595" t="s">
        <v>417</v>
      </c>
      <c r="S5595">
        <v>1483</v>
      </c>
    </row>
    <row r="5596" spans="1:19">
      <c r="A5596" t="s">
        <v>27</v>
      </c>
      <c r="B5596" t="s">
        <v>148</v>
      </c>
      <c r="C5596" t="s">
        <v>159</v>
      </c>
      <c r="D5596" t="s">
        <v>288</v>
      </c>
      <c r="E5596" t="s">
        <v>417</v>
      </c>
      <c r="F5596">
        <f>HYPERLINK("https://www.wikidata.org/wiki/Q33755832", "Q33755832")</f>
        <v>0</v>
      </c>
      <c r="G5596" t="s">
        <v>2660</v>
      </c>
      <c r="H5596" t="s">
        <v>7200</v>
      </c>
      <c r="I5596" t="s">
        <v>9407</v>
      </c>
      <c r="J5596" t="s">
        <v>13301</v>
      </c>
      <c r="K5596" t="s">
        <v>17701</v>
      </c>
      <c r="L5596">
        <f>HYPERLINK("https://www2.assemblee-nationale.fr/sycomore/fiche/(num_dept)/6386", "6386")</f>
        <v>0</v>
      </c>
      <c r="N5596">
        <f>HYPERLINK("https://www.wikidata.org/wiki/Q16026497", "Q16026497")</f>
        <v>0</v>
      </c>
      <c r="O5596" t="s">
        <v>20019</v>
      </c>
      <c r="Q5596" t="s">
        <v>20738</v>
      </c>
      <c r="R5596" t="s">
        <v>417</v>
      </c>
      <c r="S5596">
        <v>1483</v>
      </c>
    </row>
    <row r="5597" spans="1:19">
      <c r="A5597" t="s">
        <v>27</v>
      </c>
      <c r="B5597" t="s">
        <v>148</v>
      </c>
      <c r="C5597" t="s">
        <v>159</v>
      </c>
      <c r="D5597" t="s">
        <v>288</v>
      </c>
      <c r="E5597" t="s">
        <v>417</v>
      </c>
      <c r="F5597">
        <f>HYPERLINK("https://www.wikidata.org/wiki/Q33755832", "Q33755832")</f>
        <v>0</v>
      </c>
      <c r="G5597" t="s">
        <v>2661</v>
      </c>
      <c r="H5597" t="s">
        <v>7201</v>
      </c>
      <c r="I5597" t="s">
        <v>10346</v>
      </c>
      <c r="J5597" t="s">
        <v>13302</v>
      </c>
      <c r="K5597" t="s">
        <v>17702</v>
      </c>
      <c r="L5597">
        <f>HYPERLINK("https://www2.assemblee-nationale.fr/sycomore/fiche/(num_dept)/6397", "6397")</f>
        <v>0</v>
      </c>
      <c r="N5597">
        <f>HYPERLINK("https://www.wikidata.org/wiki/Q3121020", "Q3121020")</f>
        <v>0</v>
      </c>
      <c r="O5597" t="s">
        <v>19982</v>
      </c>
      <c r="P5597" t="s">
        <v>20460</v>
      </c>
      <c r="Q5597" t="s">
        <v>20738</v>
      </c>
      <c r="R5597" t="s">
        <v>417</v>
      </c>
      <c r="S5597">
        <v>1483</v>
      </c>
    </row>
    <row r="5598" spans="1:19">
      <c r="A5598" t="s">
        <v>27</v>
      </c>
      <c r="B5598" t="s">
        <v>148</v>
      </c>
      <c r="C5598" t="s">
        <v>159</v>
      </c>
      <c r="D5598" t="s">
        <v>288</v>
      </c>
      <c r="E5598" t="s">
        <v>417</v>
      </c>
      <c r="F5598">
        <f>HYPERLINK("https://www.wikidata.org/wiki/Q33755832", "Q33755832")</f>
        <v>0</v>
      </c>
      <c r="G5598" t="s">
        <v>3495</v>
      </c>
      <c r="H5598" t="s">
        <v>7865</v>
      </c>
      <c r="I5598" t="s">
        <v>9446</v>
      </c>
      <c r="J5598" t="s">
        <v>14093</v>
      </c>
      <c r="K5598" t="s">
        <v>18181</v>
      </c>
      <c r="L5598">
        <f>HYPERLINK("https://www2.assemblee-nationale.fr/sycomore/fiche/(num_dept)/6424", "6424")</f>
        <v>0</v>
      </c>
      <c r="M5598">
        <f>HYPERLINK("https://www.senat.fr/senateur-3eme-republique/de_breil_de_pontbriand_fernand1284r3.html", "de_breil_de_pontbriand_fernand1284r3")</f>
        <v>0</v>
      </c>
      <c r="N5598">
        <f>HYPERLINK("https://www.wikidata.org/wiki/Q3069390", "Q3069390")</f>
        <v>0</v>
      </c>
      <c r="O5598" t="s">
        <v>20023</v>
      </c>
      <c r="Q5598" t="s">
        <v>20738</v>
      </c>
      <c r="R5598" t="s">
        <v>417</v>
      </c>
      <c r="S5598">
        <v>1483</v>
      </c>
    </row>
    <row r="5599" spans="1:19">
      <c r="A5599" t="s">
        <v>27</v>
      </c>
      <c r="B5599" t="s">
        <v>148</v>
      </c>
      <c r="C5599" t="s">
        <v>159</v>
      </c>
      <c r="D5599" t="s">
        <v>288</v>
      </c>
      <c r="E5599" t="s">
        <v>417</v>
      </c>
      <c r="F5599">
        <f>HYPERLINK("https://www.wikidata.org/wiki/Q33755832", "Q33755832")</f>
        <v>0</v>
      </c>
      <c r="G5599" t="s">
        <v>3496</v>
      </c>
      <c r="H5599" t="s">
        <v>5546</v>
      </c>
      <c r="I5599" t="s">
        <v>10847</v>
      </c>
      <c r="J5599" t="s">
        <v>14094</v>
      </c>
      <c r="K5599" t="s">
        <v>17718</v>
      </c>
      <c r="L5599">
        <f>HYPERLINK("https://www2.assemblee-nationale.fr/sycomore/fiche/(num_dept)/6434", "6434")</f>
        <v>0</v>
      </c>
      <c r="N5599">
        <f>HYPERLINK("https://www.wikidata.org/wiki/Q2861944", "Q2861944")</f>
        <v>0</v>
      </c>
      <c r="O5599" t="s">
        <v>19998</v>
      </c>
      <c r="Q5599" t="s">
        <v>20738</v>
      </c>
      <c r="R5599" t="s">
        <v>417</v>
      </c>
      <c r="S5599">
        <v>1483</v>
      </c>
    </row>
    <row r="5600" spans="1:19">
      <c r="A5600" t="s">
        <v>27</v>
      </c>
      <c r="B5600" t="s">
        <v>148</v>
      </c>
      <c r="C5600" t="s">
        <v>159</v>
      </c>
      <c r="D5600" t="s">
        <v>288</v>
      </c>
      <c r="E5600" t="s">
        <v>417</v>
      </c>
      <c r="F5600">
        <f>HYPERLINK("https://www.wikidata.org/wiki/Q33755832", "Q33755832")</f>
        <v>0</v>
      </c>
      <c r="G5600" t="s">
        <v>3281</v>
      </c>
      <c r="H5600" t="s">
        <v>7695</v>
      </c>
      <c r="I5600" t="s">
        <v>10744</v>
      </c>
      <c r="J5600" t="s">
        <v>13895</v>
      </c>
      <c r="K5600" t="s">
        <v>18267</v>
      </c>
      <c r="L5600">
        <f>HYPERLINK("https://www2.assemblee-nationale.fr/sycomore/fiche/(num_dept)/6455", "6455")</f>
        <v>0</v>
      </c>
      <c r="N5600">
        <f>HYPERLINK("https://www.wikidata.org/wiki/Q3557515", "Q3557515")</f>
        <v>0</v>
      </c>
      <c r="O5600" t="s">
        <v>20041</v>
      </c>
      <c r="P5600" t="s">
        <v>20401</v>
      </c>
      <c r="Q5600" t="s">
        <v>20738</v>
      </c>
      <c r="R5600" t="s">
        <v>417</v>
      </c>
      <c r="S5600">
        <v>1483</v>
      </c>
    </row>
    <row r="5601" spans="1:19">
      <c r="A5601" t="s">
        <v>27</v>
      </c>
      <c r="B5601" t="s">
        <v>148</v>
      </c>
      <c r="C5601" t="s">
        <v>159</v>
      </c>
      <c r="D5601" t="s">
        <v>288</v>
      </c>
      <c r="E5601" t="s">
        <v>417</v>
      </c>
      <c r="F5601">
        <f>HYPERLINK("https://www.wikidata.org/wiki/Q33755832", "Q33755832")</f>
        <v>0</v>
      </c>
      <c r="G5601" t="s">
        <v>2663</v>
      </c>
      <c r="H5601" t="s">
        <v>7203</v>
      </c>
      <c r="I5601" t="s">
        <v>10348</v>
      </c>
      <c r="J5601" t="s">
        <v>13304</v>
      </c>
      <c r="K5601" t="s">
        <v>17704</v>
      </c>
      <c r="L5601">
        <f>HYPERLINK("https://www2.assemblee-nationale.fr/sycomore/fiche/(num_dept)/6484", "6484")</f>
        <v>0</v>
      </c>
      <c r="N5601">
        <f>HYPERLINK("https://www.wikidata.org/wiki/Q15969647", "Q15969647")</f>
        <v>0</v>
      </c>
      <c r="O5601" t="s">
        <v>20045</v>
      </c>
      <c r="P5601" t="s">
        <v>20460</v>
      </c>
      <c r="Q5601" t="s">
        <v>20738</v>
      </c>
      <c r="R5601" t="s">
        <v>417</v>
      </c>
      <c r="S5601">
        <v>1483</v>
      </c>
    </row>
    <row r="5602" spans="1:19">
      <c r="A5602" t="s">
        <v>27</v>
      </c>
      <c r="B5602" t="s">
        <v>148</v>
      </c>
      <c r="C5602" t="s">
        <v>159</v>
      </c>
      <c r="D5602" t="s">
        <v>288</v>
      </c>
      <c r="E5602" t="s">
        <v>417</v>
      </c>
      <c r="F5602">
        <f>HYPERLINK("https://www.wikidata.org/wiki/Q33755832", "Q33755832")</f>
        <v>0</v>
      </c>
      <c r="G5602" t="s">
        <v>3164</v>
      </c>
      <c r="H5602" t="s">
        <v>6292</v>
      </c>
      <c r="I5602" t="s">
        <v>10674</v>
      </c>
      <c r="J5602" t="s">
        <v>13785</v>
      </c>
      <c r="K5602" t="s">
        <v>18160</v>
      </c>
      <c r="L5602">
        <f>HYPERLINK("https://www2.assemblee-nationale.fr/sycomore/fiche/(num_dept)/6496", "6496")</f>
        <v>0</v>
      </c>
      <c r="M5602">
        <f>HYPERLINK("https://www.senat.fr/senateur-3eme-republique/prevet_charles1608r3.html", "prevet_charles1608r3")</f>
        <v>0</v>
      </c>
      <c r="N5602">
        <f>HYPERLINK("https://www.wikidata.org/wiki/Q2960051", "Q2960051")</f>
        <v>0</v>
      </c>
      <c r="O5602" t="s">
        <v>20026</v>
      </c>
      <c r="P5602" t="s">
        <v>20401</v>
      </c>
      <c r="Q5602" t="s">
        <v>20738</v>
      </c>
      <c r="R5602" t="s">
        <v>417</v>
      </c>
      <c r="S5602">
        <v>1483</v>
      </c>
    </row>
    <row r="5603" spans="1:19">
      <c r="A5603" t="s">
        <v>27</v>
      </c>
      <c r="B5603" t="s">
        <v>148</v>
      </c>
      <c r="C5603" t="s">
        <v>159</v>
      </c>
      <c r="D5603" t="s">
        <v>288</v>
      </c>
      <c r="E5603" t="s">
        <v>417</v>
      </c>
      <c r="F5603">
        <f>HYPERLINK("https://www.wikidata.org/wiki/Q33755832", "Q33755832")</f>
        <v>0</v>
      </c>
      <c r="G5603" t="s">
        <v>3497</v>
      </c>
      <c r="H5603" t="s">
        <v>7866</v>
      </c>
      <c r="I5603" t="s">
        <v>9483</v>
      </c>
      <c r="J5603" t="s">
        <v>14095</v>
      </c>
      <c r="K5603" t="s">
        <v>18459</v>
      </c>
      <c r="L5603">
        <f>HYPERLINK("https://www2.assemblee-nationale.fr/sycomore/fiche/(num_dept)/6514", "6514")</f>
        <v>0</v>
      </c>
      <c r="N5603">
        <f>HYPERLINK("https://www.wikidata.org/wiki/Q16026376", "Q16026376")</f>
        <v>0</v>
      </c>
      <c r="O5603" t="s">
        <v>20002</v>
      </c>
      <c r="Q5603" t="s">
        <v>20738</v>
      </c>
      <c r="R5603" t="s">
        <v>18459</v>
      </c>
      <c r="S5603">
        <v>570</v>
      </c>
    </row>
    <row r="5604" spans="1:19">
      <c r="A5604" t="s">
        <v>27</v>
      </c>
      <c r="B5604" t="s">
        <v>148</v>
      </c>
      <c r="C5604" t="s">
        <v>159</v>
      </c>
      <c r="D5604" t="s">
        <v>288</v>
      </c>
      <c r="E5604" t="s">
        <v>417</v>
      </c>
      <c r="F5604">
        <f>HYPERLINK("https://www.wikidata.org/wiki/Q33755832", "Q33755832")</f>
        <v>0</v>
      </c>
      <c r="G5604" t="s">
        <v>3498</v>
      </c>
      <c r="H5604" t="s">
        <v>7867</v>
      </c>
      <c r="I5604" t="s">
        <v>9605</v>
      </c>
      <c r="J5604" t="s">
        <v>14096</v>
      </c>
      <c r="K5604" t="s">
        <v>18460</v>
      </c>
      <c r="L5604">
        <f>HYPERLINK("https://www2.assemblee-nationale.fr/sycomore/fiche/(num_dept)/6564", "6564")</f>
        <v>0</v>
      </c>
      <c r="M5604">
        <f>HYPERLINK("https://www.senat.fr/senateur-3eme-republique/quintaa_justin1048r3.html", "quintaa_justin1048r3")</f>
        <v>0</v>
      </c>
      <c r="N5604">
        <f>HYPERLINK("https://www.wikidata.org/wiki/Q3190491", "Q3190491")</f>
        <v>0</v>
      </c>
      <c r="O5604" t="s">
        <v>19970</v>
      </c>
      <c r="Q5604" t="s">
        <v>20738</v>
      </c>
      <c r="R5604" t="s">
        <v>417</v>
      </c>
      <c r="S5604">
        <v>1483</v>
      </c>
    </row>
    <row r="5605" spans="1:19">
      <c r="A5605" t="s">
        <v>27</v>
      </c>
      <c r="B5605" t="s">
        <v>148</v>
      </c>
      <c r="C5605" t="s">
        <v>159</v>
      </c>
      <c r="D5605" t="s">
        <v>288</v>
      </c>
      <c r="E5605" t="s">
        <v>417</v>
      </c>
      <c r="F5605">
        <f>HYPERLINK("https://www.wikidata.org/wiki/Q33755832", "Q33755832")</f>
        <v>0</v>
      </c>
      <c r="G5605" t="s">
        <v>1045</v>
      </c>
      <c r="H5605" t="s">
        <v>5793</v>
      </c>
      <c r="I5605" t="s">
        <v>9639</v>
      </c>
      <c r="J5605" t="s">
        <v>11782</v>
      </c>
      <c r="K5605" t="s">
        <v>16183</v>
      </c>
      <c r="L5605">
        <f>HYPERLINK("https://www2.assemblee-nationale.fr/sycomore/fiche/(num_dept)/6593", "6593")</f>
        <v>0</v>
      </c>
      <c r="N5605">
        <f>HYPERLINK("https://www.wikidata.org/wiki/Q3069386", "Q3069386")</f>
        <v>0</v>
      </c>
      <c r="O5605" t="s">
        <v>20014</v>
      </c>
      <c r="Q5605" t="s">
        <v>20738</v>
      </c>
      <c r="R5605" t="s">
        <v>417</v>
      </c>
      <c r="S5605">
        <v>1483</v>
      </c>
    </row>
    <row r="5606" spans="1:19">
      <c r="A5606" t="s">
        <v>27</v>
      </c>
      <c r="B5606" t="s">
        <v>148</v>
      </c>
      <c r="C5606" t="s">
        <v>159</v>
      </c>
      <c r="D5606" t="s">
        <v>288</v>
      </c>
      <c r="E5606" t="s">
        <v>417</v>
      </c>
      <c r="F5606">
        <f>HYPERLINK("https://www.wikidata.org/wiki/Q33755832", "Q33755832")</f>
        <v>0</v>
      </c>
      <c r="G5606" t="s">
        <v>2665</v>
      </c>
      <c r="H5606" t="s">
        <v>5556</v>
      </c>
      <c r="I5606" t="s">
        <v>10349</v>
      </c>
      <c r="J5606" t="s">
        <v>13306</v>
      </c>
      <c r="K5606" t="s">
        <v>17706</v>
      </c>
      <c r="L5606">
        <f>HYPERLINK("https://www2.assemblee-nationale.fr/sycomore/fiche/(num_dept)/6613", "6613")</f>
        <v>0</v>
      </c>
      <c r="N5606">
        <f>HYPERLINK("https://www.wikidata.org/wiki/Q3121306", "Q3121306")</f>
        <v>0</v>
      </c>
      <c r="O5606" t="s">
        <v>19985</v>
      </c>
      <c r="P5606" t="s">
        <v>20460</v>
      </c>
      <c r="Q5606" t="s">
        <v>20738</v>
      </c>
      <c r="R5606" t="s">
        <v>417</v>
      </c>
      <c r="S5606">
        <v>1483</v>
      </c>
    </row>
    <row r="5607" spans="1:19">
      <c r="A5607" t="s">
        <v>27</v>
      </c>
      <c r="B5607" t="s">
        <v>148</v>
      </c>
      <c r="C5607" t="s">
        <v>159</v>
      </c>
      <c r="D5607" t="s">
        <v>288</v>
      </c>
      <c r="E5607" t="s">
        <v>417</v>
      </c>
      <c r="F5607">
        <f>HYPERLINK("https://www.wikidata.org/wiki/Q33755832", "Q33755832")</f>
        <v>0</v>
      </c>
      <c r="G5607" t="s">
        <v>2666</v>
      </c>
      <c r="H5607" t="s">
        <v>7204</v>
      </c>
      <c r="I5607" t="s">
        <v>5361</v>
      </c>
      <c r="J5607" t="s">
        <v>13307</v>
      </c>
      <c r="K5607" t="s">
        <v>17707</v>
      </c>
      <c r="L5607">
        <f>HYPERLINK("https://www2.assemblee-nationale.fr/sycomore/fiche/(num_dept)/6631", "6631")</f>
        <v>0</v>
      </c>
      <c r="M5607">
        <f>HYPERLINK("https://www.senat.fr/senateur-3eme-republique/raynal_david0206r3.html", "raynal_david0206r3")</f>
        <v>0</v>
      </c>
      <c r="N5607">
        <f>HYPERLINK("https://www.wikidata.org/wiki/Q3018665", "Q3018665")</f>
        <v>0</v>
      </c>
      <c r="O5607" t="s">
        <v>19987</v>
      </c>
      <c r="Q5607" t="s">
        <v>20738</v>
      </c>
      <c r="R5607" t="s">
        <v>417</v>
      </c>
      <c r="S5607">
        <v>1483</v>
      </c>
    </row>
    <row r="5608" spans="1:19">
      <c r="A5608" t="s">
        <v>27</v>
      </c>
      <c r="B5608" t="s">
        <v>148</v>
      </c>
      <c r="C5608" t="s">
        <v>159</v>
      </c>
      <c r="D5608" t="s">
        <v>288</v>
      </c>
      <c r="E5608" t="s">
        <v>417</v>
      </c>
      <c r="F5608">
        <f>HYPERLINK("https://www.wikidata.org/wiki/Q33755832", "Q33755832")</f>
        <v>0</v>
      </c>
      <c r="G5608" t="s">
        <v>3165</v>
      </c>
      <c r="H5608" t="s">
        <v>5558</v>
      </c>
      <c r="I5608" t="s">
        <v>10675</v>
      </c>
      <c r="J5608" t="s">
        <v>13786</v>
      </c>
      <c r="K5608" t="s">
        <v>18161</v>
      </c>
      <c r="L5608">
        <f>HYPERLINK("https://www2.assemblee-nationale.fr/sycomore/fiche/(num_dept)/6636", "6636")</f>
        <v>0</v>
      </c>
      <c r="M5608">
        <f>HYPERLINK("https://www.senat.fr/senateur-3eme-republique/razimbaud_jules0239r3.html", "razimbaud_jules0239r3")</f>
        <v>0</v>
      </c>
      <c r="N5608">
        <f>HYPERLINK("https://www.wikidata.org/wiki/Q3188871", "Q3188871")</f>
        <v>0</v>
      </c>
      <c r="O5608" t="s">
        <v>7411</v>
      </c>
      <c r="Q5608" t="s">
        <v>20738</v>
      </c>
      <c r="R5608" t="s">
        <v>417</v>
      </c>
      <c r="S5608">
        <v>1483</v>
      </c>
    </row>
    <row r="5609" spans="1:19">
      <c r="A5609" t="s">
        <v>27</v>
      </c>
      <c r="B5609" t="s">
        <v>148</v>
      </c>
      <c r="C5609" t="s">
        <v>159</v>
      </c>
      <c r="D5609" t="s">
        <v>288</v>
      </c>
      <c r="E5609" t="s">
        <v>417</v>
      </c>
      <c r="F5609">
        <f>HYPERLINK("https://www.wikidata.org/wiki/Q33755832", "Q33755832")</f>
        <v>0</v>
      </c>
      <c r="G5609" t="s">
        <v>2668</v>
      </c>
      <c r="H5609" t="s">
        <v>5559</v>
      </c>
      <c r="I5609" t="s">
        <v>10351</v>
      </c>
      <c r="J5609" t="s">
        <v>13309</v>
      </c>
      <c r="K5609" t="s">
        <v>17709</v>
      </c>
      <c r="L5609">
        <f>HYPERLINK("https://www2.assemblee-nationale.fr/sycomore/fiche/(num_dept)/6661", "6661")</f>
        <v>0</v>
      </c>
      <c r="N5609">
        <f>HYPERLINK("https://www.wikidata.org/wiki/Q3426803", "Q3426803")</f>
        <v>0</v>
      </c>
      <c r="O5609" t="s">
        <v>19962</v>
      </c>
      <c r="P5609" t="s">
        <v>20460</v>
      </c>
      <c r="Q5609" t="s">
        <v>20738</v>
      </c>
      <c r="R5609" t="s">
        <v>417</v>
      </c>
      <c r="S5609">
        <v>1483</v>
      </c>
    </row>
    <row r="5610" spans="1:19">
      <c r="A5610" t="s">
        <v>27</v>
      </c>
      <c r="B5610" t="s">
        <v>148</v>
      </c>
      <c r="C5610" t="s">
        <v>159</v>
      </c>
      <c r="D5610" t="s">
        <v>288</v>
      </c>
      <c r="E5610" t="s">
        <v>417</v>
      </c>
      <c r="F5610">
        <f>HYPERLINK("https://www.wikidata.org/wiki/Q33755832", "Q33755832")</f>
        <v>0</v>
      </c>
      <c r="G5610" t="s">
        <v>1048</v>
      </c>
      <c r="H5610" t="s">
        <v>5560</v>
      </c>
      <c r="I5610" t="s">
        <v>9407</v>
      </c>
      <c r="J5610" t="s">
        <v>11785</v>
      </c>
      <c r="K5610" t="s">
        <v>16186</v>
      </c>
      <c r="L5610">
        <f>HYPERLINK("https://www2.assemblee-nationale.fr/sycomore/fiche/(num_dept)/6663", "6663")</f>
        <v>0</v>
      </c>
      <c r="N5610">
        <f>HYPERLINK("https://www.wikidata.org/wiki/Q172161", "Q172161")</f>
        <v>0</v>
      </c>
      <c r="O5610" t="s">
        <v>20033</v>
      </c>
      <c r="Q5610" t="s">
        <v>20738</v>
      </c>
      <c r="R5610" t="s">
        <v>417</v>
      </c>
      <c r="S5610">
        <v>1483</v>
      </c>
    </row>
    <row r="5611" spans="1:19">
      <c r="A5611" t="s">
        <v>27</v>
      </c>
      <c r="B5611" t="s">
        <v>148</v>
      </c>
      <c r="C5611" t="s">
        <v>159</v>
      </c>
      <c r="D5611" t="s">
        <v>288</v>
      </c>
      <c r="E5611" t="s">
        <v>417</v>
      </c>
      <c r="F5611">
        <f>HYPERLINK("https://www.wikidata.org/wiki/Q33755832", "Q33755832")</f>
        <v>0</v>
      </c>
      <c r="G5611" t="s">
        <v>3499</v>
      </c>
      <c r="H5611" t="s">
        <v>7868</v>
      </c>
      <c r="I5611" t="s">
        <v>10848</v>
      </c>
      <c r="J5611" t="s">
        <v>14097</v>
      </c>
      <c r="K5611" t="s">
        <v>18461</v>
      </c>
      <c r="L5611">
        <f>HYPERLINK("https://www2.assemblee-nationale.fr/sycomore/fiche/(num_dept)/6694", "6694")</f>
        <v>0</v>
      </c>
      <c r="N5611">
        <f>HYPERLINK("https://www.wikidata.org/wiki/Q16026408", "Q16026408")</f>
        <v>0</v>
      </c>
      <c r="O5611" t="s">
        <v>19969</v>
      </c>
      <c r="Q5611" t="s">
        <v>20738</v>
      </c>
      <c r="R5611" t="s">
        <v>417</v>
      </c>
      <c r="S5611">
        <v>1483</v>
      </c>
    </row>
    <row r="5612" spans="1:19">
      <c r="A5612" t="s">
        <v>27</v>
      </c>
      <c r="B5612" t="s">
        <v>148</v>
      </c>
      <c r="C5612" t="s">
        <v>159</v>
      </c>
      <c r="D5612" t="s">
        <v>288</v>
      </c>
      <c r="E5612" t="s">
        <v>417</v>
      </c>
      <c r="F5612">
        <f>HYPERLINK("https://www.wikidata.org/wiki/Q33755832", "Q33755832")</f>
        <v>0</v>
      </c>
      <c r="G5612" t="s">
        <v>2670</v>
      </c>
      <c r="H5612" t="s">
        <v>7207</v>
      </c>
      <c r="I5612" t="s">
        <v>10353</v>
      </c>
      <c r="J5612" t="s">
        <v>13311</v>
      </c>
      <c r="K5612" t="s">
        <v>17711</v>
      </c>
      <c r="L5612">
        <f>HYPERLINK("https://www2.assemblee-nationale.fr/sycomore/fiche/(num_dept)/6697", "6697")</f>
        <v>0</v>
      </c>
      <c r="N5612">
        <f>HYPERLINK("https://www.wikidata.org/wiki/Q2856699", "Q2856699")</f>
        <v>0</v>
      </c>
      <c r="O5612" t="s">
        <v>19969</v>
      </c>
      <c r="Q5612" t="s">
        <v>20738</v>
      </c>
      <c r="R5612" t="s">
        <v>417</v>
      </c>
      <c r="S5612">
        <v>1483</v>
      </c>
    </row>
    <row r="5613" spans="1:19">
      <c r="A5613" t="s">
        <v>27</v>
      </c>
      <c r="B5613" t="s">
        <v>148</v>
      </c>
      <c r="C5613" t="s">
        <v>159</v>
      </c>
      <c r="D5613" t="s">
        <v>288</v>
      </c>
      <c r="E5613" t="s">
        <v>417</v>
      </c>
      <c r="F5613">
        <f>HYPERLINK("https://www.wikidata.org/wiki/Q33755832", "Q33755832")</f>
        <v>0</v>
      </c>
      <c r="G5613" t="s">
        <v>3284</v>
      </c>
      <c r="H5613" t="s">
        <v>7480</v>
      </c>
      <c r="I5613" t="s">
        <v>10747</v>
      </c>
      <c r="J5613" t="s">
        <v>13898</v>
      </c>
      <c r="K5613" t="s">
        <v>18270</v>
      </c>
      <c r="L5613">
        <f>HYPERLINK("https://www2.assemblee-nationale.fr/sycomore/fiche/(num_dept)/6700", "6700")</f>
        <v>0</v>
      </c>
      <c r="N5613">
        <f>HYPERLINK("https://www.wikidata.org/wiki/Q2861372", "Q2861372")</f>
        <v>0</v>
      </c>
      <c r="O5613" t="s">
        <v>20006</v>
      </c>
      <c r="Q5613" t="s">
        <v>20738</v>
      </c>
      <c r="R5613" t="s">
        <v>417</v>
      </c>
      <c r="S5613">
        <v>1483</v>
      </c>
    </row>
    <row r="5614" spans="1:19">
      <c r="A5614" t="s">
        <v>27</v>
      </c>
      <c r="B5614" t="s">
        <v>148</v>
      </c>
      <c r="C5614" t="s">
        <v>159</v>
      </c>
      <c r="D5614" t="s">
        <v>288</v>
      </c>
      <c r="E5614" t="s">
        <v>417</v>
      </c>
      <c r="F5614">
        <f>HYPERLINK("https://www.wikidata.org/wiki/Q33755832", "Q33755832")</f>
        <v>0</v>
      </c>
      <c r="G5614" t="s">
        <v>3500</v>
      </c>
      <c r="H5614" t="s">
        <v>7480</v>
      </c>
      <c r="I5614" t="s">
        <v>10849</v>
      </c>
      <c r="J5614" t="s">
        <v>14098</v>
      </c>
      <c r="K5614" t="s">
        <v>18462</v>
      </c>
      <c r="L5614">
        <f>HYPERLINK("https://www2.assemblee-nationale.fr/sycomore/fiche/(num_dept)/6701", "6701")</f>
        <v>0</v>
      </c>
      <c r="M5614">
        <f>HYPERLINK("https://www.senat.fr/senateur-3eme-republique/rey_emile0613r3.html", "rey_emile0613r3")</f>
        <v>0</v>
      </c>
      <c r="N5614">
        <f>HYPERLINK("https://www.wikidata.org/wiki/Q3588712", "Q3588712")</f>
        <v>0</v>
      </c>
      <c r="O5614" t="s">
        <v>19974</v>
      </c>
      <c r="P5614" t="s">
        <v>20459</v>
      </c>
      <c r="Q5614" t="s">
        <v>20738</v>
      </c>
      <c r="R5614" t="s">
        <v>417</v>
      </c>
      <c r="S5614">
        <v>1483</v>
      </c>
    </row>
    <row r="5615" spans="1:19">
      <c r="A5615" t="s">
        <v>27</v>
      </c>
      <c r="B5615" t="s">
        <v>148</v>
      </c>
      <c r="C5615" t="s">
        <v>159</v>
      </c>
      <c r="D5615" t="s">
        <v>288</v>
      </c>
      <c r="E5615" t="s">
        <v>417</v>
      </c>
      <c r="F5615">
        <f>HYPERLINK("https://www.wikidata.org/wiki/Q33755832", "Q33755832")</f>
        <v>0</v>
      </c>
      <c r="G5615" t="s">
        <v>3167</v>
      </c>
      <c r="H5615" t="s">
        <v>7599</v>
      </c>
      <c r="I5615" t="s">
        <v>10677</v>
      </c>
      <c r="J5615" t="s">
        <v>13788</v>
      </c>
      <c r="K5615" t="s">
        <v>18163</v>
      </c>
      <c r="L5615">
        <f>HYPERLINK("https://www2.assemblee-nationale.fr/sycomore/fiche/(num_dept)/6704", "6704")</f>
        <v>0</v>
      </c>
      <c r="N5615">
        <f>HYPERLINK("https://www.wikidata.org/wiki/Q8313709", "Q8313709")</f>
        <v>0</v>
      </c>
      <c r="O5615" t="s">
        <v>20041</v>
      </c>
      <c r="Q5615" t="s">
        <v>20738</v>
      </c>
      <c r="R5615" t="s">
        <v>417</v>
      </c>
      <c r="S5615">
        <v>1483</v>
      </c>
    </row>
    <row r="5616" spans="1:19">
      <c r="A5616" t="s">
        <v>27</v>
      </c>
      <c r="B5616" t="s">
        <v>148</v>
      </c>
      <c r="C5616" t="s">
        <v>159</v>
      </c>
      <c r="D5616" t="s">
        <v>288</v>
      </c>
      <c r="E5616" t="s">
        <v>417</v>
      </c>
      <c r="F5616">
        <f>HYPERLINK("https://www.wikidata.org/wiki/Q33755832", "Q33755832")</f>
        <v>0</v>
      </c>
      <c r="G5616" t="s">
        <v>2671</v>
      </c>
      <c r="H5616" t="s">
        <v>7208</v>
      </c>
      <c r="I5616" t="s">
        <v>9553</v>
      </c>
      <c r="J5616" t="s">
        <v>13312</v>
      </c>
      <c r="K5616" t="s">
        <v>17712</v>
      </c>
      <c r="L5616">
        <f>HYPERLINK("https://www2.assemblee-nationale.fr/sycomore/fiche/(num_dept)/6727", "6727")</f>
        <v>0</v>
      </c>
      <c r="M5616">
        <f>HYPERLINK("https://www.senat.fr/senateur-3eme-republique/ribot_alexandre0941r3.html", "ribot_alexandre0941r3")</f>
        <v>0</v>
      </c>
      <c r="N5616">
        <f>HYPERLINK("https://www.wikidata.org/wiki/Q358387", "Q358387")</f>
        <v>0</v>
      </c>
      <c r="O5616" t="s">
        <v>19968</v>
      </c>
      <c r="Q5616" t="s">
        <v>20738</v>
      </c>
      <c r="R5616" t="s">
        <v>417</v>
      </c>
      <c r="S5616">
        <v>1483</v>
      </c>
    </row>
    <row r="5617" spans="1:19">
      <c r="A5617" t="s">
        <v>27</v>
      </c>
      <c r="B5617" t="s">
        <v>148</v>
      </c>
      <c r="C5617" t="s">
        <v>159</v>
      </c>
      <c r="D5617" t="s">
        <v>288</v>
      </c>
      <c r="E5617" t="s">
        <v>417</v>
      </c>
      <c r="F5617">
        <f>HYPERLINK("https://www.wikidata.org/wiki/Q33755832", "Q33755832")</f>
        <v>0</v>
      </c>
      <c r="G5617" t="s">
        <v>2674</v>
      </c>
      <c r="H5617" t="s">
        <v>7209</v>
      </c>
      <c r="I5617" t="s">
        <v>10355</v>
      </c>
      <c r="J5617" t="s">
        <v>13315</v>
      </c>
      <c r="K5617" t="s">
        <v>17715</v>
      </c>
      <c r="L5617">
        <f>HYPERLINK("https://www2.assemblee-nationale.fr/sycomore/fiche/(num_dept)/6782", "6782")</f>
        <v>0</v>
      </c>
      <c r="M5617">
        <f>HYPERLINK("https://www.senat.fr/senateur-3eme-republique/riotteau_emile1031r3.html", "riotteau_emile1031r3")</f>
        <v>0</v>
      </c>
      <c r="N5617">
        <f>HYPERLINK("https://www.wikidata.org/wiki/Q3588719", "Q3588719")</f>
        <v>0</v>
      </c>
      <c r="O5617" t="s">
        <v>19985</v>
      </c>
      <c r="Q5617" t="s">
        <v>20738</v>
      </c>
      <c r="R5617" t="s">
        <v>417</v>
      </c>
      <c r="S5617">
        <v>1483</v>
      </c>
    </row>
    <row r="5618" spans="1:19">
      <c r="A5618" t="s">
        <v>27</v>
      </c>
      <c r="B5618" t="s">
        <v>148</v>
      </c>
      <c r="C5618" t="s">
        <v>159</v>
      </c>
      <c r="D5618" t="s">
        <v>288</v>
      </c>
      <c r="E5618" t="s">
        <v>417</v>
      </c>
      <c r="F5618">
        <f>HYPERLINK("https://www.wikidata.org/wiki/Q33755832", "Q33755832")</f>
        <v>0</v>
      </c>
      <c r="G5618" t="s">
        <v>3068</v>
      </c>
      <c r="H5618" t="s">
        <v>7303</v>
      </c>
      <c r="I5618" t="s">
        <v>10608</v>
      </c>
      <c r="J5618" t="s">
        <v>13692</v>
      </c>
      <c r="K5618" t="s">
        <v>18075</v>
      </c>
      <c r="L5618">
        <f>HYPERLINK("https://www2.assemblee-nationale.fr/sycomore/fiche/(num_dept)/6785", "6785")</f>
        <v>0</v>
      </c>
      <c r="N5618">
        <f>HYPERLINK("https://www.wikidata.org/wiki/Q3090160", "Q3090160")</f>
        <v>0</v>
      </c>
      <c r="O5618" t="s">
        <v>19964</v>
      </c>
      <c r="Q5618" t="s">
        <v>20738</v>
      </c>
      <c r="R5618" t="s">
        <v>417</v>
      </c>
      <c r="S5618">
        <v>1483</v>
      </c>
    </row>
    <row r="5619" spans="1:19">
      <c r="A5619" t="s">
        <v>27</v>
      </c>
      <c r="B5619" t="s">
        <v>148</v>
      </c>
      <c r="C5619" t="s">
        <v>159</v>
      </c>
      <c r="D5619" t="s">
        <v>288</v>
      </c>
      <c r="E5619" t="s">
        <v>417</v>
      </c>
      <c r="F5619">
        <f>HYPERLINK("https://www.wikidata.org/wiki/Q33755832", "Q33755832")</f>
        <v>0</v>
      </c>
      <c r="G5619" t="s">
        <v>1052</v>
      </c>
      <c r="H5619" t="s">
        <v>5799</v>
      </c>
      <c r="I5619" t="s">
        <v>9449</v>
      </c>
      <c r="J5619" t="s">
        <v>11789</v>
      </c>
      <c r="K5619" t="s">
        <v>16190</v>
      </c>
      <c r="L5619">
        <f>HYPERLINK("https://www2.assemblee-nationale.fr/sycomore/fiche/(num_dept)/6832", "6832")</f>
        <v>0</v>
      </c>
      <c r="M5619">
        <f>HYPERLINK("https://www.senat.fr/senateur-3eme-republique/siegfried_jules1584r3.html", "siegfried_jules1584r3")</f>
        <v>0</v>
      </c>
      <c r="N5619">
        <f>HYPERLINK("https://www.wikidata.org/wiki/Q3188910", "Q3188910")</f>
        <v>0</v>
      </c>
      <c r="O5619" t="s">
        <v>19978</v>
      </c>
      <c r="Q5619" t="s">
        <v>20738</v>
      </c>
      <c r="R5619" t="s">
        <v>417</v>
      </c>
      <c r="S5619">
        <v>1483</v>
      </c>
    </row>
    <row r="5620" spans="1:19">
      <c r="A5620" t="s">
        <v>27</v>
      </c>
      <c r="B5620" t="s">
        <v>148</v>
      </c>
      <c r="C5620" t="s">
        <v>159</v>
      </c>
      <c r="D5620" t="s">
        <v>288</v>
      </c>
      <c r="E5620" t="s">
        <v>417</v>
      </c>
      <c r="F5620">
        <f>HYPERLINK("https://www.wikidata.org/wiki/Q33755832", "Q33755832")</f>
        <v>0</v>
      </c>
      <c r="G5620" t="s">
        <v>3501</v>
      </c>
      <c r="H5620" t="s">
        <v>7869</v>
      </c>
      <c r="I5620" t="s">
        <v>9449</v>
      </c>
      <c r="J5620" t="s">
        <v>14099</v>
      </c>
      <c r="K5620" t="s">
        <v>18463</v>
      </c>
      <c r="L5620">
        <f>HYPERLINK("https://www2.assemblee-nationale.fr/sycomore/fiche/(num_dept)/6860", "6860")</f>
        <v>0</v>
      </c>
      <c r="N5620">
        <f>HYPERLINK("https://www.wikidata.org/wiki/Q16026511", "Q16026511")</f>
        <v>0</v>
      </c>
      <c r="O5620" t="s">
        <v>20013</v>
      </c>
      <c r="Q5620" t="s">
        <v>20738</v>
      </c>
      <c r="R5620" t="s">
        <v>417</v>
      </c>
      <c r="S5620">
        <v>1483</v>
      </c>
    </row>
    <row r="5621" spans="1:19">
      <c r="A5621" t="s">
        <v>27</v>
      </c>
      <c r="B5621" t="s">
        <v>148</v>
      </c>
      <c r="C5621" t="s">
        <v>159</v>
      </c>
      <c r="D5621" t="s">
        <v>288</v>
      </c>
      <c r="E5621" t="s">
        <v>417</v>
      </c>
      <c r="F5621">
        <f>HYPERLINK("https://www.wikidata.org/wiki/Q33755832", "Q33755832")</f>
        <v>0</v>
      </c>
      <c r="G5621" t="s">
        <v>3502</v>
      </c>
      <c r="H5621" t="s">
        <v>7870</v>
      </c>
      <c r="I5621" t="s">
        <v>10850</v>
      </c>
      <c r="J5621" t="s">
        <v>14100</v>
      </c>
      <c r="K5621" t="s">
        <v>18464</v>
      </c>
      <c r="L5621">
        <f>HYPERLINK("https://www2.assemblee-nationale.fr/sycomore/fiche/(num_dept)/6867", "6867")</f>
        <v>0</v>
      </c>
      <c r="N5621">
        <f>HYPERLINK("https://www.wikidata.org/wiki/Q3190989", "Q3190989")</f>
        <v>0</v>
      </c>
      <c r="O5621" t="s">
        <v>19962</v>
      </c>
      <c r="Q5621" t="s">
        <v>20738</v>
      </c>
      <c r="R5621" t="s">
        <v>21520</v>
      </c>
      <c r="S5621">
        <v>1369</v>
      </c>
    </row>
    <row r="5622" spans="1:19">
      <c r="A5622" t="s">
        <v>27</v>
      </c>
      <c r="B5622" t="s">
        <v>148</v>
      </c>
      <c r="C5622" t="s">
        <v>159</v>
      </c>
      <c r="D5622" t="s">
        <v>288</v>
      </c>
      <c r="E5622" t="s">
        <v>417</v>
      </c>
      <c r="F5622">
        <f>HYPERLINK("https://www.wikidata.org/wiki/Q33755832", "Q33755832")</f>
        <v>0</v>
      </c>
      <c r="G5622" t="s">
        <v>2677</v>
      </c>
      <c r="H5622" t="s">
        <v>7211</v>
      </c>
      <c r="I5622" t="s">
        <v>10358</v>
      </c>
      <c r="J5622" t="s">
        <v>13318</v>
      </c>
      <c r="K5622" t="s">
        <v>17718</v>
      </c>
      <c r="L5622">
        <f>HYPERLINK("https://www2.assemblee-nationale.fr/sycomore/fiche/(num_dept)/6868", "6868")</f>
        <v>0</v>
      </c>
      <c r="N5622">
        <f>HYPERLINK("https://www.wikidata.org/wiki/Q8299196", "Q8299196")</f>
        <v>0</v>
      </c>
      <c r="O5622" t="s">
        <v>19980</v>
      </c>
      <c r="Q5622" t="s">
        <v>20738</v>
      </c>
      <c r="R5622" t="s">
        <v>417</v>
      </c>
      <c r="S5622">
        <v>1483</v>
      </c>
    </row>
    <row r="5623" spans="1:19">
      <c r="A5623" t="s">
        <v>27</v>
      </c>
      <c r="B5623" t="s">
        <v>148</v>
      </c>
      <c r="C5623" t="s">
        <v>159</v>
      </c>
      <c r="D5623" t="s">
        <v>288</v>
      </c>
      <c r="E5623" t="s">
        <v>417</v>
      </c>
      <c r="F5623">
        <f>HYPERLINK("https://www.wikidata.org/wiki/Q33755832", "Q33755832")</f>
        <v>0</v>
      </c>
      <c r="G5623" t="s">
        <v>2678</v>
      </c>
      <c r="H5623" t="s">
        <v>7212</v>
      </c>
      <c r="I5623" t="s">
        <v>10359</v>
      </c>
      <c r="J5623" t="s">
        <v>13319</v>
      </c>
      <c r="K5623" t="s">
        <v>17719</v>
      </c>
      <c r="L5623">
        <f>HYPERLINK("https://www2.assemblee-nationale.fr/sycomore/fiche/(num_dept)/6875", "6875")</f>
        <v>0</v>
      </c>
      <c r="N5623">
        <f>HYPERLINK("https://www.wikidata.org/wiki/Q3167677", "Q3167677")</f>
        <v>0</v>
      </c>
      <c r="O5623" t="s">
        <v>19982</v>
      </c>
      <c r="P5623" t="s">
        <v>20460</v>
      </c>
      <c r="Q5623" t="s">
        <v>20738</v>
      </c>
      <c r="R5623" t="s">
        <v>417</v>
      </c>
      <c r="S5623">
        <v>1483</v>
      </c>
    </row>
    <row r="5624" spans="1:19">
      <c r="A5624" t="s">
        <v>27</v>
      </c>
      <c r="B5624" t="s">
        <v>148</v>
      </c>
      <c r="C5624" t="s">
        <v>159</v>
      </c>
      <c r="D5624" t="s">
        <v>288</v>
      </c>
      <c r="E5624" t="s">
        <v>417</v>
      </c>
      <c r="F5624">
        <f>HYPERLINK("https://www.wikidata.org/wiki/Q33755832", "Q33755832")</f>
        <v>0</v>
      </c>
      <c r="G5624" t="s">
        <v>2679</v>
      </c>
      <c r="H5624" t="s">
        <v>7213</v>
      </c>
      <c r="I5624" t="s">
        <v>10360</v>
      </c>
      <c r="J5624" t="s">
        <v>13320</v>
      </c>
      <c r="K5624" t="s">
        <v>17720</v>
      </c>
      <c r="L5624">
        <f>HYPERLINK("https://www2.assemblee-nationale.fr/sycomore/fiche/(num_dept)/6888", "6888")</f>
        <v>0</v>
      </c>
      <c r="N5624">
        <f>HYPERLINK("https://www.wikidata.org/wiki/Q16026519", "Q16026519")</f>
        <v>0</v>
      </c>
      <c r="O5624" t="s">
        <v>19995</v>
      </c>
      <c r="Q5624" t="s">
        <v>20738</v>
      </c>
      <c r="R5624" t="s">
        <v>17720</v>
      </c>
      <c r="S5624">
        <v>710</v>
      </c>
    </row>
    <row r="5625" spans="1:19">
      <c r="A5625" t="s">
        <v>27</v>
      </c>
      <c r="B5625" t="s">
        <v>148</v>
      </c>
      <c r="C5625" t="s">
        <v>159</v>
      </c>
      <c r="D5625" t="s">
        <v>288</v>
      </c>
      <c r="E5625" t="s">
        <v>417</v>
      </c>
      <c r="F5625">
        <f>HYPERLINK("https://www.wikidata.org/wiki/Q33755832", "Q33755832")</f>
        <v>0</v>
      </c>
      <c r="G5625" t="s">
        <v>2681</v>
      </c>
      <c r="H5625" t="s">
        <v>7215</v>
      </c>
      <c r="I5625" t="s">
        <v>9465</v>
      </c>
      <c r="J5625" t="s">
        <v>13322</v>
      </c>
      <c r="K5625" t="s">
        <v>17722</v>
      </c>
      <c r="L5625">
        <f>HYPERLINK("https://www2.assemblee-nationale.fr/sycomore/fiche/(num_dept)/6901", "6901")</f>
        <v>0</v>
      </c>
      <c r="M5625">
        <f>HYPERLINK("https://www.senat.fr/senateur-3eme-republique/spuller_eugene0548r3.html", "spuller_eugene0548r3")</f>
        <v>0</v>
      </c>
      <c r="N5625">
        <f>HYPERLINK("https://www.wikidata.org/wiki/Q3060180", "Q3060180")</f>
        <v>0</v>
      </c>
      <c r="O5625" t="s">
        <v>20002</v>
      </c>
      <c r="Q5625" t="s">
        <v>20738</v>
      </c>
      <c r="R5625" t="s">
        <v>21530</v>
      </c>
      <c r="S5625">
        <v>972</v>
      </c>
    </row>
    <row r="5626" spans="1:19">
      <c r="A5626" t="s">
        <v>27</v>
      </c>
      <c r="B5626" t="s">
        <v>148</v>
      </c>
      <c r="C5626" t="s">
        <v>159</v>
      </c>
      <c r="D5626" t="s">
        <v>288</v>
      </c>
      <c r="E5626" t="s">
        <v>417</v>
      </c>
      <c r="F5626">
        <f>HYPERLINK("https://www.wikidata.org/wiki/Q33755832", "Q33755832")</f>
        <v>0</v>
      </c>
      <c r="G5626" t="s">
        <v>3170</v>
      </c>
      <c r="H5626" t="s">
        <v>6034</v>
      </c>
      <c r="I5626" t="s">
        <v>10679</v>
      </c>
      <c r="J5626" t="s">
        <v>13791</v>
      </c>
      <c r="K5626" t="s">
        <v>18166</v>
      </c>
      <c r="L5626">
        <f>HYPERLINK("https://www2.assemblee-nationale.fr/sycomore/fiche/(num_dept)/6937", "6937")</f>
        <v>0</v>
      </c>
      <c r="N5626">
        <f>HYPERLINK("https://www.wikidata.org/wiki/Q16026528", "Q16026528")</f>
        <v>0</v>
      </c>
      <c r="O5626" t="s">
        <v>19968</v>
      </c>
      <c r="P5626" t="s">
        <v>20410</v>
      </c>
      <c r="Q5626" t="s">
        <v>20738</v>
      </c>
      <c r="R5626" t="s">
        <v>417</v>
      </c>
      <c r="S5626">
        <v>1483</v>
      </c>
    </row>
    <row r="5627" spans="1:19">
      <c r="A5627" t="s">
        <v>27</v>
      </c>
      <c r="B5627" t="s">
        <v>148</v>
      </c>
      <c r="C5627" t="s">
        <v>159</v>
      </c>
      <c r="D5627" t="s">
        <v>288</v>
      </c>
      <c r="E5627" t="s">
        <v>417</v>
      </c>
      <c r="F5627">
        <f>HYPERLINK("https://www.wikidata.org/wiki/Q33755832", "Q33755832")</f>
        <v>0</v>
      </c>
      <c r="G5627" t="s">
        <v>3503</v>
      </c>
      <c r="H5627" t="s">
        <v>7871</v>
      </c>
      <c r="I5627" t="s">
        <v>10851</v>
      </c>
      <c r="J5627" t="s">
        <v>14101</v>
      </c>
      <c r="K5627" t="s">
        <v>18465</v>
      </c>
      <c r="L5627">
        <f>HYPERLINK("https://www2.assemblee-nationale.fr/sycomore/fiche/(num_dept)/6945", "6945")</f>
        <v>0</v>
      </c>
      <c r="M5627">
        <f>HYPERLINK("https://www.senat.fr/senateur-3eme-republique/talou_leon0610r3.html", "talou_leon0610r3")</f>
        <v>0</v>
      </c>
      <c r="N5627">
        <f>HYPERLINK("https://www.wikidata.org/wiki/Q3271343", "Q3271343")</f>
        <v>0</v>
      </c>
      <c r="O5627" t="s">
        <v>19974</v>
      </c>
      <c r="P5627" t="s">
        <v>20471</v>
      </c>
      <c r="Q5627" t="s">
        <v>20738</v>
      </c>
      <c r="R5627" t="s">
        <v>417</v>
      </c>
      <c r="S5627">
        <v>1483</v>
      </c>
    </row>
    <row r="5628" spans="1:19">
      <c r="A5628" t="s">
        <v>27</v>
      </c>
      <c r="B5628" t="s">
        <v>148</v>
      </c>
      <c r="C5628" t="s">
        <v>159</v>
      </c>
      <c r="D5628" t="s">
        <v>288</v>
      </c>
      <c r="E5628" t="s">
        <v>417</v>
      </c>
      <c r="F5628">
        <f>HYPERLINK("https://www.wikidata.org/wiki/Q33755832", "Q33755832")</f>
        <v>0</v>
      </c>
      <c r="G5628" t="s">
        <v>2683</v>
      </c>
      <c r="H5628" t="s">
        <v>7216</v>
      </c>
      <c r="I5628" t="s">
        <v>6860</v>
      </c>
      <c r="J5628" t="s">
        <v>13324</v>
      </c>
      <c r="K5628" t="s">
        <v>17724</v>
      </c>
      <c r="L5628">
        <f>HYPERLINK("https://www2.assemblee-nationale.fr/sycomore/fiche/(num_dept)/6959", "6959")</f>
        <v>0</v>
      </c>
      <c r="M5628">
        <f>HYPERLINK("https://www.senat.fr/senateur-3eme-republique/tassin_pierre0376r3.html", "tassin_pierre0376r3")</f>
        <v>0</v>
      </c>
      <c r="N5628">
        <f>HYPERLINK("https://www.wikidata.org/wiki/Q2420595", "Q2420595")</f>
        <v>0</v>
      </c>
      <c r="O5628" t="s">
        <v>20039</v>
      </c>
      <c r="P5628" t="s">
        <v>20461</v>
      </c>
      <c r="Q5628" t="s">
        <v>20738</v>
      </c>
      <c r="R5628" t="s">
        <v>19258</v>
      </c>
      <c r="S5628">
        <v>1357</v>
      </c>
    </row>
    <row r="5629" spans="1:19">
      <c r="A5629" t="s">
        <v>27</v>
      </c>
      <c r="B5629" t="s">
        <v>148</v>
      </c>
      <c r="C5629" t="s">
        <v>159</v>
      </c>
      <c r="D5629" t="s">
        <v>288</v>
      </c>
      <c r="E5629" t="s">
        <v>417</v>
      </c>
      <c r="F5629">
        <f>HYPERLINK("https://www.wikidata.org/wiki/Q33755832", "Q33755832")</f>
        <v>0</v>
      </c>
      <c r="G5629" t="s">
        <v>3504</v>
      </c>
      <c r="H5629" t="s">
        <v>5870</v>
      </c>
      <c r="I5629" t="s">
        <v>10852</v>
      </c>
      <c r="J5629" t="s">
        <v>14102</v>
      </c>
      <c r="K5629" t="s">
        <v>18466</v>
      </c>
      <c r="L5629">
        <f>HYPERLINK("https://www2.assemblee-nationale.fr/sycomore/fiche/(num_dept)/6967", "6967")</f>
        <v>0</v>
      </c>
      <c r="N5629">
        <f>HYPERLINK("https://www.wikidata.org/wiki/Q16026537", "Q16026537")</f>
        <v>0</v>
      </c>
      <c r="O5629" t="s">
        <v>20021</v>
      </c>
      <c r="P5629" t="s">
        <v>20460</v>
      </c>
      <c r="Q5629" t="s">
        <v>20738</v>
      </c>
      <c r="R5629" t="s">
        <v>417</v>
      </c>
      <c r="S5629">
        <v>1483</v>
      </c>
    </row>
    <row r="5630" spans="1:19">
      <c r="A5630" t="s">
        <v>27</v>
      </c>
      <c r="B5630" t="s">
        <v>148</v>
      </c>
      <c r="C5630" t="s">
        <v>159</v>
      </c>
      <c r="D5630" t="s">
        <v>288</v>
      </c>
      <c r="E5630" t="s">
        <v>417</v>
      </c>
      <c r="F5630">
        <f>HYPERLINK("https://www.wikidata.org/wiki/Q33755832", "Q33755832")</f>
        <v>0</v>
      </c>
      <c r="G5630" t="s">
        <v>3505</v>
      </c>
      <c r="H5630" t="s">
        <v>7872</v>
      </c>
      <c r="I5630" t="s">
        <v>10853</v>
      </c>
      <c r="J5630" t="s">
        <v>14103</v>
      </c>
      <c r="K5630" t="s">
        <v>18467</v>
      </c>
      <c r="L5630">
        <f>HYPERLINK("https://www2.assemblee-nationale.fr/sycomore/fiche/(num_dept)/6996", "6996")</f>
        <v>0</v>
      </c>
      <c r="N5630">
        <f>HYPERLINK("https://www.wikidata.org/wiki/Q3263166", "Q3263166")</f>
        <v>0</v>
      </c>
      <c r="O5630" t="s">
        <v>19971</v>
      </c>
      <c r="Q5630" t="s">
        <v>20738</v>
      </c>
      <c r="R5630" t="s">
        <v>417</v>
      </c>
      <c r="S5630">
        <v>1483</v>
      </c>
    </row>
    <row r="5631" spans="1:19">
      <c r="A5631" t="s">
        <v>27</v>
      </c>
      <c r="B5631" t="s">
        <v>148</v>
      </c>
      <c r="C5631" t="s">
        <v>159</v>
      </c>
      <c r="D5631" t="s">
        <v>288</v>
      </c>
      <c r="E5631" t="s">
        <v>417</v>
      </c>
      <c r="F5631">
        <f>HYPERLINK("https://www.wikidata.org/wiki/Q33755832", "Q33755832")</f>
        <v>0</v>
      </c>
      <c r="G5631" t="s">
        <v>2684</v>
      </c>
      <c r="H5631" t="s">
        <v>7217</v>
      </c>
      <c r="I5631" t="s">
        <v>10362</v>
      </c>
      <c r="J5631" t="s">
        <v>13325</v>
      </c>
      <c r="K5631" t="s">
        <v>17725</v>
      </c>
      <c r="L5631">
        <f>HYPERLINK("https://www2.assemblee-nationale.fr/sycomore/fiche/(num_dept)/6998", "6998")</f>
        <v>0</v>
      </c>
      <c r="N5631">
        <f>HYPERLINK("https://www.wikidata.org/wiki/Q8299209", "Q8299209")</f>
        <v>0</v>
      </c>
      <c r="O5631" t="s">
        <v>19980</v>
      </c>
      <c r="P5631" t="s">
        <v>20460</v>
      </c>
      <c r="Q5631" t="s">
        <v>20738</v>
      </c>
      <c r="R5631" t="s">
        <v>417</v>
      </c>
      <c r="S5631">
        <v>1483</v>
      </c>
    </row>
    <row r="5632" spans="1:19">
      <c r="A5632" t="s">
        <v>27</v>
      </c>
      <c r="B5632" t="s">
        <v>148</v>
      </c>
      <c r="C5632" t="s">
        <v>159</v>
      </c>
      <c r="D5632" t="s">
        <v>288</v>
      </c>
      <c r="E5632" t="s">
        <v>417</v>
      </c>
      <c r="F5632">
        <f>HYPERLINK("https://www.wikidata.org/wiki/Q33755832", "Q33755832")</f>
        <v>0</v>
      </c>
      <c r="G5632" t="s">
        <v>3171</v>
      </c>
      <c r="H5632" t="s">
        <v>7602</v>
      </c>
      <c r="I5632" t="s">
        <v>10680</v>
      </c>
      <c r="J5632" t="s">
        <v>13792</v>
      </c>
      <c r="K5632" t="s">
        <v>18167</v>
      </c>
      <c r="L5632">
        <f>HYPERLINK("https://www2.assemblee-nationale.fr/sycomore/fiche/(num_dept)/7014", "7014")</f>
        <v>0</v>
      </c>
      <c r="N5632">
        <f>HYPERLINK("https://www.wikidata.org/wiki/Q16026549", "Q16026549")</f>
        <v>0</v>
      </c>
      <c r="O5632" t="s">
        <v>20013</v>
      </c>
      <c r="P5632" t="s">
        <v>20460</v>
      </c>
      <c r="Q5632" t="s">
        <v>20738</v>
      </c>
      <c r="R5632" t="s">
        <v>417</v>
      </c>
      <c r="S5632">
        <v>1483</v>
      </c>
    </row>
    <row r="5633" spans="1:19">
      <c r="A5633" t="s">
        <v>27</v>
      </c>
      <c r="B5633" t="s">
        <v>148</v>
      </c>
      <c r="C5633" t="s">
        <v>159</v>
      </c>
      <c r="D5633" t="s">
        <v>288</v>
      </c>
      <c r="E5633" t="s">
        <v>417</v>
      </c>
      <c r="F5633">
        <f>HYPERLINK("https://www.wikidata.org/wiki/Q33755832", "Q33755832")</f>
        <v>0</v>
      </c>
      <c r="G5633" t="s">
        <v>3286</v>
      </c>
      <c r="H5633" t="s">
        <v>7698</v>
      </c>
      <c r="I5633" t="s">
        <v>9376</v>
      </c>
      <c r="J5633" t="s">
        <v>13900</v>
      </c>
      <c r="K5633" t="s">
        <v>18272</v>
      </c>
      <c r="L5633">
        <f>HYPERLINK("https://www2.assemblee-nationale.fr/sycomore/fiche/(num_dept)/7016", "7016")</f>
        <v>0</v>
      </c>
      <c r="N5633">
        <f>HYPERLINK("https://www.wikidata.org/wiki/Q3068657", "Q3068657")</f>
        <v>0</v>
      </c>
      <c r="O5633" t="s">
        <v>19960</v>
      </c>
      <c r="P5633" t="s">
        <v>20401</v>
      </c>
      <c r="Q5633" t="s">
        <v>20738</v>
      </c>
      <c r="R5633" t="s">
        <v>417</v>
      </c>
      <c r="S5633">
        <v>1483</v>
      </c>
    </row>
    <row r="5634" spans="1:19">
      <c r="A5634" t="s">
        <v>27</v>
      </c>
      <c r="B5634" t="s">
        <v>148</v>
      </c>
      <c r="C5634" t="s">
        <v>159</v>
      </c>
      <c r="D5634" t="s">
        <v>288</v>
      </c>
      <c r="E5634" t="s">
        <v>417</v>
      </c>
      <c r="F5634">
        <f>HYPERLINK("https://www.wikidata.org/wiki/Q33755832", "Q33755832")</f>
        <v>0</v>
      </c>
      <c r="G5634" t="s">
        <v>2686</v>
      </c>
      <c r="H5634" t="s">
        <v>7219</v>
      </c>
      <c r="I5634" t="s">
        <v>10364</v>
      </c>
      <c r="J5634" t="s">
        <v>13327</v>
      </c>
      <c r="K5634" t="s">
        <v>17727</v>
      </c>
      <c r="L5634">
        <f>HYPERLINK("https://www2.assemblee-nationale.fr/sycomore/fiche/(num_dept)/7017", "7017")</f>
        <v>0</v>
      </c>
      <c r="N5634">
        <f>HYPERLINK("https://www.wikidata.org/wiki/Q16026550", "Q16026550")</f>
        <v>0</v>
      </c>
      <c r="O5634" t="s">
        <v>20010</v>
      </c>
      <c r="P5634" t="s">
        <v>20401</v>
      </c>
      <c r="Q5634" t="s">
        <v>20738</v>
      </c>
      <c r="R5634" t="s">
        <v>417</v>
      </c>
      <c r="S5634">
        <v>1483</v>
      </c>
    </row>
    <row r="5635" spans="1:19">
      <c r="A5635" t="s">
        <v>27</v>
      </c>
      <c r="B5635" t="s">
        <v>148</v>
      </c>
      <c r="C5635" t="s">
        <v>159</v>
      </c>
      <c r="D5635" t="s">
        <v>288</v>
      </c>
      <c r="E5635" t="s">
        <v>417</v>
      </c>
      <c r="F5635">
        <f>HYPERLINK("https://www.wikidata.org/wiki/Q33755832", "Q33755832")</f>
        <v>0</v>
      </c>
      <c r="G5635" t="s">
        <v>3287</v>
      </c>
      <c r="H5635" t="s">
        <v>7699</v>
      </c>
      <c r="I5635" t="s">
        <v>6166</v>
      </c>
      <c r="J5635" t="s">
        <v>13901</v>
      </c>
      <c r="K5635" t="s">
        <v>18273</v>
      </c>
      <c r="L5635">
        <f>HYPERLINK("https://www2.assemblee-nationale.fr/sycomore/fiche/(num_dept)/7018", "7018")</f>
        <v>0</v>
      </c>
      <c r="M5635">
        <f>HYPERLINK("https://www.senat.fr/senateur-3eme-republique/thevenet_francois1147r3.html", "thevenet_francois1147r3")</f>
        <v>0</v>
      </c>
      <c r="N5635">
        <f>HYPERLINK("https://www.wikidata.org/wiki/Q3085914", "Q3085914")</f>
        <v>0</v>
      </c>
      <c r="O5635" t="s">
        <v>19965</v>
      </c>
      <c r="P5635" t="s">
        <v>20401</v>
      </c>
      <c r="Q5635" t="s">
        <v>20738</v>
      </c>
      <c r="R5635" t="s">
        <v>21531</v>
      </c>
      <c r="S5635">
        <v>851</v>
      </c>
    </row>
    <row r="5636" spans="1:19">
      <c r="A5636" t="s">
        <v>27</v>
      </c>
      <c r="B5636" t="s">
        <v>148</v>
      </c>
      <c r="C5636" t="s">
        <v>159</v>
      </c>
      <c r="D5636" t="s">
        <v>288</v>
      </c>
      <c r="E5636" t="s">
        <v>417</v>
      </c>
      <c r="F5636">
        <f>HYPERLINK("https://www.wikidata.org/wiki/Q33755832", "Q33755832")</f>
        <v>0</v>
      </c>
      <c r="G5636" t="s">
        <v>3288</v>
      </c>
      <c r="H5636" t="s">
        <v>7700</v>
      </c>
      <c r="I5636" t="s">
        <v>9375</v>
      </c>
      <c r="J5636" t="s">
        <v>13902</v>
      </c>
      <c r="K5636" t="s">
        <v>18274</v>
      </c>
      <c r="L5636">
        <f>HYPERLINK("https://www2.assemblee-nationale.fr/sycomore/fiche/(num_dept)/7031", "7031")</f>
        <v>0</v>
      </c>
      <c r="N5636">
        <f>HYPERLINK("https://www.wikidata.org/wiki/Q3580042", "Q3580042")</f>
        <v>0</v>
      </c>
      <c r="O5636" t="s">
        <v>19965</v>
      </c>
      <c r="P5636" t="s">
        <v>20401</v>
      </c>
      <c r="Q5636" t="s">
        <v>20738</v>
      </c>
      <c r="R5636" t="s">
        <v>18274</v>
      </c>
      <c r="S5636">
        <v>139</v>
      </c>
    </row>
    <row r="5637" spans="1:19">
      <c r="A5637" t="s">
        <v>27</v>
      </c>
      <c r="B5637" t="s">
        <v>148</v>
      </c>
      <c r="C5637" t="s">
        <v>159</v>
      </c>
      <c r="D5637" t="s">
        <v>288</v>
      </c>
      <c r="E5637" t="s">
        <v>417</v>
      </c>
      <c r="F5637">
        <f>HYPERLINK("https://www.wikidata.org/wiki/Q33755832", "Q33755832")</f>
        <v>0</v>
      </c>
      <c r="G5637" t="s">
        <v>2687</v>
      </c>
      <c r="H5637" t="s">
        <v>7220</v>
      </c>
      <c r="I5637" t="s">
        <v>10365</v>
      </c>
      <c r="J5637" t="s">
        <v>13328</v>
      </c>
      <c r="K5637" t="s">
        <v>17728</v>
      </c>
      <c r="L5637">
        <f>HYPERLINK("https://www2.assemblee-nationale.fr/sycomore/fiche/(num_dept)/7037", "7037")</f>
        <v>0</v>
      </c>
      <c r="N5637">
        <f>HYPERLINK("https://www.wikidata.org/wiki/Q16026522", "Q16026522")</f>
        <v>0</v>
      </c>
      <c r="O5637" t="s">
        <v>20010</v>
      </c>
      <c r="Q5637" t="s">
        <v>20738</v>
      </c>
      <c r="R5637" t="s">
        <v>21532</v>
      </c>
      <c r="S5637">
        <v>74</v>
      </c>
    </row>
    <row r="5638" spans="1:19">
      <c r="A5638" t="s">
        <v>27</v>
      </c>
      <c r="B5638" t="s">
        <v>148</v>
      </c>
      <c r="C5638" t="s">
        <v>159</v>
      </c>
      <c r="D5638" t="s">
        <v>288</v>
      </c>
      <c r="E5638" t="s">
        <v>417</v>
      </c>
      <c r="F5638">
        <f>HYPERLINK("https://www.wikidata.org/wiki/Q33755832", "Q33755832")</f>
        <v>0</v>
      </c>
      <c r="G5638" t="s">
        <v>2688</v>
      </c>
      <c r="H5638" t="s">
        <v>6367</v>
      </c>
      <c r="I5638" t="s">
        <v>10366</v>
      </c>
      <c r="J5638" t="s">
        <v>13329</v>
      </c>
      <c r="K5638" t="s">
        <v>17729</v>
      </c>
      <c r="L5638">
        <f>HYPERLINK("https://www2.assemblee-nationale.fr/sycomore/fiche/(num_dept)/7045", "7045")</f>
        <v>0</v>
      </c>
      <c r="N5638">
        <f>HYPERLINK("https://www.wikidata.org/wiki/Q2835484", "Q2835484")</f>
        <v>0</v>
      </c>
      <c r="O5638" t="s">
        <v>20025</v>
      </c>
      <c r="P5638" t="s">
        <v>20461</v>
      </c>
      <c r="Q5638" t="s">
        <v>20738</v>
      </c>
      <c r="R5638" t="s">
        <v>417</v>
      </c>
      <c r="S5638">
        <v>1483</v>
      </c>
    </row>
    <row r="5639" spans="1:19">
      <c r="A5639" t="s">
        <v>27</v>
      </c>
      <c r="B5639" t="s">
        <v>148</v>
      </c>
      <c r="C5639" t="s">
        <v>159</v>
      </c>
      <c r="D5639" t="s">
        <v>288</v>
      </c>
      <c r="E5639" t="s">
        <v>417</v>
      </c>
      <c r="F5639">
        <f>HYPERLINK("https://www.wikidata.org/wiki/Q33755832", "Q33755832")</f>
        <v>0</v>
      </c>
      <c r="G5639" t="s">
        <v>818</v>
      </c>
      <c r="H5639" t="s">
        <v>5575</v>
      </c>
      <c r="I5639" t="s">
        <v>9470</v>
      </c>
      <c r="J5639" t="s">
        <v>11565</v>
      </c>
      <c r="K5639" t="s">
        <v>15969</v>
      </c>
      <c r="L5639">
        <f>HYPERLINK("https://www2.assemblee-nationale.fr/sycomore/fiche/(num_dept)/7055", "7055")</f>
        <v>0</v>
      </c>
      <c r="N5639">
        <f>HYPERLINK("https://www.wikidata.org/wiki/Q2246519", "Q2246519")</f>
        <v>0</v>
      </c>
      <c r="O5639" t="s">
        <v>20000</v>
      </c>
      <c r="Q5639" t="s">
        <v>20738</v>
      </c>
      <c r="R5639" t="s">
        <v>417</v>
      </c>
      <c r="S5639">
        <v>1483</v>
      </c>
    </row>
    <row r="5640" spans="1:19">
      <c r="A5640" t="s">
        <v>27</v>
      </c>
      <c r="B5640" t="s">
        <v>148</v>
      </c>
      <c r="C5640" t="s">
        <v>159</v>
      </c>
      <c r="D5640" t="s">
        <v>288</v>
      </c>
      <c r="E5640" t="s">
        <v>417</v>
      </c>
      <c r="F5640">
        <f>HYPERLINK("https://www.wikidata.org/wiki/Q33755832", "Q33755832")</f>
        <v>0</v>
      </c>
      <c r="G5640" t="s">
        <v>3506</v>
      </c>
      <c r="H5640" t="s">
        <v>7873</v>
      </c>
      <c r="I5640" t="s">
        <v>10854</v>
      </c>
      <c r="J5640" t="s">
        <v>14104</v>
      </c>
      <c r="K5640" t="s">
        <v>18468</v>
      </c>
      <c r="L5640">
        <f>HYPERLINK("https://www2.assemblee-nationale.fr/sycomore/fiche/(num_dept)/7062", "7062")</f>
        <v>0</v>
      </c>
      <c r="M5640">
        <f>HYPERLINK("https://www.senat.fr/senateur-3eme-republique/thorel_jules0739r3.html", "thorel_jules0739r3")</f>
        <v>0</v>
      </c>
      <c r="N5640">
        <f>HYPERLINK("https://www.wikidata.org/wiki/Q3188936", "Q3188936")</f>
        <v>0</v>
      </c>
      <c r="O5640" t="s">
        <v>19992</v>
      </c>
      <c r="Q5640" t="s">
        <v>20738</v>
      </c>
      <c r="R5640" t="s">
        <v>417</v>
      </c>
      <c r="S5640">
        <v>1483</v>
      </c>
    </row>
    <row r="5641" spans="1:19">
      <c r="A5641" t="s">
        <v>27</v>
      </c>
      <c r="B5641" t="s">
        <v>148</v>
      </c>
      <c r="C5641" t="s">
        <v>159</v>
      </c>
      <c r="D5641" t="s">
        <v>288</v>
      </c>
      <c r="E5641" t="s">
        <v>417</v>
      </c>
      <c r="F5641">
        <f>HYPERLINK("https://www.wikidata.org/wiki/Q33755832", "Q33755832")</f>
        <v>0</v>
      </c>
      <c r="G5641" t="s">
        <v>3507</v>
      </c>
      <c r="H5641" t="s">
        <v>7874</v>
      </c>
      <c r="I5641" t="s">
        <v>9458</v>
      </c>
      <c r="J5641" t="s">
        <v>14105</v>
      </c>
      <c r="K5641" t="s">
        <v>18469</v>
      </c>
      <c r="L5641">
        <f>HYPERLINK("https://www2.assemblee-nationale.fr/sycomore/fiche/(num_dept)/7130", "7130")</f>
        <v>0</v>
      </c>
      <c r="N5641">
        <f>HYPERLINK("https://www.wikidata.org/wiki/Q16026567", "Q16026567")</f>
        <v>0</v>
      </c>
      <c r="O5641" t="s">
        <v>20013</v>
      </c>
      <c r="Q5641" t="s">
        <v>20738</v>
      </c>
      <c r="R5641" t="s">
        <v>417</v>
      </c>
      <c r="S5641">
        <v>1483</v>
      </c>
    </row>
    <row r="5642" spans="1:19">
      <c r="A5642" t="s">
        <v>27</v>
      </c>
      <c r="B5642" t="s">
        <v>148</v>
      </c>
      <c r="C5642" t="s">
        <v>159</v>
      </c>
      <c r="D5642" t="s">
        <v>288</v>
      </c>
      <c r="E5642" t="s">
        <v>417</v>
      </c>
      <c r="F5642">
        <f>HYPERLINK("https://www.wikidata.org/wiki/Q33755832", "Q33755832")</f>
        <v>0</v>
      </c>
      <c r="G5642" t="s">
        <v>831</v>
      </c>
      <c r="H5642" t="s">
        <v>5588</v>
      </c>
      <c r="I5642" t="s">
        <v>9542</v>
      </c>
      <c r="J5642" t="s">
        <v>11578</v>
      </c>
      <c r="K5642" t="s">
        <v>15980</v>
      </c>
      <c r="L5642">
        <f>HYPERLINK("https://www2.assemblee-nationale.fr/sycomore/fiche/(num_dept)/7421", "7421")</f>
        <v>0</v>
      </c>
      <c r="N5642">
        <f>HYPERLINK("https://www.wikidata.org/wiki/Q2965729", "Q2965729")</f>
        <v>0</v>
      </c>
      <c r="O5642" t="s">
        <v>19984</v>
      </c>
      <c r="Q5642" t="s">
        <v>20738</v>
      </c>
      <c r="R5642" t="s">
        <v>417</v>
      </c>
      <c r="S5642">
        <v>1483</v>
      </c>
    </row>
    <row r="5643" spans="1:19">
      <c r="A5643" t="s">
        <v>27</v>
      </c>
      <c r="B5643" t="s">
        <v>148</v>
      </c>
      <c r="C5643" t="s">
        <v>159</v>
      </c>
      <c r="D5643" t="s">
        <v>288</v>
      </c>
      <c r="E5643" t="s">
        <v>417</v>
      </c>
      <c r="F5643">
        <f>HYPERLINK("https://www.wikidata.org/wiki/Q33755832", "Q33755832")</f>
        <v>0</v>
      </c>
      <c r="G5643" t="s">
        <v>3508</v>
      </c>
      <c r="H5643" t="s">
        <v>7875</v>
      </c>
      <c r="I5643" t="s">
        <v>6495</v>
      </c>
      <c r="J5643" t="s">
        <v>11505</v>
      </c>
      <c r="K5643" t="s">
        <v>18470</v>
      </c>
      <c r="L5643">
        <f>HYPERLINK("https://www2.assemblee-nationale.fr/sycomore/fiche/(num_dept)/7433", "7433")</f>
        <v>0</v>
      </c>
      <c r="N5643">
        <f>HYPERLINK("https://www.wikidata.org/wiki/Q16026620", "Q16026620")</f>
        <v>0</v>
      </c>
      <c r="O5643" t="s">
        <v>19974</v>
      </c>
      <c r="P5643" t="s">
        <v>20401</v>
      </c>
      <c r="Q5643" t="s">
        <v>20738</v>
      </c>
      <c r="R5643" t="s">
        <v>417</v>
      </c>
      <c r="S5643">
        <v>1483</v>
      </c>
    </row>
    <row r="5644" spans="1:19">
      <c r="A5644" t="s">
        <v>27</v>
      </c>
      <c r="B5644" t="s">
        <v>148</v>
      </c>
      <c r="C5644" t="s">
        <v>159</v>
      </c>
      <c r="D5644" t="s">
        <v>288</v>
      </c>
      <c r="E5644" t="s">
        <v>417</v>
      </c>
      <c r="F5644">
        <f>HYPERLINK("https://www.wikidata.org/wiki/Q33755832", "Q33755832")</f>
        <v>0</v>
      </c>
      <c r="G5644" t="s">
        <v>3172</v>
      </c>
      <c r="H5644" t="s">
        <v>7603</v>
      </c>
      <c r="I5644" t="s">
        <v>10681</v>
      </c>
      <c r="J5644" t="s">
        <v>13793</v>
      </c>
      <c r="K5644" t="s">
        <v>18168</v>
      </c>
      <c r="L5644">
        <f>HYPERLINK("https://www2.assemblee-nationale.fr/sycomore/fiche/(num_dept)/7440", "7440")</f>
        <v>0</v>
      </c>
      <c r="N5644">
        <f>HYPERLINK("https://www.wikidata.org/wiki/Q2993635", "Q2993635")</f>
        <v>0</v>
      </c>
      <c r="O5644" t="s">
        <v>20009</v>
      </c>
      <c r="P5644" t="s">
        <v>20460</v>
      </c>
      <c r="Q5644" t="s">
        <v>20738</v>
      </c>
      <c r="R5644" t="s">
        <v>417</v>
      </c>
      <c r="S5644">
        <v>1483</v>
      </c>
    </row>
    <row r="5645" spans="1:19">
      <c r="A5645" t="s">
        <v>27</v>
      </c>
      <c r="B5645" t="s">
        <v>148</v>
      </c>
      <c r="C5645" t="s">
        <v>159</v>
      </c>
      <c r="D5645" t="s">
        <v>288</v>
      </c>
      <c r="E5645" t="s">
        <v>417</v>
      </c>
      <c r="F5645">
        <f>HYPERLINK("https://www.wikidata.org/wiki/Q33755832", "Q33755832")</f>
        <v>0</v>
      </c>
      <c r="G5645" t="s">
        <v>3290</v>
      </c>
      <c r="H5645" t="s">
        <v>7702</v>
      </c>
      <c r="I5645" t="s">
        <v>6584</v>
      </c>
      <c r="J5645" t="s">
        <v>13904</v>
      </c>
      <c r="K5645" t="s">
        <v>18275</v>
      </c>
      <c r="L5645">
        <f>HYPERLINK("https://www2.assemblee-nationale.fr/sycomore/fiche/(num_dept)/7443", "7443")</f>
        <v>0</v>
      </c>
      <c r="M5645">
        <f>HYPERLINK("https://www.senat.fr/senateur-3eme-republique/viger_albert0500r3.html", "viger_albert0500r3")</f>
        <v>0</v>
      </c>
      <c r="N5645">
        <f>HYPERLINK("https://www.wikidata.org/wiki/Q2153536", "Q2153536")</f>
        <v>0</v>
      </c>
      <c r="O5645" t="s">
        <v>19958</v>
      </c>
      <c r="P5645" t="s">
        <v>20401</v>
      </c>
      <c r="Q5645" t="s">
        <v>20738</v>
      </c>
      <c r="R5645" t="s">
        <v>417</v>
      </c>
      <c r="S5645">
        <v>1483</v>
      </c>
    </row>
    <row r="5646" spans="1:19">
      <c r="A5646" t="s">
        <v>27</v>
      </c>
      <c r="B5646" t="s">
        <v>148</v>
      </c>
      <c r="C5646" t="s">
        <v>159</v>
      </c>
      <c r="D5646" t="s">
        <v>288</v>
      </c>
      <c r="E5646" t="s">
        <v>417</v>
      </c>
      <c r="F5646">
        <f>HYPERLINK("https://www.wikidata.org/wiki/Q33755832", "Q33755832")</f>
        <v>0</v>
      </c>
      <c r="G5646" t="s">
        <v>3509</v>
      </c>
      <c r="H5646" t="s">
        <v>7876</v>
      </c>
      <c r="I5646" t="s">
        <v>9442</v>
      </c>
      <c r="J5646" t="s">
        <v>14106</v>
      </c>
      <c r="K5646" t="s">
        <v>18471</v>
      </c>
      <c r="L5646">
        <f>HYPERLINK("https://www2.assemblee-nationale.fr/sycomore/fiche/(num_dept)/7444", "7444")</f>
        <v>0</v>
      </c>
      <c r="M5646">
        <f>HYPERLINK("https://www.senat.fr/senateur-3eme-republique/valle_ernest0643r3.html", "valle_ernest0643r3")</f>
        <v>0</v>
      </c>
      <c r="N5646">
        <f>HYPERLINK("https://www.wikidata.org/wiki/Q3057194", "Q3057194")</f>
        <v>0</v>
      </c>
      <c r="O5646" t="s">
        <v>20025</v>
      </c>
      <c r="P5646" t="s">
        <v>20474</v>
      </c>
      <c r="Q5646" t="s">
        <v>20738</v>
      </c>
      <c r="R5646" t="s">
        <v>417</v>
      </c>
      <c r="S5646">
        <v>1483</v>
      </c>
    </row>
    <row r="5647" spans="1:19">
      <c r="A5647" t="s">
        <v>27</v>
      </c>
      <c r="B5647" t="s">
        <v>148</v>
      </c>
      <c r="C5647" t="s">
        <v>159</v>
      </c>
      <c r="D5647" t="s">
        <v>288</v>
      </c>
      <c r="E5647" t="s">
        <v>417</v>
      </c>
      <c r="F5647">
        <f>HYPERLINK("https://www.wikidata.org/wiki/Q33755832", "Q33755832")</f>
        <v>0</v>
      </c>
      <c r="G5647" t="s">
        <v>2695</v>
      </c>
      <c r="H5647" t="s">
        <v>7227</v>
      </c>
      <c r="I5647" t="s">
        <v>9449</v>
      </c>
      <c r="J5647" t="s">
        <v>13336</v>
      </c>
      <c r="K5647" t="s">
        <v>17736</v>
      </c>
      <c r="L5647">
        <f>HYPERLINK("https://www2.assemblee-nationale.fr/sycomore/fiche/(num_dept)/7450", "7450")</f>
        <v>0</v>
      </c>
      <c r="N5647">
        <f>HYPERLINK("https://www.wikidata.org/wiki/Q3188959", "Q3188959")</f>
        <v>0</v>
      </c>
      <c r="O5647" t="s">
        <v>19973</v>
      </c>
      <c r="P5647" t="s">
        <v>20479</v>
      </c>
      <c r="Q5647" t="s">
        <v>20738</v>
      </c>
      <c r="R5647" t="s">
        <v>417</v>
      </c>
      <c r="S5647">
        <v>1483</v>
      </c>
    </row>
    <row r="5648" spans="1:19">
      <c r="A5648" t="s">
        <v>27</v>
      </c>
      <c r="B5648" t="s">
        <v>148</v>
      </c>
      <c r="C5648" t="s">
        <v>159</v>
      </c>
      <c r="D5648" t="s">
        <v>288</v>
      </c>
      <c r="E5648" t="s">
        <v>417</v>
      </c>
      <c r="F5648">
        <f>HYPERLINK("https://www.wikidata.org/wiki/Q33755832", "Q33755832")</f>
        <v>0</v>
      </c>
      <c r="G5648" t="s">
        <v>3510</v>
      </c>
      <c r="H5648" t="s">
        <v>7877</v>
      </c>
      <c r="I5648" t="s">
        <v>10855</v>
      </c>
      <c r="J5648" t="s">
        <v>14107</v>
      </c>
      <c r="K5648" t="s">
        <v>18472</v>
      </c>
      <c r="L5648">
        <f>HYPERLINK("https://www2.assemblee-nationale.fr/sycomore/fiche/(num_dept)/7457", "7457")</f>
        <v>0</v>
      </c>
      <c r="N5648">
        <f>HYPERLINK("https://www.wikidata.org/wiki/Q16026608", "Q16026608")</f>
        <v>0</v>
      </c>
      <c r="O5648" t="s">
        <v>20010</v>
      </c>
      <c r="Q5648" t="s">
        <v>20738</v>
      </c>
      <c r="R5648" t="s">
        <v>417</v>
      </c>
      <c r="S5648">
        <v>1483</v>
      </c>
    </row>
    <row r="5649" spans="1:19">
      <c r="A5649" t="s">
        <v>27</v>
      </c>
      <c r="B5649" t="s">
        <v>148</v>
      </c>
      <c r="C5649" t="s">
        <v>159</v>
      </c>
      <c r="D5649" t="s">
        <v>288</v>
      </c>
      <c r="E5649" t="s">
        <v>417</v>
      </c>
      <c r="F5649">
        <f>HYPERLINK("https://www.wikidata.org/wiki/Q33755832", "Q33755832")</f>
        <v>0</v>
      </c>
      <c r="G5649" t="s">
        <v>2696</v>
      </c>
      <c r="H5649" t="s">
        <v>7228</v>
      </c>
      <c r="I5649" t="s">
        <v>10371</v>
      </c>
      <c r="J5649" t="s">
        <v>13337</v>
      </c>
      <c r="K5649" t="s">
        <v>17737</v>
      </c>
      <c r="L5649">
        <f>HYPERLINK("https://www2.assemblee-nationale.fr/sycomore/fiche/(num_dept)/7458", "7458")</f>
        <v>0</v>
      </c>
      <c r="N5649">
        <f>HYPERLINK("https://www.wikidata.org/wiki/Q16026591", "Q16026591")</f>
        <v>0</v>
      </c>
      <c r="O5649" t="s">
        <v>7411</v>
      </c>
      <c r="P5649" t="s">
        <v>20456</v>
      </c>
      <c r="Q5649" t="s">
        <v>20738</v>
      </c>
      <c r="R5649" t="s">
        <v>17737</v>
      </c>
      <c r="S5649">
        <v>234</v>
      </c>
    </row>
    <row r="5650" spans="1:19">
      <c r="A5650" t="s">
        <v>27</v>
      </c>
      <c r="B5650" t="s">
        <v>148</v>
      </c>
      <c r="C5650" t="s">
        <v>159</v>
      </c>
      <c r="D5650" t="s">
        <v>288</v>
      </c>
      <c r="E5650" t="s">
        <v>417</v>
      </c>
      <c r="F5650">
        <f>HYPERLINK("https://www.wikidata.org/wiki/Q33755832", "Q33755832")</f>
        <v>0</v>
      </c>
      <c r="G5650" t="s">
        <v>2697</v>
      </c>
      <c r="H5650" t="s">
        <v>7229</v>
      </c>
      <c r="I5650" t="s">
        <v>9506</v>
      </c>
      <c r="J5650" t="s">
        <v>13338</v>
      </c>
      <c r="K5650" t="s">
        <v>17738</v>
      </c>
      <c r="L5650">
        <f>HYPERLINK("https://www2.assemblee-nationale.fr/sycomore/fiche/(num_dept)/7461", "7461")</f>
        <v>0</v>
      </c>
      <c r="N5650">
        <f>HYPERLINK("https://www.wikidata.org/wiki/Q15971948", "Q15971948")</f>
        <v>0</v>
      </c>
      <c r="O5650" t="s">
        <v>20007</v>
      </c>
      <c r="Q5650" t="s">
        <v>20738</v>
      </c>
      <c r="R5650" t="s">
        <v>417</v>
      </c>
      <c r="S5650">
        <v>1483</v>
      </c>
    </row>
    <row r="5651" spans="1:19">
      <c r="A5651" t="s">
        <v>27</v>
      </c>
      <c r="B5651" t="s">
        <v>148</v>
      </c>
      <c r="C5651" t="s">
        <v>159</v>
      </c>
      <c r="D5651" t="s">
        <v>288</v>
      </c>
      <c r="E5651" t="s">
        <v>417</v>
      </c>
      <c r="F5651">
        <f>HYPERLINK("https://www.wikidata.org/wiki/Q33755832", "Q33755832")</f>
        <v>0</v>
      </c>
      <c r="G5651" t="s">
        <v>2698</v>
      </c>
      <c r="H5651" t="s">
        <v>7230</v>
      </c>
      <c r="I5651" t="s">
        <v>6495</v>
      </c>
      <c r="J5651" t="s">
        <v>13339</v>
      </c>
      <c r="K5651" t="s">
        <v>17739</v>
      </c>
      <c r="L5651">
        <f>HYPERLINK("https://www2.assemblee-nationale.fr/sycomore/fiche/(num_dept)/7463", "7463")</f>
        <v>0</v>
      </c>
      <c r="M5651">
        <f>HYPERLINK("https://www.senat.fr/senateur-3eme-republique/vignancour_louis1056r3.html", "vignancour_louis1056r3")</f>
        <v>0</v>
      </c>
      <c r="N5651">
        <f>HYPERLINK("https://www.wikidata.org/wiki/Q3263285", "Q3263285")</f>
        <v>0</v>
      </c>
      <c r="O5651" t="s">
        <v>19970</v>
      </c>
      <c r="Q5651" t="s">
        <v>20738</v>
      </c>
      <c r="R5651" t="s">
        <v>19459</v>
      </c>
      <c r="S5651">
        <v>484</v>
      </c>
    </row>
    <row r="5652" spans="1:19">
      <c r="A5652" t="s">
        <v>27</v>
      </c>
      <c r="B5652" t="s">
        <v>148</v>
      </c>
      <c r="C5652" t="s">
        <v>159</v>
      </c>
      <c r="D5652" t="s">
        <v>288</v>
      </c>
      <c r="E5652" t="s">
        <v>417</v>
      </c>
      <c r="F5652">
        <f>HYPERLINK("https://www.wikidata.org/wiki/Q33755832", "Q33755832")</f>
        <v>0</v>
      </c>
      <c r="G5652" t="s">
        <v>3174</v>
      </c>
      <c r="H5652" t="s">
        <v>7605</v>
      </c>
      <c r="I5652" t="s">
        <v>9375</v>
      </c>
      <c r="J5652" t="s">
        <v>13795</v>
      </c>
      <c r="K5652" t="s">
        <v>18170</v>
      </c>
      <c r="L5652">
        <f>HYPERLINK("https://www2.assemblee-nationale.fr/sycomore/fiche/(num_dept)/7464", "7464")</f>
        <v>0</v>
      </c>
      <c r="M5652">
        <f>HYPERLINK("https://www.senat.fr/senateur-3eme-republique/vilar_edouard1097r3.html", "vilar_edouard1097r3")</f>
        <v>0</v>
      </c>
      <c r="N5652">
        <f>HYPERLINK("https://www.wikidata.org/wiki/Q3580059", "Q3580059")</f>
        <v>0</v>
      </c>
      <c r="O5652" t="s">
        <v>20001</v>
      </c>
      <c r="P5652" t="s">
        <v>20401</v>
      </c>
      <c r="Q5652" t="s">
        <v>20738</v>
      </c>
      <c r="R5652" t="s">
        <v>21533</v>
      </c>
      <c r="S5652">
        <v>482</v>
      </c>
    </row>
    <row r="5653" spans="1:19">
      <c r="A5653" t="s">
        <v>27</v>
      </c>
      <c r="B5653" t="s">
        <v>148</v>
      </c>
      <c r="C5653" t="s">
        <v>159</v>
      </c>
      <c r="D5653" t="s">
        <v>288</v>
      </c>
      <c r="E5653" t="s">
        <v>417</v>
      </c>
      <c r="F5653">
        <f>HYPERLINK("https://www.wikidata.org/wiki/Q33755832", "Q33755832")</f>
        <v>0</v>
      </c>
      <c r="G5653" t="s">
        <v>3511</v>
      </c>
      <c r="H5653" t="s">
        <v>7878</v>
      </c>
      <c r="I5653" t="s">
        <v>10856</v>
      </c>
      <c r="J5653" t="s">
        <v>12219</v>
      </c>
      <c r="K5653" t="s">
        <v>18473</v>
      </c>
      <c r="L5653">
        <f>HYPERLINK("https://www2.assemblee-nationale.fr/sycomore/fiche/(num_dept)/7466", "7466")</f>
        <v>0</v>
      </c>
      <c r="N5653">
        <f>HYPERLINK("https://www.wikidata.org/wiki/Q8311148", "Q8311148")</f>
        <v>0</v>
      </c>
      <c r="O5653" t="s">
        <v>19956</v>
      </c>
      <c r="Q5653" t="s">
        <v>20738</v>
      </c>
      <c r="R5653" t="s">
        <v>417</v>
      </c>
      <c r="S5653">
        <v>1483</v>
      </c>
    </row>
    <row r="5654" spans="1:19">
      <c r="A5654" t="s">
        <v>27</v>
      </c>
      <c r="B5654" t="s">
        <v>148</v>
      </c>
      <c r="C5654" t="s">
        <v>159</v>
      </c>
      <c r="D5654" t="s">
        <v>288</v>
      </c>
      <c r="E5654" t="s">
        <v>417</v>
      </c>
      <c r="F5654">
        <f>HYPERLINK("https://www.wikidata.org/wiki/Q33755832", "Q33755832")</f>
        <v>0</v>
      </c>
      <c r="G5654" t="s">
        <v>2699</v>
      </c>
      <c r="H5654" t="s">
        <v>7231</v>
      </c>
      <c r="I5654" t="s">
        <v>10372</v>
      </c>
      <c r="J5654" t="s">
        <v>13340</v>
      </c>
      <c r="K5654" t="s">
        <v>17740</v>
      </c>
      <c r="L5654">
        <f>HYPERLINK("https://www2.assemblee-nationale.fr/sycomore/fiche/(num_dept)/7467", "7467")</f>
        <v>0</v>
      </c>
      <c r="M5654">
        <f>HYPERLINK("https://www.senat.fr/senateur-3eme-republique/waddington_richard1606r3.html", "waddington_richard1606r3")</f>
        <v>0</v>
      </c>
      <c r="N5654">
        <f>HYPERLINK("https://www.wikidata.org/wiki/Q2150850", "Q2150850")</f>
        <v>0</v>
      </c>
      <c r="O5654" t="s">
        <v>19978</v>
      </c>
      <c r="P5654" t="s">
        <v>20459</v>
      </c>
      <c r="Q5654" t="s">
        <v>20738</v>
      </c>
      <c r="R5654" t="s">
        <v>21533</v>
      </c>
      <c r="S5654">
        <v>482</v>
      </c>
    </row>
    <row r="5655" spans="1:19">
      <c r="A5655" t="s">
        <v>27</v>
      </c>
      <c r="B5655" t="s">
        <v>148</v>
      </c>
      <c r="C5655" t="s">
        <v>159</v>
      </c>
      <c r="D5655" t="s">
        <v>288</v>
      </c>
      <c r="E5655" t="s">
        <v>417</v>
      </c>
      <c r="F5655">
        <f>HYPERLINK("https://www.wikidata.org/wiki/Q33755832", "Q33755832")</f>
        <v>0</v>
      </c>
      <c r="G5655" t="s">
        <v>2703</v>
      </c>
      <c r="H5655" t="s">
        <v>7235</v>
      </c>
      <c r="I5655" t="s">
        <v>5528</v>
      </c>
      <c r="J5655" t="s">
        <v>13344</v>
      </c>
      <c r="K5655" t="s">
        <v>17744</v>
      </c>
      <c r="L5655">
        <f>HYPERLINK("https://www2.assemblee-nationale.fr/sycomore/fiche/(num_dept)/7496", "7496")</f>
        <v>0</v>
      </c>
      <c r="N5655">
        <f>HYPERLINK("https://www.wikidata.org/wiki/Q16025951", "Q16025951")</f>
        <v>0</v>
      </c>
      <c r="O5655" t="s">
        <v>19981</v>
      </c>
      <c r="Q5655" t="s">
        <v>20738</v>
      </c>
      <c r="R5655" t="s">
        <v>417</v>
      </c>
      <c r="S5655">
        <v>1483</v>
      </c>
    </row>
    <row r="5656" spans="1:19">
      <c r="A5656" t="s">
        <v>27</v>
      </c>
      <c r="B5656" t="s">
        <v>148</v>
      </c>
      <c r="C5656" t="s">
        <v>159</v>
      </c>
      <c r="D5656" t="s">
        <v>288</v>
      </c>
      <c r="E5656" t="s">
        <v>417</v>
      </c>
      <c r="F5656">
        <f>HYPERLINK("https://www.wikidata.org/wiki/Q33755832", "Q33755832")</f>
        <v>0</v>
      </c>
      <c r="G5656" t="s">
        <v>3512</v>
      </c>
      <c r="H5656" t="s">
        <v>7879</v>
      </c>
      <c r="I5656" t="s">
        <v>9457</v>
      </c>
      <c r="J5656" t="s">
        <v>14108</v>
      </c>
      <c r="K5656" t="s">
        <v>18474</v>
      </c>
      <c r="L5656">
        <f>HYPERLINK("https://www2.assemblee-nationale.fr/sycomore/fiche/(num_dept)/7525", "7525")</f>
        <v>0</v>
      </c>
      <c r="M5656">
        <f>HYPERLINK("https://www.senat.fr/senateur-3eme-republique/lavertujon_henri1778r3.html", "lavertujon_henri1778r3")</f>
        <v>0</v>
      </c>
      <c r="N5656">
        <f>HYPERLINK("https://www.wikidata.org/wiki/Q3131428", "Q3131428")</f>
        <v>0</v>
      </c>
      <c r="O5656" t="s">
        <v>19977</v>
      </c>
      <c r="Q5656" t="s">
        <v>20738</v>
      </c>
      <c r="R5656" t="s">
        <v>417</v>
      </c>
      <c r="S5656">
        <v>1483</v>
      </c>
    </row>
    <row r="5657" spans="1:19">
      <c r="A5657" t="s">
        <v>27</v>
      </c>
      <c r="B5657" t="s">
        <v>148</v>
      </c>
      <c r="C5657" t="s">
        <v>159</v>
      </c>
      <c r="D5657" t="s">
        <v>288</v>
      </c>
      <c r="E5657" t="s">
        <v>417</v>
      </c>
      <c r="F5657">
        <f>HYPERLINK("https://www.wikidata.org/wiki/Q33755832", "Q33755832")</f>
        <v>0</v>
      </c>
      <c r="G5657" t="s">
        <v>3513</v>
      </c>
      <c r="H5657" t="s">
        <v>7880</v>
      </c>
      <c r="I5657" t="s">
        <v>10857</v>
      </c>
      <c r="J5657" t="s">
        <v>14109</v>
      </c>
      <c r="K5657" t="s">
        <v>18475</v>
      </c>
      <c r="L5657">
        <f>HYPERLINK("https://www2.assemblee-nationale.fr/sycomore/fiche/(num_dept)/7546", "7546")</f>
        <v>0</v>
      </c>
      <c r="N5657">
        <f>HYPERLINK("https://www.wikidata.org/wiki/Q3168567", "Q3168567")</f>
        <v>0</v>
      </c>
      <c r="O5657" t="s">
        <v>20011</v>
      </c>
      <c r="Q5657" t="s">
        <v>20738</v>
      </c>
      <c r="R5657" t="s">
        <v>417</v>
      </c>
      <c r="S5657">
        <v>1483</v>
      </c>
    </row>
    <row r="5658" spans="1:19">
      <c r="A5658" t="s">
        <v>27</v>
      </c>
      <c r="B5658" t="s">
        <v>148</v>
      </c>
      <c r="C5658" t="s">
        <v>159</v>
      </c>
      <c r="D5658" t="s">
        <v>288</v>
      </c>
      <c r="E5658" t="s">
        <v>417</v>
      </c>
      <c r="F5658">
        <f>HYPERLINK("https://www.wikidata.org/wiki/Q33755832", "Q33755832")</f>
        <v>0</v>
      </c>
      <c r="G5658" t="s">
        <v>3394</v>
      </c>
      <c r="H5658" t="s">
        <v>7783</v>
      </c>
      <c r="I5658" t="s">
        <v>9548</v>
      </c>
      <c r="J5658" t="s">
        <v>14003</v>
      </c>
      <c r="K5658" t="s">
        <v>13061</v>
      </c>
      <c r="L5658">
        <f>HYPERLINK("https://www2.assemblee-nationale.fr/sycomore/fiche/(num_dept)/7552", "7552")</f>
        <v>0</v>
      </c>
      <c r="N5658">
        <f>HYPERLINK("https://www.wikidata.org/wiki/Q3426487", "Q3426487")</f>
        <v>0</v>
      </c>
      <c r="O5658" t="s">
        <v>19964</v>
      </c>
      <c r="P5658" t="s">
        <v>20460</v>
      </c>
      <c r="Q5658" t="s">
        <v>20738</v>
      </c>
      <c r="R5658" t="s">
        <v>417</v>
      </c>
      <c r="S5658">
        <v>1483</v>
      </c>
    </row>
    <row r="5659" spans="1:19">
      <c r="A5659" t="s">
        <v>27</v>
      </c>
      <c r="B5659" t="s">
        <v>148</v>
      </c>
      <c r="C5659" t="s">
        <v>159</v>
      </c>
      <c r="D5659" t="s">
        <v>288</v>
      </c>
      <c r="E5659" t="s">
        <v>417</v>
      </c>
      <c r="F5659">
        <f>HYPERLINK("https://www.wikidata.org/wiki/Q33755832", "Q33755832")</f>
        <v>0</v>
      </c>
      <c r="G5659" t="s">
        <v>2705</v>
      </c>
      <c r="H5659" t="s">
        <v>7236</v>
      </c>
      <c r="I5659" t="s">
        <v>9376</v>
      </c>
      <c r="J5659" t="s">
        <v>13346</v>
      </c>
      <c r="K5659" t="s">
        <v>17746</v>
      </c>
      <c r="L5659">
        <f>HYPERLINK("https://www2.assemblee-nationale.fr/sycomore/fiche/(num_dept)/7555", "7555")</f>
        <v>0</v>
      </c>
      <c r="N5659">
        <f>HYPERLINK("https://www.wikidata.org/wiki/Q13080871", "Q13080871")</f>
        <v>0</v>
      </c>
      <c r="O5659" t="s">
        <v>19978</v>
      </c>
      <c r="P5659" t="s">
        <v>20479</v>
      </c>
      <c r="Q5659" t="s">
        <v>20738</v>
      </c>
      <c r="R5659" t="s">
        <v>417</v>
      </c>
      <c r="S5659">
        <v>1483</v>
      </c>
    </row>
    <row r="5660" spans="1:19">
      <c r="A5660" t="s">
        <v>27</v>
      </c>
      <c r="B5660" t="s">
        <v>148</v>
      </c>
      <c r="C5660" t="s">
        <v>159</v>
      </c>
      <c r="D5660" t="s">
        <v>288</v>
      </c>
      <c r="E5660" t="s">
        <v>417</v>
      </c>
      <c r="F5660">
        <f>HYPERLINK("https://www.wikidata.org/wiki/Q33755832", "Q33755832")</f>
        <v>0</v>
      </c>
      <c r="G5660" t="s">
        <v>3177</v>
      </c>
      <c r="H5660" t="s">
        <v>7607</v>
      </c>
      <c r="I5660" t="s">
        <v>9551</v>
      </c>
      <c r="J5660" t="s">
        <v>13798</v>
      </c>
      <c r="K5660" t="s">
        <v>18173</v>
      </c>
      <c r="L5660">
        <f>HYPERLINK("https://www2.assemblee-nationale.fr/sycomore/fiche/(num_dept)/7585", "7585")</f>
        <v>0</v>
      </c>
      <c r="N5660">
        <f>HYPERLINK("https://www.wikidata.org/wiki/Q16025958", "Q16025958")</f>
        <v>0</v>
      </c>
      <c r="O5660" t="s">
        <v>20013</v>
      </c>
      <c r="Q5660" t="s">
        <v>20738</v>
      </c>
      <c r="R5660" t="s">
        <v>417</v>
      </c>
      <c r="S5660">
        <v>1483</v>
      </c>
    </row>
    <row r="5661" spans="1:19">
      <c r="A5661" t="s">
        <v>27</v>
      </c>
      <c r="B5661" t="s">
        <v>148</v>
      </c>
      <c r="C5661" t="s">
        <v>159</v>
      </c>
      <c r="D5661" t="s">
        <v>288</v>
      </c>
      <c r="E5661" t="s">
        <v>417</v>
      </c>
      <c r="F5661">
        <f>HYPERLINK("https://www.wikidata.org/wiki/Q33755832", "Q33755832")</f>
        <v>0</v>
      </c>
      <c r="G5661" t="s">
        <v>840</v>
      </c>
      <c r="H5661" t="s">
        <v>5597</v>
      </c>
      <c r="I5661" t="s">
        <v>9547</v>
      </c>
      <c r="J5661" t="s">
        <v>11587</v>
      </c>
      <c r="K5661" t="s">
        <v>15989</v>
      </c>
      <c r="L5661">
        <f>HYPERLINK("https://www2.assemblee-nationale.fr/sycomore/fiche/(num_dept)/7587", "7587")</f>
        <v>0</v>
      </c>
      <c r="N5661">
        <f>HYPERLINK("https://www.wikidata.org/wiki/Q3351149", "Q3351149")</f>
        <v>0</v>
      </c>
      <c r="O5661" t="s">
        <v>19998</v>
      </c>
      <c r="Q5661" t="s">
        <v>20738</v>
      </c>
      <c r="R5661" t="s">
        <v>417</v>
      </c>
      <c r="S5661">
        <v>1483</v>
      </c>
    </row>
    <row r="5662" spans="1:19">
      <c r="A5662" t="s">
        <v>27</v>
      </c>
      <c r="B5662" t="s">
        <v>148</v>
      </c>
      <c r="C5662" t="s">
        <v>159</v>
      </c>
      <c r="D5662" t="s">
        <v>288</v>
      </c>
      <c r="E5662" t="s">
        <v>417</v>
      </c>
      <c r="F5662">
        <f>HYPERLINK("https://www.wikidata.org/wiki/Q33755832", "Q33755832")</f>
        <v>0</v>
      </c>
      <c r="G5662" t="s">
        <v>841</v>
      </c>
      <c r="H5662" t="s">
        <v>5598</v>
      </c>
      <c r="I5662" t="s">
        <v>9548</v>
      </c>
      <c r="J5662" t="s">
        <v>11588</v>
      </c>
      <c r="K5662" t="s">
        <v>15990</v>
      </c>
      <c r="L5662">
        <f>HYPERLINK("https://www2.assemblee-nationale.fr/sycomore/fiche/(num_dept)/7591", "7591")</f>
        <v>0</v>
      </c>
      <c r="M5662">
        <f>HYPERLINK("https://www.senat.fr/senateur-3eme-republique/le_herisse_rene0541r3.html", "le_herisse_rene0541r3")</f>
        <v>0</v>
      </c>
      <c r="N5662">
        <f>HYPERLINK("https://www.wikidata.org/wiki/Q3426501", "Q3426501")</f>
        <v>0</v>
      </c>
      <c r="O5662" t="s">
        <v>19998</v>
      </c>
      <c r="Q5662" t="s">
        <v>20738</v>
      </c>
      <c r="R5662" t="s">
        <v>417</v>
      </c>
      <c r="S5662">
        <v>1483</v>
      </c>
    </row>
    <row r="5663" spans="1:19">
      <c r="A5663" t="s">
        <v>27</v>
      </c>
      <c r="B5663" t="s">
        <v>148</v>
      </c>
      <c r="C5663" t="s">
        <v>159</v>
      </c>
      <c r="D5663" t="s">
        <v>288</v>
      </c>
      <c r="E5663" t="s">
        <v>417</v>
      </c>
      <c r="F5663">
        <f>HYPERLINK("https://www.wikidata.org/wiki/Q33755832", "Q33755832")</f>
        <v>0</v>
      </c>
      <c r="G5663" t="s">
        <v>2706</v>
      </c>
      <c r="H5663" t="s">
        <v>6341</v>
      </c>
      <c r="I5663" t="s">
        <v>10376</v>
      </c>
      <c r="J5663" t="s">
        <v>13347</v>
      </c>
      <c r="K5663" t="s">
        <v>17747</v>
      </c>
      <c r="L5663">
        <f>HYPERLINK("https://www2.assemblee-nationale.fr/sycomore/fiche/(num_dept)/7613", "7613")</f>
        <v>0</v>
      </c>
      <c r="M5663">
        <f>HYPERLINK("https://www.senat.fr/senateur-3eme-republique/le_provost_de_launay_louis0584r3.html", "le_provost_de_launay_louis0584r3")</f>
        <v>0</v>
      </c>
      <c r="N5663">
        <f>HYPERLINK("https://www.wikidata.org/wiki/Q3262484", "Q3262484")</f>
        <v>0</v>
      </c>
      <c r="O5663" t="s">
        <v>19964</v>
      </c>
      <c r="P5663" t="s">
        <v>20468</v>
      </c>
      <c r="Q5663" t="s">
        <v>20738</v>
      </c>
      <c r="R5663" t="s">
        <v>417</v>
      </c>
      <c r="S5663">
        <v>1483</v>
      </c>
    </row>
    <row r="5664" spans="1:19">
      <c r="A5664" t="s">
        <v>27</v>
      </c>
      <c r="B5664" t="s">
        <v>148</v>
      </c>
      <c r="C5664" t="s">
        <v>159</v>
      </c>
      <c r="D5664" t="s">
        <v>288</v>
      </c>
      <c r="E5664" t="s">
        <v>417</v>
      </c>
      <c r="F5664">
        <f>HYPERLINK("https://www.wikidata.org/wiki/Q33755832", "Q33755832")</f>
        <v>0</v>
      </c>
      <c r="G5664" t="s">
        <v>2707</v>
      </c>
      <c r="H5664" t="s">
        <v>6277</v>
      </c>
      <c r="I5664" t="s">
        <v>10377</v>
      </c>
      <c r="J5664" t="s">
        <v>13348</v>
      </c>
      <c r="K5664" t="s">
        <v>17748</v>
      </c>
      <c r="L5664">
        <f>HYPERLINK("https://www2.assemblee-nationale.fr/sycomore/fiche/(num_dept)/7616", "7616")</f>
        <v>0</v>
      </c>
      <c r="M5664">
        <f>HYPERLINK("https://www.senat.fr/senateur-3eme-republique/le_roux_paul1745r3.html", "le_roux_paul1745r3")</f>
        <v>0</v>
      </c>
      <c r="N5664">
        <f>HYPERLINK("https://www.wikidata.org/wiki/Q3371651", "Q3371651")</f>
        <v>0</v>
      </c>
      <c r="O5664" t="s">
        <v>19972</v>
      </c>
      <c r="P5664" t="s">
        <v>20460</v>
      </c>
      <c r="Q5664" t="s">
        <v>20738</v>
      </c>
      <c r="R5664" t="s">
        <v>417</v>
      </c>
      <c r="S5664">
        <v>1483</v>
      </c>
    </row>
    <row r="5665" spans="1:19">
      <c r="A5665" t="s">
        <v>27</v>
      </c>
      <c r="B5665" t="s">
        <v>148</v>
      </c>
      <c r="C5665" t="s">
        <v>159</v>
      </c>
      <c r="D5665" t="s">
        <v>288</v>
      </c>
      <c r="E5665" t="s">
        <v>417</v>
      </c>
      <c r="F5665">
        <f>HYPERLINK("https://www.wikidata.org/wiki/Q33755832", "Q33755832")</f>
        <v>0</v>
      </c>
      <c r="G5665" t="s">
        <v>3514</v>
      </c>
      <c r="H5665" t="s">
        <v>5781</v>
      </c>
      <c r="I5665" t="s">
        <v>10858</v>
      </c>
      <c r="J5665" t="s">
        <v>14110</v>
      </c>
      <c r="K5665" t="s">
        <v>18476</v>
      </c>
      <c r="L5665">
        <f>HYPERLINK("https://www2.assemblee-nationale.fr/sycomore/fiche/(num_dept)/7619", "7619")</f>
        <v>0</v>
      </c>
      <c r="N5665">
        <f>HYPERLINK("https://www.wikidata.org/wiki/Q3579933", "Q3579933")</f>
        <v>0</v>
      </c>
      <c r="O5665" t="s">
        <v>19963</v>
      </c>
      <c r="Q5665" t="s">
        <v>20738</v>
      </c>
      <c r="R5665" t="s">
        <v>417</v>
      </c>
      <c r="S5665">
        <v>1483</v>
      </c>
    </row>
    <row r="5666" spans="1:19">
      <c r="A5666" t="s">
        <v>27</v>
      </c>
      <c r="B5666" t="s">
        <v>148</v>
      </c>
      <c r="C5666" t="s">
        <v>159</v>
      </c>
      <c r="D5666" t="s">
        <v>288</v>
      </c>
      <c r="E5666" t="s">
        <v>417</v>
      </c>
      <c r="F5666">
        <f>HYPERLINK("https://www.wikidata.org/wiki/Q33755832", "Q33755832")</f>
        <v>0</v>
      </c>
      <c r="G5666" t="s">
        <v>2708</v>
      </c>
      <c r="H5666" t="s">
        <v>7237</v>
      </c>
      <c r="I5666" t="s">
        <v>10378</v>
      </c>
      <c r="J5666" t="s">
        <v>13349</v>
      </c>
      <c r="K5666" t="s">
        <v>17749</v>
      </c>
      <c r="L5666">
        <f>HYPERLINK("https://www2.assemblee-nationale.fr/sycomore/fiche/(num_dept)/7637", "7637")</f>
        <v>0</v>
      </c>
      <c r="N5666">
        <f>HYPERLINK("https://www.wikidata.org/wiki/Q3121241", "Q3121241")</f>
        <v>0</v>
      </c>
      <c r="O5666" t="s">
        <v>19976</v>
      </c>
      <c r="Q5666" t="s">
        <v>20738</v>
      </c>
      <c r="R5666" t="s">
        <v>17749</v>
      </c>
      <c r="S5666">
        <v>88</v>
      </c>
    </row>
    <row r="5667" spans="1:19">
      <c r="A5667" t="s">
        <v>27</v>
      </c>
      <c r="B5667" t="s">
        <v>148</v>
      </c>
      <c r="C5667" t="s">
        <v>159</v>
      </c>
      <c r="D5667" t="s">
        <v>288</v>
      </c>
      <c r="E5667" t="s">
        <v>417</v>
      </c>
      <c r="F5667">
        <f>HYPERLINK("https://www.wikidata.org/wiki/Q33755832", "Q33755832")</f>
        <v>0</v>
      </c>
      <c r="G5667" t="s">
        <v>3072</v>
      </c>
      <c r="H5667" t="s">
        <v>7346</v>
      </c>
      <c r="I5667" t="s">
        <v>9554</v>
      </c>
      <c r="J5667" t="s">
        <v>13696</v>
      </c>
      <c r="K5667" t="s">
        <v>18079</v>
      </c>
      <c r="L5667">
        <f>HYPERLINK("https://www2.assemblee-nationale.fr/sycomore/fiche/(num_dept)/7665", "7665")</f>
        <v>0</v>
      </c>
      <c r="M5667">
        <f>HYPERLINK("https://www.senat.fr/senateur-3eme-republique/lecomte_maxime1379r3.html", "lecomte_maxime1379r3")</f>
        <v>0</v>
      </c>
      <c r="N5667">
        <f>HYPERLINK("https://www.wikidata.org/wiki/Q3302622", "Q3302622")</f>
        <v>0</v>
      </c>
      <c r="O5667" t="s">
        <v>20013</v>
      </c>
      <c r="Q5667" t="s">
        <v>20738</v>
      </c>
      <c r="R5667" t="s">
        <v>21533</v>
      </c>
      <c r="S5667">
        <v>482</v>
      </c>
    </row>
    <row r="5668" spans="1:19">
      <c r="A5668" t="s">
        <v>27</v>
      </c>
      <c r="B5668" t="s">
        <v>148</v>
      </c>
      <c r="C5668" t="s">
        <v>159</v>
      </c>
      <c r="D5668" t="s">
        <v>288</v>
      </c>
      <c r="E5668" t="s">
        <v>417</v>
      </c>
      <c r="F5668">
        <f>HYPERLINK("https://www.wikidata.org/wiki/Q33755832", "Q33755832")</f>
        <v>0</v>
      </c>
      <c r="G5668" t="s">
        <v>3515</v>
      </c>
      <c r="H5668" t="s">
        <v>7881</v>
      </c>
      <c r="I5668" t="s">
        <v>9748</v>
      </c>
      <c r="J5668" t="s">
        <v>14111</v>
      </c>
      <c r="K5668" t="s">
        <v>18477</v>
      </c>
      <c r="L5668">
        <f>HYPERLINK("https://www2.assemblee-nationale.fr/sycomore/fiche/(num_dept)/7673", "7673")</f>
        <v>0</v>
      </c>
      <c r="N5668">
        <f>HYPERLINK("https://www.wikidata.org/wiki/Q16025972", "Q16025972")</f>
        <v>0</v>
      </c>
      <c r="O5668" t="s">
        <v>19968</v>
      </c>
      <c r="Q5668" t="s">
        <v>20738</v>
      </c>
      <c r="R5668" t="s">
        <v>417</v>
      </c>
      <c r="S5668">
        <v>1483</v>
      </c>
    </row>
    <row r="5669" spans="1:19">
      <c r="A5669" t="s">
        <v>27</v>
      </c>
      <c r="B5669" t="s">
        <v>148</v>
      </c>
      <c r="C5669" t="s">
        <v>159</v>
      </c>
      <c r="D5669" t="s">
        <v>288</v>
      </c>
      <c r="E5669" t="s">
        <v>417</v>
      </c>
      <c r="F5669">
        <f>HYPERLINK("https://www.wikidata.org/wiki/Q33755832", "Q33755832")</f>
        <v>0</v>
      </c>
      <c r="G5669" t="s">
        <v>2710</v>
      </c>
      <c r="H5669" t="s">
        <v>6801</v>
      </c>
      <c r="I5669" t="s">
        <v>6158</v>
      </c>
      <c r="J5669" t="s">
        <v>13351</v>
      </c>
      <c r="K5669" t="s">
        <v>17751</v>
      </c>
      <c r="L5669">
        <f>HYPERLINK("https://www2.assemblee-nationale.fr/sycomore/fiche/(num_dept)/7718", "7718")</f>
        <v>0</v>
      </c>
      <c r="N5669">
        <f>HYPERLINK("https://www.wikidata.org/wiki/Q3092516", "Q3092516")</f>
        <v>0</v>
      </c>
      <c r="O5669" t="s">
        <v>19995</v>
      </c>
      <c r="P5669" t="s">
        <v>20459</v>
      </c>
      <c r="Q5669" t="s">
        <v>20738</v>
      </c>
      <c r="R5669" t="s">
        <v>417</v>
      </c>
      <c r="S5669">
        <v>1483</v>
      </c>
    </row>
    <row r="5670" spans="1:19">
      <c r="A5670" t="s">
        <v>27</v>
      </c>
      <c r="B5670" t="s">
        <v>148</v>
      </c>
      <c r="C5670" t="s">
        <v>159</v>
      </c>
      <c r="D5670" t="s">
        <v>288</v>
      </c>
      <c r="E5670" t="s">
        <v>417</v>
      </c>
      <c r="F5670">
        <f>HYPERLINK("https://www.wikidata.org/wiki/Q33755832", "Q33755832")</f>
        <v>0</v>
      </c>
      <c r="G5670" t="s">
        <v>854</v>
      </c>
      <c r="H5670" t="s">
        <v>5610</v>
      </c>
      <c r="I5670" t="s">
        <v>9556</v>
      </c>
      <c r="J5670" t="s">
        <v>11600</v>
      </c>
      <c r="K5670" t="s">
        <v>16002</v>
      </c>
      <c r="L5670">
        <f>HYPERLINK("https://www2.assemblee-nationale.fr/sycomore/fiche/(num_dept)/7723", "7723")</f>
        <v>0</v>
      </c>
      <c r="N5670">
        <f>HYPERLINK("https://www.wikidata.org/wiki/Q8327019", "Q8327019")</f>
        <v>0</v>
      </c>
      <c r="O5670" t="s">
        <v>19985</v>
      </c>
      <c r="Q5670" t="s">
        <v>20738</v>
      </c>
      <c r="R5670" t="s">
        <v>417</v>
      </c>
      <c r="S5670">
        <v>1483</v>
      </c>
    </row>
    <row r="5671" spans="1:19">
      <c r="A5671" t="s">
        <v>27</v>
      </c>
      <c r="B5671" t="s">
        <v>148</v>
      </c>
      <c r="C5671" t="s">
        <v>159</v>
      </c>
      <c r="D5671" t="s">
        <v>288</v>
      </c>
      <c r="E5671" t="s">
        <v>417</v>
      </c>
      <c r="F5671">
        <f>HYPERLINK("https://www.wikidata.org/wiki/Q33755832", "Q33755832")</f>
        <v>0</v>
      </c>
      <c r="G5671" t="s">
        <v>2711</v>
      </c>
      <c r="H5671" t="s">
        <v>5610</v>
      </c>
      <c r="I5671" t="s">
        <v>6860</v>
      </c>
      <c r="J5671" t="s">
        <v>13352</v>
      </c>
      <c r="K5671" t="s">
        <v>17752</v>
      </c>
      <c r="L5671">
        <f>HYPERLINK("https://www2.assemblee-nationale.fr/sycomore/fiche/(num_dept)/7726", "7726")</f>
        <v>0</v>
      </c>
      <c r="N5671">
        <f>HYPERLINK("https://www.wikidata.org/wiki/Q3385905", "Q3385905")</f>
        <v>0</v>
      </c>
      <c r="O5671" t="s">
        <v>20013</v>
      </c>
      <c r="P5671" t="s">
        <v>20462</v>
      </c>
      <c r="Q5671" t="s">
        <v>20738</v>
      </c>
      <c r="R5671" t="s">
        <v>417</v>
      </c>
      <c r="S5671">
        <v>1483</v>
      </c>
    </row>
    <row r="5672" spans="1:19">
      <c r="A5672" t="s">
        <v>27</v>
      </c>
      <c r="B5672" t="s">
        <v>148</v>
      </c>
      <c r="C5672" t="s">
        <v>159</v>
      </c>
      <c r="D5672" t="s">
        <v>288</v>
      </c>
      <c r="E5672" t="s">
        <v>417</v>
      </c>
      <c r="F5672">
        <f>HYPERLINK("https://www.wikidata.org/wiki/Q33755832", "Q33755832")</f>
        <v>0</v>
      </c>
      <c r="G5672" t="s">
        <v>3516</v>
      </c>
      <c r="H5672" t="s">
        <v>7882</v>
      </c>
      <c r="I5672" t="s">
        <v>6495</v>
      </c>
      <c r="J5672" t="s">
        <v>14112</v>
      </c>
      <c r="K5672" t="s">
        <v>18478</v>
      </c>
      <c r="L5672">
        <f>HYPERLINK("https://www2.assemblee-nationale.fr/sycomore/fiche/(num_dept)/7727", "7727")</f>
        <v>0</v>
      </c>
      <c r="N5672">
        <f>HYPERLINK("https://www.wikidata.org/wiki/Q16025979", "Q16025979")</f>
        <v>0</v>
      </c>
      <c r="O5672" t="s">
        <v>19978</v>
      </c>
      <c r="Q5672" t="s">
        <v>20738</v>
      </c>
      <c r="R5672" t="s">
        <v>417</v>
      </c>
      <c r="S5672">
        <v>1483</v>
      </c>
    </row>
    <row r="5673" spans="1:19">
      <c r="A5673" t="s">
        <v>27</v>
      </c>
      <c r="B5673" t="s">
        <v>148</v>
      </c>
      <c r="C5673" t="s">
        <v>159</v>
      </c>
      <c r="D5673" t="s">
        <v>288</v>
      </c>
      <c r="E5673" t="s">
        <v>417</v>
      </c>
      <c r="F5673">
        <f>HYPERLINK("https://www.wikidata.org/wiki/Q33755832", "Q33755832")</f>
        <v>0</v>
      </c>
      <c r="G5673" t="s">
        <v>3517</v>
      </c>
      <c r="H5673" t="s">
        <v>7883</v>
      </c>
      <c r="I5673" t="s">
        <v>10859</v>
      </c>
      <c r="J5673" t="s">
        <v>14113</v>
      </c>
      <c r="K5673" t="s">
        <v>18479</v>
      </c>
      <c r="L5673">
        <f>HYPERLINK("https://www2.assemblee-nationale.fr/sycomore/fiche/(num_dept)/7750", "7750")</f>
        <v>0</v>
      </c>
      <c r="N5673">
        <f>HYPERLINK("https://www.wikidata.org/wiki/Q15969591", "Q15969591")</f>
        <v>0</v>
      </c>
      <c r="O5673" t="s">
        <v>20037</v>
      </c>
      <c r="P5673" t="s">
        <v>20411</v>
      </c>
      <c r="Q5673" t="s">
        <v>20738</v>
      </c>
      <c r="R5673" t="s">
        <v>417</v>
      </c>
      <c r="S5673">
        <v>1483</v>
      </c>
    </row>
    <row r="5674" spans="1:19">
      <c r="A5674" t="s">
        <v>27</v>
      </c>
      <c r="B5674" t="s">
        <v>148</v>
      </c>
      <c r="C5674" t="s">
        <v>159</v>
      </c>
      <c r="D5674" t="s">
        <v>288</v>
      </c>
      <c r="E5674" t="s">
        <v>417</v>
      </c>
      <c r="F5674">
        <f>HYPERLINK("https://www.wikidata.org/wiki/Q33755832", "Q33755832")</f>
        <v>0</v>
      </c>
      <c r="G5674" t="s">
        <v>3518</v>
      </c>
      <c r="H5674" t="s">
        <v>7884</v>
      </c>
      <c r="I5674" t="s">
        <v>9391</v>
      </c>
      <c r="J5674" t="s">
        <v>11409</v>
      </c>
      <c r="K5674" t="s">
        <v>18480</v>
      </c>
      <c r="L5674">
        <f>HYPERLINK("https://www2.assemblee-nationale.fr/sycomore/fiche/(num_dept)/7775", "7775")</f>
        <v>0</v>
      </c>
      <c r="N5674">
        <f>HYPERLINK("https://www.wikidata.org/wiki/Q16025986", "Q16025986")</f>
        <v>0</v>
      </c>
      <c r="O5674" t="s">
        <v>19977</v>
      </c>
      <c r="Q5674" t="s">
        <v>20738</v>
      </c>
      <c r="R5674" t="s">
        <v>20740</v>
      </c>
      <c r="S5674">
        <v>70</v>
      </c>
    </row>
    <row r="5675" spans="1:19">
      <c r="A5675" t="s">
        <v>27</v>
      </c>
      <c r="B5675" t="s">
        <v>148</v>
      </c>
      <c r="C5675" t="s">
        <v>159</v>
      </c>
      <c r="D5675" t="s">
        <v>288</v>
      </c>
      <c r="E5675" t="s">
        <v>417</v>
      </c>
      <c r="F5675">
        <f>HYPERLINK("https://www.wikidata.org/wiki/Q33755832", "Q33755832")</f>
        <v>0</v>
      </c>
      <c r="G5675" t="s">
        <v>2712</v>
      </c>
      <c r="H5675" t="s">
        <v>5612</v>
      </c>
      <c r="I5675" t="s">
        <v>9453</v>
      </c>
      <c r="J5675" t="s">
        <v>13353</v>
      </c>
      <c r="K5675" t="s">
        <v>17753</v>
      </c>
      <c r="L5675">
        <f>HYPERLINK("https://www2.assemblee-nationale.fr/sycomore/fiche/(num_dept)/7796", "7796")</f>
        <v>0</v>
      </c>
      <c r="N5675">
        <f>HYPERLINK("https://www.wikidata.org/wiki/Q16025990", "Q16025990")</f>
        <v>0</v>
      </c>
      <c r="O5675" t="s">
        <v>20002</v>
      </c>
      <c r="P5675" t="s">
        <v>20461</v>
      </c>
      <c r="Q5675" t="s">
        <v>20738</v>
      </c>
      <c r="R5675" t="s">
        <v>417</v>
      </c>
      <c r="S5675">
        <v>1483</v>
      </c>
    </row>
    <row r="5676" spans="1:19">
      <c r="A5676" t="s">
        <v>27</v>
      </c>
      <c r="B5676" t="s">
        <v>148</v>
      </c>
      <c r="C5676" t="s">
        <v>159</v>
      </c>
      <c r="D5676" t="s">
        <v>288</v>
      </c>
      <c r="E5676" t="s">
        <v>417</v>
      </c>
      <c r="F5676">
        <f>HYPERLINK("https://www.wikidata.org/wiki/Q33755832", "Q33755832")</f>
        <v>0</v>
      </c>
      <c r="G5676" t="s">
        <v>2716</v>
      </c>
      <c r="H5676" t="s">
        <v>7242</v>
      </c>
      <c r="I5676" t="s">
        <v>10381</v>
      </c>
      <c r="J5676" t="s">
        <v>13357</v>
      </c>
      <c r="K5676" t="s">
        <v>17757</v>
      </c>
      <c r="L5676">
        <f>HYPERLINK("https://www2.assemblee-nationale.fr/sycomore/fiche/(num_dept)/7831", "7831")</f>
        <v>0</v>
      </c>
      <c r="N5676">
        <f>HYPERLINK("https://www.wikidata.org/wiki/Q8316737", "Q8316737")</f>
        <v>0</v>
      </c>
      <c r="O5676" t="s">
        <v>19997</v>
      </c>
      <c r="P5676" t="s">
        <v>20401</v>
      </c>
      <c r="Q5676" t="s">
        <v>20738</v>
      </c>
      <c r="R5676" t="s">
        <v>417</v>
      </c>
      <c r="S5676">
        <v>1483</v>
      </c>
    </row>
    <row r="5677" spans="1:19">
      <c r="A5677" t="s">
        <v>27</v>
      </c>
      <c r="B5677" t="s">
        <v>148</v>
      </c>
      <c r="C5677" t="s">
        <v>159</v>
      </c>
      <c r="D5677" t="s">
        <v>288</v>
      </c>
      <c r="E5677" t="s">
        <v>417</v>
      </c>
      <c r="F5677">
        <f>HYPERLINK("https://www.wikidata.org/wiki/Q33755832", "Q33755832")</f>
        <v>0</v>
      </c>
      <c r="G5677" t="s">
        <v>3295</v>
      </c>
      <c r="H5677" t="s">
        <v>7706</v>
      </c>
      <c r="I5677" t="s">
        <v>10748</v>
      </c>
      <c r="J5677" t="s">
        <v>13909</v>
      </c>
      <c r="K5677" t="s">
        <v>18280</v>
      </c>
      <c r="L5677">
        <f>HYPERLINK("https://www2.assemblee-nationale.fr/sycomore/fiche/(num_dept)/7833", "7833")</f>
        <v>0</v>
      </c>
      <c r="N5677">
        <f>HYPERLINK("https://www.wikidata.org/wiki/Q3092648", "Q3092648")</f>
        <v>0</v>
      </c>
      <c r="O5677" t="s">
        <v>19957</v>
      </c>
      <c r="P5677" t="s">
        <v>20460</v>
      </c>
      <c r="Q5677" t="s">
        <v>20738</v>
      </c>
      <c r="R5677" t="s">
        <v>417</v>
      </c>
      <c r="S5677">
        <v>1483</v>
      </c>
    </row>
    <row r="5678" spans="1:19">
      <c r="A5678" t="s">
        <v>27</v>
      </c>
      <c r="B5678" t="s">
        <v>148</v>
      </c>
      <c r="C5678" t="s">
        <v>159</v>
      </c>
      <c r="D5678" t="s">
        <v>288</v>
      </c>
      <c r="E5678" t="s">
        <v>417</v>
      </c>
      <c r="F5678">
        <f>HYPERLINK("https://www.wikidata.org/wiki/Q33755832", "Q33755832")</f>
        <v>0</v>
      </c>
      <c r="G5678" t="s">
        <v>3010</v>
      </c>
      <c r="H5678" t="s">
        <v>7470</v>
      </c>
      <c r="I5678" t="s">
        <v>9483</v>
      </c>
      <c r="J5678" t="s">
        <v>13638</v>
      </c>
      <c r="K5678" t="s">
        <v>18023</v>
      </c>
      <c r="L5678">
        <f>HYPERLINK("https://www2.assemblee-nationale.fr/sycomore/fiche/(num_dept)/7839", "7839")</f>
        <v>0</v>
      </c>
      <c r="M5678">
        <f>HYPERLINK("https://www.senat.fr/senateur-3eme-republique/leydet_victor0316r3.html", "leydet_victor0316r3")</f>
        <v>0</v>
      </c>
      <c r="N5678">
        <f>HYPERLINK("https://www.wikidata.org/wiki/Q2522455", "Q2522455")</f>
        <v>0</v>
      </c>
      <c r="O5678" t="s">
        <v>19990</v>
      </c>
      <c r="P5678" t="s">
        <v>20471</v>
      </c>
      <c r="Q5678" t="s">
        <v>20738</v>
      </c>
      <c r="R5678" t="s">
        <v>417</v>
      </c>
      <c r="S5678">
        <v>1483</v>
      </c>
    </row>
    <row r="5679" spans="1:19">
      <c r="A5679" t="s">
        <v>27</v>
      </c>
      <c r="B5679" t="s">
        <v>148</v>
      </c>
      <c r="C5679" t="s">
        <v>159</v>
      </c>
      <c r="D5679" t="s">
        <v>288</v>
      </c>
      <c r="E5679" t="s">
        <v>417</v>
      </c>
      <c r="F5679">
        <f>HYPERLINK("https://www.wikidata.org/wiki/Q33755832", "Q33755832")</f>
        <v>0</v>
      </c>
      <c r="G5679" t="s">
        <v>857</v>
      </c>
      <c r="H5679" t="s">
        <v>5613</v>
      </c>
      <c r="I5679" t="s">
        <v>6175</v>
      </c>
      <c r="J5679" t="s">
        <v>11603</v>
      </c>
      <c r="K5679" t="s">
        <v>16005</v>
      </c>
      <c r="L5679">
        <f>HYPERLINK("https://www2.assemblee-nationale.fr/sycomore/fiche/(num_dept)/7840", "7840")</f>
        <v>0</v>
      </c>
      <c r="N5679">
        <f>HYPERLINK("https://www.wikidata.org/wiki/Q728806", "Q728806")</f>
        <v>0</v>
      </c>
      <c r="O5679" t="s">
        <v>20043</v>
      </c>
      <c r="Q5679" t="s">
        <v>20738</v>
      </c>
      <c r="R5679" t="s">
        <v>417</v>
      </c>
      <c r="S5679">
        <v>1483</v>
      </c>
    </row>
    <row r="5680" spans="1:19">
      <c r="A5680" t="s">
        <v>27</v>
      </c>
      <c r="B5680" t="s">
        <v>148</v>
      </c>
      <c r="C5680" t="s">
        <v>159</v>
      </c>
      <c r="D5680" t="s">
        <v>288</v>
      </c>
      <c r="E5680" t="s">
        <v>417</v>
      </c>
      <c r="F5680">
        <f>HYPERLINK("https://www.wikidata.org/wiki/Q33755832", "Q33755832")</f>
        <v>0</v>
      </c>
      <c r="G5680" t="s">
        <v>3396</v>
      </c>
      <c r="H5680" t="s">
        <v>7785</v>
      </c>
      <c r="I5680" t="s">
        <v>10806</v>
      </c>
      <c r="J5680" t="s">
        <v>14005</v>
      </c>
      <c r="K5680" t="s">
        <v>18373</v>
      </c>
      <c r="L5680">
        <f>HYPERLINK("https://www2.assemblee-nationale.fr/sycomore/fiche/(num_dept)/7857", "7857")</f>
        <v>0</v>
      </c>
      <c r="M5680">
        <f>HYPERLINK("https://www.senat.fr/senateur-3eme-republique/linard_desire0173r3.html", "linard_desire0173r3")</f>
        <v>0</v>
      </c>
      <c r="N5680">
        <f>HYPERLINK("https://www.wikidata.org/wiki/Q3045178", "Q3045178")</f>
        <v>0</v>
      </c>
      <c r="O5680" t="s">
        <v>19959</v>
      </c>
      <c r="Q5680" t="s">
        <v>20738</v>
      </c>
      <c r="R5680" t="s">
        <v>417</v>
      </c>
      <c r="S5680">
        <v>1483</v>
      </c>
    </row>
    <row r="5681" spans="1:19">
      <c r="A5681" t="s">
        <v>27</v>
      </c>
      <c r="B5681" t="s">
        <v>148</v>
      </c>
      <c r="C5681" t="s">
        <v>159</v>
      </c>
      <c r="D5681" t="s">
        <v>288</v>
      </c>
      <c r="E5681" t="s">
        <v>417</v>
      </c>
      <c r="F5681">
        <f>HYPERLINK("https://www.wikidata.org/wiki/Q33755832", "Q33755832")</f>
        <v>0</v>
      </c>
      <c r="G5681" t="s">
        <v>3296</v>
      </c>
      <c r="H5681" t="s">
        <v>7455</v>
      </c>
      <c r="I5681" t="s">
        <v>10182</v>
      </c>
      <c r="J5681" t="s">
        <v>13910</v>
      </c>
      <c r="K5681" t="s">
        <v>18281</v>
      </c>
      <c r="L5681">
        <f>HYPERLINK("https://www2.assemblee-nationale.fr/sycomore/fiche/(num_dept)/7881", "7881")</f>
        <v>0</v>
      </c>
      <c r="N5681">
        <f>HYPERLINK("https://www.wikidata.org/wiki/Q16026006", "Q16026006")</f>
        <v>0</v>
      </c>
      <c r="O5681" t="s">
        <v>20006</v>
      </c>
      <c r="P5681" t="s">
        <v>20459</v>
      </c>
      <c r="Q5681" t="s">
        <v>20738</v>
      </c>
      <c r="R5681" t="s">
        <v>417</v>
      </c>
      <c r="S5681">
        <v>1483</v>
      </c>
    </row>
    <row r="5682" spans="1:19">
      <c r="A5682" t="s">
        <v>27</v>
      </c>
      <c r="B5682" t="s">
        <v>148</v>
      </c>
      <c r="C5682" t="s">
        <v>159</v>
      </c>
      <c r="D5682" t="s">
        <v>288</v>
      </c>
      <c r="E5682" t="s">
        <v>417</v>
      </c>
      <c r="F5682">
        <f>HYPERLINK("https://www.wikidata.org/wiki/Q33755832", "Q33755832")</f>
        <v>0</v>
      </c>
      <c r="G5682" t="s">
        <v>2878</v>
      </c>
      <c r="H5682" t="s">
        <v>7363</v>
      </c>
      <c r="I5682" t="s">
        <v>10496</v>
      </c>
      <c r="J5682" t="s">
        <v>11305</v>
      </c>
      <c r="K5682" t="s">
        <v>17902</v>
      </c>
      <c r="L5682">
        <f>HYPERLINK("https://www2.assemblee-nationale.fr/sycomore/fiche/(num_dept)/8209", "8209")</f>
        <v>0</v>
      </c>
      <c r="M5682">
        <f>HYPERLINK("https://www.senat.fr/senateur-3eme-republique/deprez_louis0925r3.html", "deprez_louis0925r3")</f>
        <v>0</v>
      </c>
      <c r="N5682">
        <f>HYPERLINK("https://www.wikidata.org/wiki/Q2847076", "Q2847076")</f>
        <v>0</v>
      </c>
      <c r="O5682" t="s">
        <v>19968</v>
      </c>
      <c r="Q5682" t="s">
        <v>20738</v>
      </c>
      <c r="R5682" t="s">
        <v>21533</v>
      </c>
      <c r="S5682">
        <v>482</v>
      </c>
    </row>
    <row r="5683" spans="1:19">
      <c r="A5683" t="s">
        <v>27</v>
      </c>
      <c r="B5683" t="s">
        <v>148</v>
      </c>
      <c r="C5683" t="s">
        <v>159</v>
      </c>
      <c r="D5683" t="s">
        <v>288</v>
      </c>
      <c r="E5683" t="s">
        <v>417</v>
      </c>
      <c r="F5683">
        <f>HYPERLINK("https://www.wikidata.org/wiki/Q33755832", "Q33755832")</f>
        <v>0</v>
      </c>
      <c r="G5683" t="s">
        <v>3083</v>
      </c>
      <c r="H5683" t="s">
        <v>7530</v>
      </c>
      <c r="I5683" t="s">
        <v>10619</v>
      </c>
      <c r="J5683" t="s">
        <v>13706</v>
      </c>
      <c r="K5683" t="s">
        <v>18089</v>
      </c>
      <c r="L5683">
        <f>HYPERLINK("https://www2.assemblee-nationale.fr/sycomore/fiche/(num_dept)/8238", "8238")</f>
        <v>0</v>
      </c>
      <c r="M5683">
        <f>HYPERLINK("https://www.senat.fr/senateur-3eme-republique/legludic_prosper1251r3.html", "legludic_prosper1251r3")</f>
        <v>0</v>
      </c>
      <c r="N5683">
        <f>HYPERLINK("https://www.wikidata.org/wiki/Q3407790", "Q3407790")</f>
        <v>0</v>
      </c>
      <c r="O5683" t="s">
        <v>19956</v>
      </c>
      <c r="P5683" t="s">
        <v>20401</v>
      </c>
      <c r="Q5683" t="s">
        <v>20738</v>
      </c>
      <c r="R5683" t="s">
        <v>417</v>
      </c>
      <c r="S5683">
        <v>1483</v>
      </c>
    </row>
    <row r="5684" spans="1:19">
      <c r="A5684" t="s">
        <v>27</v>
      </c>
      <c r="B5684" t="s">
        <v>148</v>
      </c>
      <c r="C5684" t="s">
        <v>159</v>
      </c>
      <c r="D5684" t="s">
        <v>288</v>
      </c>
      <c r="E5684" t="s">
        <v>417</v>
      </c>
      <c r="F5684">
        <f>HYPERLINK("https://www.wikidata.org/wiki/Q33755832", "Q33755832")</f>
        <v>0</v>
      </c>
      <c r="G5684" t="s">
        <v>3519</v>
      </c>
      <c r="H5684" t="s">
        <v>5540</v>
      </c>
      <c r="I5684" t="s">
        <v>10860</v>
      </c>
      <c r="J5684" t="s">
        <v>14114</v>
      </c>
      <c r="K5684" t="s">
        <v>18481</v>
      </c>
      <c r="L5684">
        <f>HYPERLINK("https://www2.assemblee-nationale.fr/sycomore/fiche/(num_dept)/17834", "17834")</f>
        <v>0</v>
      </c>
      <c r="N5684">
        <f>HYPERLINK("https://www.wikidata.org/wiki/Q2034069", "Q2034069")</f>
        <v>0</v>
      </c>
      <c r="O5684" t="s">
        <v>19994</v>
      </c>
      <c r="Q5684" t="s">
        <v>20738</v>
      </c>
      <c r="R5684" t="s">
        <v>417</v>
      </c>
      <c r="S5684">
        <v>1483</v>
      </c>
    </row>
    <row r="5685" spans="1:19">
      <c r="A5685" t="s">
        <v>27</v>
      </c>
      <c r="B5685" t="s">
        <v>148</v>
      </c>
      <c r="C5685" t="s">
        <v>159</v>
      </c>
      <c r="D5685" t="s">
        <v>288</v>
      </c>
      <c r="E5685" t="s">
        <v>417</v>
      </c>
      <c r="F5685">
        <f>HYPERLINK("https://www.wikidata.org/wiki/Q33755832", "Q33755832")</f>
        <v>0</v>
      </c>
      <c r="G5685" t="s">
        <v>3520</v>
      </c>
      <c r="H5685" t="s">
        <v>6371</v>
      </c>
      <c r="I5685" t="s">
        <v>10861</v>
      </c>
      <c r="J5685" t="s">
        <v>14115</v>
      </c>
      <c r="K5685" t="s">
        <v>18482</v>
      </c>
      <c r="L5685">
        <f>HYPERLINK("https://www2.assemblee-nationale.fr/sycomore/fiche/(num_dept)/32", "32")</f>
        <v>0</v>
      </c>
      <c r="N5685">
        <f>HYPERLINK("https://www.wikidata.org/wiki/Q2823029", "Q2823029")</f>
        <v>0</v>
      </c>
      <c r="O5685" t="s">
        <v>19968</v>
      </c>
      <c r="P5685" t="s">
        <v>20483</v>
      </c>
      <c r="Q5685" t="s">
        <v>20739</v>
      </c>
      <c r="R5685" t="s">
        <v>417</v>
      </c>
      <c r="S5685">
        <v>1469</v>
      </c>
    </row>
    <row r="5686" spans="1:19">
      <c r="A5686" t="s">
        <v>27</v>
      </c>
      <c r="B5686" t="s">
        <v>148</v>
      </c>
      <c r="C5686" t="s">
        <v>159</v>
      </c>
      <c r="D5686" t="s">
        <v>288</v>
      </c>
      <c r="E5686" t="s">
        <v>417</v>
      </c>
      <c r="F5686">
        <f>HYPERLINK("https://www.wikidata.org/wiki/Q33755832", "Q33755832")</f>
        <v>0</v>
      </c>
      <c r="G5686" t="s">
        <v>3521</v>
      </c>
      <c r="H5686" t="s">
        <v>7885</v>
      </c>
      <c r="I5686" t="s">
        <v>9457</v>
      </c>
      <c r="J5686" t="s">
        <v>14116</v>
      </c>
      <c r="K5686" t="s">
        <v>18483</v>
      </c>
      <c r="L5686">
        <f>HYPERLINK("https://www2.assemblee-nationale.fr/sycomore/fiche/(num_dept)/55", "55")</f>
        <v>0</v>
      </c>
      <c r="N5686">
        <f>HYPERLINK("https://www.wikidata.org/wiki/Q15973181", "Q15973181")</f>
        <v>0</v>
      </c>
      <c r="O5686" t="s">
        <v>19987</v>
      </c>
      <c r="Q5686" t="s">
        <v>20739</v>
      </c>
      <c r="R5686" t="s">
        <v>417</v>
      </c>
      <c r="S5686">
        <v>1469</v>
      </c>
    </row>
    <row r="5687" spans="1:19">
      <c r="A5687" t="s">
        <v>27</v>
      </c>
      <c r="B5687" t="s">
        <v>148</v>
      </c>
      <c r="C5687" t="s">
        <v>159</v>
      </c>
      <c r="D5687" t="s">
        <v>288</v>
      </c>
      <c r="E5687" t="s">
        <v>417</v>
      </c>
      <c r="F5687">
        <f>HYPERLINK("https://www.wikidata.org/wiki/Q33755832", "Q33755832")</f>
        <v>0</v>
      </c>
      <c r="G5687" t="s">
        <v>2486</v>
      </c>
      <c r="H5687" t="s">
        <v>7059</v>
      </c>
      <c r="I5687" t="s">
        <v>10239</v>
      </c>
      <c r="J5687" t="s">
        <v>13130</v>
      </c>
      <c r="K5687" t="s">
        <v>17540</v>
      </c>
      <c r="L5687">
        <f>HYPERLINK("https://www2.assemblee-nationale.fr/sycomore/fiche/(num_dept)/105", "105")</f>
        <v>0</v>
      </c>
      <c r="N5687">
        <f>HYPERLINK("https://www.wikidata.org/wiki/Q15973236", "Q15973236")</f>
        <v>0</v>
      </c>
      <c r="O5687" t="s">
        <v>19966</v>
      </c>
      <c r="Q5687" t="s">
        <v>20739</v>
      </c>
      <c r="R5687" t="s">
        <v>17540</v>
      </c>
      <c r="S5687">
        <v>272</v>
      </c>
    </row>
    <row r="5688" spans="1:19">
      <c r="A5688" t="s">
        <v>27</v>
      </c>
      <c r="B5688" t="s">
        <v>148</v>
      </c>
      <c r="C5688" t="s">
        <v>159</v>
      </c>
      <c r="D5688" t="s">
        <v>288</v>
      </c>
      <c r="E5688" t="s">
        <v>417</v>
      </c>
      <c r="F5688">
        <f>HYPERLINK("https://www.wikidata.org/wiki/Q33755832", "Q33755832")</f>
        <v>0</v>
      </c>
      <c r="G5688" t="s">
        <v>3522</v>
      </c>
      <c r="H5688" t="s">
        <v>7886</v>
      </c>
      <c r="I5688" t="s">
        <v>10862</v>
      </c>
      <c r="J5688" t="s">
        <v>14117</v>
      </c>
      <c r="K5688" t="s">
        <v>18484</v>
      </c>
      <c r="L5688">
        <f>HYPERLINK("https://www2.assemblee-nationale.fr/sycomore/fiche/(num_dept)/190", "190")</f>
        <v>0</v>
      </c>
      <c r="N5688">
        <f>HYPERLINK("https://www.wikidata.org/wiki/Q3170409", "Q3170409")</f>
        <v>0</v>
      </c>
      <c r="O5688" t="s">
        <v>19976</v>
      </c>
      <c r="Q5688" t="s">
        <v>20739</v>
      </c>
      <c r="R5688" t="s">
        <v>417</v>
      </c>
      <c r="S5688">
        <v>1469</v>
      </c>
    </row>
    <row r="5689" spans="1:19">
      <c r="A5689" t="s">
        <v>27</v>
      </c>
      <c r="B5689" t="s">
        <v>148</v>
      </c>
      <c r="C5689" t="s">
        <v>159</v>
      </c>
      <c r="D5689" t="s">
        <v>288</v>
      </c>
      <c r="E5689" t="s">
        <v>417</v>
      </c>
      <c r="F5689">
        <f>HYPERLINK("https://www.wikidata.org/wiki/Q33755832", "Q33755832")</f>
        <v>0</v>
      </c>
      <c r="G5689" t="s">
        <v>3523</v>
      </c>
      <c r="H5689" t="s">
        <v>7887</v>
      </c>
      <c r="I5689" t="s">
        <v>10863</v>
      </c>
      <c r="J5689" t="s">
        <v>14118</v>
      </c>
      <c r="K5689" t="s">
        <v>18485</v>
      </c>
      <c r="L5689">
        <f>HYPERLINK("https://www2.assemblee-nationale.fr/sycomore/fiche/(num_dept)/211", "211")</f>
        <v>0</v>
      </c>
      <c r="N5689">
        <f>HYPERLINK("https://www.wikidata.org/wiki/Q8316953", "Q8316953")</f>
        <v>0</v>
      </c>
      <c r="O5689" t="s">
        <v>20008</v>
      </c>
      <c r="Q5689" t="s">
        <v>20739</v>
      </c>
      <c r="R5689" t="s">
        <v>18485</v>
      </c>
      <c r="S5689">
        <v>85</v>
      </c>
    </row>
    <row r="5690" spans="1:19">
      <c r="A5690" t="s">
        <v>27</v>
      </c>
      <c r="B5690" t="s">
        <v>148</v>
      </c>
      <c r="C5690" t="s">
        <v>159</v>
      </c>
      <c r="D5690" t="s">
        <v>288</v>
      </c>
      <c r="E5690" t="s">
        <v>417</v>
      </c>
      <c r="F5690">
        <f>HYPERLINK("https://www.wikidata.org/wiki/Q33755832", "Q33755832")</f>
        <v>0</v>
      </c>
      <c r="G5690" t="s">
        <v>2488</v>
      </c>
      <c r="H5690" t="s">
        <v>7061</v>
      </c>
      <c r="I5690" t="s">
        <v>10240</v>
      </c>
      <c r="J5690" t="s">
        <v>13132</v>
      </c>
      <c r="K5690" t="s">
        <v>17541</v>
      </c>
      <c r="L5690">
        <f>HYPERLINK("https://www2.assemblee-nationale.fr/sycomore/fiche/(num_dept)/251", "251")</f>
        <v>0</v>
      </c>
      <c r="M5690">
        <f>HYPERLINK("https://www.senat.fr/senateur-3eme-republique/audiffred_jean_honore1321r3.html", "audiffred_jean_honore1321r3")</f>
        <v>0</v>
      </c>
      <c r="N5690">
        <f>HYPERLINK("https://www.wikidata.org/wiki/Q3166130", "Q3166130")</f>
        <v>0</v>
      </c>
      <c r="O5690" t="s">
        <v>19997</v>
      </c>
      <c r="Q5690" t="s">
        <v>20739</v>
      </c>
      <c r="R5690" t="s">
        <v>417</v>
      </c>
      <c r="S5690">
        <v>1469</v>
      </c>
    </row>
    <row r="5691" spans="1:19">
      <c r="A5691" t="s">
        <v>27</v>
      </c>
      <c r="B5691" t="s">
        <v>148</v>
      </c>
      <c r="C5691" t="s">
        <v>159</v>
      </c>
      <c r="D5691" t="s">
        <v>288</v>
      </c>
      <c r="E5691" t="s">
        <v>417</v>
      </c>
      <c r="F5691">
        <f>HYPERLINK("https://www.wikidata.org/wiki/Q33755832", "Q33755832")</f>
        <v>0</v>
      </c>
      <c r="G5691" t="s">
        <v>505</v>
      </c>
      <c r="H5691" t="s">
        <v>5270</v>
      </c>
      <c r="I5691" t="s">
        <v>9375</v>
      </c>
      <c r="J5691" t="s">
        <v>11257</v>
      </c>
      <c r="K5691" t="s">
        <v>15657</v>
      </c>
      <c r="L5691">
        <f>HYPERLINK("https://www2.assemblee-nationale.fr/sycomore/fiche/(num_dept)/305", "305")</f>
        <v>0</v>
      </c>
      <c r="N5691">
        <f>HYPERLINK("https://www.wikidata.org/wiki/Q3579728", "Q3579728")</f>
        <v>0</v>
      </c>
      <c r="O5691" t="s">
        <v>19965</v>
      </c>
      <c r="Q5691" t="s">
        <v>20739</v>
      </c>
      <c r="R5691" t="s">
        <v>417</v>
      </c>
      <c r="S5691">
        <v>1469</v>
      </c>
    </row>
    <row r="5692" spans="1:19">
      <c r="A5692" t="s">
        <v>27</v>
      </c>
      <c r="B5692" t="s">
        <v>148</v>
      </c>
      <c r="C5692" t="s">
        <v>159</v>
      </c>
      <c r="D5692" t="s">
        <v>288</v>
      </c>
      <c r="E5692" t="s">
        <v>417</v>
      </c>
      <c r="F5692">
        <f>HYPERLINK("https://www.wikidata.org/wiki/Q33755832", "Q33755832")</f>
        <v>0</v>
      </c>
      <c r="G5692" t="s">
        <v>3524</v>
      </c>
      <c r="H5692" t="s">
        <v>7888</v>
      </c>
      <c r="I5692" t="s">
        <v>10864</v>
      </c>
      <c r="J5692" t="s">
        <v>14119</v>
      </c>
      <c r="K5692" t="s">
        <v>18486</v>
      </c>
      <c r="L5692">
        <f>HYPERLINK("https://www2.assemblee-nationale.fr/sycomore/fiche/(num_dept)/338", "338")</f>
        <v>0</v>
      </c>
      <c r="N5692">
        <f>HYPERLINK("https://www.wikidata.org/wiki/Q15973444", "Q15973444")</f>
        <v>0</v>
      </c>
      <c r="O5692" t="s">
        <v>20027</v>
      </c>
      <c r="Q5692" t="s">
        <v>20739</v>
      </c>
      <c r="R5692" t="s">
        <v>417</v>
      </c>
      <c r="S5692">
        <v>1469</v>
      </c>
    </row>
    <row r="5693" spans="1:19">
      <c r="A5693" t="s">
        <v>27</v>
      </c>
      <c r="B5693" t="s">
        <v>148</v>
      </c>
      <c r="C5693" t="s">
        <v>159</v>
      </c>
      <c r="D5693" t="s">
        <v>288</v>
      </c>
      <c r="E5693" t="s">
        <v>417</v>
      </c>
      <c r="F5693">
        <f>HYPERLINK("https://www.wikidata.org/wiki/Q33755832", "Q33755832")</f>
        <v>0</v>
      </c>
      <c r="G5693" t="s">
        <v>3525</v>
      </c>
      <c r="H5693" t="s">
        <v>7889</v>
      </c>
      <c r="I5693" t="s">
        <v>9385</v>
      </c>
      <c r="J5693" t="s">
        <v>14120</v>
      </c>
      <c r="K5693" t="s">
        <v>16163</v>
      </c>
      <c r="L5693">
        <f>HYPERLINK("https://www2.assemblee-nationale.fr/sycomore/fiche/(num_dept)/358", "358")</f>
        <v>0</v>
      </c>
      <c r="N5693">
        <f>HYPERLINK("https://www.wikidata.org/wiki/Q2958464", "Q2958464")</f>
        <v>0</v>
      </c>
      <c r="O5693" t="s">
        <v>19975</v>
      </c>
      <c r="Q5693" t="s">
        <v>20739</v>
      </c>
      <c r="R5693" t="s">
        <v>417</v>
      </c>
      <c r="S5693">
        <v>1469</v>
      </c>
    </row>
    <row r="5694" spans="1:19">
      <c r="A5694" t="s">
        <v>27</v>
      </c>
      <c r="B5694" t="s">
        <v>148</v>
      </c>
      <c r="C5694" t="s">
        <v>159</v>
      </c>
      <c r="D5694" t="s">
        <v>288</v>
      </c>
      <c r="E5694" t="s">
        <v>417</v>
      </c>
      <c r="F5694">
        <f>HYPERLINK("https://www.wikidata.org/wiki/Q33755832", "Q33755832")</f>
        <v>0</v>
      </c>
      <c r="G5694" t="s">
        <v>3399</v>
      </c>
      <c r="H5694" t="s">
        <v>7788</v>
      </c>
      <c r="I5694" t="s">
        <v>10809</v>
      </c>
      <c r="J5694" t="s">
        <v>14007</v>
      </c>
      <c r="K5694" t="s">
        <v>18050</v>
      </c>
      <c r="L5694">
        <f>HYPERLINK("https://www2.assemblee-nationale.fr/sycomore/fiche/(num_dept)/410", "410")</f>
        <v>0</v>
      </c>
      <c r="N5694">
        <f>HYPERLINK("https://www.wikidata.org/wiki/Q8308239", "Q8308239")</f>
        <v>0</v>
      </c>
      <c r="O5694" t="s">
        <v>20002</v>
      </c>
      <c r="P5694" t="s">
        <v>20401</v>
      </c>
      <c r="Q5694" t="s">
        <v>20739</v>
      </c>
      <c r="R5694" t="s">
        <v>18050</v>
      </c>
      <c r="S5694">
        <v>1133</v>
      </c>
    </row>
    <row r="5695" spans="1:19">
      <c r="A5695" t="s">
        <v>27</v>
      </c>
      <c r="B5695" t="s">
        <v>148</v>
      </c>
      <c r="C5695" t="s">
        <v>159</v>
      </c>
      <c r="D5695" t="s">
        <v>288</v>
      </c>
      <c r="E5695" t="s">
        <v>417</v>
      </c>
      <c r="F5695">
        <f>HYPERLINK("https://www.wikidata.org/wiki/Q33755832", "Q33755832")</f>
        <v>0</v>
      </c>
      <c r="G5695" t="s">
        <v>3526</v>
      </c>
      <c r="H5695" t="s">
        <v>7890</v>
      </c>
      <c r="I5695" t="s">
        <v>9602</v>
      </c>
      <c r="J5695" t="s">
        <v>11641</v>
      </c>
      <c r="K5695" t="s">
        <v>18487</v>
      </c>
      <c r="L5695">
        <f>HYPERLINK("https://www2.assemblee-nationale.fr/sycomore/fiche/(num_dept)/452", "452")</f>
        <v>0</v>
      </c>
      <c r="N5695">
        <f>HYPERLINK("https://www.wikidata.org/wiki/Q15973515", "Q15973515")</f>
        <v>0</v>
      </c>
      <c r="O5695" t="s">
        <v>20001</v>
      </c>
      <c r="P5695" t="s">
        <v>20484</v>
      </c>
      <c r="Q5695" t="s">
        <v>20739</v>
      </c>
      <c r="R5695" t="s">
        <v>417</v>
      </c>
      <c r="S5695">
        <v>1469</v>
      </c>
    </row>
    <row r="5696" spans="1:19">
      <c r="A5696" t="s">
        <v>27</v>
      </c>
      <c r="B5696" t="s">
        <v>148</v>
      </c>
      <c r="C5696" t="s">
        <v>159</v>
      </c>
      <c r="D5696" t="s">
        <v>288</v>
      </c>
      <c r="E5696" t="s">
        <v>417</v>
      </c>
      <c r="F5696">
        <f>HYPERLINK("https://www.wikidata.org/wiki/Q33755832", "Q33755832")</f>
        <v>0</v>
      </c>
      <c r="G5696" t="s">
        <v>2492</v>
      </c>
      <c r="H5696" t="s">
        <v>6386</v>
      </c>
      <c r="I5696" t="s">
        <v>10243</v>
      </c>
      <c r="J5696" t="s">
        <v>13136</v>
      </c>
      <c r="K5696" t="s">
        <v>17545</v>
      </c>
      <c r="L5696">
        <f>HYPERLINK("https://www2.assemblee-nationale.fr/sycomore/fiche/(num_dept)/470", "470")</f>
        <v>0</v>
      </c>
      <c r="N5696">
        <f>HYPERLINK("https://www.wikidata.org/wiki/Q15973504", "Q15973504")</f>
        <v>0</v>
      </c>
      <c r="O5696" t="s">
        <v>19966</v>
      </c>
      <c r="P5696" t="s">
        <v>20458</v>
      </c>
      <c r="Q5696" t="s">
        <v>20739</v>
      </c>
      <c r="R5696" t="s">
        <v>417</v>
      </c>
      <c r="S5696">
        <v>1469</v>
      </c>
    </row>
    <row r="5697" spans="1:19">
      <c r="A5697" t="s">
        <v>27</v>
      </c>
      <c r="B5697" t="s">
        <v>148</v>
      </c>
      <c r="C5697" t="s">
        <v>159</v>
      </c>
      <c r="D5697" t="s">
        <v>288</v>
      </c>
      <c r="E5697" t="s">
        <v>417</v>
      </c>
      <c r="F5697">
        <f>HYPERLINK("https://www.wikidata.org/wiki/Q33755832", "Q33755832")</f>
        <v>0</v>
      </c>
      <c r="G5697" t="s">
        <v>3527</v>
      </c>
      <c r="H5697" t="s">
        <v>7891</v>
      </c>
      <c r="I5697" t="s">
        <v>9465</v>
      </c>
      <c r="J5697" t="s">
        <v>14121</v>
      </c>
      <c r="K5697" t="s">
        <v>18488</v>
      </c>
      <c r="L5697">
        <f>HYPERLINK("https://www2.assemblee-nationale.fr/sycomore/fiche/(num_dept)/490", "490")</f>
        <v>0</v>
      </c>
      <c r="N5697">
        <f>HYPERLINK("https://www.wikidata.org/wiki/Q8344677", "Q8344677")</f>
        <v>0</v>
      </c>
      <c r="O5697" t="s">
        <v>19996</v>
      </c>
      <c r="P5697" t="s">
        <v>20485</v>
      </c>
      <c r="Q5697" t="s">
        <v>20739</v>
      </c>
      <c r="R5697" t="s">
        <v>417</v>
      </c>
      <c r="S5697">
        <v>1469</v>
      </c>
    </row>
    <row r="5698" spans="1:19">
      <c r="A5698" t="s">
        <v>27</v>
      </c>
      <c r="B5698" t="s">
        <v>148</v>
      </c>
      <c r="C5698" t="s">
        <v>159</v>
      </c>
      <c r="D5698" t="s">
        <v>288</v>
      </c>
      <c r="E5698" t="s">
        <v>417</v>
      </c>
      <c r="F5698">
        <f>HYPERLINK("https://www.wikidata.org/wiki/Q33755832", "Q33755832")</f>
        <v>0</v>
      </c>
      <c r="G5698" t="s">
        <v>517</v>
      </c>
      <c r="H5698" t="s">
        <v>5281</v>
      </c>
      <c r="I5698" t="s">
        <v>9385</v>
      </c>
      <c r="J5698" t="s">
        <v>11269</v>
      </c>
      <c r="K5698" t="s">
        <v>15669</v>
      </c>
      <c r="L5698">
        <f>HYPERLINK("https://www2.assemblee-nationale.fr/sycomore/fiche/(num_dept)/538", "538")</f>
        <v>0</v>
      </c>
      <c r="N5698">
        <f>HYPERLINK("https://www.wikidata.org/wiki/Q2958509", "Q2958509")</f>
        <v>0</v>
      </c>
      <c r="O5698" t="s">
        <v>19973</v>
      </c>
      <c r="Q5698" t="s">
        <v>20739</v>
      </c>
      <c r="R5698" t="s">
        <v>417</v>
      </c>
      <c r="S5698">
        <v>1469</v>
      </c>
    </row>
    <row r="5699" spans="1:19">
      <c r="A5699" t="s">
        <v>27</v>
      </c>
      <c r="B5699" t="s">
        <v>148</v>
      </c>
      <c r="C5699" t="s">
        <v>159</v>
      </c>
      <c r="D5699" t="s">
        <v>288</v>
      </c>
      <c r="E5699" t="s">
        <v>417</v>
      </c>
      <c r="F5699">
        <f>HYPERLINK("https://www.wikidata.org/wiki/Q33755832", "Q33755832")</f>
        <v>0</v>
      </c>
      <c r="G5699" t="s">
        <v>3528</v>
      </c>
      <c r="H5699" t="s">
        <v>7892</v>
      </c>
      <c r="I5699" t="s">
        <v>10865</v>
      </c>
      <c r="J5699" t="s">
        <v>14122</v>
      </c>
      <c r="K5699" t="s">
        <v>18489</v>
      </c>
      <c r="L5699">
        <f>HYPERLINK("https://www2.assemblee-nationale.fr/sycomore/fiche/(num_dept)/590", "590")</f>
        <v>0</v>
      </c>
      <c r="N5699">
        <f>HYPERLINK("https://www.wikidata.org/wiki/Q13080890", "Q13080890")</f>
        <v>0</v>
      </c>
      <c r="O5699" t="s">
        <v>19969</v>
      </c>
      <c r="Q5699" t="s">
        <v>20739</v>
      </c>
      <c r="R5699" t="s">
        <v>417</v>
      </c>
      <c r="S5699">
        <v>1469</v>
      </c>
    </row>
    <row r="5700" spans="1:19">
      <c r="A5700" t="s">
        <v>27</v>
      </c>
      <c r="B5700" t="s">
        <v>148</v>
      </c>
      <c r="C5700" t="s">
        <v>159</v>
      </c>
      <c r="D5700" t="s">
        <v>288</v>
      </c>
      <c r="E5700" t="s">
        <v>417</v>
      </c>
      <c r="F5700">
        <f>HYPERLINK("https://www.wikidata.org/wiki/Q33755832", "Q33755832")</f>
        <v>0</v>
      </c>
      <c r="G5700" t="s">
        <v>3529</v>
      </c>
      <c r="H5700" t="s">
        <v>5286</v>
      </c>
      <c r="I5700" t="s">
        <v>9442</v>
      </c>
      <c r="J5700" t="s">
        <v>14123</v>
      </c>
      <c r="K5700" t="s">
        <v>17733</v>
      </c>
      <c r="L5700">
        <f>HYPERLINK("https://www2.assemblee-nationale.fr/sycomore/fiche/(num_dept)/648", "648")</f>
        <v>0</v>
      </c>
      <c r="N5700">
        <f>HYPERLINK("https://www.wikidata.org/wiki/Q3056868", "Q3056868")</f>
        <v>0</v>
      </c>
      <c r="O5700" t="s">
        <v>19965</v>
      </c>
      <c r="P5700" t="s">
        <v>20401</v>
      </c>
      <c r="Q5700" t="s">
        <v>20739</v>
      </c>
      <c r="R5700" t="s">
        <v>417</v>
      </c>
      <c r="S5700">
        <v>1469</v>
      </c>
    </row>
    <row r="5701" spans="1:19">
      <c r="A5701" t="s">
        <v>27</v>
      </c>
      <c r="B5701" t="s">
        <v>148</v>
      </c>
      <c r="C5701" t="s">
        <v>159</v>
      </c>
      <c r="D5701" t="s">
        <v>288</v>
      </c>
      <c r="E5701" t="s">
        <v>417</v>
      </c>
      <c r="F5701">
        <f>HYPERLINK("https://www.wikidata.org/wiki/Q33755832", "Q33755832")</f>
        <v>0</v>
      </c>
      <c r="G5701" t="s">
        <v>3530</v>
      </c>
      <c r="H5701" t="s">
        <v>5946</v>
      </c>
      <c r="I5701" t="s">
        <v>10866</v>
      </c>
      <c r="J5701" t="s">
        <v>14124</v>
      </c>
      <c r="K5701" t="s">
        <v>18490</v>
      </c>
      <c r="L5701">
        <f>HYPERLINK("https://www2.assemblee-nationale.fr/sycomore/fiche/(num_dept)/664", "664")</f>
        <v>0</v>
      </c>
      <c r="N5701">
        <f>HYPERLINK("https://www.wikidata.org/wiki/Q13080880", "Q13080880")</f>
        <v>0</v>
      </c>
      <c r="O5701" t="s">
        <v>19969</v>
      </c>
      <c r="P5701" t="s">
        <v>20479</v>
      </c>
      <c r="Q5701" t="s">
        <v>20739</v>
      </c>
      <c r="R5701" t="s">
        <v>417</v>
      </c>
      <c r="S5701">
        <v>1469</v>
      </c>
    </row>
    <row r="5702" spans="1:19">
      <c r="A5702" t="s">
        <v>27</v>
      </c>
      <c r="B5702" t="s">
        <v>148</v>
      </c>
      <c r="C5702" t="s">
        <v>159</v>
      </c>
      <c r="D5702" t="s">
        <v>288</v>
      </c>
      <c r="E5702" t="s">
        <v>417</v>
      </c>
      <c r="F5702">
        <f>HYPERLINK("https://www.wikidata.org/wiki/Q33755832", "Q33755832")</f>
        <v>0</v>
      </c>
      <c r="G5702" t="s">
        <v>3531</v>
      </c>
      <c r="H5702" t="s">
        <v>7538</v>
      </c>
      <c r="I5702" t="s">
        <v>10867</v>
      </c>
      <c r="J5702" t="s">
        <v>14125</v>
      </c>
      <c r="K5702" t="s">
        <v>17759</v>
      </c>
      <c r="L5702">
        <f>HYPERLINK("https://www2.assemblee-nationale.fr/sycomore/fiche/(num_dept)/710", "710")</f>
        <v>0</v>
      </c>
      <c r="N5702">
        <f>HYPERLINK("https://www.wikidata.org/wiki/Q3188996", "Q3188996")</f>
        <v>0</v>
      </c>
      <c r="O5702" t="s">
        <v>20014</v>
      </c>
      <c r="P5702" t="s">
        <v>20460</v>
      </c>
      <c r="Q5702" t="s">
        <v>20739</v>
      </c>
      <c r="R5702" t="s">
        <v>417</v>
      </c>
      <c r="S5702">
        <v>1469</v>
      </c>
    </row>
    <row r="5703" spans="1:19">
      <c r="A5703" t="s">
        <v>27</v>
      </c>
      <c r="B5703" t="s">
        <v>148</v>
      </c>
      <c r="C5703" t="s">
        <v>159</v>
      </c>
      <c r="D5703" t="s">
        <v>288</v>
      </c>
      <c r="E5703" t="s">
        <v>417</v>
      </c>
      <c r="F5703">
        <f>HYPERLINK("https://www.wikidata.org/wiki/Q33755832", "Q33755832")</f>
        <v>0</v>
      </c>
      <c r="G5703" t="s">
        <v>3532</v>
      </c>
      <c r="H5703" t="s">
        <v>7893</v>
      </c>
      <c r="I5703" t="s">
        <v>10570</v>
      </c>
      <c r="J5703" t="s">
        <v>14126</v>
      </c>
      <c r="K5703" t="s">
        <v>18491</v>
      </c>
      <c r="L5703">
        <f>HYPERLINK("https://www2.assemblee-nationale.fr/sycomore/fiche/(num_dept)/777", "777")</f>
        <v>0</v>
      </c>
      <c r="M5703">
        <f>HYPERLINK("https://www.senat.fr/senateur-3eme-republique/bezine_paul1849r3.html", "bezine_paul1849r3")</f>
        <v>0</v>
      </c>
      <c r="N5703">
        <f>HYPERLINK("https://www.wikidata.org/wiki/Q3370642", "Q3370642")</f>
        <v>0</v>
      </c>
      <c r="O5703" t="s">
        <v>20034</v>
      </c>
      <c r="P5703" t="s">
        <v>20401</v>
      </c>
      <c r="Q5703" t="s">
        <v>20739</v>
      </c>
      <c r="R5703" t="s">
        <v>417</v>
      </c>
      <c r="S5703">
        <v>1469</v>
      </c>
    </row>
    <row r="5704" spans="1:19">
      <c r="A5704" t="s">
        <v>27</v>
      </c>
      <c r="B5704" t="s">
        <v>148</v>
      </c>
      <c r="C5704" t="s">
        <v>159</v>
      </c>
      <c r="D5704" t="s">
        <v>288</v>
      </c>
      <c r="E5704" t="s">
        <v>417</v>
      </c>
      <c r="F5704">
        <f>HYPERLINK("https://www.wikidata.org/wiki/Q33755832", "Q33755832")</f>
        <v>0</v>
      </c>
      <c r="G5704" t="s">
        <v>3533</v>
      </c>
      <c r="H5704" t="s">
        <v>7894</v>
      </c>
      <c r="I5704" t="s">
        <v>10868</v>
      </c>
      <c r="J5704" t="s">
        <v>14127</v>
      </c>
      <c r="K5704" t="s">
        <v>18452</v>
      </c>
      <c r="L5704">
        <f>HYPERLINK("https://www2.assemblee-nationale.fr/sycomore/fiche/(num_dept)/834", "834")</f>
        <v>0</v>
      </c>
      <c r="N5704">
        <f>HYPERLINK("https://www.wikidata.org/wiki/Q3059731", "Q3059731")</f>
        <v>0</v>
      </c>
      <c r="O5704" t="s">
        <v>19986</v>
      </c>
      <c r="P5704" t="s">
        <v>20401</v>
      </c>
      <c r="Q5704" t="s">
        <v>20739</v>
      </c>
      <c r="R5704" t="s">
        <v>417</v>
      </c>
      <c r="S5704">
        <v>1469</v>
      </c>
    </row>
    <row r="5705" spans="1:19">
      <c r="A5705" t="s">
        <v>27</v>
      </c>
      <c r="B5705" t="s">
        <v>148</v>
      </c>
      <c r="C5705" t="s">
        <v>159</v>
      </c>
      <c r="D5705" t="s">
        <v>288</v>
      </c>
      <c r="E5705" t="s">
        <v>417</v>
      </c>
      <c r="F5705">
        <f>HYPERLINK("https://www.wikidata.org/wiki/Q33755832", "Q33755832")</f>
        <v>0</v>
      </c>
      <c r="G5705" t="s">
        <v>3534</v>
      </c>
      <c r="H5705" t="s">
        <v>7895</v>
      </c>
      <c r="I5705" t="s">
        <v>6736</v>
      </c>
      <c r="J5705" t="s">
        <v>13282</v>
      </c>
      <c r="K5705" t="s">
        <v>18492</v>
      </c>
      <c r="L5705">
        <f>HYPERLINK("https://www2.assemblee-nationale.fr/sycomore/fiche/(num_dept)/835", "835")</f>
        <v>0</v>
      </c>
      <c r="N5705">
        <f>HYPERLINK("https://www.wikidata.org/wiki/Q15973752", "Q15973752")</f>
        <v>0</v>
      </c>
      <c r="O5705" t="s">
        <v>20002</v>
      </c>
      <c r="P5705" t="s">
        <v>20471</v>
      </c>
      <c r="Q5705" t="s">
        <v>20739</v>
      </c>
      <c r="R5705" t="s">
        <v>417</v>
      </c>
      <c r="S5705">
        <v>1469</v>
      </c>
    </row>
    <row r="5706" spans="1:19">
      <c r="A5706" t="s">
        <v>27</v>
      </c>
      <c r="B5706" t="s">
        <v>148</v>
      </c>
      <c r="C5706" t="s">
        <v>159</v>
      </c>
      <c r="D5706" t="s">
        <v>288</v>
      </c>
      <c r="E5706" t="s">
        <v>417</v>
      </c>
      <c r="F5706">
        <f>HYPERLINK("https://www.wikidata.org/wiki/Q33755832", "Q33755832")</f>
        <v>0</v>
      </c>
      <c r="G5706" t="s">
        <v>2508</v>
      </c>
      <c r="H5706" t="s">
        <v>7076</v>
      </c>
      <c r="I5706" t="s">
        <v>10254</v>
      </c>
      <c r="J5706" t="s">
        <v>13152</v>
      </c>
      <c r="K5706" t="s">
        <v>17560</v>
      </c>
      <c r="L5706">
        <f>HYPERLINK("https://www2.assemblee-nationale.fr/sycomore/fiche/(num_dept)/915", "915")</f>
        <v>0</v>
      </c>
      <c r="M5706">
        <f>HYPERLINK("https://www.senat.fr/senateur-3eme-republique/boissy_d_anglas_francois0142r3.html", "boissy_d_anglas_francois0142r3")</f>
        <v>0</v>
      </c>
      <c r="N5706">
        <f>HYPERLINK("https://www.wikidata.org/wiki/Q3084012", "Q3084012")</f>
        <v>0</v>
      </c>
      <c r="O5706" t="s">
        <v>20044</v>
      </c>
      <c r="Q5706" t="s">
        <v>20739</v>
      </c>
      <c r="R5706" t="s">
        <v>417</v>
      </c>
      <c r="S5706">
        <v>1469</v>
      </c>
    </row>
    <row r="5707" spans="1:19">
      <c r="A5707" t="s">
        <v>27</v>
      </c>
      <c r="B5707" t="s">
        <v>148</v>
      </c>
      <c r="C5707" t="s">
        <v>159</v>
      </c>
      <c r="D5707" t="s">
        <v>288</v>
      </c>
      <c r="E5707" t="s">
        <v>417</v>
      </c>
      <c r="F5707">
        <f>HYPERLINK("https://www.wikidata.org/wiki/Q33755832", "Q33755832")</f>
        <v>0</v>
      </c>
      <c r="G5707" t="s">
        <v>3535</v>
      </c>
      <c r="H5707" t="s">
        <v>7896</v>
      </c>
      <c r="I5707" t="s">
        <v>10869</v>
      </c>
      <c r="J5707" t="s">
        <v>14014</v>
      </c>
      <c r="K5707" t="s">
        <v>18493</v>
      </c>
      <c r="L5707">
        <f>HYPERLINK("https://www2.assemblee-nationale.fr/sycomore/fiche/(num_dept)/941", "941")</f>
        <v>0</v>
      </c>
      <c r="M5707">
        <f>HYPERLINK("https://www.senat.fr/senateur-3eme-republique/bonnefoy_sibour_georges0827r3.html", "bonnefoy_sibour_georges0827r3")</f>
        <v>0</v>
      </c>
      <c r="N5707">
        <f>HYPERLINK("https://www.wikidata.org/wiki/Q1508807", "Q1508807")</f>
        <v>0</v>
      </c>
      <c r="O5707" t="s">
        <v>20014</v>
      </c>
      <c r="P5707" t="s">
        <v>20411</v>
      </c>
      <c r="Q5707" t="s">
        <v>20739</v>
      </c>
      <c r="R5707" t="s">
        <v>417</v>
      </c>
      <c r="S5707">
        <v>1469</v>
      </c>
    </row>
    <row r="5708" spans="1:19">
      <c r="A5708" t="s">
        <v>27</v>
      </c>
      <c r="B5708" t="s">
        <v>148</v>
      </c>
      <c r="C5708" t="s">
        <v>159</v>
      </c>
      <c r="D5708" t="s">
        <v>288</v>
      </c>
      <c r="E5708" t="s">
        <v>417</v>
      </c>
      <c r="F5708">
        <f>HYPERLINK("https://www.wikidata.org/wiki/Q33755832", "Q33755832")</f>
        <v>0</v>
      </c>
      <c r="G5708" t="s">
        <v>3536</v>
      </c>
      <c r="H5708" t="s">
        <v>7897</v>
      </c>
      <c r="I5708" t="s">
        <v>10870</v>
      </c>
      <c r="J5708" t="s">
        <v>14128</v>
      </c>
      <c r="K5708" t="s">
        <v>18494</v>
      </c>
      <c r="L5708">
        <f>HYPERLINK("https://www2.assemblee-nationale.fr/sycomore/fiche/(num_dept)/1017", "1017")</f>
        <v>0</v>
      </c>
      <c r="N5708">
        <f>HYPERLINK("https://www.wikidata.org/wiki/Q16025785", "Q16025785")</f>
        <v>0</v>
      </c>
      <c r="O5708" t="s">
        <v>19969</v>
      </c>
      <c r="Q5708" t="s">
        <v>20739</v>
      </c>
      <c r="R5708" t="s">
        <v>417</v>
      </c>
      <c r="S5708">
        <v>1469</v>
      </c>
    </row>
    <row r="5709" spans="1:19">
      <c r="A5709" t="s">
        <v>27</v>
      </c>
      <c r="B5709" t="s">
        <v>148</v>
      </c>
      <c r="C5709" t="s">
        <v>159</v>
      </c>
      <c r="D5709" t="s">
        <v>288</v>
      </c>
      <c r="E5709" t="s">
        <v>417</v>
      </c>
      <c r="F5709">
        <f>HYPERLINK("https://www.wikidata.org/wiki/Q33755832", "Q33755832")</f>
        <v>0</v>
      </c>
      <c r="G5709" t="s">
        <v>543</v>
      </c>
      <c r="H5709" t="s">
        <v>5307</v>
      </c>
      <c r="I5709" t="s">
        <v>9404</v>
      </c>
      <c r="J5709" t="s">
        <v>11295</v>
      </c>
      <c r="K5709" t="s">
        <v>15695</v>
      </c>
      <c r="L5709">
        <f>HYPERLINK("https://www2.assemblee-nationale.fr/sycomore/fiche/(num_dept)/1029", "1029")</f>
        <v>0</v>
      </c>
      <c r="N5709">
        <f>HYPERLINK("https://www.wikidata.org/wiki/Q766157", "Q766157")</f>
        <v>0</v>
      </c>
      <c r="O5709" t="s">
        <v>19990</v>
      </c>
      <c r="Q5709" t="s">
        <v>20739</v>
      </c>
      <c r="R5709" t="s">
        <v>417</v>
      </c>
      <c r="S5709">
        <v>1469</v>
      </c>
    </row>
    <row r="5710" spans="1:19">
      <c r="A5710" t="s">
        <v>27</v>
      </c>
      <c r="B5710" t="s">
        <v>148</v>
      </c>
      <c r="C5710" t="s">
        <v>159</v>
      </c>
      <c r="D5710" t="s">
        <v>288</v>
      </c>
      <c r="E5710" t="s">
        <v>417</v>
      </c>
      <c r="F5710">
        <f>HYPERLINK("https://www.wikidata.org/wiki/Q33755832", "Q33755832")</f>
        <v>0</v>
      </c>
      <c r="G5710" t="s">
        <v>3537</v>
      </c>
      <c r="H5710" t="s">
        <v>7898</v>
      </c>
      <c r="I5710" t="s">
        <v>9552</v>
      </c>
      <c r="J5710" t="s">
        <v>14129</v>
      </c>
      <c r="K5710" t="s">
        <v>18495</v>
      </c>
      <c r="L5710">
        <f>HYPERLINK("https://www2.assemblee-nationale.fr/sycomore/fiche/(num_dept)/1049", "1049")</f>
        <v>0</v>
      </c>
      <c r="N5710">
        <f>HYPERLINK("https://www.wikidata.org/wiki/Q15973861", "Q15973861")</f>
        <v>0</v>
      </c>
      <c r="O5710" t="s">
        <v>19968</v>
      </c>
      <c r="Q5710" t="s">
        <v>20739</v>
      </c>
      <c r="R5710" t="s">
        <v>417</v>
      </c>
      <c r="S5710">
        <v>1469</v>
      </c>
    </row>
    <row r="5711" spans="1:19">
      <c r="A5711" t="s">
        <v>27</v>
      </c>
      <c r="B5711" t="s">
        <v>148</v>
      </c>
      <c r="C5711" t="s">
        <v>159</v>
      </c>
      <c r="D5711" t="s">
        <v>288</v>
      </c>
      <c r="E5711" t="s">
        <v>417</v>
      </c>
      <c r="F5711">
        <f>HYPERLINK("https://www.wikidata.org/wiki/Q33755832", "Q33755832")</f>
        <v>0</v>
      </c>
      <c r="G5711" t="s">
        <v>3234</v>
      </c>
      <c r="H5711" t="s">
        <v>7660</v>
      </c>
      <c r="I5711" t="s">
        <v>9516</v>
      </c>
      <c r="J5711" t="s">
        <v>13852</v>
      </c>
      <c r="K5711" t="s">
        <v>18224</v>
      </c>
      <c r="L5711">
        <f>HYPERLINK("https://www2.assemblee-nationale.fr/sycomore/fiche/(num_dept)/1059", "1059")</f>
        <v>0</v>
      </c>
      <c r="N5711">
        <f>HYPERLINK("https://www.wikidata.org/wiki/Q15973898", "Q15973898")</f>
        <v>0</v>
      </c>
      <c r="O5711" t="s">
        <v>19994</v>
      </c>
      <c r="P5711" t="s">
        <v>20401</v>
      </c>
      <c r="Q5711" t="s">
        <v>20739</v>
      </c>
      <c r="R5711" t="s">
        <v>18224</v>
      </c>
      <c r="S5711">
        <v>1330</v>
      </c>
    </row>
    <row r="5712" spans="1:19">
      <c r="A5712" t="s">
        <v>27</v>
      </c>
      <c r="B5712" t="s">
        <v>148</v>
      </c>
      <c r="C5712" t="s">
        <v>159</v>
      </c>
      <c r="D5712" t="s">
        <v>288</v>
      </c>
      <c r="E5712" t="s">
        <v>417</v>
      </c>
      <c r="F5712">
        <f>HYPERLINK("https://www.wikidata.org/wiki/Q33755832", "Q33755832")</f>
        <v>0</v>
      </c>
      <c r="G5712" t="s">
        <v>3235</v>
      </c>
      <c r="H5712" t="s">
        <v>6405</v>
      </c>
      <c r="I5712" t="s">
        <v>10722</v>
      </c>
      <c r="J5712" t="s">
        <v>13853</v>
      </c>
      <c r="K5712" t="s">
        <v>18225</v>
      </c>
      <c r="L5712">
        <f>HYPERLINK("https://www2.assemblee-nationale.fr/sycomore/fiche/(num_dept)/1150", "1150")</f>
        <v>0</v>
      </c>
      <c r="M5712">
        <f>HYPERLINK("https://www.senat.fr/senateur-3eme-republique/boyer_antide0317r3.html", "boyer_antide0317r3")</f>
        <v>0</v>
      </c>
      <c r="N5712">
        <f>HYPERLINK("https://www.wikidata.org/wiki/Q575028", "Q575028")</f>
        <v>0</v>
      </c>
      <c r="O5712" t="s">
        <v>19990</v>
      </c>
      <c r="Q5712" t="s">
        <v>20739</v>
      </c>
      <c r="R5712" t="s">
        <v>417</v>
      </c>
      <c r="S5712">
        <v>1469</v>
      </c>
    </row>
    <row r="5713" spans="1:19">
      <c r="A5713" t="s">
        <v>27</v>
      </c>
      <c r="B5713" t="s">
        <v>148</v>
      </c>
      <c r="C5713" t="s">
        <v>159</v>
      </c>
      <c r="D5713" t="s">
        <v>288</v>
      </c>
      <c r="E5713" t="s">
        <v>417</v>
      </c>
      <c r="F5713">
        <f>HYPERLINK("https://www.wikidata.org/wiki/Q33755832", "Q33755832")</f>
        <v>0</v>
      </c>
      <c r="G5713" t="s">
        <v>3538</v>
      </c>
      <c r="H5713" t="s">
        <v>7899</v>
      </c>
      <c r="I5713" t="s">
        <v>10871</v>
      </c>
      <c r="J5713" t="s">
        <v>14130</v>
      </c>
      <c r="K5713" t="s">
        <v>18496</v>
      </c>
      <c r="L5713">
        <f>HYPERLINK("https://www2.assemblee-nationale.fr/sycomore/fiche/(num_dept)/1182", "1182")</f>
        <v>0</v>
      </c>
      <c r="N5713">
        <f>HYPERLINK("https://www.wikidata.org/wiki/Q15973911", "Q15973911")</f>
        <v>0</v>
      </c>
      <c r="O5713" t="s">
        <v>20037</v>
      </c>
      <c r="P5713" t="s">
        <v>20401</v>
      </c>
      <c r="Q5713" t="s">
        <v>20739</v>
      </c>
      <c r="R5713" t="s">
        <v>417</v>
      </c>
      <c r="S5713">
        <v>1469</v>
      </c>
    </row>
    <row r="5714" spans="1:19">
      <c r="A5714" t="s">
        <v>27</v>
      </c>
      <c r="B5714" t="s">
        <v>148</v>
      </c>
      <c r="C5714" t="s">
        <v>159</v>
      </c>
      <c r="D5714" t="s">
        <v>288</v>
      </c>
      <c r="E5714" t="s">
        <v>417</v>
      </c>
      <c r="F5714">
        <f>HYPERLINK("https://www.wikidata.org/wiki/Q33755832", "Q33755832")</f>
        <v>0</v>
      </c>
      <c r="G5714" t="s">
        <v>3539</v>
      </c>
      <c r="H5714" t="s">
        <v>7900</v>
      </c>
      <c r="I5714" t="s">
        <v>10872</v>
      </c>
      <c r="J5714" t="s">
        <v>14131</v>
      </c>
      <c r="K5714" t="s">
        <v>441</v>
      </c>
      <c r="L5714">
        <f>HYPERLINK("https://www2.assemblee-nationale.fr/sycomore/fiche/(num_dept)/1233", "1233")</f>
        <v>0</v>
      </c>
      <c r="N5714">
        <f>HYPERLINK("https://www.wikidata.org/wiki/Q8322500", "Q8322500")</f>
        <v>0</v>
      </c>
      <c r="O5714" t="s">
        <v>19976</v>
      </c>
      <c r="Q5714" t="s">
        <v>20739</v>
      </c>
      <c r="R5714" t="s">
        <v>417</v>
      </c>
      <c r="S5714">
        <v>1469</v>
      </c>
    </row>
    <row r="5715" spans="1:19">
      <c r="A5715" t="s">
        <v>27</v>
      </c>
      <c r="B5715" t="s">
        <v>148</v>
      </c>
      <c r="C5715" t="s">
        <v>159</v>
      </c>
      <c r="D5715" t="s">
        <v>288</v>
      </c>
      <c r="E5715" t="s">
        <v>417</v>
      </c>
      <c r="F5715">
        <f>HYPERLINK("https://www.wikidata.org/wiki/Q33755832", "Q33755832")</f>
        <v>0</v>
      </c>
      <c r="G5715" t="s">
        <v>3035</v>
      </c>
      <c r="H5715" t="s">
        <v>7492</v>
      </c>
      <c r="I5715" t="s">
        <v>10590</v>
      </c>
      <c r="J5715" t="s">
        <v>13663</v>
      </c>
      <c r="K5715" t="s">
        <v>18045</v>
      </c>
      <c r="L5715">
        <f>HYPERLINK("https://www2.assemblee-nationale.fr/sycomore/fiche/(num_dept)/1308", "1308")</f>
        <v>0</v>
      </c>
      <c r="N5715">
        <f>HYPERLINK("https://www.wikidata.org/wiki/Q8315771", "Q8315771")</f>
        <v>0</v>
      </c>
      <c r="O5715" t="s">
        <v>19992</v>
      </c>
      <c r="P5715" t="s">
        <v>20401</v>
      </c>
      <c r="Q5715" t="s">
        <v>20739</v>
      </c>
      <c r="R5715" t="s">
        <v>18045</v>
      </c>
      <c r="S5715">
        <v>129</v>
      </c>
    </row>
    <row r="5716" spans="1:19">
      <c r="A5716" t="s">
        <v>27</v>
      </c>
      <c r="B5716" t="s">
        <v>148</v>
      </c>
      <c r="C5716" t="s">
        <v>159</v>
      </c>
      <c r="D5716" t="s">
        <v>288</v>
      </c>
      <c r="E5716" t="s">
        <v>417</v>
      </c>
      <c r="F5716">
        <f>HYPERLINK("https://www.wikidata.org/wiki/Q33755832", "Q33755832")</f>
        <v>0</v>
      </c>
      <c r="G5716" t="s">
        <v>3540</v>
      </c>
      <c r="H5716" t="s">
        <v>7901</v>
      </c>
      <c r="I5716" t="s">
        <v>10873</v>
      </c>
      <c r="J5716" t="s">
        <v>11726</v>
      </c>
      <c r="K5716" t="s">
        <v>18225</v>
      </c>
      <c r="L5716">
        <f>HYPERLINK("https://www2.assemblee-nationale.fr/sycomore/fiche/(num_dept)/1338", "1338")</f>
        <v>0</v>
      </c>
      <c r="M5716">
        <f>HYPERLINK("https://www.senat.fr/senateur-3eme-republique/cabart_danneville_charles_maurice1036r3.html", "cabart_danneville_charles_maurice1036r3")</f>
        <v>0</v>
      </c>
      <c r="N5716">
        <f>HYPERLINK("https://www.wikidata.org/wiki/Q2959776", "Q2959776")</f>
        <v>0</v>
      </c>
      <c r="O5716" t="s">
        <v>19985</v>
      </c>
      <c r="P5716" t="s">
        <v>20411</v>
      </c>
      <c r="Q5716" t="s">
        <v>20739</v>
      </c>
      <c r="R5716" t="s">
        <v>417</v>
      </c>
      <c r="S5716">
        <v>1469</v>
      </c>
    </row>
    <row r="5717" spans="1:19">
      <c r="A5717" t="s">
        <v>27</v>
      </c>
      <c r="B5717" t="s">
        <v>148</v>
      </c>
      <c r="C5717" t="s">
        <v>159</v>
      </c>
      <c r="D5717" t="s">
        <v>288</v>
      </c>
      <c r="E5717" t="s">
        <v>417</v>
      </c>
      <c r="F5717">
        <f>HYPERLINK("https://www.wikidata.org/wiki/Q33755832", "Q33755832")</f>
        <v>0</v>
      </c>
      <c r="G5717" t="s">
        <v>2948</v>
      </c>
      <c r="H5717" t="s">
        <v>5326</v>
      </c>
      <c r="I5717" t="s">
        <v>9468</v>
      </c>
      <c r="J5717" t="s">
        <v>13581</v>
      </c>
      <c r="K5717" t="s">
        <v>17966</v>
      </c>
      <c r="L5717">
        <f>HYPERLINK("https://www2.assemblee-nationale.fr/sycomore/fiche/(num_dept)/1554", "1554")</f>
        <v>0</v>
      </c>
      <c r="N5717">
        <f>HYPERLINK("https://www.wikidata.org/wiki/Q15974256", "Q15974256")</f>
        <v>0</v>
      </c>
      <c r="O5717" t="s">
        <v>19987</v>
      </c>
      <c r="Q5717" t="s">
        <v>20739</v>
      </c>
      <c r="R5717" t="s">
        <v>17966</v>
      </c>
      <c r="S5717">
        <v>1043</v>
      </c>
    </row>
    <row r="5718" spans="1:19">
      <c r="A5718" t="s">
        <v>27</v>
      </c>
      <c r="B5718" t="s">
        <v>148</v>
      </c>
      <c r="C5718" t="s">
        <v>159</v>
      </c>
      <c r="D5718" t="s">
        <v>288</v>
      </c>
      <c r="E5718" t="s">
        <v>417</v>
      </c>
      <c r="F5718">
        <f>HYPERLINK("https://www.wikidata.org/wiki/Q33755832", "Q33755832")</f>
        <v>0</v>
      </c>
      <c r="G5718" t="s">
        <v>3541</v>
      </c>
      <c r="H5718" t="s">
        <v>5337</v>
      </c>
      <c r="I5718" t="s">
        <v>9437</v>
      </c>
      <c r="J5718" t="s">
        <v>14132</v>
      </c>
      <c r="K5718" t="s">
        <v>18497</v>
      </c>
      <c r="L5718">
        <f>HYPERLINK("https://www2.assemblee-nationale.fr/sycomore/fiche/(num_dept)/1727", "1727")</f>
        <v>0</v>
      </c>
      <c r="M5718">
        <f>HYPERLINK("https://www.senat.fr/senateur-3eme-republique/chautemps_emile1313r3.html", "chautemps_emile1313r3")</f>
        <v>0</v>
      </c>
      <c r="N5718">
        <f>HYPERLINK("https://www.wikidata.org/wiki/Q3588410", "Q3588410")</f>
        <v>0</v>
      </c>
      <c r="O5718" t="s">
        <v>19969</v>
      </c>
      <c r="P5718" t="s">
        <v>20477</v>
      </c>
      <c r="Q5718" t="s">
        <v>20739</v>
      </c>
      <c r="R5718" t="s">
        <v>417</v>
      </c>
      <c r="S5718">
        <v>1469</v>
      </c>
    </row>
    <row r="5719" spans="1:19">
      <c r="A5719" t="s">
        <v>27</v>
      </c>
      <c r="B5719" t="s">
        <v>148</v>
      </c>
      <c r="C5719" t="s">
        <v>159</v>
      </c>
      <c r="D5719" t="s">
        <v>288</v>
      </c>
      <c r="E5719" t="s">
        <v>417</v>
      </c>
      <c r="F5719">
        <f>HYPERLINK("https://www.wikidata.org/wiki/Q33755832", "Q33755832")</f>
        <v>0</v>
      </c>
      <c r="G5719" t="s">
        <v>3542</v>
      </c>
      <c r="H5719" t="s">
        <v>7902</v>
      </c>
      <c r="I5719" t="s">
        <v>6584</v>
      </c>
      <c r="J5719" t="s">
        <v>14133</v>
      </c>
      <c r="K5719" t="s">
        <v>18498</v>
      </c>
      <c r="L5719">
        <f>HYPERLINK("https://www2.assemblee-nationale.fr/sycomore/fiche/(num_dept)/1794", "1794")</f>
        <v>0</v>
      </c>
      <c r="N5719">
        <f>HYPERLINK("https://www.wikidata.org/wiki/Q16025446", "Q16025446")</f>
        <v>0</v>
      </c>
      <c r="O5719" t="s">
        <v>19987</v>
      </c>
      <c r="Q5719" t="s">
        <v>20739</v>
      </c>
      <c r="R5719" t="s">
        <v>417</v>
      </c>
      <c r="S5719">
        <v>1469</v>
      </c>
    </row>
    <row r="5720" spans="1:19">
      <c r="A5720" t="s">
        <v>27</v>
      </c>
      <c r="B5720" t="s">
        <v>148</v>
      </c>
      <c r="C5720" t="s">
        <v>159</v>
      </c>
      <c r="D5720" t="s">
        <v>288</v>
      </c>
      <c r="E5720" t="s">
        <v>417</v>
      </c>
      <c r="F5720">
        <f>HYPERLINK("https://www.wikidata.org/wiki/Q33755832", "Q33755832")</f>
        <v>0</v>
      </c>
      <c r="G5720" t="s">
        <v>2537</v>
      </c>
      <c r="H5720" t="s">
        <v>7097</v>
      </c>
      <c r="I5720" t="s">
        <v>10274</v>
      </c>
      <c r="J5720" t="s">
        <v>13181</v>
      </c>
      <c r="K5720" t="s">
        <v>17586</v>
      </c>
      <c r="L5720">
        <f>HYPERLINK("https://www2.assemblee-nationale.fr/sycomore/fiche/(num_dept)/1801", "1801")</f>
        <v>0</v>
      </c>
      <c r="N5720">
        <f>HYPERLINK("https://www.wikidata.org/wiki/Q3140479", "Q3140479")</f>
        <v>0</v>
      </c>
      <c r="O5720" t="s">
        <v>19955</v>
      </c>
      <c r="P5720" t="s">
        <v>20461</v>
      </c>
      <c r="Q5720" t="s">
        <v>20739</v>
      </c>
      <c r="R5720" t="s">
        <v>417</v>
      </c>
      <c r="S5720">
        <v>1469</v>
      </c>
    </row>
    <row r="5721" spans="1:19">
      <c r="A5721" t="s">
        <v>27</v>
      </c>
      <c r="B5721" t="s">
        <v>148</v>
      </c>
      <c r="C5721" t="s">
        <v>159</v>
      </c>
      <c r="D5721" t="s">
        <v>288</v>
      </c>
      <c r="E5721" t="s">
        <v>417</v>
      </c>
      <c r="F5721">
        <f>HYPERLINK("https://www.wikidata.org/wiki/Q33755832", "Q33755832")</f>
        <v>0</v>
      </c>
      <c r="G5721" t="s">
        <v>3543</v>
      </c>
      <c r="H5721" t="s">
        <v>7903</v>
      </c>
      <c r="I5721" t="s">
        <v>10874</v>
      </c>
      <c r="J5721" t="s">
        <v>14134</v>
      </c>
      <c r="K5721" t="s">
        <v>18499</v>
      </c>
      <c r="L5721">
        <f>HYPERLINK("https://www2.assemblee-nationale.fr/sycomore/fiche/(num_dept)/1838", "1838")</f>
        <v>0</v>
      </c>
      <c r="N5721">
        <f>HYPERLINK("https://www.wikidata.org/wiki/Q16025458", "Q16025458")</f>
        <v>0</v>
      </c>
      <c r="O5721" t="s">
        <v>19967</v>
      </c>
      <c r="P5721" t="s">
        <v>20411</v>
      </c>
      <c r="Q5721" t="s">
        <v>20739</v>
      </c>
      <c r="R5721" t="s">
        <v>417</v>
      </c>
      <c r="S5721">
        <v>1469</v>
      </c>
    </row>
    <row r="5722" spans="1:19">
      <c r="A5722" t="s">
        <v>27</v>
      </c>
      <c r="B5722" t="s">
        <v>148</v>
      </c>
      <c r="C5722" t="s">
        <v>159</v>
      </c>
      <c r="D5722" t="s">
        <v>288</v>
      </c>
      <c r="E5722" t="s">
        <v>417</v>
      </c>
      <c r="F5722">
        <f>HYPERLINK("https://www.wikidata.org/wiki/Q33755832", "Q33755832")</f>
        <v>0</v>
      </c>
      <c r="G5722" t="s">
        <v>2539</v>
      </c>
      <c r="H5722" t="s">
        <v>7099</v>
      </c>
      <c r="I5722" t="s">
        <v>6175</v>
      </c>
      <c r="J5722" t="s">
        <v>13183</v>
      </c>
      <c r="K5722" t="s">
        <v>17588</v>
      </c>
      <c r="L5722">
        <f>HYPERLINK("https://www2.assemblee-nationale.fr/sycomore/fiche/(num_dept)/1844", "1844")</f>
        <v>0</v>
      </c>
      <c r="M5722">
        <f>HYPERLINK("https://www.senat.fr/senateur-3eme-republique/clemenceau_georges1741r3.html", "clemenceau_georges1741r3")</f>
        <v>0</v>
      </c>
      <c r="N5722">
        <f>HYPERLINK("https://www.wikidata.org/wiki/Q171730", "Q171730")</f>
        <v>0</v>
      </c>
      <c r="O5722" t="s">
        <v>20042</v>
      </c>
      <c r="P5722" t="s">
        <v>20459</v>
      </c>
      <c r="Q5722" t="s">
        <v>20739</v>
      </c>
      <c r="R5722" t="s">
        <v>417</v>
      </c>
      <c r="S5722">
        <v>1469</v>
      </c>
    </row>
    <row r="5723" spans="1:19">
      <c r="A5723" t="s">
        <v>27</v>
      </c>
      <c r="B5723" t="s">
        <v>148</v>
      </c>
      <c r="C5723" t="s">
        <v>159</v>
      </c>
      <c r="D5723" t="s">
        <v>288</v>
      </c>
      <c r="E5723" t="s">
        <v>417</v>
      </c>
      <c r="F5723">
        <f>HYPERLINK("https://www.wikidata.org/wiki/Q33755832", "Q33755832")</f>
        <v>0</v>
      </c>
      <c r="G5723" t="s">
        <v>3395</v>
      </c>
      <c r="H5723" t="s">
        <v>7784</v>
      </c>
      <c r="I5723" t="s">
        <v>10349</v>
      </c>
      <c r="J5723" t="s">
        <v>14004</v>
      </c>
      <c r="K5723" t="s">
        <v>18372</v>
      </c>
      <c r="L5723">
        <f>HYPERLINK("https://www2.assemblee-nationale.fr/sycomore/fiche/(num_dept)/1862", "1862")</f>
        <v>0</v>
      </c>
      <c r="N5723">
        <f>HYPERLINK("https://www.wikidata.org/wiki/Q684449", "Q684449")</f>
        <v>0</v>
      </c>
      <c r="O5723" t="s">
        <v>20042</v>
      </c>
      <c r="Q5723" t="s">
        <v>20739</v>
      </c>
      <c r="R5723" t="s">
        <v>417</v>
      </c>
      <c r="S5723">
        <v>1469</v>
      </c>
    </row>
    <row r="5724" spans="1:19">
      <c r="A5724" t="s">
        <v>27</v>
      </c>
      <c r="B5724" t="s">
        <v>148</v>
      </c>
      <c r="C5724" t="s">
        <v>159</v>
      </c>
      <c r="D5724" t="s">
        <v>288</v>
      </c>
      <c r="E5724" t="s">
        <v>417</v>
      </c>
      <c r="F5724">
        <f>HYPERLINK("https://www.wikidata.org/wiki/Q33755832", "Q33755832")</f>
        <v>0</v>
      </c>
      <c r="G5724" t="s">
        <v>3107</v>
      </c>
      <c r="H5724" t="s">
        <v>7552</v>
      </c>
      <c r="I5724" t="s">
        <v>10639</v>
      </c>
      <c r="J5724" t="s">
        <v>13729</v>
      </c>
      <c r="K5724" t="s">
        <v>18111</v>
      </c>
      <c r="L5724">
        <f>HYPERLINK("https://www2.assemblee-nationale.fr/sycomore/fiche/(num_dept)/1914", "1914")</f>
        <v>0</v>
      </c>
      <c r="N5724">
        <f>HYPERLINK("https://www.wikidata.org/wiki/Q2845609", "Q2845609")</f>
        <v>0</v>
      </c>
      <c r="O5724" t="s">
        <v>20004</v>
      </c>
      <c r="P5724" t="s">
        <v>20460</v>
      </c>
      <c r="Q5724" t="s">
        <v>20739</v>
      </c>
      <c r="R5724" t="s">
        <v>417</v>
      </c>
      <c r="S5724">
        <v>1469</v>
      </c>
    </row>
    <row r="5725" spans="1:19">
      <c r="A5725" t="s">
        <v>27</v>
      </c>
      <c r="B5725" t="s">
        <v>148</v>
      </c>
      <c r="C5725" t="s">
        <v>159</v>
      </c>
      <c r="D5725" t="s">
        <v>288</v>
      </c>
      <c r="E5725" t="s">
        <v>417</v>
      </c>
      <c r="F5725">
        <f>HYPERLINK("https://www.wikidata.org/wiki/Q33755832", "Q33755832")</f>
        <v>0</v>
      </c>
      <c r="G5725" t="s">
        <v>2542</v>
      </c>
      <c r="H5725" t="s">
        <v>5867</v>
      </c>
      <c r="I5725" t="s">
        <v>9442</v>
      </c>
      <c r="J5725" t="s">
        <v>13186</v>
      </c>
      <c r="K5725" t="s">
        <v>17591</v>
      </c>
      <c r="L5725">
        <f>HYPERLINK("https://www2.assemblee-nationale.fr/sycomore/fiche/(num_dept)/1942", "1942")</f>
        <v>0</v>
      </c>
      <c r="M5725">
        <f>HYPERLINK("https://www.senat.fr/senateur-3eme-republique/constans_ernest0107r3.html", "constans_ernest0107r3")</f>
        <v>0</v>
      </c>
      <c r="N5725">
        <f>HYPERLINK("https://www.wikidata.org/wiki/Q1934639", "Q1934639")</f>
        <v>0</v>
      </c>
      <c r="O5725" t="s">
        <v>20016</v>
      </c>
      <c r="Q5725" t="s">
        <v>20739</v>
      </c>
      <c r="R5725" t="s">
        <v>21534</v>
      </c>
      <c r="S5725">
        <v>109</v>
      </c>
    </row>
    <row r="5726" spans="1:19">
      <c r="A5726" t="s">
        <v>27</v>
      </c>
      <c r="B5726" t="s">
        <v>148</v>
      </c>
      <c r="C5726" t="s">
        <v>159</v>
      </c>
      <c r="D5726" t="s">
        <v>288</v>
      </c>
      <c r="E5726" t="s">
        <v>417</v>
      </c>
      <c r="F5726">
        <f>HYPERLINK("https://www.wikidata.org/wiki/Q33755832", "Q33755832")</f>
        <v>0</v>
      </c>
      <c r="G5726" t="s">
        <v>2543</v>
      </c>
      <c r="H5726" t="s">
        <v>7102</v>
      </c>
      <c r="I5726" t="s">
        <v>9381</v>
      </c>
      <c r="J5726" t="s">
        <v>13187</v>
      </c>
      <c r="K5726" t="s">
        <v>17592</v>
      </c>
      <c r="L5726">
        <f>HYPERLINK("https://www2.assemblee-nationale.fr/sycomore/fiche/(num_dept)/1968", "1968")</f>
        <v>0</v>
      </c>
      <c r="N5726">
        <f>HYPERLINK("https://www.wikidata.org/wiki/Q15971897", "Q15971897")</f>
        <v>0</v>
      </c>
      <c r="O5726" t="s">
        <v>19959</v>
      </c>
      <c r="P5726" t="s">
        <v>20401</v>
      </c>
      <c r="Q5726" t="s">
        <v>20739</v>
      </c>
      <c r="R5726" t="s">
        <v>417</v>
      </c>
      <c r="S5726">
        <v>1469</v>
      </c>
    </row>
    <row r="5727" spans="1:19">
      <c r="A5727" t="s">
        <v>27</v>
      </c>
      <c r="B5727" t="s">
        <v>148</v>
      </c>
      <c r="C5727" t="s">
        <v>159</v>
      </c>
      <c r="D5727" t="s">
        <v>288</v>
      </c>
      <c r="E5727" t="s">
        <v>417</v>
      </c>
      <c r="F5727">
        <f>HYPERLINK("https://www.wikidata.org/wiki/Q33755832", "Q33755832")</f>
        <v>0</v>
      </c>
      <c r="G5727" t="s">
        <v>3544</v>
      </c>
      <c r="H5727" t="s">
        <v>7904</v>
      </c>
      <c r="I5727" t="s">
        <v>10875</v>
      </c>
      <c r="J5727" t="s">
        <v>14135</v>
      </c>
      <c r="K5727" t="s">
        <v>18500</v>
      </c>
      <c r="L5727">
        <f>HYPERLINK("https://www2.assemblee-nationale.fr/sycomore/fiche/(num_dept)/1987", "1987")</f>
        <v>0</v>
      </c>
      <c r="N5727">
        <f>HYPERLINK("https://www.wikidata.org/wiki/Q3510668", "Q3510668")</f>
        <v>0</v>
      </c>
      <c r="O5727" t="s">
        <v>20011</v>
      </c>
      <c r="Q5727" t="s">
        <v>20739</v>
      </c>
      <c r="R5727" t="s">
        <v>417</v>
      </c>
      <c r="S5727">
        <v>1469</v>
      </c>
    </row>
    <row r="5728" spans="1:19">
      <c r="A5728" t="s">
        <v>27</v>
      </c>
      <c r="B5728" t="s">
        <v>148</v>
      </c>
      <c r="C5728" t="s">
        <v>159</v>
      </c>
      <c r="D5728" t="s">
        <v>288</v>
      </c>
      <c r="E5728" t="s">
        <v>417</v>
      </c>
      <c r="F5728">
        <f>HYPERLINK("https://www.wikidata.org/wiki/Q33755832", "Q33755832")</f>
        <v>0</v>
      </c>
      <c r="G5728" t="s">
        <v>3545</v>
      </c>
      <c r="H5728" t="s">
        <v>7905</v>
      </c>
      <c r="I5728" t="s">
        <v>9389</v>
      </c>
      <c r="J5728" t="s">
        <v>14136</v>
      </c>
      <c r="K5728" t="s">
        <v>18501</v>
      </c>
      <c r="L5728">
        <f>HYPERLINK("https://www2.assemblee-nationale.fr/sycomore/fiche/(num_dept)/2051", "2051")</f>
        <v>0</v>
      </c>
      <c r="N5728">
        <f>HYPERLINK("https://www.wikidata.org/wiki/Q16025500", "Q16025500")</f>
        <v>0</v>
      </c>
      <c r="O5728" t="s">
        <v>19979</v>
      </c>
      <c r="Q5728" t="s">
        <v>20739</v>
      </c>
      <c r="R5728" t="s">
        <v>417</v>
      </c>
      <c r="S5728">
        <v>1469</v>
      </c>
    </row>
    <row r="5729" spans="1:19">
      <c r="A5729" t="s">
        <v>27</v>
      </c>
      <c r="B5729" t="s">
        <v>148</v>
      </c>
      <c r="C5729" t="s">
        <v>159</v>
      </c>
      <c r="D5729" t="s">
        <v>288</v>
      </c>
      <c r="E5729" t="s">
        <v>417</v>
      </c>
      <c r="F5729">
        <f>HYPERLINK("https://www.wikidata.org/wiki/Q33755832", "Q33755832")</f>
        <v>0</v>
      </c>
      <c r="G5729" t="s">
        <v>3546</v>
      </c>
      <c r="H5729" t="s">
        <v>7327</v>
      </c>
      <c r="I5729" t="s">
        <v>7763</v>
      </c>
      <c r="J5729" t="s">
        <v>14137</v>
      </c>
      <c r="K5729" t="s">
        <v>18502</v>
      </c>
      <c r="L5729">
        <f>HYPERLINK("https://www2.assemblee-nationale.fr/sycomore/fiche/(num_dept)/2053", "2053")</f>
        <v>0</v>
      </c>
      <c r="N5729">
        <f>HYPERLINK("https://www.wikidata.org/wiki/Q16025501", "Q16025501")</f>
        <v>0</v>
      </c>
      <c r="O5729" t="s">
        <v>19965</v>
      </c>
      <c r="P5729" t="s">
        <v>20477</v>
      </c>
      <c r="Q5729" t="s">
        <v>20739</v>
      </c>
      <c r="R5729" t="s">
        <v>417</v>
      </c>
      <c r="S5729">
        <v>1469</v>
      </c>
    </row>
    <row r="5730" spans="1:19">
      <c r="A5730" t="s">
        <v>27</v>
      </c>
      <c r="B5730" t="s">
        <v>148</v>
      </c>
      <c r="C5730" t="s">
        <v>159</v>
      </c>
      <c r="D5730" t="s">
        <v>288</v>
      </c>
      <c r="E5730" t="s">
        <v>417</v>
      </c>
      <c r="F5730">
        <f>HYPERLINK("https://www.wikidata.org/wiki/Q33755832", "Q33755832")</f>
        <v>0</v>
      </c>
      <c r="G5730" t="s">
        <v>3110</v>
      </c>
      <c r="H5730" t="s">
        <v>7555</v>
      </c>
      <c r="I5730" t="s">
        <v>10640</v>
      </c>
      <c r="J5730" t="s">
        <v>13732</v>
      </c>
      <c r="K5730" t="s">
        <v>18114</v>
      </c>
      <c r="L5730">
        <f>HYPERLINK("https://www2.assemblee-nationale.fr/sycomore/fiche/(num_dept)/2183", "2183")</f>
        <v>0</v>
      </c>
      <c r="M5730">
        <f>HYPERLINK("https://www.senat.fr/senateur-3eme-republique/deandreis_elisee0249r3.html", "deandreis_elisee0249r3")</f>
        <v>0</v>
      </c>
      <c r="N5730">
        <f>HYPERLINK("https://www.wikidata.org/wiki/Q3587969", "Q3587969")</f>
        <v>0</v>
      </c>
      <c r="O5730" t="s">
        <v>7411</v>
      </c>
      <c r="Q5730" t="s">
        <v>20739</v>
      </c>
      <c r="R5730" t="s">
        <v>417</v>
      </c>
      <c r="S5730">
        <v>1469</v>
      </c>
    </row>
    <row r="5731" spans="1:19">
      <c r="A5731" t="s">
        <v>27</v>
      </c>
      <c r="B5731" t="s">
        <v>148</v>
      </c>
      <c r="C5731" t="s">
        <v>159</v>
      </c>
      <c r="D5731" t="s">
        <v>288</v>
      </c>
      <c r="E5731" t="s">
        <v>417</v>
      </c>
      <c r="F5731">
        <f>HYPERLINK("https://www.wikidata.org/wiki/Q33755832", "Q33755832")</f>
        <v>0</v>
      </c>
      <c r="G5731" t="s">
        <v>3547</v>
      </c>
      <c r="H5731" t="s">
        <v>5365</v>
      </c>
      <c r="I5731" t="s">
        <v>6731</v>
      </c>
      <c r="J5731" t="s">
        <v>14138</v>
      </c>
      <c r="K5731" t="s">
        <v>18503</v>
      </c>
      <c r="L5731">
        <f>HYPERLINK("https://www2.assemblee-nationale.fr/sycomore/fiche/(num_dept)/2250", "2250")</f>
        <v>0</v>
      </c>
      <c r="N5731">
        <f>HYPERLINK("https://www.wikidata.org/wiki/Q16025541", "Q16025541")</f>
        <v>0</v>
      </c>
      <c r="O5731" t="s">
        <v>19998</v>
      </c>
      <c r="Q5731" t="s">
        <v>20739</v>
      </c>
      <c r="R5731" t="s">
        <v>417</v>
      </c>
      <c r="S5731">
        <v>1469</v>
      </c>
    </row>
    <row r="5732" spans="1:19">
      <c r="A5732" t="s">
        <v>27</v>
      </c>
      <c r="B5732" t="s">
        <v>148</v>
      </c>
      <c r="C5732" t="s">
        <v>159</v>
      </c>
      <c r="D5732" t="s">
        <v>288</v>
      </c>
      <c r="E5732" t="s">
        <v>417</v>
      </c>
      <c r="F5732">
        <f>HYPERLINK("https://www.wikidata.org/wiki/Q33755832", "Q33755832")</f>
        <v>0</v>
      </c>
      <c r="G5732" t="s">
        <v>3243</v>
      </c>
      <c r="H5732" t="s">
        <v>5371</v>
      </c>
      <c r="I5732" t="s">
        <v>10728</v>
      </c>
      <c r="J5732" t="s">
        <v>13861</v>
      </c>
      <c r="K5732" t="s">
        <v>18232</v>
      </c>
      <c r="L5732">
        <f>HYPERLINK("https://www2.assemblee-nationale.fr/sycomore/fiche/(num_dept)/2313", "2313")</f>
        <v>0</v>
      </c>
      <c r="N5732">
        <f>HYPERLINK("https://www.wikidata.org/wiki/Q16025556", "Q16025556")</f>
        <v>0</v>
      </c>
      <c r="O5732" t="s">
        <v>20037</v>
      </c>
      <c r="Q5732" t="s">
        <v>20739</v>
      </c>
      <c r="R5732" t="s">
        <v>417</v>
      </c>
      <c r="S5732">
        <v>1469</v>
      </c>
    </row>
    <row r="5733" spans="1:19">
      <c r="A5733" t="s">
        <v>27</v>
      </c>
      <c r="B5733" t="s">
        <v>148</v>
      </c>
      <c r="C5733" t="s">
        <v>159</v>
      </c>
      <c r="D5733" t="s">
        <v>288</v>
      </c>
      <c r="E5733" t="s">
        <v>417</v>
      </c>
      <c r="F5733">
        <f>HYPERLINK("https://www.wikidata.org/wiki/Q33755832", "Q33755832")</f>
        <v>0</v>
      </c>
      <c r="G5733" t="s">
        <v>3548</v>
      </c>
      <c r="H5733" t="s">
        <v>7906</v>
      </c>
      <c r="I5733" t="s">
        <v>6495</v>
      </c>
      <c r="J5733" t="s">
        <v>14139</v>
      </c>
      <c r="K5733" t="s">
        <v>18504</v>
      </c>
      <c r="L5733">
        <f>HYPERLINK("https://www2.assemblee-nationale.fr/sycomore/fiche/(num_dept)/2339", "2339")</f>
        <v>0</v>
      </c>
      <c r="N5733">
        <f>HYPERLINK("https://www.wikidata.org/wiki/Q3261691", "Q3261691")</f>
        <v>0</v>
      </c>
      <c r="O5733" t="s">
        <v>20047</v>
      </c>
      <c r="Q5733" t="s">
        <v>20739</v>
      </c>
      <c r="R5733" t="s">
        <v>417</v>
      </c>
      <c r="S5733">
        <v>1469</v>
      </c>
    </row>
    <row r="5734" spans="1:19">
      <c r="A5734" t="s">
        <v>27</v>
      </c>
      <c r="B5734" t="s">
        <v>148</v>
      </c>
      <c r="C5734" t="s">
        <v>159</v>
      </c>
      <c r="D5734" t="s">
        <v>288</v>
      </c>
      <c r="E5734" t="s">
        <v>417</v>
      </c>
      <c r="F5734">
        <f>HYPERLINK("https://www.wikidata.org/wiki/Q33755832", "Q33755832")</f>
        <v>0</v>
      </c>
      <c r="G5734" t="s">
        <v>2551</v>
      </c>
      <c r="H5734" t="s">
        <v>7110</v>
      </c>
      <c r="I5734" t="s">
        <v>9465</v>
      </c>
      <c r="J5734" t="s">
        <v>13195</v>
      </c>
      <c r="K5734" t="s">
        <v>17600</v>
      </c>
      <c r="L5734">
        <f>HYPERLINK("https://www2.assemblee-nationale.fr/sycomore/fiche/(num_dept)/2369", "2369")</f>
        <v>0</v>
      </c>
      <c r="N5734">
        <f>HYPERLINK("https://www.wikidata.org/wiki/Q3059819", "Q3059819")</f>
        <v>0</v>
      </c>
      <c r="O5734" t="s">
        <v>20039</v>
      </c>
      <c r="P5734" t="s">
        <v>20459</v>
      </c>
      <c r="Q5734" t="s">
        <v>20739</v>
      </c>
      <c r="R5734" t="s">
        <v>17600</v>
      </c>
      <c r="S5734">
        <v>1389</v>
      </c>
    </row>
    <row r="5735" spans="1:19">
      <c r="A5735" t="s">
        <v>27</v>
      </c>
      <c r="B5735" t="s">
        <v>148</v>
      </c>
      <c r="C5735" t="s">
        <v>159</v>
      </c>
      <c r="D5735" t="s">
        <v>288</v>
      </c>
      <c r="E5735" t="s">
        <v>417</v>
      </c>
      <c r="F5735">
        <f>HYPERLINK("https://www.wikidata.org/wiki/Q33755832", "Q33755832")</f>
        <v>0</v>
      </c>
      <c r="G5735" t="s">
        <v>3029</v>
      </c>
      <c r="H5735" t="s">
        <v>7486</v>
      </c>
      <c r="I5735" t="s">
        <v>6495</v>
      </c>
      <c r="J5735" t="s">
        <v>13657</v>
      </c>
      <c r="K5735" t="s">
        <v>18040</v>
      </c>
      <c r="L5735">
        <f>HYPERLINK("https://www2.assemblee-nationale.fr/sycomore/fiche/(num_dept)/2398", "2398")</f>
        <v>0</v>
      </c>
      <c r="N5735">
        <f>HYPERLINK("https://www.wikidata.org/wiki/Q3056924", "Q3056924")</f>
        <v>0</v>
      </c>
      <c r="O5735" t="s">
        <v>20035</v>
      </c>
      <c r="P5735" t="s">
        <v>20401</v>
      </c>
      <c r="Q5735" t="s">
        <v>20739</v>
      </c>
      <c r="R5735" t="s">
        <v>417</v>
      </c>
      <c r="S5735">
        <v>1469</v>
      </c>
    </row>
    <row r="5736" spans="1:19">
      <c r="A5736" t="s">
        <v>27</v>
      </c>
      <c r="B5736" t="s">
        <v>148</v>
      </c>
      <c r="C5736" t="s">
        <v>159</v>
      </c>
      <c r="D5736" t="s">
        <v>288</v>
      </c>
      <c r="E5736" t="s">
        <v>417</v>
      </c>
      <c r="F5736">
        <f>HYPERLINK("https://www.wikidata.org/wiki/Q33755832", "Q33755832")</f>
        <v>0</v>
      </c>
      <c r="G5736" t="s">
        <v>3549</v>
      </c>
      <c r="H5736" t="s">
        <v>7907</v>
      </c>
      <c r="I5736" t="s">
        <v>7790</v>
      </c>
      <c r="J5736" t="s">
        <v>14140</v>
      </c>
      <c r="K5736" t="s">
        <v>18505</v>
      </c>
      <c r="L5736">
        <f>HYPERLINK("https://www2.assemblee-nationale.fr/sycomore/fiche/(num_dept)/2451", "2451")</f>
        <v>0</v>
      </c>
      <c r="N5736">
        <f>HYPERLINK("https://www.wikidata.org/wiki/Q13077239", "Q13077239")</f>
        <v>0</v>
      </c>
      <c r="O5736" t="s">
        <v>19969</v>
      </c>
      <c r="P5736" t="s">
        <v>20410</v>
      </c>
      <c r="Q5736" t="s">
        <v>20739</v>
      </c>
      <c r="R5736" t="s">
        <v>417</v>
      </c>
      <c r="S5736">
        <v>1469</v>
      </c>
    </row>
    <row r="5737" spans="1:19">
      <c r="A5737" t="s">
        <v>27</v>
      </c>
      <c r="B5737" t="s">
        <v>148</v>
      </c>
      <c r="C5737" t="s">
        <v>159</v>
      </c>
      <c r="D5737" t="s">
        <v>288</v>
      </c>
      <c r="E5737" t="s">
        <v>417</v>
      </c>
      <c r="F5737">
        <f>HYPERLINK("https://www.wikidata.org/wiki/Q33755832", "Q33755832")</f>
        <v>0</v>
      </c>
      <c r="G5737" t="s">
        <v>2553</v>
      </c>
      <c r="H5737" t="s">
        <v>7112</v>
      </c>
      <c r="I5737" t="s">
        <v>9553</v>
      </c>
      <c r="J5737" t="s">
        <v>13197</v>
      </c>
      <c r="K5737" t="s">
        <v>17602</v>
      </c>
      <c r="L5737">
        <f>HYPERLINK("https://www2.assemblee-nationale.fr/sycomore/fiche/(num_dept)/2463", "2463")</f>
        <v>0</v>
      </c>
      <c r="M5737">
        <f>HYPERLINK("https://www.senat.fr/senateur-3eme-republique/dethou_alexandre1848r3.html", "dethou_alexandre1848r3")</f>
        <v>0</v>
      </c>
      <c r="N5737">
        <f>HYPERLINK("https://www.wikidata.org/wiki/Q2833598", "Q2833598")</f>
        <v>0</v>
      </c>
      <c r="O5737" t="s">
        <v>20034</v>
      </c>
      <c r="Q5737" t="s">
        <v>20739</v>
      </c>
      <c r="R5737" t="s">
        <v>21530</v>
      </c>
      <c r="S5737">
        <v>958</v>
      </c>
    </row>
    <row r="5738" spans="1:19">
      <c r="A5738" t="s">
        <v>27</v>
      </c>
      <c r="B5738" t="s">
        <v>148</v>
      </c>
      <c r="C5738" t="s">
        <v>159</v>
      </c>
      <c r="D5738" t="s">
        <v>288</v>
      </c>
      <c r="E5738" t="s">
        <v>417</v>
      </c>
      <c r="F5738">
        <f>HYPERLINK("https://www.wikidata.org/wiki/Q33755832", "Q33755832")</f>
        <v>0</v>
      </c>
      <c r="G5738" t="s">
        <v>2554</v>
      </c>
      <c r="H5738" t="s">
        <v>7113</v>
      </c>
      <c r="I5738" t="s">
        <v>9449</v>
      </c>
      <c r="J5738" t="s">
        <v>13198</v>
      </c>
      <c r="K5738" t="s">
        <v>17603</v>
      </c>
      <c r="L5738">
        <f>HYPERLINK("https://www2.assemblee-nationale.fr/sycomore/fiche/(num_dept)/2474", "2474")</f>
        <v>0</v>
      </c>
      <c r="M5738">
        <f>HYPERLINK("https://www.senat.fr/senateur-3eme-republique/develle_jules1013r3.html", "develle_jules1013r3")</f>
        <v>0</v>
      </c>
      <c r="N5738">
        <f>HYPERLINK("https://www.wikidata.org/wiki/Q939193", "Q939193")</f>
        <v>0</v>
      </c>
      <c r="O5738" t="s">
        <v>20030</v>
      </c>
      <c r="P5738" t="s">
        <v>20459</v>
      </c>
      <c r="Q5738" t="s">
        <v>20739</v>
      </c>
      <c r="R5738" t="s">
        <v>417</v>
      </c>
      <c r="S5738">
        <v>1469</v>
      </c>
    </row>
    <row r="5739" spans="1:19">
      <c r="A5739" t="s">
        <v>27</v>
      </c>
      <c r="B5739" t="s">
        <v>148</v>
      </c>
      <c r="C5739" t="s">
        <v>159</v>
      </c>
      <c r="D5739" t="s">
        <v>288</v>
      </c>
      <c r="E5739" t="s">
        <v>417</v>
      </c>
      <c r="F5739">
        <f>HYPERLINK("https://www.wikidata.org/wiki/Q33755832", "Q33755832")</f>
        <v>0</v>
      </c>
      <c r="G5739" t="s">
        <v>3550</v>
      </c>
      <c r="H5739" t="s">
        <v>7908</v>
      </c>
      <c r="I5739" t="s">
        <v>10876</v>
      </c>
      <c r="J5739" t="s">
        <v>14141</v>
      </c>
      <c r="K5739" t="s">
        <v>18506</v>
      </c>
      <c r="L5739">
        <f>HYPERLINK("https://www2.assemblee-nationale.fr/sycomore/fiche/(num_dept)/2479", "2479")</f>
        <v>0</v>
      </c>
      <c r="N5739">
        <f>HYPERLINK("https://www.wikidata.org/wiki/Q8306562", "Q8306562")</f>
        <v>0</v>
      </c>
      <c r="O5739" t="s">
        <v>20015</v>
      </c>
      <c r="P5739" t="s">
        <v>20411</v>
      </c>
      <c r="Q5739" t="s">
        <v>20739</v>
      </c>
      <c r="R5739" t="s">
        <v>417</v>
      </c>
      <c r="S5739">
        <v>1469</v>
      </c>
    </row>
    <row r="5740" spans="1:19">
      <c r="A5740" t="s">
        <v>27</v>
      </c>
      <c r="B5740" t="s">
        <v>148</v>
      </c>
      <c r="C5740" t="s">
        <v>159</v>
      </c>
      <c r="D5740" t="s">
        <v>288</v>
      </c>
      <c r="E5740" t="s">
        <v>417</v>
      </c>
      <c r="F5740">
        <f>HYPERLINK("https://www.wikidata.org/wiki/Q33755832", "Q33755832")</f>
        <v>0</v>
      </c>
      <c r="G5740" t="s">
        <v>3244</v>
      </c>
      <c r="H5740" t="s">
        <v>7397</v>
      </c>
      <c r="I5740" t="s">
        <v>9506</v>
      </c>
      <c r="J5740" t="s">
        <v>13862</v>
      </c>
      <c r="K5740" t="s">
        <v>18233</v>
      </c>
      <c r="L5740">
        <f>HYPERLINK("https://www2.assemblee-nationale.fr/sycomore/fiche/(num_dept)/2587", "2587")</f>
        <v>0</v>
      </c>
      <c r="N5740">
        <f>HYPERLINK("https://www.wikidata.org/wiki/Q3068492", "Q3068492")</f>
        <v>0</v>
      </c>
      <c r="O5740" t="s">
        <v>19969</v>
      </c>
      <c r="P5740" t="s">
        <v>20456</v>
      </c>
      <c r="Q5740" t="s">
        <v>20739</v>
      </c>
      <c r="R5740" t="s">
        <v>417</v>
      </c>
      <c r="S5740">
        <v>1469</v>
      </c>
    </row>
    <row r="5741" spans="1:19">
      <c r="A5741" t="s">
        <v>27</v>
      </c>
      <c r="B5741" t="s">
        <v>148</v>
      </c>
      <c r="C5741" t="s">
        <v>159</v>
      </c>
      <c r="D5741" t="s">
        <v>288</v>
      </c>
      <c r="E5741" t="s">
        <v>417</v>
      </c>
      <c r="F5741">
        <f>HYPERLINK("https://www.wikidata.org/wiki/Q33755832", "Q33755832")</f>
        <v>0</v>
      </c>
      <c r="G5741" t="s">
        <v>936</v>
      </c>
      <c r="H5741" t="s">
        <v>5692</v>
      </c>
      <c r="I5741" t="s">
        <v>9421</v>
      </c>
      <c r="J5741" t="s">
        <v>11677</v>
      </c>
      <c r="K5741" t="s">
        <v>16078</v>
      </c>
      <c r="L5741">
        <f>HYPERLINK("https://www2.assemblee-nationale.fr/sycomore/fiche/(num_dept)/2595", "2595")</f>
        <v>0</v>
      </c>
      <c r="M5741">
        <f>HYPERLINK("https://www.senat.fr/senateur-3eme-republique/dron_gustave1388r3.html", "dron_gustave1388r3")</f>
        <v>0</v>
      </c>
      <c r="N5741">
        <f>HYPERLINK("https://www.wikidata.org/wiki/Q3121171", "Q3121171")</f>
        <v>0</v>
      </c>
      <c r="O5741" t="s">
        <v>20013</v>
      </c>
      <c r="Q5741" t="s">
        <v>20739</v>
      </c>
      <c r="R5741" t="s">
        <v>417</v>
      </c>
      <c r="S5741">
        <v>1469</v>
      </c>
    </row>
    <row r="5742" spans="1:19">
      <c r="A5742" t="s">
        <v>27</v>
      </c>
      <c r="B5742" t="s">
        <v>148</v>
      </c>
      <c r="C5742" t="s">
        <v>159</v>
      </c>
      <c r="D5742" t="s">
        <v>288</v>
      </c>
      <c r="E5742" t="s">
        <v>417</v>
      </c>
      <c r="F5742">
        <f>HYPERLINK("https://www.wikidata.org/wiki/Q33755832", "Q33755832")</f>
        <v>0</v>
      </c>
      <c r="G5742" t="s">
        <v>3551</v>
      </c>
      <c r="H5742" t="s">
        <v>5695</v>
      </c>
      <c r="I5742" t="s">
        <v>10877</v>
      </c>
      <c r="J5742" t="s">
        <v>13686</v>
      </c>
      <c r="K5742" t="s">
        <v>18507</v>
      </c>
      <c r="L5742">
        <f>HYPERLINK("https://www2.assemblee-nationale.fr/sycomore/fiche/(num_dept)/2616", "2616")</f>
        <v>0</v>
      </c>
      <c r="N5742">
        <f>HYPERLINK("https://www.wikidata.org/wiki/Q16025616", "Q16025616")</f>
        <v>0</v>
      </c>
      <c r="O5742" t="s">
        <v>20020</v>
      </c>
      <c r="Q5742" t="s">
        <v>20739</v>
      </c>
      <c r="R5742" t="s">
        <v>417</v>
      </c>
      <c r="S5742">
        <v>1469</v>
      </c>
    </row>
    <row r="5743" spans="1:19">
      <c r="A5743" t="s">
        <v>27</v>
      </c>
      <c r="B5743" t="s">
        <v>148</v>
      </c>
      <c r="C5743" t="s">
        <v>159</v>
      </c>
      <c r="D5743" t="s">
        <v>288</v>
      </c>
      <c r="E5743" t="s">
        <v>417</v>
      </c>
      <c r="F5743">
        <f>HYPERLINK("https://www.wikidata.org/wiki/Q33755832", "Q33755832")</f>
        <v>0</v>
      </c>
      <c r="G5743" t="s">
        <v>3552</v>
      </c>
      <c r="H5743" t="s">
        <v>5702</v>
      </c>
      <c r="I5743" t="s">
        <v>10878</v>
      </c>
      <c r="J5743" t="s">
        <v>14142</v>
      </c>
      <c r="K5743" t="s">
        <v>18508</v>
      </c>
      <c r="L5743">
        <f>HYPERLINK("https://www2.assemblee-nationale.fr/sycomore/fiche/(num_dept)/2688", "2688")</f>
        <v>0</v>
      </c>
      <c r="N5743">
        <f>HYPERLINK("https://www.wikidata.org/wiki/Q16025636", "Q16025636")</f>
        <v>0</v>
      </c>
      <c r="O5743" t="s">
        <v>19999</v>
      </c>
      <c r="Q5743" t="s">
        <v>20739</v>
      </c>
      <c r="R5743" t="s">
        <v>417</v>
      </c>
      <c r="S5743">
        <v>1469</v>
      </c>
    </row>
    <row r="5744" spans="1:19">
      <c r="A5744" t="s">
        <v>27</v>
      </c>
      <c r="B5744" t="s">
        <v>148</v>
      </c>
      <c r="C5744" t="s">
        <v>159</v>
      </c>
      <c r="D5744" t="s">
        <v>288</v>
      </c>
      <c r="E5744" t="s">
        <v>417</v>
      </c>
      <c r="F5744">
        <f>HYPERLINK("https://www.wikidata.org/wiki/Q33755832", "Q33755832")</f>
        <v>0</v>
      </c>
      <c r="G5744" t="s">
        <v>3553</v>
      </c>
      <c r="H5744" t="s">
        <v>7909</v>
      </c>
      <c r="I5744" t="s">
        <v>9474</v>
      </c>
      <c r="J5744" t="s">
        <v>14143</v>
      </c>
      <c r="K5744" t="s">
        <v>18509</v>
      </c>
      <c r="L5744">
        <f>HYPERLINK("https://www2.assemblee-nationale.fr/sycomore/fiche/(num_dept)/2697", "2697")</f>
        <v>0</v>
      </c>
      <c r="N5744">
        <f>HYPERLINK("https://www.wikidata.org/wiki/Q3164044", "Q3164044")</f>
        <v>0</v>
      </c>
      <c r="O5744" t="s">
        <v>19969</v>
      </c>
      <c r="P5744" t="s">
        <v>20409</v>
      </c>
      <c r="Q5744" t="s">
        <v>20739</v>
      </c>
      <c r="R5744" t="s">
        <v>417</v>
      </c>
      <c r="S5744">
        <v>1469</v>
      </c>
    </row>
    <row r="5745" spans="1:19">
      <c r="A5745" t="s">
        <v>27</v>
      </c>
      <c r="B5745" t="s">
        <v>148</v>
      </c>
      <c r="C5745" t="s">
        <v>159</v>
      </c>
      <c r="D5745" t="s">
        <v>288</v>
      </c>
      <c r="E5745" t="s">
        <v>417</v>
      </c>
      <c r="F5745">
        <f>HYPERLINK("https://www.wikidata.org/wiki/Q33755832", "Q33755832")</f>
        <v>0</v>
      </c>
      <c r="G5745" t="s">
        <v>3554</v>
      </c>
      <c r="H5745" t="s">
        <v>7910</v>
      </c>
      <c r="I5745" t="s">
        <v>10879</v>
      </c>
      <c r="J5745" t="s">
        <v>14144</v>
      </c>
      <c r="K5745" t="s">
        <v>18510</v>
      </c>
      <c r="L5745">
        <f>HYPERLINK("https://www2.assemblee-nationale.fr/sycomore/fiche/(num_dept)/2744", "2744")</f>
        <v>0</v>
      </c>
      <c r="N5745">
        <f>HYPERLINK("https://www.wikidata.org/wiki/Q3266121", "Q3266121")</f>
        <v>0</v>
      </c>
      <c r="O5745" t="s">
        <v>19962</v>
      </c>
      <c r="P5745" t="s">
        <v>20479</v>
      </c>
      <c r="Q5745" t="s">
        <v>20739</v>
      </c>
      <c r="R5745" t="s">
        <v>417</v>
      </c>
      <c r="S5745">
        <v>1469</v>
      </c>
    </row>
    <row r="5746" spans="1:19">
      <c r="A5746" t="s">
        <v>27</v>
      </c>
      <c r="B5746" t="s">
        <v>148</v>
      </c>
      <c r="C5746" t="s">
        <v>159</v>
      </c>
      <c r="D5746" t="s">
        <v>288</v>
      </c>
      <c r="E5746" t="s">
        <v>417</v>
      </c>
      <c r="F5746">
        <f>HYPERLINK("https://www.wikidata.org/wiki/Q33755832", "Q33755832")</f>
        <v>0</v>
      </c>
      <c r="G5746" t="s">
        <v>3555</v>
      </c>
      <c r="H5746" t="s">
        <v>5392</v>
      </c>
      <c r="I5746" t="s">
        <v>10880</v>
      </c>
      <c r="J5746" t="s">
        <v>13655</v>
      </c>
      <c r="K5746" t="s">
        <v>18511</v>
      </c>
      <c r="L5746">
        <f>HYPERLINK("https://www2.assemblee-nationale.fr/sycomore/fiche/(num_dept)/2828", "2828")</f>
        <v>0</v>
      </c>
      <c r="N5746">
        <f>HYPERLINK("https://www.wikidata.org/wiki/Q2871178", "Q2871178")</f>
        <v>0</v>
      </c>
      <c r="O5746" t="s">
        <v>20009</v>
      </c>
      <c r="Q5746" t="s">
        <v>20739</v>
      </c>
      <c r="R5746" t="s">
        <v>417</v>
      </c>
      <c r="S5746">
        <v>1469</v>
      </c>
    </row>
    <row r="5747" spans="1:19">
      <c r="A5747" t="s">
        <v>27</v>
      </c>
      <c r="B5747" t="s">
        <v>148</v>
      </c>
      <c r="C5747" t="s">
        <v>159</v>
      </c>
      <c r="D5747" t="s">
        <v>288</v>
      </c>
      <c r="E5747" t="s">
        <v>417</v>
      </c>
      <c r="F5747">
        <f>HYPERLINK("https://www.wikidata.org/wiki/Q33755832", "Q33755832")</f>
        <v>0</v>
      </c>
      <c r="G5747" t="s">
        <v>3119</v>
      </c>
      <c r="H5747" t="s">
        <v>7563</v>
      </c>
      <c r="I5747" t="s">
        <v>9553</v>
      </c>
      <c r="J5747" t="s">
        <v>13741</v>
      </c>
      <c r="K5747" t="s">
        <v>18122</v>
      </c>
      <c r="L5747">
        <f>HYPERLINK("https://www2.assemblee-nationale.fr/sycomore/fiche/(num_dept)/2893", "2893")</f>
        <v>0</v>
      </c>
      <c r="N5747">
        <f>HYPERLINK("https://www.wikidata.org/wiki/Q8311070", "Q8311070")</f>
        <v>0</v>
      </c>
      <c r="O5747" t="s">
        <v>19980</v>
      </c>
      <c r="P5747" t="s">
        <v>20460</v>
      </c>
      <c r="Q5747" t="s">
        <v>20739</v>
      </c>
      <c r="R5747" t="s">
        <v>417</v>
      </c>
      <c r="S5747">
        <v>1469</v>
      </c>
    </row>
    <row r="5748" spans="1:19">
      <c r="A5748" t="s">
        <v>27</v>
      </c>
      <c r="B5748" t="s">
        <v>148</v>
      </c>
      <c r="C5748" t="s">
        <v>159</v>
      </c>
      <c r="D5748" t="s">
        <v>288</v>
      </c>
      <c r="E5748" t="s">
        <v>417</v>
      </c>
      <c r="F5748">
        <f>HYPERLINK("https://www.wikidata.org/wiki/Q33755832", "Q33755832")</f>
        <v>0</v>
      </c>
      <c r="G5748" t="s">
        <v>3556</v>
      </c>
      <c r="H5748" t="s">
        <v>5400</v>
      </c>
      <c r="I5748" t="s">
        <v>9389</v>
      </c>
      <c r="J5748" t="s">
        <v>14145</v>
      </c>
      <c r="K5748" t="s">
        <v>18512</v>
      </c>
      <c r="L5748">
        <f>HYPERLINK("https://www2.assemblee-nationale.fr/sycomore/fiche/(num_dept)/2988", "2988")</f>
        <v>0</v>
      </c>
      <c r="N5748">
        <f>HYPERLINK("https://www.wikidata.org/wiki/Q3588498", "Q3588498")</f>
        <v>0</v>
      </c>
      <c r="O5748" t="s">
        <v>19969</v>
      </c>
      <c r="P5748" t="s">
        <v>20479</v>
      </c>
      <c r="Q5748" t="s">
        <v>20739</v>
      </c>
      <c r="R5748" t="s">
        <v>417</v>
      </c>
      <c r="S5748">
        <v>1469</v>
      </c>
    </row>
    <row r="5749" spans="1:19">
      <c r="A5749" t="s">
        <v>27</v>
      </c>
      <c r="B5749" t="s">
        <v>148</v>
      </c>
      <c r="C5749" t="s">
        <v>159</v>
      </c>
      <c r="D5749" t="s">
        <v>288</v>
      </c>
      <c r="E5749" t="s">
        <v>417</v>
      </c>
      <c r="F5749">
        <f>HYPERLINK("https://www.wikidata.org/wiki/Q33755832", "Q33755832")</f>
        <v>0</v>
      </c>
      <c r="G5749" t="s">
        <v>2578</v>
      </c>
      <c r="H5749" t="s">
        <v>7131</v>
      </c>
      <c r="I5749" t="s">
        <v>9385</v>
      </c>
      <c r="J5749" t="s">
        <v>13222</v>
      </c>
      <c r="K5749" t="s">
        <v>17625</v>
      </c>
      <c r="L5749">
        <f>HYPERLINK("https://www2.assemblee-nationale.fr/sycomore/fiche/(num_dept)/3032", "3032")</f>
        <v>0</v>
      </c>
      <c r="M5749">
        <f>HYPERLINK("https://www.senat.fr/senateur-3eme-republique/floquet_charles1411r3.html", "floquet_charles1411r3")</f>
        <v>0</v>
      </c>
      <c r="N5749">
        <f>HYPERLINK("https://www.wikidata.org/wiki/Q471311", "Q471311")</f>
        <v>0</v>
      </c>
      <c r="O5749" t="s">
        <v>19969</v>
      </c>
      <c r="P5749" t="s">
        <v>20401</v>
      </c>
      <c r="Q5749" t="s">
        <v>20739</v>
      </c>
      <c r="R5749" t="s">
        <v>417</v>
      </c>
      <c r="S5749">
        <v>1469</v>
      </c>
    </row>
    <row r="5750" spans="1:19">
      <c r="A5750" t="s">
        <v>27</v>
      </c>
      <c r="B5750" t="s">
        <v>148</v>
      </c>
      <c r="C5750" t="s">
        <v>159</v>
      </c>
      <c r="D5750" t="s">
        <v>288</v>
      </c>
      <c r="E5750" t="s">
        <v>417</v>
      </c>
      <c r="F5750">
        <f>HYPERLINK("https://www.wikidata.org/wiki/Q33755832", "Q33755832")</f>
        <v>0</v>
      </c>
      <c r="G5750" t="s">
        <v>3557</v>
      </c>
      <c r="H5750" t="s">
        <v>7911</v>
      </c>
      <c r="I5750" t="s">
        <v>9458</v>
      </c>
      <c r="J5750" t="s">
        <v>14146</v>
      </c>
      <c r="K5750" t="s">
        <v>18513</v>
      </c>
      <c r="L5750">
        <f>HYPERLINK("https://www2.assemblee-nationale.fr/sycomore/fiche/(num_dept)/3187", "3187")</f>
        <v>0</v>
      </c>
      <c r="N5750">
        <f>HYPERLINK("https://www.wikidata.org/wiki/Q16025738", "Q16025738")</f>
        <v>0</v>
      </c>
      <c r="O5750" t="s">
        <v>20007</v>
      </c>
      <c r="Q5750" t="s">
        <v>20739</v>
      </c>
      <c r="R5750" t="s">
        <v>417</v>
      </c>
      <c r="S5750">
        <v>1469</v>
      </c>
    </row>
    <row r="5751" spans="1:19">
      <c r="A5751" t="s">
        <v>27</v>
      </c>
      <c r="B5751" t="s">
        <v>148</v>
      </c>
      <c r="C5751" t="s">
        <v>159</v>
      </c>
      <c r="D5751" t="s">
        <v>288</v>
      </c>
      <c r="E5751" t="s">
        <v>417</v>
      </c>
      <c r="F5751">
        <f>HYPERLINK("https://www.wikidata.org/wiki/Q33755832", "Q33755832")</f>
        <v>0</v>
      </c>
      <c r="G5751" t="s">
        <v>3558</v>
      </c>
      <c r="H5751" t="s">
        <v>7912</v>
      </c>
      <c r="I5751" t="s">
        <v>10881</v>
      </c>
      <c r="J5751" t="s">
        <v>14147</v>
      </c>
      <c r="K5751" t="s">
        <v>18514</v>
      </c>
      <c r="L5751">
        <f>HYPERLINK("https://www2.assemblee-nationale.fr/sycomore/fiche/(num_dept)/3191", "3191")</f>
        <v>0</v>
      </c>
      <c r="M5751">
        <f>HYPERLINK("https://www.senat.fr/senateur-3eme-republique/gacon_jules0043r3.html", "gacon_jules0043r3")</f>
        <v>0</v>
      </c>
      <c r="N5751">
        <f>HYPERLINK("https://www.wikidata.org/wiki/Q3188598", "Q3188598")</f>
        <v>0</v>
      </c>
      <c r="O5751" t="s">
        <v>19999</v>
      </c>
      <c r="P5751" t="s">
        <v>20402</v>
      </c>
      <c r="Q5751" t="s">
        <v>20739</v>
      </c>
      <c r="R5751" t="s">
        <v>417</v>
      </c>
      <c r="S5751">
        <v>1469</v>
      </c>
    </row>
    <row r="5752" spans="1:19">
      <c r="A5752" t="s">
        <v>27</v>
      </c>
      <c r="B5752" t="s">
        <v>148</v>
      </c>
      <c r="C5752" t="s">
        <v>159</v>
      </c>
      <c r="D5752" t="s">
        <v>288</v>
      </c>
      <c r="E5752" t="s">
        <v>417</v>
      </c>
      <c r="F5752">
        <f>HYPERLINK("https://www.wikidata.org/wiki/Q33755832", "Q33755832")</f>
        <v>0</v>
      </c>
      <c r="G5752" t="s">
        <v>3020</v>
      </c>
      <c r="H5752" t="s">
        <v>7477</v>
      </c>
      <c r="I5752" t="s">
        <v>9449</v>
      </c>
      <c r="J5752" t="s">
        <v>13648</v>
      </c>
      <c r="K5752" t="s">
        <v>18032</v>
      </c>
      <c r="L5752">
        <f>HYPERLINK("https://www2.assemblee-nationale.fr/sycomore/fiche/(num_dept)/3201", "3201")</f>
        <v>0</v>
      </c>
      <c r="N5752">
        <f>HYPERLINK("https://www.wikidata.org/wiki/Q3188602", "Q3188602")</f>
        <v>0</v>
      </c>
      <c r="O5752" t="s">
        <v>20047</v>
      </c>
      <c r="P5752" t="s">
        <v>20401</v>
      </c>
      <c r="Q5752" t="s">
        <v>20739</v>
      </c>
      <c r="R5752" t="s">
        <v>417</v>
      </c>
      <c r="S5752">
        <v>1469</v>
      </c>
    </row>
    <row r="5753" spans="1:19">
      <c r="A5753" t="s">
        <v>27</v>
      </c>
      <c r="B5753" t="s">
        <v>148</v>
      </c>
      <c r="C5753" t="s">
        <v>159</v>
      </c>
      <c r="D5753" t="s">
        <v>288</v>
      </c>
      <c r="E5753" t="s">
        <v>417</v>
      </c>
      <c r="F5753">
        <f>HYPERLINK("https://www.wikidata.org/wiki/Q33755832", "Q33755832")</f>
        <v>0</v>
      </c>
      <c r="G5753" t="s">
        <v>3559</v>
      </c>
      <c r="H5753" t="s">
        <v>7477</v>
      </c>
      <c r="I5753" t="s">
        <v>9449</v>
      </c>
      <c r="J5753" t="s">
        <v>14148</v>
      </c>
      <c r="K5753" t="s">
        <v>18515</v>
      </c>
      <c r="L5753">
        <f>HYPERLINK("https://www2.assemblee-nationale.fr/sycomore/fiche/(num_dept)/3202", "3202")</f>
        <v>0</v>
      </c>
      <c r="N5753">
        <f>HYPERLINK("https://www.wikidata.org/wiki/Q3188600", "Q3188600")</f>
        <v>0</v>
      </c>
      <c r="O5753" t="s">
        <v>19989</v>
      </c>
      <c r="P5753" t="s">
        <v>20410</v>
      </c>
      <c r="Q5753" t="s">
        <v>20739</v>
      </c>
      <c r="R5753" t="s">
        <v>417</v>
      </c>
      <c r="S5753">
        <v>1469</v>
      </c>
    </row>
    <row r="5754" spans="1:19">
      <c r="A5754" t="s">
        <v>27</v>
      </c>
      <c r="B5754" t="s">
        <v>148</v>
      </c>
      <c r="C5754" t="s">
        <v>159</v>
      </c>
      <c r="D5754" t="s">
        <v>288</v>
      </c>
      <c r="E5754" t="s">
        <v>417</v>
      </c>
      <c r="F5754">
        <f>HYPERLINK("https://www.wikidata.org/wiki/Q33755832", "Q33755832")</f>
        <v>0</v>
      </c>
      <c r="G5754" t="s">
        <v>3560</v>
      </c>
      <c r="H5754" t="s">
        <v>7913</v>
      </c>
      <c r="I5754" t="s">
        <v>10882</v>
      </c>
      <c r="J5754" t="s">
        <v>14149</v>
      </c>
      <c r="K5754" t="s">
        <v>18516</v>
      </c>
      <c r="L5754">
        <f>HYPERLINK("https://www2.assemblee-nationale.fr/sycomore/fiche/(num_dept)/3280", "3280")</f>
        <v>0</v>
      </c>
      <c r="N5754">
        <f>HYPERLINK("https://www.wikidata.org/wiki/Q3185835", "Q3185835")</f>
        <v>0</v>
      </c>
      <c r="O5754" t="s">
        <v>20011</v>
      </c>
      <c r="Q5754" t="s">
        <v>20739</v>
      </c>
      <c r="R5754" t="s">
        <v>18516</v>
      </c>
      <c r="S5754">
        <v>1427</v>
      </c>
    </row>
    <row r="5755" spans="1:19">
      <c r="A5755" t="s">
        <v>27</v>
      </c>
      <c r="B5755" t="s">
        <v>148</v>
      </c>
      <c r="C5755" t="s">
        <v>159</v>
      </c>
      <c r="D5755" t="s">
        <v>288</v>
      </c>
      <c r="E5755" t="s">
        <v>417</v>
      </c>
      <c r="F5755">
        <f>HYPERLINK("https://www.wikidata.org/wiki/Q33755832", "Q33755832")</f>
        <v>0</v>
      </c>
      <c r="G5755" t="s">
        <v>2483</v>
      </c>
      <c r="H5755" t="s">
        <v>7056</v>
      </c>
      <c r="I5755" t="s">
        <v>9389</v>
      </c>
      <c r="J5755" t="s">
        <v>13127</v>
      </c>
      <c r="K5755" t="s">
        <v>17537</v>
      </c>
      <c r="L5755">
        <f>HYPERLINK("https://www2.assemblee-nationale.fr/sycomore/fiche/(num_dept)/3445", "3445")</f>
        <v>0</v>
      </c>
      <c r="N5755">
        <f>HYPERLINK("https://www.wikidata.org/wiki/Q3588534", "Q3588534")</f>
        <v>0</v>
      </c>
      <c r="O5755" t="s">
        <v>19997</v>
      </c>
      <c r="P5755" t="s">
        <v>20406</v>
      </c>
      <c r="Q5755" t="s">
        <v>20739</v>
      </c>
      <c r="R5755" t="s">
        <v>417</v>
      </c>
      <c r="S5755">
        <v>1469</v>
      </c>
    </row>
    <row r="5756" spans="1:19">
      <c r="A5756" t="s">
        <v>27</v>
      </c>
      <c r="B5756" t="s">
        <v>148</v>
      </c>
      <c r="C5756" t="s">
        <v>159</v>
      </c>
      <c r="D5756" t="s">
        <v>288</v>
      </c>
      <c r="E5756" t="s">
        <v>417</v>
      </c>
      <c r="F5756">
        <f>HYPERLINK("https://www.wikidata.org/wiki/Q33755832", "Q33755832")</f>
        <v>0</v>
      </c>
      <c r="G5756" t="s">
        <v>3561</v>
      </c>
      <c r="H5756" t="s">
        <v>7914</v>
      </c>
      <c r="I5756" t="s">
        <v>10883</v>
      </c>
      <c r="J5756" t="s">
        <v>14150</v>
      </c>
      <c r="K5756" t="s">
        <v>18517</v>
      </c>
      <c r="L5756">
        <f>HYPERLINK("https://www2.assemblee-nationale.fr/sycomore/fiche/(num_dept)/3489", "3489")</f>
        <v>0</v>
      </c>
      <c r="M5756">
        <f>HYPERLINK("https://www.senat.fr/senateur-3eme-republique/gotteron_andre1785r3.html", "gotteron_andre1785r3")</f>
        <v>0</v>
      </c>
      <c r="N5756">
        <f>HYPERLINK("https://www.wikidata.org/wiki/Q2847866", "Q2847866")</f>
        <v>0</v>
      </c>
      <c r="O5756" t="s">
        <v>19977</v>
      </c>
      <c r="P5756" t="s">
        <v>20479</v>
      </c>
      <c r="Q5756" t="s">
        <v>20739</v>
      </c>
      <c r="R5756" t="s">
        <v>417</v>
      </c>
      <c r="S5756">
        <v>1469</v>
      </c>
    </row>
    <row r="5757" spans="1:19">
      <c r="A5757" t="s">
        <v>27</v>
      </c>
      <c r="B5757" t="s">
        <v>148</v>
      </c>
      <c r="C5757" t="s">
        <v>159</v>
      </c>
      <c r="D5757" t="s">
        <v>288</v>
      </c>
      <c r="E5757" t="s">
        <v>417</v>
      </c>
      <c r="F5757">
        <f>HYPERLINK("https://www.wikidata.org/wiki/Q33755832", "Q33755832")</f>
        <v>0</v>
      </c>
      <c r="G5757" t="s">
        <v>3562</v>
      </c>
      <c r="H5757" t="s">
        <v>7915</v>
      </c>
      <c r="I5757" t="s">
        <v>9442</v>
      </c>
      <c r="J5757" t="s">
        <v>14151</v>
      </c>
      <c r="K5757" t="s">
        <v>18518</v>
      </c>
      <c r="L5757">
        <f>HYPERLINK("https://www2.assemblee-nationale.fr/sycomore/fiche/(num_dept)/3549", "3549")</f>
        <v>0</v>
      </c>
      <c r="N5757">
        <f>HYPERLINK("https://www.wikidata.org/wiki/Q3056990", "Q3056990")</f>
        <v>0</v>
      </c>
      <c r="O5757" t="s">
        <v>19969</v>
      </c>
      <c r="Q5757" t="s">
        <v>20739</v>
      </c>
      <c r="R5757" t="s">
        <v>417</v>
      </c>
      <c r="S5757">
        <v>1469</v>
      </c>
    </row>
    <row r="5758" spans="1:19">
      <c r="A5758" t="s">
        <v>27</v>
      </c>
      <c r="B5758" t="s">
        <v>148</v>
      </c>
      <c r="C5758" t="s">
        <v>159</v>
      </c>
      <c r="D5758" t="s">
        <v>288</v>
      </c>
      <c r="E5758" t="s">
        <v>417</v>
      </c>
      <c r="F5758">
        <f>HYPERLINK("https://www.wikidata.org/wiki/Q33755832", "Q33755832")</f>
        <v>0</v>
      </c>
      <c r="G5758" t="s">
        <v>3254</v>
      </c>
      <c r="H5758" t="s">
        <v>7674</v>
      </c>
      <c r="I5758" t="s">
        <v>6495</v>
      </c>
      <c r="J5758" t="s">
        <v>13871</v>
      </c>
      <c r="K5758" t="s">
        <v>18242</v>
      </c>
      <c r="L5758">
        <f>HYPERLINK("https://www2.assemblee-nationale.fr/sycomore/fiche/(num_dept)/3672", "3672")</f>
        <v>0</v>
      </c>
      <c r="N5758">
        <f>HYPERLINK("https://www.wikidata.org/wiki/Q9294968", "Q9294968")</f>
        <v>0</v>
      </c>
      <c r="O5758" t="s">
        <v>19965</v>
      </c>
      <c r="P5758" t="s">
        <v>20401</v>
      </c>
      <c r="Q5758" t="s">
        <v>20739</v>
      </c>
      <c r="R5758" t="s">
        <v>417</v>
      </c>
      <c r="S5758">
        <v>1469</v>
      </c>
    </row>
    <row r="5759" spans="1:19">
      <c r="A5759" t="s">
        <v>27</v>
      </c>
      <c r="B5759" t="s">
        <v>148</v>
      </c>
      <c r="C5759" t="s">
        <v>159</v>
      </c>
      <c r="D5759" t="s">
        <v>288</v>
      </c>
      <c r="E5759" t="s">
        <v>417</v>
      </c>
      <c r="F5759">
        <f>HYPERLINK("https://www.wikidata.org/wiki/Q33755832", "Q33755832")</f>
        <v>0</v>
      </c>
      <c r="G5759" t="s">
        <v>3075</v>
      </c>
      <c r="H5759" t="s">
        <v>7525</v>
      </c>
      <c r="I5759" t="s">
        <v>9455</v>
      </c>
      <c r="J5759" t="s">
        <v>13699</v>
      </c>
      <c r="K5759" t="s">
        <v>18082</v>
      </c>
      <c r="L5759">
        <f>HYPERLINK("https://www2.assemblee-nationale.fr/sycomore/fiche/(num_dept)/3674", "3674")</f>
        <v>0</v>
      </c>
      <c r="M5759">
        <f>HYPERLINK("https://www.senat.fr/senateur-3eme-republique/guillemaut_lucien1225r3.html", "guillemaut_lucien1225r3")</f>
        <v>0</v>
      </c>
      <c r="N5759">
        <f>HYPERLINK("https://www.wikidata.org/wiki/Q3265536", "Q3265536")</f>
        <v>0</v>
      </c>
      <c r="O5759" t="s">
        <v>19994</v>
      </c>
      <c r="Q5759" t="s">
        <v>20739</v>
      </c>
      <c r="R5759" t="s">
        <v>417</v>
      </c>
      <c r="S5759">
        <v>1469</v>
      </c>
    </row>
    <row r="5760" spans="1:19">
      <c r="A5760" t="s">
        <v>27</v>
      </c>
      <c r="B5760" t="s">
        <v>148</v>
      </c>
      <c r="C5760" t="s">
        <v>159</v>
      </c>
      <c r="D5760" t="s">
        <v>288</v>
      </c>
      <c r="E5760" t="s">
        <v>417</v>
      </c>
      <c r="F5760">
        <f>HYPERLINK("https://www.wikidata.org/wiki/Q33755832", "Q33755832")</f>
        <v>0</v>
      </c>
      <c r="G5760" t="s">
        <v>3563</v>
      </c>
      <c r="H5760" t="s">
        <v>7916</v>
      </c>
      <c r="I5760" t="s">
        <v>10884</v>
      </c>
      <c r="J5760" t="s">
        <v>14152</v>
      </c>
      <c r="K5760" t="s">
        <v>18519</v>
      </c>
      <c r="L5760">
        <f>HYPERLINK("https://www2.assemblee-nationale.fr/sycomore/fiche/(num_dept)/3787", "3787")</f>
        <v>0</v>
      </c>
      <c r="N5760">
        <f>HYPERLINK("https://www.wikidata.org/wiki/Q3172591", "Q3172591")</f>
        <v>0</v>
      </c>
      <c r="O5760" t="s">
        <v>19976</v>
      </c>
      <c r="P5760" t="s">
        <v>20483</v>
      </c>
      <c r="Q5760" t="s">
        <v>20739</v>
      </c>
      <c r="R5760" t="s">
        <v>417</v>
      </c>
      <c r="S5760">
        <v>1469</v>
      </c>
    </row>
    <row r="5761" spans="1:19">
      <c r="A5761" t="s">
        <v>27</v>
      </c>
      <c r="B5761" t="s">
        <v>148</v>
      </c>
      <c r="C5761" t="s">
        <v>159</v>
      </c>
      <c r="D5761" t="s">
        <v>288</v>
      </c>
      <c r="E5761" t="s">
        <v>417</v>
      </c>
      <c r="F5761">
        <f>HYPERLINK("https://www.wikidata.org/wiki/Q33755832", "Q33755832")</f>
        <v>0</v>
      </c>
      <c r="G5761" t="s">
        <v>3564</v>
      </c>
      <c r="H5761" t="s">
        <v>7917</v>
      </c>
      <c r="I5761" t="s">
        <v>9449</v>
      </c>
      <c r="J5761" t="s">
        <v>14153</v>
      </c>
      <c r="K5761" t="s">
        <v>18520</v>
      </c>
      <c r="L5761">
        <f>HYPERLINK("https://www2.assemblee-nationale.fr/sycomore/fiche/(num_dept)/3844", "3844")</f>
        <v>0</v>
      </c>
      <c r="N5761">
        <f>HYPERLINK("https://www.wikidata.org/wiki/Q16025851", "Q16025851")</f>
        <v>0</v>
      </c>
      <c r="O5761" t="s">
        <v>20013</v>
      </c>
      <c r="Q5761" t="s">
        <v>20739</v>
      </c>
      <c r="R5761" t="s">
        <v>18520</v>
      </c>
      <c r="S5761">
        <v>264</v>
      </c>
    </row>
    <row r="5762" spans="1:19">
      <c r="A5762" t="s">
        <v>27</v>
      </c>
      <c r="B5762" t="s">
        <v>148</v>
      </c>
      <c r="C5762" t="s">
        <v>159</v>
      </c>
      <c r="D5762" t="s">
        <v>288</v>
      </c>
      <c r="E5762" t="s">
        <v>417</v>
      </c>
      <c r="F5762">
        <f>HYPERLINK("https://www.wikidata.org/wiki/Q33755832", "Q33755832")</f>
        <v>0</v>
      </c>
      <c r="G5762" t="s">
        <v>3565</v>
      </c>
      <c r="H5762" t="s">
        <v>7918</v>
      </c>
      <c r="I5762" t="s">
        <v>8494</v>
      </c>
      <c r="J5762" t="s">
        <v>14154</v>
      </c>
      <c r="K5762" t="s">
        <v>18521</v>
      </c>
      <c r="L5762">
        <f>HYPERLINK("https://www2.assemblee-nationale.fr/sycomore/fiche/(num_dept)/3879", "3879")</f>
        <v>0</v>
      </c>
      <c r="N5762">
        <f>HYPERLINK("https://www.wikidata.org/wiki/Q318444", "Q318444")</f>
        <v>0</v>
      </c>
      <c r="O5762" t="s">
        <v>19969</v>
      </c>
      <c r="Q5762" t="s">
        <v>20739</v>
      </c>
      <c r="R5762" t="s">
        <v>417</v>
      </c>
      <c r="S5762">
        <v>1469</v>
      </c>
    </row>
    <row r="5763" spans="1:19">
      <c r="A5763" t="s">
        <v>27</v>
      </c>
      <c r="B5763" t="s">
        <v>148</v>
      </c>
      <c r="C5763" t="s">
        <v>159</v>
      </c>
      <c r="D5763" t="s">
        <v>288</v>
      </c>
      <c r="E5763" t="s">
        <v>417</v>
      </c>
      <c r="F5763">
        <f>HYPERLINK("https://www.wikidata.org/wiki/Q33755832", "Q33755832")</f>
        <v>0</v>
      </c>
      <c r="G5763" t="s">
        <v>3133</v>
      </c>
      <c r="H5763" t="s">
        <v>7574</v>
      </c>
      <c r="I5763" t="s">
        <v>10651</v>
      </c>
      <c r="J5763" t="s">
        <v>13755</v>
      </c>
      <c r="K5763" t="s">
        <v>18132</v>
      </c>
      <c r="L5763">
        <f>HYPERLINK("https://www2.assemblee-nationale.fr/sycomore/fiche/(num_dept)/3882", "3882")</f>
        <v>0</v>
      </c>
      <c r="N5763">
        <f>HYPERLINK("https://www.wikidata.org/wiki/Q16025854", "Q16025854")</f>
        <v>0</v>
      </c>
      <c r="O5763" t="s">
        <v>19976</v>
      </c>
      <c r="P5763" t="s">
        <v>20477</v>
      </c>
      <c r="Q5763" t="s">
        <v>20739</v>
      </c>
      <c r="R5763" t="s">
        <v>417</v>
      </c>
      <c r="S5763">
        <v>1469</v>
      </c>
    </row>
    <row r="5764" spans="1:19">
      <c r="A5764" t="s">
        <v>27</v>
      </c>
      <c r="B5764" t="s">
        <v>148</v>
      </c>
      <c r="C5764" t="s">
        <v>159</v>
      </c>
      <c r="D5764" t="s">
        <v>288</v>
      </c>
      <c r="E5764" t="s">
        <v>417</v>
      </c>
      <c r="F5764">
        <f>HYPERLINK("https://www.wikidata.org/wiki/Q33755832", "Q33755832")</f>
        <v>0</v>
      </c>
      <c r="G5764" t="s">
        <v>3003</v>
      </c>
      <c r="H5764" t="s">
        <v>7465</v>
      </c>
      <c r="I5764" t="s">
        <v>9593</v>
      </c>
      <c r="J5764" t="s">
        <v>13633</v>
      </c>
      <c r="K5764" t="s">
        <v>18017</v>
      </c>
      <c r="L5764">
        <f>HYPERLINK("https://www2.assemblee-nationale.fr/sycomore/fiche/(num_dept)/3912", "3912")</f>
        <v>0</v>
      </c>
      <c r="N5764">
        <f>HYPERLINK("https://www.wikidata.org/wiki/Q3293811", "Q3293811")</f>
        <v>0</v>
      </c>
      <c r="O5764" t="s">
        <v>20035</v>
      </c>
      <c r="Q5764" t="s">
        <v>20739</v>
      </c>
      <c r="R5764" t="s">
        <v>21535</v>
      </c>
      <c r="S5764">
        <v>1297</v>
      </c>
    </row>
    <row r="5765" spans="1:19">
      <c r="A5765" t="s">
        <v>27</v>
      </c>
      <c r="B5765" t="s">
        <v>148</v>
      </c>
      <c r="C5765" t="s">
        <v>159</v>
      </c>
      <c r="D5765" t="s">
        <v>288</v>
      </c>
      <c r="E5765" t="s">
        <v>417</v>
      </c>
      <c r="F5765">
        <f>HYPERLINK("https://www.wikidata.org/wiki/Q33755832", "Q33755832")</f>
        <v>0</v>
      </c>
      <c r="G5765" t="s">
        <v>3566</v>
      </c>
      <c r="H5765" t="s">
        <v>7919</v>
      </c>
      <c r="I5765" t="s">
        <v>9421</v>
      </c>
      <c r="J5765" t="s">
        <v>14155</v>
      </c>
      <c r="K5765" t="s">
        <v>18522</v>
      </c>
      <c r="L5765">
        <f>HYPERLINK("https://www2.assemblee-nationale.fr/sycomore/fiche/(num_dept)/3941", "3941")</f>
        <v>0</v>
      </c>
      <c r="N5765">
        <f>HYPERLINK("https://www.wikidata.org/wiki/Q3121216", "Q3121216")</f>
        <v>0</v>
      </c>
      <c r="O5765" t="s">
        <v>19971</v>
      </c>
      <c r="Q5765" t="s">
        <v>20739</v>
      </c>
      <c r="R5765" t="s">
        <v>417</v>
      </c>
      <c r="S5765">
        <v>1469</v>
      </c>
    </row>
    <row r="5766" spans="1:19">
      <c r="A5766" t="s">
        <v>27</v>
      </c>
      <c r="B5766" t="s">
        <v>148</v>
      </c>
      <c r="C5766" t="s">
        <v>159</v>
      </c>
      <c r="D5766" t="s">
        <v>288</v>
      </c>
      <c r="E5766" t="s">
        <v>417</v>
      </c>
      <c r="F5766">
        <f>HYPERLINK("https://www.wikidata.org/wiki/Q33755832", "Q33755832")</f>
        <v>0</v>
      </c>
      <c r="G5766" t="s">
        <v>3257</v>
      </c>
      <c r="H5766" t="s">
        <v>7677</v>
      </c>
      <c r="I5766" t="s">
        <v>10736</v>
      </c>
      <c r="J5766" t="s">
        <v>13415</v>
      </c>
      <c r="K5766" t="s">
        <v>18245</v>
      </c>
      <c r="L5766">
        <f>HYPERLINK("https://www2.assemblee-nationale.fr/sycomore/fiche/(num_dept)/3962", "3962")</f>
        <v>0</v>
      </c>
      <c r="N5766">
        <f>HYPERLINK("https://www.wikidata.org/wiki/Q3059941", "Q3059941")</f>
        <v>0</v>
      </c>
      <c r="O5766" t="s">
        <v>19959</v>
      </c>
      <c r="Q5766" t="s">
        <v>20739</v>
      </c>
      <c r="R5766" t="s">
        <v>417</v>
      </c>
      <c r="S5766">
        <v>1469</v>
      </c>
    </row>
    <row r="5767" spans="1:19">
      <c r="A5767" t="s">
        <v>27</v>
      </c>
      <c r="B5767" t="s">
        <v>148</v>
      </c>
      <c r="C5767" t="s">
        <v>159</v>
      </c>
      <c r="D5767" t="s">
        <v>288</v>
      </c>
      <c r="E5767" t="s">
        <v>417</v>
      </c>
      <c r="F5767">
        <f>HYPERLINK("https://www.wikidata.org/wiki/Q33755832", "Q33755832")</f>
        <v>0</v>
      </c>
      <c r="G5767" t="s">
        <v>3567</v>
      </c>
      <c r="H5767" t="s">
        <v>7419</v>
      </c>
      <c r="I5767" t="s">
        <v>9375</v>
      </c>
      <c r="J5767" t="s">
        <v>14156</v>
      </c>
      <c r="K5767" t="s">
        <v>18523</v>
      </c>
      <c r="L5767">
        <f>HYPERLINK("https://www2.assemblee-nationale.fr/sycomore/fiche/(num_dept)/3966", "3966")</f>
        <v>0</v>
      </c>
      <c r="N5767">
        <f>HYPERLINK("https://www.wikidata.org/wiki/Q13091121", "Q13091121")</f>
        <v>0</v>
      </c>
      <c r="O5767" t="s">
        <v>19969</v>
      </c>
      <c r="Q5767" t="s">
        <v>20739</v>
      </c>
      <c r="R5767" t="s">
        <v>417</v>
      </c>
      <c r="S5767">
        <v>1469</v>
      </c>
    </row>
    <row r="5768" spans="1:19">
      <c r="A5768" t="s">
        <v>27</v>
      </c>
      <c r="B5768" t="s">
        <v>148</v>
      </c>
      <c r="C5768" t="s">
        <v>159</v>
      </c>
      <c r="D5768" t="s">
        <v>288</v>
      </c>
      <c r="E5768" t="s">
        <v>417</v>
      </c>
      <c r="F5768">
        <f>HYPERLINK("https://www.wikidata.org/wiki/Q33755832", "Q33755832")</f>
        <v>0</v>
      </c>
      <c r="G5768" t="s">
        <v>3568</v>
      </c>
      <c r="H5768" t="s">
        <v>7920</v>
      </c>
      <c r="I5768" t="s">
        <v>9449</v>
      </c>
      <c r="J5768" t="s">
        <v>14157</v>
      </c>
      <c r="K5768" t="s">
        <v>18524</v>
      </c>
      <c r="L5768">
        <f>HYPERLINK("https://www2.assemblee-nationale.fr/sycomore/fiche/(num_dept)/4035", "4035")</f>
        <v>0</v>
      </c>
      <c r="N5768">
        <f>HYPERLINK("https://www.wikidata.org/wiki/Q3188690", "Q3188690")</f>
        <v>0</v>
      </c>
      <c r="O5768" t="s">
        <v>19969</v>
      </c>
      <c r="Q5768" t="s">
        <v>20739</v>
      </c>
      <c r="R5768" t="s">
        <v>18524</v>
      </c>
      <c r="S5768">
        <v>344</v>
      </c>
    </row>
    <row r="5769" spans="1:19">
      <c r="A5769" t="s">
        <v>27</v>
      </c>
      <c r="B5769" t="s">
        <v>148</v>
      </c>
      <c r="C5769" t="s">
        <v>159</v>
      </c>
      <c r="D5769" t="s">
        <v>288</v>
      </c>
      <c r="E5769" t="s">
        <v>417</v>
      </c>
      <c r="F5769">
        <f>HYPERLINK("https://www.wikidata.org/wiki/Q33755832", "Q33755832")</f>
        <v>0</v>
      </c>
      <c r="G5769" t="s">
        <v>3569</v>
      </c>
      <c r="H5769" t="s">
        <v>7921</v>
      </c>
      <c r="I5769" t="s">
        <v>9401</v>
      </c>
      <c r="J5769" t="s">
        <v>14158</v>
      </c>
      <c r="K5769" t="s">
        <v>18525</v>
      </c>
      <c r="L5769">
        <f>HYPERLINK("https://www2.assemblee-nationale.fr/sycomore/fiche/(num_dept)/4073", "4073")</f>
        <v>0</v>
      </c>
      <c r="N5769">
        <f>HYPERLINK("https://www.wikidata.org/wiki/Q16025881", "Q16025881")</f>
        <v>0</v>
      </c>
      <c r="O5769" t="s">
        <v>19987</v>
      </c>
      <c r="Q5769" t="s">
        <v>20739</v>
      </c>
      <c r="R5769" t="s">
        <v>417</v>
      </c>
      <c r="S5769">
        <v>1469</v>
      </c>
    </row>
    <row r="5770" spans="1:19">
      <c r="A5770" t="s">
        <v>27</v>
      </c>
      <c r="B5770" t="s">
        <v>148</v>
      </c>
      <c r="C5770" t="s">
        <v>159</v>
      </c>
      <c r="D5770" t="s">
        <v>288</v>
      </c>
      <c r="E5770" t="s">
        <v>417</v>
      </c>
      <c r="F5770">
        <f>HYPERLINK("https://www.wikidata.org/wiki/Q33755832", "Q33755832")</f>
        <v>0</v>
      </c>
      <c r="G5770" t="s">
        <v>3570</v>
      </c>
      <c r="H5770" t="s">
        <v>7922</v>
      </c>
      <c r="I5770" t="s">
        <v>10885</v>
      </c>
      <c r="J5770" t="s">
        <v>14159</v>
      </c>
      <c r="K5770" t="s">
        <v>18526</v>
      </c>
      <c r="L5770">
        <f>HYPERLINK("https://www2.assemblee-nationale.fr/sycomore/fiche/(num_dept)/4174", "4174")</f>
        <v>0</v>
      </c>
      <c r="N5770">
        <f>HYPERLINK("https://www.wikidata.org/wiki/Q8337317", "Q8337317")</f>
        <v>0</v>
      </c>
      <c r="O5770" t="s">
        <v>19998</v>
      </c>
      <c r="Q5770" t="s">
        <v>20739</v>
      </c>
      <c r="R5770" t="s">
        <v>417</v>
      </c>
      <c r="S5770">
        <v>1469</v>
      </c>
    </row>
    <row r="5771" spans="1:19">
      <c r="A5771" t="s">
        <v>27</v>
      </c>
      <c r="B5771" t="s">
        <v>148</v>
      </c>
      <c r="C5771" t="s">
        <v>159</v>
      </c>
      <c r="D5771" t="s">
        <v>288</v>
      </c>
      <c r="E5771" t="s">
        <v>417</v>
      </c>
      <c r="F5771">
        <f>HYPERLINK("https://www.wikidata.org/wiki/Q33755832", "Q33755832")</f>
        <v>0</v>
      </c>
      <c r="G5771" t="s">
        <v>2610</v>
      </c>
      <c r="H5771" t="s">
        <v>7159</v>
      </c>
      <c r="I5771" t="s">
        <v>9426</v>
      </c>
      <c r="J5771" t="s">
        <v>13253</v>
      </c>
      <c r="K5771" t="s">
        <v>17655</v>
      </c>
      <c r="L5771">
        <f>HYPERLINK("https://www2.assemblee-nationale.fr/sycomore/fiche/(num_dept)/4210", "4210")</f>
        <v>0</v>
      </c>
      <c r="N5771">
        <f>HYPERLINK("https://www.wikidata.org/wiki/Q16025907", "Q16025907")</f>
        <v>0</v>
      </c>
      <c r="O5771" t="s">
        <v>19999</v>
      </c>
      <c r="Q5771" t="s">
        <v>20739</v>
      </c>
      <c r="R5771" t="s">
        <v>417</v>
      </c>
      <c r="S5771">
        <v>1469</v>
      </c>
    </row>
    <row r="5772" spans="1:19">
      <c r="A5772" t="s">
        <v>27</v>
      </c>
      <c r="B5772" t="s">
        <v>148</v>
      </c>
      <c r="C5772" t="s">
        <v>159</v>
      </c>
      <c r="D5772" t="s">
        <v>288</v>
      </c>
      <c r="E5772" t="s">
        <v>417</v>
      </c>
      <c r="F5772">
        <f>HYPERLINK("https://www.wikidata.org/wiki/Q33755832", "Q33755832")</f>
        <v>0</v>
      </c>
      <c r="G5772" t="s">
        <v>3571</v>
      </c>
      <c r="H5772" t="s">
        <v>7923</v>
      </c>
      <c r="I5772" t="s">
        <v>6158</v>
      </c>
      <c r="J5772" t="s">
        <v>14160</v>
      </c>
      <c r="K5772" t="s">
        <v>18527</v>
      </c>
      <c r="L5772">
        <f>HYPERLINK("https://www2.assemblee-nationale.fr/sycomore/fiche/(num_dept)/4223", "4223")</f>
        <v>0</v>
      </c>
      <c r="N5772">
        <f>HYPERLINK("https://www.wikidata.org/wiki/Q13080876", "Q13080876")</f>
        <v>0</v>
      </c>
      <c r="O5772" t="s">
        <v>19965</v>
      </c>
      <c r="Q5772" t="s">
        <v>20739</v>
      </c>
      <c r="R5772" t="s">
        <v>417</v>
      </c>
      <c r="S5772">
        <v>1469</v>
      </c>
    </row>
    <row r="5773" spans="1:19">
      <c r="A5773" t="s">
        <v>27</v>
      </c>
      <c r="B5773" t="s">
        <v>148</v>
      </c>
      <c r="C5773" t="s">
        <v>159</v>
      </c>
      <c r="D5773" t="s">
        <v>288</v>
      </c>
      <c r="E5773" t="s">
        <v>417</v>
      </c>
      <c r="F5773">
        <f>HYPERLINK("https://www.wikidata.org/wiki/Q33755832", "Q33755832")</f>
        <v>0</v>
      </c>
      <c r="G5773" t="s">
        <v>2960</v>
      </c>
      <c r="H5773" t="s">
        <v>7431</v>
      </c>
      <c r="I5773" t="s">
        <v>9552</v>
      </c>
      <c r="J5773" t="s">
        <v>13592</v>
      </c>
      <c r="K5773" t="s">
        <v>17978</v>
      </c>
      <c r="L5773">
        <f>HYPERLINK("https://www2.assemblee-nationale.fr/sycomore/fiche/(num_dept)/4231", "4231")</f>
        <v>0</v>
      </c>
      <c r="N5773">
        <f>HYPERLINK("https://www.wikidata.org/wiki/Q16025913", "Q16025913")</f>
        <v>0</v>
      </c>
      <c r="O5773" t="s">
        <v>19979</v>
      </c>
      <c r="P5773" t="s">
        <v>20401</v>
      </c>
      <c r="Q5773" t="s">
        <v>20739</v>
      </c>
      <c r="R5773" t="s">
        <v>417</v>
      </c>
      <c r="S5773">
        <v>1469</v>
      </c>
    </row>
    <row r="5774" spans="1:19">
      <c r="A5774" t="s">
        <v>27</v>
      </c>
      <c r="B5774" t="s">
        <v>148</v>
      </c>
      <c r="C5774" t="s">
        <v>159</v>
      </c>
      <c r="D5774" t="s">
        <v>288</v>
      </c>
      <c r="E5774" t="s">
        <v>417</v>
      </c>
      <c r="F5774">
        <f>HYPERLINK("https://www.wikidata.org/wiki/Q33755832", "Q33755832")</f>
        <v>0</v>
      </c>
      <c r="G5774" t="s">
        <v>3376</v>
      </c>
      <c r="H5774" t="s">
        <v>7160</v>
      </c>
      <c r="I5774" t="s">
        <v>10632</v>
      </c>
      <c r="J5774" t="s">
        <v>13987</v>
      </c>
      <c r="K5774" t="s">
        <v>18356</v>
      </c>
      <c r="L5774">
        <f>HYPERLINK("https://www2.assemblee-nationale.fr/sycomore/fiche/(num_dept)/4235", "4235")</f>
        <v>0</v>
      </c>
      <c r="N5774">
        <f>HYPERLINK("https://www.wikidata.org/wiki/Q8331614", "Q8331614")</f>
        <v>0</v>
      </c>
      <c r="O5774" t="s">
        <v>19980</v>
      </c>
      <c r="Q5774" t="s">
        <v>20739</v>
      </c>
      <c r="R5774" t="s">
        <v>18356</v>
      </c>
      <c r="S5774">
        <v>769</v>
      </c>
    </row>
    <row r="5775" spans="1:19">
      <c r="A5775" t="s">
        <v>27</v>
      </c>
      <c r="B5775" t="s">
        <v>148</v>
      </c>
      <c r="C5775" t="s">
        <v>159</v>
      </c>
      <c r="D5775" t="s">
        <v>288</v>
      </c>
      <c r="E5775" t="s">
        <v>417</v>
      </c>
      <c r="F5775">
        <f>HYPERLINK("https://www.wikidata.org/wiki/Q33755832", "Q33755832")</f>
        <v>0</v>
      </c>
      <c r="G5775" t="s">
        <v>3361</v>
      </c>
      <c r="H5775" t="s">
        <v>7758</v>
      </c>
      <c r="I5775" t="s">
        <v>9476</v>
      </c>
      <c r="J5775" t="s">
        <v>13973</v>
      </c>
      <c r="K5775" t="s">
        <v>17720</v>
      </c>
      <c r="L5775">
        <f>HYPERLINK("https://www2.assemblee-nationale.fr/sycomore/fiche/(num_dept)/4252", "4252")</f>
        <v>0</v>
      </c>
      <c r="N5775">
        <f>HYPERLINK("https://www.wikidata.org/wiki/Q8339088", "Q8339088")</f>
        <v>0</v>
      </c>
      <c r="O5775" t="s">
        <v>20034</v>
      </c>
      <c r="Q5775" t="s">
        <v>20739</v>
      </c>
      <c r="R5775" t="s">
        <v>17720</v>
      </c>
      <c r="S5775">
        <v>696</v>
      </c>
    </row>
    <row r="5776" spans="1:19">
      <c r="A5776" t="s">
        <v>27</v>
      </c>
      <c r="B5776" t="s">
        <v>148</v>
      </c>
      <c r="C5776" t="s">
        <v>159</v>
      </c>
      <c r="D5776" t="s">
        <v>288</v>
      </c>
      <c r="E5776" t="s">
        <v>417</v>
      </c>
      <c r="F5776">
        <f>HYPERLINK("https://www.wikidata.org/wiki/Q33755832", "Q33755832")</f>
        <v>0</v>
      </c>
      <c r="G5776" t="s">
        <v>2614</v>
      </c>
      <c r="H5776" t="s">
        <v>7163</v>
      </c>
      <c r="I5776" t="s">
        <v>10315</v>
      </c>
      <c r="J5776" t="s">
        <v>13257</v>
      </c>
      <c r="K5776" t="s">
        <v>17659</v>
      </c>
      <c r="L5776">
        <f>HYPERLINK("https://www2.assemblee-nationale.fr/sycomore/fiche/(num_dept)/4281", "4281")</f>
        <v>0</v>
      </c>
      <c r="N5776">
        <f>HYPERLINK("https://www.wikidata.org/wiki/Q25318", "Q25318")</f>
        <v>0</v>
      </c>
      <c r="O5776" t="s">
        <v>19969</v>
      </c>
      <c r="P5776" t="s">
        <v>20401</v>
      </c>
      <c r="Q5776" t="s">
        <v>20739</v>
      </c>
      <c r="R5776" t="s">
        <v>417</v>
      </c>
      <c r="S5776">
        <v>1469</v>
      </c>
    </row>
    <row r="5777" spans="1:19">
      <c r="A5777" t="s">
        <v>27</v>
      </c>
      <c r="B5777" t="s">
        <v>148</v>
      </c>
      <c r="C5777" t="s">
        <v>159</v>
      </c>
      <c r="D5777" t="s">
        <v>288</v>
      </c>
      <c r="E5777" t="s">
        <v>417</v>
      </c>
      <c r="F5777">
        <f>HYPERLINK("https://www.wikidata.org/wiki/Q33755832", "Q33755832")</f>
        <v>0</v>
      </c>
      <c r="G5777" t="s">
        <v>984</v>
      </c>
      <c r="H5777" t="s">
        <v>5736</v>
      </c>
      <c r="I5777" t="s">
        <v>9606</v>
      </c>
      <c r="J5777" t="s">
        <v>11722</v>
      </c>
      <c r="K5777" t="s">
        <v>16126</v>
      </c>
      <c r="L5777">
        <f>HYPERLINK("https://www2.assemblee-nationale.fr/sycomore/fiche/(num_dept)/4328", "4328")</f>
        <v>0</v>
      </c>
      <c r="N5777">
        <f>HYPERLINK("https://www.wikidata.org/wiki/Q645606", "Q645606")</f>
        <v>0</v>
      </c>
      <c r="O5777" t="s">
        <v>19969</v>
      </c>
      <c r="Q5777" t="s">
        <v>20739</v>
      </c>
      <c r="R5777" t="s">
        <v>21536</v>
      </c>
      <c r="S5777">
        <v>561</v>
      </c>
    </row>
    <row r="5778" spans="1:19">
      <c r="A5778" t="s">
        <v>27</v>
      </c>
      <c r="B5778" t="s">
        <v>148</v>
      </c>
      <c r="C5778" t="s">
        <v>159</v>
      </c>
      <c r="D5778" t="s">
        <v>288</v>
      </c>
      <c r="E5778" t="s">
        <v>417</v>
      </c>
      <c r="F5778">
        <f>HYPERLINK("https://www.wikidata.org/wiki/Q33755832", "Q33755832")</f>
        <v>0</v>
      </c>
      <c r="G5778" t="s">
        <v>3572</v>
      </c>
      <c r="H5778" t="s">
        <v>7924</v>
      </c>
      <c r="I5778" t="s">
        <v>9474</v>
      </c>
      <c r="J5778" t="s">
        <v>14161</v>
      </c>
      <c r="K5778" t="s">
        <v>18528</v>
      </c>
      <c r="L5778">
        <f>HYPERLINK("https://www2.assemblee-nationale.fr/sycomore/fiche/(num_dept)/4335", "4335")</f>
        <v>0</v>
      </c>
      <c r="N5778">
        <f>HYPERLINK("https://www.wikidata.org/wiki/Q3164202", "Q3164202")</f>
        <v>0</v>
      </c>
      <c r="O5778" t="s">
        <v>20025</v>
      </c>
      <c r="Q5778" t="s">
        <v>20739</v>
      </c>
      <c r="R5778" t="s">
        <v>417</v>
      </c>
      <c r="S5778">
        <v>1469</v>
      </c>
    </row>
    <row r="5779" spans="1:19">
      <c r="A5779" t="s">
        <v>27</v>
      </c>
      <c r="B5779" t="s">
        <v>148</v>
      </c>
      <c r="C5779" t="s">
        <v>159</v>
      </c>
      <c r="D5779" t="s">
        <v>288</v>
      </c>
      <c r="E5779" t="s">
        <v>417</v>
      </c>
      <c r="F5779">
        <f>HYPERLINK("https://www.wikidata.org/wiki/Q33755832", "Q33755832")</f>
        <v>0</v>
      </c>
      <c r="G5779" t="s">
        <v>3261</v>
      </c>
      <c r="H5779" t="s">
        <v>7679</v>
      </c>
      <c r="I5779" t="s">
        <v>9601</v>
      </c>
      <c r="J5779" t="s">
        <v>13877</v>
      </c>
      <c r="K5779" t="s">
        <v>18249</v>
      </c>
      <c r="L5779">
        <f>HYPERLINK("https://www2.assemblee-nationale.fr/sycomore/fiche/(num_dept)/4400", "4400")</f>
        <v>0</v>
      </c>
      <c r="N5779">
        <f>HYPERLINK("https://www.wikidata.org/wiki/Q3081536", "Q3081536")</f>
        <v>0</v>
      </c>
      <c r="O5779" t="s">
        <v>19969</v>
      </c>
      <c r="Q5779" t="s">
        <v>20739</v>
      </c>
      <c r="R5779" t="s">
        <v>21537</v>
      </c>
      <c r="S5779">
        <v>72</v>
      </c>
    </row>
    <row r="5780" spans="1:19">
      <c r="A5780" t="s">
        <v>27</v>
      </c>
      <c r="B5780" t="s">
        <v>148</v>
      </c>
      <c r="C5780" t="s">
        <v>159</v>
      </c>
      <c r="D5780" t="s">
        <v>288</v>
      </c>
      <c r="E5780" t="s">
        <v>417</v>
      </c>
      <c r="F5780">
        <f>HYPERLINK("https://www.wikidata.org/wiki/Q33755832", "Q33755832")</f>
        <v>0</v>
      </c>
      <c r="G5780" t="s">
        <v>3573</v>
      </c>
      <c r="H5780" t="s">
        <v>7925</v>
      </c>
      <c r="I5780" t="s">
        <v>9458</v>
      </c>
      <c r="J5780" t="s">
        <v>13643</v>
      </c>
      <c r="K5780" t="s">
        <v>18529</v>
      </c>
      <c r="L5780">
        <f>HYPERLINK("https://www2.assemblee-nationale.fr/sycomore/fiche/(num_dept)/4805", "4805")</f>
        <v>0</v>
      </c>
      <c r="N5780">
        <f>HYPERLINK("https://www.wikidata.org/wiki/Q2835279", "Q2835279")</f>
        <v>0</v>
      </c>
      <c r="O5780" t="s">
        <v>19958</v>
      </c>
      <c r="Q5780" t="s">
        <v>20739</v>
      </c>
      <c r="R5780" t="s">
        <v>417</v>
      </c>
      <c r="S5780">
        <v>1469</v>
      </c>
    </row>
    <row r="5781" spans="1:19">
      <c r="A5781" t="s">
        <v>27</v>
      </c>
      <c r="B5781" t="s">
        <v>148</v>
      </c>
      <c r="C5781" t="s">
        <v>159</v>
      </c>
      <c r="D5781" t="s">
        <v>288</v>
      </c>
      <c r="E5781" t="s">
        <v>417</v>
      </c>
      <c r="F5781">
        <f>HYPERLINK("https://www.wikidata.org/wiki/Q33755832", "Q33755832")</f>
        <v>0</v>
      </c>
      <c r="G5781" t="s">
        <v>3574</v>
      </c>
      <c r="H5781" t="s">
        <v>7926</v>
      </c>
      <c r="I5781" t="s">
        <v>9603</v>
      </c>
      <c r="J5781" t="s">
        <v>13505</v>
      </c>
      <c r="K5781" t="s">
        <v>18530</v>
      </c>
      <c r="L5781">
        <f>HYPERLINK("https://www2.assemblee-nationale.fr/sycomore/fiche/(num_dept)/4809", "4809")</f>
        <v>0</v>
      </c>
      <c r="N5781">
        <f>HYPERLINK("https://www.wikidata.org/wiki/Q2960624", "Q2960624")</f>
        <v>0</v>
      </c>
      <c r="O5781" t="s">
        <v>19998</v>
      </c>
      <c r="Q5781" t="s">
        <v>20739</v>
      </c>
      <c r="R5781" t="s">
        <v>417</v>
      </c>
      <c r="S5781">
        <v>1469</v>
      </c>
    </row>
    <row r="5782" spans="1:19">
      <c r="A5782" t="s">
        <v>27</v>
      </c>
      <c r="B5782" t="s">
        <v>148</v>
      </c>
      <c r="C5782" t="s">
        <v>159</v>
      </c>
      <c r="D5782" t="s">
        <v>288</v>
      </c>
      <c r="E5782" t="s">
        <v>417</v>
      </c>
      <c r="F5782">
        <f>HYPERLINK("https://www.wikidata.org/wiki/Q33755832", "Q33755832")</f>
        <v>0</v>
      </c>
      <c r="G5782" t="s">
        <v>3575</v>
      </c>
      <c r="H5782" t="s">
        <v>7927</v>
      </c>
      <c r="I5782" t="s">
        <v>9458</v>
      </c>
      <c r="J5782" t="s">
        <v>14162</v>
      </c>
      <c r="K5782" t="s">
        <v>18531</v>
      </c>
      <c r="L5782">
        <f>HYPERLINK("https://www2.assemblee-nationale.fr/sycomore/fiche/(num_dept)/4867", "4867")</f>
        <v>0</v>
      </c>
      <c r="M5782">
        <f>HYPERLINK("https://www.senat.fr/senateur-3eme-republique/macherez_alfred0029r3.html", "macherez_alfred0029r3")</f>
        <v>0</v>
      </c>
      <c r="N5782">
        <f>HYPERLINK("https://www.wikidata.org/wiki/Q2835290", "Q2835290")</f>
        <v>0</v>
      </c>
      <c r="O5782" t="s">
        <v>20015</v>
      </c>
      <c r="Q5782" t="s">
        <v>20739</v>
      </c>
      <c r="R5782" t="s">
        <v>417</v>
      </c>
      <c r="S5782">
        <v>1469</v>
      </c>
    </row>
    <row r="5783" spans="1:19">
      <c r="A5783" t="s">
        <v>27</v>
      </c>
      <c r="B5783" t="s">
        <v>148</v>
      </c>
      <c r="C5783" t="s">
        <v>159</v>
      </c>
      <c r="D5783" t="s">
        <v>288</v>
      </c>
      <c r="E5783" t="s">
        <v>417</v>
      </c>
      <c r="F5783">
        <f>HYPERLINK("https://www.wikidata.org/wiki/Q33755832", "Q33755832")</f>
        <v>0</v>
      </c>
      <c r="G5783" t="s">
        <v>3262</v>
      </c>
      <c r="H5783" t="s">
        <v>7680</v>
      </c>
      <c r="I5783" t="s">
        <v>10737</v>
      </c>
      <c r="J5783" t="s">
        <v>13878</v>
      </c>
      <c r="K5783" t="s">
        <v>18250</v>
      </c>
      <c r="L5783">
        <f>HYPERLINK("https://www2.assemblee-nationale.fr/sycomore/fiche/(num_dept)/4889", "4889")</f>
        <v>0</v>
      </c>
      <c r="M5783">
        <f>HYPERLINK("https://www.senat.fr/senateur-3eme-republique/magnien_gabriel1229r3.html", "magnien_gabriel1229r3")</f>
        <v>0</v>
      </c>
      <c r="N5783">
        <f>HYPERLINK("https://www.wikidata.org/wiki/Q3093845", "Q3093845")</f>
        <v>0</v>
      </c>
      <c r="O5783" t="s">
        <v>19994</v>
      </c>
      <c r="Q5783" t="s">
        <v>20739</v>
      </c>
      <c r="R5783" t="s">
        <v>417</v>
      </c>
      <c r="S5783">
        <v>1469</v>
      </c>
    </row>
    <row r="5784" spans="1:19">
      <c r="A5784" t="s">
        <v>27</v>
      </c>
      <c r="B5784" t="s">
        <v>148</v>
      </c>
      <c r="C5784" t="s">
        <v>159</v>
      </c>
      <c r="D5784" t="s">
        <v>288</v>
      </c>
      <c r="E5784" t="s">
        <v>417</v>
      </c>
      <c r="F5784">
        <f>HYPERLINK("https://www.wikidata.org/wiki/Q33755832", "Q33755832")</f>
        <v>0</v>
      </c>
      <c r="G5784" t="s">
        <v>2625</v>
      </c>
      <c r="H5784" t="s">
        <v>7172</v>
      </c>
      <c r="I5784" t="s">
        <v>10321</v>
      </c>
      <c r="J5784" t="s">
        <v>13268</v>
      </c>
      <c r="K5784" t="s">
        <v>17669</v>
      </c>
      <c r="L5784">
        <f>HYPERLINK("https://www2.assemblee-nationale.fr/sycomore/fiche/(num_dept)/5011", "5011")</f>
        <v>0</v>
      </c>
      <c r="N5784">
        <f>HYPERLINK("https://www.wikidata.org/wiki/Q3386146", "Q3386146")</f>
        <v>0</v>
      </c>
      <c r="O5784" t="s">
        <v>19969</v>
      </c>
      <c r="Q5784" t="s">
        <v>20739</v>
      </c>
      <c r="R5784" t="s">
        <v>417</v>
      </c>
      <c r="S5784">
        <v>1469</v>
      </c>
    </row>
    <row r="5785" spans="1:19">
      <c r="A5785" t="s">
        <v>27</v>
      </c>
      <c r="B5785" t="s">
        <v>148</v>
      </c>
      <c r="C5785" t="s">
        <v>159</v>
      </c>
      <c r="D5785" t="s">
        <v>288</v>
      </c>
      <c r="E5785" t="s">
        <v>417</v>
      </c>
      <c r="F5785">
        <f>HYPERLINK("https://www.wikidata.org/wiki/Q33755832", "Q33755832")</f>
        <v>0</v>
      </c>
      <c r="G5785" t="s">
        <v>3576</v>
      </c>
      <c r="H5785" t="s">
        <v>6501</v>
      </c>
      <c r="I5785" t="s">
        <v>10886</v>
      </c>
      <c r="J5785" t="s">
        <v>14163</v>
      </c>
      <c r="K5785" t="s">
        <v>18532</v>
      </c>
      <c r="L5785">
        <f>HYPERLINK("https://www2.assemblee-nationale.fr/sycomore/fiche/(num_dept)/5044", "5044")</f>
        <v>0</v>
      </c>
      <c r="N5785">
        <f>HYPERLINK("https://www.wikidata.org/wiki/Q13085254", "Q13085254")</f>
        <v>0</v>
      </c>
      <c r="O5785" t="s">
        <v>19969</v>
      </c>
      <c r="Q5785" t="s">
        <v>20739</v>
      </c>
      <c r="R5785" t="s">
        <v>417</v>
      </c>
      <c r="S5785">
        <v>1469</v>
      </c>
    </row>
    <row r="5786" spans="1:19">
      <c r="A5786" t="s">
        <v>27</v>
      </c>
      <c r="B5786" t="s">
        <v>148</v>
      </c>
      <c r="C5786" t="s">
        <v>159</v>
      </c>
      <c r="D5786" t="s">
        <v>288</v>
      </c>
      <c r="E5786" t="s">
        <v>417</v>
      </c>
      <c r="F5786">
        <f>HYPERLINK("https://www.wikidata.org/wiki/Q33755832", "Q33755832")</f>
        <v>0</v>
      </c>
      <c r="G5786" t="s">
        <v>3577</v>
      </c>
      <c r="H5786" t="s">
        <v>7928</v>
      </c>
      <c r="I5786" t="s">
        <v>10887</v>
      </c>
      <c r="J5786" t="s">
        <v>14164</v>
      </c>
      <c r="K5786" t="s">
        <v>18533</v>
      </c>
      <c r="L5786">
        <f>HYPERLINK("https://www2.assemblee-nationale.fr/sycomore/fiche/(num_dept)/5051", "5051")</f>
        <v>0</v>
      </c>
      <c r="N5786">
        <f>HYPERLINK("https://www.wikidata.org/wiki/Q664948", "Q664948")</f>
        <v>0</v>
      </c>
      <c r="O5786" t="s">
        <v>19969</v>
      </c>
      <c r="Q5786" t="s">
        <v>20739</v>
      </c>
      <c r="R5786" t="s">
        <v>417</v>
      </c>
      <c r="S5786">
        <v>1469</v>
      </c>
    </row>
    <row r="5787" spans="1:19">
      <c r="A5787" t="s">
        <v>27</v>
      </c>
      <c r="B5787" t="s">
        <v>148</v>
      </c>
      <c r="C5787" t="s">
        <v>159</v>
      </c>
      <c r="D5787" t="s">
        <v>288</v>
      </c>
      <c r="E5787" t="s">
        <v>417</v>
      </c>
      <c r="F5787">
        <f>HYPERLINK("https://www.wikidata.org/wiki/Q33755832", "Q33755832")</f>
        <v>0</v>
      </c>
      <c r="G5787" t="s">
        <v>3263</v>
      </c>
      <c r="H5787" t="s">
        <v>6502</v>
      </c>
      <c r="I5787" t="s">
        <v>9401</v>
      </c>
      <c r="J5787" t="s">
        <v>13879</v>
      </c>
      <c r="K5787" t="s">
        <v>18251</v>
      </c>
      <c r="L5787">
        <f>HYPERLINK("https://www2.assemblee-nationale.fr/sycomore/fiche/(num_dept)/5058", "5058")</f>
        <v>0</v>
      </c>
      <c r="N5787">
        <f>HYPERLINK("https://www.wikidata.org/wiki/Q3173440", "Q3173440")</f>
        <v>0</v>
      </c>
      <c r="O5787" t="s">
        <v>19960</v>
      </c>
      <c r="P5787" t="s">
        <v>20486</v>
      </c>
      <c r="Q5787" t="s">
        <v>20739</v>
      </c>
      <c r="R5787" t="s">
        <v>417</v>
      </c>
      <c r="S5787">
        <v>1469</v>
      </c>
    </row>
    <row r="5788" spans="1:19">
      <c r="A5788" t="s">
        <v>27</v>
      </c>
      <c r="B5788" t="s">
        <v>148</v>
      </c>
      <c r="C5788" t="s">
        <v>159</v>
      </c>
      <c r="D5788" t="s">
        <v>288</v>
      </c>
      <c r="E5788" t="s">
        <v>417</v>
      </c>
      <c r="F5788">
        <f>HYPERLINK("https://www.wikidata.org/wiki/Q33755832", "Q33755832")</f>
        <v>0</v>
      </c>
      <c r="G5788" t="s">
        <v>3264</v>
      </c>
      <c r="H5788" t="s">
        <v>7416</v>
      </c>
      <c r="I5788" t="s">
        <v>9457</v>
      </c>
      <c r="J5788" t="s">
        <v>13880</v>
      </c>
      <c r="K5788" t="s">
        <v>18252</v>
      </c>
      <c r="L5788">
        <f>HYPERLINK("https://www2.assemblee-nationale.fr/sycomore/fiche/(num_dept)/5094", "5094")</f>
        <v>0</v>
      </c>
      <c r="N5788">
        <f>HYPERLINK("https://www.wikidata.org/wiki/Q13080888", "Q13080888")</f>
        <v>0</v>
      </c>
      <c r="O5788" t="s">
        <v>19969</v>
      </c>
      <c r="P5788" t="s">
        <v>20477</v>
      </c>
      <c r="Q5788" t="s">
        <v>20739</v>
      </c>
      <c r="R5788" t="s">
        <v>417</v>
      </c>
      <c r="S5788">
        <v>1469</v>
      </c>
    </row>
    <row r="5789" spans="1:19">
      <c r="A5789" t="s">
        <v>27</v>
      </c>
      <c r="B5789" t="s">
        <v>148</v>
      </c>
      <c r="C5789" t="s">
        <v>159</v>
      </c>
      <c r="D5789" t="s">
        <v>288</v>
      </c>
      <c r="E5789" t="s">
        <v>417</v>
      </c>
      <c r="F5789">
        <f>HYPERLINK("https://www.wikidata.org/wiki/Q33755832", "Q33755832")</f>
        <v>0</v>
      </c>
      <c r="G5789" t="s">
        <v>3578</v>
      </c>
      <c r="H5789" t="s">
        <v>7929</v>
      </c>
      <c r="I5789" t="s">
        <v>9534</v>
      </c>
      <c r="J5789" t="s">
        <v>14165</v>
      </c>
      <c r="K5789" t="s">
        <v>18534</v>
      </c>
      <c r="L5789">
        <f>HYPERLINK("https://www2.assemblee-nationale.fr/sycomore/fiche/(num_dept)/5116", "5116")</f>
        <v>0</v>
      </c>
      <c r="M5789">
        <f>HYPERLINK("https://www.senat.fr/senateur-3eme-republique/maujan_adolphe1560r3.html", "maujan_adolphe1560r3")</f>
        <v>0</v>
      </c>
      <c r="N5789">
        <f>HYPERLINK("https://www.wikidata.org/wiki/Q2824874", "Q2824874")</f>
        <v>0</v>
      </c>
      <c r="O5789" t="s">
        <v>19969</v>
      </c>
      <c r="Q5789" t="s">
        <v>20739</v>
      </c>
      <c r="R5789" t="s">
        <v>417</v>
      </c>
      <c r="S5789">
        <v>1469</v>
      </c>
    </row>
    <row r="5790" spans="1:19">
      <c r="A5790" t="s">
        <v>27</v>
      </c>
      <c r="B5790" t="s">
        <v>148</v>
      </c>
      <c r="C5790" t="s">
        <v>159</v>
      </c>
      <c r="D5790" t="s">
        <v>288</v>
      </c>
      <c r="E5790" t="s">
        <v>417</v>
      </c>
      <c r="F5790">
        <f>HYPERLINK("https://www.wikidata.org/wiki/Q33755832", "Q33755832")</f>
        <v>0</v>
      </c>
      <c r="G5790" t="s">
        <v>3579</v>
      </c>
      <c r="H5790" t="s">
        <v>6938</v>
      </c>
      <c r="I5790" t="s">
        <v>6200</v>
      </c>
      <c r="J5790" t="s">
        <v>14166</v>
      </c>
      <c r="K5790" t="s">
        <v>18535</v>
      </c>
      <c r="L5790">
        <f>HYPERLINK("https://www2.assemblee-nationale.fr/sycomore/fiche/(num_dept)/5159", "5159")</f>
        <v>0</v>
      </c>
      <c r="N5790">
        <f>HYPERLINK("https://www.wikidata.org/wiki/Q16026081", "Q16026081")</f>
        <v>0</v>
      </c>
      <c r="O5790" t="s">
        <v>20005</v>
      </c>
      <c r="Q5790" t="s">
        <v>20739</v>
      </c>
      <c r="R5790" t="s">
        <v>417</v>
      </c>
      <c r="S5790">
        <v>1469</v>
      </c>
    </row>
    <row r="5791" spans="1:19">
      <c r="A5791" t="s">
        <v>27</v>
      </c>
      <c r="B5791" t="s">
        <v>148</v>
      </c>
      <c r="C5791" t="s">
        <v>159</v>
      </c>
      <c r="D5791" t="s">
        <v>288</v>
      </c>
      <c r="E5791" t="s">
        <v>417</v>
      </c>
      <c r="F5791">
        <f>HYPERLINK("https://www.wikidata.org/wiki/Q33755832", "Q33755832")</f>
        <v>0</v>
      </c>
      <c r="G5791" t="s">
        <v>3580</v>
      </c>
      <c r="H5791" t="s">
        <v>7930</v>
      </c>
      <c r="I5791" t="s">
        <v>6860</v>
      </c>
      <c r="J5791" t="s">
        <v>14167</v>
      </c>
      <c r="K5791" t="s">
        <v>18536</v>
      </c>
      <c r="L5791">
        <f>HYPERLINK("https://www2.assemblee-nationale.fr/sycomore/fiche/(num_dept)/5209", "5209")</f>
        <v>0</v>
      </c>
      <c r="N5791">
        <f>HYPERLINK("https://www.wikidata.org/wiki/Q3386255", "Q3386255")</f>
        <v>0</v>
      </c>
      <c r="O5791" t="s">
        <v>20034</v>
      </c>
      <c r="Q5791" t="s">
        <v>20739</v>
      </c>
      <c r="R5791" t="s">
        <v>417</v>
      </c>
      <c r="S5791">
        <v>1469</v>
      </c>
    </row>
    <row r="5792" spans="1:19">
      <c r="A5792" t="s">
        <v>27</v>
      </c>
      <c r="B5792" t="s">
        <v>148</v>
      </c>
      <c r="C5792" t="s">
        <v>159</v>
      </c>
      <c r="D5792" t="s">
        <v>288</v>
      </c>
      <c r="E5792" t="s">
        <v>417</v>
      </c>
      <c r="F5792">
        <f>HYPERLINK("https://www.wikidata.org/wiki/Q33755832", "Q33755832")</f>
        <v>0</v>
      </c>
      <c r="G5792" t="s">
        <v>3365</v>
      </c>
      <c r="H5792" t="s">
        <v>7762</v>
      </c>
      <c r="I5792" t="s">
        <v>9421</v>
      </c>
      <c r="J5792" t="s">
        <v>13977</v>
      </c>
      <c r="K5792" t="s">
        <v>18345</v>
      </c>
      <c r="L5792">
        <f>HYPERLINK("https://www2.assemblee-nationale.fr/sycomore/fiche/(num_dept)/5223", "5223")</f>
        <v>0</v>
      </c>
      <c r="N5792">
        <f>HYPERLINK("https://www.wikidata.org/wiki/Q3121269", "Q3121269")</f>
        <v>0</v>
      </c>
      <c r="O5792" t="s">
        <v>19969</v>
      </c>
      <c r="P5792" t="s">
        <v>20477</v>
      </c>
      <c r="Q5792" t="s">
        <v>20739</v>
      </c>
      <c r="R5792" t="s">
        <v>417</v>
      </c>
      <c r="S5792">
        <v>1469</v>
      </c>
    </row>
    <row r="5793" spans="1:19">
      <c r="A5793" t="s">
        <v>27</v>
      </c>
      <c r="B5793" t="s">
        <v>148</v>
      </c>
      <c r="C5793" t="s">
        <v>159</v>
      </c>
      <c r="D5793" t="s">
        <v>288</v>
      </c>
      <c r="E5793" t="s">
        <v>417</v>
      </c>
      <c r="F5793">
        <f>HYPERLINK("https://www.wikidata.org/wiki/Q33755832", "Q33755832")</f>
        <v>0</v>
      </c>
      <c r="G5793" t="s">
        <v>2633</v>
      </c>
      <c r="H5793" t="s">
        <v>7178</v>
      </c>
      <c r="I5793" t="s">
        <v>10327</v>
      </c>
      <c r="J5793" t="s">
        <v>13275</v>
      </c>
      <c r="K5793" t="s">
        <v>17677</v>
      </c>
      <c r="L5793">
        <f>HYPERLINK("https://www2.assemblee-nationale.fr/sycomore/fiche/(num_dept)/5269", "5269")</f>
        <v>0</v>
      </c>
      <c r="N5793">
        <f>HYPERLINK("https://www.wikidata.org/wiki/Q2941052", "Q2941052")</f>
        <v>0</v>
      </c>
      <c r="O5793" t="s">
        <v>8449</v>
      </c>
      <c r="Q5793" t="s">
        <v>20739</v>
      </c>
      <c r="R5793" t="s">
        <v>417</v>
      </c>
      <c r="S5793">
        <v>1469</v>
      </c>
    </row>
    <row r="5794" spans="1:19">
      <c r="A5794" t="s">
        <v>27</v>
      </c>
      <c r="B5794" t="s">
        <v>148</v>
      </c>
      <c r="C5794" t="s">
        <v>159</v>
      </c>
      <c r="D5794" t="s">
        <v>288</v>
      </c>
      <c r="E5794" t="s">
        <v>417</v>
      </c>
      <c r="F5794">
        <f>HYPERLINK("https://www.wikidata.org/wiki/Q33755832", "Q33755832")</f>
        <v>0</v>
      </c>
      <c r="G5794" t="s">
        <v>1005</v>
      </c>
      <c r="H5794" t="s">
        <v>5756</v>
      </c>
      <c r="I5794" t="s">
        <v>9553</v>
      </c>
      <c r="J5794" t="s">
        <v>11742</v>
      </c>
      <c r="K5794" t="s">
        <v>16146</v>
      </c>
      <c r="L5794">
        <f>HYPERLINK("https://www2.assemblee-nationale.fr/sycomore/fiche/(num_dept)/5284", "5284")</f>
        <v>0</v>
      </c>
      <c r="M5794">
        <f>HYPERLINK("https://www.senat.fr/senateur-3eme-republique/millerand_alexandre0910r3.html", "millerand_alexandre0910r3")</f>
        <v>0</v>
      </c>
      <c r="N5794">
        <f>HYPERLINK("https://www.wikidata.org/wiki/Q274540", "Q274540")</f>
        <v>0</v>
      </c>
      <c r="O5794" t="s">
        <v>19969</v>
      </c>
      <c r="Q5794" t="s">
        <v>20739</v>
      </c>
      <c r="R5794" t="s">
        <v>417</v>
      </c>
      <c r="S5794">
        <v>1469</v>
      </c>
    </row>
    <row r="5795" spans="1:19">
      <c r="A5795" t="s">
        <v>27</v>
      </c>
      <c r="B5795" t="s">
        <v>148</v>
      </c>
      <c r="C5795" t="s">
        <v>159</v>
      </c>
      <c r="D5795" t="s">
        <v>288</v>
      </c>
      <c r="E5795" t="s">
        <v>417</v>
      </c>
      <c r="F5795">
        <f>HYPERLINK("https://www.wikidata.org/wiki/Q33755832", "Q33755832")</f>
        <v>0</v>
      </c>
      <c r="G5795" t="s">
        <v>2634</v>
      </c>
      <c r="H5795" t="s">
        <v>7179</v>
      </c>
      <c r="I5795" t="s">
        <v>10328</v>
      </c>
      <c r="J5795" t="s">
        <v>13276</v>
      </c>
      <c r="K5795" t="s">
        <v>17678</v>
      </c>
      <c r="L5795">
        <f>HYPERLINK("https://www2.assemblee-nationale.fr/sycomore/fiche/(num_dept)/5302", "5302")</f>
        <v>0</v>
      </c>
      <c r="M5795">
        <f>HYPERLINK("https://www.senat.fr/senateur-3eme-republique/mir_eugene0269r3.html", "mir_eugene0269r3")</f>
        <v>0</v>
      </c>
      <c r="N5795">
        <f>HYPERLINK("https://www.wikidata.org/wiki/Q3060037", "Q3060037")</f>
        <v>0</v>
      </c>
      <c r="O5795" t="s">
        <v>19960</v>
      </c>
      <c r="Q5795" t="s">
        <v>20739</v>
      </c>
      <c r="R5795" t="s">
        <v>417</v>
      </c>
      <c r="S5795">
        <v>1469</v>
      </c>
    </row>
    <row r="5796" spans="1:19">
      <c r="A5796" t="s">
        <v>27</v>
      </c>
      <c r="B5796" t="s">
        <v>148</v>
      </c>
      <c r="C5796" t="s">
        <v>159</v>
      </c>
      <c r="D5796" t="s">
        <v>288</v>
      </c>
      <c r="E5796" t="s">
        <v>417</v>
      </c>
      <c r="F5796">
        <f>HYPERLINK("https://www.wikidata.org/wiki/Q33755832", "Q33755832")</f>
        <v>0</v>
      </c>
      <c r="G5796" t="s">
        <v>3581</v>
      </c>
      <c r="H5796" t="s">
        <v>7931</v>
      </c>
      <c r="I5796" t="s">
        <v>6495</v>
      </c>
      <c r="J5796" t="s">
        <v>14168</v>
      </c>
      <c r="K5796" t="s">
        <v>18537</v>
      </c>
      <c r="L5796">
        <f>HYPERLINK("https://www2.assemblee-nationale.fr/sycomore/fiche/(num_dept)/5384", "5384")</f>
        <v>0</v>
      </c>
      <c r="M5796">
        <f>HYPERLINK("https://www.senat.fr/senateur-3eme-republique/de_montfort_louis1574r3.html", "de_montfort_louis1574r3")</f>
        <v>0</v>
      </c>
      <c r="N5796">
        <f>HYPERLINK("https://www.wikidata.org/wiki/Q3263531", "Q3263531")</f>
        <v>0</v>
      </c>
      <c r="O5796" t="s">
        <v>19978</v>
      </c>
      <c r="P5796" t="s">
        <v>20487</v>
      </c>
      <c r="Q5796" t="s">
        <v>20739</v>
      </c>
      <c r="R5796" t="s">
        <v>417</v>
      </c>
      <c r="S5796">
        <v>1469</v>
      </c>
    </row>
    <row r="5797" spans="1:19">
      <c r="A5797" t="s">
        <v>27</v>
      </c>
      <c r="B5797" t="s">
        <v>148</v>
      </c>
      <c r="C5797" t="s">
        <v>159</v>
      </c>
      <c r="D5797" t="s">
        <v>288</v>
      </c>
      <c r="E5797" t="s">
        <v>417</v>
      </c>
      <c r="F5797">
        <f>HYPERLINK("https://www.wikidata.org/wiki/Q33755832", "Q33755832")</f>
        <v>0</v>
      </c>
      <c r="G5797" t="s">
        <v>3271</v>
      </c>
      <c r="H5797" t="s">
        <v>7686</v>
      </c>
      <c r="I5797" t="s">
        <v>9388</v>
      </c>
      <c r="J5797" t="s">
        <v>13885</v>
      </c>
      <c r="K5797" t="s">
        <v>18059</v>
      </c>
      <c r="L5797">
        <f>HYPERLINK("https://www2.assemblee-nationale.fr/sycomore/fiche/(num_dept)/5481", "5481")</f>
        <v>0</v>
      </c>
      <c r="N5797">
        <f>HYPERLINK("https://www.wikidata.org/wiki/Q16026171", "Q16026171")</f>
        <v>0</v>
      </c>
      <c r="O5797" t="s">
        <v>19955</v>
      </c>
      <c r="P5797" t="s">
        <v>20460</v>
      </c>
      <c r="Q5797" t="s">
        <v>20739</v>
      </c>
      <c r="R5797" t="s">
        <v>21538</v>
      </c>
      <c r="S5797">
        <v>62</v>
      </c>
    </row>
    <row r="5798" spans="1:19">
      <c r="A5798" t="s">
        <v>27</v>
      </c>
      <c r="B5798" t="s">
        <v>148</v>
      </c>
      <c r="C5798" t="s">
        <v>159</v>
      </c>
      <c r="D5798" t="s">
        <v>288</v>
      </c>
      <c r="E5798" t="s">
        <v>417</v>
      </c>
      <c r="F5798">
        <f>HYPERLINK("https://www.wikidata.org/wiki/Q33755832", "Q33755832")</f>
        <v>0</v>
      </c>
      <c r="G5798" t="s">
        <v>2636</v>
      </c>
      <c r="H5798" t="s">
        <v>7181</v>
      </c>
      <c r="I5798" t="s">
        <v>10329</v>
      </c>
      <c r="J5798" t="s">
        <v>13278</v>
      </c>
      <c r="K5798" t="s">
        <v>17680</v>
      </c>
      <c r="L5798">
        <f>HYPERLINK("https://www2.assemblee-nationale.fr/sycomore/fiche/(num_dept)/5506", "5506")</f>
        <v>0</v>
      </c>
      <c r="M5798">
        <f>HYPERLINK("https://www.senat.fr/senateur-3eme-republique/naquet_alfred1708r3.html", "naquet_alfred1708r3")</f>
        <v>0</v>
      </c>
      <c r="N5798">
        <f>HYPERLINK("https://www.wikidata.org/wiki/Q2340682", "Q2340682")</f>
        <v>0</v>
      </c>
      <c r="O5798" t="s">
        <v>19969</v>
      </c>
      <c r="Q5798" t="s">
        <v>20739</v>
      </c>
      <c r="R5798" t="s">
        <v>21539</v>
      </c>
      <c r="S5798">
        <v>71</v>
      </c>
    </row>
    <row r="5799" spans="1:19">
      <c r="A5799" t="s">
        <v>27</v>
      </c>
      <c r="B5799" t="s">
        <v>148</v>
      </c>
      <c r="C5799" t="s">
        <v>159</v>
      </c>
      <c r="D5799" t="s">
        <v>288</v>
      </c>
      <c r="E5799" t="s">
        <v>417</v>
      </c>
      <c r="F5799">
        <f>HYPERLINK("https://www.wikidata.org/wiki/Q33755832", "Q33755832")</f>
        <v>0</v>
      </c>
      <c r="G5799" t="s">
        <v>2638</v>
      </c>
      <c r="H5799" t="s">
        <v>7183</v>
      </c>
      <c r="I5799" t="s">
        <v>10330</v>
      </c>
      <c r="J5799" t="s">
        <v>13280</v>
      </c>
      <c r="K5799" t="s">
        <v>17682</v>
      </c>
      <c r="L5799">
        <f>HYPERLINK("https://www2.assemblee-nationale.fr/sycomore/fiche/(num_dept)/5568", "5568")</f>
        <v>0</v>
      </c>
      <c r="N5799">
        <f>HYPERLINK("https://www.wikidata.org/wiki/Q4346129", "Q4346129")</f>
        <v>0</v>
      </c>
      <c r="O5799" t="s">
        <v>19971</v>
      </c>
      <c r="P5799" t="s">
        <v>20412</v>
      </c>
      <c r="Q5799" t="s">
        <v>20739</v>
      </c>
      <c r="R5799" t="s">
        <v>417</v>
      </c>
      <c r="S5799">
        <v>1469</v>
      </c>
    </row>
    <row r="5800" spans="1:19">
      <c r="A5800" t="s">
        <v>27</v>
      </c>
      <c r="B5800" t="s">
        <v>148</v>
      </c>
      <c r="C5800" t="s">
        <v>159</v>
      </c>
      <c r="D5800" t="s">
        <v>288</v>
      </c>
      <c r="E5800" t="s">
        <v>417</v>
      </c>
      <c r="F5800">
        <f>HYPERLINK("https://www.wikidata.org/wiki/Q33755832", "Q33755832")</f>
        <v>0</v>
      </c>
      <c r="G5800" t="s">
        <v>3582</v>
      </c>
      <c r="H5800" t="s">
        <v>6255</v>
      </c>
      <c r="I5800" t="s">
        <v>6585</v>
      </c>
      <c r="J5800" t="s">
        <v>14169</v>
      </c>
      <c r="K5800" t="s">
        <v>18538</v>
      </c>
      <c r="L5800">
        <f>HYPERLINK("https://www2.assemblee-nationale.fr/sycomore/fiche/(num_dept)/5638", "5638")</f>
        <v>0</v>
      </c>
      <c r="N5800">
        <f>HYPERLINK("https://www.wikidata.org/wiki/Q27899334", "Q27899334")</f>
        <v>0</v>
      </c>
      <c r="O5800" t="s">
        <v>20026</v>
      </c>
      <c r="P5800" t="s">
        <v>20479</v>
      </c>
      <c r="Q5800" t="s">
        <v>20739</v>
      </c>
      <c r="R5800" t="s">
        <v>417</v>
      </c>
      <c r="S5800">
        <v>1469</v>
      </c>
    </row>
    <row r="5801" spans="1:19">
      <c r="A5801" t="s">
        <v>27</v>
      </c>
      <c r="B5801" t="s">
        <v>148</v>
      </c>
      <c r="C5801" t="s">
        <v>159</v>
      </c>
      <c r="D5801" t="s">
        <v>288</v>
      </c>
      <c r="E5801" t="s">
        <v>417</v>
      </c>
      <c r="F5801">
        <f>HYPERLINK("https://www.wikidata.org/wiki/Q33755832", "Q33755832")</f>
        <v>0</v>
      </c>
      <c r="G5801" t="s">
        <v>3583</v>
      </c>
      <c r="H5801" t="s">
        <v>7932</v>
      </c>
      <c r="I5801" t="s">
        <v>6584</v>
      </c>
      <c r="J5801" t="s">
        <v>14170</v>
      </c>
      <c r="K5801" t="s">
        <v>18539</v>
      </c>
      <c r="L5801">
        <f>HYPERLINK("https://www2.assemblee-nationale.fr/sycomore/fiche/(num_dept)/5670", "5670")</f>
        <v>0</v>
      </c>
      <c r="N5801">
        <f>HYPERLINK("https://www.wikidata.org/wiki/Q16026255", "Q16026255")</f>
        <v>0</v>
      </c>
      <c r="O5801" t="s">
        <v>20007</v>
      </c>
      <c r="P5801" t="s">
        <v>20409</v>
      </c>
      <c r="Q5801" t="s">
        <v>20739</v>
      </c>
      <c r="R5801" t="s">
        <v>417</v>
      </c>
      <c r="S5801">
        <v>1469</v>
      </c>
    </row>
    <row r="5802" spans="1:19">
      <c r="A5802" t="s">
        <v>27</v>
      </c>
      <c r="B5802" t="s">
        <v>148</v>
      </c>
      <c r="C5802" t="s">
        <v>159</v>
      </c>
      <c r="D5802" t="s">
        <v>288</v>
      </c>
      <c r="E5802" t="s">
        <v>417</v>
      </c>
      <c r="F5802">
        <f>HYPERLINK("https://www.wikidata.org/wiki/Q33755832", "Q33755832")</f>
        <v>0</v>
      </c>
      <c r="G5802" t="s">
        <v>3584</v>
      </c>
      <c r="H5802" t="s">
        <v>7933</v>
      </c>
      <c r="I5802" t="s">
        <v>10888</v>
      </c>
      <c r="J5802" t="s">
        <v>14171</v>
      </c>
      <c r="K5802" t="s">
        <v>18540</v>
      </c>
      <c r="L5802">
        <f>HYPERLINK("https://www2.assemblee-nationale.fr/sycomore/fiche/(num_dept)/5728", "5728")</f>
        <v>0</v>
      </c>
      <c r="N5802">
        <f>HYPERLINK("https://www.wikidata.org/wiki/Q3372672", "Q3372672")</f>
        <v>0</v>
      </c>
      <c r="O5802" t="s">
        <v>19969</v>
      </c>
      <c r="Q5802" t="s">
        <v>20739</v>
      </c>
      <c r="R5802" t="s">
        <v>417</v>
      </c>
      <c r="S5802">
        <v>1469</v>
      </c>
    </row>
    <row r="5803" spans="1:19">
      <c r="A5803" t="s">
        <v>27</v>
      </c>
      <c r="B5803" t="s">
        <v>148</v>
      </c>
      <c r="C5803" t="s">
        <v>159</v>
      </c>
      <c r="D5803" t="s">
        <v>288</v>
      </c>
      <c r="E5803" t="s">
        <v>417</v>
      </c>
      <c r="F5803">
        <f>HYPERLINK("https://www.wikidata.org/wiki/Q33755832", "Q33755832")</f>
        <v>0</v>
      </c>
      <c r="G5803" t="s">
        <v>754</v>
      </c>
      <c r="H5803" t="s">
        <v>5512</v>
      </c>
      <c r="I5803" t="s">
        <v>9506</v>
      </c>
      <c r="J5803" t="s">
        <v>11502</v>
      </c>
      <c r="K5803" t="s">
        <v>15905</v>
      </c>
      <c r="L5803">
        <f>HYPERLINK("https://www2.assemblee-nationale.fr/sycomore/fiche/(num_dept)/5764", "5764")</f>
        <v>0</v>
      </c>
      <c r="M5803">
        <f>HYPERLINK("https://www.senat.fr/senateur-3eme-republique/pelletan_camille0312r3.html", "pelletan_camille0312r3")</f>
        <v>0</v>
      </c>
      <c r="N5803">
        <f>HYPERLINK("https://www.wikidata.org/wiki/Q2862434", "Q2862434")</f>
        <v>0</v>
      </c>
      <c r="O5803" t="s">
        <v>19990</v>
      </c>
      <c r="P5803" t="s">
        <v>20401</v>
      </c>
      <c r="Q5803" t="s">
        <v>20739</v>
      </c>
      <c r="R5803" t="s">
        <v>417</v>
      </c>
      <c r="S5803">
        <v>1469</v>
      </c>
    </row>
    <row r="5804" spans="1:19">
      <c r="A5804" t="s">
        <v>27</v>
      </c>
      <c r="B5804" t="s">
        <v>148</v>
      </c>
      <c r="C5804" t="s">
        <v>159</v>
      </c>
      <c r="D5804" t="s">
        <v>288</v>
      </c>
      <c r="E5804" t="s">
        <v>417</v>
      </c>
      <c r="F5804">
        <f>HYPERLINK("https://www.wikidata.org/wiki/Q33755832", "Q33755832")</f>
        <v>0</v>
      </c>
      <c r="G5804" t="s">
        <v>3276</v>
      </c>
      <c r="H5804" t="s">
        <v>7691</v>
      </c>
      <c r="I5804" t="s">
        <v>10740</v>
      </c>
      <c r="J5804" t="s">
        <v>13890</v>
      </c>
      <c r="K5804" t="s">
        <v>18262</v>
      </c>
      <c r="L5804">
        <f>HYPERLINK("https://www2.assemblee-nationale.fr/sycomore/fiche/(num_dept)/5905", "5905")</f>
        <v>0</v>
      </c>
      <c r="M5804">
        <f>HYPERLINK("https://www.senat.fr/senateur-3eme-republique/pichon_stephen0429r3.html", "pichon_stephen0429r3")</f>
        <v>0</v>
      </c>
      <c r="N5804">
        <f>HYPERLINK("https://www.wikidata.org/wiki/Q1069292", "Q1069292")</f>
        <v>0</v>
      </c>
      <c r="O5804" t="s">
        <v>19969</v>
      </c>
      <c r="P5804" t="s">
        <v>20477</v>
      </c>
      <c r="Q5804" t="s">
        <v>20739</v>
      </c>
      <c r="R5804" t="s">
        <v>417</v>
      </c>
      <c r="S5804">
        <v>1469</v>
      </c>
    </row>
    <row r="5805" spans="1:19">
      <c r="A5805" t="s">
        <v>27</v>
      </c>
      <c r="B5805" t="s">
        <v>148</v>
      </c>
      <c r="C5805" t="s">
        <v>159</v>
      </c>
      <c r="D5805" t="s">
        <v>288</v>
      </c>
      <c r="E5805" t="s">
        <v>417</v>
      </c>
      <c r="F5805">
        <f>HYPERLINK("https://www.wikidata.org/wiki/Q33755832", "Q33755832")</f>
        <v>0</v>
      </c>
      <c r="G5805" t="s">
        <v>761</v>
      </c>
      <c r="H5805" t="s">
        <v>5519</v>
      </c>
      <c r="I5805" t="s">
        <v>9513</v>
      </c>
      <c r="J5805" t="s">
        <v>11509</v>
      </c>
      <c r="K5805" t="s">
        <v>15912</v>
      </c>
      <c r="L5805">
        <f>HYPERLINK("https://www2.assemblee-nationale.fr/sycomore/fiche/(num_dept)/5956", "5956")</f>
        <v>0</v>
      </c>
      <c r="N5805">
        <f>HYPERLINK("https://www.wikidata.org/wiki/Q3159775", "Q3159775")</f>
        <v>0</v>
      </c>
      <c r="O5805" t="s">
        <v>20016</v>
      </c>
      <c r="P5805" t="s">
        <v>20470</v>
      </c>
      <c r="Q5805" t="s">
        <v>20739</v>
      </c>
      <c r="R5805" t="s">
        <v>417</v>
      </c>
      <c r="S5805">
        <v>1469</v>
      </c>
    </row>
    <row r="5806" spans="1:19">
      <c r="A5806" t="s">
        <v>27</v>
      </c>
      <c r="B5806" t="s">
        <v>148</v>
      </c>
      <c r="C5806" t="s">
        <v>159</v>
      </c>
      <c r="D5806" t="s">
        <v>288</v>
      </c>
      <c r="E5806" t="s">
        <v>417</v>
      </c>
      <c r="F5806">
        <f>HYPERLINK("https://www.wikidata.org/wiki/Q33755832", "Q33755832")</f>
        <v>0</v>
      </c>
      <c r="G5806" t="s">
        <v>1029</v>
      </c>
      <c r="H5806" t="s">
        <v>5525</v>
      </c>
      <c r="I5806" t="s">
        <v>9627</v>
      </c>
      <c r="J5806" t="s">
        <v>11766</v>
      </c>
      <c r="K5806" t="s">
        <v>16167</v>
      </c>
      <c r="L5806">
        <f>HYPERLINK("https://www2.assemblee-nationale.fr/sycomore/fiche/(num_dept)/6029", "6029")</f>
        <v>0</v>
      </c>
      <c r="N5806">
        <f>HYPERLINK("https://www.wikidata.org/wiki/Q3057161", "Q3057161")</f>
        <v>0</v>
      </c>
      <c r="O5806" t="s">
        <v>19969</v>
      </c>
      <c r="Q5806" t="s">
        <v>20739</v>
      </c>
      <c r="R5806" t="s">
        <v>417</v>
      </c>
      <c r="S5806">
        <v>1469</v>
      </c>
    </row>
    <row r="5807" spans="1:19">
      <c r="A5807" t="s">
        <v>27</v>
      </c>
      <c r="B5807" t="s">
        <v>148</v>
      </c>
      <c r="C5807" t="s">
        <v>159</v>
      </c>
      <c r="D5807" t="s">
        <v>288</v>
      </c>
      <c r="E5807" t="s">
        <v>417</v>
      </c>
      <c r="F5807">
        <f>HYPERLINK("https://www.wikidata.org/wiki/Q33755832", "Q33755832")</f>
        <v>0</v>
      </c>
      <c r="G5807" t="s">
        <v>3585</v>
      </c>
      <c r="H5807" t="s">
        <v>6610</v>
      </c>
      <c r="I5807" t="s">
        <v>10889</v>
      </c>
      <c r="J5807" t="s">
        <v>14172</v>
      </c>
      <c r="K5807" t="s">
        <v>18541</v>
      </c>
      <c r="L5807">
        <f>HYPERLINK("https://www2.assemblee-nationale.fr/sycomore/fiche/(num_dept)/6059", "6059")</f>
        <v>0</v>
      </c>
      <c r="N5807">
        <f>HYPERLINK("https://www.wikidata.org/wiki/Q16026441", "Q16026441")</f>
        <v>0</v>
      </c>
      <c r="O5807" t="s">
        <v>20001</v>
      </c>
      <c r="Q5807" t="s">
        <v>20739</v>
      </c>
      <c r="R5807" t="s">
        <v>417</v>
      </c>
      <c r="S5807">
        <v>1469</v>
      </c>
    </row>
    <row r="5808" spans="1:19">
      <c r="A5808" t="s">
        <v>27</v>
      </c>
      <c r="B5808" t="s">
        <v>148</v>
      </c>
      <c r="C5808" t="s">
        <v>159</v>
      </c>
      <c r="D5808" t="s">
        <v>288</v>
      </c>
      <c r="E5808" t="s">
        <v>417</v>
      </c>
      <c r="F5808">
        <f>HYPERLINK("https://www.wikidata.org/wiki/Q33755832", "Q33755832")</f>
        <v>0</v>
      </c>
      <c r="G5808" t="s">
        <v>3586</v>
      </c>
      <c r="H5808" t="s">
        <v>7934</v>
      </c>
      <c r="I5808" t="s">
        <v>10890</v>
      </c>
      <c r="J5808" t="s">
        <v>14173</v>
      </c>
      <c r="K5808" t="s">
        <v>16795</v>
      </c>
      <c r="L5808">
        <f>HYPERLINK("https://www2.assemblee-nationale.fr/sycomore/fiche/(num_dept)/6135", "6135")</f>
        <v>0</v>
      </c>
      <c r="N5808">
        <f>HYPERLINK("https://www.wikidata.org/wiki/Q2960153", "Q2960153")</f>
        <v>0</v>
      </c>
      <c r="O5808" t="s">
        <v>20042</v>
      </c>
      <c r="P5808" t="s">
        <v>20477</v>
      </c>
      <c r="Q5808" t="s">
        <v>20739</v>
      </c>
      <c r="R5808" t="s">
        <v>417</v>
      </c>
      <c r="S5808">
        <v>1469</v>
      </c>
    </row>
    <row r="5809" spans="1:19">
      <c r="A5809" t="s">
        <v>27</v>
      </c>
      <c r="B5809" t="s">
        <v>148</v>
      </c>
      <c r="C5809" t="s">
        <v>159</v>
      </c>
      <c r="D5809" t="s">
        <v>288</v>
      </c>
      <c r="E5809" t="s">
        <v>417</v>
      </c>
      <c r="F5809">
        <f>HYPERLINK("https://www.wikidata.org/wiki/Q33755832", "Q33755832")</f>
        <v>0</v>
      </c>
      <c r="G5809" t="s">
        <v>3587</v>
      </c>
      <c r="H5809" t="s">
        <v>7935</v>
      </c>
      <c r="I5809" t="s">
        <v>10891</v>
      </c>
      <c r="J5809" t="s">
        <v>14174</v>
      </c>
      <c r="K5809" t="s">
        <v>16012</v>
      </c>
      <c r="L5809">
        <f>HYPERLINK("https://www2.assemblee-nationale.fr/sycomore/fiche/(num_dept)/6164", "6164")</f>
        <v>0</v>
      </c>
      <c r="N5809">
        <f>HYPERLINK("https://www.wikidata.org/wiki/Q1711666", "Q1711666")</f>
        <v>0</v>
      </c>
      <c r="O5809" t="s">
        <v>19990</v>
      </c>
      <c r="Q5809" t="s">
        <v>20739</v>
      </c>
      <c r="R5809" t="s">
        <v>417</v>
      </c>
      <c r="S5809">
        <v>1469</v>
      </c>
    </row>
    <row r="5810" spans="1:19">
      <c r="A5810" t="s">
        <v>27</v>
      </c>
      <c r="B5810" t="s">
        <v>148</v>
      </c>
      <c r="C5810" t="s">
        <v>159</v>
      </c>
      <c r="D5810" t="s">
        <v>288</v>
      </c>
      <c r="E5810" t="s">
        <v>417</v>
      </c>
      <c r="F5810">
        <f>HYPERLINK("https://www.wikidata.org/wiki/Q33755832", "Q33755832")</f>
        <v>0</v>
      </c>
      <c r="G5810" t="s">
        <v>3588</v>
      </c>
      <c r="H5810" t="s">
        <v>7193</v>
      </c>
      <c r="I5810" t="s">
        <v>10584</v>
      </c>
      <c r="J5810" t="s">
        <v>14175</v>
      </c>
      <c r="K5810" t="s">
        <v>18542</v>
      </c>
      <c r="L5810">
        <f>HYPERLINK("https://www2.assemblee-nationale.fr/sycomore/fiche/(num_dept)/6177", "6177")</f>
        <v>0</v>
      </c>
      <c r="N5810">
        <f>HYPERLINK("https://www.wikidata.org/wiki/Q16026459", "Q16026459")</f>
        <v>0</v>
      </c>
      <c r="O5810" t="s">
        <v>8449</v>
      </c>
      <c r="Q5810" t="s">
        <v>20739</v>
      </c>
      <c r="R5810" t="s">
        <v>417</v>
      </c>
      <c r="S5810">
        <v>1469</v>
      </c>
    </row>
    <row r="5811" spans="1:19">
      <c r="A5811" t="s">
        <v>27</v>
      </c>
      <c r="B5811" t="s">
        <v>148</v>
      </c>
      <c r="C5811" t="s">
        <v>159</v>
      </c>
      <c r="D5811" t="s">
        <v>288</v>
      </c>
      <c r="E5811" t="s">
        <v>417</v>
      </c>
      <c r="F5811">
        <f>HYPERLINK("https://www.wikidata.org/wiki/Q33755832", "Q33755832")</f>
        <v>0</v>
      </c>
      <c r="G5811" t="s">
        <v>2657</v>
      </c>
      <c r="H5811" t="s">
        <v>7197</v>
      </c>
      <c r="I5811" t="s">
        <v>10344</v>
      </c>
      <c r="J5811" t="s">
        <v>11632</v>
      </c>
      <c r="K5811" t="s">
        <v>17698</v>
      </c>
      <c r="L5811">
        <f>HYPERLINK("https://www2.assemblee-nationale.fr/sycomore/fiche/(num_dept)/6230", "6230")</f>
        <v>0</v>
      </c>
      <c r="M5811">
        <f>HYPERLINK("https://www.senat.fr/senateur-3eme-republique/saint_romme_mathias1205r3.html", "saint_romme_mathias1205r3")</f>
        <v>0</v>
      </c>
      <c r="N5811">
        <f>HYPERLINK("https://www.wikidata.org/wiki/Q3298594", "Q3298594")</f>
        <v>0</v>
      </c>
      <c r="O5811" t="s">
        <v>20006</v>
      </c>
      <c r="P5811" t="s">
        <v>20459</v>
      </c>
      <c r="Q5811" t="s">
        <v>20739</v>
      </c>
      <c r="R5811" t="s">
        <v>417</v>
      </c>
      <c r="S5811">
        <v>1469</v>
      </c>
    </row>
    <row r="5812" spans="1:19">
      <c r="A5812" t="s">
        <v>27</v>
      </c>
      <c r="B5812" t="s">
        <v>148</v>
      </c>
      <c r="C5812" t="s">
        <v>159</v>
      </c>
      <c r="D5812" t="s">
        <v>288</v>
      </c>
      <c r="E5812" t="s">
        <v>417</v>
      </c>
      <c r="F5812">
        <f>HYPERLINK("https://www.wikidata.org/wiki/Q33755832", "Q33755832")</f>
        <v>0</v>
      </c>
      <c r="G5812" t="s">
        <v>2658</v>
      </c>
      <c r="H5812" t="s">
        <v>7198</v>
      </c>
      <c r="I5812" t="s">
        <v>10345</v>
      </c>
      <c r="J5812" t="s">
        <v>13299</v>
      </c>
      <c r="K5812" t="s">
        <v>17699</v>
      </c>
      <c r="L5812">
        <f>HYPERLINK("https://www2.assemblee-nationale.fr/sycomore/fiche/(num_dept)/6250", "6250")</f>
        <v>0</v>
      </c>
      <c r="N5812">
        <f>HYPERLINK("https://www.wikidata.org/wiki/Q16026472", "Q16026472")</f>
        <v>0</v>
      </c>
      <c r="O5812" t="s">
        <v>7411</v>
      </c>
      <c r="P5812" t="s">
        <v>20401</v>
      </c>
      <c r="Q5812" t="s">
        <v>20739</v>
      </c>
      <c r="R5812" t="s">
        <v>417</v>
      </c>
      <c r="S5812">
        <v>1469</v>
      </c>
    </row>
    <row r="5813" spans="1:19">
      <c r="A5813" t="s">
        <v>27</v>
      </c>
      <c r="B5813" t="s">
        <v>148</v>
      </c>
      <c r="C5813" t="s">
        <v>159</v>
      </c>
      <c r="D5813" t="s">
        <v>288</v>
      </c>
      <c r="E5813" t="s">
        <v>417</v>
      </c>
      <c r="F5813">
        <f>HYPERLINK("https://www.wikidata.org/wiki/Q33755832", "Q33755832")</f>
        <v>0</v>
      </c>
      <c r="G5813" t="s">
        <v>3589</v>
      </c>
      <c r="H5813" t="s">
        <v>7936</v>
      </c>
      <c r="I5813" t="s">
        <v>10892</v>
      </c>
      <c r="J5813" t="s">
        <v>14176</v>
      </c>
      <c r="K5813" t="s">
        <v>15940</v>
      </c>
      <c r="L5813">
        <f>HYPERLINK("https://www2.assemblee-nationale.fr/sycomore/fiche/(num_dept)/6308", "6308")</f>
        <v>0</v>
      </c>
      <c r="N5813">
        <f>HYPERLINK("https://www.wikidata.org/wiki/Q3260918", "Q3260918")</f>
        <v>0</v>
      </c>
      <c r="O5813" t="s">
        <v>20008</v>
      </c>
      <c r="Q5813" t="s">
        <v>20739</v>
      </c>
      <c r="R5813" t="s">
        <v>417</v>
      </c>
      <c r="S5813">
        <v>1469</v>
      </c>
    </row>
    <row r="5814" spans="1:19">
      <c r="A5814" t="s">
        <v>27</v>
      </c>
      <c r="B5814" t="s">
        <v>148</v>
      </c>
      <c r="C5814" t="s">
        <v>159</v>
      </c>
      <c r="D5814" t="s">
        <v>288</v>
      </c>
      <c r="E5814" t="s">
        <v>417</v>
      </c>
      <c r="F5814">
        <f>HYPERLINK("https://www.wikidata.org/wiki/Q33755832", "Q33755832")</f>
        <v>0</v>
      </c>
      <c r="G5814" t="s">
        <v>3590</v>
      </c>
      <c r="H5814" t="s">
        <v>7937</v>
      </c>
      <c r="I5814" t="s">
        <v>10893</v>
      </c>
      <c r="J5814" t="s">
        <v>14177</v>
      </c>
      <c r="K5814" t="s">
        <v>18543</v>
      </c>
      <c r="L5814">
        <f>HYPERLINK("https://www2.assemblee-nationale.fr/sycomore/fiche/(num_dept)/6426", "6426")</f>
        <v>0</v>
      </c>
      <c r="N5814">
        <f>HYPERLINK("https://www.wikidata.org/wiki/Q16026355", "Q16026355")</f>
        <v>0</v>
      </c>
      <c r="O5814" t="s">
        <v>20021</v>
      </c>
      <c r="Q5814" t="s">
        <v>20739</v>
      </c>
      <c r="R5814" t="s">
        <v>417</v>
      </c>
      <c r="S5814">
        <v>1469</v>
      </c>
    </row>
    <row r="5815" spans="1:19">
      <c r="A5815" t="s">
        <v>27</v>
      </c>
      <c r="B5815" t="s">
        <v>148</v>
      </c>
      <c r="C5815" t="s">
        <v>159</v>
      </c>
      <c r="D5815" t="s">
        <v>288</v>
      </c>
      <c r="E5815" t="s">
        <v>417</v>
      </c>
      <c r="F5815">
        <f>HYPERLINK("https://www.wikidata.org/wiki/Q33755832", "Q33755832")</f>
        <v>0</v>
      </c>
      <c r="G5815" t="s">
        <v>3591</v>
      </c>
      <c r="H5815" t="s">
        <v>7938</v>
      </c>
      <c r="I5815" t="s">
        <v>10894</v>
      </c>
      <c r="J5815" t="s">
        <v>14178</v>
      </c>
      <c r="L5815">
        <f>HYPERLINK("https://www2.assemblee-nationale.fr/sycomore/fiche/(num_dept)/6438", "6438")</f>
        <v>0</v>
      </c>
      <c r="N5815">
        <f>HYPERLINK("https://www.wikidata.org/wiki/Q8325957", "Q8325957")</f>
        <v>0</v>
      </c>
      <c r="O5815" t="s">
        <v>20039</v>
      </c>
      <c r="Q5815" t="s">
        <v>20739</v>
      </c>
      <c r="R5815" t="s">
        <v>417</v>
      </c>
      <c r="S5815">
        <v>1469</v>
      </c>
    </row>
    <row r="5816" spans="1:19">
      <c r="A5816" t="s">
        <v>27</v>
      </c>
      <c r="B5816" t="s">
        <v>148</v>
      </c>
      <c r="C5816" t="s">
        <v>159</v>
      </c>
      <c r="D5816" t="s">
        <v>288</v>
      </c>
      <c r="E5816" t="s">
        <v>417</v>
      </c>
      <c r="F5816">
        <f>HYPERLINK("https://www.wikidata.org/wiki/Q33755832", "Q33755832")</f>
        <v>0</v>
      </c>
      <c r="G5816" t="s">
        <v>3592</v>
      </c>
      <c r="H5816" t="s">
        <v>7939</v>
      </c>
      <c r="I5816" t="s">
        <v>10895</v>
      </c>
      <c r="J5816" t="s">
        <v>14179</v>
      </c>
      <c r="K5816" t="s">
        <v>18544</v>
      </c>
      <c r="L5816">
        <f>HYPERLINK("https://www2.assemblee-nationale.fr/sycomore/fiche/(num_dept)/6450", "6450")</f>
        <v>0</v>
      </c>
      <c r="N5816">
        <f>HYPERLINK("https://www.wikidata.org/wiki/Q16026358", "Q16026358")</f>
        <v>0</v>
      </c>
      <c r="O5816" t="s">
        <v>19962</v>
      </c>
      <c r="Q5816" t="s">
        <v>20739</v>
      </c>
      <c r="R5816" t="s">
        <v>417</v>
      </c>
      <c r="S5816">
        <v>1469</v>
      </c>
    </row>
    <row r="5817" spans="1:19">
      <c r="A5817" t="s">
        <v>27</v>
      </c>
      <c r="B5817" t="s">
        <v>148</v>
      </c>
      <c r="C5817" t="s">
        <v>159</v>
      </c>
      <c r="D5817" t="s">
        <v>288</v>
      </c>
      <c r="E5817" t="s">
        <v>417</v>
      </c>
      <c r="F5817">
        <f>HYPERLINK("https://www.wikidata.org/wiki/Q33755832", "Q33755832")</f>
        <v>0</v>
      </c>
      <c r="G5817" t="s">
        <v>1039</v>
      </c>
      <c r="H5817" t="s">
        <v>5788</v>
      </c>
      <c r="I5817" t="s">
        <v>9634</v>
      </c>
      <c r="J5817" t="s">
        <v>11776</v>
      </c>
      <c r="K5817" t="s">
        <v>16177</v>
      </c>
      <c r="L5817">
        <f>HYPERLINK("https://www2.assemblee-nationale.fr/sycomore/fiche/(num_dept)/6457", "6457")</f>
        <v>0</v>
      </c>
      <c r="N5817">
        <f>HYPERLINK("https://www.wikidata.org/wiki/Q3184280", "Q3184280")</f>
        <v>0</v>
      </c>
      <c r="O5817" t="s">
        <v>20047</v>
      </c>
      <c r="Q5817" t="s">
        <v>20739</v>
      </c>
      <c r="R5817" t="s">
        <v>417</v>
      </c>
      <c r="S5817">
        <v>1469</v>
      </c>
    </row>
    <row r="5818" spans="1:19">
      <c r="A5818" t="s">
        <v>27</v>
      </c>
      <c r="B5818" t="s">
        <v>148</v>
      </c>
      <c r="C5818" t="s">
        <v>159</v>
      </c>
      <c r="D5818" t="s">
        <v>288</v>
      </c>
      <c r="E5818" t="s">
        <v>417</v>
      </c>
      <c r="F5818">
        <f>HYPERLINK("https://www.wikidata.org/wiki/Q33755832", "Q33755832")</f>
        <v>0</v>
      </c>
      <c r="G5818" t="s">
        <v>3593</v>
      </c>
      <c r="H5818" t="s">
        <v>7940</v>
      </c>
      <c r="I5818" t="s">
        <v>10896</v>
      </c>
      <c r="J5818" t="s">
        <v>14180</v>
      </c>
      <c r="K5818" t="s">
        <v>18545</v>
      </c>
      <c r="L5818">
        <f>HYPERLINK("https://www2.assemblee-nationale.fr/sycomore/fiche/(num_dept)/6490", "6490")</f>
        <v>0</v>
      </c>
      <c r="N5818">
        <f>HYPERLINK("https://www.wikidata.org/wiki/Q16026368", "Q16026368")</f>
        <v>0</v>
      </c>
      <c r="O5818" t="s">
        <v>19965</v>
      </c>
      <c r="Q5818" t="s">
        <v>20739</v>
      </c>
      <c r="R5818" t="s">
        <v>417</v>
      </c>
      <c r="S5818">
        <v>1469</v>
      </c>
    </row>
    <row r="5819" spans="1:19">
      <c r="A5819" t="s">
        <v>27</v>
      </c>
      <c r="B5819" t="s">
        <v>148</v>
      </c>
      <c r="C5819" t="s">
        <v>159</v>
      </c>
      <c r="D5819" t="s">
        <v>288</v>
      </c>
      <c r="E5819" t="s">
        <v>417</v>
      </c>
      <c r="F5819">
        <f>HYPERLINK("https://www.wikidata.org/wiki/Q33755832", "Q33755832")</f>
        <v>0</v>
      </c>
      <c r="G5819" t="s">
        <v>2664</v>
      </c>
      <c r="H5819" t="s">
        <v>6024</v>
      </c>
      <c r="I5819" t="s">
        <v>10017</v>
      </c>
      <c r="J5819" t="s">
        <v>13305</v>
      </c>
      <c r="K5819" t="s">
        <v>17705</v>
      </c>
      <c r="L5819">
        <f>HYPERLINK("https://www2.assemblee-nationale.fr/sycomore/fiche/(num_dept)/6516", "6516")</f>
        <v>0</v>
      </c>
      <c r="N5819">
        <f>HYPERLINK("https://www.wikidata.org/wiki/Q598992", "Q598992")</f>
        <v>0</v>
      </c>
      <c r="O5819" t="s">
        <v>20021</v>
      </c>
      <c r="P5819" t="s">
        <v>20459</v>
      </c>
      <c r="Q5819" t="s">
        <v>20739</v>
      </c>
      <c r="R5819" t="s">
        <v>417</v>
      </c>
      <c r="S5819">
        <v>1469</v>
      </c>
    </row>
    <row r="5820" spans="1:19">
      <c r="A5820" t="s">
        <v>27</v>
      </c>
      <c r="B5820" t="s">
        <v>148</v>
      </c>
      <c r="C5820" t="s">
        <v>159</v>
      </c>
      <c r="D5820" t="s">
        <v>288</v>
      </c>
      <c r="E5820" t="s">
        <v>417</v>
      </c>
      <c r="F5820">
        <f>HYPERLINK("https://www.wikidata.org/wiki/Q33755832", "Q33755832")</f>
        <v>0</v>
      </c>
      <c r="G5820" t="s">
        <v>796</v>
      </c>
      <c r="H5820" t="s">
        <v>5553</v>
      </c>
      <c r="I5820" t="s">
        <v>9527</v>
      </c>
      <c r="J5820" t="s">
        <v>11543</v>
      </c>
      <c r="K5820" t="s">
        <v>15947</v>
      </c>
      <c r="L5820">
        <f>HYPERLINK("https://www2.assemblee-nationale.fr/sycomore/fiche/(num_dept)/6567", "6567")</f>
        <v>0</v>
      </c>
      <c r="M5820">
        <f>HYPERLINK("https://www.senat.fr/senateur-3eme-republique/rabier_fernand0501r3.html", "rabier_fernand0501r3")</f>
        <v>0</v>
      </c>
      <c r="N5820">
        <f>HYPERLINK("https://www.wikidata.org/wiki/Q3069308", "Q3069308")</f>
        <v>0</v>
      </c>
      <c r="O5820" t="s">
        <v>19958</v>
      </c>
      <c r="Q5820" t="s">
        <v>20739</v>
      </c>
      <c r="R5820" t="s">
        <v>417</v>
      </c>
      <c r="S5820">
        <v>1469</v>
      </c>
    </row>
    <row r="5821" spans="1:19">
      <c r="A5821" t="s">
        <v>27</v>
      </c>
      <c r="B5821" t="s">
        <v>148</v>
      </c>
      <c r="C5821" t="s">
        <v>159</v>
      </c>
      <c r="D5821" t="s">
        <v>288</v>
      </c>
      <c r="E5821" t="s">
        <v>417</v>
      </c>
      <c r="F5821">
        <f>HYPERLINK("https://www.wikidata.org/wiki/Q33755832", "Q33755832")</f>
        <v>0</v>
      </c>
      <c r="G5821" t="s">
        <v>3594</v>
      </c>
      <c r="H5821" t="s">
        <v>7941</v>
      </c>
      <c r="I5821" t="s">
        <v>10897</v>
      </c>
      <c r="J5821" t="s">
        <v>13493</v>
      </c>
      <c r="K5821" t="s">
        <v>18546</v>
      </c>
      <c r="L5821">
        <f>HYPERLINK("https://www2.assemblee-nationale.fr/sycomore/fiche/(num_dept)/6590", "6590")</f>
        <v>0</v>
      </c>
      <c r="M5821">
        <f>HYPERLINK("https://www.senat.fr/senateur-3eme-republique/rambourgt_eugene0229r3.html", "rambourgt_eugene0229r3")</f>
        <v>0</v>
      </c>
      <c r="N5821">
        <f>HYPERLINK("https://www.wikidata.org/wiki/Q3060124", "Q3060124")</f>
        <v>0</v>
      </c>
      <c r="O5821" t="s">
        <v>8449</v>
      </c>
      <c r="Q5821" t="s">
        <v>20739</v>
      </c>
      <c r="R5821" t="s">
        <v>417</v>
      </c>
      <c r="S5821">
        <v>1469</v>
      </c>
    </row>
    <row r="5822" spans="1:19">
      <c r="A5822" t="s">
        <v>27</v>
      </c>
      <c r="B5822" t="s">
        <v>148</v>
      </c>
      <c r="C5822" t="s">
        <v>159</v>
      </c>
      <c r="D5822" t="s">
        <v>288</v>
      </c>
      <c r="E5822" t="s">
        <v>417</v>
      </c>
      <c r="F5822">
        <f>HYPERLINK("https://www.wikidata.org/wiki/Q33755832", "Q33755832")</f>
        <v>0</v>
      </c>
      <c r="G5822" t="s">
        <v>3283</v>
      </c>
      <c r="H5822" t="s">
        <v>7266</v>
      </c>
      <c r="I5822" t="s">
        <v>10746</v>
      </c>
      <c r="J5822" t="s">
        <v>13897</v>
      </c>
      <c r="K5822" t="s">
        <v>18269</v>
      </c>
      <c r="L5822">
        <f>HYPERLINK("https://www2.assemblee-nationale.fr/sycomore/fiche/(num_dept)/6605", "6605")</f>
        <v>0</v>
      </c>
      <c r="N5822">
        <f>HYPERLINK("https://www.wikidata.org/wiki/Q2935048", "Q2935048")</f>
        <v>0</v>
      </c>
      <c r="O5822" t="s">
        <v>20042</v>
      </c>
      <c r="P5822" t="s">
        <v>20477</v>
      </c>
      <c r="Q5822" t="s">
        <v>20739</v>
      </c>
      <c r="R5822" t="s">
        <v>18269</v>
      </c>
      <c r="S5822">
        <v>1328</v>
      </c>
    </row>
    <row r="5823" spans="1:19">
      <c r="A5823" t="s">
        <v>27</v>
      </c>
      <c r="B5823" t="s">
        <v>148</v>
      </c>
      <c r="C5823" t="s">
        <v>159</v>
      </c>
      <c r="D5823" t="s">
        <v>288</v>
      </c>
      <c r="E5823" t="s">
        <v>417</v>
      </c>
      <c r="F5823">
        <f>HYPERLINK("https://www.wikidata.org/wiki/Q33755832", "Q33755832")</f>
        <v>0</v>
      </c>
      <c r="G5823" t="s">
        <v>3595</v>
      </c>
      <c r="H5823" t="s">
        <v>7421</v>
      </c>
      <c r="I5823" t="s">
        <v>6200</v>
      </c>
      <c r="J5823" t="s">
        <v>14181</v>
      </c>
      <c r="K5823" t="s">
        <v>18547</v>
      </c>
      <c r="L5823">
        <f>HYPERLINK("https://www2.assemblee-nationale.fr/sycomore/fiche/(num_dept)/6609", "6609")</f>
        <v>0</v>
      </c>
      <c r="N5823">
        <f>HYPERLINK("https://www.wikidata.org/wiki/Q16026393", "Q16026393")</f>
        <v>0</v>
      </c>
      <c r="O5823" t="s">
        <v>20034</v>
      </c>
      <c r="P5823" t="s">
        <v>20471</v>
      </c>
      <c r="Q5823" t="s">
        <v>20739</v>
      </c>
      <c r="R5823" t="s">
        <v>417</v>
      </c>
      <c r="S5823">
        <v>1469</v>
      </c>
    </row>
    <row r="5824" spans="1:19">
      <c r="A5824" t="s">
        <v>27</v>
      </c>
      <c r="B5824" t="s">
        <v>148</v>
      </c>
      <c r="C5824" t="s">
        <v>159</v>
      </c>
      <c r="D5824" t="s">
        <v>288</v>
      </c>
      <c r="E5824" t="s">
        <v>417</v>
      </c>
      <c r="F5824">
        <f>HYPERLINK("https://www.wikidata.org/wiki/Q33755832", "Q33755832")</f>
        <v>0</v>
      </c>
      <c r="G5824" t="s">
        <v>3596</v>
      </c>
      <c r="H5824" t="s">
        <v>7942</v>
      </c>
      <c r="I5824" t="s">
        <v>10898</v>
      </c>
      <c r="J5824" t="s">
        <v>14182</v>
      </c>
      <c r="K5824" t="s">
        <v>18548</v>
      </c>
      <c r="L5824">
        <f>HYPERLINK("https://www2.assemblee-nationale.fr/sycomore/fiche/(num_dept)/6639", "6639")</f>
        <v>0</v>
      </c>
      <c r="N5824">
        <f>HYPERLINK("https://www.wikidata.org/wiki/Q28467651", "Q28467651")</f>
        <v>0</v>
      </c>
      <c r="O5824" t="s">
        <v>20028</v>
      </c>
      <c r="Q5824" t="s">
        <v>20739</v>
      </c>
      <c r="R5824" t="s">
        <v>21540</v>
      </c>
      <c r="S5824">
        <v>1334</v>
      </c>
    </row>
    <row r="5825" spans="1:19">
      <c r="A5825" t="s">
        <v>27</v>
      </c>
      <c r="B5825" t="s">
        <v>148</v>
      </c>
      <c r="C5825" t="s">
        <v>159</v>
      </c>
      <c r="D5825" t="s">
        <v>288</v>
      </c>
      <c r="E5825" t="s">
        <v>417</v>
      </c>
      <c r="F5825">
        <f>HYPERLINK("https://www.wikidata.org/wiki/Q33755832", "Q33755832")</f>
        <v>0</v>
      </c>
      <c r="G5825" t="s">
        <v>3166</v>
      </c>
      <c r="H5825" t="s">
        <v>5796</v>
      </c>
      <c r="I5825" t="s">
        <v>10676</v>
      </c>
      <c r="J5825" t="s">
        <v>13787</v>
      </c>
      <c r="K5825" t="s">
        <v>18162</v>
      </c>
      <c r="L5825">
        <f>HYPERLINK("https://www2.assemblee-nationale.fr/sycomore/fiche/(num_dept)/6672", "6672")</f>
        <v>0</v>
      </c>
      <c r="N5825">
        <f>HYPERLINK("https://www.wikidata.org/wiki/Q16026404", "Q16026404")</f>
        <v>0</v>
      </c>
      <c r="O5825" t="s">
        <v>20013</v>
      </c>
      <c r="P5825" t="s">
        <v>20460</v>
      </c>
      <c r="Q5825" t="s">
        <v>20739</v>
      </c>
      <c r="R5825" t="s">
        <v>417</v>
      </c>
      <c r="S5825">
        <v>1469</v>
      </c>
    </row>
    <row r="5826" spans="1:19">
      <c r="A5826" t="s">
        <v>27</v>
      </c>
      <c r="B5826" t="s">
        <v>148</v>
      </c>
      <c r="C5826" t="s">
        <v>159</v>
      </c>
      <c r="D5826" t="s">
        <v>288</v>
      </c>
      <c r="E5826" t="s">
        <v>417</v>
      </c>
      <c r="F5826">
        <f>HYPERLINK("https://www.wikidata.org/wiki/Q33755832", "Q33755832")</f>
        <v>0</v>
      </c>
      <c r="G5826" t="s">
        <v>3597</v>
      </c>
      <c r="H5826" t="s">
        <v>6303</v>
      </c>
      <c r="I5826" t="s">
        <v>10899</v>
      </c>
      <c r="J5826" t="s">
        <v>14183</v>
      </c>
      <c r="K5826" t="s">
        <v>18549</v>
      </c>
      <c r="L5826">
        <f>HYPERLINK("https://www2.assemblee-nationale.fr/sycomore/fiche/(num_dept)/6739", "6739")</f>
        <v>0</v>
      </c>
      <c r="N5826">
        <f>HYPERLINK("https://www.wikidata.org/wiki/Q16026419", "Q16026419")</f>
        <v>0</v>
      </c>
      <c r="O5826" t="s">
        <v>19969</v>
      </c>
      <c r="P5826" t="s">
        <v>20488</v>
      </c>
      <c r="Q5826" t="s">
        <v>20739</v>
      </c>
      <c r="R5826" t="s">
        <v>417</v>
      </c>
      <c r="S5826">
        <v>1469</v>
      </c>
    </row>
    <row r="5827" spans="1:19">
      <c r="A5827" t="s">
        <v>27</v>
      </c>
      <c r="B5827" t="s">
        <v>148</v>
      </c>
      <c r="C5827" t="s">
        <v>159</v>
      </c>
      <c r="D5827" t="s">
        <v>288</v>
      </c>
      <c r="E5827" t="s">
        <v>417</v>
      </c>
      <c r="F5827">
        <f>HYPERLINK("https://www.wikidata.org/wiki/Q33755832", "Q33755832")</f>
        <v>0</v>
      </c>
      <c r="G5827" t="s">
        <v>809</v>
      </c>
      <c r="H5827" t="s">
        <v>5566</v>
      </c>
      <c r="I5827" t="s">
        <v>7642</v>
      </c>
      <c r="J5827" t="s">
        <v>11556</v>
      </c>
      <c r="K5827" t="s">
        <v>15960</v>
      </c>
      <c r="L5827">
        <f>HYPERLINK("https://www2.assemblee-nationale.fr/sycomore/fiche/(num_dept)/6821", "6821")</f>
        <v>0</v>
      </c>
      <c r="N5827">
        <f>HYPERLINK("https://www.wikidata.org/wiki/Q3301402", "Q3301402")</f>
        <v>0</v>
      </c>
      <c r="O5827" t="s">
        <v>20023</v>
      </c>
      <c r="Q5827" t="s">
        <v>20739</v>
      </c>
      <c r="R5827" t="s">
        <v>417</v>
      </c>
      <c r="S5827">
        <v>1469</v>
      </c>
    </row>
    <row r="5828" spans="1:19">
      <c r="A5828" t="s">
        <v>27</v>
      </c>
      <c r="B5828" t="s">
        <v>148</v>
      </c>
      <c r="C5828" t="s">
        <v>159</v>
      </c>
      <c r="D5828" t="s">
        <v>288</v>
      </c>
      <c r="E5828" t="s">
        <v>417</v>
      </c>
      <c r="F5828">
        <f>HYPERLINK("https://www.wikidata.org/wiki/Q33755832", "Q33755832")</f>
        <v>0</v>
      </c>
      <c r="G5828" t="s">
        <v>3598</v>
      </c>
      <c r="H5828" t="s">
        <v>7943</v>
      </c>
      <c r="I5828" t="s">
        <v>7642</v>
      </c>
      <c r="J5828" t="s">
        <v>14184</v>
      </c>
      <c r="K5828" t="s">
        <v>18550</v>
      </c>
      <c r="L5828">
        <f>HYPERLINK("https://www2.assemblee-nationale.fr/sycomore/fiche/(num_dept)/6834", "6834")</f>
        <v>0</v>
      </c>
      <c r="M5828">
        <f>HYPERLINK("https://www.senat.fr/senateur-3eme-republique/signard_maurice1168r3.html", "signard_maurice1168r3")</f>
        <v>0</v>
      </c>
      <c r="N5828">
        <f>HYPERLINK("https://www.wikidata.org/wiki/Q3301410", "Q3301410")</f>
        <v>0</v>
      </c>
      <c r="O5828" t="s">
        <v>20036</v>
      </c>
      <c r="Q5828" t="s">
        <v>20739</v>
      </c>
      <c r="R5828" t="s">
        <v>417</v>
      </c>
      <c r="S5828">
        <v>1469</v>
      </c>
    </row>
    <row r="5829" spans="1:19">
      <c r="A5829" t="s">
        <v>27</v>
      </c>
      <c r="B5829" t="s">
        <v>148</v>
      </c>
      <c r="C5829" t="s">
        <v>159</v>
      </c>
      <c r="D5829" t="s">
        <v>288</v>
      </c>
      <c r="E5829" t="s">
        <v>417</v>
      </c>
      <c r="F5829">
        <f>HYPERLINK("https://www.wikidata.org/wiki/Q33755832", "Q33755832")</f>
        <v>0</v>
      </c>
      <c r="G5829" t="s">
        <v>2675</v>
      </c>
      <c r="H5829" t="s">
        <v>5800</v>
      </c>
      <c r="I5829" t="s">
        <v>10356</v>
      </c>
      <c r="J5829" t="s">
        <v>13316</v>
      </c>
      <c r="K5829" t="s">
        <v>17716</v>
      </c>
      <c r="L5829">
        <f>HYPERLINK("https://www2.assemblee-nationale.fr/sycomore/fiche/(num_dept)/6842", "6842")</f>
        <v>0</v>
      </c>
      <c r="N5829">
        <f>HYPERLINK("https://www.wikidata.org/wiki/Q3071489", "Q3071489")</f>
        <v>0</v>
      </c>
      <c r="O5829" t="s">
        <v>20023</v>
      </c>
      <c r="P5829" t="s">
        <v>20461</v>
      </c>
      <c r="Q5829" t="s">
        <v>20739</v>
      </c>
      <c r="R5829" t="s">
        <v>417</v>
      </c>
      <c r="S5829">
        <v>1469</v>
      </c>
    </row>
    <row r="5830" spans="1:19">
      <c r="A5830" t="s">
        <v>27</v>
      </c>
      <c r="B5830" t="s">
        <v>148</v>
      </c>
      <c r="C5830" t="s">
        <v>159</v>
      </c>
      <c r="D5830" t="s">
        <v>288</v>
      </c>
      <c r="E5830" t="s">
        <v>417</v>
      </c>
      <c r="F5830">
        <f>HYPERLINK("https://www.wikidata.org/wiki/Q33755832", "Q33755832")</f>
        <v>0</v>
      </c>
      <c r="G5830" t="s">
        <v>3599</v>
      </c>
      <c r="H5830" t="s">
        <v>7944</v>
      </c>
      <c r="I5830" t="s">
        <v>10900</v>
      </c>
      <c r="J5830" t="s">
        <v>14185</v>
      </c>
      <c r="K5830" t="s">
        <v>18551</v>
      </c>
      <c r="L5830">
        <f>HYPERLINK("https://www2.assemblee-nationale.fr/sycomore/fiche/(num_dept)/6879", "6879")</f>
        <v>0</v>
      </c>
      <c r="N5830">
        <f>HYPERLINK("https://www.wikidata.org/wiki/Q16026517", "Q16026517")</f>
        <v>0</v>
      </c>
      <c r="O5830" t="s">
        <v>19997</v>
      </c>
      <c r="P5830" t="s">
        <v>20477</v>
      </c>
      <c r="Q5830" t="s">
        <v>20739</v>
      </c>
      <c r="R5830" t="s">
        <v>417</v>
      </c>
      <c r="S5830">
        <v>1469</v>
      </c>
    </row>
    <row r="5831" spans="1:19">
      <c r="A5831" t="s">
        <v>27</v>
      </c>
      <c r="B5831" t="s">
        <v>148</v>
      </c>
      <c r="C5831" t="s">
        <v>159</v>
      </c>
      <c r="D5831" t="s">
        <v>288</v>
      </c>
      <c r="E5831" t="s">
        <v>417</v>
      </c>
      <c r="F5831">
        <f>HYPERLINK("https://www.wikidata.org/wiki/Q33755832", "Q33755832")</f>
        <v>0</v>
      </c>
      <c r="G5831" t="s">
        <v>3600</v>
      </c>
      <c r="H5831" t="s">
        <v>7945</v>
      </c>
      <c r="I5831" t="s">
        <v>8494</v>
      </c>
      <c r="J5831" t="s">
        <v>13272</v>
      </c>
      <c r="K5831" t="s">
        <v>18552</v>
      </c>
      <c r="L5831">
        <f>HYPERLINK("https://www2.assemblee-nationale.fr/sycomore/fiche/(num_dept)/6922", "6922")</f>
        <v>0</v>
      </c>
      <c r="N5831">
        <f>HYPERLINK("https://www.wikidata.org/wiki/Q16026523", "Q16026523")</f>
        <v>0</v>
      </c>
      <c r="O5831" t="s">
        <v>19987</v>
      </c>
      <c r="P5831" t="s">
        <v>20479</v>
      </c>
      <c r="Q5831" t="s">
        <v>20739</v>
      </c>
      <c r="R5831" t="s">
        <v>417</v>
      </c>
      <c r="S5831">
        <v>1469</v>
      </c>
    </row>
    <row r="5832" spans="1:19">
      <c r="A5832" t="s">
        <v>27</v>
      </c>
      <c r="B5832" t="s">
        <v>148</v>
      </c>
      <c r="C5832" t="s">
        <v>159</v>
      </c>
      <c r="D5832" t="s">
        <v>288</v>
      </c>
      <c r="E5832" t="s">
        <v>417</v>
      </c>
      <c r="F5832">
        <f>HYPERLINK("https://www.wikidata.org/wiki/Q33755832", "Q33755832")</f>
        <v>0</v>
      </c>
      <c r="G5832" t="s">
        <v>3601</v>
      </c>
      <c r="H5832" t="s">
        <v>7946</v>
      </c>
      <c r="I5832" t="s">
        <v>10901</v>
      </c>
      <c r="J5832" t="s">
        <v>14186</v>
      </c>
      <c r="K5832" t="s">
        <v>17115</v>
      </c>
      <c r="L5832">
        <f>HYPERLINK("https://www2.assemblee-nationale.fr/sycomore/fiche/(num_dept)/6990", "6990")</f>
        <v>0</v>
      </c>
      <c r="N5832">
        <f>HYPERLINK("https://www.wikidata.org/wiki/Q3093972", "Q3093972")</f>
        <v>0</v>
      </c>
      <c r="O5832" t="s">
        <v>19969</v>
      </c>
      <c r="Q5832" t="s">
        <v>20739</v>
      </c>
      <c r="R5832" t="s">
        <v>417</v>
      </c>
      <c r="S5832">
        <v>1469</v>
      </c>
    </row>
    <row r="5833" spans="1:19">
      <c r="A5833" t="s">
        <v>27</v>
      </c>
      <c r="B5833" t="s">
        <v>148</v>
      </c>
      <c r="C5833" t="s">
        <v>159</v>
      </c>
      <c r="D5833" t="s">
        <v>288</v>
      </c>
      <c r="E5833" t="s">
        <v>417</v>
      </c>
      <c r="F5833">
        <f>HYPERLINK("https://www.wikidata.org/wiki/Q33755832", "Q33755832")</f>
        <v>0</v>
      </c>
      <c r="G5833" t="s">
        <v>3602</v>
      </c>
      <c r="H5833" t="s">
        <v>5807</v>
      </c>
      <c r="I5833" t="s">
        <v>10902</v>
      </c>
      <c r="J5833" t="s">
        <v>14187</v>
      </c>
      <c r="K5833" t="s">
        <v>18553</v>
      </c>
      <c r="L5833">
        <f>HYPERLINK("https://www2.assemblee-nationale.fr/sycomore/fiche/(num_dept)/7038", "7038")</f>
        <v>0</v>
      </c>
      <c r="N5833">
        <f>HYPERLINK("https://www.wikidata.org/wiki/Q2966499", "Q2966499")</f>
        <v>0</v>
      </c>
      <c r="O5833" t="s">
        <v>19999</v>
      </c>
      <c r="Q5833" t="s">
        <v>20739</v>
      </c>
      <c r="R5833" t="s">
        <v>417</v>
      </c>
      <c r="S5833">
        <v>1469</v>
      </c>
    </row>
    <row r="5834" spans="1:19">
      <c r="A5834" t="s">
        <v>27</v>
      </c>
      <c r="B5834" t="s">
        <v>148</v>
      </c>
      <c r="C5834" t="s">
        <v>159</v>
      </c>
      <c r="D5834" t="s">
        <v>288</v>
      </c>
      <c r="E5834" t="s">
        <v>417</v>
      </c>
      <c r="F5834">
        <f>HYPERLINK("https://www.wikidata.org/wiki/Q33755832", "Q33755832")</f>
        <v>0</v>
      </c>
      <c r="G5834" t="s">
        <v>3603</v>
      </c>
      <c r="H5834" t="s">
        <v>7947</v>
      </c>
      <c r="I5834" t="s">
        <v>6175</v>
      </c>
      <c r="J5834" t="s">
        <v>14188</v>
      </c>
      <c r="K5834" t="s">
        <v>18554</v>
      </c>
      <c r="L5834">
        <f>HYPERLINK("https://www2.assemblee-nationale.fr/sycomore/fiche/(num_dept)/7163", "7163")</f>
        <v>0</v>
      </c>
      <c r="M5834">
        <f>HYPERLINK("https://www.senat.fr/senateur-3eme-republique/trouillot_georges0444r3.html", "trouillot_georges0444r3")</f>
        <v>0</v>
      </c>
      <c r="N5834">
        <f>HYPERLINK("https://www.wikidata.org/wiki/Q3103564", "Q3103564")</f>
        <v>0</v>
      </c>
      <c r="O5834" t="s">
        <v>20041</v>
      </c>
      <c r="P5834" t="s">
        <v>20401</v>
      </c>
      <c r="Q5834" t="s">
        <v>20739</v>
      </c>
      <c r="R5834" t="s">
        <v>417</v>
      </c>
      <c r="S5834">
        <v>1469</v>
      </c>
    </row>
    <row r="5835" spans="1:19">
      <c r="A5835" t="s">
        <v>27</v>
      </c>
      <c r="B5835" t="s">
        <v>148</v>
      </c>
      <c r="C5835" t="s">
        <v>159</v>
      </c>
      <c r="D5835" t="s">
        <v>288</v>
      </c>
      <c r="E5835" t="s">
        <v>417</v>
      </c>
      <c r="F5835">
        <f>HYPERLINK("https://www.wikidata.org/wiki/Q33755832", "Q33755832")</f>
        <v>0</v>
      </c>
      <c r="G5835" t="s">
        <v>2691</v>
      </c>
      <c r="H5835" t="s">
        <v>7223</v>
      </c>
      <c r="I5835" t="s">
        <v>10369</v>
      </c>
      <c r="J5835" t="s">
        <v>13332</v>
      </c>
      <c r="K5835" t="s">
        <v>17732</v>
      </c>
      <c r="L5835">
        <f>HYPERLINK("https://www2.assemblee-nationale.fr/sycomore/fiche/(num_dept)/7174", "7174")</f>
        <v>0</v>
      </c>
      <c r="N5835">
        <f>HYPERLINK("https://www.wikidata.org/wiki/Q3174122", "Q3174122")</f>
        <v>0</v>
      </c>
      <c r="O5835" t="s">
        <v>20032</v>
      </c>
      <c r="P5835" t="s">
        <v>20489</v>
      </c>
      <c r="Q5835" t="s">
        <v>20739</v>
      </c>
      <c r="R5835" t="s">
        <v>417</v>
      </c>
      <c r="S5835">
        <v>1469</v>
      </c>
    </row>
    <row r="5836" spans="1:19">
      <c r="A5836" t="s">
        <v>27</v>
      </c>
      <c r="B5836" t="s">
        <v>148</v>
      </c>
      <c r="C5836" t="s">
        <v>159</v>
      </c>
      <c r="D5836" t="s">
        <v>288</v>
      </c>
      <c r="E5836" t="s">
        <v>417</v>
      </c>
      <c r="F5836">
        <f>HYPERLINK("https://www.wikidata.org/wiki/Q33755832", "Q33755832")</f>
        <v>0</v>
      </c>
      <c r="G5836" t="s">
        <v>3289</v>
      </c>
      <c r="H5836" t="s">
        <v>7701</v>
      </c>
      <c r="I5836" t="s">
        <v>9534</v>
      </c>
      <c r="J5836" t="s">
        <v>13903</v>
      </c>
      <c r="K5836" t="s">
        <v>16613</v>
      </c>
      <c r="L5836">
        <f>HYPERLINK("https://www2.assemblee-nationale.fr/sycomore/fiche/(num_dept)/7179", "7179")</f>
        <v>0</v>
      </c>
      <c r="N5836">
        <f>HYPERLINK("https://www.wikidata.org/wiki/Q2824919", "Q2824919")</f>
        <v>0</v>
      </c>
      <c r="O5836" t="s">
        <v>19960</v>
      </c>
      <c r="Q5836" t="s">
        <v>20739</v>
      </c>
      <c r="R5836" t="s">
        <v>417</v>
      </c>
      <c r="S5836">
        <v>1469</v>
      </c>
    </row>
    <row r="5837" spans="1:19">
      <c r="A5837" t="s">
        <v>27</v>
      </c>
      <c r="B5837" t="s">
        <v>148</v>
      </c>
      <c r="C5837" t="s">
        <v>159</v>
      </c>
      <c r="D5837" t="s">
        <v>288</v>
      </c>
      <c r="E5837" t="s">
        <v>417</v>
      </c>
      <c r="F5837">
        <f>HYPERLINK("https://www.wikidata.org/wiki/Q33755832", "Q33755832")</f>
        <v>0</v>
      </c>
      <c r="G5837" t="s">
        <v>2693</v>
      </c>
      <c r="H5837" t="s">
        <v>7225</v>
      </c>
      <c r="I5837" t="s">
        <v>10370</v>
      </c>
      <c r="J5837" t="s">
        <v>13334</v>
      </c>
      <c r="K5837" t="s">
        <v>17734</v>
      </c>
      <c r="L5837">
        <f>HYPERLINK("https://www2.assemblee-nationale.fr/sycomore/fiche/(num_dept)/7191", "7191")</f>
        <v>0</v>
      </c>
      <c r="N5837">
        <f>HYPERLINK("https://www.wikidata.org/wiki/Q16026577", "Q16026577")</f>
        <v>0</v>
      </c>
      <c r="O5837" t="s">
        <v>20020</v>
      </c>
      <c r="P5837" t="s">
        <v>20456</v>
      </c>
      <c r="Q5837" t="s">
        <v>20739</v>
      </c>
      <c r="R5837" t="s">
        <v>21541</v>
      </c>
      <c r="S5837">
        <v>170</v>
      </c>
    </row>
    <row r="5838" spans="1:19">
      <c r="A5838" t="s">
        <v>27</v>
      </c>
      <c r="B5838" t="s">
        <v>148</v>
      </c>
      <c r="C5838" t="s">
        <v>159</v>
      </c>
      <c r="D5838" t="s">
        <v>288</v>
      </c>
      <c r="E5838" t="s">
        <v>417</v>
      </c>
      <c r="F5838">
        <f>HYPERLINK("https://www.wikidata.org/wiki/Q33755832", "Q33755832")</f>
        <v>0</v>
      </c>
      <c r="G5838" t="s">
        <v>3604</v>
      </c>
      <c r="H5838" t="s">
        <v>7948</v>
      </c>
      <c r="I5838" t="s">
        <v>9457</v>
      </c>
      <c r="J5838" t="s">
        <v>14189</v>
      </c>
      <c r="K5838" t="s">
        <v>18555</v>
      </c>
      <c r="L5838">
        <f>HYPERLINK("https://www2.assemblee-nationale.fr/sycomore/fiche/(num_dept)/7193", "7193")</f>
        <v>0</v>
      </c>
      <c r="M5838">
        <f>HYPERLINK("https://www.senat.fr/senateur-3eme-republique/vacherie_henri1791r3.html", "vacherie_henri1791r3")</f>
        <v>0</v>
      </c>
      <c r="N5838">
        <f>HYPERLINK("https://www.wikidata.org/wiki/Q3132113", "Q3132113")</f>
        <v>0</v>
      </c>
      <c r="O5838" t="s">
        <v>19977</v>
      </c>
      <c r="P5838" t="s">
        <v>20402</v>
      </c>
      <c r="Q5838" t="s">
        <v>20739</v>
      </c>
      <c r="R5838" t="s">
        <v>417</v>
      </c>
      <c r="S5838">
        <v>1469</v>
      </c>
    </row>
    <row r="5839" spans="1:19">
      <c r="A5839" t="s">
        <v>27</v>
      </c>
      <c r="B5839" t="s">
        <v>148</v>
      </c>
      <c r="C5839" t="s">
        <v>159</v>
      </c>
      <c r="D5839" t="s">
        <v>288</v>
      </c>
      <c r="E5839" t="s">
        <v>417</v>
      </c>
      <c r="F5839">
        <f>HYPERLINK("https://www.wikidata.org/wiki/Q33755832", "Q33755832")</f>
        <v>0</v>
      </c>
      <c r="G5839" t="s">
        <v>3605</v>
      </c>
      <c r="H5839" t="s">
        <v>7949</v>
      </c>
      <c r="I5839" t="s">
        <v>10170</v>
      </c>
      <c r="J5839" t="s">
        <v>14190</v>
      </c>
      <c r="K5839" t="s">
        <v>18556</v>
      </c>
      <c r="L5839">
        <f>HYPERLINK("https://www2.assemblee-nationale.fr/sycomore/fiche/(num_dept)/7434", "7434")</f>
        <v>0</v>
      </c>
      <c r="M5839">
        <f>HYPERLINK("https://www.senat.fr/senateur-3eme-republique/ville_pierre0048r3.html", "ville_pierre0048r3")</f>
        <v>0</v>
      </c>
      <c r="N5839">
        <f>HYPERLINK("https://www.wikidata.org/wiki/Q3387297", "Q3387297")</f>
        <v>0</v>
      </c>
      <c r="O5839" t="s">
        <v>19999</v>
      </c>
      <c r="Q5839" t="s">
        <v>20739</v>
      </c>
      <c r="R5839" t="s">
        <v>417</v>
      </c>
      <c r="S5839">
        <v>1469</v>
      </c>
    </row>
    <row r="5840" spans="1:19">
      <c r="A5840" t="s">
        <v>27</v>
      </c>
      <c r="B5840" t="s">
        <v>148</v>
      </c>
      <c r="C5840" t="s">
        <v>159</v>
      </c>
      <c r="D5840" t="s">
        <v>288</v>
      </c>
      <c r="E5840" t="s">
        <v>417</v>
      </c>
      <c r="F5840">
        <f>HYPERLINK("https://www.wikidata.org/wiki/Q33755832", "Q33755832")</f>
        <v>0</v>
      </c>
      <c r="G5840" t="s">
        <v>3606</v>
      </c>
      <c r="H5840" t="s">
        <v>7950</v>
      </c>
      <c r="I5840" t="s">
        <v>10903</v>
      </c>
      <c r="J5840" t="s">
        <v>14191</v>
      </c>
      <c r="K5840" t="s">
        <v>18557</v>
      </c>
      <c r="L5840">
        <f>HYPERLINK("https://www2.assemblee-nationale.fr/sycomore/fiche/(num_dept)/7452", "7452")</f>
        <v>0</v>
      </c>
      <c r="N5840">
        <f>HYPERLINK("https://www.wikidata.org/wiki/Q2861381", "Q2861381")</f>
        <v>0</v>
      </c>
      <c r="O5840" t="s">
        <v>20046</v>
      </c>
      <c r="Q5840" t="s">
        <v>20739</v>
      </c>
      <c r="R5840" t="s">
        <v>417</v>
      </c>
      <c r="S5840">
        <v>1469</v>
      </c>
    </row>
    <row r="5841" spans="1:19">
      <c r="A5841" t="s">
        <v>27</v>
      </c>
      <c r="B5841" t="s">
        <v>148</v>
      </c>
      <c r="C5841" t="s">
        <v>159</v>
      </c>
      <c r="D5841" t="s">
        <v>288</v>
      </c>
      <c r="E5841" t="s">
        <v>417</v>
      </c>
      <c r="F5841">
        <f>HYPERLINK("https://www.wikidata.org/wiki/Q33755832", "Q33755832")</f>
        <v>0</v>
      </c>
      <c r="G5841" t="s">
        <v>3607</v>
      </c>
      <c r="H5841" t="s">
        <v>7951</v>
      </c>
      <c r="I5841" t="s">
        <v>6495</v>
      </c>
      <c r="J5841" t="s">
        <v>14192</v>
      </c>
      <c r="K5841" t="s">
        <v>18558</v>
      </c>
      <c r="L5841">
        <f>HYPERLINK("https://www2.assemblee-nationale.fr/sycomore/fiche/(num_dept)/7454", "7454")</f>
        <v>0</v>
      </c>
      <c r="N5841">
        <f>HYPERLINK("https://www.wikidata.org/wiki/Q16026583", "Q16026583")</f>
        <v>0</v>
      </c>
      <c r="O5841" t="s">
        <v>19959</v>
      </c>
      <c r="Q5841" t="s">
        <v>20739</v>
      </c>
      <c r="R5841" t="s">
        <v>417</v>
      </c>
      <c r="S5841">
        <v>1469</v>
      </c>
    </row>
    <row r="5842" spans="1:19">
      <c r="A5842" t="s">
        <v>27</v>
      </c>
      <c r="B5842" t="s">
        <v>148</v>
      </c>
      <c r="C5842" t="s">
        <v>159</v>
      </c>
      <c r="D5842" t="s">
        <v>288</v>
      </c>
      <c r="E5842" t="s">
        <v>417</v>
      </c>
      <c r="F5842">
        <f>HYPERLINK("https://www.wikidata.org/wiki/Q33755832", "Q33755832")</f>
        <v>0</v>
      </c>
      <c r="G5842" t="s">
        <v>3608</v>
      </c>
      <c r="H5842" t="s">
        <v>7278</v>
      </c>
      <c r="I5842" t="s">
        <v>10904</v>
      </c>
      <c r="J5842" t="s">
        <v>14193</v>
      </c>
      <c r="K5842" t="s">
        <v>18559</v>
      </c>
      <c r="L5842">
        <f>HYPERLINK("https://www2.assemblee-nationale.fr/sycomore/fiche/(num_dept)/7456", "7456")</f>
        <v>0</v>
      </c>
      <c r="N5842">
        <f>HYPERLINK("https://www.wikidata.org/wiki/Q2965731", "Q2965731")</f>
        <v>0</v>
      </c>
      <c r="O5842" t="s">
        <v>19955</v>
      </c>
      <c r="P5842" t="s">
        <v>20460</v>
      </c>
      <c r="Q5842" t="s">
        <v>20739</v>
      </c>
      <c r="R5842" t="s">
        <v>417</v>
      </c>
      <c r="S5842">
        <v>1469</v>
      </c>
    </row>
    <row r="5843" spans="1:19">
      <c r="A5843" t="s">
        <v>27</v>
      </c>
      <c r="B5843" t="s">
        <v>148</v>
      </c>
      <c r="C5843" t="s">
        <v>159</v>
      </c>
      <c r="D5843" t="s">
        <v>288</v>
      </c>
      <c r="E5843" t="s">
        <v>417</v>
      </c>
      <c r="F5843">
        <f>HYPERLINK("https://www.wikidata.org/wiki/Q33755832", "Q33755832")</f>
        <v>0</v>
      </c>
      <c r="G5843" t="s">
        <v>3033</v>
      </c>
      <c r="H5843" t="s">
        <v>7490</v>
      </c>
      <c r="I5843" t="s">
        <v>10588</v>
      </c>
      <c r="J5843" t="s">
        <v>13661</v>
      </c>
      <c r="K5843" t="s">
        <v>18043</v>
      </c>
      <c r="L5843">
        <f>HYPERLINK("https://www2.assemblee-nationale.fr/sycomore/fiche/(num_dept)/7459", "7459")</f>
        <v>0</v>
      </c>
      <c r="N5843">
        <f>HYPERLINK("https://www.wikidata.org/wiki/Q16026592", "Q16026592")</f>
        <v>0</v>
      </c>
      <c r="O5843" t="s">
        <v>7411</v>
      </c>
      <c r="P5843" t="s">
        <v>20401</v>
      </c>
      <c r="Q5843" t="s">
        <v>20739</v>
      </c>
      <c r="R5843" t="s">
        <v>417</v>
      </c>
      <c r="S5843">
        <v>1469</v>
      </c>
    </row>
    <row r="5844" spans="1:19">
      <c r="A5844" t="s">
        <v>27</v>
      </c>
      <c r="B5844" t="s">
        <v>148</v>
      </c>
      <c r="C5844" t="s">
        <v>159</v>
      </c>
      <c r="D5844" t="s">
        <v>288</v>
      </c>
      <c r="E5844" t="s">
        <v>417</v>
      </c>
      <c r="F5844">
        <f>HYPERLINK("https://www.wikidata.org/wiki/Q33755832", "Q33755832")</f>
        <v>0</v>
      </c>
      <c r="G5844" t="s">
        <v>3609</v>
      </c>
      <c r="H5844" t="s">
        <v>7952</v>
      </c>
      <c r="I5844" t="s">
        <v>10905</v>
      </c>
      <c r="J5844" t="s">
        <v>14194</v>
      </c>
      <c r="K5844" t="s">
        <v>17802</v>
      </c>
      <c r="L5844">
        <f>HYPERLINK("https://www2.assemblee-nationale.fr/sycomore/fiche/(num_dept)/7462", "7462")</f>
        <v>0</v>
      </c>
      <c r="N5844">
        <f>HYPERLINK("https://www.wikidata.org/wiki/Q16026624", "Q16026624")</f>
        <v>0</v>
      </c>
      <c r="O5844" t="s">
        <v>20013</v>
      </c>
      <c r="Q5844" t="s">
        <v>20739</v>
      </c>
      <c r="R5844" t="s">
        <v>17802</v>
      </c>
      <c r="S5844">
        <v>713</v>
      </c>
    </row>
    <row r="5845" spans="1:19">
      <c r="A5845" t="s">
        <v>27</v>
      </c>
      <c r="B5845" t="s">
        <v>148</v>
      </c>
      <c r="C5845" t="s">
        <v>159</v>
      </c>
      <c r="D5845" t="s">
        <v>288</v>
      </c>
      <c r="E5845" t="s">
        <v>417</v>
      </c>
      <c r="F5845">
        <f>HYPERLINK("https://www.wikidata.org/wiki/Q33755832", "Q33755832")</f>
        <v>0</v>
      </c>
      <c r="G5845" t="s">
        <v>2704</v>
      </c>
      <c r="H5845" t="s">
        <v>6798</v>
      </c>
      <c r="I5845" t="s">
        <v>10375</v>
      </c>
      <c r="J5845" t="s">
        <v>13345</v>
      </c>
      <c r="K5845" t="s">
        <v>17745</v>
      </c>
      <c r="L5845">
        <f>HYPERLINK("https://www2.assemblee-nationale.fr/sycomore/fiche/(num_dept)/7528", "7528")</f>
        <v>0</v>
      </c>
      <c r="N5845">
        <f>HYPERLINK("https://www.wikidata.org/wiki/Q16025956", "Q16025956")</f>
        <v>0</v>
      </c>
      <c r="O5845" t="s">
        <v>20005</v>
      </c>
      <c r="P5845" t="s">
        <v>20459</v>
      </c>
      <c r="Q5845" t="s">
        <v>20739</v>
      </c>
      <c r="R5845" t="s">
        <v>417</v>
      </c>
      <c r="S5845">
        <v>1469</v>
      </c>
    </row>
    <row r="5846" spans="1:19">
      <c r="A5846" t="s">
        <v>27</v>
      </c>
      <c r="B5846" t="s">
        <v>148</v>
      </c>
      <c r="C5846" t="s">
        <v>159</v>
      </c>
      <c r="D5846" t="s">
        <v>288</v>
      </c>
      <c r="E5846" t="s">
        <v>417</v>
      </c>
      <c r="F5846">
        <f>HYPERLINK("https://www.wikidata.org/wiki/Q33755832", "Q33755832")</f>
        <v>0</v>
      </c>
      <c r="G5846" t="s">
        <v>3176</v>
      </c>
      <c r="H5846" t="s">
        <v>6992</v>
      </c>
      <c r="I5846" t="s">
        <v>10683</v>
      </c>
      <c r="J5846" t="s">
        <v>13797</v>
      </c>
      <c r="K5846" t="s">
        <v>18172</v>
      </c>
      <c r="L5846">
        <f>HYPERLINK("https://www2.assemblee-nationale.fr/sycomore/fiche/(num_dept)/7562", "7562")</f>
        <v>0</v>
      </c>
      <c r="M5846">
        <f>HYPERLINK("https://www.senat.fr/senateur-3eme-republique/le_cour_grandmaison_charles1288r3.html", "le_cour_grandmaison_charles1288r3")</f>
        <v>0</v>
      </c>
      <c r="N5846">
        <f>HYPERLINK("https://www.wikidata.org/wiki/Q2959601", "Q2959601")</f>
        <v>0</v>
      </c>
      <c r="O5846" t="s">
        <v>20023</v>
      </c>
      <c r="P5846" t="s">
        <v>20460</v>
      </c>
      <c r="Q5846" t="s">
        <v>20739</v>
      </c>
      <c r="R5846" t="s">
        <v>417</v>
      </c>
      <c r="S5846">
        <v>1469</v>
      </c>
    </row>
    <row r="5847" spans="1:19">
      <c r="A5847" t="s">
        <v>27</v>
      </c>
      <c r="B5847" t="s">
        <v>148</v>
      </c>
      <c r="C5847" t="s">
        <v>159</v>
      </c>
      <c r="D5847" t="s">
        <v>288</v>
      </c>
      <c r="E5847" t="s">
        <v>417</v>
      </c>
      <c r="F5847">
        <f>HYPERLINK("https://www.wikidata.org/wiki/Q33755832", "Q33755832")</f>
        <v>0</v>
      </c>
      <c r="G5847" t="s">
        <v>3610</v>
      </c>
      <c r="H5847" t="s">
        <v>7953</v>
      </c>
      <c r="I5847" t="s">
        <v>9546</v>
      </c>
      <c r="J5847" t="s">
        <v>13126</v>
      </c>
      <c r="K5847" t="s">
        <v>18560</v>
      </c>
      <c r="L5847">
        <f>HYPERLINK("https://www2.assemblee-nationale.fr/sycomore/fiche/(num_dept)/7623", "7623")</f>
        <v>0</v>
      </c>
      <c r="N5847">
        <f>HYPERLINK("https://www.wikidata.org/wiki/Q13077261", "Q13077261")</f>
        <v>0</v>
      </c>
      <c r="O5847" t="s">
        <v>19969</v>
      </c>
      <c r="Q5847" t="s">
        <v>20739</v>
      </c>
      <c r="R5847" t="s">
        <v>417</v>
      </c>
      <c r="S5847">
        <v>1469</v>
      </c>
    </row>
    <row r="5848" spans="1:19">
      <c r="A5848" t="s">
        <v>27</v>
      </c>
      <c r="B5848" t="s">
        <v>148</v>
      </c>
      <c r="C5848" t="s">
        <v>159</v>
      </c>
      <c r="D5848" t="s">
        <v>288</v>
      </c>
      <c r="E5848" t="s">
        <v>417</v>
      </c>
      <c r="F5848">
        <f>HYPERLINK("https://www.wikidata.org/wiki/Q33755832", "Q33755832")</f>
        <v>0</v>
      </c>
      <c r="G5848" t="s">
        <v>3611</v>
      </c>
      <c r="H5848" t="s">
        <v>7954</v>
      </c>
      <c r="I5848" t="s">
        <v>9751</v>
      </c>
      <c r="J5848" t="s">
        <v>14195</v>
      </c>
      <c r="K5848" t="s">
        <v>18561</v>
      </c>
      <c r="L5848">
        <f>HYPERLINK("https://www2.assemblee-nationale.fr/sycomore/fiche/(num_dept)/7631", "7631")</f>
        <v>0</v>
      </c>
      <c r="N5848">
        <f>HYPERLINK("https://www.wikidata.org/wiki/Q16025965", "Q16025965")</f>
        <v>0</v>
      </c>
      <c r="O5848" t="s">
        <v>19977</v>
      </c>
      <c r="Q5848" t="s">
        <v>20739</v>
      </c>
      <c r="R5848" t="s">
        <v>18561</v>
      </c>
      <c r="S5848">
        <v>1376</v>
      </c>
    </row>
    <row r="5849" spans="1:19">
      <c r="A5849" t="s">
        <v>27</v>
      </c>
      <c r="B5849" t="s">
        <v>148</v>
      </c>
      <c r="C5849" t="s">
        <v>159</v>
      </c>
      <c r="D5849" t="s">
        <v>288</v>
      </c>
      <c r="E5849" t="s">
        <v>417</v>
      </c>
      <c r="F5849">
        <f>HYPERLINK("https://www.wikidata.org/wiki/Q33755832", "Q33755832")</f>
        <v>0</v>
      </c>
      <c r="G5849" t="s">
        <v>2709</v>
      </c>
      <c r="H5849" t="s">
        <v>7238</v>
      </c>
      <c r="I5849" t="s">
        <v>9458</v>
      </c>
      <c r="J5849" t="s">
        <v>13350</v>
      </c>
      <c r="K5849" t="s">
        <v>17750</v>
      </c>
      <c r="L5849">
        <f>HYPERLINK("https://www2.assemblee-nationale.fr/sycomore/fiche/(num_dept)/7666", "7666")</f>
        <v>0</v>
      </c>
      <c r="N5849">
        <f>HYPERLINK("https://www.wikidata.org/wiki/Q15969923", "Q15969923")</f>
        <v>0</v>
      </c>
      <c r="O5849" t="s">
        <v>19975</v>
      </c>
      <c r="P5849" t="s">
        <v>20490</v>
      </c>
      <c r="Q5849" t="s">
        <v>20739</v>
      </c>
      <c r="R5849" t="s">
        <v>417</v>
      </c>
      <c r="S5849">
        <v>1469</v>
      </c>
    </row>
    <row r="5850" spans="1:19">
      <c r="A5850" t="s">
        <v>27</v>
      </c>
      <c r="B5850" t="s">
        <v>148</v>
      </c>
      <c r="C5850" t="s">
        <v>159</v>
      </c>
      <c r="D5850" t="s">
        <v>288</v>
      </c>
      <c r="E5850" t="s">
        <v>417</v>
      </c>
      <c r="F5850">
        <f>HYPERLINK("https://www.wikidata.org/wiki/Q33755832", "Q33755832")</f>
        <v>0</v>
      </c>
      <c r="G5850" t="s">
        <v>2714</v>
      </c>
      <c r="H5850" t="s">
        <v>7240</v>
      </c>
      <c r="I5850" t="s">
        <v>9458</v>
      </c>
      <c r="J5850" t="s">
        <v>13355</v>
      </c>
      <c r="K5850" t="s">
        <v>17755</v>
      </c>
      <c r="L5850">
        <f>HYPERLINK("https://www2.assemblee-nationale.fr/sycomore/fiche/(num_dept)/7818", "7818")</f>
        <v>0</v>
      </c>
      <c r="N5850">
        <f>HYPERLINK("https://www.wikidata.org/wiki/Q16626137", "Q16626137")</f>
        <v>0</v>
      </c>
      <c r="O5850" t="s">
        <v>20000</v>
      </c>
      <c r="P5850" t="s">
        <v>20401</v>
      </c>
      <c r="Q5850" t="s">
        <v>20739</v>
      </c>
      <c r="R5850" t="s">
        <v>417</v>
      </c>
      <c r="S5850">
        <v>1469</v>
      </c>
    </row>
    <row r="5851" spans="1:19">
      <c r="A5851" t="s">
        <v>27</v>
      </c>
      <c r="B5851" t="s">
        <v>148</v>
      </c>
      <c r="C5851" t="s">
        <v>159</v>
      </c>
      <c r="D5851" t="s">
        <v>288</v>
      </c>
      <c r="E5851" t="s">
        <v>417</v>
      </c>
      <c r="F5851">
        <f>HYPERLINK("https://www.wikidata.org/wiki/Q33755832", "Q33755832")</f>
        <v>0</v>
      </c>
      <c r="G5851" t="s">
        <v>2715</v>
      </c>
      <c r="H5851" t="s">
        <v>7241</v>
      </c>
      <c r="I5851" t="s">
        <v>10380</v>
      </c>
      <c r="J5851" t="s">
        <v>13356</v>
      </c>
      <c r="K5851" t="s">
        <v>17756</v>
      </c>
      <c r="L5851">
        <f>HYPERLINK("https://www2.assemblee-nationale.fr/sycomore/fiche/(num_dept)/7829", "7829")</f>
        <v>0</v>
      </c>
      <c r="N5851">
        <f>HYPERLINK("https://www.wikidata.org/wiki/Q16025995", "Q16025995")</f>
        <v>0</v>
      </c>
      <c r="O5851" t="s">
        <v>20002</v>
      </c>
      <c r="P5851" t="s">
        <v>20461</v>
      </c>
      <c r="Q5851" t="s">
        <v>20739</v>
      </c>
      <c r="R5851" t="s">
        <v>417</v>
      </c>
      <c r="S5851">
        <v>1469</v>
      </c>
    </row>
    <row r="5852" spans="1:19">
      <c r="A5852" t="s">
        <v>27</v>
      </c>
      <c r="B5852" t="s">
        <v>148</v>
      </c>
      <c r="C5852" t="s">
        <v>159</v>
      </c>
      <c r="D5852" t="s">
        <v>288</v>
      </c>
      <c r="E5852" t="s">
        <v>417</v>
      </c>
      <c r="F5852">
        <f>HYPERLINK("https://www.wikidata.org/wiki/Q33755832", "Q33755832")</f>
        <v>0</v>
      </c>
      <c r="G5852" t="s">
        <v>2717</v>
      </c>
      <c r="H5852" t="s">
        <v>7243</v>
      </c>
      <c r="I5852" t="s">
        <v>9728</v>
      </c>
      <c r="J5852" t="s">
        <v>13358</v>
      </c>
      <c r="K5852" t="s">
        <v>17758</v>
      </c>
      <c r="L5852">
        <f>HYPERLINK("https://www2.assemblee-nationale.fr/sycomore/fiche/(num_dept)/7875", "7875")</f>
        <v>0</v>
      </c>
      <c r="N5852">
        <f>HYPERLINK("https://www.wikidata.org/wiki/Q733836", "Q733836")</f>
        <v>0</v>
      </c>
      <c r="O5852" t="s">
        <v>19969</v>
      </c>
      <c r="P5852" t="s">
        <v>20401</v>
      </c>
      <c r="Q5852" t="s">
        <v>20739</v>
      </c>
      <c r="R5852" t="s">
        <v>417</v>
      </c>
      <c r="S5852">
        <v>1469</v>
      </c>
    </row>
    <row r="5853" spans="1:19">
      <c r="A5853" t="s">
        <v>27</v>
      </c>
      <c r="B5853" t="s">
        <v>148</v>
      </c>
      <c r="C5853" t="s">
        <v>159</v>
      </c>
      <c r="D5853" t="s">
        <v>288</v>
      </c>
      <c r="E5853" t="s">
        <v>417</v>
      </c>
      <c r="F5853">
        <f>HYPERLINK("https://www.wikidata.org/wiki/Q33755832", "Q33755832")</f>
        <v>0</v>
      </c>
      <c r="G5853" t="s">
        <v>3314</v>
      </c>
      <c r="H5853" t="s">
        <v>7378</v>
      </c>
      <c r="I5853" t="s">
        <v>9843</v>
      </c>
      <c r="J5853" t="s">
        <v>13928</v>
      </c>
      <c r="K5853" t="s">
        <v>18298</v>
      </c>
      <c r="L5853">
        <f>HYPERLINK("https://www2.assemblee-nationale.fr/sycomore/fiche/(num_dept)/7958", "7958")</f>
        <v>0</v>
      </c>
      <c r="N5853">
        <f>HYPERLINK("https://www.wikidata.org/wiki/Q249982", "Q249982")</f>
        <v>0</v>
      </c>
      <c r="O5853" t="s">
        <v>19969</v>
      </c>
      <c r="P5853" t="s">
        <v>20456</v>
      </c>
      <c r="Q5853" t="s">
        <v>20739</v>
      </c>
      <c r="R5853" t="s">
        <v>417</v>
      </c>
      <c r="S5853">
        <v>1469</v>
      </c>
    </row>
    <row r="5854" spans="1:19">
      <c r="A5854" t="s">
        <v>27</v>
      </c>
      <c r="B5854" t="s">
        <v>148</v>
      </c>
      <c r="C5854" t="s">
        <v>159</v>
      </c>
      <c r="D5854" t="s">
        <v>288</v>
      </c>
      <c r="E5854" t="s">
        <v>417</v>
      </c>
      <c r="F5854">
        <f>HYPERLINK("https://www.wikidata.org/wiki/Q33755832", "Q33755832")</f>
        <v>0</v>
      </c>
      <c r="G5854" t="s">
        <v>3342</v>
      </c>
      <c r="H5854" t="s">
        <v>5387</v>
      </c>
      <c r="I5854" t="s">
        <v>9385</v>
      </c>
      <c r="J5854" t="s">
        <v>13955</v>
      </c>
      <c r="K5854" t="s">
        <v>18324</v>
      </c>
      <c r="L5854">
        <f>HYPERLINK("https://www2.assemblee-nationale.fr/sycomore/fiche/(num_dept)/10133", "10133")</f>
        <v>0</v>
      </c>
      <c r="M5854">
        <f>HYPERLINK("https://www.senat.fr/senateur-3eme-republique/dupuy_charles0513r3.html", "dupuy_charles0513r3")</f>
        <v>0</v>
      </c>
      <c r="N5854">
        <f>HYPERLINK("https://www.wikidata.org/wiki/Q356032", "Q356032")</f>
        <v>0</v>
      </c>
      <c r="O5854" t="s">
        <v>19993</v>
      </c>
      <c r="P5854" t="s">
        <v>20459</v>
      </c>
      <c r="Q5854" t="s">
        <v>20739</v>
      </c>
      <c r="R5854" t="s">
        <v>417</v>
      </c>
      <c r="S5854">
        <v>1469</v>
      </c>
    </row>
    <row r="5855" spans="1:19">
      <c r="A5855" t="s">
        <v>27</v>
      </c>
      <c r="B5855" t="s">
        <v>148</v>
      </c>
      <c r="C5855" t="s">
        <v>159</v>
      </c>
      <c r="D5855" t="s">
        <v>288</v>
      </c>
      <c r="E5855" t="s">
        <v>417</v>
      </c>
      <c r="F5855">
        <f>HYPERLINK("https://www.wikidata.org/wiki/Q33755832", "Q33755832")</f>
        <v>0</v>
      </c>
      <c r="G5855" t="s">
        <v>3168</v>
      </c>
      <c r="H5855" t="s">
        <v>7600</v>
      </c>
      <c r="I5855" t="s">
        <v>6495</v>
      </c>
      <c r="J5855" t="s">
        <v>13789</v>
      </c>
      <c r="K5855" t="s">
        <v>18164</v>
      </c>
      <c r="L5855">
        <f>HYPERLINK("https://www2.assemblee-nationale.fr/sycomore/fiche/(num_dept)/6729", "6729")</f>
        <v>0</v>
      </c>
      <c r="N5855">
        <f>HYPERLINK("https://www.wikidata.org/wiki/Q3263005", "Q3263005")</f>
        <v>0</v>
      </c>
      <c r="O5855" t="s">
        <v>19978</v>
      </c>
      <c r="Q5855" t="s">
        <v>20740</v>
      </c>
      <c r="R5855" t="s">
        <v>417</v>
      </c>
      <c r="S5855">
        <v>1413</v>
      </c>
    </row>
    <row r="5856" spans="1:19">
      <c r="A5856" t="s">
        <v>27</v>
      </c>
      <c r="B5856" t="s">
        <v>148</v>
      </c>
      <c r="C5856" t="s">
        <v>159</v>
      </c>
      <c r="D5856" t="s">
        <v>288</v>
      </c>
      <c r="E5856" t="s">
        <v>417</v>
      </c>
      <c r="F5856">
        <f>HYPERLINK("https://www.wikidata.org/wiki/Q33755832", "Q33755832")</f>
        <v>0</v>
      </c>
      <c r="G5856" t="s">
        <v>3612</v>
      </c>
      <c r="H5856" t="s">
        <v>7955</v>
      </c>
      <c r="I5856" t="s">
        <v>10906</v>
      </c>
      <c r="J5856" t="s">
        <v>14196</v>
      </c>
      <c r="K5856" t="s">
        <v>18562</v>
      </c>
      <c r="L5856">
        <f>HYPERLINK("https://www2.assemblee-nationale.fr/sycomore/fiche/(num_dept)/7605", "7605")</f>
        <v>0</v>
      </c>
      <c r="N5856">
        <f>HYPERLINK("https://www.wikidata.org/wiki/Q2959611", "Q2959611")</f>
        <v>0</v>
      </c>
      <c r="O5856" t="s">
        <v>20038</v>
      </c>
      <c r="Q5856" t="s">
        <v>20741</v>
      </c>
      <c r="R5856" t="s">
        <v>417</v>
      </c>
      <c r="S5856">
        <v>1402</v>
      </c>
    </row>
    <row r="5857" spans="1:19">
      <c r="A5857" t="s">
        <v>27</v>
      </c>
      <c r="B5857" t="s">
        <v>148</v>
      </c>
      <c r="C5857" t="s">
        <v>159</v>
      </c>
      <c r="D5857" t="s">
        <v>288</v>
      </c>
      <c r="E5857" t="s">
        <v>417</v>
      </c>
      <c r="F5857">
        <f>HYPERLINK("https://www.wikidata.org/wiki/Q33755832", "Q33755832")</f>
        <v>0</v>
      </c>
      <c r="G5857" t="s">
        <v>3613</v>
      </c>
      <c r="H5857" t="s">
        <v>6928</v>
      </c>
      <c r="I5857" t="s">
        <v>7642</v>
      </c>
      <c r="J5857" t="s">
        <v>14197</v>
      </c>
      <c r="K5857" t="s">
        <v>18563</v>
      </c>
      <c r="L5857">
        <f>HYPERLINK("https://www2.assemblee-nationale.fr/sycomore/fiche/(num_dept)/4384", "4384")</f>
        <v>0</v>
      </c>
      <c r="N5857">
        <f>HYPERLINK("https://www.wikidata.org/wiki/Q16025947", "Q16025947")</f>
        <v>0</v>
      </c>
      <c r="O5857" t="s">
        <v>20045</v>
      </c>
      <c r="Q5857" t="s">
        <v>17567</v>
      </c>
      <c r="R5857" t="s">
        <v>417</v>
      </c>
      <c r="S5857">
        <v>1382</v>
      </c>
    </row>
    <row r="5858" spans="1:19">
      <c r="A5858" t="s">
        <v>27</v>
      </c>
      <c r="B5858" t="s">
        <v>148</v>
      </c>
      <c r="C5858" t="s">
        <v>159</v>
      </c>
      <c r="D5858" t="s">
        <v>288</v>
      </c>
      <c r="E5858" t="s">
        <v>417</v>
      </c>
      <c r="F5858">
        <f>HYPERLINK("https://www.wikidata.org/wiki/Q33755832", "Q33755832")</f>
        <v>0</v>
      </c>
      <c r="G5858" t="s">
        <v>3614</v>
      </c>
      <c r="H5858" t="s">
        <v>7956</v>
      </c>
      <c r="I5858" t="s">
        <v>10907</v>
      </c>
      <c r="J5858" t="s">
        <v>14198</v>
      </c>
      <c r="K5858" t="s">
        <v>18564</v>
      </c>
      <c r="L5858">
        <f>HYPERLINK("https://www2.assemblee-nationale.fr/sycomore/fiche/(num_dept)/1397", "1397")</f>
        <v>0</v>
      </c>
      <c r="N5858">
        <f>HYPERLINK("https://www.wikidata.org/wiki/Q15974109", "Q15974109")</f>
        <v>0</v>
      </c>
      <c r="O5858" t="s">
        <v>20045</v>
      </c>
      <c r="Q5858" t="s">
        <v>20742</v>
      </c>
      <c r="R5858" t="s">
        <v>417</v>
      </c>
      <c r="S5858">
        <v>1371</v>
      </c>
    </row>
    <row r="5859" spans="1:19">
      <c r="A5859" t="s">
        <v>27</v>
      </c>
      <c r="B5859" t="s">
        <v>148</v>
      </c>
      <c r="C5859" t="s">
        <v>159</v>
      </c>
      <c r="D5859" t="s">
        <v>288</v>
      </c>
      <c r="E5859" t="s">
        <v>417</v>
      </c>
      <c r="F5859">
        <f>HYPERLINK("https://www.wikidata.org/wiki/Q33755832", "Q33755832")</f>
        <v>0</v>
      </c>
      <c r="G5859" t="s">
        <v>578</v>
      </c>
      <c r="H5859" t="s">
        <v>5340</v>
      </c>
      <c r="I5859" t="s">
        <v>9429</v>
      </c>
      <c r="J5859" t="s">
        <v>11329</v>
      </c>
      <c r="K5859" t="s">
        <v>15730</v>
      </c>
      <c r="L5859">
        <f>HYPERLINK("https://www2.assemblee-nationale.fr/sycomore/fiche/(num_dept)/1831", "1831")</f>
        <v>0</v>
      </c>
      <c r="N5859">
        <f>HYPERLINK("https://www.wikidata.org/wiki/Q16025454", "Q16025454")</f>
        <v>0</v>
      </c>
      <c r="O5859" t="s">
        <v>20010</v>
      </c>
      <c r="Q5859" t="s">
        <v>20742</v>
      </c>
      <c r="R5859" t="s">
        <v>417</v>
      </c>
      <c r="S5859">
        <v>1371</v>
      </c>
    </row>
    <row r="5860" spans="1:19">
      <c r="A5860" t="s">
        <v>27</v>
      </c>
      <c r="B5860" t="s">
        <v>148</v>
      </c>
      <c r="C5860" t="s">
        <v>159</v>
      </c>
      <c r="D5860" t="s">
        <v>288</v>
      </c>
      <c r="E5860" t="s">
        <v>417</v>
      </c>
      <c r="F5860">
        <f>HYPERLINK("https://www.wikidata.org/wiki/Q33755832", "Q33755832")</f>
        <v>0</v>
      </c>
      <c r="G5860" t="s">
        <v>3615</v>
      </c>
      <c r="H5860" t="s">
        <v>7957</v>
      </c>
      <c r="I5860" t="s">
        <v>9440</v>
      </c>
      <c r="J5860" t="s">
        <v>13660</v>
      </c>
      <c r="K5860" t="s">
        <v>18565</v>
      </c>
      <c r="L5860">
        <f>HYPERLINK("https://www2.assemblee-nationale.fr/sycomore/fiche/(num_dept)/3172", "3172")</f>
        <v>0</v>
      </c>
      <c r="N5860">
        <f>HYPERLINK("https://www.wikidata.org/wiki/Q16025735", "Q16025735")</f>
        <v>0</v>
      </c>
      <c r="O5860" t="s">
        <v>19977</v>
      </c>
      <c r="Q5860" t="s">
        <v>20742</v>
      </c>
      <c r="R5860" t="s">
        <v>18565</v>
      </c>
      <c r="S5860">
        <v>1113</v>
      </c>
    </row>
    <row r="5861" spans="1:19">
      <c r="A5861" t="s">
        <v>27</v>
      </c>
      <c r="B5861" t="s">
        <v>148</v>
      </c>
      <c r="C5861" t="s">
        <v>159</v>
      </c>
      <c r="D5861" t="s">
        <v>288</v>
      </c>
      <c r="E5861" t="s">
        <v>417</v>
      </c>
      <c r="F5861">
        <f>HYPERLINK("https://www.wikidata.org/wiki/Q33755832", "Q33755832")</f>
        <v>0</v>
      </c>
      <c r="G5861" t="s">
        <v>3616</v>
      </c>
      <c r="H5861" t="s">
        <v>7958</v>
      </c>
      <c r="I5861" t="s">
        <v>10908</v>
      </c>
      <c r="J5861" t="s">
        <v>14199</v>
      </c>
      <c r="K5861" t="s">
        <v>18566</v>
      </c>
      <c r="L5861">
        <f>HYPERLINK("https://www2.assemblee-nationale.fr/sycomore/fiche/(num_dept)/4266", "4266")</f>
        <v>0</v>
      </c>
      <c r="N5861">
        <f>HYPERLINK("https://www.wikidata.org/wiki/Q16026074", "Q16026074")</f>
        <v>0</v>
      </c>
      <c r="O5861" t="s">
        <v>19985</v>
      </c>
      <c r="Q5861" t="s">
        <v>20743</v>
      </c>
      <c r="R5861" t="s">
        <v>417</v>
      </c>
      <c r="S5861">
        <v>1357</v>
      </c>
    </row>
    <row r="5862" spans="1:19">
      <c r="A5862" t="s">
        <v>27</v>
      </c>
      <c r="B5862" t="s">
        <v>148</v>
      </c>
      <c r="C5862" t="s">
        <v>159</v>
      </c>
      <c r="D5862" t="s">
        <v>288</v>
      </c>
      <c r="E5862" t="s">
        <v>417</v>
      </c>
      <c r="F5862">
        <f>HYPERLINK("https://www.wikidata.org/wiki/Q33755832", "Q33755832")</f>
        <v>0</v>
      </c>
      <c r="G5862" t="s">
        <v>3617</v>
      </c>
      <c r="H5862" t="s">
        <v>7959</v>
      </c>
      <c r="I5862" t="s">
        <v>9508</v>
      </c>
      <c r="J5862" t="s">
        <v>11328</v>
      </c>
      <c r="K5862" t="s">
        <v>18567</v>
      </c>
      <c r="L5862">
        <f>HYPERLINK("https://www2.assemblee-nationale.fr/sycomore/fiche/(num_dept)/3659", "3659")</f>
        <v>0</v>
      </c>
      <c r="N5862">
        <f>HYPERLINK("https://www.wikidata.org/wiki/Q3383454", "Q3383454")</f>
        <v>0</v>
      </c>
      <c r="O5862" t="s">
        <v>19961</v>
      </c>
      <c r="Q5862" t="s">
        <v>20744</v>
      </c>
      <c r="R5862" t="s">
        <v>417</v>
      </c>
      <c r="S5862">
        <v>1343</v>
      </c>
    </row>
    <row r="5863" spans="1:19">
      <c r="A5863" t="s">
        <v>27</v>
      </c>
      <c r="B5863" t="s">
        <v>148</v>
      </c>
      <c r="C5863" t="s">
        <v>159</v>
      </c>
      <c r="D5863" t="s">
        <v>288</v>
      </c>
      <c r="E5863" t="s">
        <v>417</v>
      </c>
      <c r="F5863">
        <f>HYPERLINK("https://www.wikidata.org/wiki/Q33755832", "Q33755832")</f>
        <v>0</v>
      </c>
      <c r="G5863" t="s">
        <v>3348</v>
      </c>
      <c r="H5863" t="s">
        <v>5658</v>
      </c>
      <c r="I5863" t="s">
        <v>10784</v>
      </c>
      <c r="J5863" t="s">
        <v>13409</v>
      </c>
      <c r="K5863" t="s">
        <v>18330</v>
      </c>
      <c r="L5863">
        <f>HYPERLINK("https://www2.assemblee-nationale.fr/sycomore/fiche/(num_dept)/1567", "1567")</f>
        <v>0</v>
      </c>
      <c r="N5863">
        <f>HYPERLINK("https://www.wikidata.org/wiki/Q15974233", "Q15974233")</f>
        <v>0</v>
      </c>
      <c r="O5863" t="s">
        <v>19955</v>
      </c>
      <c r="P5863" t="s">
        <v>20401</v>
      </c>
      <c r="Q5863" t="s">
        <v>20745</v>
      </c>
      <c r="R5863" t="s">
        <v>417</v>
      </c>
      <c r="S5863">
        <v>1336</v>
      </c>
    </row>
    <row r="5864" spans="1:19">
      <c r="A5864" t="s">
        <v>27</v>
      </c>
      <c r="B5864" t="s">
        <v>148</v>
      </c>
      <c r="C5864" t="s">
        <v>159</v>
      </c>
      <c r="D5864" t="s">
        <v>288</v>
      </c>
      <c r="E5864" t="s">
        <v>417</v>
      </c>
      <c r="F5864">
        <f>HYPERLINK("https://www.wikidata.org/wiki/Q33755832", "Q33755832")</f>
        <v>0</v>
      </c>
      <c r="G5864" t="s">
        <v>3261</v>
      </c>
      <c r="H5864" t="s">
        <v>7679</v>
      </c>
      <c r="I5864" t="s">
        <v>9601</v>
      </c>
      <c r="J5864" t="s">
        <v>13877</v>
      </c>
      <c r="K5864" t="s">
        <v>18249</v>
      </c>
      <c r="L5864">
        <f>HYPERLINK("https://www2.assemblee-nationale.fr/sycomore/fiche/(num_dept)/4400", "4400")</f>
        <v>0</v>
      </c>
      <c r="N5864">
        <f>HYPERLINK("https://www.wikidata.org/wiki/Q3081536", "Q3081536")</f>
        <v>0</v>
      </c>
      <c r="O5864" t="s">
        <v>19969</v>
      </c>
      <c r="Q5864" t="s">
        <v>20745</v>
      </c>
      <c r="R5864" t="s">
        <v>417</v>
      </c>
      <c r="S5864">
        <v>1336</v>
      </c>
    </row>
    <row r="5865" spans="1:19">
      <c r="A5865" t="s">
        <v>27</v>
      </c>
      <c r="B5865" t="s">
        <v>148</v>
      </c>
      <c r="C5865" t="s">
        <v>159</v>
      </c>
      <c r="D5865" t="s">
        <v>288</v>
      </c>
      <c r="E5865" t="s">
        <v>417</v>
      </c>
      <c r="F5865">
        <f>HYPERLINK("https://www.wikidata.org/wiki/Q33755832", "Q33755832")</f>
        <v>0</v>
      </c>
      <c r="G5865" t="s">
        <v>3618</v>
      </c>
      <c r="H5865" t="s">
        <v>7237</v>
      </c>
      <c r="I5865" t="s">
        <v>9388</v>
      </c>
      <c r="J5865" t="s">
        <v>14200</v>
      </c>
      <c r="K5865" t="s">
        <v>16176</v>
      </c>
      <c r="L5865">
        <f>HYPERLINK("https://www2.assemblee-nationale.fr/sycomore/fiche/(num_dept)/7638", "7638")</f>
        <v>0</v>
      </c>
      <c r="N5865">
        <f>HYPERLINK("https://www.wikidata.org/wiki/Q3371659", "Q3371659")</f>
        <v>0</v>
      </c>
      <c r="O5865" t="s">
        <v>19976</v>
      </c>
      <c r="Q5865" t="s">
        <v>20745</v>
      </c>
      <c r="R5865" t="s">
        <v>417</v>
      </c>
      <c r="S5865">
        <v>1336</v>
      </c>
    </row>
    <row r="5866" spans="1:19">
      <c r="A5866" t="s">
        <v>27</v>
      </c>
      <c r="B5866" t="s">
        <v>148</v>
      </c>
      <c r="C5866" t="s">
        <v>159</v>
      </c>
      <c r="D5866" t="s">
        <v>288</v>
      </c>
      <c r="E5866" t="s">
        <v>417</v>
      </c>
      <c r="F5866">
        <f>HYPERLINK("https://www.wikidata.org/wiki/Q33755832", "Q33755832")</f>
        <v>0</v>
      </c>
      <c r="G5866" t="s">
        <v>2636</v>
      </c>
      <c r="H5866" t="s">
        <v>7181</v>
      </c>
      <c r="I5866" t="s">
        <v>10329</v>
      </c>
      <c r="J5866" t="s">
        <v>13278</v>
      </c>
      <c r="K5866" t="s">
        <v>17680</v>
      </c>
      <c r="L5866">
        <f>HYPERLINK("https://www2.assemblee-nationale.fr/sycomore/fiche/(num_dept)/5506", "5506")</f>
        <v>0</v>
      </c>
      <c r="M5866">
        <f>HYPERLINK("https://www.senat.fr/senateur-3eme-republique/naquet_alfred1708r3.html", "naquet_alfred1708r3")</f>
        <v>0</v>
      </c>
      <c r="N5866">
        <f>HYPERLINK("https://www.wikidata.org/wiki/Q2340682", "Q2340682")</f>
        <v>0</v>
      </c>
      <c r="O5866" t="s">
        <v>19969</v>
      </c>
      <c r="Q5866" t="s">
        <v>20746</v>
      </c>
      <c r="R5866" t="s">
        <v>417</v>
      </c>
      <c r="S5866">
        <v>1322</v>
      </c>
    </row>
    <row r="5867" spans="1:19">
      <c r="A5867" t="s">
        <v>27</v>
      </c>
      <c r="B5867" t="s">
        <v>148</v>
      </c>
      <c r="C5867" t="s">
        <v>159</v>
      </c>
      <c r="D5867" t="s">
        <v>288</v>
      </c>
      <c r="E5867" t="s">
        <v>417</v>
      </c>
      <c r="F5867">
        <f>HYPERLINK("https://www.wikidata.org/wiki/Q33755832", "Q33755832")</f>
        <v>0</v>
      </c>
      <c r="G5867" t="s">
        <v>606</v>
      </c>
      <c r="H5867" t="s">
        <v>5366</v>
      </c>
      <c r="I5867" t="s">
        <v>9449</v>
      </c>
      <c r="J5867" t="s">
        <v>11357</v>
      </c>
      <c r="K5867" t="s">
        <v>15758</v>
      </c>
      <c r="L5867">
        <f>HYPERLINK("https://www2.assemblee-nationale.fr/sycomore/fiche/(num_dept)/2254", "2254")</f>
        <v>0</v>
      </c>
      <c r="M5867">
        <f>HYPERLINK("https://www.senat.fr/senateur-3eme-republique/delahaye_jules1154r3.html", "delahaye_jules1154r3")</f>
        <v>0</v>
      </c>
      <c r="N5867">
        <f>HYPERLINK("https://www.wikidata.org/wiki/Q3188522", "Q3188522")</f>
        <v>0</v>
      </c>
      <c r="O5867" t="s">
        <v>20008</v>
      </c>
      <c r="Q5867" t="s">
        <v>20747</v>
      </c>
      <c r="R5867" t="s">
        <v>417</v>
      </c>
      <c r="S5867">
        <v>1315</v>
      </c>
    </row>
    <row r="5868" spans="1:19">
      <c r="A5868" t="s">
        <v>27</v>
      </c>
      <c r="B5868" t="s">
        <v>148</v>
      </c>
      <c r="C5868" t="s">
        <v>159</v>
      </c>
      <c r="D5868" t="s">
        <v>288</v>
      </c>
      <c r="E5868" t="s">
        <v>417</v>
      </c>
      <c r="F5868">
        <f>HYPERLINK("https://www.wikidata.org/wiki/Q33755832", "Q33755832")</f>
        <v>0</v>
      </c>
      <c r="G5868" t="s">
        <v>3619</v>
      </c>
      <c r="H5868" t="s">
        <v>7960</v>
      </c>
      <c r="I5868" t="s">
        <v>9470</v>
      </c>
      <c r="J5868" t="s">
        <v>14201</v>
      </c>
      <c r="K5868" t="s">
        <v>18568</v>
      </c>
      <c r="L5868">
        <f>HYPERLINK("https://www2.assemblee-nationale.fr/sycomore/fiche/(num_dept)/3675", "3675")</f>
        <v>0</v>
      </c>
      <c r="N5868">
        <f>HYPERLINK("https://www.wikidata.org/wiki/Q16025829", "Q16025829")</f>
        <v>0</v>
      </c>
      <c r="O5868" t="s">
        <v>19972</v>
      </c>
      <c r="P5868" t="s">
        <v>20402</v>
      </c>
      <c r="Q5868" t="s">
        <v>20747</v>
      </c>
      <c r="R5868" t="s">
        <v>417</v>
      </c>
      <c r="S5868">
        <v>1315</v>
      </c>
    </row>
    <row r="5869" spans="1:19">
      <c r="A5869" t="s">
        <v>27</v>
      </c>
      <c r="B5869" t="s">
        <v>148</v>
      </c>
      <c r="C5869" t="s">
        <v>159</v>
      </c>
      <c r="D5869" t="s">
        <v>288</v>
      </c>
      <c r="E5869" t="s">
        <v>417</v>
      </c>
      <c r="F5869">
        <f>HYPERLINK("https://www.wikidata.org/wiki/Q33755832", "Q33755832")</f>
        <v>0</v>
      </c>
      <c r="G5869" t="s">
        <v>3620</v>
      </c>
      <c r="H5869" t="s">
        <v>6248</v>
      </c>
      <c r="I5869" t="s">
        <v>9375</v>
      </c>
      <c r="J5869" t="s">
        <v>14202</v>
      </c>
      <c r="K5869" t="s">
        <v>18569</v>
      </c>
      <c r="L5869">
        <f>HYPERLINK("https://www2.assemblee-nationale.fr/sycomore/fiche/(num_dept)/5476", "5476")</f>
        <v>0</v>
      </c>
      <c r="N5869">
        <f>HYPERLINK("https://www.wikidata.org/wiki/Q16798522", "Q16798522")</f>
        <v>0</v>
      </c>
      <c r="O5869" t="s">
        <v>20008</v>
      </c>
      <c r="Q5869" t="s">
        <v>20747</v>
      </c>
      <c r="R5869" t="s">
        <v>417</v>
      </c>
      <c r="S5869">
        <v>1315</v>
      </c>
    </row>
    <row r="5870" spans="1:19">
      <c r="A5870" t="s">
        <v>27</v>
      </c>
      <c r="B5870" t="s">
        <v>148</v>
      </c>
      <c r="C5870" t="s">
        <v>159</v>
      </c>
      <c r="D5870" t="s">
        <v>288</v>
      </c>
      <c r="E5870" t="s">
        <v>417</v>
      </c>
      <c r="F5870">
        <f>HYPERLINK("https://www.wikidata.org/wiki/Q33755832", "Q33755832")</f>
        <v>0</v>
      </c>
      <c r="G5870" t="s">
        <v>3621</v>
      </c>
      <c r="H5870" t="s">
        <v>7961</v>
      </c>
      <c r="I5870" t="s">
        <v>9692</v>
      </c>
      <c r="J5870" t="s">
        <v>14203</v>
      </c>
      <c r="K5870" t="s">
        <v>18570</v>
      </c>
      <c r="L5870">
        <f>HYPERLINK("https://www2.assemblee-nationale.fr/sycomore/fiche/(num_dept)/7842", "7842")</f>
        <v>0</v>
      </c>
      <c r="M5870">
        <f>HYPERLINK("https://www.senat.fr/senateur-3eme-republique/leygue_raymond0108r3.html", "leygue_raymond0108r3")</f>
        <v>0</v>
      </c>
      <c r="N5870">
        <f>HYPERLINK("https://www.wikidata.org/wiki/Q3421004", "Q3421004")</f>
        <v>0</v>
      </c>
      <c r="O5870" t="s">
        <v>20016</v>
      </c>
      <c r="P5870" t="s">
        <v>20477</v>
      </c>
      <c r="Q5870" t="s">
        <v>20747</v>
      </c>
      <c r="R5870" t="s">
        <v>417</v>
      </c>
      <c r="S5870">
        <v>1315</v>
      </c>
    </row>
    <row r="5871" spans="1:19">
      <c r="A5871" t="s">
        <v>27</v>
      </c>
      <c r="B5871" t="s">
        <v>148</v>
      </c>
      <c r="C5871" t="s">
        <v>159</v>
      </c>
      <c r="D5871" t="s">
        <v>288</v>
      </c>
      <c r="E5871" t="s">
        <v>417</v>
      </c>
      <c r="F5871">
        <f>HYPERLINK("https://www.wikidata.org/wiki/Q33755832", "Q33755832")</f>
        <v>0</v>
      </c>
      <c r="G5871" t="s">
        <v>3363</v>
      </c>
      <c r="H5871" t="s">
        <v>7760</v>
      </c>
      <c r="I5871" t="s">
        <v>10792</v>
      </c>
      <c r="J5871" t="s">
        <v>13975</v>
      </c>
      <c r="K5871" t="s">
        <v>18343</v>
      </c>
      <c r="L5871">
        <f>HYPERLINK("https://www2.assemblee-nationale.fr/sycomore/fiche/(num_dept)/1393", "1393")</f>
        <v>0</v>
      </c>
      <c r="N5871">
        <f>HYPERLINK("https://www.wikidata.org/wiki/Q15974106", "Q15974106")</f>
        <v>0</v>
      </c>
      <c r="O5871" t="s">
        <v>20016</v>
      </c>
      <c r="P5871" t="s">
        <v>20480</v>
      </c>
      <c r="Q5871" t="s">
        <v>20748</v>
      </c>
      <c r="R5871" t="s">
        <v>417</v>
      </c>
      <c r="S5871">
        <v>1301</v>
      </c>
    </row>
    <row r="5872" spans="1:19">
      <c r="A5872" t="s">
        <v>27</v>
      </c>
      <c r="B5872" t="s">
        <v>148</v>
      </c>
      <c r="C5872" t="s">
        <v>159</v>
      </c>
      <c r="D5872" t="s">
        <v>288</v>
      </c>
      <c r="E5872" t="s">
        <v>417</v>
      </c>
      <c r="F5872">
        <f>HYPERLINK("https://www.wikidata.org/wiki/Q33755832", "Q33755832")</f>
        <v>0</v>
      </c>
      <c r="G5872" t="s">
        <v>3622</v>
      </c>
      <c r="H5872" t="s">
        <v>5723</v>
      </c>
      <c r="I5872" t="s">
        <v>10909</v>
      </c>
      <c r="J5872" t="s">
        <v>13191</v>
      </c>
      <c r="K5872" t="s">
        <v>18571</v>
      </c>
      <c r="L5872">
        <f>HYPERLINK("https://www2.assemblee-nationale.fr/sycomore/fiche/(num_dept)/3649", "3649")</f>
        <v>0</v>
      </c>
      <c r="N5872">
        <f>HYPERLINK("https://www.wikidata.org/wiki/Q16025824", "Q16025824")</f>
        <v>0</v>
      </c>
      <c r="O5872" t="s">
        <v>19965</v>
      </c>
      <c r="Q5872" t="s">
        <v>20749</v>
      </c>
      <c r="R5872" t="s">
        <v>417</v>
      </c>
      <c r="S5872">
        <v>1294</v>
      </c>
    </row>
    <row r="5873" spans="1:19">
      <c r="A5873" t="s">
        <v>27</v>
      </c>
      <c r="B5873" t="s">
        <v>148</v>
      </c>
      <c r="C5873" t="s">
        <v>159</v>
      </c>
      <c r="D5873" t="s">
        <v>288</v>
      </c>
      <c r="E5873" t="s">
        <v>417</v>
      </c>
      <c r="F5873">
        <f>HYPERLINK("https://www.wikidata.org/wiki/Q33755832", "Q33755832")</f>
        <v>0</v>
      </c>
      <c r="G5873" t="s">
        <v>798</v>
      </c>
      <c r="H5873" t="s">
        <v>5555</v>
      </c>
      <c r="I5873" t="s">
        <v>9529</v>
      </c>
      <c r="J5873" t="s">
        <v>11545</v>
      </c>
      <c r="K5873" t="s">
        <v>15949</v>
      </c>
      <c r="L5873">
        <f>HYPERLINK("https://www2.assemblee-nationale.fr/sycomore/fiche/(num_dept)/6581", "6581")</f>
        <v>0</v>
      </c>
      <c r="M5873">
        <f>HYPERLINK("https://www.senat.fr/senateur-3eme-republique/raiberti_flaminius0124r3.html", "raiberti_flaminius0124r3")</f>
        <v>0</v>
      </c>
      <c r="N5873">
        <f>HYPERLINK("https://www.wikidata.org/wiki/Q3073302", "Q3073302")</f>
        <v>0</v>
      </c>
      <c r="O5873" t="s">
        <v>20024</v>
      </c>
      <c r="Q5873" t="s">
        <v>20749</v>
      </c>
      <c r="R5873" t="s">
        <v>417</v>
      </c>
      <c r="S5873">
        <v>1294</v>
      </c>
    </row>
    <row r="5874" spans="1:19">
      <c r="A5874" t="s">
        <v>27</v>
      </c>
      <c r="B5874" t="s">
        <v>148</v>
      </c>
      <c r="C5874" t="s">
        <v>159</v>
      </c>
      <c r="D5874" t="s">
        <v>288</v>
      </c>
      <c r="E5874" t="s">
        <v>417</v>
      </c>
      <c r="F5874">
        <f>HYPERLINK("https://www.wikidata.org/wiki/Q33755832", "Q33755832")</f>
        <v>0</v>
      </c>
      <c r="G5874" t="s">
        <v>3623</v>
      </c>
      <c r="H5874" t="s">
        <v>7962</v>
      </c>
      <c r="I5874" t="s">
        <v>10910</v>
      </c>
      <c r="J5874" t="s">
        <v>14204</v>
      </c>
      <c r="K5874" t="s">
        <v>18237</v>
      </c>
      <c r="L5874">
        <f>HYPERLINK("https://www2.assemblee-nationale.fr/sycomore/fiche/(num_dept)/3160", "3160")</f>
        <v>0</v>
      </c>
      <c r="N5874">
        <f>HYPERLINK("https://www.wikidata.org/wiki/Q16025734", "Q16025734")</f>
        <v>0</v>
      </c>
      <c r="O5874" t="s">
        <v>19987</v>
      </c>
      <c r="Q5874" t="s">
        <v>20750</v>
      </c>
      <c r="R5874" t="s">
        <v>417</v>
      </c>
      <c r="S5874">
        <v>1280</v>
      </c>
    </row>
    <row r="5875" spans="1:19">
      <c r="A5875" t="s">
        <v>27</v>
      </c>
      <c r="B5875" t="s">
        <v>148</v>
      </c>
      <c r="C5875" t="s">
        <v>159</v>
      </c>
      <c r="D5875" t="s">
        <v>288</v>
      </c>
      <c r="E5875" t="s">
        <v>417</v>
      </c>
      <c r="F5875">
        <f>HYPERLINK("https://www.wikidata.org/wiki/Q33755832", "Q33755832")</f>
        <v>0</v>
      </c>
      <c r="G5875" t="s">
        <v>3624</v>
      </c>
      <c r="H5875" t="s">
        <v>5992</v>
      </c>
      <c r="I5875" t="s">
        <v>9442</v>
      </c>
      <c r="J5875" t="s">
        <v>14205</v>
      </c>
      <c r="K5875" t="s">
        <v>12941</v>
      </c>
      <c r="L5875">
        <f>HYPERLINK("https://www2.assemblee-nationale.fr/sycomore/fiche/(num_dept)/4260", "4260")</f>
        <v>0</v>
      </c>
      <c r="N5875">
        <f>HYPERLINK("https://www.wikidata.org/wiki/Q17350214", "Q17350214")</f>
        <v>0</v>
      </c>
      <c r="O5875" t="s">
        <v>19970</v>
      </c>
      <c r="Q5875" t="s">
        <v>20750</v>
      </c>
      <c r="R5875" t="s">
        <v>417</v>
      </c>
      <c r="S5875">
        <v>1280</v>
      </c>
    </row>
    <row r="5876" spans="1:19">
      <c r="A5876" t="s">
        <v>27</v>
      </c>
      <c r="B5876" t="s">
        <v>148</v>
      </c>
      <c r="C5876" t="s">
        <v>159</v>
      </c>
      <c r="D5876" t="s">
        <v>288</v>
      </c>
      <c r="E5876" t="s">
        <v>417</v>
      </c>
      <c r="F5876">
        <f>HYPERLINK("https://www.wikidata.org/wiki/Q33755832", "Q33755832")</f>
        <v>0</v>
      </c>
      <c r="G5876" t="s">
        <v>3625</v>
      </c>
      <c r="H5876" t="s">
        <v>7963</v>
      </c>
      <c r="I5876" t="s">
        <v>9375</v>
      </c>
      <c r="J5876" t="s">
        <v>14206</v>
      </c>
      <c r="K5876" t="s">
        <v>18572</v>
      </c>
      <c r="L5876">
        <f>HYPERLINK("https://www2.assemblee-nationale.fr/sycomore/fiche/(num_dept)/2341", "2341")</f>
        <v>0</v>
      </c>
      <c r="N5876">
        <f>HYPERLINK("https://www.wikidata.org/wiki/Q3164012", "Q3164012")</f>
        <v>0</v>
      </c>
      <c r="O5876" t="s">
        <v>20020</v>
      </c>
      <c r="P5876" t="s">
        <v>20411</v>
      </c>
      <c r="Q5876" t="s">
        <v>20751</v>
      </c>
      <c r="R5876" t="s">
        <v>417</v>
      </c>
      <c r="S5876">
        <v>1266</v>
      </c>
    </row>
    <row r="5877" spans="1:19">
      <c r="A5877" t="s">
        <v>27</v>
      </c>
      <c r="B5877" t="s">
        <v>148</v>
      </c>
      <c r="C5877" t="s">
        <v>159</v>
      </c>
      <c r="D5877" t="s">
        <v>288</v>
      </c>
      <c r="E5877" t="s">
        <v>417</v>
      </c>
      <c r="F5877">
        <f>HYPERLINK("https://www.wikidata.org/wiki/Q33755832", "Q33755832")</f>
        <v>0</v>
      </c>
      <c r="G5877" t="s">
        <v>2630</v>
      </c>
      <c r="H5877" t="s">
        <v>7176</v>
      </c>
      <c r="I5877" t="s">
        <v>10324</v>
      </c>
      <c r="J5877" t="s">
        <v>13272</v>
      </c>
      <c r="K5877" t="s">
        <v>17674</v>
      </c>
      <c r="L5877">
        <f>HYPERLINK("https://www2.assemblee-nationale.fr/sycomore/fiche/(num_dept)/5175", "5175")</f>
        <v>0</v>
      </c>
      <c r="N5877">
        <f>HYPERLINK("https://www.wikidata.org/wiki/Q3371888", "Q3371888")</f>
        <v>0</v>
      </c>
      <c r="O5877" t="s">
        <v>7411</v>
      </c>
      <c r="P5877" t="s">
        <v>20456</v>
      </c>
      <c r="Q5877" t="s">
        <v>20751</v>
      </c>
      <c r="R5877" t="s">
        <v>417</v>
      </c>
      <c r="S5877">
        <v>1266</v>
      </c>
    </row>
    <row r="5878" spans="1:19">
      <c r="A5878" t="s">
        <v>27</v>
      </c>
      <c r="B5878" t="s">
        <v>148</v>
      </c>
      <c r="C5878" t="s">
        <v>159</v>
      </c>
      <c r="D5878" t="s">
        <v>288</v>
      </c>
      <c r="E5878" t="s">
        <v>417</v>
      </c>
      <c r="F5878">
        <f>HYPERLINK("https://www.wikidata.org/wiki/Q33755832", "Q33755832")</f>
        <v>0</v>
      </c>
      <c r="G5878" t="s">
        <v>3626</v>
      </c>
      <c r="H5878" t="s">
        <v>7964</v>
      </c>
      <c r="I5878" t="s">
        <v>10911</v>
      </c>
      <c r="J5878" t="s">
        <v>14207</v>
      </c>
      <c r="K5878" t="s">
        <v>18573</v>
      </c>
      <c r="L5878">
        <f>HYPERLINK("https://www2.assemblee-nationale.fr/sycomore/fiche/(num_dept)/6372", "6372")</f>
        <v>0</v>
      </c>
      <c r="N5878">
        <f>HYPERLINK("https://www.wikidata.org/wiki/Q16026492", "Q16026492")</f>
        <v>0</v>
      </c>
      <c r="O5878" t="s">
        <v>19991</v>
      </c>
      <c r="Q5878" t="s">
        <v>20751</v>
      </c>
      <c r="R5878" t="s">
        <v>18573</v>
      </c>
      <c r="S5878">
        <v>793</v>
      </c>
    </row>
    <row r="5879" spans="1:19">
      <c r="A5879" t="s">
        <v>27</v>
      </c>
      <c r="B5879" t="s">
        <v>148</v>
      </c>
      <c r="C5879" t="s">
        <v>159</v>
      </c>
      <c r="D5879" t="s">
        <v>288</v>
      </c>
      <c r="E5879" t="s">
        <v>417</v>
      </c>
      <c r="F5879">
        <f>HYPERLINK("https://www.wikidata.org/wiki/Q33755832", "Q33755832")</f>
        <v>0</v>
      </c>
      <c r="G5879" t="s">
        <v>1159</v>
      </c>
      <c r="H5879" t="s">
        <v>5893</v>
      </c>
      <c r="I5879" t="s">
        <v>9687</v>
      </c>
      <c r="J5879" t="s">
        <v>11892</v>
      </c>
      <c r="K5879" t="s">
        <v>16294</v>
      </c>
      <c r="L5879">
        <f>HYPERLINK("https://www2.assemblee-nationale.fr/sycomore/fiche/(num_dept)/1744", "1744")</f>
        <v>0</v>
      </c>
      <c r="N5879">
        <f>HYPERLINK("https://www.wikidata.org/wiki/Q16025440", "Q16025440")</f>
        <v>0</v>
      </c>
      <c r="O5879" t="s">
        <v>20010</v>
      </c>
      <c r="Q5879" t="s">
        <v>20752</v>
      </c>
      <c r="R5879" t="s">
        <v>417</v>
      </c>
      <c r="S5879">
        <v>1259</v>
      </c>
    </row>
    <row r="5880" spans="1:19">
      <c r="A5880" t="s">
        <v>27</v>
      </c>
      <c r="B5880" t="s">
        <v>148</v>
      </c>
      <c r="C5880" t="s">
        <v>159</v>
      </c>
      <c r="D5880" t="s">
        <v>288</v>
      </c>
      <c r="E5880" t="s">
        <v>417</v>
      </c>
      <c r="F5880">
        <f>HYPERLINK("https://www.wikidata.org/wiki/Q33755832", "Q33755832")</f>
        <v>0</v>
      </c>
      <c r="G5880" t="s">
        <v>3627</v>
      </c>
      <c r="H5880" t="s">
        <v>7425</v>
      </c>
      <c r="I5880" t="s">
        <v>10912</v>
      </c>
      <c r="J5880" t="s">
        <v>14208</v>
      </c>
      <c r="K5880" t="s">
        <v>18574</v>
      </c>
      <c r="L5880">
        <f>HYPERLINK("https://www2.assemblee-nationale.fr/sycomore/fiche/(num_dept)/2725", "2725")</f>
        <v>0</v>
      </c>
      <c r="N5880">
        <f>HYPERLINK("https://www.wikidata.org/wiki/Q16025651", "Q16025651")</f>
        <v>0</v>
      </c>
      <c r="O5880" t="s">
        <v>20031</v>
      </c>
      <c r="Q5880" t="s">
        <v>20753</v>
      </c>
      <c r="R5880" t="s">
        <v>417</v>
      </c>
      <c r="S5880">
        <v>1252</v>
      </c>
    </row>
    <row r="5881" spans="1:19">
      <c r="A5881" t="s">
        <v>27</v>
      </c>
      <c r="B5881" t="s">
        <v>148</v>
      </c>
      <c r="C5881" t="s">
        <v>159</v>
      </c>
      <c r="D5881" t="s">
        <v>288</v>
      </c>
      <c r="E5881" t="s">
        <v>417</v>
      </c>
      <c r="F5881">
        <f>HYPERLINK("https://www.wikidata.org/wiki/Q33755832", "Q33755832")</f>
        <v>0</v>
      </c>
      <c r="G5881" t="s">
        <v>3628</v>
      </c>
      <c r="H5881" t="s">
        <v>7965</v>
      </c>
      <c r="I5881" t="s">
        <v>9989</v>
      </c>
      <c r="J5881" t="s">
        <v>14209</v>
      </c>
      <c r="K5881" t="s">
        <v>18575</v>
      </c>
      <c r="L5881">
        <f>HYPERLINK("https://www2.assemblee-nationale.fr/sycomore/fiche/(num_dept)/3940", "3940")</f>
        <v>0</v>
      </c>
      <c r="N5881">
        <f>HYPERLINK("https://www.wikidata.org/wiki/Q3579900", "Q3579900")</f>
        <v>0</v>
      </c>
      <c r="O5881" t="s">
        <v>19992</v>
      </c>
      <c r="Q5881" t="s">
        <v>20753</v>
      </c>
      <c r="R5881" t="s">
        <v>417</v>
      </c>
      <c r="S5881">
        <v>1252</v>
      </c>
    </row>
    <row r="5882" spans="1:19">
      <c r="A5882" t="s">
        <v>27</v>
      </c>
      <c r="B5882" t="s">
        <v>148</v>
      </c>
      <c r="C5882" t="s">
        <v>159</v>
      </c>
      <c r="D5882" t="s">
        <v>288</v>
      </c>
      <c r="E5882" t="s">
        <v>417</v>
      </c>
      <c r="F5882">
        <f>HYPERLINK("https://www.wikidata.org/wiki/Q33755832", "Q33755832")</f>
        <v>0</v>
      </c>
      <c r="G5882" t="s">
        <v>3371</v>
      </c>
      <c r="H5882" t="s">
        <v>7767</v>
      </c>
      <c r="I5882" t="s">
        <v>9457</v>
      </c>
      <c r="J5882" t="s">
        <v>13983</v>
      </c>
      <c r="K5882" t="s">
        <v>18351</v>
      </c>
      <c r="L5882">
        <f>HYPERLINK("https://www2.assemblee-nationale.fr/sycomore/fiche/(num_dept)/3828", "3828")</f>
        <v>0</v>
      </c>
      <c r="N5882">
        <f>HYPERLINK("https://www.wikidata.org/wiki/Q8326067", "Q8326067")</f>
        <v>0</v>
      </c>
      <c r="O5882" t="s">
        <v>20034</v>
      </c>
      <c r="Q5882" t="s">
        <v>20754</v>
      </c>
      <c r="R5882" t="s">
        <v>417</v>
      </c>
      <c r="S5882">
        <v>1251</v>
      </c>
    </row>
    <row r="5883" spans="1:19">
      <c r="A5883" t="s">
        <v>27</v>
      </c>
      <c r="B5883" t="s">
        <v>148</v>
      </c>
      <c r="C5883" t="s">
        <v>159</v>
      </c>
      <c r="D5883" t="s">
        <v>288</v>
      </c>
      <c r="E5883" t="s">
        <v>417</v>
      </c>
      <c r="F5883">
        <f>HYPERLINK("https://www.wikidata.org/wiki/Q33755832", "Q33755832")</f>
        <v>0</v>
      </c>
      <c r="G5883" t="s">
        <v>2510</v>
      </c>
      <c r="H5883" t="s">
        <v>7078</v>
      </c>
      <c r="I5883" t="s">
        <v>10255</v>
      </c>
      <c r="J5883" t="s">
        <v>13154</v>
      </c>
      <c r="K5883" t="s">
        <v>17562</v>
      </c>
      <c r="L5883">
        <f>HYPERLINK("https://www2.assemblee-nationale.fr/sycomore/fiche/(num_dept)/987", "987")</f>
        <v>0</v>
      </c>
      <c r="M5883">
        <f>HYPERLINK("https://www.senat.fr/senateur-3eme-republique/borriglione_alfred0114r3.html", "borriglione_alfred0114r3")</f>
        <v>0</v>
      </c>
      <c r="N5883">
        <f>HYPERLINK("https://www.wikidata.org/wiki/Q2834977", "Q2834977")</f>
        <v>0</v>
      </c>
      <c r="O5883" t="s">
        <v>20024</v>
      </c>
      <c r="Q5883" t="s">
        <v>20755</v>
      </c>
      <c r="R5883" t="s">
        <v>417</v>
      </c>
      <c r="S5883">
        <v>1238</v>
      </c>
    </row>
    <row r="5884" spans="1:19">
      <c r="A5884" t="s">
        <v>27</v>
      </c>
      <c r="B5884" t="s">
        <v>148</v>
      </c>
      <c r="C5884" t="s">
        <v>159</v>
      </c>
      <c r="D5884" t="s">
        <v>288</v>
      </c>
      <c r="E5884" t="s">
        <v>417</v>
      </c>
      <c r="F5884">
        <f>HYPERLINK("https://www.wikidata.org/wiki/Q33755832", "Q33755832")</f>
        <v>0</v>
      </c>
      <c r="G5884" t="s">
        <v>3629</v>
      </c>
      <c r="H5884" t="s">
        <v>7966</v>
      </c>
      <c r="I5884" t="s">
        <v>10913</v>
      </c>
      <c r="J5884" t="s">
        <v>14210</v>
      </c>
      <c r="K5884" t="s">
        <v>18576</v>
      </c>
      <c r="L5884">
        <f>HYPERLINK("https://www2.assemblee-nationale.fr/sycomore/fiche/(num_dept)/7154", "7154")</f>
        <v>0</v>
      </c>
      <c r="N5884">
        <f>HYPERLINK("https://www.wikidata.org/wiki/Q16026569", "Q16026569")</f>
        <v>0</v>
      </c>
      <c r="O5884" t="s">
        <v>20017</v>
      </c>
      <c r="Q5884" t="s">
        <v>20756</v>
      </c>
      <c r="R5884" t="s">
        <v>417</v>
      </c>
      <c r="S5884">
        <v>1196</v>
      </c>
    </row>
    <row r="5885" spans="1:19">
      <c r="A5885" t="s">
        <v>27</v>
      </c>
      <c r="B5885" t="s">
        <v>148</v>
      </c>
      <c r="C5885" t="s">
        <v>159</v>
      </c>
      <c r="D5885" t="s">
        <v>288</v>
      </c>
      <c r="E5885" t="s">
        <v>417</v>
      </c>
      <c r="F5885">
        <f>HYPERLINK("https://www.wikidata.org/wiki/Q33755832", "Q33755832")</f>
        <v>0</v>
      </c>
      <c r="G5885" t="s">
        <v>3630</v>
      </c>
      <c r="H5885" t="s">
        <v>7174</v>
      </c>
      <c r="I5885" t="s">
        <v>9426</v>
      </c>
      <c r="J5885" t="s">
        <v>14211</v>
      </c>
      <c r="K5885" t="s">
        <v>346</v>
      </c>
      <c r="L5885">
        <f>HYPERLINK("https://www2.assemblee-nationale.fr/sycomore/fiche/(num_dept)/5063", "5063")</f>
        <v>0</v>
      </c>
      <c r="N5885">
        <f>HYPERLINK("https://www.wikidata.org/wiki/Q16026059", "Q16026059")</f>
        <v>0</v>
      </c>
      <c r="O5885" t="s">
        <v>7411</v>
      </c>
      <c r="Q5885" t="s">
        <v>20757</v>
      </c>
      <c r="R5885" t="s">
        <v>417</v>
      </c>
      <c r="S5885">
        <v>1182</v>
      </c>
    </row>
    <row r="5886" spans="1:19">
      <c r="A5886" t="s">
        <v>27</v>
      </c>
      <c r="B5886" t="s">
        <v>148</v>
      </c>
      <c r="C5886" t="s">
        <v>159</v>
      </c>
      <c r="D5886" t="s">
        <v>288</v>
      </c>
      <c r="E5886" t="s">
        <v>417</v>
      </c>
      <c r="F5886">
        <f>HYPERLINK("https://www.wikidata.org/wiki/Q33755832", "Q33755832")</f>
        <v>0</v>
      </c>
      <c r="G5886" t="s">
        <v>3631</v>
      </c>
      <c r="H5886" t="s">
        <v>7349</v>
      </c>
      <c r="I5886" t="s">
        <v>5528</v>
      </c>
      <c r="J5886" t="s">
        <v>14212</v>
      </c>
      <c r="K5886" t="s">
        <v>18577</v>
      </c>
      <c r="L5886">
        <f>HYPERLINK("https://www2.assemblee-nationale.fr/sycomore/fiche/(num_dept)/3676", "3676")</f>
        <v>0</v>
      </c>
      <c r="N5886">
        <f>HYPERLINK("https://www.wikidata.org/wiki/Q3271028", "Q3271028")</f>
        <v>0</v>
      </c>
      <c r="O5886" t="s">
        <v>20013</v>
      </c>
      <c r="Q5886" t="s">
        <v>20758</v>
      </c>
      <c r="R5886" t="s">
        <v>417</v>
      </c>
      <c r="S5886">
        <v>1161</v>
      </c>
    </row>
    <row r="5887" spans="1:19">
      <c r="A5887" t="s">
        <v>27</v>
      </c>
      <c r="B5887" t="s">
        <v>148</v>
      </c>
      <c r="C5887" t="s">
        <v>159</v>
      </c>
      <c r="D5887" t="s">
        <v>288</v>
      </c>
      <c r="E5887" t="s">
        <v>417</v>
      </c>
      <c r="F5887">
        <f>HYPERLINK("https://www.wikidata.org/wiki/Q33755832", "Q33755832")</f>
        <v>0</v>
      </c>
      <c r="G5887" t="s">
        <v>2581</v>
      </c>
      <c r="H5887" t="s">
        <v>7133</v>
      </c>
      <c r="I5887" t="s">
        <v>9421</v>
      </c>
      <c r="J5887" t="s">
        <v>13225</v>
      </c>
      <c r="K5887" t="s">
        <v>17628</v>
      </c>
      <c r="L5887">
        <f>HYPERLINK("https://www2.assemblee-nationale.fr/sycomore/fiche/(num_dept)/3132", "3132")</f>
        <v>0</v>
      </c>
      <c r="N5887">
        <f>HYPERLINK("https://www.wikidata.org/wiki/Q28123320", "Q28123320")</f>
        <v>0</v>
      </c>
      <c r="O5887" t="s">
        <v>20029</v>
      </c>
      <c r="P5887" t="s">
        <v>20446</v>
      </c>
      <c r="Q5887" t="s">
        <v>20759</v>
      </c>
      <c r="R5887" t="s">
        <v>417</v>
      </c>
      <c r="S5887">
        <v>1154</v>
      </c>
    </row>
    <row r="5888" spans="1:19">
      <c r="A5888" t="s">
        <v>27</v>
      </c>
      <c r="B5888" t="s">
        <v>148</v>
      </c>
      <c r="C5888" t="s">
        <v>159</v>
      </c>
      <c r="D5888" t="s">
        <v>288</v>
      </c>
      <c r="E5888" t="s">
        <v>417</v>
      </c>
      <c r="F5888">
        <f>HYPERLINK("https://www.wikidata.org/wiki/Q33755832", "Q33755832")</f>
        <v>0</v>
      </c>
      <c r="G5888" t="s">
        <v>3632</v>
      </c>
      <c r="H5888" t="s">
        <v>5557</v>
      </c>
      <c r="I5888" t="s">
        <v>10914</v>
      </c>
      <c r="J5888" t="s">
        <v>14213</v>
      </c>
      <c r="L5888">
        <f>HYPERLINK("https://www2.assemblee-nationale.fr/sycomore/fiche/(num_dept)/6634", "6634")</f>
        <v>0</v>
      </c>
      <c r="N5888">
        <f>HYPERLINK("https://www.wikidata.org/wiki/Q16026058", "Q16026058")</f>
        <v>0</v>
      </c>
      <c r="O5888" t="s">
        <v>19966</v>
      </c>
      <c r="Q5888" t="s">
        <v>19254</v>
      </c>
      <c r="R5888" t="s">
        <v>12746</v>
      </c>
      <c r="S5888">
        <v>90</v>
      </c>
    </row>
    <row r="5889" spans="1:19">
      <c r="A5889" t="s">
        <v>27</v>
      </c>
      <c r="B5889" t="s">
        <v>148</v>
      </c>
      <c r="C5889" t="s">
        <v>159</v>
      </c>
      <c r="D5889" t="s">
        <v>288</v>
      </c>
      <c r="E5889" t="s">
        <v>417</v>
      </c>
      <c r="F5889">
        <f>HYPERLINK("https://www.wikidata.org/wiki/Q33755832", "Q33755832")</f>
        <v>0</v>
      </c>
      <c r="G5889" t="s">
        <v>867</v>
      </c>
      <c r="H5889" t="s">
        <v>5623</v>
      </c>
      <c r="I5889" t="s">
        <v>9565</v>
      </c>
      <c r="J5889" t="s">
        <v>11613</v>
      </c>
      <c r="K5889" t="s">
        <v>16015</v>
      </c>
      <c r="L5889">
        <f>HYPERLINK("https://www2.assemblee-nationale.fr/sycomore/fiche/(num_dept)/310", "310")</f>
        <v>0</v>
      </c>
      <c r="N5889">
        <f>HYPERLINK("https://www.wikidata.org/wiki/Q2853627", "Q2853627")</f>
        <v>0</v>
      </c>
      <c r="O5889" t="s">
        <v>20031</v>
      </c>
      <c r="P5889" t="s">
        <v>20411</v>
      </c>
      <c r="Q5889" t="s">
        <v>20760</v>
      </c>
      <c r="R5889" t="s">
        <v>417</v>
      </c>
      <c r="S5889">
        <v>1091</v>
      </c>
    </row>
    <row r="5890" spans="1:19">
      <c r="A5890" t="s">
        <v>27</v>
      </c>
      <c r="B5890" t="s">
        <v>148</v>
      </c>
      <c r="C5890" t="s">
        <v>159</v>
      </c>
      <c r="D5890" t="s">
        <v>288</v>
      </c>
      <c r="E5890" t="s">
        <v>417</v>
      </c>
      <c r="F5890">
        <f>HYPERLINK("https://www.wikidata.org/wiki/Q33755832", "Q33755832")</f>
        <v>0</v>
      </c>
      <c r="G5890" t="s">
        <v>3633</v>
      </c>
      <c r="H5890" t="s">
        <v>5818</v>
      </c>
      <c r="I5890" t="s">
        <v>6175</v>
      </c>
      <c r="J5890" t="s">
        <v>14214</v>
      </c>
      <c r="K5890" t="s">
        <v>18578</v>
      </c>
      <c r="L5890">
        <f>HYPERLINK("https://www2.assemblee-nationale.fr/sycomore/fiche/(num_dept)/7468", "7468")</f>
        <v>0</v>
      </c>
      <c r="N5890">
        <f>HYPERLINK("https://www.wikidata.org/wiki/Q16026595", "Q16026595")</f>
        <v>0</v>
      </c>
      <c r="O5890" t="s">
        <v>19976</v>
      </c>
      <c r="Q5890" t="s">
        <v>17888</v>
      </c>
      <c r="R5890" t="s">
        <v>417</v>
      </c>
      <c r="S5890">
        <v>1090</v>
      </c>
    </row>
    <row r="5891" spans="1:19">
      <c r="A5891" t="s">
        <v>27</v>
      </c>
      <c r="B5891" t="s">
        <v>148</v>
      </c>
      <c r="C5891" t="s">
        <v>159</v>
      </c>
      <c r="D5891" t="s">
        <v>288</v>
      </c>
      <c r="E5891" t="s">
        <v>417</v>
      </c>
      <c r="F5891">
        <f>HYPERLINK("https://www.wikidata.org/wiki/Q33755832", "Q33755832")</f>
        <v>0</v>
      </c>
      <c r="G5891" t="s">
        <v>3634</v>
      </c>
      <c r="H5891" t="s">
        <v>7967</v>
      </c>
      <c r="I5891" t="s">
        <v>10915</v>
      </c>
      <c r="J5891" t="s">
        <v>13348</v>
      </c>
      <c r="K5891" t="s">
        <v>18579</v>
      </c>
      <c r="L5891">
        <f>HYPERLINK("https://www2.assemblee-nationale.fr/sycomore/fiche/(num_dept)/7532", "7532")</f>
        <v>0</v>
      </c>
      <c r="N5891">
        <f>HYPERLINK("https://www.wikidata.org/wiki/Q13080909", "Q13080909")</f>
        <v>0</v>
      </c>
      <c r="O5891" t="s">
        <v>19969</v>
      </c>
      <c r="Q5891" t="s">
        <v>17861</v>
      </c>
      <c r="R5891" t="s">
        <v>417</v>
      </c>
      <c r="S5891">
        <v>1048</v>
      </c>
    </row>
    <row r="5892" spans="1:19">
      <c r="A5892" t="s">
        <v>27</v>
      </c>
      <c r="B5892" t="s">
        <v>148</v>
      </c>
      <c r="C5892" t="s">
        <v>159</v>
      </c>
      <c r="D5892" t="s">
        <v>288</v>
      </c>
      <c r="E5892" t="s">
        <v>417</v>
      </c>
      <c r="F5892">
        <f>HYPERLINK("https://www.wikidata.org/wiki/Q33755832", "Q33755832")</f>
        <v>0</v>
      </c>
      <c r="G5892" t="s">
        <v>880</v>
      </c>
      <c r="H5892" t="s">
        <v>5636</v>
      </c>
      <c r="I5892" t="s">
        <v>9571</v>
      </c>
      <c r="J5892" t="s">
        <v>11626</v>
      </c>
      <c r="K5892" t="s">
        <v>16027</v>
      </c>
      <c r="L5892">
        <f>HYPERLINK("https://www2.assemblee-nationale.fr/sycomore/fiche/(num_dept)/988", "988")</f>
        <v>0</v>
      </c>
      <c r="N5892">
        <f>HYPERLINK("https://www.wikidata.org/wiki/Q16025422", "Q16025422")</f>
        <v>0</v>
      </c>
      <c r="O5892" t="s">
        <v>19966</v>
      </c>
      <c r="P5892" t="s">
        <v>20402</v>
      </c>
      <c r="Q5892" t="s">
        <v>393</v>
      </c>
      <c r="R5892" t="s">
        <v>417</v>
      </c>
      <c r="S5892">
        <v>1014</v>
      </c>
    </row>
    <row r="5893" spans="1:19">
      <c r="A5893" t="s">
        <v>27</v>
      </c>
      <c r="B5893" t="s">
        <v>148</v>
      </c>
      <c r="C5893" t="s">
        <v>159</v>
      </c>
      <c r="D5893" t="s">
        <v>288</v>
      </c>
      <c r="E5893" t="s">
        <v>417</v>
      </c>
      <c r="F5893">
        <f>HYPERLINK("https://www.wikidata.org/wiki/Q33755832", "Q33755832")</f>
        <v>0</v>
      </c>
      <c r="G5893" t="s">
        <v>513</v>
      </c>
      <c r="H5893" t="s">
        <v>5278</v>
      </c>
      <c r="I5893" t="s">
        <v>9381</v>
      </c>
      <c r="J5893" t="s">
        <v>11265</v>
      </c>
      <c r="K5893" t="s">
        <v>15665</v>
      </c>
      <c r="L5893">
        <f>HYPERLINK("https://www2.assemblee-nationale.fr/sycomore/fiche/(num_dept)/462", "462")</f>
        <v>0</v>
      </c>
      <c r="N5893">
        <f>HYPERLINK("https://www.wikidata.org/wiki/Q3588329", "Q3588329")</f>
        <v>0</v>
      </c>
      <c r="O5893" t="s">
        <v>19968</v>
      </c>
      <c r="Q5893" t="s">
        <v>12892</v>
      </c>
      <c r="R5893" t="s">
        <v>417</v>
      </c>
      <c r="S5893">
        <v>965</v>
      </c>
    </row>
    <row r="5894" spans="1:19">
      <c r="A5894" t="s">
        <v>27</v>
      </c>
      <c r="B5894" t="s">
        <v>148</v>
      </c>
      <c r="C5894" t="s">
        <v>159</v>
      </c>
      <c r="D5894" t="s">
        <v>288</v>
      </c>
      <c r="E5894" t="s">
        <v>417</v>
      </c>
      <c r="F5894">
        <f>HYPERLINK("https://www.wikidata.org/wiki/Q33755832", "Q33755832")</f>
        <v>0</v>
      </c>
      <c r="G5894" t="s">
        <v>3635</v>
      </c>
      <c r="H5894" t="s">
        <v>7968</v>
      </c>
      <c r="I5894" t="s">
        <v>6200</v>
      </c>
      <c r="J5894" t="s">
        <v>14215</v>
      </c>
      <c r="K5894" t="s">
        <v>18495</v>
      </c>
      <c r="L5894">
        <f>HYPERLINK("https://www2.assemblee-nationale.fr/sycomore/fiche/(num_dept)/1843", "1843")</f>
        <v>0</v>
      </c>
      <c r="N5894">
        <f>HYPERLINK("https://www.wikidata.org/wiki/Q16025826", "Q16025826")</f>
        <v>0</v>
      </c>
      <c r="O5894" t="s">
        <v>19970</v>
      </c>
      <c r="P5894" t="s">
        <v>20479</v>
      </c>
      <c r="Q5894" t="s">
        <v>12892</v>
      </c>
      <c r="R5894" t="s">
        <v>417</v>
      </c>
      <c r="S5894">
        <v>965</v>
      </c>
    </row>
    <row r="5895" spans="1:19">
      <c r="A5895" t="s">
        <v>27</v>
      </c>
      <c r="B5895" t="s">
        <v>148</v>
      </c>
      <c r="C5895" t="s">
        <v>159</v>
      </c>
      <c r="D5895" t="s">
        <v>288</v>
      </c>
      <c r="E5895" t="s">
        <v>417</v>
      </c>
      <c r="F5895">
        <f>HYPERLINK("https://www.wikidata.org/wiki/Q33755832", "Q33755832")</f>
        <v>0</v>
      </c>
      <c r="G5895" t="s">
        <v>3636</v>
      </c>
      <c r="H5895" t="s">
        <v>7969</v>
      </c>
      <c r="I5895" t="s">
        <v>9442</v>
      </c>
      <c r="J5895" t="s">
        <v>14216</v>
      </c>
      <c r="K5895" t="s">
        <v>18580</v>
      </c>
      <c r="L5895">
        <f>HYPERLINK("https://www2.assemblee-nationale.fr/sycomore/fiche/(num_dept)/3806", "3806")</f>
        <v>0</v>
      </c>
      <c r="N5895">
        <f>HYPERLINK("https://www.wikidata.org/wiki/Q16025845", "Q16025845")</f>
        <v>0</v>
      </c>
      <c r="O5895" t="s">
        <v>20013</v>
      </c>
      <c r="Q5895" t="s">
        <v>12892</v>
      </c>
      <c r="R5895" t="s">
        <v>417</v>
      </c>
      <c r="S5895">
        <v>965</v>
      </c>
    </row>
    <row r="5896" spans="1:19">
      <c r="A5896" t="s">
        <v>27</v>
      </c>
      <c r="B5896" t="s">
        <v>148</v>
      </c>
      <c r="C5896" t="s">
        <v>159</v>
      </c>
      <c r="D5896" t="s">
        <v>288</v>
      </c>
      <c r="E5896" t="s">
        <v>417</v>
      </c>
      <c r="F5896">
        <f>HYPERLINK("https://www.wikidata.org/wiki/Q33755832", "Q33755832")</f>
        <v>0</v>
      </c>
      <c r="G5896" t="s">
        <v>3637</v>
      </c>
      <c r="H5896" t="s">
        <v>7970</v>
      </c>
      <c r="I5896" t="s">
        <v>9506</v>
      </c>
      <c r="J5896" t="s">
        <v>14217</v>
      </c>
      <c r="K5896" t="s">
        <v>18581</v>
      </c>
      <c r="L5896">
        <f>HYPERLINK("https://www2.assemblee-nationale.fr/sycomore/fiche/(num_dept)/4153", "4153")</f>
        <v>0</v>
      </c>
      <c r="N5896">
        <f>HYPERLINK("https://www.wikidata.org/wiki/Q2934973", "Q2934973")</f>
        <v>0</v>
      </c>
      <c r="O5896" t="s">
        <v>20017</v>
      </c>
      <c r="P5896" t="s">
        <v>20479</v>
      </c>
      <c r="Q5896" t="s">
        <v>12892</v>
      </c>
      <c r="R5896" t="s">
        <v>417</v>
      </c>
      <c r="S5896">
        <v>965</v>
      </c>
    </row>
    <row r="5897" spans="1:19">
      <c r="A5897" t="s">
        <v>27</v>
      </c>
      <c r="B5897" t="s">
        <v>148</v>
      </c>
      <c r="C5897" t="s">
        <v>159</v>
      </c>
      <c r="D5897" t="s">
        <v>288</v>
      </c>
      <c r="E5897" t="s">
        <v>417</v>
      </c>
      <c r="F5897">
        <f>HYPERLINK("https://www.wikidata.org/wiki/Q33755832", "Q33755832")</f>
        <v>0</v>
      </c>
      <c r="G5897" t="s">
        <v>2567</v>
      </c>
      <c r="H5897" t="s">
        <v>7124</v>
      </c>
      <c r="I5897" t="s">
        <v>9612</v>
      </c>
      <c r="J5897" t="s">
        <v>13211</v>
      </c>
      <c r="K5897" t="s">
        <v>17614</v>
      </c>
      <c r="L5897">
        <f>HYPERLINK("https://www2.assemblee-nationale.fr/sycomore/fiche/(num_dept)/2837", "2837")</f>
        <v>0</v>
      </c>
      <c r="N5897">
        <f>HYPERLINK("https://www.wikidata.org/wiki/Q16011198", "Q16011198")</f>
        <v>0</v>
      </c>
      <c r="O5897" t="s">
        <v>20001</v>
      </c>
      <c r="Q5897" t="s">
        <v>20761</v>
      </c>
      <c r="R5897" t="s">
        <v>417</v>
      </c>
      <c r="S5897">
        <v>952</v>
      </c>
    </row>
    <row r="5898" spans="1:19">
      <c r="A5898" t="s">
        <v>27</v>
      </c>
      <c r="B5898" t="s">
        <v>148</v>
      </c>
      <c r="C5898" t="s">
        <v>159</v>
      </c>
      <c r="D5898" t="s">
        <v>288</v>
      </c>
      <c r="E5898" t="s">
        <v>417</v>
      </c>
      <c r="F5898">
        <f>HYPERLINK("https://www.wikidata.org/wiki/Q33755832", "Q33755832")</f>
        <v>0</v>
      </c>
      <c r="G5898" t="s">
        <v>3638</v>
      </c>
      <c r="H5898" t="s">
        <v>5424</v>
      </c>
      <c r="I5898" t="s">
        <v>9535</v>
      </c>
      <c r="J5898" t="s">
        <v>14218</v>
      </c>
      <c r="K5898" t="s">
        <v>18582</v>
      </c>
      <c r="L5898">
        <f>HYPERLINK("https://www2.assemblee-nationale.fr/sycomore/fiche/(num_dept)/3498", "3498")</f>
        <v>0</v>
      </c>
      <c r="M5898">
        <f>HYPERLINK("https://www.senat.fr/senateur-3eme-republique/goujon_julien1586r3.html", "goujon_julien1586r3")</f>
        <v>0</v>
      </c>
      <c r="N5898">
        <f>HYPERLINK("https://www.wikidata.org/wiki/Q3189509", "Q3189509")</f>
        <v>0</v>
      </c>
      <c r="O5898" t="s">
        <v>19978</v>
      </c>
      <c r="Q5898" t="s">
        <v>20762</v>
      </c>
      <c r="R5898" t="s">
        <v>417</v>
      </c>
      <c r="S5898">
        <v>950</v>
      </c>
    </row>
    <row r="5899" spans="1:19">
      <c r="A5899" t="s">
        <v>27</v>
      </c>
      <c r="B5899" t="s">
        <v>148</v>
      </c>
      <c r="C5899" t="s">
        <v>159</v>
      </c>
      <c r="D5899" t="s">
        <v>288</v>
      </c>
      <c r="E5899" t="s">
        <v>417</v>
      </c>
      <c r="F5899">
        <f>HYPERLINK("https://www.wikidata.org/wiki/Q33755832", "Q33755832")</f>
        <v>0</v>
      </c>
      <c r="G5899" t="s">
        <v>3639</v>
      </c>
      <c r="H5899" t="s">
        <v>7971</v>
      </c>
      <c r="I5899" t="s">
        <v>7642</v>
      </c>
      <c r="J5899" t="s">
        <v>14219</v>
      </c>
      <c r="K5899" t="s">
        <v>17561</v>
      </c>
      <c r="L5899">
        <f>HYPERLINK("https://www2.assemblee-nationale.fr/sycomore/fiche/(num_dept)/7646", "7646")</f>
        <v>0</v>
      </c>
      <c r="N5899">
        <f>HYPERLINK("https://www.wikidata.org/wiki/Q3301023", "Q3301023")</f>
        <v>0</v>
      </c>
      <c r="O5899" t="s">
        <v>19978</v>
      </c>
      <c r="P5899" t="s">
        <v>20479</v>
      </c>
      <c r="Q5899" t="s">
        <v>20762</v>
      </c>
      <c r="R5899" t="s">
        <v>417</v>
      </c>
      <c r="S5899">
        <v>950</v>
      </c>
    </row>
    <row r="5900" spans="1:19">
      <c r="A5900" t="s">
        <v>27</v>
      </c>
      <c r="B5900" t="s">
        <v>148</v>
      </c>
      <c r="C5900" t="s">
        <v>159</v>
      </c>
      <c r="D5900" t="s">
        <v>288</v>
      </c>
      <c r="E5900" t="s">
        <v>417</v>
      </c>
      <c r="F5900">
        <f>HYPERLINK("https://www.wikidata.org/wiki/Q33755832", "Q33755832")</f>
        <v>0</v>
      </c>
      <c r="G5900" t="s">
        <v>3640</v>
      </c>
      <c r="H5900" t="s">
        <v>7972</v>
      </c>
      <c r="I5900" t="s">
        <v>10916</v>
      </c>
      <c r="J5900" t="s">
        <v>14220</v>
      </c>
      <c r="K5900" t="s">
        <v>18583</v>
      </c>
      <c r="L5900">
        <f>HYPERLINK("https://www2.assemblee-nationale.fr/sycomore/fiche/(num_dept)/6120", "6120")</f>
        <v>0</v>
      </c>
      <c r="N5900">
        <f>HYPERLINK("https://www.wikidata.org/wiki/Q3383064", "Q3383064")</f>
        <v>0</v>
      </c>
      <c r="O5900" t="s">
        <v>20011</v>
      </c>
      <c r="Q5900" t="s">
        <v>20763</v>
      </c>
      <c r="R5900" t="s">
        <v>18583</v>
      </c>
      <c r="S5900">
        <v>284</v>
      </c>
    </row>
    <row r="5901" spans="1:19">
      <c r="A5901" t="s">
        <v>27</v>
      </c>
      <c r="B5901" t="s">
        <v>148</v>
      </c>
      <c r="C5901" t="s">
        <v>159</v>
      </c>
      <c r="D5901" t="s">
        <v>288</v>
      </c>
      <c r="E5901" t="s">
        <v>417</v>
      </c>
      <c r="F5901">
        <f>HYPERLINK("https://www.wikidata.org/wiki/Q33755832", "Q33755832")</f>
        <v>0</v>
      </c>
      <c r="G5901" t="s">
        <v>3641</v>
      </c>
      <c r="H5901" t="s">
        <v>7973</v>
      </c>
      <c r="I5901" t="s">
        <v>9458</v>
      </c>
      <c r="J5901" t="s">
        <v>14221</v>
      </c>
      <c r="K5901" t="s">
        <v>18584</v>
      </c>
      <c r="L5901">
        <f>HYPERLINK("https://www2.assemblee-nationale.fr/sycomore/fiche/(num_dept)/7082", "7082")</f>
        <v>0</v>
      </c>
      <c r="N5901">
        <f>HYPERLINK("https://www.wikidata.org/wiki/Q8337934", "Q8337934")</f>
        <v>0</v>
      </c>
      <c r="O5901" t="s">
        <v>20008</v>
      </c>
      <c r="P5901" t="s">
        <v>20401</v>
      </c>
      <c r="Q5901" t="s">
        <v>20763</v>
      </c>
      <c r="R5901" t="s">
        <v>417</v>
      </c>
      <c r="S5901">
        <v>909</v>
      </c>
    </row>
    <row r="5902" spans="1:19">
      <c r="A5902" t="s">
        <v>27</v>
      </c>
      <c r="B5902" t="s">
        <v>148</v>
      </c>
      <c r="C5902" t="s">
        <v>159</v>
      </c>
      <c r="D5902" t="s">
        <v>288</v>
      </c>
      <c r="E5902" t="s">
        <v>417</v>
      </c>
      <c r="F5902">
        <f>HYPERLINK("https://www.wikidata.org/wiki/Q33755832", "Q33755832")</f>
        <v>0</v>
      </c>
      <c r="G5902" t="s">
        <v>3642</v>
      </c>
      <c r="H5902" t="s">
        <v>7974</v>
      </c>
      <c r="I5902" t="s">
        <v>9458</v>
      </c>
      <c r="J5902" t="s">
        <v>14222</v>
      </c>
      <c r="K5902" t="s">
        <v>18202</v>
      </c>
      <c r="L5902">
        <f>HYPERLINK("https://www2.assemblee-nationale.fr/sycomore/fiche/(num_dept)/5433", "5433")</f>
        <v>0</v>
      </c>
      <c r="M5902">
        <f>HYPERLINK("https://www.senat.fr/senateur-3eme-republique/moroux_alfred0263r3.html", "moroux_alfred0263r3")</f>
        <v>0</v>
      </c>
      <c r="N5902">
        <f>HYPERLINK("https://www.wikidata.org/wiki/Q2835349", "Q2835349")</f>
        <v>0</v>
      </c>
      <c r="O5902" t="s">
        <v>19975</v>
      </c>
      <c r="Q5902" t="s">
        <v>17643</v>
      </c>
      <c r="R5902" t="s">
        <v>417</v>
      </c>
      <c r="S5902">
        <v>894</v>
      </c>
    </row>
    <row r="5903" spans="1:19">
      <c r="A5903" t="s">
        <v>27</v>
      </c>
      <c r="B5903" t="s">
        <v>148</v>
      </c>
      <c r="C5903" t="s">
        <v>159</v>
      </c>
      <c r="D5903" t="s">
        <v>288</v>
      </c>
      <c r="E5903" t="s">
        <v>417</v>
      </c>
      <c r="F5903">
        <f>HYPERLINK("https://www.wikidata.org/wiki/Q33755832", "Q33755832")</f>
        <v>0</v>
      </c>
      <c r="G5903" t="s">
        <v>3643</v>
      </c>
      <c r="H5903" t="s">
        <v>7600</v>
      </c>
      <c r="I5903" t="s">
        <v>10786</v>
      </c>
      <c r="J5903" t="s">
        <v>14223</v>
      </c>
      <c r="K5903" t="s">
        <v>18585</v>
      </c>
      <c r="L5903">
        <f>HYPERLINK("https://www2.assemblee-nationale.fr/sycomore/fiche/(num_dept)/6728", "6728")</f>
        <v>0</v>
      </c>
      <c r="M5903">
        <f>HYPERLINK("https://www.senat.fr/senateur-3eme-republique/ricard_henri0543r3.html", "ricard_henri0543r3")</f>
        <v>0</v>
      </c>
      <c r="N5903">
        <f>HYPERLINK("https://www.wikidata.org/wiki/Q3131907", "Q3131907")</f>
        <v>0</v>
      </c>
      <c r="O5903" t="s">
        <v>20002</v>
      </c>
      <c r="Q5903" t="s">
        <v>20764</v>
      </c>
      <c r="R5903" t="s">
        <v>417</v>
      </c>
      <c r="S5903">
        <v>867</v>
      </c>
    </row>
    <row r="5904" spans="1:19">
      <c r="A5904" t="s">
        <v>27</v>
      </c>
      <c r="B5904" t="s">
        <v>148</v>
      </c>
      <c r="C5904" t="s">
        <v>159</v>
      </c>
      <c r="D5904" t="s">
        <v>288</v>
      </c>
      <c r="E5904" t="s">
        <v>417</v>
      </c>
      <c r="F5904">
        <f>HYPERLINK("https://www.wikidata.org/wiki/Q33755832", "Q33755832")</f>
        <v>0</v>
      </c>
      <c r="G5904" t="s">
        <v>3644</v>
      </c>
      <c r="H5904" t="s">
        <v>7975</v>
      </c>
      <c r="I5904" t="s">
        <v>9389</v>
      </c>
      <c r="J5904" t="s">
        <v>14224</v>
      </c>
      <c r="K5904" t="s">
        <v>18586</v>
      </c>
      <c r="L5904">
        <f>HYPERLINK("https://www2.assemblee-nationale.fr/sycomore/fiche/(num_dept)/7138", "7138")</f>
        <v>0</v>
      </c>
      <c r="N5904">
        <f>HYPERLINK("https://www.wikidata.org/wiki/Q13091125", "Q13091125")</f>
        <v>0</v>
      </c>
      <c r="O5904" t="s">
        <v>19969</v>
      </c>
      <c r="Q5904" t="s">
        <v>19367</v>
      </c>
      <c r="R5904" t="s">
        <v>417</v>
      </c>
      <c r="S5904">
        <v>839</v>
      </c>
    </row>
    <row r="5905" spans="1:19">
      <c r="A5905" t="s">
        <v>27</v>
      </c>
      <c r="B5905" t="s">
        <v>148</v>
      </c>
      <c r="C5905" t="s">
        <v>159</v>
      </c>
      <c r="D5905" t="s">
        <v>288</v>
      </c>
      <c r="E5905" t="s">
        <v>417</v>
      </c>
      <c r="F5905">
        <f>HYPERLINK("https://www.wikidata.org/wiki/Q33755832", "Q33755832")</f>
        <v>0</v>
      </c>
      <c r="G5905" t="s">
        <v>3645</v>
      </c>
      <c r="H5905" t="s">
        <v>7976</v>
      </c>
      <c r="I5905" t="s">
        <v>9389</v>
      </c>
      <c r="J5905" t="s">
        <v>14225</v>
      </c>
      <c r="K5905" t="s">
        <v>18587</v>
      </c>
      <c r="L5905">
        <f>HYPERLINK("https://www2.assemblee-nationale.fr/sycomore/fiche/(num_dept)/3516", "3516")</f>
        <v>0</v>
      </c>
      <c r="N5905">
        <f>HYPERLINK("https://www.wikidata.org/wiki/Q3588542", "Q3588542")</f>
        <v>0</v>
      </c>
      <c r="O5905" t="s">
        <v>20011</v>
      </c>
      <c r="Q5905" t="s">
        <v>20765</v>
      </c>
      <c r="R5905" t="s">
        <v>417</v>
      </c>
      <c r="S5905">
        <v>825</v>
      </c>
    </row>
    <row r="5906" spans="1:19">
      <c r="A5906" t="s">
        <v>27</v>
      </c>
      <c r="B5906" t="s">
        <v>148</v>
      </c>
      <c r="C5906" t="s">
        <v>159</v>
      </c>
      <c r="D5906" t="s">
        <v>288</v>
      </c>
      <c r="E5906" t="s">
        <v>417</v>
      </c>
      <c r="F5906">
        <f>HYPERLINK("https://www.wikidata.org/wiki/Q33755832", "Q33755832")</f>
        <v>0</v>
      </c>
      <c r="G5906" t="s">
        <v>3646</v>
      </c>
      <c r="H5906" t="s">
        <v>7977</v>
      </c>
      <c r="I5906" t="s">
        <v>5528</v>
      </c>
      <c r="J5906" t="s">
        <v>14226</v>
      </c>
      <c r="K5906" t="s">
        <v>18588</v>
      </c>
      <c r="L5906">
        <f>HYPERLINK("https://www2.assemblee-nationale.fr/sycomore/fiche/(num_dept)/5615", "5615")</f>
        <v>0</v>
      </c>
      <c r="N5906">
        <f>HYPERLINK("https://www.wikidata.org/wiki/Q3271242", "Q3271242")</f>
        <v>0</v>
      </c>
      <c r="O5906" t="s">
        <v>20018</v>
      </c>
      <c r="Q5906" t="s">
        <v>20766</v>
      </c>
      <c r="R5906" t="s">
        <v>417</v>
      </c>
      <c r="S5906">
        <v>797</v>
      </c>
    </row>
    <row r="5907" spans="1:19">
      <c r="A5907" t="s">
        <v>27</v>
      </c>
      <c r="B5907" t="s">
        <v>148</v>
      </c>
      <c r="C5907" t="s">
        <v>159</v>
      </c>
      <c r="D5907" t="s">
        <v>288</v>
      </c>
      <c r="E5907" t="s">
        <v>417</v>
      </c>
      <c r="F5907">
        <f>HYPERLINK("https://www.wikidata.org/wiki/Q33755832", "Q33755832")</f>
        <v>0</v>
      </c>
      <c r="G5907" t="s">
        <v>3647</v>
      </c>
      <c r="H5907" t="s">
        <v>7978</v>
      </c>
      <c r="I5907" t="s">
        <v>10917</v>
      </c>
      <c r="J5907" t="s">
        <v>14227</v>
      </c>
      <c r="K5907" t="s">
        <v>18589</v>
      </c>
      <c r="L5907">
        <f>HYPERLINK("https://www2.assemblee-nationale.fr/sycomore/fiche/(num_dept)/3116", "3116")</f>
        <v>0</v>
      </c>
      <c r="N5907">
        <f>HYPERLINK("https://www.wikidata.org/wiki/Q8313088", "Q8313088")</f>
        <v>0</v>
      </c>
      <c r="O5907" t="s">
        <v>19994</v>
      </c>
      <c r="P5907" t="s">
        <v>20411</v>
      </c>
      <c r="Q5907" t="s">
        <v>12975</v>
      </c>
      <c r="R5907" t="s">
        <v>417</v>
      </c>
      <c r="S5907">
        <v>790</v>
      </c>
    </row>
    <row r="5908" spans="1:19">
      <c r="A5908" t="s">
        <v>27</v>
      </c>
      <c r="B5908" t="s">
        <v>148</v>
      </c>
      <c r="C5908" t="s">
        <v>159</v>
      </c>
      <c r="D5908" t="s">
        <v>288</v>
      </c>
      <c r="E5908" t="s">
        <v>417</v>
      </c>
      <c r="F5908">
        <f>HYPERLINK("https://www.wikidata.org/wiki/Q33755832", "Q33755832")</f>
        <v>0</v>
      </c>
      <c r="G5908" t="s">
        <v>3648</v>
      </c>
      <c r="H5908" t="s">
        <v>7979</v>
      </c>
      <c r="I5908" t="s">
        <v>10918</v>
      </c>
      <c r="J5908" t="s">
        <v>14228</v>
      </c>
      <c r="K5908" t="s">
        <v>18590</v>
      </c>
      <c r="L5908">
        <f>HYPERLINK("https://www2.assemblee-nationale.fr/sycomore/fiche/(num_dept)/2386", "2386")</f>
        <v>0</v>
      </c>
      <c r="M5908">
        <f>HYPERLINK("https://www.senat.fr/senateur-3eme-republique/denoix_arnaud0671r3.html", "denoix_arnaud0671r3")</f>
        <v>0</v>
      </c>
      <c r="N5908">
        <f>HYPERLINK("https://www.wikidata.org/wiki/Q2863097", "Q2863097")</f>
        <v>0</v>
      </c>
      <c r="O5908" t="s">
        <v>20010</v>
      </c>
      <c r="P5908" t="s">
        <v>20479</v>
      </c>
      <c r="Q5908" t="s">
        <v>12907</v>
      </c>
      <c r="R5908" t="s">
        <v>417</v>
      </c>
      <c r="S5908">
        <v>734</v>
      </c>
    </row>
    <row r="5909" spans="1:19">
      <c r="A5909" t="s">
        <v>27</v>
      </c>
      <c r="B5909" t="s">
        <v>148</v>
      </c>
      <c r="C5909" t="s">
        <v>159</v>
      </c>
      <c r="D5909" t="s">
        <v>288</v>
      </c>
      <c r="E5909" t="s">
        <v>417</v>
      </c>
      <c r="F5909">
        <f>HYPERLINK("https://www.wikidata.org/wiki/Q33755832", "Q33755832")</f>
        <v>0</v>
      </c>
      <c r="G5909" t="s">
        <v>3381</v>
      </c>
      <c r="H5909" t="s">
        <v>7773</v>
      </c>
      <c r="I5909" t="s">
        <v>9388</v>
      </c>
      <c r="J5909" t="s">
        <v>13991</v>
      </c>
      <c r="K5909" t="s">
        <v>18361</v>
      </c>
      <c r="L5909">
        <f>HYPERLINK("https://www2.assemblee-nationale.fr/sycomore/fiche/(num_dept)/2569", "2569")</f>
        <v>0</v>
      </c>
      <c r="M5909">
        <f>HYPERLINK("https://www.senat.fr/senateur-3eme-republique/doumer_paul0473r3.html", "doumer_paul0473r3")</f>
        <v>0</v>
      </c>
      <c r="N5909">
        <f>HYPERLINK("https://www.wikidata.org/wiki/Q12680", "Q12680")</f>
        <v>0</v>
      </c>
      <c r="O5909" t="s">
        <v>20034</v>
      </c>
      <c r="P5909" t="s">
        <v>20401</v>
      </c>
      <c r="Q5909" t="s">
        <v>17936</v>
      </c>
      <c r="R5909" t="s">
        <v>417</v>
      </c>
      <c r="S5909">
        <v>720</v>
      </c>
    </row>
    <row r="5910" spans="1:19">
      <c r="A5910" t="s">
        <v>27</v>
      </c>
      <c r="B5910" t="s">
        <v>148</v>
      </c>
      <c r="C5910" t="s">
        <v>159</v>
      </c>
      <c r="D5910" t="s">
        <v>288</v>
      </c>
      <c r="E5910" t="s">
        <v>417</v>
      </c>
      <c r="F5910">
        <f>HYPERLINK("https://www.wikidata.org/wiki/Q33755832", "Q33755832")</f>
        <v>0</v>
      </c>
      <c r="G5910" t="s">
        <v>3649</v>
      </c>
      <c r="H5910" t="s">
        <v>7980</v>
      </c>
      <c r="I5910" t="s">
        <v>9388</v>
      </c>
      <c r="J5910" t="s">
        <v>14229</v>
      </c>
      <c r="K5910" t="s">
        <v>18591</v>
      </c>
      <c r="L5910">
        <f>HYPERLINK("https://www2.assemblee-nationale.fr/sycomore/fiche/(num_dept)/4245", "4245")</f>
        <v>0</v>
      </c>
      <c r="N5910">
        <f>HYPERLINK("https://www.wikidata.org/wiki/Q317152", "Q317152")</f>
        <v>0</v>
      </c>
      <c r="O5910" t="s">
        <v>20013</v>
      </c>
      <c r="Q5910" t="s">
        <v>17936</v>
      </c>
      <c r="R5910" t="s">
        <v>417</v>
      </c>
      <c r="S5910">
        <v>720</v>
      </c>
    </row>
    <row r="5911" spans="1:19">
      <c r="A5911" t="s">
        <v>27</v>
      </c>
      <c r="B5911" t="s">
        <v>148</v>
      </c>
      <c r="C5911" t="s">
        <v>159</v>
      </c>
      <c r="D5911" t="s">
        <v>288</v>
      </c>
      <c r="E5911" t="s">
        <v>417</v>
      </c>
      <c r="F5911">
        <f>HYPERLINK("https://www.wikidata.org/wiki/Q33755832", "Q33755832")</f>
        <v>0</v>
      </c>
      <c r="G5911" t="s">
        <v>624</v>
      </c>
      <c r="H5911" t="s">
        <v>5384</v>
      </c>
      <c r="I5911" t="s">
        <v>5349</v>
      </c>
      <c r="J5911" t="s">
        <v>11374</v>
      </c>
      <c r="K5911" t="s">
        <v>15776</v>
      </c>
      <c r="L5911">
        <f>HYPERLINK("https://www2.assemblee-nationale.fr/sycomore/fiche/(num_dept)/2686", "2686")</f>
        <v>0</v>
      </c>
      <c r="N5911">
        <f>HYPERLINK("https://www.wikidata.org/wiki/Q16025633", "Q16025633")</f>
        <v>0</v>
      </c>
      <c r="O5911" t="s">
        <v>19995</v>
      </c>
      <c r="Q5911" t="s">
        <v>20767</v>
      </c>
      <c r="R5911" t="s">
        <v>417</v>
      </c>
      <c r="S5911">
        <v>692</v>
      </c>
    </row>
    <row r="5912" spans="1:19">
      <c r="A5912" t="s">
        <v>27</v>
      </c>
      <c r="B5912" t="s">
        <v>148</v>
      </c>
      <c r="C5912" t="s">
        <v>159</v>
      </c>
      <c r="D5912" t="s">
        <v>288</v>
      </c>
      <c r="E5912" t="s">
        <v>417</v>
      </c>
      <c r="F5912">
        <f>HYPERLINK("https://www.wikidata.org/wiki/Q33755832", "Q33755832")</f>
        <v>0</v>
      </c>
      <c r="G5912" t="s">
        <v>3650</v>
      </c>
      <c r="H5912" t="s">
        <v>7981</v>
      </c>
      <c r="I5912" t="s">
        <v>7911</v>
      </c>
      <c r="J5912" t="s">
        <v>14230</v>
      </c>
      <c r="K5912" t="s">
        <v>16133</v>
      </c>
      <c r="L5912">
        <f>HYPERLINK("https://www2.assemblee-nationale.fr/sycomore/fiche/(num_dept)/6638", "6638")</f>
        <v>0</v>
      </c>
      <c r="M5912">
        <f>HYPERLINK("https://www.senat.fr/senateur-3eme-republique/real_gabriel1352r3.html", "real_gabriel1352r3")</f>
        <v>0</v>
      </c>
      <c r="N5912">
        <f>HYPERLINK("https://www.wikidata.org/wiki/Q3093943", "Q3093943")</f>
        <v>0</v>
      </c>
      <c r="O5912" t="s">
        <v>19997</v>
      </c>
      <c r="P5912" t="s">
        <v>20457</v>
      </c>
      <c r="Q5912" t="s">
        <v>20768</v>
      </c>
      <c r="R5912" t="s">
        <v>417</v>
      </c>
      <c r="S5912">
        <v>678</v>
      </c>
    </row>
    <row r="5913" spans="1:19">
      <c r="A5913" t="s">
        <v>27</v>
      </c>
      <c r="B5913" t="s">
        <v>148</v>
      </c>
      <c r="C5913" t="s">
        <v>159</v>
      </c>
      <c r="D5913" t="s">
        <v>288</v>
      </c>
      <c r="E5913" t="s">
        <v>417</v>
      </c>
      <c r="F5913">
        <f>HYPERLINK("https://www.wikidata.org/wiki/Q33755832", "Q33755832")</f>
        <v>0</v>
      </c>
      <c r="G5913" t="s">
        <v>3651</v>
      </c>
      <c r="H5913" t="s">
        <v>7982</v>
      </c>
      <c r="I5913" t="s">
        <v>9535</v>
      </c>
      <c r="J5913" t="s">
        <v>14231</v>
      </c>
      <c r="K5913" t="s">
        <v>18592</v>
      </c>
      <c r="L5913">
        <f>HYPERLINK("https://www2.assemblee-nationale.fr/sycomore/fiche/(num_dept)/2011", "2011")</f>
        <v>0</v>
      </c>
      <c r="N5913">
        <f>HYPERLINK("https://www.wikidata.org/wiki/Q16025492", "Q16025492")</f>
        <v>0</v>
      </c>
      <c r="O5913" t="s">
        <v>19980</v>
      </c>
      <c r="Q5913" t="s">
        <v>20769</v>
      </c>
      <c r="R5913" t="s">
        <v>417</v>
      </c>
      <c r="S5913">
        <v>664</v>
      </c>
    </row>
    <row r="5914" spans="1:19">
      <c r="A5914" t="s">
        <v>27</v>
      </c>
      <c r="B5914" t="s">
        <v>148</v>
      </c>
      <c r="C5914" t="s">
        <v>159</v>
      </c>
      <c r="D5914" t="s">
        <v>288</v>
      </c>
      <c r="E5914" t="s">
        <v>417</v>
      </c>
      <c r="F5914">
        <f>HYPERLINK("https://www.wikidata.org/wiki/Q33755832", "Q33755832")</f>
        <v>0</v>
      </c>
      <c r="G5914" t="s">
        <v>3652</v>
      </c>
      <c r="H5914" t="s">
        <v>7983</v>
      </c>
      <c r="I5914" t="s">
        <v>10919</v>
      </c>
      <c r="J5914" t="s">
        <v>14232</v>
      </c>
      <c r="K5914" t="s">
        <v>17637</v>
      </c>
      <c r="L5914">
        <f>HYPERLINK("https://www2.assemblee-nationale.fr/sycomore/fiche/(num_dept)/651", "651")</f>
        <v>0</v>
      </c>
      <c r="M5914">
        <f>HYPERLINK("https://www.senat.fr/senateur-3eme-republique/beraud_auguste1703r3.html", "beraud_auguste1703r3")</f>
        <v>0</v>
      </c>
      <c r="N5914">
        <f>HYPERLINK("https://www.wikidata.org/wiki/Q2871095", "Q2871095")</f>
        <v>0</v>
      </c>
      <c r="O5914" t="s">
        <v>20047</v>
      </c>
      <c r="Q5914" t="s">
        <v>20770</v>
      </c>
      <c r="R5914" t="s">
        <v>417</v>
      </c>
      <c r="S5914">
        <v>663</v>
      </c>
    </row>
    <row r="5915" spans="1:19">
      <c r="A5915" t="s">
        <v>27</v>
      </c>
      <c r="B5915" t="s">
        <v>148</v>
      </c>
      <c r="C5915" t="s">
        <v>159</v>
      </c>
      <c r="D5915" t="s">
        <v>288</v>
      </c>
      <c r="E5915" t="s">
        <v>417</v>
      </c>
      <c r="F5915">
        <f>HYPERLINK("https://www.wikidata.org/wiki/Q33755832", "Q33755832")</f>
        <v>0</v>
      </c>
      <c r="G5915" t="s">
        <v>3653</v>
      </c>
      <c r="H5915" t="s">
        <v>7984</v>
      </c>
      <c r="I5915" t="s">
        <v>5948</v>
      </c>
      <c r="J5915" t="s">
        <v>14233</v>
      </c>
      <c r="K5915" t="s">
        <v>18593</v>
      </c>
      <c r="L5915">
        <f>HYPERLINK("https://www2.assemblee-nationale.fr/sycomore/fiche/(num_dept)/7056", "7056")</f>
        <v>0</v>
      </c>
      <c r="N5915">
        <f>HYPERLINK("https://www.wikidata.org/wiki/Q2898669", "Q2898669")</f>
        <v>0</v>
      </c>
      <c r="O5915" t="s">
        <v>20018</v>
      </c>
      <c r="Q5915" t="s">
        <v>12738</v>
      </c>
      <c r="R5915" t="s">
        <v>417</v>
      </c>
      <c r="S5915">
        <v>643</v>
      </c>
    </row>
    <row r="5916" spans="1:19">
      <c r="A5916" t="s">
        <v>27</v>
      </c>
      <c r="B5916" t="s">
        <v>148</v>
      </c>
      <c r="C5916" t="s">
        <v>159</v>
      </c>
      <c r="D5916" t="s">
        <v>288</v>
      </c>
      <c r="E5916" t="s">
        <v>417</v>
      </c>
      <c r="F5916">
        <f>HYPERLINK("https://www.wikidata.org/wiki/Q33755832", "Q33755832")</f>
        <v>0</v>
      </c>
      <c r="G5916" t="s">
        <v>3654</v>
      </c>
      <c r="H5916" t="s">
        <v>7985</v>
      </c>
      <c r="I5916" t="s">
        <v>10920</v>
      </c>
      <c r="J5916" t="s">
        <v>14234</v>
      </c>
      <c r="K5916" t="s">
        <v>18594</v>
      </c>
      <c r="L5916">
        <f>HYPERLINK("https://www2.assemblee-nationale.fr/sycomore/fiche/(num_dept)/7108", "7108")</f>
        <v>0</v>
      </c>
      <c r="N5916">
        <f>HYPERLINK("https://www.wikidata.org/wiki/Q16026372", "Q16026372")</f>
        <v>0</v>
      </c>
      <c r="O5916" t="s">
        <v>19982</v>
      </c>
      <c r="Q5916" t="s">
        <v>20771</v>
      </c>
      <c r="R5916" t="s">
        <v>18594</v>
      </c>
      <c r="S5916">
        <v>166</v>
      </c>
    </row>
    <row r="5917" spans="1:19">
      <c r="A5917" t="s">
        <v>27</v>
      </c>
      <c r="B5917" t="s">
        <v>148</v>
      </c>
      <c r="C5917" t="s">
        <v>159</v>
      </c>
      <c r="D5917" t="s">
        <v>288</v>
      </c>
      <c r="E5917" t="s">
        <v>417</v>
      </c>
      <c r="F5917">
        <f>HYPERLINK("https://www.wikidata.org/wiki/Q33755832", "Q33755832")</f>
        <v>0</v>
      </c>
      <c r="G5917" t="s">
        <v>3655</v>
      </c>
      <c r="H5917" t="s">
        <v>7986</v>
      </c>
      <c r="I5917" t="s">
        <v>10921</v>
      </c>
      <c r="J5917" t="s">
        <v>14235</v>
      </c>
      <c r="K5917" t="s">
        <v>18595</v>
      </c>
      <c r="L5917">
        <f>HYPERLINK("https://www2.assemblee-nationale.fr/sycomore/fiche/(num_dept)/3906", "3906")</f>
        <v>0</v>
      </c>
      <c r="N5917">
        <f>HYPERLINK("https://www.wikidata.org/wiki/Q3301022", "Q3301022")</f>
        <v>0</v>
      </c>
      <c r="O5917" t="s">
        <v>20011</v>
      </c>
      <c r="Q5917" t="s">
        <v>20772</v>
      </c>
      <c r="R5917" t="s">
        <v>417</v>
      </c>
      <c r="S5917">
        <v>587</v>
      </c>
    </row>
    <row r="5918" spans="1:19">
      <c r="A5918" t="s">
        <v>27</v>
      </c>
      <c r="B5918" t="s">
        <v>148</v>
      </c>
      <c r="C5918" t="s">
        <v>159</v>
      </c>
      <c r="D5918" t="s">
        <v>288</v>
      </c>
      <c r="E5918" t="s">
        <v>417</v>
      </c>
      <c r="F5918">
        <f>HYPERLINK("https://www.wikidata.org/wiki/Q33755832", "Q33755832")</f>
        <v>0</v>
      </c>
      <c r="G5918" t="s">
        <v>707</v>
      </c>
      <c r="H5918" t="s">
        <v>5465</v>
      </c>
      <c r="I5918" t="s">
        <v>9453</v>
      </c>
      <c r="J5918" t="s">
        <v>11457</v>
      </c>
      <c r="K5918" t="s">
        <v>15858</v>
      </c>
      <c r="L5918">
        <f>HYPERLINK("https://www2.assemblee-nationale.fr/sycomore/fiche/(num_dept)/4312", "4312")</f>
        <v>0</v>
      </c>
      <c r="N5918">
        <f>HYPERLINK("https://www.wikidata.org/wiki/Q2865188", "Q2865188")</f>
        <v>0</v>
      </c>
      <c r="O5918" t="s">
        <v>19968</v>
      </c>
      <c r="Q5918" t="s">
        <v>20772</v>
      </c>
      <c r="R5918" t="s">
        <v>417</v>
      </c>
      <c r="S5918">
        <v>587</v>
      </c>
    </row>
    <row r="5919" spans="1:19">
      <c r="A5919" t="s">
        <v>27</v>
      </c>
      <c r="B5919" t="s">
        <v>148</v>
      </c>
      <c r="C5919" t="s">
        <v>159</v>
      </c>
      <c r="D5919" t="s">
        <v>288</v>
      </c>
      <c r="E5919" t="s">
        <v>417</v>
      </c>
      <c r="F5919">
        <f>HYPERLINK("https://www.wikidata.org/wiki/Q33755832", "Q33755832")</f>
        <v>0</v>
      </c>
      <c r="G5919" t="s">
        <v>3656</v>
      </c>
      <c r="H5919" t="s">
        <v>6914</v>
      </c>
      <c r="I5919" t="s">
        <v>6495</v>
      </c>
      <c r="J5919" t="s">
        <v>14236</v>
      </c>
      <c r="K5919" t="s">
        <v>18596</v>
      </c>
      <c r="L5919">
        <f>HYPERLINK("https://www2.assemblee-nationale.fr/sycomore/fiche/(num_dept)/3162", "3162")</f>
        <v>0</v>
      </c>
      <c r="M5919">
        <f>HYPERLINK("https://www.senat.fr/senateur-3eme-republique/froment_louis1678r3.html", "froment_louis1678r3")</f>
        <v>0</v>
      </c>
      <c r="N5919">
        <f>HYPERLINK("https://www.wikidata.org/wiki/Q3261963", "Q3261963")</f>
        <v>0</v>
      </c>
      <c r="O5919" t="s">
        <v>20012</v>
      </c>
      <c r="P5919" t="s">
        <v>20461</v>
      </c>
      <c r="Q5919" t="s">
        <v>20773</v>
      </c>
      <c r="R5919" t="s">
        <v>417</v>
      </c>
      <c r="S5919">
        <v>566</v>
      </c>
    </row>
    <row r="5920" spans="1:19">
      <c r="A5920" t="s">
        <v>27</v>
      </c>
      <c r="B5920" t="s">
        <v>148</v>
      </c>
      <c r="C5920" t="s">
        <v>159</v>
      </c>
      <c r="D5920" t="s">
        <v>288</v>
      </c>
      <c r="E5920" t="s">
        <v>417</v>
      </c>
      <c r="F5920">
        <f>HYPERLINK("https://www.wikidata.org/wiki/Q33755832", "Q33755832")</f>
        <v>0</v>
      </c>
      <c r="G5920" t="s">
        <v>3657</v>
      </c>
      <c r="H5920" t="s">
        <v>7987</v>
      </c>
      <c r="I5920" t="s">
        <v>7790</v>
      </c>
      <c r="J5920" t="s">
        <v>14237</v>
      </c>
      <c r="K5920" t="s">
        <v>18597</v>
      </c>
      <c r="L5920">
        <f>HYPERLINK("https://www2.assemblee-nationale.fr/sycomore/fiche/(num_dept)/3998", "3998")</f>
        <v>0</v>
      </c>
      <c r="N5920">
        <f>HYPERLINK("https://www.wikidata.org/wiki/Q2861876", "Q2861876")</f>
        <v>0</v>
      </c>
      <c r="O5920" t="s">
        <v>20011</v>
      </c>
      <c r="P5920" t="s">
        <v>20491</v>
      </c>
      <c r="Q5920" t="s">
        <v>20773</v>
      </c>
      <c r="R5920" t="s">
        <v>417</v>
      </c>
      <c r="S5920">
        <v>566</v>
      </c>
    </row>
    <row r="5921" spans="1:19">
      <c r="A5921" t="s">
        <v>27</v>
      </c>
      <c r="B5921" t="s">
        <v>148</v>
      </c>
      <c r="C5921" t="s">
        <v>159</v>
      </c>
      <c r="D5921" t="s">
        <v>288</v>
      </c>
      <c r="E5921" t="s">
        <v>417</v>
      </c>
      <c r="F5921">
        <f>HYPERLINK("https://www.wikidata.org/wiki/Q33755832", "Q33755832")</f>
        <v>0</v>
      </c>
      <c r="G5921" t="s">
        <v>3658</v>
      </c>
      <c r="H5921" t="s">
        <v>7988</v>
      </c>
      <c r="I5921" t="s">
        <v>6200</v>
      </c>
      <c r="J5921" t="s">
        <v>14238</v>
      </c>
      <c r="K5921" t="s">
        <v>18598</v>
      </c>
      <c r="L5921">
        <f>HYPERLINK("https://www2.assemblee-nationale.fr/sycomore/fiche/(num_dept)/1832", "1832")</f>
        <v>0</v>
      </c>
      <c r="N5921">
        <f>HYPERLINK("https://www.wikidata.org/wiki/Q16025455", "Q16025455")</f>
        <v>0</v>
      </c>
      <c r="O5921" t="s">
        <v>19965</v>
      </c>
      <c r="P5921" t="s">
        <v>20471</v>
      </c>
      <c r="Q5921" t="s">
        <v>20774</v>
      </c>
      <c r="R5921" t="s">
        <v>417</v>
      </c>
      <c r="S5921">
        <v>552</v>
      </c>
    </row>
    <row r="5922" spans="1:19">
      <c r="A5922" t="s">
        <v>27</v>
      </c>
      <c r="B5922" t="s">
        <v>148</v>
      </c>
      <c r="C5922" t="s">
        <v>159</v>
      </c>
      <c r="D5922" t="s">
        <v>288</v>
      </c>
      <c r="E5922" t="s">
        <v>417</v>
      </c>
      <c r="F5922">
        <f>HYPERLINK("https://www.wikidata.org/wiki/Q33755832", "Q33755832")</f>
        <v>0</v>
      </c>
      <c r="G5922" t="s">
        <v>3659</v>
      </c>
      <c r="H5922" t="s">
        <v>7989</v>
      </c>
      <c r="I5922" t="s">
        <v>10922</v>
      </c>
      <c r="J5922" t="s">
        <v>12101</v>
      </c>
      <c r="K5922" t="s">
        <v>16380</v>
      </c>
      <c r="L5922">
        <f>HYPERLINK("https://www2.assemblee-nationale.fr/sycomore/fiche/(num_dept)/6668", "6668")</f>
        <v>0</v>
      </c>
      <c r="N5922">
        <f>HYPERLINK("https://www.wikidata.org/wiki/Q3387685", "Q3387685")</f>
        <v>0</v>
      </c>
      <c r="O5922" t="s">
        <v>20016</v>
      </c>
      <c r="Q5922" t="s">
        <v>20774</v>
      </c>
      <c r="R5922" t="s">
        <v>417</v>
      </c>
      <c r="S5922">
        <v>552</v>
      </c>
    </row>
    <row r="5923" spans="1:19">
      <c r="A5923" t="s">
        <v>27</v>
      </c>
      <c r="B5923" t="s">
        <v>148</v>
      </c>
      <c r="C5923" t="s">
        <v>159</v>
      </c>
      <c r="D5923" t="s">
        <v>288</v>
      </c>
      <c r="E5923" t="s">
        <v>417</v>
      </c>
      <c r="F5923">
        <f>HYPERLINK("https://www.wikidata.org/wiki/Q33755832", "Q33755832")</f>
        <v>0</v>
      </c>
      <c r="G5923" t="s">
        <v>3660</v>
      </c>
      <c r="H5923" t="s">
        <v>7990</v>
      </c>
      <c r="I5923" t="s">
        <v>9453</v>
      </c>
      <c r="J5923" t="s">
        <v>14239</v>
      </c>
      <c r="K5923" t="s">
        <v>18599</v>
      </c>
      <c r="L5923">
        <f>HYPERLINK("https://www2.assemblee-nationale.fr/sycomore/fiche/(num_dept)/4919", "4919")</f>
        <v>0</v>
      </c>
      <c r="N5923">
        <f>HYPERLINK("https://www.wikidata.org/wiki/Q2865214", "Q2865214")</f>
        <v>0</v>
      </c>
      <c r="O5923" t="s">
        <v>20024</v>
      </c>
      <c r="Q5923" t="s">
        <v>20775</v>
      </c>
      <c r="R5923" t="s">
        <v>417</v>
      </c>
      <c r="S5923">
        <v>482</v>
      </c>
    </row>
    <row r="5924" spans="1:19">
      <c r="A5924" t="s">
        <v>27</v>
      </c>
      <c r="B5924" t="s">
        <v>148</v>
      </c>
      <c r="C5924" t="s">
        <v>159</v>
      </c>
      <c r="D5924" t="s">
        <v>288</v>
      </c>
      <c r="E5924" t="s">
        <v>417</v>
      </c>
      <c r="F5924">
        <f>HYPERLINK("https://www.wikidata.org/wiki/Q33755832", "Q33755832")</f>
        <v>0</v>
      </c>
      <c r="G5924" t="s">
        <v>3661</v>
      </c>
      <c r="H5924" t="s">
        <v>7991</v>
      </c>
      <c r="I5924" t="s">
        <v>10923</v>
      </c>
      <c r="J5924" t="s">
        <v>14240</v>
      </c>
      <c r="K5924" t="s">
        <v>18600</v>
      </c>
      <c r="L5924">
        <f>HYPERLINK("https://www2.assemblee-nationale.fr/sycomore/fiche/(num_dept)/304", "304")</f>
        <v>0</v>
      </c>
      <c r="N5924">
        <f>HYPERLINK("https://www.wikidata.org/wiki/Q15973374", "Q15973374")</f>
        <v>0</v>
      </c>
      <c r="O5924" t="s">
        <v>20044</v>
      </c>
      <c r="Q5924" t="s">
        <v>20776</v>
      </c>
      <c r="R5924" t="s">
        <v>417</v>
      </c>
      <c r="S5924">
        <v>461</v>
      </c>
    </row>
    <row r="5925" spans="1:19">
      <c r="A5925" t="s">
        <v>27</v>
      </c>
      <c r="B5925" t="s">
        <v>148</v>
      </c>
      <c r="C5925" t="s">
        <v>159</v>
      </c>
      <c r="D5925" t="s">
        <v>288</v>
      </c>
      <c r="E5925" t="s">
        <v>417</v>
      </c>
      <c r="F5925">
        <f>HYPERLINK("https://www.wikidata.org/wiki/Q33755832", "Q33755832")</f>
        <v>0</v>
      </c>
      <c r="G5925" t="s">
        <v>3662</v>
      </c>
      <c r="H5925" t="s">
        <v>6468</v>
      </c>
      <c r="I5925" t="s">
        <v>6175</v>
      </c>
      <c r="J5925" t="s">
        <v>14241</v>
      </c>
      <c r="K5925" t="s">
        <v>18601</v>
      </c>
      <c r="L5925">
        <f>HYPERLINK("https://www2.assemblee-nationale.fr/sycomore/fiche/(num_dept)/3235", "3235")</f>
        <v>0</v>
      </c>
      <c r="N5925">
        <f>HYPERLINK("https://www.wikidata.org/wiki/Q3102747", "Q3102747")</f>
        <v>0</v>
      </c>
      <c r="O5925" t="s">
        <v>19984</v>
      </c>
      <c r="P5925" t="s">
        <v>20460</v>
      </c>
      <c r="Q5925" t="s">
        <v>20776</v>
      </c>
      <c r="R5925" t="s">
        <v>417</v>
      </c>
      <c r="S5925">
        <v>461</v>
      </c>
    </row>
    <row r="5926" spans="1:19">
      <c r="A5926" t="s">
        <v>27</v>
      </c>
      <c r="B5926" t="s">
        <v>148</v>
      </c>
      <c r="C5926" t="s">
        <v>159</v>
      </c>
      <c r="D5926" t="s">
        <v>288</v>
      </c>
      <c r="E5926" t="s">
        <v>417</v>
      </c>
      <c r="F5926">
        <f>HYPERLINK("https://www.wikidata.org/wiki/Q33755832", "Q33755832")</f>
        <v>0</v>
      </c>
      <c r="G5926" t="s">
        <v>3663</v>
      </c>
      <c r="H5926" t="s">
        <v>7992</v>
      </c>
      <c r="I5926" t="s">
        <v>6860</v>
      </c>
      <c r="J5926" t="s">
        <v>14242</v>
      </c>
      <c r="K5926" t="s">
        <v>18602</v>
      </c>
      <c r="L5926">
        <f>HYPERLINK("https://www2.assemblee-nationale.fr/sycomore/fiche/(num_dept)/3623", "3623")</f>
        <v>0</v>
      </c>
      <c r="N5926">
        <f>HYPERLINK("https://www.wikidata.org/wiki/Q16025819", "Q16025819")</f>
        <v>0</v>
      </c>
      <c r="O5926" t="s">
        <v>20002</v>
      </c>
      <c r="P5926" t="s">
        <v>20401</v>
      </c>
      <c r="Q5926" t="s">
        <v>20776</v>
      </c>
      <c r="R5926" t="s">
        <v>417</v>
      </c>
      <c r="S5926">
        <v>461</v>
      </c>
    </row>
    <row r="5927" spans="1:19">
      <c r="A5927" t="s">
        <v>27</v>
      </c>
      <c r="B5927" t="s">
        <v>148</v>
      </c>
      <c r="C5927" t="s">
        <v>159</v>
      </c>
      <c r="D5927" t="s">
        <v>288</v>
      </c>
      <c r="E5927" t="s">
        <v>417</v>
      </c>
      <c r="F5927">
        <f>HYPERLINK("https://www.wikidata.org/wiki/Q33755832", "Q33755832")</f>
        <v>0</v>
      </c>
      <c r="G5927" t="s">
        <v>988</v>
      </c>
      <c r="H5927" t="s">
        <v>5740</v>
      </c>
      <c r="I5927" t="s">
        <v>9457</v>
      </c>
      <c r="J5927" t="s">
        <v>11726</v>
      </c>
      <c r="K5927" t="s">
        <v>16130</v>
      </c>
      <c r="L5927">
        <f>HYPERLINK("https://www2.assemblee-nationale.fr/sycomore/fiche/(num_dept)/4828", "4828")</f>
        <v>0</v>
      </c>
      <c r="N5927">
        <f>HYPERLINK("https://www.wikidata.org/wiki/Q16026012", "Q16026012")</f>
        <v>0</v>
      </c>
      <c r="O5927" t="s">
        <v>20034</v>
      </c>
      <c r="Q5927" t="s">
        <v>20776</v>
      </c>
      <c r="R5927" t="s">
        <v>417</v>
      </c>
      <c r="S5927">
        <v>461</v>
      </c>
    </row>
    <row r="5928" spans="1:19">
      <c r="A5928" t="s">
        <v>27</v>
      </c>
      <c r="B5928" t="s">
        <v>148</v>
      </c>
      <c r="C5928" t="s">
        <v>159</v>
      </c>
      <c r="D5928" t="s">
        <v>288</v>
      </c>
      <c r="E5928" t="s">
        <v>417</v>
      </c>
      <c r="F5928">
        <f>HYPERLINK("https://www.wikidata.org/wiki/Q33755832", "Q33755832")</f>
        <v>0</v>
      </c>
      <c r="G5928" t="s">
        <v>3664</v>
      </c>
      <c r="H5928" t="s">
        <v>7993</v>
      </c>
      <c r="I5928" t="s">
        <v>6495</v>
      </c>
      <c r="J5928" t="s">
        <v>14243</v>
      </c>
      <c r="K5928" t="s">
        <v>18603</v>
      </c>
      <c r="L5928">
        <f>HYPERLINK("https://www2.assemblee-nationale.fr/sycomore/fiche/(num_dept)/3222", "3222")</f>
        <v>0</v>
      </c>
      <c r="N5928">
        <f>HYPERLINK("https://www.wikidata.org/wiki/Q16025741", "Q16025741")</f>
        <v>0</v>
      </c>
      <c r="O5928" t="s">
        <v>19991</v>
      </c>
      <c r="P5928" t="s">
        <v>20461</v>
      </c>
      <c r="Q5928" t="s">
        <v>20777</v>
      </c>
      <c r="R5928" t="s">
        <v>417</v>
      </c>
      <c r="S5928">
        <v>398</v>
      </c>
    </row>
    <row r="5929" spans="1:19">
      <c r="A5929" t="s">
        <v>27</v>
      </c>
      <c r="B5929" t="s">
        <v>148</v>
      </c>
      <c r="C5929" t="s">
        <v>159</v>
      </c>
      <c r="D5929" t="s">
        <v>288</v>
      </c>
      <c r="E5929" t="s">
        <v>417</v>
      </c>
      <c r="F5929">
        <f>HYPERLINK("https://www.wikidata.org/wiki/Q33755832", "Q33755832")</f>
        <v>0</v>
      </c>
      <c r="G5929" t="s">
        <v>3665</v>
      </c>
      <c r="H5929" t="s">
        <v>7994</v>
      </c>
      <c r="I5929" t="s">
        <v>10924</v>
      </c>
      <c r="J5929" t="s">
        <v>14244</v>
      </c>
      <c r="K5929" t="s">
        <v>18604</v>
      </c>
      <c r="L5929">
        <f>HYPERLINK("https://www2.assemblee-nationale.fr/sycomore/fiche/(num_dept)/521", "521")</f>
        <v>0</v>
      </c>
      <c r="N5929">
        <f>HYPERLINK("https://www.wikidata.org/wiki/Q15973565", "Q15973565")</f>
        <v>0</v>
      </c>
      <c r="O5929" t="s">
        <v>19982</v>
      </c>
      <c r="Q5929" t="s">
        <v>20778</v>
      </c>
      <c r="R5929" t="s">
        <v>417</v>
      </c>
      <c r="S5929">
        <v>384</v>
      </c>
    </row>
    <row r="5930" spans="1:19">
      <c r="A5930" t="s">
        <v>27</v>
      </c>
      <c r="B5930" t="s">
        <v>148</v>
      </c>
      <c r="C5930" t="s">
        <v>159</v>
      </c>
      <c r="D5930" t="s">
        <v>288</v>
      </c>
      <c r="E5930" t="s">
        <v>417</v>
      </c>
      <c r="F5930">
        <f>HYPERLINK("https://www.wikidata.org/wiki/Q33755832", "Q33755832")</f>
        <v>0</v>
      </c>
      <c r="G5930" t="s">
        <v>3666</v>
      </c>
      <c r="H5930" t="s">
        <v>7995</v>
      </c>
      <c r="I5930" t="s">
        <v>7419</v>
      </c>
      <c r="J5930" t="s">
        <v>14245</v>
      </c>
      <c r="K5930" t="s">
        <v>18605</v>
      </c>
      <c r="L5930">
        <f>HYPERLINK("https://www2.assemblee-nationale.fr/sycomore/fiche/(num_dept)/2806", "2806")</f>
        <v>0</v>
      </c>
      <c r="N5930">
        <f>HYPERLINK("https://www.wikidata.org/wiki/Q3158835", "Q3158835")</f>
        <v>0</v>
      </c>
      <c r="O5930" t="s">
        <v>19987</v>
      </c>
      <c r="P5930" t="s">
        <v>20492</v>
      </c>
      <c r="Q5930" t="s">
        <v>20779</v>
      </c>
      <c r="R5930" t="s">
        <v>417</v>
      </c>
      <c r="S5930">
        <v>356</v>
      </c>
    </row>
    <row r="5931" spans="1:19">
      <c r="A5931" t="s">
        <v>27</v>
      </c>
      <c r="B5931" t="s">
        <v>148</v>
      </c>
      <c r="C5931" t="s">
        <v>159</v>
      </c>
      <c r="D5931" t="s">
        <v>288</v>
      </c>
      <c r="E5931" t="s">
        <v>417</v>
      </c>
      <c r="F5931">
        <f>HYPERLINK("https://www.wikidata.org/wiki/Q33755832", "Q33755832")</f>
        <v>0</v>
      </c>
      <c r="G5931" t="s">
        <v>2485</v>
      </c>
      <c r="H5931" t="s">
        <v>7058</v>
      </c>
      <c r="I5931" t="s">
        <v>10238</v>
      </c>
      <c r="J5931" t="s">
        <v>13129</v>
      </c>
      <c r="K5931" t="s">
        <v>17539</v>
      </c>
      <c r="L5931">
        <f>HYPERLINK("https://www2.assemblee-nationale.fr/sycomore/fiche/(num_dept)/85", "85")</f>
        <v>0</v>
      </c>
      <c r="N5931">
        <f>HYPERLINK("https://www.wikidata.org/wiki/Q15973226", "Q15973226")</f>
        <v>0</v>
      </c>
      <c r="O5931" t="s">
        <v>20027</v>
      </c>
      <c r="P5931" t="s">
        <v>20484</v>
      </c>
      <c r="Q5931" t="s">
        <v>20780</v>
      </c>
      <c r="R5931" t="s">
        <v>417</v>
      </c>
      <c r="S5931">
        <v>335</v>
      </c>
    </row>
    <row r="5932" spans="1:19">
      <c r="A5932" t="s">
        <v>27</v>
      </c>
      <c r="B5932" t="s">
        <v>148</v>
      </c>
      <c r="C5932" t="s">
        <v>159</v>
      </c>
      <c r="D5932" t="s">
        <v>288</v>
      </c>
      <c r="E5932" t="s">
        <v>417</v>
      </c>
      <c r="F5932">
        <f>HYPERLINK("https://www.wikidata.org/wiki/Q33755832", "Q33755832")</f>
        <v>0</v>
      </c>
      <c r="G5932" t="s">
        <v>3667</v>
      </c>
      <c r="H5932" t="s">
        <v>5296</v>
      </c>
      <c r="I5932" t="s">
        <v>10925</v>
      </c>
      <c r="J5932" t="s">
        <v>14246</v>
      </c>
      <c r="K5932" t="s">
        <v>16434</v>
      </c>
      <c r="L5932">
        <f>HYPERLINK("https://www2.assemblee-nationale.fr/sycomore/fiche/(num_dept)/849", "849")</f>
        <v>0</v>
      </c>
      <c r="M5932">
        <f>HYPERLINK("https://www.senat.fr/senateur-3eme-republique/blanc_louis0729r3.html", "blanc_louis0729r3")</f>
        <v>0</v>
      </c>
      <c r="N5932">
        <f>HYPERLINK("https://www.wikidata.org/wiki/Q3261279", "Q3261279")</f>
        <v>0</v>
      </c>
      <c r="O5932" t="s">
        <v>20044</v>
      </c>
      <c r="P5932" t="s">
        <v>20477</v>
      </c>
      <c r="Q5932" t="s">
        <v>20781</v>
      </c>
      <c r="R5932" t="s">
        <v>417</v>
      </c>
      <c r="S5932">
        <v>300</v>
      </c>
    </row>
    <row r="5933" spans="1:19">
      <c r="A5933" t="s">
        <v>27</v>
      </c>
      <c r="B5933" t="s">
        <v>148</v>
      </c>
      <c r="C5933" t="s">
        <v>159</v>
      </c>
      <c r="D5933" t="s">
        <v>288</v>
      </c>
      <c r="E5933" t="s">
        <v>417</v>
      </c>
      <c r="F5933">
        <f>HYPERLINK("https://www.wikidata.org/wiki/Q33755832", "Q33755832")</f>
        <v>0</v>
      </c>
      <c r="G5933" t="s">
        <v>690</v>
      </c>
      <c r="H5933" t="s">
        <v>5448</v>
      </c>
      <c r="I5933" t="s">
        <v>6200</v>
      </c>
      <c r="J5933" t="s">
        <v>11440</v>
      </c>
      <c r="K5933" t="s">
        <v>15841</v>
      </c>
      <c r="L5933">
        <f>HYPERLINK("https://www2.assemblee-nationale.fr/sycomore/fiche/(num_dept)/4011", "4011")</f>
        <v>0</v>
      </c>
      <c r="N5933">
        <f>HYPERLINK("https://www.wikidata.org/wiki/Q12688", "Q12688")</f>
        <v>0</v>
      </c>
      <c r="O5933" t="s">
        <v>19962</v>
      </c>
      <c r="Q5933" t="s">
        <v>20782</v>
      </c>
      <c r="R5933" t="s">
        <v>417</v>
      </c>
      <c r="S5933">
        <v>265</v>
      </c>
    </row>
    <row r="5934" spans="1:19">
      <c r="A5934" t="s">
        <v>27</v>
      </c>
      <c r="B5934" t="s">
        <v>148</v>
      </c>
      <c r="C5934" t="s">
        <v>159</v>
      </c>
      <c r="D5934" t="s">
        <v>288</v>
      </c>
      <c r="E5934" t="s">
        <v>417</v>
      </c>
      <c r="F5934">
        <f>HYPERLINK("https://www.wikidata.org/wiki/Q33755832", "Q33755832")</f>
        <v>0</v>
      </c>
      <c r="G5934" t="s">
        <v>3668</v>
      </c>
      <c r="H5934" t="s">
        <v>7996</v>
      </c>
      <c r="I5934" t="s">
        <v>6166</v>
      </c>
      <c r="J5934" t="s">
        <v>14247</v>
      </c>
      <c r="K5934" t="s">
        <v>18606</v>
      </c>
      <c r="L5934">
        <f>HYPERLINK("https://www2.assemblee-nationale.fr/sycomore/fiche/(num_dept)/970", "970")</f>
        <v>0</v>
      </c>
      <c r="N5934">
        <f>HYPERLINK("https://www.wikidata.org/wiki/Q8308262", "Q8308262")</f>
        <v>0</v>
      </c>
      <c r="O5934" t="s">
        <v>20002</v>
      </c>
      <c r="P5934" t="s">
        <v>20459</v>
      </c>
      <c r="Q5934" t="s">
        <v>18565</v>
      </c>
      <c r="R5934" t="s">
        <v>417</v>
      </c>
      <c r="S5934">
        <v>258</v>
      </c>
    </row>
    <row r="5935" spans="1:19">
      <c r="A5935" t="s">
        <v>27</v>
      </c>
      <c r="B5935" t="s">
        <v>148</v>
      </c>
      <c r="C5935" t="s">
        <v>159</v>
      </c>
      <c r="D5935" t="s">
        <v>288</v>
      </c>
      <c r="E5935" t="s">
        <v>417</v>
      </c>
      <c r="F5935">
        <f>HYPERLINK("https://www.wikidata.org/wiki/Q33755832", "Q33755832")</f>
        <v>0</v>
      </c>
      <c r="G5935" t="s">
        <v>3669</v>
      </c>
      <c r="H5935" t="s">
        <v>5612</v>
      </c>
      <c r="I5935" t="s">
        <v>9442</v>
      </c>
      <c r="J5935" t="s">
        <v>14248</v>
      </c>
      <c r="K5935" t="s">
        <v>18607</v>
      </c>
      <c r="L5935">
        <f>HYPERLINK("https://www2.assemblee-nationale.fr/sycomore/fiche/(num_dept)/7798", "7798")</f>
        <v>0</v>
      </c>
      <c r="N5935">
        <f>HYPERLINK("https://www.wikidata.org/wiki/Q3057054", "Q3057054")</f>
        <v>0</v>
      </c>
      <c r="O5935" t="s">
        <v>20012</v>
      </c>
      <c r="Q5935" t="s">
        <v>20783</v>
      </c>
      <c r="R5935" t="s">
        <v>417</v>
      </c>
      <c r="S5935">
        <v>202</v>
      </c>
    </row>
    <row r="5936" spans="1:19">
      <c r="A5936" t="s">
        <v>27</v>
      </c>
      <c r="B5936" t="s">
        <v>148</v>
      </c>
      <c r="C5936" t="s">
        <v>159</v>
      </c>
      <c r="D5936" t="s">
        <v>288</v>
      </c>
      <c r="E5936" t="s">
        <v>417</v>
      </c>
      <c r="F5936">
        <f>HYPERLINK("https://www.wikidata.org/wiki/Q33755832", "Q33755832")</f>
        <v>0</v>
      </c>
      <c r="G5936" t="s">
        <v>3670</v>
      </c>
      <c r="H5936" t="s">
        <v>7997</v>
      </c>
      <c r="I5936" t="s">
        <v>5592</v>
      </c>
      <c r="J5936" t="s">
        <v>14249</v>
      </c>
      <c r="K5936" t="s">
        <v>18608</v>
      </c>
      <c r="L5936">
        <f>HYPERLINK("https://www2.assemblee-nationale.fr/sycomore/fiche/(num_dept)/1644", "1644")</f>
        <v>0</v>
      </c>
      <c r="N5936">
        <f>HYPERLINK("https://www.wikidata.org/wiki/Q15974289", "Q15974289")</f>
        <v>0</v>
      </c>
      <c r="O5936" t="s">
        <v>19993</v>
      </c>
      <c r="P5936" t="s">
        <v>20411</v>
      </c>
      <c r="Q5936" t="s">
        <v>20784</v>
      </c>
      <c r="R5936" t="s">
        <v>417</v>
      </c>
      <c r="S5936">
        <v>181</v>
      </c>
    </row>
    <row r="5937" spans="1:19">
      <c r="A5937" t="s">
        <v>27</v>
      </c>
      <c r="B5937" t="s">
        <v>148</v>
      </c>
      <c r="C5937" t="s">
        <v>159</v>
      </c>
      <c r="D5937" t="s">
        <v>288</v>
      </c>
      <c r="E5937" t="s">
        <v>417</v>
      </c>
      <c r="F5937">
        <f>HYPERLINK("https://www.wikidata.org/wiki/Q33755832", "Q33755832")</f>
        <v>0</v>
      </c>
      <c r="G5937" t="s">
        <v>3671</v>
      </c>
      <c r="H5937" t="s">
        <v>7998</v>
      </c>
      <c r="I5937" t="s">
        <v>10926</v>
      </c>
      <c r="J5937" t="s">
        <v>14250</v>
      </c>
      <c r="K5937" t="s">
        <v>18609</v>
      </c>
      <c r="L5937">
        <f>HYPERLINK("https://www2.assemblee-nationale.fr/sycomore/fiche/(num_dept)/1709", "1709")</f>
        <v>0</v>
      </c>
      <c r="N5937">
        <f>HYPERLINK("https://www.wikidata.org/wiki/Q8323089", "Q8323089")</f>
        <v>0</v>
      </c>
      <c r="O5937" t="s">
        <v>20036</v>
      </c>
      <c r="P5937" t="s">
        <v>20411</v>
      </c>
      <c r="Q5937" t="s">
        <v>20784</v>
      </c>
      <c r="R5937" t="s">
        <v>417</v>
      </c>
      <c r="S5937">
        <v>181</v>
      </c>
    </row>
    <row r="5938" spans="1:19">
      <c r="A5938" t="s">
        <v>27</v>
      </c>
      <c r="B5938" t="s">
        <v>148</v>
      </c>
      <c r="C5938" t="s">
        <v>159</v>
      </c>
      <c r="D5938" t="s">
        <v>288</v>
      </c>
      <c r="E5938" t="s">
        <v>417</v>
      </c>
      <c r="F5938">
        <f>HYPERLINK("https://www.wikidata.org/wiki/Q33755832", "Q33755832")</f>
        <v>0</v>
      </c>
      <c r="G5938" t="s">
        <v>3672</v>
      </c>
      <c r="H5938" t="s">
        <v>7999</v>
      </c>
      <c r="I5938" t="s">
        <v>10927</v>
      </c>
      <c r="J5938" t="s">
        <v>14251</v>
      </c>
      <c r="K5938" t="s">
        <v>18610</v>
      </c>
      <c r="L5938">
        <f>HYPERLINK("https://www2.assemblee-nationale.fr/sycomore/fiche/(num_dept)/2519", "2519")</f>
        <v>0</v>
      </c>
      <c r="N5938">
        <f>HYPERLINK("https://www.wikidata.org/wiki/Q16025599", "Q16025599")</f>
        <v>0</v>
      </c>
      <c r="O5938" t="s">
        <v>19991</v>
      </c>
      <c r="P5938" t="s">
        <v>20471</v>
      </c>
      <c r="Q5938" t="s">
        <v>20784</v>
      </c>
      <c r="R5938" t="s">
        <v>417</v>
      </c>
      <c r="S5938">
        <v>181</v>
      </c>
    </row>
    <row r="5939" spans="1:19">
      <c r="A5939" t="s">
        <v>27</v>
      </c>
      <c r="B5939" t="s">
        <v>148</v>
      </c>
      <c r="C5939" t="s">
        <v>159</v>
      </c>
      <c r="D5939" t="s">
        <v>288</v>
      </c>
      <c r="E5939" t="s">
        <v>417</v>
      </c>
      <c r="F5939">
        <f>HYPERLINK("https://www.wikidata.org/wiki/Q33755832", "Q33755832")</f>
        <v>0</v>
      </c>
      <c r="G5939" t="s">
        <v>3291</v>
      </c>
      <c r="H5939" t="s">
        <v>7703</v>
      </c>
      <c r="I5939" t="s">
        <v>10728</v>
      </c>
      <c r="J5939" t="s">
        <v>13905</v>
      </c>
      <c r="K5939" t="s">
        <v>18276</v>
      </c>
      <c r="L5939">
        <f>HYPERLINK("https://www2.assemblee-nationale.fr/sycomore/fiche/(num_dept)/7455", "7455")</f>
        <v>0</v>
      </c>
      <c r="N5939">
        <f>HYPERLINK("https://www.wikidata.org/wiki/Q15407335", "Q15407335")</f>
        <v>0</v>
      </c>
      <c r="O5939" t="s">
        <v>20019</v>
      </c>
      <c r="Q5939" t="s">
        <v>20785</v>
      </c>
      <c r="R5939" t="s">
        <v>417</v>
      </c>
      <c r="S5939">
        <v>177</v>
      </c>
    </row>
    <row r="5940" spans="1:19">
      <c r="A5940" t="s">
        <v>27</v>
      </c>
      <c r="B5940" t="s">
        <v>148</v>
      </c>
      <c r="C5940" t="s">
        <v>159</v>
      </c>
      <c r="D5940" t="s">
        <v>288</v>
      </c>
      <c r="E5940" t="s">
        <v>417</v>
      </c>
      <c r="F5940">
        <f>HYPERLINK("https://www.wikidata.org/wiki/Q33755832", "Q33755832")</f>
        <v>0</v>
      </c>
      <c r="G5940" t="s">
        <v>2540</v>
      </c>
      <c r="H5940" t="s">
        <v>7100</v>
      </c>
      <c r="I5940" t="s">
        <v>10276</v>
      </c>
      <c r="J5940" t="s">
        <v>13184</v>
      </c>
      <c r="K5940" t="s">
        <v>17589</v>
      </c>
      <c r="L5940">
        <f>HYPERLINK("https://www2.assemblee-nationale.fr/sycomore/fiche/(num_dept)/1878", "1878")</f>
        <v>0</v>
      </c>
      <c r="M5940">
        <f>HYPERLINK("https://www.senat.fr/senateur-3eme-republique/codet_jean1786r3.html", "codet_jean1786r3")</f>
        <v>0</v>
      </c>
      <c r="N5940">
        <f>HYPERLINK("https://www.wikidata.org/wiki/Q3171361", "Q3171361")</f>
        <v>0</v>
      </c>
      <c r="O5940" t="s">
        <v>19977</v>
      </c>
      <c r="P5940" t="s">
        <v>20474</v>
      </c>
      <c r="Q5940" t="s">
        <v>20786</v>
      </c>
      <c r="R5940" t="s">
        <v>417</v>
      </c>
      <c r="S5940">
        <v>174</v>
      </c>
    </row>
    <row r="5941" spans="1:19">
      <c r="A5941" t="s">
        <v>27</v>
      </c>
      <c r="B5941" t="s">
        <v>148</v>
      </c>
      <c r="C5941" t="s">
        <v>159</v>
      </c>
      <c r="D5941" t="s">
        <v>288</v>
      </c>
      <c r="E5941" t="s">
        <v>417</v>
      </c>
      <c r="F5941">
        <f>HYPERLINK("https://www.wikidata.org/wiki/Q33755832", "Q33755832")</f>
        <v>0</v>
      </c>
      <c r="G5941" t="s">
        <v>3673</v>
      </c>
      <c r="H5941" t="s">
        <v>8000</v>
      </c>
      <c r="I5941" t="s">
        <v>7642</v>
      </c>
      <c r="J5941" t="s">
        <v>14252</v>
      </c>
      <c r="K5941" t="s">
        <v>18611</v>
      </c>
      <c r="L5941">
        <f>HYPERLINK("https://www2.assemblee-nationale.fr/sycomore/fiche/(num_dept)/2367", "2367")</f>
        <v>0</v>
      </c>
      <c r="N5941">
        <f>HYPERLINK("https://www.wikidata.org/wiki/Q8334443", "Q8334443")</f>
        <v>0</v>
      </c>
      <c r="O5941" t="s">
        <v>20015</v>
      </c>
      <c r="P5941" t="s">
        <v>20471</v>
      </c>
      <c r="Q5941" t="s">
        <v>18224</v>
      </c>
      <c r="R5941" t="s">
        <v>417</v>
      </c>
      <c r="S5941">
        <v>139</v>
      </c>
    </row>
    <row r="5942" spans="1:19">
      <c r="A5942" t="s">
        <v>27</v>
      </c>
      <c r="B5942" t="s">
        <v>148</v>
      </c>
      <c r="C5942" t="s">
        <v>159</v>
      </c>
      <c r="D5942" t="s">
        <v>288</v>
      </c>
      <c r="E5942" t="s">
        <v>417</v>
      </c>
      <c r="F5942">
        <f>HYPERLINK("https://www.wikidata.org/wiki/Q33755832", "Q33755832")</f>
        <v>0</v>
      </c>
      <c r="G5942" t="s">
        <v>930</v>
      </c>
      <c r="H5942" t="s">
        <v>5686</v>
      </c>
      <c r="I5942" t="s">
        <v>9449</v>
      </c>
      <c r="J5942" t="s">
        <v>11672</v>
      </c>
      <c r="K5942" t="s">
        <v>371</v>
      </c>
      <c r="L5942">
        <f>HYPERLINK("https://www2.assemblee-nationale.fr/sycomore/fiche/(num_dept)/2443", "2443")</f>
        <v>0</v>
      </c>
      <c r="N5942">
        <f>HYPERLINK("https://www.wikidata.org/wiki/Q3188533", "Q3188533")</f>
        <v>0</v>
      </c>
      <c r="O5942" t="s">
        <v>20015</v>
      </c>
      <c r="Q5942" t="s">
        <v>12924</v>
      </c>
      <c r="R5942" t="s">
        <v>417</v>
      </c>
      <c r="S5942">
        <v>118</v>
      </c>
    </row>
    <row r="5943" spans="1:19">
      <c r="A5943" t="s">
        <v>28</v>
      </c>
      <c r="B5943" t="s">
        <v>148</v>
      </c>
      <c r="C5943" t="s">
        <v>160</v>
      </c>
      <c r="D5943" t="s">
        <v>289</v>
      </c>
      <c r="E5943" t="s">
        <v>418</v>
      </c>
      <c r="F5943">
        <f>HYPERLINK("https://www.wikidata.org/wiki/Q33755445", "Q33755445")</f>
        <v>0</v>
      </c>
      <c r="G5943" t="s">
        <v>3229</v>
      </c>
      <c r="H5943" t="s">
        <v>7655</v>
      </c>
      <c r="I5943" t="s">
        <v>7763</v>
      </c>
      <c r="J5943" t="s">
        <v>13848</v>
      </c>
      <c r="K5943" t="s">
        <v>18219</v>
      </c>
      <c r="L5943">
        <f>HYPERLINK("https://www2.assemblee-nationale.fr/sycomore/fiche/(num_dept)/15", "15")</f>
        <v>0</v>
      </c>
      <c r="M5943">
        <f>HYPERLINK("https://www.senat.fr/senateur-3eme-republique/abeille_valentin0093r3.html", "abeille_valentin0093r3")</f>
        <v>0</v>
      </c>
      <c r="N5943">
        <f>HYPERLINK("https://www.wikidata.org/wiki/Q3553555", "Q3553555")</f>
        <v>0</v>
      </c>
      <c r="O5943" t="s">
        <v>20016</v>
      </c>
      <c r="P5943" t="s">
        <v>20471</v>
      </c>
      <c r="Q5943" t="s">
        <v>20787</v>
      </c>
      <c r="R5943" t="s">
        <v>21542</v>
      </c>
      <c r="S5943">
        <v>1280</v>
      </c>
    </row>
    <row r="5944" spans="1:19">
      <c r="A5944" t="s">
        <v>28</v>
      </c>
      <c r="B5944" t="s">
        <v>148</v>
      </c>
      <c r="C5944" t="s">
        <v>160</v>
      </c>
      <c r="D5944" t="s">
        <v>289</v>
      </c>
      <c r="E5944" t="s">
        <v>418</v>
      </c>
      <c r="F5944">
        <f>HYPERLINK("https://www.wikidata.org/wiki/Q33755445", "Q33755445")</f>
        <v>0</v>
      </c>
      <c r="G5944" t="s">
        <v>3520</v>
      </c>
      <c r="H5944" t="s">
        <v>6371</v>
      </c>
      <c r="I5944" t="s">
        <v>10861</v>
      </c>
      <c r="J5944" t="s">
        <v>14115</v>
      </c>
      <c r="K5944" t="s">
        <v>18482</v>
      </c>
      <c r="L5944">
        <f>HYPERLINK("https://www2.assemblee-nationale.fr/sycomore/fiche/(num_dept)/32", "32")</f>
        <v>0</v>
      </c>
      <c r="N5944">
        <f>HYPERLINK("https://www.wikidata.org/wiki/Q2823029", "Q2823029")</f>
        <v>0</v>
      </c>
      <c r="O5944" t="s">
        <v>19968</v>
      </c>
      <c r="P5944" t="s">
        <v>20483</v>
      </c>
      <c r="Q5944" t="s">
        <v>20787</v>
      </c>
      <c r="R5944" t="s">
        <v>418</v>
      </c>
      <c r="S5944">
        <v>1745</v>
      </c>
    </row>
    <row r="5945" spans="1:19">
      <c r="A5945" t="s">
        <v>28</v>
      </c>
      <c r="B5945" t="s">
        <v>148</v>
      </c>
      <c r="C5945" t="s">
        <v>160</v>
      </c>
      <c r="D5945" t="s">
        <v>289</v>
      </c>
      <c r="E5945" t="s">
        <v>418</v>
      </c>
      <c r="F5945">
        <f>HYPERLINK("https://www.wikidata.org/wiki/Q33755445", "Q33755445")</f>
        <v>0</v>
      </c>
      <c r="G5945" t="s">
        <v>3016</v>
      </c>
      <c r="H5945" t="s">
        <v>7025</v>
      </c>
      <c r="I5945" t="s">
        <v>10578</v>
      </c>
      <c r="J5945" t="s">
        <v>13644</v>
      </c>
      <c r="K5945" t="s">
        <v>17719</v>
      </c>
      <c r="L5945">
        <f>HYPERLINK("https://www2.assemblee-nationale.fr/sycomore/fiche/(num_dept)/50", "50")</f>
        <v>0</v>
      </c>
      <c r="N5945">
        <f>HYPERLINK("https://www.wikidata.org/wiki/Q2871509", "Q2871509")</f>
        <v>0</v>
      </c>
      <c r="O5945" t="s">
        <v>19956</v>
      </c>
      <c r="P5945" t="s">
        <v>20460</v>
      </c>
      <c r="Q5945" t="s">
        <v>20787</v>
      </c>
      <c r="R5945" t="s">
        <v>17719</v>
      </c>
      <c r="S5945">
        <v>1262</v>
      </c>
    </row>
    <row r="5946" spans="1:19">
      <c r="A5946" t="s">
        <v>28</v>
      </c>
      <c r="B5946" t="s">
        <v>148</v>
      </c>
      <c r="C5946" t="s">
        <v>160</v>
      </c>
      <c r="D5946" t="s">
        <v>289</v>
      </c>
      <c r="E5946" t="s">
        <v>418</v>
      </c>
      <c r="F5946">
        <f>HYPERLINK("https://www.wikidata.org/wiki/Q33755445", "Q33755445")</f>
        <v>0</v>
      </c>
      <c r="G5946" t="s">
        <v>497</v>
      </c>
      <c r="H5946" t="s">
        <v>5262</v>
      </c>
      <c r="I5946" t="s">
        <v>9368</v>
      </c>
      <c r="J5946" t="s">
        <v>11249</v>
      </c>
      <c r="K5946" t="s">
        <v>15649</v>
      </c>
      <c r="L5946">
        <f>HYPERLINK("https://www2.assemblee-nationale.fr/sycomore/fiche/(num_dept)/67", "67")</f>
        <v>0</v>
      </c>
      <c r="M5946">
        <f>HYPERLINK("https://www.senat.fr/senateur-3eme-republique/alasseur_gustave0506r3.html", "alasseur_gustave0506r3")</f>
        <v>0</v>
      </c>
      <c r="N5946">
        <f>HYPERLINK("https://www.wikidata.org/wiki/Q3121099", "Q3121099")</f>
        <v>0</v>
      </c>
      <c r="O5946" t="s">
        <v>19958</v>
      </c>
      <c r="Q5946" t="s">
        <v>20787</v>
      </c>
      <c r="R5946" t="s">
        <v>418</v>
      </c>
      <c r="S5946">
        <v>1745</v>
      </c>
    </row>
    <row r="5947" spans="1:19">
      <c r="A5947" t="s">
        <v>28</v>
      </c>
      <c r="B5947" t="s">
        <v>148</v>
      </c>
      <c r="C5947" t="s">
        <v>160</v>
      </c>
      <c r="D5947" t="s">
        <v>289</v>
      </c>
      <c r="E5947" t="s">
        <v>418</v>
      </c>
      <c r="F5947">
        <f>HYPERLINK("https://www.wikidata.org/wiki/Q33755445", "Q33755445")</f>
        <v>0</v>
      </c>
      <c r="G5947" t="s">
        <v>2485</v>
      </c>
      <c r="H5947" t="s">
        <v>7058</v>
      </c>
      <c r="I5947" t="s">
        <v>10238</v>
      </c>
      <c r="J5947" t="s">
        <v>13129</v>
      </c>
      <c r="K5947" t="s">
        <v>17539</v>
      </c>
      <c r="L5947">
        <f>HYPERLINK("https://www2.assemblee-nationale.fr/sycomore/fiche/(num_dept)/85", "85")</f>
        <v>0</v>
      </c>
      <c r="N5947">
        <f>HYPERLINK("https://www.wikidata.org/wiki/Q15973226", "Q15973226")</f>
        <v>0</v>
      </c>
      <c r="O5947" t="s">
        <v>20027</v>
      </c>
      <c r="P5947" t="s">
        <v>20484</v>
      </c>
      <c r="Q5947" t="s">
        <v>20787</v>
      </c>
      <c r="R5947" t="s">
        <v>418</v>
      </c>
      <c r="S5947">
        <v>1745</v>
      </c>
    </row>
    <row r="5948" spans="1:19">
      <c r="A5948" t="s">
        <v>28</v>
      </c>
      <c r="B5948" t="s">
        <v>148</v>
      </c>
      <c r="C5948" t="s">
        <v>160</v>
      </c>
      <c r="D5948" t="s">
        <v>289</v>
      </c>
      <c r="E5948" t="s">
        <v>418</v>
      </c>
      <c r="F5948">
        <f>HYPERLINK("https://www.wikidata.org/wiki/Q33755445", "Q33755445")</f>
        <v>0</v>
      </c>
      <c r="G5948" t="s">
        <v>3400</v>
      </c>
      <c r="H5948" t="s">
        <v>7789</v>
      </c>
      <c r="I5948" t="s">
        <v>10810</v>
      </c>
      <c r="J5948" t="s">
        <v>14008</v>
      </c>
      <c r="K5948" t="s">
        <v>18376</v>
      </c>
      <c r="L5948">
        <f>HYPERLINK("https://www2.assemblee-nationale.fr/sycomore/fiche/(num_dept)/187", "187")</f>
        <v>0</v>
      </c>
      <c r="N5948">
        <f>HYPERLINK("https://www.wikidata.org/wiki/Q2871297", "Q2871297")</f>
        <v>0</v>
      </c>
      <c r="O5948" t="s">
        <v>19996</v>
      </c>
      <c r="P5948" t="s">
        <v>20483</v>
      </c>
      <c r="Q5948" t="s">
        <v>20787</v>
      </c>
      <c r="R5948" t="s">
        <v>418</v>
      </c>
      <c r="S5948">
        <v>1745</v>
      </c>
    </row>
    <row r="5949" spans="1:19">
      <c r="A5949" t="s">
        <v>28</v>
      </c>
      <c r="B5949" t="s">
        <v>148</v>
      </c>
      <c r="C5949" t="s">
        <v>160</v>
      </c>
      <c r="D5949" t="s">
        <v>289</v>
      </c>
      <c r="E5949" t="s">
        <v>418</v>
      </c>
      <c r="F5949">
        <f>HYPERLINK("https://www.wikidata.org/wiki/Q33755445", "Q33755445")</f>
        <v>0</v>
      </c>
      <c r="G5949" t="s">
        <v>3006</v>
      </c>
      <c r="H5949" t="s">
        <v>7468</v>
      </c>
      <c r="I5949" t="s">
        <v>9414</v>
      </c>
      <c r="J5949" t="s">
        <v>12227</v>
      </c>
      <c r="K5949" t="s">
        <v>18020</v>
      </c>
      <c r="L5949">
        <f>HYPERLINK("https://www2.assemblee-nationale.fr/sycomore/fiche/(num_dept)/188", "188")</f>
        <v>0</v>
      </c>
      <c r="M5949">
        <f>HYPERLINK("https://www.senat.fr/senateur-3eme-republique/arene_emmanuel0489r3.html", "arene_emmanuel0489r3")</f>
        <v>0</v>
      </c>
      <c r="N5949">
        <f>HYPERLINK("https://www.wikidata.org/wiki/Q3052547", "Q3052547")</f>
        <v>0</v>
      </c>
      <c r="O5949" t="s">
        <v>19955</v>
      </c>
      <c r="Q5949" t="s">
        <v>20787</v>
      </c>
      <c r="R5949" t="s">
        <v>418</v>
      </c>
      <c r="S5949">
        <v>1745</v>
      </c>
    </row>
    <row r="5950" spans="1:19">
      <c r="A5950" t="s">
        <v>28</v>
      </c>
      <c r="B5950" t="s">
        <v>148</v>
      </c>
      <c r="C5950" t="s">
        <v>160</v>
      </c>
      <c r="D5950" t="s">
        <v>289</v>
      </c>
      <c r="E5950" t="s">
        <v>418</v>
      </c>
      <c r="F5950">
        <f>HYPERLINK("https://www.wikidata.org/wiki/Q33755445", "Q33755445")</f>
        <v>0</v>
      </c>
      <c r="G5950" t="s">
        <v>503</v>
      </c>
      <c r="H5950" t="s">
        <v>5268</v>
      </c>
      <c r="I5950" t="s">
        <v>6495</v>
      </c>
      <c r="J5950" t="s">
        <v>11255</v>
      </c>
      <c r="K5950" t="s">
        <v>15655</v>
      </c>
      <c r="L5950">
        <f>HYPERLINK("https://www2.assemblee-nationale.fr/sycomore/fiche/(num_dept)/195", "195")</f>
        <v>0</v>
      </c>
      <c r="N5950">
        <f>HYPERLINK("https://www.wikidata.org/wiki/Q3261103", "Q3261103")</f>
        <v>0</v>
      </c>
      <c r="O5950" t="s">
        <v>19964</v>
      </c>
      <c r="P5950" t="s">
        <v>20457</v>
      </c>
      <c r="Q5950" t="s">
        <v>20787</v>
      </c>
      <c r="R5950" t="s">
        <v>418</v>
      </c>
      <c r="S5950">
        <v>1745</v>
      </c>
    </row>
    <row r="5951" spans="1:19">
      <c r="A5951" t="s">
        <v>28</v>
      </c>
      <c r="B5951" t="s">
        <v>148</v>
      </c>
      <c r="C5951" t="s">
        <v>160</v>
      </c>
      <c r="D5951" t="s">
        <v>289</v>
      </c>
      <c r="E5951" t="s">
        <v>418</v>
      </c>
      <c r="F5951">
        <f>HYPERLINK("https://www.wikidata.org/wiki/Q33755445", "Q33755445")</f>
        <v>0</v>
      </c>
      <c r="G5951" t="s">
        <v>3064</v>
      </c>
      <c r="H5951" t="s">
        <v>7517</v>
      </c>
      <c r="I5951" t="s">
        <v>10604</v>
      </c>
      <c r="J5951" t="s">
        <v>13688</v>
      </c>
      <c r="K5951" t="s">
        <v>18071</v>
      </c>
      <c r="L5951">
        <f>HYPERLINK("https://www2.assemblee-nationale.fr/sycomore/fiche/(num_dept)/205", "205")</f>
        <v>0</v>
      </c>
      <c r="N5951">
        <f>HYPERLINK("https://www.wikidata.org/wiki/Q15973359", "Q15973359")</f>
        <v>0</v>
      </c>
      <c r="O5951" t="s">
        <v>20031</v>
      </c>
      <c r="P5951" t="s">
        <v>20460</v>
      </c>
      <c r="Q5951" t="s">
        <v>20787</v>
      </c>
      <c r="R5951" t="s">
        <v>418</v>
      </c>
      <c r="S5951">
        <v>1745</v>
      </c>
    </row>
    <row r="5952" spans="1:19">
      <c r="A5952" t="s">
        <v>28</v>
      </c>
      <c r="B5952" t="s">
        <v>148</v>
      </c>
      <c r="C5952" t="s">
        <v>160</v>
      </c>
      <c r="D5952" t="s">
        <v>289</v>
      </c>
      <c r="E5952" t="s">
        <v>418</v>
      </c>
      <c r="F5952">
        <f>HYPERLINK("https://www.wikidata.org/wiki/Q33755445", "Q33755445")</f>
        <v>0</v>
      </c>
      <c r="G5952" t="s">
        <v>2488</v>
      </c>
      <c r="H5952" t="s">
        <v>7061</v>
      </c>
      <c r="I5952" t="s">
        <v>10240</v>
      </c>
      <c r="J5952" t="s">
        <v>13132</v>
      </c>
      <c r="K5952" t="s">
        <v>17541</v>
      </c>
      <c r="L5952">
        <f>HYPERLINK("https://www2.assemblee-nationale.fr/sycomore/fiche/(num_dept)/251", "251")</f>
        <v>0</v>
      </c>
      <c r="M5952">
        <f>HYPERLINK("https://www.senat.fr/senateur-3eme-republique/audiffred_jean_honore1321r3.html", "audiffred_jean_honore1321r3")</f>
        <v>0</v>
      </c>
      <c r="N5952">
        <f>HYPERLINK("https://www.wikidata.org/wiki/Q3166130", "Q3166130")</f>
        <v>0</v>
      </c>
      <c r="O5952" t="s">
        <v>19997</v>
      </c>
      <c r="Q5952" t="s">
        <v>20787</v>
      </c>
      <c r="R5952" t="s">
        <v>418</v>
      </c>
      <c r="S5952">
        <v>1745</v>
      </c>
    </row>
    <row r="5953" spans="1:19">
      <c r="A5953" t="s">
        <v>28</v>
      </c>
      <c r="B5953" t="s">
        <v>148</v>
      </c>
      <c r="C5953" t="s">
        <v>160</v>
      </c>
      <c r="D5953" t="s">
        <v>289</v>
      </c>
      <c r="E5953" t="s">
        <v>418</v>
      </c>
      <c r="F5953">
        <f>HYPERLINK("https://www.wikidata.org/wiki/Q33755445", "Q33755445")</f>
        <v>0</v>
      </c>
      <c r="G5953" t="s">
        <v>3674</v>
      </c>
      <c r="H5953" t="s">
        <v>8001</v>
      </c>
      <c r="I5953" t="s">
        <v>5504</v>
      </c>
      <c r="J5953" t="s">
        <v>14253</v>
      </c>
      <c r="K5953" t="s">
        <v>18612</v>
      </c>
      <c r="L5953">
        <f>HYPERLINK("https://www2.assemblee-nationale.fr/sycomore/fiche/(num_dept)/280", "280")</f>
        <v>0</v>
      </c>
      <c r="N5953">
        <f>HYPERLINK("https://www.wikidata.org/wiki/Q15973410", "Q15973410")</f>
        <v>0</v>
      </c>
      <c r="O5953" t="s">
        <v>20004</v>
      </c>
      <c r="Q5953" t="s">
        <v>20787</v>
      </c>
      <c r="R5953" t="s">
        <v>418</v>
      </c>
      <c r="S5953">
        <v>1745</v>
      </c>
    </row>
    <row r="5954" spans="1:19">
      <c r="A5954" t="s">
        <v>28</v>
      </c>
      <c r="B5954" t="s">
        <v>148</v>
      </c>
      <c r="C5954" t="s">
        <v>160</v>
      </c>
      <c r="D5954" t="s">
        <v>289</v>
      </c>
      <c r="E5954" t="s">
        <v>418</v>
      </c>
      <c r="F5954">
        <f>HYPERLINK("https://www.wikidata.org/wiki/Q33755445", "Q33755445")</f>
        <v>0</v>
      </c>
      <c r="G5954" t="s">
        <v>505</v>
      </c>
      <c r="H5954" t="s">
        <v>5270</v>
      </c>
      <c r="I5954" t="s">
        <v>9375</v>
      </c>
      <c r="J5954" t="s">
        <v>11257</v>
      </c>
      <c r="K5954" t="s">
        <v>15657</v>
      </c>
      <c r="L5954">
        <f>HYPERLINK("https://www2.assemblee-nationale.fr/sycomore/fiche/(num_dept)/305", "305")</f>
        <v>0</v>
      </c>
      <c r="N5954">
        <f>HYPERLINK("https://www.wikidata.org/wiki/Q3579728", "Q3579728")</f>
        <v>0</v>
      </c>
      <c r="O5954" t="s">
        <v>19965</v>
      </c>
      <c r="Q5954" t="s">
        <v>20787</v>
      </c>
      <c r="R5954" t="s">
        <v>418</v>
      </c>
      <c r="S5954">
        <v>1745</v>
      </c>
    </row>
    <row r="5955" spans="1:19">
      <c r="A5955" t="s">
        <v>28</v>
      </c>
      <c r="B5955" t="s">
        <v>148</v>
      </c>
      <c r="C5955" t="s">
        <v>160</v>
      </c>
      <c r="D5955" t="s">
        <v>289</v>
      </c>
      <c r="E5955" t="s">
        <v>418</v>
      </c>
      <c r="F5955">
        <f>HYPERLINK("https://www.wikidata.org/wiki/Q33755445", "Q33755445")</f>
        <v>0</v>
      </c>
      <c r="G5955" t="s">
        <v>867</v>
      </c>
      <c r="H5955" t="s">
        <v>5623</v>
      </c>
      <c r="I5955" t="s">
        <v>9565</v>
      </c>
      <c r="J5955" t="s">
        <v>11613</v>
      </c>
      <c r="K5955" t="s">
        <v>16015</v>
      </c>
      <c r="L5955">
        <f>HYPERLINK("https://www2.assemblee-nationale.fr/sycomore/fiche/(num_dept)/310", "310")</f>
        <v>0</v>
      </c>
      <c r="N5955">
        <f>HYPERLINK("https://www.wikidata.org/wiki/Q2853627", "Q2853627")</f>
        <v>0</v>
      </c>
      <c r="O5955" t="s">
        <v>20031</v>
      </c>
      <c r="P5955" t="s">
        <v>20493</v>
      </c>
      <c r="Q5955" t="s">
        <v>20787</v>
      </c>
      <c r="R5955" t="s">
        <v>418</v>
      </c>
      <c r="S5955">
        <v>1745</v>
      </c>
    </row>
    <row r="5956" spans="1:19">
      <c r="A5956" t="s">
        <v>28</v>
      </c>
      <c r="B5956" t="s">
        <v>148</v>
      </c>
      <c r="C5956" t="s">
        <v>160</v>
      </c>
      <c r="D5956" t="s">
        <v>289</v>
      </c>
      <c r="E5956" t="s">
        <v>418</v>
      </c>
      <c r="F5956">
        <f>HYPERLINK("https://www.wikidata.org/wiki/Q33755445", "Q33755445")</f>
        <v>0</v>
      </c>
      <c r="G5956" t="s">
        <v>3675</v>
      </c>
      <c r="H5956" t="s">
        <v>8002</v>
      </c>
      <c r="I5956" t="s">
        <v>10928</v>
      </c>
      <c r="J5956" t="s">
        <v>14202</v>
      </c>
      <c r="K5956" t="s">
        <v>18613</v>
      </c>
      <c r="L5956">
        <f>HYPERLINK("https://www2.assemblee-nationale.fr/sycomore/fiche/(num_dept)/344", "344")</f>
        <v>0</v>
      </c>
      <c r="N5956">
        <f>HYPERLINK("https://www.wikidata.org/wiki/Q3287690", "Q3287690")</f>
        <v>0</v>
      </c>
      <c r="O5956" t="s">
        <v>20026</v>
      </c>
      <c r="P5956" t="s">
        <v>20474</v>
      </c>
      <c r="Q5956" t="s">
        <v>20787</v>
      </c>
      <c r="R5956" t="s">
        <v>418</v>
      </c>
      <c r="S5956">
        <v>1745</v>
      </c>
    </row>
    <row r="5957" spans="1:19">
      <c r="A5957" t="s">
        <v>28</v>
      </c>
      <c r="B5957" t="s">
        <v>148</v>
      </c>
      <c r="C5957" t="s">
        <v>160</v>
      </c>
      <c r="D5957" t="s">
        <v>289</v>
      </c>
      <c r="E5957" t="s">
        <v>418</v>
      </c>
      <c r="F5957">
        <f>HYPERLINK("https://www.wikidata.org/wiki/Q33755445", "Q33755445")</f>
        <v>0</v>
      </c>
      <c r="G5957" t="s">
        <v>3525</v>
      </c>
      <c r="H5957" t="s">
        <v>7889</v>
      </c>
      <c r="I5957" t="s">
        <v>9385</v>
      </c>
      <c r="J5957" t="s">
        <v>14120</v>
      </c>
      <c r="K5957" t="s">
        <v>16163</v>
      </c>
      <c r="L5957">
        <f>HYPERLINK("https://www2.assemblee-nationale.fr/sycomore/fiche/(num_dept)/358", "358")</f>
        <v>0</v>
      </c>
      <c r="N5957">
        <f>HYPERLINK("https://www.wikidata.org/wiki/Q2958464", "Q2958464")</f>
        <v>0</v>
      </c>
      <c r="O5957" t="s">
        <v>19975</v>
      </c>
      <c r="Q5957" t="s">
        <v>20787</v>
      </c>
      <c r="R5957" t="s">
        <v>418</v>
      </c>
      <c r="S5957">
        <v>1745</v>
      </c>
    </row>
    <row r="5958" spans="1:19">
      <c r="A5958" t="s">
        <v>28</v>
      </c>
      <c r="B5958" t="s">
        <v>148</v>
      </c>
      <c r="C5958" t="s">
        <v>160</v>
      </c>
      <c r="D5958" t="s">
        <v>289</v>
      </c>
      <c r="E5958" t="s">
        <v>418</v>
      </c>
      <c r="F5958">
        <f>HYPERLINK("https://www.wikidata.org/wiki/Q33755445", "Q33755445")</f>
        <v>0</v>
      </c>
      <c r="G5958" t="s">
        <v>508</v>
      </c>
      <c r="H5958" t="s">
        <v>5273</v>
      </c>
      <c r="I5958" t="s">
        <v>9378</v>
      </c>
      <c r="J5958" t="s">
        <v>11260</v>
      </c>
      <c r="K5958" t="s">
        <v>15660</v>
      </c>
      <c r="L5958">
        <f>HYPERLINK("https://www2.assemblee-nationale.fr/sycomore/fiche/(num_dept)/362", "362")</f>
        <v>0</v>
      </c>
      <c r="N5958">
        <f>HYPERLINK("https://www.wikidata.org/wiki/Q2834951", "Q2834951")</f>
        <v>0</v>
      </c>
      <c r="O5958" t="s">
        <v>19957</v>
      </c>
      <c r="P5958" t="s">
        <v>20459</v>
      </c>
      <c r="Q5958" t="s">
        <v>20787</v>
      </c>
      <c r="R5958" t="s">
        <v>418</v>
      </c>
      <c r="S5958">
        <v>1745</v>
      </c>
    </row>
    <row r="5959" spans="1:19">
      <c r="A5959" t="s">
        <v>28</v>
      </c>
      <c r="B5959" t="s">
        <v>148</v>
      </c>
      <c r="C5959" t="s">
        <v>160</v>
      </c>
      <c r="D5959" t="s">
        <v>289</v>
      </c>
      <c r="E5959" t="s">
        <v>418</v>
      </c>
      <c r="F5959">
        <f>HYPERLINK("https://www.wikidata.org/wiki/Q33755445", "Q33755445")</f>
        <v>0</v>
      </c>
      <c r="G5959" t="s">
        <v>2491</v>
      </c>
      <c r="H5959" t="s">
        <v>7064</v>
      </c>
      <c r="I5959" t="s">
        <v>10242</v>
      </c>
      <c r="J5959" t="s">
        <v>13135</v>
      </c>
      <c r="K5959" t="s">
        <v>17544</v>
      </c>
      <c r="L5959">
        <f>HYPERLINK("https://www2.assemblee-nationale.fr/sycomore/fiche/(num_dept)/420", "420")</f>
        <v>0</v>
      </c>
      <c r="M5959">
        <f>HYPERLINK("https://www.senat.fr/senateur-3eme-republique/barodet_desire1412r3.html", "barodet_desire1412r3")</f>
        <v>0</v>
      </c>
      <c r="N5959">
        <f>HYPERLINK("https://www.wikidata.org/wiki/Q1096310", "Q1096310")</f>
        <v>0</v>
      </c>
      <c r="O5959" t="s">
        <v>19969</v>
      </c>
      <c r="P5959" t="s">
        <v>20477</v>
      </c>
      <c r="Q5959" t="s">
        <v>20787</v>
      </c>
      <c r="R5959" t="s">
        <v>17557</v>
      </c>
      <c r="S5959">
        <v>982</v>
      </c>
    </row>
    <row r="5960" spans="1:19">
      <c r="A5960" t="s">
        <v>28</v>
      </c>
      <c r="B5960" t="s">
        <v>148</v>
      </c>
      <c r="C5960" t="s">
        <v>160</v>
      </c>
      <c r="D5960" t="s">
        <v>289</v>
      </c>
      <c r="E5960" t="s">
        <v>418</v>
      </c>
      <c r="F5960">
        <f>HYPERLINK("https://www.wikidata.org/wiki/Q33755445", "Q33755445")</f>
        <v>0</v>
      </c>
      <c r="G5960" t="s">
        <v>512</v>
      </c>
      <c r="H5960" t="s">
        <v>5277</v>
      </c>
      <c r="I5960" t="s">
        <v>6495</v>
      </c>
      <c r="J5960" t="s">
        <v>11264</v>
      </c>
      <c r="K5960" t="s">
        <v>15664</v>
      </c>
      <c r="L5960">
        <f>HYPERLINK("https://www2.assemblee-nationale.fr/sycomore/fiche/(num_dept)/451", "451")</f>
        <v>0</v>
      </c>
      <c r="M5960">
        <f>HYPERLINK("https://www.senat.fr/senateur-3eme-republique/barthou_louis1071r3.html", "barthou_louis1071r3")</f>
        <v>0</v>
      </c>
      <c r="N5960">
        <f>HYPERLINK("https://www.wikidata.org/wiki/Q271887", "Q271887")</f>
        <v>0</v>
      </c>
      <c r="O5960" t="s">
        <v>19970</v>
      </c>
      <c r="Q5960" t="s">
        <v>20787</v>
      </c>
      <c r="R5960" t="s">
        <v>418</v>
      </c>
      <c r="S5960">
        <v>1745</v>
      </c>
    </row>
    <row r="5961" spans="1:19">
      <c r="A5961" t="s">
        <v>28</v>
      </c>
      <c r="B5961" t="s">
        <v>148</v>
      </c>
      <c r="C5961" t="s">
        <v>160</v>
      </c>
      <c r="D5961" t="s">
        <v>289</v>
      </c>
      <c r="E5961" t="s">
        <v>418</v>
      </c>
      <c r="F5961">
        <f>HYPERLINK("https://www.wikidata.org/wiki/Q33755445", "Q33755445")</f>
        <v>0</v>
      </c>
      <c r="G5961" t="s">
        <v>513</v>
      </c>
      <c r="H5961" t="s">
        <v>5278</v>
      </c>
      <c r="I5961" t="s">
        <v>9381</v>
      </c>
      <c r="J5961" t="s">
        <v>11265</v>
      </c>
      <c r="K5961" t="s">
        <v>15665</v>
      </c>
      <c r="L5961">
        <f>HYPERLINK("https://www2.assemblee-nationale.fr/sycomore/fiche/(num_dept)/462", "462")</f>
        <v>0</v>
      </c>
      <c r="N5961">
        <f>HYPERLINK("https://www.wikidata.org/wiki/Q3588329", "Q3588329")</f>
        <v>0</v>
      </c>
      <c r="O5961" t="s">
        <v>19968</v>
      </c>
      <c r="Q5961" t="s">
        <v>20787</v>
      </c>
      <c r="R5961" t="s">
        <v>418</v>
      </c>
      <c r="S5961">
        <v>1745</v>
      </c>
    </row>
    <row r="5962" spans="1:19">
      <c r="A5962" t="s">
        <v>28</v>
      </c>
      <c r="B5962" t="s">
        <v>148</v>
      </c>
      <c r="C5962" t="s">
        <v>160</v>
      </c>
      <c r="D5962" t="s">
        <v>289</v>
      </c>
      <c r="E5962" t="s">
        <v>418</v>
      </c>
      <c r="F5962">
        <f>HYPERLINK("https://www.wikidata.org/wiki/Q33755445", "Q33755445")</f>
        <v>0</v>
      </c>
      <c r="G5962" t="s">
        <v>2492</v>
      </c>
      <c r="H5962" t="s">
        <v>6386</v>
      </c>
      <c r="I5962" t="s">
        <v>10243</v>
      </c>
      <c r="J5962" t="s">
        <v>13136</v>
      </c>
      <c r="K5962" t="s">
        <v>17545</v>
      </c>
      <c r="L5962">
        <f>HYPERLINK("https://www2.assemblee-nationale.fr/sycomore/fiche/(num_dept)/470", "470")</f>
        <v>0</v>
      </c>
      <c r="N5962">
        <f>HYPERLINK("https://www.wikidata.org/wiki/Q15973504", "Q15973504")</f>
        <v>0</v>
      </c>
      <c r="O5962" t="s">
        <v>19966</v>
      </c>
      <c r="P5962" t="s">
        <v>20473</v>
      </c>
      <c r="Q5962" t="s">
        <v>20787</v>
      </c>
      <c r="R5962" t="s">
        <v>418</v>
      </c>
      <c r="S5962">
        <v>1745</v>
      </c>
    </row>
    <row r="5963" spans="1:19">
      <c r="A5963" t="s">
        <v>28</v>
      </c>
      <c r="B5963" t="s">
        <v>148</v>
      </c>
      <c r="C5963" t="s">
        <v>160</v>
      </c>
      <c r="D5963" t="s">
        <v>289</v>
      </c>
      <c r="E5963" t="s">
        <v>418</v>
      </c>
      <c r="F5963">
        <f>HYPERLINK("https://www.wikidata.org/wiki/Q33755445", "Q33755445")</f>
        <v>0</v>
      </c>
      <c r="G5963" t="s">
        <v>3404</v>
      </c>
      <c r="H5963" t="s">
        <v>7792</v>
      </c>
      <c r="I5963" t="s">
        <v>10813</v>
      </c>
      <c r="J5963" t="s">
        <v>14012</v>
      </c>
      <c r="K5963" t="s">
        <v>18379</v>
      </c>
      <c r="L5963">
        <f>HYPERLINK("https://www2.assemblee-nationale.fr/sycomore/fiche/(num_dept)/481", "481")</f>
        <v>0</v>
      </c>
      <c r="N5963">
        <f>HYPERLINK("https://www.wikidata.org/wiki/Q15973508", "Q15973508")</f>
        <v>0</v>
      </c>
      <c r="O5963" t="s">
        <v>19972</v>
      </c>
      <c r="P5963" t="s">
        <v>20473</v>
      </c>
      <c r="Q5963" t="s">
        <v>20787</v>
      </c>
      <c r="R5963" t="s">
        <v>18379</v>
      </c>
      <c r="S5963">
        <v>532</v>
      </c>
    </row>
    <row r="5964" spans="1:19">
      <c r="A5964" t="s">
        <v>28</v>
      </c>
      <c r="B5964" t="s">
        <v>148</v>
      </c>
      <c r="C5964" t="s">
        <v>160</v>
      </c>
      <c r="D5964" t="s">
        <v>289</v>
      </c>
      <c r="E5964" t="s">
        <v>418</v>
      </c>
      <c r="F5964">
        <f>HYPERLINK("https://www.wikidata.org/wiki/Q33755445", "Q33755445")</f>
        <v>0</v>
      </c>
      <c r="G5964" t="s">
        <v>3676</v>
      </c>
      <c r="H5964" t="s">
        <v>7792</v>
      </c>
      <c r="I5964" t="s">
        <v>10929</v>
      </c>
      <c r="J5964" t="s">
        <v>11376</v>
      </c>
      <c r="K5964" t="s">
        <v>18614</v>
      </c>
      <c r="L5964">
        <f>HYPERLINK("https://www2.assemblee-nationale.fr/sycomore/fiche/(num_dept)/482", "482")</f>
        <v>0</v>
      </c>
      <c r="N5964">
        <f>HYPERLINK("https://www.wikidata.org/wiki/Q15973525", "Q15973525")</f>
        <v>0</v>
      </c>
      <c r="O5964" t="s">
        <v>19972</v>
      </c>
      <c r="P5964" t="s">
        <v>20411</v>
      </c>
      <c r="Q5964" t="s">
        <v>20787</v>
      </c>
      <c r="R5964" t="s">
        <v>418</v>
      </c>
      <c r="S5964">
        <v>1745</v>
      </c>
    </row>
    <row r="5965" spans="1:19">
      <c r="A5965" t="s">
        <v>28</v>
      </c>
      <c r="B5965" t="s">
        <v>148</v>
      </c>
      <c r="C5965" t="s">
        <v>160</v>
      </c>
      <c r="D5965" t="s">
        <v>289</v>
      </c>
      <c r="E5965" t="s">
        <v>418</v>
      </c>
      <c r="F5965">
        <f>HYPERLINK("https://www.wikidata.org/wiki/Q33755445", "Q33755445")</f>
        <v>0</v>
      </c>
      <c r="G5965" t="s">
        <v>3527</v>
      </c>
      <c r="H5965" t="s">
        <v>7891</v>
      </c>
      <c r="I5965" t="s">
        <v>9465</v>
      </c>
      <c r="J5965" t="s">
        <v>14121</v>
      </c>
      <c r="K5965" t="s">
        <v>18488</v>
      </c>
      <c r="L5965">
        <f>HYPERLINK("https://www2.assemblee-nationale.fr/sycomore/fiche/(num_dept)/490", "490")</f>
        <v>0</v>
      </c>
      <c r="N5965">
        <f>HYPERLINK("https://www.wikidata.org/wiki/Q8344677", "Q8344677")</f>
        <v>0</v>
      </c>
      <c r="O5965" t="s">
        <v>19996</v>
      </c>
      <c r="P5965" t="s">
        <v>20485</v>
      </c>
      <c r="Q5965" t="s">
        <v>20787</v>
      </c>
      <c r="R5965" t="s">
        <v>418</v>
      </c>
      <c r="S5965">
        <v>1745</v>
      </c>
    </row>
    <row r="5966" spans="1:19">
      <c r="A5966" t="s">
        <v>28</v>
      </c>
      <c r="B5966" t="s">
        <v>148</v>
      </c>
      <c r="C5966" t="s">
        <v>160</v>
      </c>
      <c r="D5966" t="s">
        <v>289</v>
      </c>
      <c r="E5966" t="s">
        <v>418</v>
      </c>
      <c r="F5966">
        <f>HYPERLINK("https://www.wikidata.org/wiki/Q33755445", "Q33755445")</f>
        <v>0</v>
      </c>
      <c r="G5966" t="s">
        <v>516</v>
      </c>
      <c r="H5966" t="s">
        <v>5280</v>
      </c>
      <c r="I5966" t="s">
        <v>9384</v>
      </c>
      <c r="J5966" t="s">
        <v>11268</v>
      </c>
      <c r="K5966" t="s">
        <v>15668</v>
      </c>
      <c r="L5966">
        <f>HYPERLINK("https://www2.assemblee-nationale.fr/sycomore/fiche/(num_dept)/501", "501")</f>
        <v>0</v>
      </c>
      <c r="N5966">
        <f>HYPERLINK("https://www.wikidata.org/wiki/Q2861911", "Q2861911")</f>
        <v>0</v>
      </c>
      <c r="O5966" t="s">
        <v>19972</v>
      </c>
      <c r="Q5966" t="s">
        <v>20787</v>
      </c>
      <c r="R5966" t="s">
        <v>418</v>
      </c>
      <c r="S5966">
        <v>1745</v>
      </c>
    </row>
    <row r="5967" spans="1:19">
      <c r="A5967" t="s">
        <v>28</v>
      </c>
      <c r="B5967" t="s">
        <v>148</v>
      </c>
      <c r="C5967" t="s">
        <v>160</v>
      </c>
      <c r="D5967" t="s">
        <v>289</v>
      </c>
      <c r="E5967" t="s">
        <v>418</v>
      </c>
      <c r="F5967">
        <f>HYPERLINK("https://www.wikidata.org/wiki/Q33755445", "Q33755445")</f>
        <v>0</v>
      </c>
      <c r="G5967" t="s">
        <v>3665</v>
      </c>
      <c r="H5967" t="s">
        <v>7994</v>
      </c>
      <c r="I5967" t="s">
        <v>10924</v>
      </c>
      <c r="J5967" t="s">
        <v>14244</v>
      </c>
      <c r="K5967" t="s">
        <v>18604</v>
      </c>
      <c r="L5967">
        <f>HYPERLINK("https://www2.assemblee-nationale.fr/sycomore/fiche/(num_dept)/521", "521")</f>
        <v>0</v>
      </c>
      <c r="N5967">
        <f>HYPERLINK("https://www.wikidata.org/wiki/Q15973565", "Q15973565")</f>
        <v>0</v>
      </c>
      <c r="O5967" t="s">
        <v>19982</v>
      </c>
      <c r="Q5967" t="s">
        <v>20787</v>
      </c>
      <c r="R5967" t="s">
        <v>418</v>
      </c>
      <c r="S5967">
        <v>1745</v>
      </c>
    </row>
    <row r="5968" spans="1:19">
      <c r="A5968" t="s">
        <v>28</v>
      </c>
      <c r="B5968" t="s">
        <v>148</v>
      </c>
      <c r="C5968" t="s">
        <v>160</v>
      </c>
      <c r="D5968" t="s">
        <v>289</v>
      </c>
      <c r="E5968" t="s">
        <v>418</v>
      </c>
      <c r="F5968">
        <f>HYPERLINK("https://www.wikidata.org/wiki/Q33755445", "Q33755445")</f>
        <v>0</v>
      </c>
      <c r="G5968" t="s">
        <v>517</v>
      </c>
      <c r="H5968" t="s">
        <v>5281</v>
      </c>
      <c r="I5968" t="s">
        <v>9385</v>
      </c>
      <c r="J5968" t="s">
        <v>11269</v>
      </c>
      <c r="K5968" t="s">
        <v>15669</v>
      </c>
      <c r="L5968">
        <f>HYPERLINK("https://www2.assemblee-nationale.fr/sycomore/fiche/(num_dept)/538", "538")</f>
        <v>0</v>
      </c>
      <c r="N5968">
        <f>HYPERLINK("https://www.wikidata.org/wiki/Q2958509", "Q2958509")</f>
        <v>0</v>
      </c>
      <c r="O5968" t="s">
        <v>19973</v>
      </c>
      <c r="Q5968" t="s">
        <v>20787</v>
      </c>
      <c r="R5968" t="s">
        <v>418</v>
      </c>
      <c r="S5968">
        <v>1745</v>
      </c>
    </row>
    <row r="5969" spans="1:19">
      <c r="A5969" t="s">
        <v>28</v>
      </c>
      <c r="B5969" t="s">
        <v>148</v>
      </c>
      <c r="C5969" t="s">
        <v>160</v>
      </c>
      <c r="D5969" t="s">
        <v>289</v>
      </c>
      <c r="E5969" t="s">
        <v>418</v>
      </c>
      <c r="F5969">
        <f>HYPERLINK("https://www.wikidata.org/wiki/Q33755445", "Q33755445")</f>
        <v>0</v>
      </c>
      <c r="G5969" t="s">
        <v>3677</v>
      </c>
      <c r="H5969" t="s">
        <v>8003</v>
      </c>
      <c r="I5969" t="s">
        <v>10930</v>
      </c>
      <c r="J5969" t="s">
        <v>14254</v>
      </c>
      <c r="K5969" t="s">
        <v>18615</v>
      </c>
      <c r="L5969">
        <f>HYPERLINK("https://www2.assemblee-nationale.fr/sycomore/fiche/(num_dept)/642", "642")</f>
        <v>0</v>
      </c>
      <c r="M5969">
        <f>HYPERLINK("https://www.senat.fr/senateur-3eme-republique/bepmale_jean0103r3.html", "bepmale_jean0103r3")</f>
        <v>0</v>
      </c>
      <c r="N5969">
        <f>HYPERLINK("https://www.wikidata.org/wiki/Q3170701", "Q3170701")</f>
        <v>0</v>
      </c>
      <c r="O5969" t="s">
        <v>20016</v>
      </c>
      <c r="P5969" t="s">
        <v>20477</v>
      </c>
      <c r="Q5969" t="s">
        <v>20787</v>
      </c>
      <c r="R5969" t="s">
        <v>418</v>
      </c>
      <c r="S5969">
        <v>1745</v>
      </c>
    </row>
    <row r="5970" spans="1:19">
      <c r="A5970" t="s">
        <v>28</v>
      </c>
      <c r="B5970" t="s">
        <v>148</v>
      </c>
      <c r="C5970" t="s">
        <v>160</v>
      </c>
      <c r="D5970" t="s">
        <v>289</v>
      </c>
      <c r="E5970" t="s">
        <v>418</v>
      </c>
      <c r="F5970">
        <f>HYPERLINK("https://www.wikidata.org/wiki/Q33755445", "Q33755445")</f>
        <v>0</v>
      </c>
      <c r="G5970" t="s">
        <v>3678</v>
      </c>
      <c r="H5970" t="s">
        <v>5286</v>
      </c>
      <c r="I5970" t="s">
        <v>9553</v>
      </c>
      <c r="J5970" t="s">
        <v>14255</v>
      </c>
      <c r="K5970" t="s">
        <v>18616</v>
      </c>
      <c r="L5970">
        <f>HYPERLINK("https://www2.assemblee-nationale.fr/sycomore/fiche/(num_dept)/647", "647")</f>
        <v>0</v>
      </c>
      <c r="M5970">
        <f>HYPERLINK("https://www.senat.fr/senateur-3eme-republique/berard_alexandre0019r3.html", "berard_alexandre0019r3")</f>
        <v>0</v>
      </c>
      <c r="N5970">
        <f>HYPERLINK("https://www.wikidata.org/wiki/Q2833511", "Q2833511")</f>
        <v>0</v>
      </c>
      <c r="O5970" t="s">
        <v>19986</v>
      </c>
      <c r="P5970" t="s">
        <v>20402</v>
      </c>
      <c r="Q5970" t="s">
        <v>20787</v>
      </c>
      <c r="R5970" t="s">
        <v>418</v>
      </c>
      <c r="S5970">
        <v>1745</v>
      </c>
    </row>
    <row r="5971" spans="1:19">
      <c r="A5971" t="s">
        <v>28</v>
      </c>
      <c r="B5971" t="s">
        <v>148</v>
      </c>
      <c r="C5971" t="s">
        <v>160</v>
      </c>
      <c r="D5971" t="s">
        <v>289</v>
      </c>
      <c r="E5971" t="s">
        <v>418</v>
      </c>
      <c r="F5971">
        <f>HYPERLINK("https://www.wikidata.org/wiki/Q33755445", "Q33755445")</f>
        <v>0</v>
      </c>
      <c r="G5971" t="s">
        <v>3679</v>
      </c>
      <c r="H5971" t="s">
        <v>8004</v>
      </c>
      <c r="I5971" t="s">
        <v>10931</v>
      </c>
      <c r="J5971" t="s">
        <v>14087</v>
      </c>
      <c r="K5971" t="s">
        <v>18617</v>
      </c>
      <c r="L5971">
        <f>HYPERLINK("https://www2.assemblee-nationale.fr/sycomore/fiche/(num_dept)/654", "654")</f>
        <v>0</v>
      </c>
      <c r="M5971">
        <f>HYPERLINK("https://www.senat.fr/senateur-3eme-republique/berdoly_martial1057r3.html", "berdoly_martial1057r3")</f>
        <v>0</v>
      </c>
      <c r="N5971">
        <f>HYPERLINK("https://www.wikidata.org/wiki/Q733735", "Q733735")</f>
        <v>0</v>
      </c>
      <c r="O5971" t="s">
        <v>19970</v>
      </c>
      <c r="P5971" t="s">
        <v>20459</v>
      </c>
      <c r="Q5971" t="s">
        <v>20787</v>
      </c>
      <c r="R5971" t="s">
        <v>418</v>
      </c>
      <c r="S5971">
        <v>1745</v>
      </c>
    </row>
    <row r="5972" spans="1:19">
      <c r="A5972" t="s">
        <v>28</v>
      </c>
      <c r="B5972" t="s">
        <v>148</v>
      </c>
      <c r="C5972" t="s">
        <v>160</v>
      </c>
      <c r="D5972" t="s">
        <v>289</v>
      </c>
      <c r="E5972" t="s">
        <v>418</v>
      </c>
      <c r="F5972">
        <f>HYPERLINK("https://www.wikidata.org/wiki/Q33755445", "Q33755445")</f>
        <v>0</v>
      </c>
      <c r="G5972" t="s">
        <v>3530</v>
      </c>
      <c r="H5972" t="s">
        <v>5946</v>
      </c>
      <c r="I5972" t="s">
        <v>10866</v>
      </c>
      <c r="J5972" t="s">
        <v>14124</v>
      </c>
      <c r="K5972" t="s">
        <v>18490</v>
      </c>
      <c r="L5972">
        <f>HYPERLINK("https://www2.assemblee-nationale.fr/sycomore/fiche/(num_dept)/664", "664")</f>
        <v>0</v>
      </c>
      <c r="N5972">
        <f>HYPERLINK("https://www.wikidata.org/wiki/Q13080880", "Q13080880")</f>
        <v>0</v>
      </c>
      <c r="O5972" t="s">
        <v>19969</v>
      </c>
      <c r="P5972" t="s">
        <v>20479</v>
      </c>
      <c r="Q5972" t="s">
        <v>20787</v>
      </c>
      <c r="R5972" t="s">
        <v>418</v>
      </c>
      <c r="S5972">
        <v>1745</v>
      </c>
    </row>
    <row r="5973" spans="1:19">
      <c r="A5973" t="s">
        <v>28</v>
      </c>
      <c r="B5973" t="s">
        <v>148</v>
      </c>
      <c r="C5973" t="s">
        <v>160</v>
      </c>
      <c r="D5973" t="s">
        <v>289</v>
      </c>
      <c r="E5973" t="s">
        <v>418</v>
      </c>
      <c r="F5973">
        <f>HYPERLINK("https://www.wikidata.org/wiki/Q33755445", "Q33755445")</f>
        <v>0</v>
      </c>
      <c r="G5973" t="s">
        <v>3680</v>
      </c>
      <c r="H5973" t="s">
        <v>8005</v>
      </c>
      <c r="I5973" t="s">
        <v>10932</v>
      </c>
      <c r="J5973" t="s">
        <v>14256</v>
      </c>
      <c r="K5973" t="s">
        <v>18618</v>
      </c>
      <c r="L5973">
        <f>HYPERLINK("https://www2.assemblee-nationale.fr/sycomore/fiche/(num_dept)/704", "704")</f>
        <v>0</v>
      </c>
      <c r="N5973">
        <f>HYPERLINK("https://www.wikidata.org/wiki/Q15973644", "Q15973644")</f>
        <v>0</v>
      </c>
      <c r="O5973" t="s">
        <v>19962</v>
      </c>
      <c r="P5973" t="s">
        <v>20479</v>
      </c>
      <c r="Q5973" t="s">
        <v>20787</v>
      </c>
      <c r="R5973" t="s">
        <v>418</v>
      </c>
      <c r="S5973">
        <v>1745</v>
      </c>
    </row>
    <row r="5974" spans="1:19">
      <c r="A5974" t="s">
        <v>28</v>
      </c>
      <c r="B5974" t="s">
        <v>148</v>
      </c>
      <c r="C5974" t="s">
        <v>160</v>
      </c>
      <c r="D5974" t="s">
        <v>289</v>
      </c>
      <c r="E5974" t="s">
        <v>418</v>
      </c>
      <c r="F5974">
        <f>HYPERLINK("https://www.wikidata.org/wiki/Q33755445", "Q33755445")</f>
        <v>0</v>
      </c>
      <c r="G5974" t="s">
        <v>3406</v>
      </c>
      <c r="H5974" t="s">
        <v>5630</v>
      </c>
      <c r="I5974" t="s">
        <v>10815</v>
      </c>
      <c r="J5974" t="s">
        <v>11427</v>
      </c>
      <c r="K5974" t="s">
        <v>18381</v>
      </c>
      <c r="L5974">
        <f>HYPERLINK("https://www2.assemblee-nationale.fr/sycomore/fiche/(num_dept)/747", "747")</f>
        <v>0</v>
      </c>
      <c r="N5974">
        <f>HYPERLINK("https://www.wikidata.org/wiki/Q16011065", "Q16011065")</f>
        <v>0</v>
      </c>
      <c r="O5974" t="s">
        <v>20025</v>
      </c>
      <c r="Q5974" t="s">
        <v>20787</v>
      </c>
      <c r="R5974" t="s">
        <v>418</v>
      </c>
      <c r="S5974">
        <v>1745</v>
      </c>
    </row>
    <row r="5975" spans="1:19">
      <c r="A5975" t="s">
        <v>28</v>
      </c>
      <c r="B5975" t="s">
        <v>148</v>
      </c>
      <c r="C5975" t="s">
        <v>160</v>
      </c>
      <c r="D5975" t="s">
        <v>289</v>
      </c>
      <c r="E5975" t="s">
        <v>418</v>
      </c>
      <c r="F5975">
        <f>HYPERLINK("https://www.wikidata.org/wiki/Q33755445", "Q33755445")</f>
        <v>0</v>
      </c>
      <c r="G5975" t="s">
        <v>3532</v>
      </c>
      <c r="H5975" t="s">
        <v>7893</v>
      </c>
      <c r="I5975" t="s">
        <v>10570</v>
      </c>
      <c r="J5975" t="s">
        <v>14126</v>
      </c>
      <c r="K5975" t="s">
        <v>18491</v>
      </c>
      <c r="L5975">
        <f>HYPERLINK("https://www2.assemblee-nationale.fr/sycomore/fiche/(num_dept)/777", "777")</f>
        <v>0</v>
      </c>
      <c r="M5975">
        <f>HYPERLINK("https://www.senat.fr/senateur-3eme-republique/bezine_paul1849r3.html", "bezine_paul1849r3")</f>
        <v>0</v>
      </c>
      <c r="N5975">
        <f>HYPERLINK("https://www.wikidata.org/wiki/Q3370642", "Q3370642")</f>
        <v>0</v>
      </c>
      <c r="O5975" t="s">
        <v>20034</v>
      </c>
      <c r="P5975" t="s">
        <v>20401</v>
      </c>
      <c r="Q5975" t="s">
        <v>20787</v>
      </c>
      <c r="R5975" t="s">
        <v>21543</v>
      </c>
      <c r="S5975">
        <v>1173</v>
      </c>
    </row>
    <row r="5976" spans="1:19">
      <c r="A5976" t="s">
        <v>28</v>
      </c>
      <c r="B5976" t="s">
        <v>148</v>
      </c>
      <c r="C5976" t="s">
        <v>160</v>
      </c>
      <c r="D5976" t="s">
        <v>289</v>
      </c>
      <c r="E5976" t="s">
        <v>418</v>
      </c>
      <c r="F5976">
        <f>HYPERLINK("https://www.wikidata.org/wiki/Q33755445", "Q33755445")</f>
        <v>0</v>
      </c>
      <c r="G5976" t="s">
        <v>2502</v>
      </c>
      <c r="H5976" t="s">
        <v>7072</v>
      </c>
      <c r="I5976" t="s">
        <v>10250</v>
      </c>
      <c r="J5976" t="s">
        <v>13146</v>
      </c>
      <c r="K5976" t="s">
        <v>17554</v>
      </c>
      <c r="L5976">
        <f>HYPERLINK("https://www2.assemblee-nationale.fr/sycomore/fiche/(num_dept)/827", "827")</f>
        <v>0</v>
      </c>
      <c r="N5976">
        <f>HYPERLINK("https://www.wikidata.org/wiki/Q3419404", "Q3419404")</f>
        <v>0</v>
      </c>
      <c r="O5976" t="s">
        <v>20024</v>
      </c>
      <c r="P5976" t="s">
        <v>20409</v>
      </c>
      <c r="Q5976" t="s">
        <v>20787</v>
      </c>
      <c r="R5976" t="s">
        <v>418</v>
      </c>
      <c r="S5976">
        <v>1745</v>
      </c>
    </row>
    <row r="5977" spans="1:19">
      <c r="A5977" t="s">
        <v>28</v>
      </c>
      <c r="B5977" t="s">
        <v>148</v>
      </c>
      <c r="C5977" t="s">
        <v>160</v>
      </c>
      <c r="D5977" t="s">
        <v>289</v>
      </c>
      <c r="E5977" t="s">
        <v>418</v>
      </c>
      <c r="F5977">
        <f>HYPERLINK("https://www.wikidata.org/wiki/Q33755445", "Q33755445")</f>
        <v>0</v>
      </c>
      <c r="G5977" t="s">
        <v>2503</v>
      </c>
      <c r="H5977" t="s">
        <v>7073</v>
      </c>
      <c r="I5977" t="s">
        <v>6495</v>
      </c>
      <c r="J5977" t="s">
        <v>13147</v>
      </c>
      <c r="K5977" t="s">
        <v>17555</v>
      </c>
      <c r="L5977">
        <f>HYPERLINK("https://www2.assemblee-nationale.fr/sycomore/fiche/(num_dept)/831", "831")</f>
        <v>0</v>
      </c>
      <c r="M5977">
        <f>HYPERLINK("https://www.senat.fr/senateur-3eme-republique/bizarelli_louis0715r3.html", "bizarelli_louis0715r3")</f>
        <v>0</v>
      </c>
      <c r="N5977">
        <f>HYPERLINK("https://www.wikidata.org/wiki/Q3261277", "Q3261277")</f>
        <v>0</v>
      </c>
      <c r="O5977" t="s">
        <v>20044</v>
      </c>
      <c r="Q5977" t="s">
        <v>20787</v>
      </c>
      <c r="R5977" t="s">
        <v>418</v>
      </c>
      <c r="S5977">
        <v>1745</v>
      </c>
    </row>
    <row r="5978" spans="1:19">
      <c r="A5978" t="s">
        <v>28</v>
      </c>
      <c r="B5978" t="s">
        <v>148</v>
      </c>
      <c r="C5978" t="s">
        <v>160</v>
      </c>
      <c r="D5978" t="s">
        <v>289</v>
      </c>
      <c r="E5978" t="s">
        <v>418</v>
      </c>
      <c r="F5978">
        <f>HYPERLINK("https://www.wikidata.org/wiki/Q33755445", "Q33755445")</f>
        <v>0</v>
      </c>
      <c r="G5978" t="s">
        <v>3533</v>
      </c>
      <c r="H5978" t="s">
        <v>7894</v>
      </c>
      <c r="I5978" t="s">
        <v>10868</v>
      </c>
      <c r="J5978" t="s">
        <v>14127</v>
      </c>
      <c r="K5978" t="s">
        <v>18452</v>
      </c>
      <c r="L5978">
        <f>HYPERLINK("https://www2.assemblee-nationale.fr/sycomore/fiche/(num_dept)/834", "834")</f>
        <v>0</v>
      </c>
      <c r="N5978">
        <f>HYPERLINK("https://www.wikidata.org/wiki/Q3059731", "Q3059731")</f>
        <v>0</v>
      </c>
      <c r="O5978" t="s">
        <v>19986</v>
      </c>
      <c r="P5978" t="s">
        <v>20401</v>
      </c>
      <c r="Q5978" t="s">
        <v>20787</v>
      </c>
      <c r="R5978" t="s">
        <v>418</v>
      </c>
      <c r="S5978">
        <v>1745</v>
      </c>
    </row>
    <row r="5979" spans="1:19">
      <c r="A5979" t="s">
        <v>28</v>
      </c>
      <c r="B5979" t="s">
        <v>148</v>
      </c>
      <c r="C5979" t="s">
        <v>160</v>
      </c>
      <c r="D5979" t="s">
        <v>289</v>
      </c>
      <c r="E5979" t="s">
        <v>418</v>
      </c>
      <c r="F5979">
        <f>HYPERLINK("https://www.wikidata.org/wiki/Q33755445", "Q33755445")</f>
        <v>0</v>
      </c>
      <c r="G5979" t="s">
        <v>3681</v>
      </c>
      <c r="H5979" t="s">
        <v>5296</v>
      </c>
      <c r="I5979" t="s">
        <v>9457</v>
      </c>
      <c r="J5979" t="s">
        <v>14257</v>
      </c>
      <c r="K5979" t="s">
        <v>18619</v>
      </c>
      <c r="L5979">
        <f>HYPERLINK("https://www2.assemblee-nationale.fr/sycomore/fiche/(num_dept)/847", "847")</f>
        <v>0</v>
      </c>
      <c r="N5979">
        <f>HYPERLINK("https://www.wikidata.org/wiki/Q3132638", "Q3132638")</f>
        <v>0</v>
      </c>
      <c r="O5979" t="s">
        <v>19993</v>
      </c>
      <c r="P5979" t="s">
        <v>20411</v>
      </c>
      <c r="Q5979" t="s">
        <v>20787</v>
      </c>
      <c r="R5979" t="s">
        <v>418</v>
      </c>
      <c r="S5979">
        <v>1745</v>
      </c>
    </row>
    <row r="5980" spans="1:19">
      <c r="A5980" t="s">
        <v>28</v>
      </c>
      <c r="B5980" t="s">
        <v>148</v>
      </c>
      <c r="C5980" t="s">
        <v>160</v>
      </c>
      <c r="D5980" t="s">
        <v>289</v>
      </c>
      <c r="E5980" t="s">
        <v>418</v>
      </c>
      <c r="F5980">
        <f>HYPERLINK("https://www.wikidata.org/wiki/Q33755445", "Q33755445")</f>
        <v>0</v>
      </c>
      <c r="G5980" t="s">
        <v>3667</v>
      </c>
      <c r="H5980" t="s">
        <v>5296</v>
      </c>
      <c r="I5980" t="s">
        <v>10925</v>
      </c>
      <c r="J5980" t="s">
        <v>14246</v>
      </c>
      <c r="K5980" t="s">
        <v>16434</v>
      </c>
      <c r="L5980">
        <f>HYPERLINK("https://www2.assemblee-nationale.fr/sycomore/fiche/(num_dept)/849", "849")</f>
        <v>0</v>
      </c>
      <c r="M5980">
        <f>HYPERLINK("https://www.senat.fr/senateur-3eme-republique/blanc_louis0729r3.html", "blanc_louis0729r3")</f>
        <v>0</v>
      </c>
      <c r="N5980">
        <f>HYPERLINK("https://www.wikidata.org/wiki/Q3261279", "Q3261279")</f>
        <v>0</v>
      </c>
      <c r="O5980" t="s">
        <v>20044</v>
      </c>
      <c r="P5980" t="s">
        <v>20477</v>
      </c>
      <c r="Q5980" t="s">
        <v>20787</v>
      </c>
      <c r="R5980" t="s">
        <v>418</v>
      </c>
      <c r="S5980">
        <v>1745</v>
      </c>
    </row>
    <row r="5981" spans="1:19">
      <c r="A5981" t="s">
        <v>28</v>
      </c>
      <c r="B5981" t="s">
        <v>148</v>
      </c>
      <c r="C5981" t="s">
        <v>160</v>
      </c>
      <c r="D5981" t="s">
        <v>289</v>
      </c>
      <c r="E5981" t="s">
        <v>418</v>
      </c>
      <c r="F5981">
        <f>HYPERLINK("https://www.wikidata.org/wiki/Q33755445", "Q33755445")</f>
        <v>0</v>
      </c>
      <c r="G5981" t="s">
        <v>2505</v>
      </c>
      <c r="H5981" t="s">
        <v>5296</v>
      </c>
      <c r="I5981" t="s">
        <v>6860</v>
      </c>
      <c r="J5981" t="s">
        <v>13149</v>
      </c>
      <c r="K5981" t="s">
        <v>17557</v>
      </c>
      <c r="L5981">
        <f>HYPERLINK("https://www2.assemblee-nationale.fr/sycomore/fiche/(num_dept)/851", "851")</f>
        <v>0</v>
      </c>
      <c r="N5981">
        <f>HYPERLINK("https://www.wikidata.org/wiki/Q3384025", "Q3384025")</f>
        <v>0</v>
      </c>
      <c r="O5981" t="s">
        <v>19988</v>
      </c>
      <c r="P5981" t="s">
        <v>20458</v>
      </c>
      <c r="Q5981" t="s">
        <v>20787</v>
      </c>
      <c r="R5981" t="s">
        <v>17557</v>
      </c>
      <c r="S5981">
        <v>982</v>
      </c>
    </row>
    <row r="5982" spans="1:19">
      <c r="A5982" t="s">
        <v>28</v>
      </c>
      <c r="B5982" t="s">
        <v>148</v>
      </c>
      <c r="C5982" t="s">
        <v>160</v>
      </c>
      <c r="D5982" t="s">
        <v>289</v>
      </c>
      <c r="E5982" t="s">
        <v>418</v>
      </c>
      <c r="F5982">
        <f>HYPERLINK("https://www.wikidata.org/wiki/Q33755445", "Q33755445")</f>
        <v>0</v>
      </c>
      <c r="G5982" t="s">
        <v>2508</v>
      </c>
      <c r="H5982" t="s">
        <v>7076</v>
      </c>
      <c r="I5982" t="s">
        <v>10254</v>
      </c>
      <c r="J5982" t="s">
        <v>13152</v>
      </c>
      <c r="K5982" t="s">
        <v>17560</v>
      </c>
      <c r="L5982">
        <f>HYPERLINK("https://www2.assemblee-nationale.fr/sycomore/fiche/(num_dept)/915", "915")</f>
        <v>0</v>
      </c>
      <c r="M5982">
        <f>HYPERLINK("https://www.senat.fr/senateur-3eme-republique/boissy_d_anglas_francois0142r3.html", "boissy_d_anglas_francois0142r3")</f>
        <v>0</v>
      </c>
      <c r="N5982">
        <f>HYPERLINK("https://www.wikidata.org/wiki/Q3084012", "Q3084012")</f>
        <v>0</v>
      </c>
      <c r="O5982" t="s">
        <v>20044</v>
      </c>
      <c r="Q5982" t="s">
        <v>20787</v>
      </c>
      <c r="R5982" t="s">
        <v>418</v>
      </c>
      <c r="S5982">
        <v>1745</v>
      </c>
    </row>
    <row r="5983" spans="1:19">
      <c r="A5983" t="s">
        <v>28</v>
      </c>
      <c r="B5983" t="s">
        <v>148</v>
      </c>
      <c r="C5983" t="s">
        <v>160</v>
      </c>
      <c r="D5983" t="s">
        <v>289</v>
      </c>
      <c r="E5983" t="s">
        <v>418</v>
      </c>
      <c r="F5983">
        <f>HYPERLINK("https://www.wikidata.org/wiki/Q33755445", "Q33755445")</f>
        <v>0</v>
      </c>
      <c r="G5983" t="s">
        <v>3409</v>
      </c>
      <c r="H5983" t="s">
        <v>7796</v>
      </c>
      <c r="I5983" t="s">
        <v>9401</v>
      </c>
      <c r="J5983" t="s">
        <v>14015</v>
      </c>
      <c r="K5983" t="s">
        <v>18383</v>
      </c>
      <c r="L5983">
        <f>HYPERLINK("https://www2.assemblee-nationale.fr/sycomore/fiche/(num_dept)/965", "965")</f>
        <v>0</v>
      </c>
      <c r="M5983">
        <f>HYPERLINK("https://www.senat.fr/senateur-3eme-republique/bony_cisternes_antoine0999r3.html", "bony_cisternes_antoine0999r3")</f>
        <v>0</v>
      </c>
      <c r="N5983">
        <f>HYPERLINK("https://www.wikidata.org/wiki/Q2853703", "Q2853703")</f>
        <v>0</v>
      </c>
      <c r="O5983" t="s">
        <v>20005</v>
      </c>
      <c r="P5983" t="s">
        <v>20411</v>
      </c>
      <c r="Q5983" t="s">
        <v>20787</v>
      </c>
      <c r="R5983" t="s">
        <v>418</v>
      </c>
      <c r="S5983">
        <v>1745</v>
      </c>
    </row>
    <row r="5984" spans="1:19">
      <c r="A5984" t="s">
        <v>28</v>
      </c>
      <c r="B5984" t="s">
        <v>148</v>
      </c>
      <c r="C5984" t="s">
        <v>160</v>
      </c>
      <c r="D5984" t="s">
        <v>289</v>
      </c>
      <c r="E5984" t="s">
        <v>418</v>
      </c>
      <c r="F5984">
        <f>HYPERLINK("https://www.wikidata.org/wiki/Q33755445", "Q33755445")</f>
        <v>0</v>
      </c>
      <c r="G5984" t="s">
        <v>2510</v>
      </c>
      <c r="H5984" t="s">
        <v>7078</v>
      </c>
      <c r="I5984" t="s">
        <v>10255</v>
      </c>
      <c r="J5984" t="s">
        <v>13154</v>
      </c>
      <c r="K5984" t="s">
        <v>17562</v>
      </c>
      <c r="L5984">
        <f>HYPERLINK("https://www2.assemblee-nationale.fr/sycomore/fiche/(num_dept)/987", "987")</f>
        <v>0</v>
      </c>
      <c r="M5984">
        <f>HYPERLINK("https://www.senat.fr/senateur-3eme-republique/borriglione_alfred0114r3.html", "borriglione_alfred0114r3")</f>
        <v>0</v>
      </c>
      <c r="N5984">
        <f>HYPERLINK("https://www.wikidata.org/wiki/Q2834977", "Q2834977")</f>
        <v>0</v>
      </c>
      <c r="O5984" t="s">
        <v>20024</v>
      </c>
      <c r="Q5984" t="s">
        <v>20787</v>
      </c>
      <c r="R5984" t="s">
        <v>21544</v>
      </c>
      <c r="S5984">
        <v>148</v>
      </c>
    </row>
    <row r="5985" spans="1:19">
      <c r="A5985" t="s">
        <v>28</v>
      </c>
      <c r="B5985" t="s">
        <v>148</v>
      </c>
      <c r="C5985" t="s">
        <v>160</v>
      </c>
      <c r="D5985" t="s">
        <v>289</v>
      </c>
      <c r="E5985" t="s">
        <v>418</v>
      </c>
      <c r="F5985">
        <f>HYPERLINK("https://www.wikidata.org/wiki/Q33755445", "Q33755445")</f>
        <v>0</v>
      </c>
      <c r="G5985" t="s">
        <v>880</v>
      </c>
      <c r="H5985" t="s">
        <v>5636</v>
      </c>
      <c r="I5985" t="s">
        <v>9571</v>
      </c>
      <c r="J5985" t="s">
        <v>11626</v>
      </c>
      <c r="K5985" t="s">
        <v>16027</v>
      </c>
      <c r="L5985">
        <f>HYPERLINK("https://www2.assemblee-nationale.fr/sycomore/fiche/(num_dept)/988", "988")</f>
        <v>0</v>
      </c>
      <c r="N5985">
        <f>HYPERLINK("https://www.wikidata.org/wiki/Q16025422", "Q16025422")</f>
        <v>0</v>
      </c>
      <c r="O5985" t="s">
        <v>19966</v>
      </c>
      <c r="P5985" t="s">
        <v>20402</v>
      </c>
      <c r="Q5985" t="s">
        <v>20787</v>
      </c>
      <c r="R5985" t="s">
        <v>418</v>
      </c>
      <c r="S5985">
        <v>1745</v>
      </c>
    </row>
    <row r="5986" spans="1:19">
      <c r="A5986" t="s">
        <v>28</v>
      </c>
      <c r="B5986" t="s">
        <v>148</v>
      </c>
      <c r="C5986" t="s">
        <v>160</v>
      </c>
      <c r="D5986" t="s">
        <v>289</v>
      </c>
      <c r="E5986" t="s">
        <v>418</v>
      </c>
      <c r="F5986">
        <f>HYPERLINK("https://www.wikidata.org/wiki/Q33755445", "Q33755445")</f>
        <v>0</v>
      </c>
      <c r="G5986" t="s">
        <v>3410</v>
      </c>
      <c r="H5986" t="s">
        <v>7544</v>
      </c>
      <c r="I5986" t="s">
        <v>6478</v>
      </c>
      <c r="J5986" t="s">
        <v>14016</v>
      </c>
      <c r="K5986" t="s">
        <v>18384</v>
      </c>
      <c r="L5986">
        <f>HYPERLINK("https://www2.assemblee-nationale.fr/sycomore/fiche/(num_dept)/1008", "1008")</f>
        <v>0</v>
      </c>
      <c r="M5986">
        <f>HYPERLINK("https://www.senat.fr/senateur-3eme-republique/boucher_henry1805r3.html", "boucher_henry1805r3")</f>
        <v>0</v>
      </c>
      <c r="N5986">
        <f>HYPERLINK("https://www.wikidata.org/wiki/Q3132647", "Q3132647")</f>
        <v>0</v>
      </c>
      <c r="O5986" t="s">
        <v>20017</v>
      </c>
      <c r="Q5986" t="s">
        <v>20787</v>
      </c>
      <c r="R5986" t="s">
        <v>418</v>
      </c>
      <c r="S5986">
        <v>1745</v>
      </c>
    </row>
    <row r="5987" spans="1:19">
      <c r="A5987" t="s">
        <v>28</v>
      </c>
      <c r="B5987" t="s">
        <v>148</v>
      </c>
      <c r="C5987" t="s">
        <v>160</v>
      </c>
      <c r="D5987" t="s">
        <v>289</v>
      </c>
      <c r="E5987" t="s">
        <v>418</v>
      </c>
      <c r="F5987">
        <f>HYPERLINK("https://www.wikidata.org/wiki/Q33755445", "Q33755445")</f>
        <v>0</v>
      </c>
      <c r="G5987" t="s">
        <v>3411</v>
      </c>
      <c r="H5987" t="s">
        <v>7797</v>
      </c>
      <c r="I5987" t="s">
        <v>10816</v>
      </c>
      <c r="J5987" t="s">
        <v>14017</v>
      </c>
      <c r="K5987" t="s">
        <v>18385</v>
      </c>
      <c r="L5987">
        <f>HYPERLINK("https://www2.assemblee-nationale.fr/sycomore/fiche/(num_dept)/1018", "1018")</f>
        <v>0</v>
      </c>
      <c r="M5987">
        <f>HYPERLINK("https://www.senat.fr/senateur-3eme-republique/boudenoot_louis0930r3.html", "boudenoot_louis0930r3")</f>
        <v>0</v>
      </c>
      <c r="N5987">
        <f>HYPERLINK("https://www.wikidata.org/wiki/Q3261324", "Q3261324")</f>
        <v>0</v>
      </c>
      <c r="O5987" t="s">
        <v>19968</v>
      </c>
      <c r="P5987" t="s">
        <v>20411</v>
      </c>
      <c r="Q5987" t="s">
        <v>20787</v>
      </c>
      <c r="R5987" t="s">
        <v>418</v>
      </c>
      <c r="S5987">
        <v>1745</v>
      </c>
    </row>
    <row r="5988" spans="1:19">
      <c r="A5988" t="s">
        <v>28</v>
      </c>
      <c r="B5988" t="s">
        <v>148</v>
      </c>
      <c r="C5988" t="s">
        <v>160</v>
      </c>
      <c r="D5988" t="s">
        <v>289</v>
      </c>
      <c r="E5988" t="s">
        <v>418</v>
      </c>
      <c r="F5988">
        <f>HYPERLINK("https://www.wikidata.org/wiki/Q33755445", "Q33755445")</f>
        <v>0</v>
      </c>
      <c r="G5988" t="s">
        <v>545</v>
      </c>
      <c r="H5988" t="s">
        <v>5308</v>
      </c>
      <c r="I5988" t="s">
        <v>5592</v>
      </c>
      <c r="J5988" t="s">
        <v>11297</v>
      </c>
      <c r="K5988" t="s">
        <v>15697</v>
      </c>
      <c r="L5988">
        <f>HYPERLINK("https://www2.assemblee-nationale.fr/sycomore/fiche/(num_dept)/1031", "1031")</f>
        <v>0</v>
      </c>
      <c r="N5988">
        <f>HYPERLINK("https://www.wikidata.org/wiki/Q8299131", "Q8299131")</f>
        <v>0</v>
      </c>
      <c r="O5988" t="s">
        <v>19980</v>
      </c>
      <c r="P5988" t="s">
        <v>20460</v>
      </c>
      <c r="Q5988" t="s">
        <v>20787</v>
      </c>
      <c r="R5988" t="s">
        <v>418</v>
      </c>
      <c r="S5988">
        <v>1745</v>
      </c>
    </row>
    <row r="5989" spans="1:19">
      <c r="A5989" t="s">
        <v>28</v>
      </c>
      <c r="B5989" t="s">
        <v>148</v>
      </c>
      <c r="C5989" t="s">
        <v>160</v>
      </c>
      <c r="D5989" t="s">
        <v>289</v>
      </c>
      <c r="E5989" t="s">
        <v>418</v>
      </c>
      <c r="F5989">
        <f>HYPERLINK("https://www.wikidata.org/wiki/Q33755445", "Q33755445")</f>
        <v>0</v>
      </c>
      <c r="G5989" t="s">
        <v>3373</v>
      </c>
      <c r="H5989" t="s">
        <v>7083</v>
      </c>
      <c r="I5989" t="s">
        <v>5528</v>
      </c>
      <c r="J5989" t="s">
        <v>13985</v>
      </c>
      <c r="K5989" t="s">
        <v>18353</v>
      </c>
      <c r="L5989">
        <f>HYPERLINK("https://www2.assemblee-nationale.fr/sycomore/fiche/(num_dept)/1083", "1083")</f>
        <v>0</v>
      </c>
      <c r="M5989">
        <f>HYPERLINK("https://www.senat.fr/senateur-3eme-republique/bourgeois_leon0647r3.html", "bourgeois_leon0647r3")</f>
        <v>0</v>
      </c>
      <c r="N5989">
        <f>HYPERLINK("https://www.wikidata.org/wiki/Q217706", "Q217706")</f>
        <v>0</v>
      </c>
      <c r="O5989" t="s">
        <v>20025</v>
      </c>
      <c r="P5989" t="s">
        <v>20477</v>
      </c>
      <c r="Q5989" t="s">
        <v>20787</v>
      </c>
      <c r="R5989" t="s">
        <v>418</v>
      </c>
      <c r="S5989">
        <v>1745</v>
      </c>
    </row>
    <row r="5990" spans="1:19">
      <c r="A5990" t="s">
        <v>28</v>
      </c>
      <c r="B5990" t="s">
        <v>148</v>
      </c>
      <c r="C5990" t="s">
        <v>160</v>
      </c>
      <c r="D5990" t="s">
        <v>289</v>
      </c>
      <c r="E5990" t="s">
        <v>418</v>
      </c>
      <c r="F5990">
        <f>HYPERLINK("https://www.wikidata.org/wiki/Q33755445", "Q33755445")</f>
        <v>0</v>
      </c>
      <c r="G5990" t="s">
        <v>2515</v>
      </c>
      <c r="H5990" t="s">
        <v>7083</v>
      </c>
      <c r="I5990" t="s">
        <v>10259</v>
      </c>
      <c r="J5990" t="s">
        <v>13159</v>
      </c>
      <c r="K5990" t="s">
        <v>17566</v>
      </c>
      <c r="L5990">
        <f>HYPERLINK("https://www2.assemblee-nationale.fr/sycomore/fiche/(num_dept)/1085", "1085")</f>
        <v>0</v>
      </c>
      <c r="N5990">
        <f>HYPERLINK("https://www.wikidata.org/wiki/Q15973888", "Q15973888")</f>
        <v>0</v>
      </c>
      <c r="O5990" t="s">
        <v>19972</v>
      </c>
      <c r="Q5990" t="s">
        <v>20787</v>
      </c>
      <c r="R5990" t="s">
        <v>418</v>
      </c>
      <c r="S5990">
        <v>1745</v>
      </c>
    </row>
    <row r="5991" spans="1:19">
      <c r="A5991" t="s">
        <v>28</v>
      </c>
      <c r="B5991" t="s">
        <v>148</v>
      </c>
      <c r="C5991" t="s">
        <v>160</v>
      </c>
      <c r="D5991" t="s">
        <v>289</v>
      </c>
      <c r="E5991" t="s">
        <v>418</v>
      </c>
      <c r="F5991">
        <f>HYPERLINK("https://www.wikidata.org/wiki/Q33755445", "Q33755445")</f>
        <v>0</v>
      </c>
      <c r="G5991" t="s">
        <v>3099</v>
      </c>
      <c r="H5991" t="s">
        <v>7545</v>
      </c>
      <c r="I5991" t="s">
        <v>10631</v>
      </c>
      <c r="J5991" t="s">
        <v>13721</v>
      </c>
      <c r="K5991" t="s">
        <v>18103</v>
      </c>
      <c r="L5991">
        <f>HYPERLINK("https://www2.assemblee-nationale.fr/sycomore/fiche/(num_dept)/1087", "1087")</f>
        <v>0</v>
      </c>
      <c r="M5991">
        <f>HYPERLINK("https://www.senat.fr/senateur-3eme-republique/bourgeois_jean0438r3.html", "bourgeois_jean0438r3")</f>
        <v>0</v>
      </c>
      <c r="N5991">
        <f>HYPERLINK("https://www.wikidata.org/wiki/Q3163901", "Q3163901")</f>
        <v>0</v>
      </c>
      <c r="O5991" t="s">
        <v>20041</v>
      </c>
      <c r="P5991" t="s">
        <v>20401</v>
      </c>
      <c r="Q5991" t="s">
        <v>20787</v>
      </c>
      <c r="R5991" t="s">
        <v>418</v>
      </c>
      <c r="S5991">
        <v>1745</v>
      </c>
    </row>
    <row r="5992" spans="1:19">
      <c r="A5992" t="s">
        <v>28</v>
      </c>
      <c r="B5992" t="s">
        <v>148</v>
      </c>
      <c r="C5992" t="s">
        <v>160</v>
      </c>
      <c r="D5992" t="s">
        <v>289</v>
      </c>
      <c r="E5992" t="s">
        <v>418</v>
      </c>
      <c r="F5992">
        <f>HYPERLINK("https://www.wikidata.org/wiki/Q33755445", "Q33755445")</f>
        <v>0</v>
      </c>
      <c r="G5992" t="s">
        <v>3682</v>
      </c>
      <c r="H5992" t="s">
        <v>8006</v>
      </c>
      <c r="I5992" t="s">
        <v>10933</v>
      </c>
      <c r="J5992" t="s">
        <v>14258</v>
      </c>
      <c r="K5992" t="s">
        <v>18620</v>
      </c>
      <c r="L5992">
        <f>HYPERLINK("https://www2.assemblee-nationale.fr/sycomore/fiche/(num_dept)/1092", "1092")</f>
        <v>0</v>
      </c>
      <c r="N5992">
        <f>HYPERLINK("https://www.wikidata.org/wiki/Q2373495", "Q2373495")</f>
        <v>0</v>
      </c>
      <c r="O5992" t="s">
        <v>19959</v>
      </c>
      <c r="P5992" t="s">
        <v>20493</v>
      </c>
      <c r="Q5992" t="s">
        <v>20787</v>
      </c>
      <c r="R5992" t="s">
        <v>18620</v>
      </c>
      <c r="S5992">
        <v>1270</v>
      </c>
    </row>
    <row r="5993" spans="1:19">
      <c r="A5993" t="s">
        <v>28</v>
      </c>
      <c r="B5993" t="s">
        <v>148</v>
      </c>
      <c r="C5993" t="s">
        <v>160</v>
      </c>
      <c r="D5993" t="s">
        <v>289</v>
      </c>
      <c r="E5993" t="s">
        <v>418</v>
      </c>
      <c r="F5993">
        <f>HYPERLINK("https://www.wikidata.org/wiki/Q33755445", "Q33755445")</f>
        <v>0</v>
      </c>
      <c r="G5993" t="s">
        <v>3100</v>
      </c>
      <c r="H5993" t="s">
        <v>7546</v>
      </c>
      <c r="I5993" t="s">
        <v>10632</v>
      </c>
      <c r="J5993" t="s">
        <v>13722</v>
      </c>
      <c r="K5993" t="s">
        <v>18104</v>
      </c>
      <c r="L5993">
        <f>HYPERLINK("https://www2.assemblee-nationale.fr/sycomore/fiche/(num_dept)/1098", "1098")</f>
        <v>0</v>
      </c>
      <c r="N5993">
        <f>HYPERLINK("https://www.wikidata.org/wiki/Q16627632", "Q16627632")</f>
        <v>0</v>
      </c>
      <c r="O5993" t="s">
        <v>20000</v>
      </c>
      <c r="P5993" t="s">
        <v>20459</v>
      </c>
      <c r="Q5993" t="s">
        <v>20787</v>
      </c>
      <c r="R5993" t="s">
        <v>418</v>
      </c>
      <c r="S5993">
        <v>1745</v>
      </c>
    </row>
    <row r="5994" spans="1:19">
      <c r="A5994" t="s">
        <v>28</v>
      </c>
      <c r="B5994" t="s">
        <v>148</v>
      </c>
      <c r="C5994" t="s">
        <v>160</v>
      </c>
      <c r="D5994" t="s">
        <v>289</v>
      </c>
      <c r="E5994" t="s">
        <v>418</v>
      </c>
      <c r="F5994">
        <f>HYPERLINK("https://www.wikidata.org/wiki/Q33755445", "Q33755445")</f>
        <v>0</v>
      </c>
      <c r="G5994" t="s">
        <v>3683</v>
      </c>
      <c r="H5994" t="s">
        <v>7337</v>
      </c>
      <c r="I5994" t="s">
        <v>10934</v>
      </c>
      <c r="J5994" t="s">
        <v>14259</v>
      </c>
      <c r="K5994" t="s">
        <v>18621</v>
      </c>
      <c r="L5994">
        <f>HYPERLINK("https://www2.assemblee-nationale.fr/sycomore/fiche/(num_dept)/1104", "1104")</f>
        <v>0</v>
      </c>
      <c r="N5994">
        <f>HYPERLINK("https://www.wikidata.org/wiki/Q15973885", "Q15973885")</f>
        <v>0</v>
      </c>
      <c r="O5994" t="s">
        <v>20004</v>
      </c>
      <c r="P5994" t="s">
        <v>20479</v>
      </c>
      <c r="Q5994" t="s">
        <v>20787</v>
      </c>
      <c r="R5994" t="s">
        <v>418</v>
      </c>
      <c r="S5994">
        <v>1745</v>
      </c>
    </row>
    <row r="5995" spans="1:19">
      <c r="A5995" t="s">
        <v>28</v>
      </c>
      <c r="B5995" t="s">
        <v>148</v>
      </c>
      <c r="C5995" t="s">
        <v>160</v>
      </c>
      <c r="D5995" t="s">
        <v>289</v>
      </c>
      <c r="E5995" t="s">
        <v>418</v>
      </c>
      <c r="F5995">
        <f>HYPERLINK("https://www.wikidata.org/wiki/Q33755445", "Q33755445")</f>
        <v>0</v>
      </c>
      <c r="G5995" t="s">
        <v>2519</v>
      </c>
      <c r="H5995" t="s">
        <v>6100</v>
      </c>
      <c r="I5995" t="s">
        <v>10262</v>
      </c>
      <c r="J5995" t="s">
        <v>13163</v>
      </c>
      <c r="K5995" t="s">
        <v>17570</v>
      </c>
      <c r="L5995">
        <f>HYPERLINK("https://www2.assemblee-nationale.fr/sycomore/fiche/(num_dept)/1148", "1148")</f>
        <v>0</v>
      </c>
      <c r="N5995">
        <f>HYPERLINK("https://www.wikidata.org/wiki/Q8309995", "Q8309995")</f>
        <v>0</v>
      </c>
      <c r="O5995" t="s">
        <v>20006</v>
      </c>
      <c r="P5995" t="s">
        <v>20401</v>
      </c>
      <c r="Q5995" t="s">
        <v>20787</v>
      </c>
      <c r="R5995" t="s">
        <v>418</v>
      </c>
      <c r="S5995">
        <v>1745</v>
      </c>
    </row>
    <row r="5996" spans="1:19">
      <c r="A5996" t="s">
        <v>28</v>
      </c>
      <c r="B5996" t="s">
        <v>148</v>
      </c>
      <c r="C5996" t="s">
        <v>160</v>
      </c>
      <c r="D5996" t="s">
        <v>289</v>
      </c>
      <c r="E5996" t="s">
        <v>418</v>
      </c>
      <c r="F5996">
        <f>HYPERLINK("https://www.wikidata.org/wiki/Q33755445", "Q33755445")</f>
        <v>0</v>
      </c>
      <c r="G5996" t="s">
        <v>3235</v>
      </c>
      <c r="H5996" t="s">
        <v>6405</v>
      </c>
      <c r="I5996" t="s">
        <v>10722</v>
      </c>
      <c r="J5996" t="s">
        <v>13853</v>
      </c>
      <c r="K5996" t="s">
        <v>18225</v>
      </c>
      <c r="L5996">
        <f>HYPERLINK("https://www2.assemblee-nationale.fr/sycomore/fiche/(num_dept)/1150", "1150")</f>
        <v>0</v>
      </c>
      <c r="M5996">
        <f>HYPERLINK("https://www.senat.fr/senateur-3eme-republique/boyer_antide0317r3.html", "boyer_antide0317r3")</f>
        <v>0</v>
      </c>
      <c r="N5996">
        <f>HYPERLINK("https://www.wikidata.org/wiki/Q575028", "Q575028")</f>
        <v>0</v>
      </c>
      <c r="O5996" t="s">
        <v>19990</v>
      </c>
      <c r="Q5996" t="s">
        <v>20787</v>
      </c>
      <c r="R5996" t="s">
        <v>418</v>
      </c>
      <c r="S5996">
        <v>1745</v>
      </c>
    </row>
    <row r="5997" spans="1:19">
      <c r="A5997" t="s">
        <v>28</v>
      </c>
      <c r="B5997" t="s">
        <v>148</v>
      </c>
      <c r="C5997" t="s">
        <v>160</v>
      </c>
      <c r="D5997" t="s">
        <v>289</v>
      </c>
      <c r="E5997" t="s">
        <v>418</v>
      </c>
      <c r="F5997">
        <f>HYPERLINK("https://www.wikidata.org/wiki/Q33755445", "Q33755445")</f>
        <v>0</v>
      </c>
      <c r="G5997" t="s">
        <v>2521</v>
      </c>
      <c r="H5997" t="s">
        <v>7085</v>
      </c>
      <c r="I5997" t="s">
        <v>10264</v>
      </c>
      <c r="J5997" t="s">
        <v>13165</v>
      </c>
      <c r="K5997" t="s">
        <v>17571</v>
      </c>
      <c r="L5997">
        <f>HYPERLINK("https://www2.assemblee-nationale.fr/sycomore/fiche/(num_dept)/1158", "1158")</f>
        <v>0</v>
      </c>
      <c r="N5997">
        <f>HYPERLINK("https://www.wikidata.org/wiki/Q8305634", "Q8305634")</f>
        <v>0</v>
      </c>
      <c r="O5997" t="s">
        <v>19994</v>
      </c>
      <c r="P5997" t="s">
        <v>20401</v>
      </c>
      <c r="Q5997" t="s">
        <v>20787</v>
      </c>
      <c r="R5997" t="s">
        <v>418</v>
      </c>
      <c r="S5997">
        <v>1745</v>
      </c>
    </row>
    <row r="5998" spans="1:19">
      <c r="A5998" t="s">
        <v>28</v>
      </c>
      <c r="B5998" t="s">
        <v>148</v>
      </c>
      <c r="C5998" t="s">
        <v>160</v>
      </c>
      <c r="D5998" t="s">
        <v>289</v>
      </c>
      <c r="E5998" t="s">
        <v>418</v>
      </c>
      <c r="F5998">
        <f>HYPERLINK("https://www.wikidata.org/wiki/Q33755445", "Q33755445")</f>
        <v>0</v>
      </c>
      <c r="G5998" t="s">
        <v>3684</v>
      </c>
      <c r="H5998" t="s">
        <v>8007</v>
      </c>
      <c r="I5998" t="s">
        <v>10935</v>
      </c>
      <c r="J5998" t="s">
        <v>14260</v>
      </c>
      <c r="K5998" t="s">
        <v>17656</v>
      </c>
      <c r="L5998">
        <f>HYPERLINK("https://www2.assemblee-nationale.fr/sycomore/fiche/(num_dept)/1160", "1160")</f>
        <v>0</v>
      </c>
      <c r="N5998">
        <f>HYPERLINK("https://www.wikidata.org/wiki/Q7121631", "Q7121631")</f>
        <v>0</v>
      </c>
      <c r="O5998" t="s">
        <v>20039</v>
      </c>
      <c r="P5998" t="s">
        <v>20411</v>
      </c>
      <c r="Q5998" t="s">
        <v>20787</v>
      </c>
      <c r="R5998" t="s">
        <v>418</v>
      </c>
      <c r="S5998">
        <v>1745</v>
      </c>
    </row>
    <row r="5999" spans="1:19">
      <c r="A5999" t="s">
        <v>28</v>
      </c>
      <c r="B5999" t="s">
        <v>148</v>
      </c>
      <c r="C5999" t="s">
        <v>160</v>
      </c>
      <c r="D5999" t="s">
        <v>289</v>
      </c>
      <c r="E5999" t="s">
        <v>418</v>
      </c>
      <c r="F5999">
        <f>HYPERLINK("https://www.wikidata.org/wiki/Q33755445", "Q33755445")</f>
        <v>0</v>
      </c>
      <c r="G5999" t="s">
        <v>3538</v>
      </c>
      <c r="H5999" t="s">
        <v>7899</v>
      </c>
      <c r="I5999" t="s">
        <v>10871</v>
      </c>
      <c r="J5999" t="s">
        <v>14130</v>
      </c>
      <c r="K5999" t="s">
        <v>18496</v>
      </c>
      <c r="L5999">
        <f>HYPERLINK("https://www2.assemblee-nationale.fr/sycomore/fiche/(num_dept)/1182", "1182")</f>
        <v>0</v>
      </c>
      <c r="N5999">
        <f>HYPERLINK("https://www.wikidata.org/wiki/Q15973911", "Q15973911")</f>
        <v>0</v>
      </c>
      <c r="O5999" t="s">
        <v>20037</v>
      </c>
      <c r="P5999" t="s">
        <v>20401</v>
      </c>
      <c r="Q5999" t="s">
        <v>20787</v>
      </c>
      <c r="R5999" t="s">
        <v>418</v>
      </c>
      <c r="S5999">
        <v>1745</v>
      </c>
    </row>
    <row r="6000" spans="1:19">
      <c r="A6000" t="s">
        <v>28</v>
      </c>
      <c r="B6000" t="s">
        <v>148</v>
      </c>
      <c r="C6000" t="s">
        <v>160</v>
      </c>
      <c r="D6000" t="s">
        <v>289</v>
      </c>
      <c r="E6000" t="s">
        <v>418</v>
      </c>
      <c r="F6000">
        <f>HYPERLINK("https://www.wikidata.org/wiki/Q33755445", "Q33755445")</f>
        <v>0</v>
      </c>
      <c r="G6000" t="s">
        <v>3413</v>
      </c>
      <c r="H6000" t="s">
        <v>5315</v>
      </c>
      <c r="I6000" t="s">
        <v>9442</v>
      </c>
      <c r="J6000" t="s">
        <v>13838</v>
      </c>
      <c r="K6000" t="s">
        <v>18387</v>
      </c>
      <c r="L6000">
        <f>HYPERLINK("https://www2.assemblee-nationale.fr/sycomore/fiche/(num_dept)/1201", "1201")</f>
        <v>0</v>
      </c>
      <c r="N6000">
        <f>HYPERLINK("https://www.wikidata.org/wiki/Q13080862", "Q13080862")</f>
        <v>0</v>
      </c>
      <c r="O6000" t="s">
        <v>19978</v>
      </c>
      <c r="P6000" t="s">
        <v>20479</v>
      </c>
      <c r="Q6000" t="s">
        <v>20787</v>
      </c>
      <c r="R6000" t="s">
        <v>418</v>
      </c>
      <c r="S6000">
        <v>1745</v>
      </c>
    </row>
    <row r="6001" spans="1:19">
      <c r="A6001" t="s">
        <v>28</v>
      </c>
      <c r="B6001" t="s">
        <v>148</v>
      </c>
      <c r="C6001" t="s">
        <v>160</v>
      </c>
      <c r="D6001" t="s">
        <v>289</v>
      </c>
      <c r="E6001" t="s">
        <v>418</v>
      </c>
      <c r="F6001">
        <f>HYPERLINK("https://www.wikidata.org/wiki/Q33755445", "Q33755445")</f>
        <v>0</v>
      </c>
      <c r="G6001" t="s">
        <v>554</v>
      </c>
      <c r="H6001" t="s">
        <v>5317</v>
      </c>
      <c r="I6001" t="s">
        <v>9412</v>
      </c>
      <c r="J6001" t="s">
        <v>11305</v>
      </c>
      <c r="K6001" t="s">
        <v>15706</v>
      </c>
      <c r="L6001">
        <f>HYPERLINK("https://www2.assemblee-nationale.fr/sycomore/fiche/(num_dept)/1220", "1220")</f>
        <v>0</v>
      </c>
      <c r="N6001">
        <f>HYPERLINK("https://www.wikidata.org/wiki/Q3426418", "Q3426418")</f>
        <v>0</v>
      </c>
      <c r="O6001" t="s">
        <v>19998</v>
      </c>
      <c r="P6001" t="s">
        <v>20479</v>
      </c>
      <c r="Q6001" t="s">
        <v>20787</v>
      </c>
      <c r="R6001" t="s">
        <v>418</v>
      </c>
      <c r="S6001">
        <v>1745</v>
      </c>
    </row>
    <row r="6002" spans="1:19">
      <c r="A6002" t="s">
        <v>28</v>
      </c>
      <c r="B6002" t="s">
        <v>148</v>
      </c>
      <c r="C6002" t="s">
        <v>160</v>
      </c>
      <c r="D6002" t="s">
        <v>289</v>
      </c>
      <c r="E6002" t="s">
        <v>418</v>
      </c>
      <c r="F6002">
        <f>HYPERLINK("https://www.wikidata.org/wiki/Q33755445", "Q33755445")</f>
        <v>0</v>
      </c>
      <c r="G6002" t="s">
        <v>3054</v>
      </c>
      <c r="H6002" t="s">
        <v>7509</v>
      </c>
      <c r="I6002" t="s">
        <v>10571</v>
      </c>
      <c r="J6002" t="s">
        <v>13680</v>
      </c>
      <c r="K6002" t="s">
        <v>18061</v>
      </c>
      <c r="L6002">
        <f>HYPERLINK("https://www2.assemblee-nationale.fr/sycomore/fiche/(num_dept)/1224", "1224")</f>
        <v>0</v>
      </c>
      <c r="M6002">
        <f>HYPERLINK("https://www.senat.fr/senateur-3eme-republique/briens_ernest1030r3.html", "briens_ernest1030r3")</f>
        <v>0</v>
      </c>
      <c r="N6002">
        <f>HYPERLINK("https://www.wikidata.org/wiki/Q3056863", "Q3056863")</f>
        <v>0</v>
      </c>
      <c r="O6002" t="s">
        <v>19985</v>
      </c>
      <c r="P6002" t="s">
        <v>20479</v>
      </c>
      <c r="Q6002" t="s">
        <v>20787</v>
      </c>
      <c r="R6002" t="s">
        <v>21544</v>
      </c>
      <c r="S6002">
        <v>148</v>
      </c>
    </row>
    <row r="6003" spans="1:19">
      <c r="A6003" t="s">
        <v>28</v>
      </c>
      <c r="B6003" t="s">
        <v>148</v>
      </c>
      <c r="C6003" t="s">
        <v>160</v>
      </c>
      <c r="D6003" t="s">
        <v>289</v>
      </c>
      <c r="E6003" t="s">
        <v>418</v>
      </c>
      <c r="F6003">
        <f>HYPERLINK("https://www.wikidata.org/wiki/Q33755445", "Q33755445")</f>
        <v>0</v>
      </c>
      <c r="G6003" t="s">
        <v>3539</v>
      </c>
      <c r="H6003" t="s">
        <v>7900</v>
      </c>
      <c r="I6003" t="s">
        <v>10872</v>
      </c>
      <c r="J6003" t="s">
        <v>14131</v>
      </c>
      <c r="K6003" t="s">
        <v>441</v>
      </c>
      <c r="L6003">
        <f>HYPERLINK("https://www2.assemblee-nationale.fr/sycomore/fiche/(num_dept)/1233", "1233")</f>
        <v>0</v>
      </c>
      <c r="N6003">
        <f>HYPERLINK("https://www.wikidata.org/wiki/Q8322500", "Q8322500")</f>
        <v>0</v>
      </c>
      <c r="O6003" t="s">
        <v>19976</v>
      </c>
      <c r="Q6003" t="s">
        <v>20787</v>
      </c>
      <c r="R6003" t="s">
        <v>418</v>
      </c>
      <c r="S6003">
        <v>1745</v>
      </c>
    </row>
    <row r="6004" spans="1:19">
      <c r="A6004" t="s">
        <v>28</v>
      </c>
      <c r="B6004" t="s">
        <v>148</v>
      </c>
      <c r="C6004" t="s">
        <v>160</v>
      </c>
      <c r="D6004" t="s">
        <v>289</v>
      </c>
      <c r="E6004" t="s">
        <v>418</v>
      </c>
      <c r="F6004">
        <f>HYPERLINK("https://www.wikidata.org/wiki/Q33755445", "Q33755445")</f>
        <v>0</v>
      </c>
      <c r="G6004" t="s">
        <v>892</v>
      </c>
      <c r="H6004" t="s">
        <v>5648</v>
      </c>
      <c r="I6004" t="s">
        <v>9457</v>
      </c>
      <c r="J6004" t="s">
        <v>11638</v>
      </c>
      <c r="K6004" t="s">
        <v>16038</v>
      </c>
      <c r="L6004">
        <f>HYPERLINK("https://www2.assemblee-nationale.fr/sycomore/fiche/(num_dept)/1240", "1240")</f>
        <v>0</v>
      </c>
      <c r="N6004">
        <f>HYPERLINK("https://www.wikidata.org/wiki/Q669725", "Q669725")</f>
        <v>0</v>
      </c>
      <c r="O6004" t="s">
        <v>19969</v>
      </c>
      <c r="P6004" t="s">
        <v>20401</v>
      </c>
      <c r="Q6004" t="s">
        <v>20787</v>
      </c>
      <c r="R6004" t="s">
        <v>418</v>
      </c>
      <c r="S6004">
        <v>1745</v>
      </c>
    </row>
    <row r="6005" spans="1:19">
      <c r="A6005" t="s">
        <v>28</v>
      </c>
      <c r="B6005" t="s">
        <v>148</v>
      </c>
      <c r="C6005" t="s">
        <v>160</v>
      </c>
      <c r="D6005" t="s">
        <v>289</v>
      </c>
      <c r="E6005" t="s">
        <v>418</v>
      </c>
      <c r="F6005">
        <f>HYPERLINK("https://www.wikidata.org/wiki/Q33755445", "Q33755445")</f>
        <v>0</v>
      </c>
      <c r="G6005" t="s">
        <v>3685</v>
      </c>
      <c r="H6005" t="s">
        <v>8008</v>
      </c>
      <c r="I6005" t="s">
        <v>10936</v>
      </c>
      <c r="J6005" t="s">
        <v>14261</v>
      </c>
      <c r="K6005" t="s">
        <v>18622</v>
      </c>
      <c r="L6005">
        <f>HYPERLINK("https://www2.assemblee-nationale.fr/sycomore/fiche/(num_dept)/1251", "1251")</f>
        <v>0</v>
      </c>
      <c r="N6005">
        <f>HYPERLINK("https://www.wikidata.org/wiki/Q1871376", "Q1871376")</f>
        <v>0</v>
      </c>
      <c r="O6005" t="s">
        <v>19984</v>
      </c>
      <c r="P6005" t="s">
        <v>20460</v>
      </c>
      <c r="Q6005" t="s">
        <v>20787</v>
      </c>
      <c r="R6005" t="s">
        <v>418</v>
      </c>
      <c r="S6005">
        <v>1745</v>
      </c>
    </row>
    <row r="6006" spans="1:19">
      <c r="A6006" t="s">
        <v>28</v>
      </c>
      <c r="B6006" t="s">
        <v>148</v>
      </c>
      <c r="C6006" t="s">
        <v>160</v>
      </c>
      <c r="D6006" t="s">
        <v>289</v>
      </c>
      <c r="E6006" t="s">
        <v>418</v>
      </c>
      <c r="F6006">
        <f>HYPERLINK("https://www.wikidata.org/wiki/Q33755445", "Q33755445")</f>
        <v>0</v>
      </c>
      <c r="G6006" t="s">
        <v>3686</v>
      </c>
      <c r="H6006" t="s">
        <v>8009</v>
      </c>
      <c r="I6006" t="s">
        <v>6166</v>
      </c>
      <c r="J6006" t="s">
        <v>14262</v>
      </c>
      <c r="K6006" t="s">
        <v>18623</v>
      </c>
      <c r="L6006">
        <f>HYPERLINK("https://www2.assemblee-nationale.fr/sycomore/fiche/(num_dept)/1280", "1280")</f>
        <v>0</v>
      </c>
      <c r="N6006">
        <f>HYPERLINK("https://www.wikidata.org/wiki/Q3084116", "Q3084116")</f>
        <v>0</v>
      </c>
      <c r="O6006" t="s">
        <v>19998</v>
      </c>
      <c r="P6006" t="s">
        <v>20411</v>
      </c>
      <c r="Q6006" t="s">
        <v>20787</v>
      </c>
      <c r="R6006" t="s">
        <v>418</v>
      </c>
      <c r="S6006">
        <v>1745</v>
      </c>
    </row>
    <row r="6007" spans="1:19">
      <c r="A6007" t="s">
        <v>28</v>
      </c>
      <c r="B6007" t="s">
        <v>148</v>
      </c>
      <c r="C6007" t="s">
        <v>160</v>
      </c>
      <c r="D6007" t="s">
        <v>289</v>
      </c>
      <c r="E6007" t="s">
        <v>418</v>
      </c>
      <c r="F6007">
        <f>HYPERLINK("https://www.wikidata.org/wiki/Q33755445", "Q33755445")</f>
        <v>0</v>
      </c>
      <c r="G6007" t="s">
        <v>3687</v>
      </c>
      <c r="H6007" t="s">
        <v>5650</v>
      </c>
      <c r="I6007" t="s">
        <v>6495</v>
      </c>
      <c r="J6007" t="s">
        <v>14263</v>
      </c>
      <c r="K6007" t="s">
        <v>18624</v>
      </c>
      <c r="L6007">
        <f>HYPERLINK("https://www2.assemblee-nationale.fr/sycomore/fiche/(num_dept)/1289", "1289")</f>
        <v>0</v>
      </c>
      <c r="N6007">
        <f>HYPERLINK("https://www.wikidata.org/wiki/Q3261371", "Q3261371")</f>
        <v>0</v>
      </c>
      <c r="O6007" t="s">
        <v>19963</v>
      </c>
      <c r="P6007" t="s">
        <v>20411</v>
      </c>
      <c r="Q6007" t="s">
        <v>20787</v>
      </c>
      <c r="R6007" t="s">
        <v>418</v>
      </c>
      <c r="S6007">
        <v>1745</v>
      </c>
    </row>
    <row r="6008" spans="1:19">
      <c r="A6008" t="s">
        <v>28</v>
      </c>
      <c r="B6008" t="s">
        <v>148</v>
      </c>
      <c r="C6008" t="s">
        <v>160</v>
      </c>
      <c r="D6008" t="s">
        <v>289</v>
      </c>
      <c r="E6008" t="s">
        <v>418</v>
      </c>
      <c r="F6008">
        <f>HYPERLINK("https://www.wikidata.org/wiki/Q33755445", "Q33755445")</f>
        <v>0</v>
      </c>
      <c r="G6008" t="s">
        <v>3237</v>
      </c>
      <c r="H6008" t="s">
        <v>7662</v>
      </c>
      <c r="I6008" t="s">
        <v>9552</v>
      </c>
      <c r="J6008" t="s">
        <v>13855</v>
      </c>
      <c r="K6008" t="s">
        <v>18227</v>
      </c>
      <c r="L6008">
        <f>HYPERLINK("https://www2.assemblee-nationale.fr/sycomore/fiche/(num_dept)/1312", "1312")</f>
        <v>0</v>
      </c>
      <c r="N6008">
        <f>HYPERLINK("https://www.wikidata.org/wiki/Q2341410", "Q2341410")</f>
        <v>0</v>
      </c>
      <c r="O6008" t="s">
        <v>19965</v>
      </c>
      <c r="P6008" t="s">
        <v>20458</v>
      </c>
      <c r="Q6008" t="s">
        <v>20787</v>
      </c>
      <c r="R6008" t="s">
        <v>18227</v>
      </c>
      <c r="S6008">
        <v>479</v>
      </c>
    </row>
    <row r="6009" spans="1:19">
      <c r="A6009" t="s">
        <v>28</v>
      </c>
      <c r="B6009" t="s">
        <v>148</v>
      </c>
      <c r="C6009" t="s">
        <v>160</v>
      </c>
      <c r="D6009" t="s">
        <v>289</v>
      </c>
      <c r="E6009" t="s">
        <v>418</v>
      </c>
      <c r="F6009">
        <f>HYPERLINK("https://www.wikidata.org/wiki/Q33755445", "Q33755445")</f>
        <v>0</v>
      </c>
      <c r="G6009" t="s">
        <v>2947</v>
      </c>
      <c r="H6009" t="s">
        <v>7422</v>
      </c>
      <c r="I6009" t="s">
        <v>9849</v>
      </c>
      <c r="J6009" t="s">
        <v>13580</v>
      </c>
      <c r="K6009" t="s">
        <v>17965</v>
      </c>
      <c r="L6009">
        <f>HYPERLINK("https://www2.assemblee-nationale.fr/sycomore/fiche/(num_dept)/1331", "1331")</f>
        <v>0</v>
      </c>
      <c r="M6009">
        <f>HYPERLINK("https://www.senat.fr/senateur-3eme-republique/buvignier_jean1022r3.html", "buvignier_jean1022r3")</f>
        <v>0</v>
      </c>
      <c r="N6009">
        <f>HYPERLINK("https://www.wikidata.org/wiki/Q3171041", "Q3171041")</f>
        <v>0</v>
      </c>
      <c r="O6009" t="s">
        <v>20030</v>
      </c>
      <c r="P6009" t="s">
        <v>20459</v>
      </c>
      <c r="Q6009" t="s">
        <v>20787</v>
      </c>
      <c r="R6009" t="s">
        <v>21545</v>
      </c>
      <c r="S6009">
        <v>253</v>
      </c>
    </row>
    <row r="6010" spans="1:19">
      <c r="A6010" t="s">
        <v>28</v>
      </c>
      <c r="B6010" t="s">
        <v>148</v>
      </c>
      <c r="C6010" t="s">
        <v>160</v>
      </c>
      <c r="D6010" t="s">
        <v>289</v>
      </c>
      <c r="E6010" t="s">
        <v>418</v>
      </c>
      <c r="F6010">
        <f>HYPERLINK("https://www.wikidata.org/wiki/Q33755445", "Q33755445")</f>
        <v>0</v>
      </c>
      <c r="G6010" t="s">
        <v>3540</v>
      </c>
      <c r="H6010" t="s">
        <v>7901</v>
      </c>
      <c r="I6010" t="s">
        <v>10873</v>
      </c>
      <c r="J6010" t="s">
        <v>11726</v>
      </c>
      <c r="K6010" t="s">
        <v>18225</v>
      </c>
      <c r="L6010">
        <f>HYPERLINK("https://www2.assemblee-nationale.fr/sycomore/fiche/(num_dept)/1338", "1338")</f>
        <v>0</v>
      </c>
      <c r="M6010">
        <f>HYPERLINK("https://www.senat.fr/senateur-3eme-republique/cabart_danneville_charles_maurice1036r3.html", "cabart_danneville_charles_maurice1036r3")</f>
        <v>0</v>
      </c>
      <c r="N6010">
        <f>HYPERLINK("https://www.wikidata.org/wiki/Q2959776", "Q2959776")</f>
        <v>0</v>
      </c>
      <c r="O6010" t="s">
        <v>19985</v>
      </c>
      <c r="P6010" t="s">
        <v>20411</v>
      </c>
      <c r="Q6010" t="s">
        <v>20787</v>
      </c>
      <c r="R6010" t="s">
        <v>21546</v>
      </c>
      <c r="S6010">
        <v>796</v>
      </c>
    </row>
    <row r="6011" spans="1:19">
      <c r="A6011" t="s">
        <v>28</v>
      </c>
      <c r="B6011" t="s">
        <v>148</v>
      </c>
      <c r="C6011" t="s">
        <v>160</v>
      </c>
      <c r="D6011" t="s">
        <v>289</v>
      </c>
      <c r="E6011" t="s">
        <v>418</v>
      </c>
      <c r="F6011">
        <f>HYPERLINK("https://www.wikidata.org/wiki/Q33755445", "Q33755445")</f>
        <v>0</v>
      </c>
      <c r="G6011" t="s">
        <v>3363</v>
      </c>
      <c r="H6011" t="s">
        <v>7760</v>
      </c>
      <c r="I6011" t="s">
        <v>10792</v>
      </c>
      <c r="J6011" t="s">
        <v>13975</v>
      </c>
      <c r="K6011" t="s">
        <v>18343</v>
      </c>
      <c r="L6011">
        <f>HYPERLINK("https://www2.assemblee-nationale.fr/sycomore/fiche/(num_dept)/1393", "1393")</f>
        <v>0</v>
      </c>
      <c r="N6011">
        <f>HYPERLINK("https://www.wikidata.org/wiki/Q15974106", "Q15974106")</f>
        <v>0</v>
      </c>
      <c r="O6011" t="s">
        <v>20016</v>
      </c>
      <c r="P6011" t="s">
        <v>20480</v>
      </c>
      <c r="Q6011" t="s">
        <v>20787</v>
      </c>
      <c r="R6011" t="s">
        <v>418</v>
      </c>
      <c r="S6011">
        <v>1745</v>
      </c>
    </row>
    <row r="6012" spans="1:19">
      <c r="A6012" t="s">
        <v>28</v>
      </c>
      <c r="B6012" t="s">
        <v>148</v>
      </c>
      <c r="C6012" t="s">
        <v>160</v>
      </c>
      <c r="D6012" t="s">
        <v>289</v>
      </c>
      <c r="E6012" t="s">
        <v>418</v>
      </c>
      <c r="F6012">
        <f>HYPERLINK("https://www.wikidata.org/wiki/Q33755445", "Q33755445")</f>
        <v>0</v>
      </c>
      <c r="G6012" t="s">
        <v>3416</v>
      </c>
      <c r="H6012" t="s">
        <v>7801</v>
      </c>
      <c r="I6012" t="s">
        <v>9601</v>
      </c>
      <c r="J6012" t="s">
        <v>14021</v>
      </c>
      <c r="K6012" t="s">
        <v>18390</v>
      </c>
      <c r="L6012">
        <f>HYPERLINK("https://www2.assemblee-nationale.fr/sycomore/fiche/(num_dept)/1462", "1462")</f>
        <v>0</v>
      </c>
      <c r="N6012">
        <f>HYPERLINK("https://www.wikidata.org/wiki/Q38118958", "Q38118958")</f>
        <v>0</v>
      </c>
      <c r="O6012" t="s">
        <v>19988</v>
      </c>
      <c r="P6012" t="s">
        <v>20411</v>
      </c>
      <c r="Q6012" t="s">
        <v>20787</v>
      </c>
      <c r="R6012" t="s">
        <v>418</v>
      </c>
      <c r="S6012">
        <v>1745</v>
      </c>
    </row>
    <row r="6013" spans="1:19">
      <c r="A6013" t="s">
        <v>28</v>
      </c>
      <c r="B6013" t="s">
        <v>148</v>
      </c>
      <c r="C6013" t="s">
        <v>160</v>
      </c>
      <c r="D6013" t="s">
        <v>289</v>
      </c>
      <c r="E6013" t="s">
        <v>418</v>
      </c>
      <c r="F6013">
        <f>HYPERLINK("https://www.wikidata.org/wiki/Q33755445", "Q33755445")</f>
        <v>0</v>
      </c>
      <c r="G6013" t="s">
        <v>2529</v>
      </c>
      <c r="H6013" t="s">
        <v>7090</v>
      </c>
      <c r="I6013" t="s">
        <v>6200</v>
      </c>
      <c r="J6013" t="s">
        <v>13173</v>
      </c>
      <c r="K6013" t="s">
        <v>17579</v>
      </c>
      <c r="L6013">
        <f>HYPERLINK("https://www2.assemblee-nationale.fr/sycomore/fiche/(num_dept)/1484", "1484")</f>
        <v>0</v>
      </c>
      <c r="N6013">
        <f>HYPERLINK("https://www.wikidata.org/wiki/Q315656", "Q315656")</f>
        <v>0</v>
      </c>
      <c r="O6013" t="s">
        <v>8449</v>
      </c>
      <c r="Q6013" t="s">
        <v>20787</v>
      </c>
      <c r="R6013" t="s">
        <v>21547</v>
      </c>
      <c r="S6013">
        <v>310</v>
      </c>
    </row>
    <row r="6014" spans="1:19">
      <c r="A6014" t="s">
        <v>28</v>
      </c>
      <c r="B6014" t="s">
        <v>148</v>
      </c>
      <c r="C6014" t="s">
        <v>160</v>
      </c>
      <c r="D6014" t="s">
        <v>289</v>
      </c>
      <c r="E6014" t="s">
        <v>418</v>
      </c>
      <c r="F6014">
        <f>HYPERLINK("https://www.wikidata.org/wiki/Q33755445", "Q33755445")</f>
        <v>0</v>
      </c>
      <c r="G6014" t="s">
        <v>901</v>
      </c>
      <c r="H6014" t="s">
        <v>5657</v>
      </c>
      <c r="I6014" t="s">
        <v>6585</v>
      </c>
      <c r="J6014" t="s">
        <v>11321</v>
      </c>
      <c r="K6014" t="s">
        <v>16045</v>
      </c>
      <c r="L6014">
        <f>HYPERLINK("https://www2.assemblee-nationale.fr/sycomore/fiche/(num_dept)/1501", "1501")</f>
        <v>0</v>
      </c>
      <c r="N6014">
        <f>HYPERLINK("https://www.wikidata.org/wiki/Q8322845", "Q8322845")</f>
        <v>0</v>
      </c>
      <c r="O6014" t="s">
        <v>20015</v>
      </c>
      <c r="Q6014" t="s">
        <v>20787</v>
      </c>
      <c r="R6014" t="s">
        <v>418</v>
      </c>
      <c r="S6014">
        <v>1745</v>
      </c>
    </row>
    <row r="6015" spans="1:19">
      <c r="A6015" t="s">
        <v>28</v>
      </c>
      <c r="B6015" t="s">
        <v>148</v>
      </c>
      <c r="C6015" t="s">
        <v>160</v>
      </c>
      <c r="D6015" t="s">
        <v>289</v>
      </c>
      <c r="E6015" t="s">
        <v>418</v>
      </c>
      <c r="F6015">
        <f>HYPERLINK("https://www.wikidata.org/wiki/Q33755445", "Q33755445")</f>
        <v>0</v>
      </c>
      <c r="G6015" t="s">
        <v>3688</v>
      </c>
      <c r="H6015" t="s">
        <v>8010</v>
      </c>
      <c r="I6015" t="s">
        <v>6478</v>
      </c>
      <c r="J6015" t="s">
        <v>14264</v>
      </c>
      <c r="K6015" t="s">
        <v>18625</v>
      </c>
      <c r="L6015">
        <f>HYPERLINK("https://www2.assemblee-nationale.fr/sycomore/fiche/(num_dept)/1512", "1512")</f>
        <v>0</v>
      </c>
      <c r="M6015">
        <f>HYPERLINK("https://www.senat.fr/senateur-3eme-republique/castillard_henri0222r3.html", "castillard_henri0222r3")</f>
        <v>0</v>
      </c>
      <c r="N6015">
        <f>HYPERLINK("https://www.wikidata.org/wiki/Q3130800", "Q3130800")</f>
        <v>0</v>
      </c>
      <c r="O6015" t="s">
        <v>8449</v>
      </c>
      <c r="Q6015" t="s">
        <v>20787</v>
      </c>
      <c r="R6015" t="s">
        <v>418</v>
      </c>
      <c r="S6015">
        <v>1745</v>
      </c>
    </row>
    <row r="6016" spans="1:19">
      <c r="A6016" t="s">
        <v>28</v>
      </c>
      <c r="B6016" t="s">
        <v>148</v>
      </c>
      <c r="C6016" t="s">
        <v>160</v>
      </c>
      <c r="D6016" t="s">
        <v>289</v>
      </c>
      <c r="E6016" t="s">
        <v>418</v>
      </c>
      <c r="F6016">
        <f>HYPERLINK("https://www.wikidata.org/wiki/Q33755445", "Q33755445")</f>
        <v>0</v>
      </c>
      <c r="G6016" t="s">
        <v>3019</v>
      </c>
      <c r="H6016" t="s">
        <v>7476</v>
      </c>
      <c r="I6016" t="s">
        <v>10580</v>
      </c>
      <c r="J6016" t="s">
        <v>13647</v>
      </c>
      <c r="K6016" t="s">
        <v>18031</v>
      </c>
      <c r="L6016">
        <f>HYPERLINK("https://www2.assemblee-nationale.fr/sycomore/fiche/(num_dept)/1539", "1539")</f>
        <v>0</v>
      </c>
      <c r="N6016">
        <f>HYPERLINK("https://www.wikidata.org/wiki/Q573739", "Q573739")</f>
        <v>0</v>
      </c>
      <c r="O6016" t="s">
        <v>19956</v>
      </c>
      <c r="Q6016" t="s">
        <v>20787</v>
      </c>
      <c r="R6016" t="s">
        <v>418</v>
      </c>
      <c r="S6016">
        <v>1745</v>
      </c>
    </row>
    <row r="6017" spans="1:19">
      <c r="A6017" t="s">
        <v>28</v>
      </c>
      <c r="B6017" t="s">
        <v>148</v>
      </c>
      <c r="C6017" t="s">
        <v>160</v>
      </c>
      <c r="D6017" t="s">
        <v>289</v>
      </c>
      <c r="E6017" t="s">
        <v>418</v>
      </c>
      <c r="F6017">
        <f>HYPERLINK("https://www.wikidata.org/wiki/Q33755445", "Q33755445")</f>
        <v>0</v>
      </c>
      <c r="G6017" t="s">
        <v>2533</v>
      </c>
      <c r="H6017" t="s">
        <v>7093</v>
      </c>
      <c r="I6017" t="s">
        <v>9602</v>
      </c>
      <c r="J6017" t="s">
        <v>13177</v>
      </c>
      <c r="K6017" t="s">
        <v>17583</v>
      </c>
      <c r="L6017">
        <f>HYPERLINK("https://www2.assemblee-nationale.fr/sycomore/fiche/(num_dept)/1556", "1556")</f>
        <v>0</v>
      </c>
      <c r="M6017">
        <f>HYPERLINK("https://www.senat.fr/senateur-3eme-republique/caze_edmond0102r3.html", "caze_edmond0102r3")</f>
        <v>0</v>
      </c>
      <c r="N6017">
        <f>HYPERLINK("https://www.wikidata.org/wiki/Q3047779", "Q3047779")</f>
        <v>0</v>
      </c>
      <c r="O6017" t="s">
        <v>20016</v>
      </c>
      <c r="Q6017" t="s">
        <v>20787</v>
      </c>
      <c r="R6017" t="s">
        <v>418</v>
      </c>
      <c r="S6017">
        <v>1745</v>
      </c>
    </row>
    <row r="6018" spans="1:19">
      <c r="A6018" t="s">
        <v>28</v>
      </c>
      <c r="B6018" t="s">
        <v>148</v>
      </c>
      <c r="C6018" t="s">
        <v>160</v>
      </c>
      <c r="D6018" t="s">
        <v>289</v>
      </c>
      <c r="E6018" t="s">
        <v>418</v>
      </c>
      <c r="F6018">
        <f>HYPERLINK("https://www.wikidata.org/wiki/Q33755445", "Q33755445")</f>
        <v>0</v>
      </c>
      <c r="G6018" t="s">
        <v>3079</v>
      </c>
      <c r="H6018" t="s">
        <v>7528</v>
      </c>
      <c r="I6018" t="s">
        <v>10615</v>
      </c>
      <c r="J6018" t="s">
        <v>13448</v>
      </c>
      <c r="K6018" t="s">
        <v>18085</v>
      </c>
      <c r="L6018">
        <f>HYPERLINK("https://www2.assemblee-nationale.fr/sycomore/fiche/(num_dept)/1564", "1564")</f>
        <v>0</v>
      </c>
      <c r="N6018">
        <f>HYPERLINK("https://www.wikidata.org/wiki/Q3580075", "Q3580075")</f>
        <v>0</v>
      </c>
      <c r="O6018" t="s">
        <v>20023</v>
      </c>
      <c r="P6018" t="s">
        <v>20460</v>
      </c>
      <c r="Q6018" t="s">
        <v>20787</v>
      </c>
      <c r="R6018" t="s">
        <v>18085</v>
      </c>
      <c r="S6018">
        <v>1089</v>
      </c>
    </row>
    <row r="6019" spans="1:19">
      <c r="A6019" t="s">
        <v>28</v>
      </c>
      <c r="B6019" t="s">
        <v>148</v>
      </c>
      <c r="C6019" t="s">
        <v>160</v>
      </c>
      <c r="D6019" t="s">
        <v>289</v>
      </c>
      <c r="E6019" t="s">
        <v>418</v>
      </c>
      <c r="F6019">
        <f>HYPERLINK("https://www.wikidata.org/wiki/Q33755445", "Q33755445")</f>
        <v>0</v>
      </c>
      <c r="G6019" t="s">
        <v>564</v>
      </c>
      <c r="H6019" t="s">
        <v>5327</v>
      </c>
      <c r="I6019" t="s">
        <v>5574</v>
      </c>
      <c r="J6019" t="s">
        <v>11315</v>
      </c>
      <c r="K6019" t="s">
        <v>15716</v>
      </c>
      <c r="L6019">
        <f>HYPERLINK("https://www2.assemblee-nationale.fr/sycomore/fiche/(num_dept)/1565", "1565")</f>
        <v>0</v>
      </c>
      <c r="N6019">
        <f>HYPERLINK("https://www.wikidata.org/wiki/Q15974262", "Q15974262")</f>
        <v>0</v>
      </c>
      <c r="O6019" t="s">
        <v>20003</v>
      </c>
      <c r="Q6019" t="s">
        <v>20787</v>
      </c>
      <c r="R6019" t="s">
        <v>418</v>
      </c>
      <c r="S6019">
        <v>1745</v>
      </c>
    </row>
    <row r="6020" spans="1:19">
      <c r="A6020" t="s">
        <v>28</v>
      </c>
      <c r="B6020" t="s">
        <v>148</v>
      </c>
      <c r="C6020" t="s">
        <v>160</v>
      </c>
      <c r="D6020" t="s">
        <v>289</v>
      </c>
      <c r="E6020" t="s">
        <v>418</v>
      </c>
      <c r="F6020">
        <f>HYPERLINK("https://www.wikidata.org/wiki/Q33755445", "Q33755445")</f>
        <v>0</v>
      </c>
      <c r="G6020" t="s">
        <v>3689</v>
      </c>
      <c r="H6020" t="s">
        <v>8011</v>
      </c>
      <c r="I6020" t="s">
        <v>10937</v>
      </c>
      <c r="J6020" t="s">
        <v>13857</v>
      </c>
      <c r="K6020" t="s">
        <v>17751</v>
      </c>
      <c r="L6020">
        <f>HYPERLINK("https://www2.assemblee-nationale.fr/sycomore/fiche/(num_dept)/1637", "1637")</f>
        <v>0</v>
      </c>
      <c r="N6020">
        <f>HYPERLINK("https://www.wikidata.org/wiki/Q7122126", "Q7122126")</f>
        <v>0</v>
      </c>
      <c r="O6020" t="s">
        <v>20032</v>
      </c>
      <c r="P6020" t="s">
        <v>20471</v>
      </c>
      <c r="Q6020" t="s">
        <v>20787</v>
      </c>
      <c r="R6020" t="s">
        <v>418</v>
      </c>
      <c r="S6020">
        <v>1745</v>
      </c>
    </row>
    <row r="6021" spans="1:19">
      <c r="A6021" t="s">
        <v>28</v>
      </c>
      <c r="B6021" t="s">
        <v>148</v>
      </c>
      <c r="C6021" t="s">
        <v>160</v>
      </c>
      <c r="D6021" t="s">
        <v>289</v>
      </c>
      <c r="E6021" t="s">
        <v>418</v>
      </c>
      <c r="F6021">
        <f>HYPERLINK("https://www.wikidata.org/wiki/Q33755445", "Q33755445")</f>
        <v>0</v>
      </c>
      <c r="G6021" t="s">
        <v>3670</v>
      </c>
      <c r="H6021" t="s">
        <v>7997</v>
      </c>
      <c r="I6021" t="s">
        <v>5592</v>
      </c>
      <c r="J6021" t="s">
        <v>14249</v>
      </c>
      <c r="K6021" t="s">
        <v>18608</v>
      </c>
      <c r="L6021">
        <f>HYPERLINK("https://www2.assemblee-nationale.fr/sycomore/fiche/(num_dept)/1644", "1644")</f>
        <v>0</v>
      </c>
      <c r="N6021">
        <f>HYPERLINK("https://www.wikidata.org/wiki/Q15974289", "Q15974289")</f>
        <v>0</v>
      </c>
      <c r="O6021" t="s">
        <v>19993</v>
      </c>
      <c r="P6021" t="s">
        <v>20411</v>
      </c>
      <c r="Q6021" t="s">
        <v>20787</v>
      </c>
      <c r="R6021" t="s">
        <v>418</v>
      </c>
      <c r="S6021">
        <v>1745</v>
      </c>
    </row>
    <row r="6022" spans="1:19">
      <c r="A6022" t="s">
        <v>28</v>
      </c>
      <c r="B6022" t="s">
        <v>148</v>
      </c>
      <c r="C6022" t="s">
        <v>160</v>
      </c>
      <c r="D6022" t="s">
        <v>289</v>
      </c>
      <c r="E6022" t="s">
        <v>418</v>
      </c>
      <c r="F6022">
        <f>HYPERLINK("https://www.wikidata.org/wiki/Q33755445", "Q33755445")</f>
        <v>0</v>
      </c>
      <c r="G6022" t="s">
        <v>2482</v>
      </c>
      <c r="H6022" t="s">
        <v>7055</v>
      </c>
      <c r="I6022" t="s">
        <v>10236</v>
      </c>
      <c r="J6022" t="s">
        <v>13126</v>
      </c>
      <c r="K6022" t="s">
        <v>17536</v>
      </c>
      <c r="L6022">
        <f>HYPERLINK("https://www2.assemblee-nationale.fr/sycomore/fiche/(num_dept)/1672", "1672")</f>
        <v>0</v>
      </c>
      <c r="M6022">
        <f>HYPERLINK("https://www.senat.fr/senateur-3eme-republique/charmes_francis0370r3.html", "charmes_francis0370r3")</f>
        <v>0</v>
      </c>
      <c r="N6022">
        <f>HYPERLINK("https://www.wikidata.org/wiki/Q2341785", "Q2341785")</f>
        <v>0</v>
      </c>
      <c r="O6022" t="s">
        <v>19966</v>
      </c>
      <c r="Q6022" t="s">
        <v>20787</v>
      </c>
      <c r="R6022" t="s">
        <v>418</v>
      </c>
      <c r="S6022">
        <v>1745</v>
      </c>
    </row>
    <row r="6023" spans="1:19">
      <c r="A6023" t="s">
        <v>28</v>
      </c>
      <c r="B6023" t="s">
        <v>148</v>
      </c>
      <c r="C6023" t="s">
        <v>160</v>
      </c>
      <c r="D6023" t="s">
        <v>289</v>
      </c>
      <c r="E6023" t="s">
        <v>418</v>
      </c>
      <c r="F6023">
        <f>HYPERLINK("https://www.wikidata.org/wiki/Q33755445", "Q33755445")</f>
        <v>0</v>
      </c>
      <c r="G6023" t="s">
        <v>3671</v>
      </c>
      <c r="H6023" t="s">
        <v>7998</v>
      </c>
      <c r="I6023" t="s">
        <v>10926</v>
      </c>
      <c r="J6023" t="s">
        <v>14250</v>
      </c>
      <c r="K6023" t="s">
        <v>18609</v>
      </c>
      <c r="L6023">
        <f>HYPERLINK("https://www2.assemblee-nationale.fr/sycomore/fiche/(num_dept)/1709", "1709")</f>
        <v>0</v>
      </c>
      <c r="N6023">
        <f>HYPERLINK("https://www.wikidata.org/wiki/Q8323089", "Q8323089")</f>
        <v>0</v>
      </c>
      <c r="O6023" t="s">
        <v>20036</v>
      </c>
      <c r="P6023" t="s">
        <v>20493</v>
      </c>
      <c r="Q6023" t="s">
        <v>20787</v>
      </c>
      <c r="R6023" t="s">
        <v>418</v>
      </c>
      <c r="S6023">
        <v>1745</v>
      </c>
    </row>
    <row r="6024" spans="1:19">
      <c r="A6024" t="s">
        <v>28</v>
      </c>
      <c r="B6024" t="s">
        <v>148</v>
      </c>
      <c r="C6024" t="s">
        <v>160</v>
      </c>
      <c r="D6024" t="s">
        <v>289</v>
      </c>
      <c r="E6024" t="s">
        <v>418</v>
      </c>
      <c r="F6024">
        <f>HYPERLINK("https://www.wikidata.org/wiki/Q33755445", "Q33755445")</f>
        <v>0</v>
      </c>
      <c r="G6024" t="s">
        <v>3418</v>
      </c>
      <c r="H6024" t="s">
        <v>5335</v>
      </c>
      <c r="I6024" t="s">
        <v>9455</v>
      </c>
      <c r="J6024" t="s">
        <v>14023</v>
      </c>
      <c r="K6024" t="s">
        <v>18392</v>
      </c>
      <c r="L6024">
        <f>HYPERLINK("https://www2.assemblee-nationale.fr/sycomore/fiche/(num_dept)/1712", "1712")</f>
        <v>0</v>
      </c>
      <c r="N6024">
        <f>HYPERLINK("https://www.wikidata.org/wiki/Q3265425", "Q3265425")</f>
        <v>0</v>
      </c>
      <c r="O6024" t="s">
        <v>19984</v>
      </c>
      <c r="P6024" t="s">
        <v>20479</v>
      </c>
      <c r="Q6024" t="s">
        <v>20787</v>
      </c>
      <c r="R6024" t="s">
        <v>418</v>
      </c>
      <c r="S6024">
        <v>1745</v>
      </c>
    </row>
    <row r="6025" spans="1:19">
      <c r="A6025" t="s">
        <v>28</v>
      </c>
      <c r="B6025" t="s">
        <v>148</v>
      </c>
      <c r="C6025" t="s">
        <v>160</v>
      </c>
      <c r="D6025" t="s">
        <v>289</v>
      </c>
      <c r="E6025" t="s">
        <v>418</v>
      </c>
      <c r="F6025">
        <f>HYPERLINK("https://www.wikidata.org/wiki/Q33755445", "Q33755445")</f>
        <v>0</v>
      </c>
      <c r="G6025" t="s">
        <v>1159</v>
      </c>
      <c r="H6025" t="s">
        <v>5893</v>
      </c>
      <c r="I6025" t="s">
        <v>9687</v>
      </c>
      <c r="J6025" t="s">
        <v>11892</v>
      </c>
      <c r="K6025" t="s">
        <v>16294</v>
      </c>
      <c r="L6025">
        <f>HYPERLINK("https://www2.assemblee-nationale.fr/sycomore/fiche/(num_dept)/1744", "1744")</f>
        <v>0</v>
      </c>
      <c r="N6025">
        <f>HYPERLINK("https://www.wikidata.org/wiki/Q16025440", "Q16025440")</f>
        <v>0</v>
      </c>
      <c r="O6025" t="s">
        <v>20010</v>
      </c>
      <c r="Q6025" t="s">
        <v>20787</v>
      </c>
      <c r="R6025" t="s">
        <v>418</v>
      </c>
      <c r="S6025">
        <v>1745</v>
      </c>
    </row>
    <row r="6026" spans="1:19">
      <c r="A6026" t="s">
        <v>28</v>
      </c>
      <c r="B6026" t="s">
        <v>148</v>
      </c>
      <c r="C6026" t="s">
        <v>160</v>
      </c>
      <c r="D6026" t="s">
        <v>289</v>
      </c>
      <c r="E6026" t="s">
        <v>418</v>
      </c>
      <c r="F6026">
        <f>HYPERLINK("https://www.wikidata.org/wiki/Q33755445", "Q33755445")</f>
        <v>0</v>
      </c>
      <c r="G6026" t="s">
        <v>3690</v>
      </c>
      <c r="H6026" t="s">
        <v>8012</v>
      </c>
      <c r="I6026" t="s">
        <v>10938</v>
      </c>
      <c r="J6026" t="s">
        <v>14265</v>
      </c>
      <c r="K6026" t="s">
        <v>18626</v>
      </c>
      <c r="L6026">
        <f>HYPERLINK("https://www2.assemblee-nationale.fr/sycomore/fiche/(num_dept)/1774", "1774")</f>
        <v>0</v>
      </c>
      <c r="N6026">
        <f>HYPERLINK("https://www.wikidata.org/wiki/Q3588407", "Q3588407")</f>
        <v>0</v>
      </c>
      <c r="O6026" t="s">
        <v>19989</v>
      </c>
      <c r="P6026" t="s">
        <v>20479</v>
      </c>
      <c r="Q6026" t="s">
        <v>20787</v>
      </c>
      <c r="R6026" t="s">
        <v>418</v>
      </c>
      <c r="S6026">
        <v>1745</v>
      </c>
    </row>
    <row r="6027" spans="1:19">
      <c r="A6027" t="s">
        <v>28</v>
      </c>
      <c r="B6027" t="s">
        <v>148</v>
      </c>
      <c r="C6027" t="s">
        <v>160</v>
      </c>
      <c r="D6027" t="s">
        <v>289</v>
      </c>
      <c r="E6027" t="s">
        <v>418</v>
      </c>
      <c r="F6027">
        <f>HYPERLINK("https://www.wikidata.org/wiki/Q33755445", "Q33755445")</f>
        <v>0</v>
      </c>
      <c r="G6027" t="s">
        <v>2538</v>
      </c>
      <c r="H6027" t="s">
        <v>7098</v>
      </c>
      <c r="I6027" t="s">
        <v>10275</v>
      </c>
      <c r="J6027" t="s">
        <v>13182</v>
      </c>
      <c r="K6027" t="s">
        <v>17587</v>
      </c>
      <c r="L6027">
        <f>HYPERLINK("https://www2.assemblee-nationale.fr/sycomore/fiche/(num_dept)/1818", "1818")</f>
        <v>0</v>
      </c>
      <c r="N6027">
        <f>HYPERLINK("https://www.wikidata.org/wiki/Q2190717", "Q2190717")</f>
        <v>0</v>
      </c>
      <c r="O6027" t="s">
        <v>19957</v>
      </c>
      <c r="Q6027" t="s">
        <v>20787</v>
      </c>
      <c r="R6027" t="s">
        <v>418</v>
      </c>
      <c r="S6027">
        <v>1745</v>
      </c>
    </row>
    <row r="6028" spans="1:19">
      <c r="A6028" t="s">
        <v>28</v>
      </c>
      <c r="B6028" t="s">
        <v>148</v>
      </c>
      <c r="C6028" t="s">
        <v>160</v>
      </c>
      <c r="D6028" t="s">
        <v>289</v>
      </c>
      <c r="E6028" t="s">
        <v>418</v>
      </c>
      <c r="F6028">
        <f>HYPERLINK("https://www.wikidata.org/wiki/Q33755445", "Q33755445")</f>
        <v>0</v>
      </c>
      <c r="G6028" t="s">
        <v>577</v>
      </c>
      <c r="H6028" t="s">
        <v>5339</v>
      </c>
      <c r="I6028" t="s">
        <v>9428</v>
      </c>
      <c r="J6028" t="s">
        <v>11328</v>
      </c>
      <c r="K6028" t="s">
        <v>15729</v>
      </c>
      <c r="L6028">
        <f>HYPERLINK("https://www2.assemblee-nationale.fr/sycomore/fiche/(num_dept)/1822", "1822")</f>
        <v>0</v>
      </c>
      <c r="N6028">
        <f>HYPERLINK("https://www.wikidata.org/wiki/Q2835023", "Q2835023")</f>
        <v>0</v>
      </c>
      <c r="O6028" t="s">
        <v>19967</v>
      </c>
      <c r="Q6028" t="s">
        <v>20787</v>
      </c>
      <c r="R6028" t="s">
        <v>418</v>
      </c>
      <c r="S6028">
        <v>1745</v>
      </c>
    </row>
    <row r="6029" spans="1:19">
      <c r="A6029" t="s">
        <v>28</v>
      </c>
      <c r="B6029" t="s">
        <v>148</v>
      </c>
      <c r="C6029" t="s">
        <v>160</v>
      </c>
      <c r="D6029" t="s">
        <v>289</v>
      </c>
      <c r="E6029" t="s">
        <v>418</v>
      </c>
      <c r="F6029">
        <f>HYPERLINK("https://www.wikidata.org/wiki/Q33755445", "Q33755445")</f>
        <v>0</v>
      </c>
      <c r="G6029" t="s">
        <v>578</v>
      </c>
      <c r="H6029" t="s">
        <v>5340</v>
      </c>
      <c r="I6029" t="s">
        <v>9429</v>
      </c>
      <c r="J6029" t="s">
        <v>11329</v>
      </c>
      <c r="K6029" t="s">
        <v>15730</v>
      </c>
      <c r="L6029">
        <f>HYPERLINK("https://www2.assemblee-nationale.fr/sycomore/fiche/(num_dept)/1831", "1831")</f>
        <v>0</v>
      </c>
      <c r="N6029">
        <f>HYPERLINK("https://www.wikidata.org/wiki/Q16025454", "Q16025454")</f>
        <v>0</v>
      </c>
      <c r="O6029" t="s">
        <v>20010</v>
      </c>
      <c r="Q6029" t="s">
        <v>20787</v>
      </c>
      <c r="R6029" t="s">
        <v>418</v>
      </c>
      <c r="S6029">
        <v>1745</v>
      </c>
    </row>
    <row r="6030" spans="1:19">
      <c r="A6030" t="s">
        <v>28</v>
      </c>
      <c r="B6030" t="s">
        <v>148</v>
      </c>
      <c r="C6030" t="s">
        <v>160</v>
      </c>
      <c r="D6030" t="s">
        <v>289</v>
      </c>
      <c r="E6030" t="s">
        <v>418</v>
      </c>
      <c r="F6030">
        <f>HYPERLINK("https://www.wikidata.org/wiki/Q33755445", "Q33755445")</f>
        <v>0</v>
      </c>
      <c r="G6030" t="s">
        <v>3543</v>
      </c>
      <c r="H6030" t="s">
        <v>7903</v>
      </c>
      <c r="I6030" t="s">
        <v>10874</v>
      </c>
      <c r="J6030" t="s">
        <v>14134</v>
      </c>
      <c r="K6030" t="s">
        <v>18499</v>
      </c>
      <c r="L6030">
        <f>HYPERLINK("https://www2.assemblee-nationale.fr/sycomore/fiche/(num_dept)/1838", "1838")</f>
        <v>0</v>
      </c>
      <c r="N6030">
        <f>HYPERLINK("https://www.wikidata.org/wiki/Q16025458", "Q16025458")</f>
        <v>0</v>
      </c>
      <c r="O6030" t="s">
        <v>19967</v>
      </c>
      <c r="P6030" t="s">
        <v>20493</v>
      </c>
      <c r="Q6030" t="s">
        <v>20787</v>
      </c>
      <c r="R6030" t="s">
        <v>18499</v>
      </c>
      <c r="S6030">
        <v>1078</v>
      </c>
    </row>
    <row r="6031" spans="1:19">
      <c r="A6031" t="s">
        <v>28</v>
      </c>
      <c r="B6031" t="s">
        <v>148</v>
      </c>
      <c r="C6031" t="s">
        <v>160</v>
      </c>
      <c r="D6031" t="s">
        <v>289</v>
      </c>
      <c r="E6031" t="s">
        <v>418</v>
      </c>
      <c r="F6031">
        <f>HYPERLINK("https://www.wikidata.org/wiki/Q33755445", "Q33755445")</f>
        <v>0</v>
      </c>
      <c r="G6031" t="s">
        <v>3635</v>
      </c>
      <c r="H6031" t="s">
        <v>7968</v>
      </c>
      <c r="I6031" t="s">
        <v>6200</v>
      </c>
      <c r="J6031" t="s">
        <v>14215</v>
      </c>
      <c r="K6031" t="s">
        <v>18495</v>
      </c>
      <c r="L6031">
        <f>HYPERLINK("https://www2.assemblee-nationale.fr/sycomore/fiche/(num_dept)/1843", "1843")</f>
        <v>0</v>
      </c>
      <c r="N6031">
        <f>HYPERLINK("https://www.wikidata.org/wiki/Q16025826", "Q16025826")</f>
        <v>0</v>
      </c>
      <c r="O6031" t="s">
        <v>19970</v>
      </c>
      <c r="P6031" t="s">
        <v>20479</v>
      </c>
      <c r="Q6031" t="s">
        <v>20787</v>
      </c>
      <c r="R6031" t="s">
        <v>418</v>
      </c>
      <c r="S6031">
        <v>1745</v>
      </c>
    </row>
    <row r="6032" spans="1:19">
      <c r="A6032" t="s">
        <v>28</v>
      </c>
      <c r="B6032" t="s">
        <v>148</v>
      </c>
      <c r="C6032" t="s">
        <v>160</v>
      </c>
      <c r="D6032" t="s">
        <v>289</v>
      </c>
      <c r="E6032" t="s">
        <v>418</v>
      </c>
      <c r="F6032">
        <f>HYPERLINK("https://www.wikidata.org/wiki/Q33755445", "Q33755445")</f>
        <v>0</v>
      </c>
      <c r="G6032" t="s">
        <v>582</v>
      </c>
      <c r="H6032" t="s">
        <v>5344</v>
      </c>
      <c r="I6032" t="s">
        <v>6175</v>
      </c>
      <c r="J6032" t="s">
        <v>11333</v>
      </c>
      <c r="K6032" t="s">
        <v>15734</v>
      </c>
      <c r="L6032">
        <f>HYPERLINK("https://www2.assemblee-nationale.fr/sycomore/fiche/(num_dept)/1869", "1869")</f>
        <v>0</v>
      </c>
      <c r="N6032">
        <f>HYPERLINK("https://www.wikidata.org/wiki/Q2599226", "Q2599226")</f>
        <v>0</v>
      </c>
      <c r="O6032" t="s">
        <v>19958</v>
      </c>
      <c r="P6032" t="s">
        <v>20461</v>
      </c>
      <c r="Q6032" t="s">
        <v>20787</v>
      </c>
      <c r="R6032" t="s">
        <v>418</v>
      </c>
      <c r="S6032">
        <v>1745</v>
      </c>
    </row>
    <row r="6033" spans="1:19">
      <c r="A6033" t="s">
        <v>28</v>
      </c>
      <c r="B6033" t="s">
        <v>148</v>
      </c>
      <c r="C6033" t="s">
        <v>160</v>
      </c>
      <c r="D6033" t="s">
        <v>289</v>
      </c>
      <c r="E6033" t="s">
        <v>418</v>
      </c>
      <c r="F6033">
        <f>HYPERLINK("https://www.wikidata.org/wiki/Q33755445", "Q33755445")</f>
        <v>0</v>
      </c>
      <c r="G6033" t="s">
        <v>584</v>
      </c>
      <c r="H6033" t="s">
        <v>5345</v>
      </c>
      <c r="I6033" t="s">
        <v>9433</v>
      </c>
      <c r="J6033" t="s">
        <v>11335</v>
      </c>
      <c r="K6033" t="s">
        <v>15736</v>
      </c>
      <c r="L6033">
        <f>HYPERLINK("https://www2.assemblee-nationale.fr/sycomore/fiche/(num_dept)/1875", "1875")</f>
        <v>0</v>
      </c>
      <c r="N6033">
        <f>HYPERLINK("https://www.wikidata.org/wiki/Q3132702", "Q3132702")</f>
        <v>0</v>
      </c>
      <c r="O6033" t="s">
        <v>20013</v>
      </c>
      <c r="Q6033" t="s">
        <v>20787</v>
      </c>
      <c r="R6033" t="s">
        <v>418</v>
      </c>
      <c r="S6033">
        <v>1745</v>
      </c>
    </row>
    <row r="6034" spans="1:19">
      <c r="A6034" t="s">
        <v>28</v>
      </c>
      <c r="B6034" t="s">
        <v>148</v>
      </c>
      <c r="C6034" t="s">
        <v>160</v>
      </c>
      <c r="D6034" t="s">
        <v>289</v>
      </c>
      <c r="E6034" t="s">
        <v>418</v>
      </c>
      <c r="F6034">
        <f>HYPERLINK("https://www.wikidata.org/wiki/Q33755445", "Q33755445")</f>
        <v>0</v>
      </c>
      <c r="G6034" t="s">
        <v>2540</v>
      </c>
      <c r="H6034" t="s">
        <v>7100</v>
      </c>
      <c r="I6034" t="s">
        <v>10276</v>
      </c>
      <c r="J6034" t="s">
        <v>13184</v>
      </c>
      <c r="K6034" t="s">
        <v>17589</v>
      </c>
      <c r="L6034">
        <f>HYPERLINK("https://www2.assemblee-nationale.fr/sycomore/fiche/(num_dept)/1878", "1878")</f>
        <v>0</v>
      </c>
      <c r="M6034">
        <f>HYPERLINK("https://www.senat.fr/senateur-3eme-republique/codet_jean1786r3.html", "codet_jean1786r3")</f>
        <v>0</v>
      </c>
      <c r="N6034">
        <f>HYPERLINK("https://www.wikidata.org/wiki/Q3171361", "Q3171361")</f>
        <v>0</v>
      </c>
      <c r="O6034" t="s">
        <v>19977</v>
      </c>
      <c r="Q6034" t="s">
        <v>20787</v>
      </c>
      <c r="R6034" t="s">
        <v>418</v>
      </c>
      <c r="S6034">
        <v>1745</v>
      </c>
    </row>
    <row r="6035" spans="1:19">
      <c r="A6035" t="s">
        <v>28</v>
      </c>
      <c r="B6035" t="s">
        <v>148</v>
      </c>
      <c r="C6035" t="s">
        <v>160</v>
      </c>
      <c r="D6035" t="s">
        <v>289</v>
      </c>
      <c r="E6035" t="s">
        <v>418</v>
      </c>
      <c r="F6035">
        <f>HYPERLINK("https://www.wikidata.org/wiki/Q33755445", "Q33755445")</f>
        <v>0</v>
      </c>
      <c r="G6035" t="s">
        <v>3691</v>
      </c>
      <c r="H6035" t="s">
        <v>8013</v>
      </c>
      <c r="I6035" t="s">
        <v>9474</v>
      </c>
      <c r="J6035" t="s">
        <v>14266</v>
      </c>
      <c r="K6035" t="s">
        <v>18627</v>
      </c>
      <c r="L6035">
        <f>HYPERLINK("https://www2.assemblee-nationale.fr/sycomore/fiche/(num_dept)/1883", "1883")</f>
        <v>0</v>
      </c>
      <c r="N6035">
        <f>HYPERLINK("https://www.wikidata.org/wiki/Q16025467", "Q16025467")</f>
        <v>0</v>
      </c>
      <c r="O6035" t="s">
        <v>20013</v>
      </c>
      <c r="Q6035" t="s">
        <v>20787</v>
      </c>
      <c r="R6035" t="s">
        <v>418</v>
      </c>
      <c r="S6035">
        <v>1745</v>
      </c>
    </row>
    <row r="6036" spans="1:19">
      <c r="A6036" t="s">
        <v>28</v>
      </c>
      <c r="B6036" t="s">
        <v>148</v>
      </c>
      <c r="C6036" t="s">
        <v>160</v>
      </c>
      <c r="D6036" t="s">
        <v>289</v>
      </c>
      <c r="E6036" t="s">
        <v>418</v>
      </c>
      <c r="F6036">
        <f>HYPERLINK("https://www.wikidata.org/wiki/Q33755445", "Q33755445")</f>
        <v>0</v>
      </c>
      <c r="G6036" t="s">
        <v>2541</v>
      </c>
      <c r="H6036" t="s">
        <v>7101</v>
      </c>
      <c r="I6036" t="s">
        <v>10277</v>
      </c>
      <c r="J6036" t="s">
        <v>13185</v>
      </c>
      <c r="K6036" t="s">
        <v>17590</v>
      </c>
      <c r="L6036">
        <f>HYPERLINK("https://www2.assemblee-nationale.fr/sycomore/fiche/(num_dept)/1890", "1890")</f>
        <v>0</v>
      </c>
      <c r="N6036">
        <f>HYPERLINK("https://www.wikidata.org/wiki/Q3383298", "Q3383298")</f>
        <v>0</v>
      </c>
      <c r="O6036" t="s">
        <v>20009</v>
      </c>
      <c r="P6036" t="s">
        <v>20460</v>
      </c>
      <c r="Q6036" t="s">
        <v>20787</v>
      </c>
      <c r="R6036" t="s">
        <v>21548</v>
      </c>
      <c r="S6036">
        <v>806</v>
      </c>
    </row>
    <row r="6037" spans="1:19">
      <c r="A6037" t="s">
        <v>28</v>
      </c>
      <c r="B6037" t="s">
        <v>148</v>
      </c>
      <c r="C6037" t="s">
        <v>160</v>
      </c>
      <c r="D6037" t="s">
        <v>289</v>
      </c>
      <c r="E6037" t="s">
        <v>418</v>
      </c>
      <c r="F6037">
        <f>HYPERLINK("https://www.wikidata.org/wiki/Q33755445", "Q33755445")</f>
        <v>0</v>
      </c>
      <c r="G6037" t="s">
        <v>588</v>
      </c>
      <c r="H6037" t="s">
        <v>5349</v>
      </c>
      <c r="I6037" t="s">
        <v>9437</v>
      </c>
      <c r="J6037" t="s">
        <v>11339</v>
      </c>
      <c r="K6037" t="s">
        <v>15740</v>
      </c>
      <c r="L6037">
        <f>HYPERLINK("https://www2.assemblee-nationale.fr/sycomore/fiche/(num_dept)/1947", "1947")</f>
        <v>0</v>
      </c>
      <c r="N6037">
        <f>HYPERLINK("https://www.wikidata.org/wiki/Q3588426", "Q3588426")</f>
        <v>0</v>
      </c>
      <c r="O6037" t="s">
        <v>19987</v>
      </c>
      <c r="Q6037" t="s">
        <v>20787</v>
      </c>
      <c r="R6037" t="s">
        <v>418</v>
      </c>
      <c r="S6037">
        <v>1745</v>
      </c>
    </row>
    <row r="6038" spans="1:19">
      <c r="A6038" t="s">
        <v>28</v>
      </c>
      <c r="B6038" t="s">
        <v>148</v>
      </c>
      <c r="C6038" t="s">
        <v>160</v>
      </c>
      <c r="D6038" t="s">
        <v>289</v>
      </c>
      <c r="E6038" t="s">
        <v>418</v>
      </c>
      <c r="F6038">
        <f>HYPERLINK("https://www.wikidata.org/wiki/Q33755445", "Q33755445")</f>
        <v>0</v>
      </c>
      <c r="G6038" t="s">
        <v>3018</v>
      </c>
      <c r="H6038" t="s">
        <v>7475</v>
      </c>
      <c r="I6038" t="s">
        <v>10579</v>
      </c>
      <c r="J6038" t="s">
        <v>13646</v>
      </c>
      <c r="K6038" t="s">
        <v>18030</v>
      </c>
      <c r="L6038">
        <f>HYPERLINK("https://www2.assemblee-nationale.fr/sycomore/fiche/(num_dept)/1978", "1978")</f>
        <v>0</v>
      </c>
      <c r="N6038">
        <f>HYPERLINK("https://www.wikidata.org/wiki/Q3588430", "Q3588430")</f>
        <v>0</v>
      </c>
      <c r="O6038" t="s">
        <v>19979</v>
      </c>
      <c r="Q6038" t="s">
        <v>20787</v>
      </c>
      <c r="R6038" t="s">
        <v>418</v>
      </c>
      <c r="S6038">
        <v>1745</v>
      </c>
    </row>
    <row r="6039" spans="1:19">
      <c r="A6039" t="s">
        <v>28</v>
      </c>
      <c r="B6039" t="s">
        <v>148</v>
      </c>
      <c r="C6039" t="s">
        <v>160</v>
      </c>
      <c r="D6039" t="s">
        <v>289</v>
      </c>
      <c r="E6039" t="s">
        <v>418</v>
      </c>
      <c r="F6039">
        <f>HYPERLINK("https://www.wikidata.org/wiki/Q33755445", "Q33755445")</f>
        <v>0</v>
      </c>
      <c r="G6039" t="s">
        <v>3544</v>
      </c>
      <c r="H6039" t="s">
        <v>7904</v>
      </c>
      <c r="I6039" t="s">
        <v>10875</v>
      </c>
      <c r="J6039" t="s">
        <v>14135</v>
      </c>
      <c r="K6039" t="s">
        <v>18500</v>
      </c>
      <c r="L6039">
        <f>HYPERLINK("https://www2.assemblee-nationale.fr/sycomore/fiche/(num_dept)/1987", "1987")</f>
        <v>0</v>
      </c>
      <c r="N6039">
        <f>HYPERLINK("https://www.wikidata.org/wiki/Q3510668", "Q3510668")</f>
        <v>0</v>
      </c>
      <c r="O6039" t="s">
        <v>20011</v>
      </c>
      <c r="Q6039" t="s">
        <v>20787</v>
      </c>
      <c r="R6039" t="s">
        <v>418</v>
      </c>
      <c r="S6039">
        <v>1745</v>
      </c>
    </row>
    <row r="6040" spans="1:19">
      <c r="A6040" t="s">
        <v>28</v>
      </c>
      <c r="B6040" t="s">
        <v>148</v>
      </c>
      <c r="C6040" t="s">
        <v>160</v>
      </c>
      <c r="D6040" t="s">
        <v>289</v>
      </c>
      <c r="E6040" t="s">
        <v>418</v>
      </c>
      <c r="F6040">
        <f>HYPERLINK("https://www.wikidata.org/wiki/Q33755445", "Q33755445")</f>
        <v>0</v>
      </c>
      <c r="G6040" t="s">
        <v>3651</v>
      </c>
      <c r="H6040" t="s">
        <v>7982</v>
      </c>
      <c r="I6040" t="s">
        <v>9535</v>
      </c>
      <c r="J6040" t="s">
        <v>14231</v>
      </c>
      <c r="K6040" t="s">
        <v>18592</v>
      </c>
      <c r="L6040">
        <f>HYPERLINK("https://www2.assemblee-nationale.fr/sycomore/fiche/(num_dept)/2011", "2011")</f>
        <v>0</v>
      </c>
      <c r="N6040">
        <f>HYPERLINK("https://www.wikidata.org/wiki/Q16025492", "Q16025492")</f>
        <v>0</v>
      </c>
      <c r="O6040" t="s">
        <v>19980</v>
      </c>
      <c r="Q6040" t="s">
        <v>20787</v>
      </c>
      <c r="R6040" t="s">
        <v>418</v>
      </c>
      <c r="S6040">
        <v>1745</v>
      </c>
    </row>
    <row r="6041" spans="1:19">
      <c r="A6041" t="s">
        <v>28</v>
      </c>
      <c r="B6041" t="s">
        <v>148</v>
      </c>
      <c r="C6041" t="s">
        <v>160</v>
      </c>
      <c r="D6041" t="s">
        <v>289</v>
      </c>
      <c r="E6041" t="s">
        <v>418</v>
      </c>
      <c r="F6041">
        <f>HYPERLINK("https://www.wikidata.org/wiki/Q33755445", "Q33755445")</f>
        <v>0</v>
      </c>
      <c r="G6041" t="s">
        <v>3692</v>
      </c>
      <c r="H6041" t="s">
        <v>8014</v>
      </c>
      <c r="I6041" t="s">
        <v>10939</v>
      </c>
      <c r="J6041" t="s">
        <v>14267</v>
      </c>
      <c r="K6041" t="s">
        <v>17794</v>
      </c>
      <c r="L6041">
        <f>HYPERLINK("https://www2.assemblee-nationale.fr/sycomore/fiche/(num_dept)/2085", "2085")</f>
        <v>0</v>
      </c>
      <c r="N6041">
        <f>HYPERLINK("https://www.wikidata.org/wiki/Q16025507", "Q16025507")</f>
        <v>0</v>
      </c>
      <c r="O6041" t="s">
        <v>20015</v>
      </c>
      <c r="P6041" t="s">
        <v>20473</v>
      </c>
      <c r="Q6041" t="s">
        <v>20787</v>
      </c>
      <c r="R6041" t="s">
        <v>17794</v>
      </c>
      <c r="S6041">
        <v>1212</v>
      </c>
    </row>
    <row r="6042" spans="1:19">
      <c r="A6042" t="s">
        <v>28</v>
      </c>
      <c r="B6042" t="s">
        <v>148</v>
      </c>
      <c r="C6042" t="s">
        <v>160</v>
      </c>
      <c r="D6042" t="s">
        <v>289</v>
      </c>
      <c r="E6042" t="s">
        <v>418</v>
      </c>
      <c r="F6042">
        <f>HYPERLINK("https://www.wikidata.org/wiki/Q33755445", "Q33755445")</f>
        <v>0</v>
      </c>
      <c r="G6042" t="s">
        <v>3421</v>
      </c>
      <c r="H6042" t="s">
        <v>7804</v>
      </c>
      <c r="I6042" t="s">
        <v>9474</v>
      </c>
      <c r="J6042" t="s">
        <v>14026</v>
      </c>
      <c r="K6042" t="s">
        <v>18395</v>
      </c>
      <c r="L6042">
        <f>HYPERLINK("https://www2.assemblee-nationale.fr/sycomore/fiche/(num_dept)/2134", "2134")</f>
        <v>0</v>
      </c>
      <c r="N6042">
        <f>HYPERLINK("https://www.wikidata.org/wiki/Q3163997", "Q3163997")</f>
        <v>0</v>
      </c>
      <c r="O6042" t="s">
        <v>20043</v>
      </c>
      <c r="Q6042" t="s">
        <v>20787</v>
      </c>
      <c r="R6042" t="s">
        <v>418</v>
      </c>
      <c r="S6042">
        <v>1745</v>
      </c>
    </row>
    <row r="6043" spans="1:19">
      <c r="A6043" t="s">
        <v>28</v>
      </c>
      <c r="B6043" t="s">
        <v>148</v>
      </c>
      <c r="C6043" t="s">
        <v>160</v>
      </c>
      <c r="D6043" t="s">
        <v>289</v>
      </c>
      <c r="E6043" t="s">
        <v>418</v>
      </c>
      <c r="F6043">
        <f>HYPERLINK("https://www.wikidata.org/wiki/Q33755445", "Q33755445")</f>
        <v>0</v>
      </c>
      <c r="G6043" t="s">
        <v>3422</v>
      </c>
      <c r="H6043" t="s">
        <v>5361</v>
      </c>
      <c r="I6043" t="s">
        <v>10822</v>
      </c>
      <c r="J6043" t="s">
        <v>14027</v>
      </c>
      <c r="K6043" t="s">
        <v>17732</v>
      </c>
      <c r="L6043">
        <f>HYPERLINK("https://www2.assemblee-nationale.fr/sycomore/fiche/(num_dept)/2169", "2169")</f>
        <v>0</v>
      </c>
      <c r="N6043">
        <f>HYPERLINK("https://www.wikidata.org/wiki/Q16025522", "Q16025522")</f>
        <v>0</v>
      </c>
      <c r="O6043" t="s">
        <v>19975</v>
      </c>
      <c r="P6043" t="s">
        <v>20401</v>
      </c>
      <c r="Q6043" t="s">
        <v>20787</v>
      </c>
      <c r="R6043" t="s">
        <v>418</v>
      </c>
      <c r="S6043">
        <v>1745</v>
      </c>
    </row>
    <row r="6044" spans="1:19">
      <c r="A6044" t="s">
        <v>28</v>
      </c>
      <c r="B6044" t="s">
        <v>148</v>
      </c>
      <c r="C6044" t="s">
        <v>160</v>
      </c>
      <c r="D6044" t="s">
        <v>289</v>
      </c>
      <c r="E6044" t="s">
        <v>418</v>
      </c>
      <c r="F6044">
        <f>HYPERLINK("https://www.wikidata.org/wiki/Q33755445", "Q33755445")</f>
        <v>0</v>
      </c>
      <c r="G6044" t="s">
        <v>602</v>
      </c>
      <c r="H6044" t="s">
        <v>5362</v>
      </c>
      <c r="I6044" t="s">
        <v>6158</v>
      </c>
      <c r="J6044" t="s">
        <v>11353</v>
      </c>
      <c r="K6044" t="s">
        <v>15754</v>
      </c>
      <c r="L6044">
        <f>HYPERLINK("https://www2.assemblee-nationale.fr/sycomore/fiche/(num_dept)/2217", "2217")</f>
        <v>0</v>
      </c>
      <c r="N6044">
        <f>HYPERLINK("https://www.wikidata.org/wiki/Q16025535", "Q16025535")</f>
        <v>0</v>
      </c>
      <c r="O6044" t="s">
        <v>20013</v>
      </c>
      <c r="Q6044" t="s">
        <v>20787</v>
      </c>
      <c r="R6044" t="s">
        <v>418</v>
      </c>
      <c r="S6044">
        <v>1745</v>
      </c>
    </row>
    <row r="6045" spans="1:19">
      <c r="A6045" t="s">
        <v>28</v>
      </c>
      <c r="B6045" t="s">
        <v>148</v>
      </c>
      <c r="C6045" t="s">
        <v>160</v>
      </c>
      <c r="D6045" t="s">
        <v>289</v>
      </c>
      <c r="E6045" t="s">
        <v>418</v>
      </c>
      <c r="F6045">
        <f>HYPERLINK("https://www.wikidata.org/wiki/Q33755445", "Q33755445")</f>
        <v>0</v>
      </c>
      <c r="G6045" t="s">
        <v>3693</v>
      </c>
      <c r="H6045" t="s">
        <v>8015</v>
      </c>
      <c r="I6045" t="s">
        <v>10940</v>
      </c>
      <c r="J6045" t="s">
        <v>14268</v>
      </c>
      <c r="K6045" t="s">
        <v>16493</v>
      </c>
      <c r="L6045">
        <f>HYPERLINK("https://www2.assemblee-nationale.fr/sycomore/fiche/(num_dept)/2224", "2224")</f>
        <v>0</v>
      </c>
      <c r="M6045">
        <f>HYPERLINK("https://www.senat.fr/senateur-3eme-republique/defumade_alphonse0619r3.html", "defumade_alphonse0619r3")</f>
        <v>0</v>
      </c>
      <c r="N6045">
        <f>HYPERLINK("https://www.wikidata.org/wiki/Q2839764", "Q2839764")</f>
        <v>0</v>
      </c>
      <c r="O6045" t="s">
        <v>19979</v>
      </c>
      <c r="P6045" t="s">
        <v>20471</v>
      </c>
      <c r="Q6045" t="s">
        <v>20787</v>
      </c>
      <c r="R6045" t="s">
        <v>418</v>
      </c>
      <c r="S6045">
        <v>1745</v>
      </c>
    </row>
    <row r="6046" spans="1:19">
      <c r="A6046" t="s">
        <v>28</v>
      </c>
      <c r="B6046" t="s">
        <v>148</v>
      </c>
      <c r="C6046" t="s">
        <v>160</v>
      </c>
      <c r="D6046" t="s">
        <v>289</v>
      </c>
      <c r="E6046" t="s">
        <v>418</v>
      </c>
      <c r="F6046">
        <f>HYPERLINK("https://www.wikidata.org/wiki/Q33755445", "Q33755445")</f>
        <v>0</v>
      </c>
      <c r="G6046" t="s">
        <v>3694</v>
      </c>
      <c r="H6046" t="s">
        <v>8016</v>
      </c>
      <c r="I6046" t="s">
        <v>9516</v>
      </c>
      <c r="J6046" t="s">
        <v>14269</v>
      </c>
      <c r="K6046" t="s">
        <v>18628</v>
      </c>
      <c r="L6046">
        <f>HYPERLINK("https://www2.assemblee-nationale.fr/sycomore/fiche/(num_dept)/2238", "2238")</f>
        <v>0</v>
      </c>
      <c r="N6046">
        <f>HYPERLINK("https://www.wikidata.org/wiki/Q16025539", "Q16025539")</f>
        <v>0</v>
      </c>
      <c r="O6046" t="s">
        <v>19995</v>
      </c>
      <c r="P6046" t="s">
        <v>20479</v>
      </c>
      <c r="Q6046" t="s">
        <v>20787</v>
      </c>
      <c r="R6046" t="s">
        <v>418</v>
      </c>
      <c r="S6046">
        <v>1745</v>
      </c>
    </row>
    <row r="6047" spans="1:19">
      <c r="A6047" t="s">
        <v>28</v>
      </c>
      <c r="B6047" t="s">
        <v>148</v>
      </c>
      <c r="C6047" t="s">
        <v>160</v>
      </c>
      <c r="D6047" t="s">
        <v>289</v>
      </c>
      <c r="E6047" t="s">
        <v>418</v>
      </c>
      <c r="F6047">
        <f>HYPERLINK("https://www.wikidata.org/wiki/Q33755445", "Q33755445")</f>
        <v>0</v>
      </c>
      <c r="G6047" t="s">
        <v>605</v>
      </c>
      <c r="H6047" t="s">
        <v>5365</v>
      </c>
      <c r="I6047" t="s">
        <v>9449</v>
      </c>
      <c r="J6047" t="s">
        <v>11356</v>
      </c>
      <c r="K6047" t="s">
        <v>15757</v>
      </c>
      <c r="L6047">
        <f>HYPERLINK("https://www2.assemblee-nationale.fr/sycomore/fiche/(num_dept)/2249", "2249")</f>
        <v>0</v>
      </c>
      <c r="N6047">
        <f>HYPERLINK("https://www.wikidata.org/wiki/Q3188520", "Q3188520")</f>
        <v>0</v>
      </c>
      <c r="O6047" t="s">
        <v>20009</v>
      </c>
      <c r="Q6047" t="s">
        <v>20787</v>
      </c>
      <c r="R6047" t="s">
        <v>418</v>
      </c>
      <c r="S6047">
        <v>1745</v>
      </c>
    </row>
    <row r="6048" spans="1:19">
      <c r="A6048" t="s">
        <v>28</v>
      </c>
      <c r="B6048" t="s">
        <v>148</v>
      </c>
      <c r="C6048" t="s">
        <v>160</v>
      </c>
      <c r="D6048" t="s">
        <v>289</v>
      </c>
      <c r="E6048" t="s">
        <v>418</v>
      </c>
      <c r="F6048">
        <f>HYPERLINK("https://www.wikidata.org/wiki/Q33755445", "Q33755445")</f>
        <v>0</v>
      </c>
      <c r="G6048" t="s">
        <v>3695</v>
      </c>
      <c r="H6048" t="s">
        <v>8017</v>
      </c>
      <c r="I6048" t="s">
        <v>9391</v>
      </c>
      <c r="J6048" t="s">
        <v>14270</v>
      </c>
      <c r="K6048" t="s">
        <v>18629</v>
      </c>
      <c r="L6048">
        <f>HYPERLINK("https://www2.assemblee-nationale.fr/sycomore/fiche/(num_dept)/2259", "2259")</f>
        <v>0</v>
      </c>
      <c r="N6048">
        <f>HYPERLINK("https://www.wikidata.org/wiki/Q16025543", "Q16025543")</f>
        <v>0</v>
      </c>
      <c r="O6048" t="s">
        <v>20002</v>
      </c>
      <c r="P6048" t="s">
        <v>20471</v>
      </c>
      <c r="Q6048" t="s">
        <v>20787</v>
      </c>
      <c r="R6048" t="s">
        <v>418</v>
      </c>
      <c r="S6048">
        <v>1745</v>
      </c>
    </row>
    <row r="6049" spans="1:19">
      <c r="A6049" t="s">
        <v>28</v>
      </c>
      <c r="B6049" t="s">
        <v>148</v>
      </c>
      <c r="C6049" t="s">
        <v>160</v>
      </c>
      <c r="D6049" t="s">
        <v>289</v>
      </c>
      <c r="E6049" t="s">
        <v>418</v>
      </c>
      <c r="F6049">
        <f>HYPERLINK("https://www.wikidata.org/wiki/Q33755445", "Q33755445")</f>
        <v>0</v>
      </c>
      <c r="G6049" t="s">
        <v>607</v>
      </c>
      <c r="H6049" t="s">
        <v>5367</v>
      </c>
      <c r="I6049" t="s">
        <v>9450</v>
      </c>
      <c r="J6049" t="s">
        <v>11358</v>
      </c>
      <c r="K6049" t="s">
        <v>15759</v>
      </c>
      <c r="L6049">
        <f>HYPERLINK("https://www2.assemblee-nationale.fr/sycomore/fiche/(num_dept)/2261", "2261")</f>
        <v>0</v>
      </c>
      <c r="N6049">
        <f>HYPERLINK("https://www.wikidata.org/wiki/Q8323934", "Q8323934")</f>
        <v>0</v>
      </c>
      <c r="O6049" t="s">
        <v>8449</v>
      </c>
      <c r="Q6049" t="s">
        <v>20787</v>
      </c>
      <c r="R6049" t="s">
        <v>418</v>
      </c>
      <c r="S6049">
        <v>1745</v>
      </c>
    </row>
    <row r="6050" spans="1:19">
      <c r="A6050" t="s">
        <v>28</v>
      </c>
      <c r="B6050" t="s">
        <v>148</v>
      </c>
      <c r="C6050" t="s">
        <v>160</v>
      </c>
      <c r="D6050" t="s">
        <v>289</v>
      </c>
      <c r="E6050" t="s">
        <v>418</v>
      </c>
      <c r="F6050">
        <f>HYPERLINK("https://www.wikidata.org/wiki/Q33755445", "Q33755445")</f>
        <v>0</v>
      </c>
      <c r="G6050" t="s">
        <v>608</v>
      </c>
      <c r="H6050" t="s">
        <v>5368</v>
      </c>
      <c r="I6050" t="s">
        <v>9451</v>
      </c>
      <c r="J6050" t="s">
        <v>11359</v>
      </c>
      <c r="K6050" t="s">
        <v>15760</v>
      </c>
      <c r="L6050">
        <f>HYPERLINK("https://www2.assemblee-nationale.fr/sycomore/fiche/(num_dept)/2283", "2283")</f>
        <v>0</v>
      </c>
      <c r="N6050">
        <f>HYPERLINK("https://www.wikidata.org/wiki/Q503827", "Q503827")</f>
        <v>0</v>
      </c>
      <c r="O6050" t="s">
        <v>20019</v>
      </c>
      <c r="P6050" t="s">
        <v>20401</v>
      </c>
      <c r="Q6050" t="s">
        <v>20787</v>
      </c>
      <c r="R6050" t="s">
        <v>418</v>
      </c>
      <c r="S6050">
        <v>1745</v>
      </c>
    </row>
    <row r="6051" spans="1:19">
      <c r="A6051" t="s">
        <v>28</v>
      </c>
      <c r="B6051" t="s">
        <v>148</v>
      </c>
      <c r="C6051" t="s">
        <v>160</v>
      </c>
      <c r="D6051" t="s">
        <v>289</v>
      </c>
      <c r="E6051" t="s">
        <v>418</v>
      </c>
      <c r="F6051">
        <f>HYPERLINK("https://www.wikidata.org/wiki/Q33755445", "Q33755445")</f>
        <v>0</v>
      </c>
      <c r="G6051" t="s">
        <v>3242</v>
      </c>
      <c r="H6051" t="s">
        <v>7666</v>
      </c>
      <c r="I6051" t="s">
        <v>10727</v>
      </c>
      <c r="J6051" t="s">
        <v>13860</v>
      </c>
      <c r="K6051" t="s">
        <v>16223</v>
      </c>
      <c r="L6051">
        <f>HYPERLINK("https://www2.assemblee-nationale.fr/sycomore/fiche/(num_dept)/2309", "2309")</f>
        <v>0</v>
      </c>
      <c r="M6051">
        <f>HYPERLINK("https://www.senat.fr/senateur-3eme-republique/dellestable_antoine0462r3.html", "dellestable_antoine0462r3")</f>
        <v>0</v>
      </c>
      <c r="N6051">
        <f>HYPERLINK("https://www.wikidata.org/wiki/Q2853848", "Q2853848")</f>
        <v>0</v>
      </c>
      <c r="O6051" t="s">
        <v>20020</v>
      </c>
      <c r="P6051" t="s">
        <v>20401</v>
      </c>
      <c r="Q6051" t="s">
        <v>20787</v>
      </c>
      <c r="R6051" t="s">
        <v>21544</v>
      </c>
      <c r="S6051">
        <v>148</v>
      </c>
    </row>
    <row r="6052" spans="1:19">
      <c r="A6052" t="s">
        <v>28</v>
      </c>
      <c r="B6052" t="s">
        <v>148</v>
      </c>
      <c r="C6052" t="s">
        <v>160</v>
      </c>
      <c r="D6052" t="s">
        <v>289</v>
      </c>
      <c r="E6052" t="s">
        <v>418</v>
      </c>
      <c r="F6052">
        <f>HYPERLINK("https://www.wikidata.org/wiki/Q33755445", "Q33755445")</f>
        <v>0</v>
      </c>
      <c r="G6052" t="s">
        <v>1121</v>
      </c>
      <c r="H6052" t="s">
        <v>5681</v>
      </c>
      <c r="I6052" t="s">
        <v>6166</v>
      </c>
      <c r="J6052" t="s">
        <v>11855</v>
      </c>
      <c r="K6052" t="s">
        <v>16257</v>
      </c>
      <c r="L6052">
        <f>HYPERLINK("https://www2.assemblee-nationale.fr/sycomore/fiche/(num_dept)/2328", "2328")</f>
        <v>0</v>
      </c>
      <c r="N6052">
        <f>HYPERLINK("https://www.wikidata.org/wiki/Q3084405", "Q3084405")</f>
        <v>0</v>
      </c>
      <c r="O6052" t="s">
        <v>20033</v>
      </c>
      <c r="P6052" t="s">
        <v>20402</v>
      </c>
      <c r="Q6052" t="s">
        <v>20787</v>
      </c>
      <c r="R6052" t="s">
        <v>418</v>
      </c>
      <c r="S6052">
        <v>1745</v>
      </c>
    </row>
    <row r="6053" spans="1:19">
      <c r="A6053" t="s">
        <v>28</v>
      </c>
      <c r="B6053" t="s">
        <v>148</v>
      </c>
      <c r="C6053" t="s">
        <v>160</v>
      </c>
      <c r="D6053" t="s">
        <v>289</v>
      </c>
      <c r="E6053" t="s">
        <v>418</v>
      </c>
      <c r="F6053">
        <f>HYPERLINK("https://www.wikidata.org/wiki/Q33755445", "Q33755445")</f>
        <v>0</v>
      </c>
      <c r="G6053" t="s">
        <v>3625</v>
      </c>
      <c r="H6053" t="s">
        <v>7963</v>
      </c>
      <c r="I6053" t="s">
        <v>9375</v>
      </c>
      <c r="J6053" t="s">
        <v>14206</v>
      </c>
      <c r="K6053" t="s">
        <v>18572</v>
      </c>
      <c r="L6053">
        <f>HYPERLINK("https://www2.assemblee-nationale.fr/sycomore/fiche/(num_dept)/2341", "2341")</f>
        <v>0</v>
      </c>
      <c r="N6053">
        <f>HYPERLINK("https://www.wikidata.org/wiki/Q3164012", "Q3164012")</f>
        <v>0</v>
      </c>
      <c r="O6053" t="s">
        <v>20020</v>
      </c>
      <c r="P6053" t="s">
        <v>20493</v>
      </c>
      <c r="Q6053" t="s">
        <v>20787</v>
      </c>
      <c r="R6053" t="s">
        <v>418</v>
      </c>
      <c r="S6053">
        <v>1745</v>
      </c>
    </row>
    <row r="6054" spans="1:19">
      <c r="A6054" t="s">
        <v>28</v>
      </c>
      <c r="B6054" t="s">
        <v>148</v>
      </c>
      <c r="C6054" t="s">
        <v>160</v>
      </c>
      <c r="D6054" t="s">
        <v>289</v>
      </c>
      <c r="E6054" t="s">
        <v>418</v>
      </c>
      <c r="F6054">
        <f>HYPERLINK("https://www.wikidata.org/wiki/Q33755445", "Q33755445")</f>
        <v>0</v>
      </c>
      <c r="G6054" t="s">
        <v>3696</v>
      </c>
      <c r="H6054" t="s">
        <v>8018</v>
      </c>
      <c r="I6054" t="s">
        <v>9667</v>
      </c>
      <c r="J6054" t="s">
        <v>14271</v>
      </c>
      <c r="K6054" t="s">
        <v>18630</v>
      </c>
      <c r="L6054">
        <f>HYPERLINK("https://www2.assemblee-nationale.fr/sycomore/fiche/(num_dept)/2357", "2357")</f>
        <v>0</v>
      </c>
      <c r="N6054">
        <f>HYPERLINK("https://www.wikidata.org/wiki/Q3271580", "Q3271580")</f>
        <v>0</v>
      </c>
      <c r="O6054" t="s">
        <v>19998</v>
      </c>
      <c r="Q6054" t="s">
        <v>20787</v>
      </c>
      <c r="R6054" t="s">
        <v>21549</v>
      </c>
      <c r="S6054">
        <v>24</v>
      </c>
    </row>
    <row r="6055" spans="1:19">
      <c r="A6055" t="s">
        <v>28</v>
      </c>
      <c r="B6055" t="s">
        <v>148</v>
      </c>
      <c r="C6055" t="s">
        <v>160</v>
      </c>
      <c r="D6055" t="s">
        <v>289</v>
      </c>
      <c r="E6055" t="s">
        <v>418</v>
      </c>
      <c r="F6055">
        <f>HYPERLINK("https://www.wikidata.org/wiki/Q33755445", "Q33755445")</f>
        <v>0</v>
      </c>
      <c r="G6055" t="s">
        <v>2550</v>
      </c>
      <c r="H6055" t="s">
        <v>7109</v>
      </c>
      <c r="I6055" t="s">
        <v>10282</v>
      </c>
      <c r="J6055" t="s">
        <v>13194</v>
      </c>
      <c r="K6055" t="s">
        <v>17599</v>
      </c>
      <c r="L6055">
        <f>HYPERLINK("https://www2.assemblee-nationale.fr/sycomore/fiche/(num_dept)/2359", "2359")</f>
        <v>0</v>
      </c>
      <c r="M6055">
        <f>HYPERLINK("https://www.senat.fr/senateur-3eme-republique/demarcay_maurice1771r3.html", "demarcay_maurice1771r3")</f>
        <v>0</v>
      </c>
      <c r="N6055">
        <f>HYPERLINK("https://www.wikidata.org/wiki/Q3300667", "Q3300667")</f>
        <v>0</v>
      </c>
      <c r="O6055" t="s">
        <v>19982</v>
      </c>
      <c r="Q6055" t="s">
        <v>20787</v>
      </c>
      <c r="R6055" t="s">
        <v>418</v>
      </c>
      <c r="S6055">
        <v>1745</v>
      </c>
    </row>
    <row r="6056" spans="1:19">
      <c r="A6056" t="s">
        <v>28</v>
      </c>
      <c r="B6056" t="s">
        <v>148</v>
      </c>
      <c r="C6056" t="s">
        <v>160</v>
      </c>
      <c r="D6056" t="s">
        <v>289</v>
      </c>
      <c r="E6056" t="s">
        <v>418</v>
      </c>
      <c r="F6056">
        <f>HYPERLINK("https://www.wikidata.org/wiki/Q33755445", "Q33755445")</f>
        <v>0</v>
      </c>
      <c r="G6056" t="s">
        <v>3673</v>
      </c>
      <c r="H6056" t="s">
        <v>8000</v>
      </c>
      <c r="I6056" t="s">
        <v>7642</v>
      </c>
      <c r="J6056" t="s">
        <v>14252</v>
      </c>
      <c r="K6056" t="s">
        <v>18611</v>
      </c>
      <c r="L6056">
        <f>HYPERLINK("https://www2.assemblee-nationale.fr/sycomore/fiche/(num_dept)/2367", "2367")</f>
        <v>0</v>
      </c>
      <c r="N6056">
        <f>HYPERLINK("https://www.wikidata.org/wiki/Q8334443", "Q8334443")</f>
        <v>0</v>
      </c>
      <c r="O6056" t="s">
        <v>20015</v>
      </c>
      <c r="P6056" t="s">
        <v>20471</v>
      </c>
      <c r="Q6056" t="s">
        <v>20787</v>
      </c>
      <c r="R6056" t="s">
        <v>418</v>
      </c>
      <c r="S6056">
        <v>1745</v>
      </c>
    </row>
    <row r="6057" spans="1:19">
      <c r="A6057" t="s">
        <v>28</v>
      </c>
      <c r="B6057" t="s">
        <v>148</v>
      </c>
      <c r="C6057" t="s">
        <v>160</v>
      </c>
      <c r="D6057" t="s">
        <v>289</v>
      </c>
      <c r="E6057" t="s">
        <v>418</v>
      </c>
      <c r="F6057">
        <f>HYPERLINK("https://www.wikidata.org/wiki/Q33755445", "Q33755445")</f>
        <v>0</v>
      </c>
      <c r="G6057" t="s">
        <v>3697</v>
      </c>
      <c r="H6057" t="s">
        <v>5834</v>
      </c>
      <c r="I6057" t="s">
        <v>9533</v>
      </c>
      <c r="J6057" t="s">
        <v>14272</v>
      </c>
      <c r="K6057" t="s">
        <v>18631</v>
      </c>
      <c r="L6057">
        <f>HYPERLINK("https://www2.assemblee-nationale.fr/sycomore/fiche/(num_dept)/2382", "2382")</f>
        <v>0</v>
      </c>
      <c r="N6057">
        <f>HYPERLINK("https://www.wikidata.org/wiki/Q3526409", "Q3526409")</f>
        <v>0</v>
      </c>
      <c r="O6057" t="s">
        <v>19995</v>
      </c>
      <c r="P6057" t="s">
        <v>20471</v>
      </c>
      <c r="Q6057" t="s">
        <v>20787</v>
      </c>
      <c r="R6057" t="s">
        <v>418</v>
      </c>
      <c r="S6057">
        <v>1745</v>
      </c>
    </row>
    <row r="6058" spans="1:19">
      <c r="A6058" t="s">
        <v>28</v>
      </c>
      <c r="B6058" t="s">
        <v>148</v>
      </c>
      <c r="C6058" t="s">
        <v>160</v>
      </c>
      <c r="D6058" t="s">
        <v>289</v>
      </c>
      <c r="E6058" t="s">
        <v>418</v>
      </c>
      <c r="F6058">
        <f>HYPERLINK("https://www.wikidata.org/wiki/Q33755445", "Q33755445")</f>
        <v>0</v>
      </c>
      <c r="G6058" t="s">
        <v>3648</v>
      </c>
      <c r="H6058" t="s">
        <v>7979</v>
      </c>
      <c r="I6058" t="s">
        <v>10918</v>
      </c>
      <c r="J6058" t="s">
        <v>14228</v>
      </c>
      <c r="K6058" t="s">
        <v>18590</v>
      </c>
      <c r="L6058">
        <f>HYPERLINK("https://www2.assemblee-nationale.fr/sycomore/fiche/(num_dept)/2386", "2386")</f>
        <v>0</v>
      </c>
      <c r="M6058">
        <f>HYPERLINK("https://www.senat.fr/senateur-3eme-republique/denoix_arnaud0671r3.html", "denoix_arnaud0671r3")</f>
        <v>0</v>
      </c>
      <c r="N6058">
        <f>HYPERLINK("https://www.wikidata.org/wiki/Q2863097", "Q2863097")</f>
        <v>0</v>
      </c>
      <c r="O6058" t="s">
        <v>20010</v>
      </c>
      <c r="P6058" t="s">
        <v>20479</v>
      </c>
      <c r="Q6058" t="s">
        <v>20787</v>
      </c>
      <c r="R6058" t="s">
        <v>17557</v>
      </c>
      <c r="S6058">
        <v>982</v>
      </c>
    </row>
    <row r="6059" spans="1:19">
      <c r="A6059" t="s">
        <v>28</v>
      </c>
      <c r="B6059" t="s">
        <v>148</v>
      </c>
      <c r="C6059" t="s">
        <v>160</v>
      </c>
      <c r="D6059" t="s">
        <v>289</v>
      </c>
      <c r="E6059" t="s">
        <v>418</v>
      </c>
      <c r="F6059">
        <f>HYPERLINK("https://www.wikidata.org/wiki/Q33755445", "Q33755445")</f>
        <v>0</v>
      </c>
      <c r="G6059" t="s">
        <v>929</v>
      </c>
      <c r="H6059" t="s">
        <v>5685</v>
      </c>
      <c r="I6059" t="s">
        <v>9465</v>
      </c>
      <c r="J6059" t="s">
        <v>11671</v>
      </c>
      <c r="K6059" t="s">
        <v>16072</v>
      </c>
      <c r="L6059">
        <f>HYPERLINK("https://www2.assemblee-nationale.fr/sycomore/fiche/(num_dept)/2411", "2411")</f>
        <v>0</v>
      </c>
      <c r="N6059">
        <f>HYPERLINK("https://www.wikidata.org/wiki/Q16025569", "Q16025569")</f>
        <v>0</v>
      </c>
      <c r="O6059" t="s">
        <v>20026</v>
      </c>
      <c r="Q6059" t="s">
        <v>20787</v>
      </c>
      <c r="R6059" t="s">
        <v>418</v>
      </c>
      <c r="S6059">
        <v>1745</v>
      </c>
    </row>
    <row r="6060" spans="1:19">
      <c r="A6060" t="s">
        <v>28</v>
      </c>
      <c r="B6060" t="s">
        <v>148</v>
      </c>
      <c r="C6060" t="s">
        <v>160</v>
      </c>
      <c r="D6060" t="s">
        <v>289</v>
      </c>
      <c r="E6060" t="s">
        <v>418</v>
      </c>
      <c r="F6060">
        <f>HYPERLINK("https://www.wikidata.org/wiki/Q33755445", "Q33755445")</f>
        <v>0</v>
      </c>
      <c r="G6060" t="s">
        <v>613</v>
      </c>
      <c r="H6060" t="s">
        <v>5373</v>
      </c>
      <c r="I6060" t="s">
        <v>9388</v>
      </c>
      <c r="J6060" t="s">
        <v>11364</v>
      </c>
      <c r="K6060" t="s">
        <v>15765</v>
      </c>
      <c r="L6060">
        <f>HYPERLINK("https://www2.assemblee-nationale.fr/sycomore/fiche/(num_dept)/2425", "2425")</f>
        <v>0</v>
      </c>
      <c r="M6060">
        <f>HYPERLINK("https://www.senat.fr/senateur-3eme-republique/deschanel_paul0768r3.html", "deschanel_paul0768r3")</f>
        <v>0</v>
      </c>
      <c r="N6060">
        <f>HYPERLINK("https://www.wikidata.org/wiki/Q309995", "Q309995")</f>
        <v>0</v>
      </c>
      <c r="O6060" t="s">
        <v>19971</v>
      </c>
      <c r="Q6060" t="s">
        <v>20787</v>
      </c>
      <c r="R6060" t="s">
        <v>418</v>
      </c>
      <c r="S6060">
        <v>1745</v>
      </c>
    </row>
    <row r="6061" spans="1:19">
      <c r="A6061" t="s">
        <v>28</v>
      </c>
      <c r="B6061" t="s">
        <v>148</v>
      </c>
      <c r="C6061" t="s">
        <v>160</v>
      </c>
      <c r="D6061" t="s">
        <v>289</v>
      </c>
      <c r="E6061" t="s">
        <v>418</v>
      </c>
      <c r="F6061">
        <f>HYPERLINK("https://www.wikidata.org/wiki/Q33755445", "Q33755445")</f>
        <v>0</v>
      </c>
      <c r="G6061" t="s">
        <v>3698</v>
      </c>
      <c r="H6061" t="s">
        <v>8019</v>
      </c>
      <c r="I6061" t="s">
        <v>10056</v>
      </c>
      <c r="J6061" t="s">
        <v>14273</v>
      </c>
      <c r="K6061" t="s">
        <v>18632</v>
      </c>
      <c r="L6061">
        <f>HYPERLINK("https://www2.assemblee-nationale.fr/sycomore/fiche/(num_dept)/2432", "2432")</f>
        <v>0</v>
      </c>
      <c r="N6061">
        <f>HYPERLINK("https://www.wikidata.org/wiki/Q16025576", "Q16025576")</f>
        <v>0</v>
      </c>
      <c r="O6061" t="s">
        <v>19978</v>
      </c>
      <c r="P6061" t="s">
        <v>20493</v>
      </c>
      <c r="Q6061" t="s">
        <v>20787</v>
      </c>
      <c r="R6061" t="s">
        <v>18632</v>
      </c>
      <c r="S6061">
        <v>16</v>
      </c>
    </row>
    <row r="6062" spans="1:19">
      <c r="A6062" t="s">
        <v>28</v>
      </c>
      <c r="B6062" t="s">
        <v>148</v>
      </c>
      <c r="C6062" t="s">
        <v>160</v>
      </c>
      <c r="D6062" t="s">
        <v>289</v>
      </c>
      <c r="E6062" t="s">
        <v>418</v>
      </c>
      <c r="F6062">
        <f>HYPERLINK("https://www.wikidata.org/wiki/Q33755445", "Q33755445")</f>
        <v>0</v>
      </c>
      <c r="G6062" t="s">
        <v>3699</v>
      </c>
      <c r="H6062" t="s">
        <v>5973</v>
      </c>
      <c r="I6062" t="s">
        <v>9507</v>
      </c>
      <c r="J6062" t="s">
        <v>14274</v>
      </c>
      <c r="K6062" t="s">
        <v>18633</v>
      </c>
      <c r="L6062">
        <f>HYPERLINK("https://www2.assemblee-nationale.fr/sycomore/fiche/(num_dept)/2439", "2439")</f>
        <v>0</v>
      </c>
      <c r="N6062">
        <f>HYPERLINK("https://www.wikidata.org/wiki/Q3407773", "Q3407773")</f>
        <v>0</v>
      </c>
      <c r="O6062" t="s">
        <v>19972</v>
      </c>
      <c r="Q6062" t="s">
        <v>20787</v>
      </c>
      <c r="R6062" t="s">
        <v>418</v>
      </c>
      <c r="S6062">
        <v>1745</v>
      </c>
    </row>
    <row r="6063" spans="1:19">
      <c r="A6063" t="s">
        <v>28</v>
      </c>
      <c r="B6063" t="s">
        <v>148</v>
      </c>
      <c r="C6063" t="s">
        <v>160</v>
      </c>
      <c r="D6063" t="s">
        <v>289</v>
      </c>
      <c r="E6063" t="s">
        <v>418</v>
      </c>
      <c r="F6063">
        <f>HYPERLINK("https://www.wikidata.org/wiki/Q33755445", "Q33755445")</f>
        <v>0</v>
      </c>
      <c r="G6063" t="s">
        <v>930</v>
      </c>
      <c r="H6063" t="s">
        <v>5686</v>
      </c>
      <c r="I6063" t="s">
        <v>9449</v>
      </c>
      <c r="J6063" t="s">
        <v>11672</v>
      </c>
      <c r="K6063" t="s">
        <v>371</v>
      </c>
      <c r="L6063">
        <f>HYPERLINK("https://www2.assemblee-nationale.fr/sycomore/fiche/(num_dept)/2443", "2443")</f>
        <v>0</v>
      </c>
      <c r="N6063">
        <f>HYPERLINK("https://www.wikidata.org/wiki/Q3188533", "Q3188533")</f>
        <v>0</v>
      </c>
      <c r="O6063" t="s">
        <v>20015</v>
      </c>
      <c r="Q6063" t="s">
        <v>20787</v>
      </c>
      <c r="R6063" t="s">
        <v>418</v>
      </c>
      <c r="S6063">
        <v>1745</v>
      </c>
    </row>
    <row r="6064" spans="1:19">
      <c r="A6064" t="s">
        <v>28</v>
      </c>
      <c r="B6064" t="s">
        <v>148</v>
      </c>
      <c r="C6064" t="s">
        <v>160</v>
      </c>
      <c r="D6064" t="s">
        <v>289</v>
      </c>
      <c r="E6064" t="s">
        <v>418</v>
      </c>
      <c r="F6064">
        <f>HYPERLINK("https://www.wikidata.org/wiki/Q33755445", "Q33755445")</f>
        <v>0</v>
      </c>
      <c r="G6064" t="s">
        <v>2950</v>
      </c>
      <c r="H6064" t="s">
        <v>7424</v>
      </c>
      <c r="I6064" t="s">
        <v>9612</v>
      </c>
      <c r="J6064" t="s">
        <v>13583</v>
      </c>
      <c r="K6064" t="s">
        <v>17968</v>
      </c>
      <c r="L6064">
        <f>HYPERLINK("https://www2.assemblee-nationale.fr/sycomore/fiche/(num_dept)/2445", "2445")</f>
        <v>0</v>
      </c>
      <c r="M6064">
        <f>HYPERLINK("https://www.senat.fr/senateur-3eme-republique/desmons_frederic0832r3.html", "desmons_frederic0832r3")</f>
        <v>0</v>
      </c>
      <c r="N6064">
        <f>HYPERLINK("https://www.wikidata.org/wiki/Q346783", "Q346783")</f>
        <v>0</v>
      </c>
      <c r="O6064" t="s">
        <v>20014</v>
      </c>
      <c r="Q6064" t="s">
        <v>20787</v>
      </c>
      <c r="R6064" t="s">
        <v>21544</v>
      </c>
      <c r="S6064">
        <v>148</v>
      </c>
    </row>
    <row r="6065" spans="1:19">
      <c r="A6065" t="s">
        <v>28</v>
      </c>
      <c r="B6065" t="s">
        <v>148</v>
      </c>
      <c r="C6065" t="s">
        <v>160</v>
      </c>
      <c r="D6065" t="s">
        <v>289</v>
      </c>
      <c r="E6065" t="s">
        <v>418</v>
      </c>
      <c r="F6065">
        <f>HYPERLINK("https://www.wikidata.org/wiki/Q33755445", "Q33755445")</f>
        <v>0</v>
      </c>
      <c r="G6065" t="s">
        <v>2554</v>
      </c>
      <c r="H6065" t="s">
        <v>7113</v>
      </c>
      <c r="I6065" t="s">
        <v>9449</v>
      </c>
      <c r="J6065" t="s">
        <v>13198</v>
      </c>
      <c r="K6065" t="s">
        <v>17603</v>
      </c>
      <c r="L6065">
        <f>HYPERLINK("https://www2.assemblee-nationale.fr/sycomore/fiche/(num_dept)/2474", "2474")</f>
        <v>0</v>
      </c>
      <c r="M6065">
        <f>HYPERLINK("https://www.senat.fr/senateur-3eme-republique/develle_jules1013r3.html", "develle_jules1013r3")</f>
        <v>0</v>
      </c>
      <c r="N6065">
        <f>HYPERLINK("https://www.wikidata.org/wiki/Q939193", "Q939193")</f>
        <v>0</v>
      </c>
      <c r="O6065" t="s">
        <v>20030</v>
      </c>
      <c r="P6065" t="s">
        <v>20459</v>
      </c>
      <c r="Q6065" t="s">
        <v>20787</v>
      </c>
      <c r="R6065" t="s">
        <v>418</v>
      </c>
      <c r="S6065">
        <v>1745</v>
      </c>
    </row>
    <row r="6066" spans="1:19">
      <c r="A6066" t="s">
        <v>28</v>
      </c>
      <c r="B6066" t="s">
        <v>148</v>
      </c>
      <c r="C6066" t="s">
        <v>160</v>
      </c>
      <c r="D6066" t="s">
        <v>289</v>
      </c>
      <c r="E6066" t="s">
        <v>418</v>
      </c>
      <c r="F6066">
        <f>HYPERLINK("https://www.wikidata.org/wiki/Q33755445", "Q33755445")</f>
        <v>0</v>
      </c>
      <c r="G6066" t="s">
        <v>3550</v>
      </c>
      <c r="H6066" t="s">
        <v>7908</v>
      </c>
      <c r="I6066" t="s">
        <v>10876</v>
      </c>
      <c r="J6066" t="s">
        <v>14141</v>
      </c>
      <c r="K6066" t="s">
        <v>18506</v>
      </c>
      <c r="L6066">
        <f>HYPERLINK("https://www2.assemblee-nationale.fr/sycomore/fiche/(num_dept)/2479", "2479")</f>
        <v>0</v>
      </c>
      <c r="N6066">
        <f>HYPERLINK("https://www.wikidata.org/wiki/Q8306562", "Q8306562")</f>
        <v>0</v>
      </c>
      <c r="O6066" t="s">
        <v>20015</v>
      </c>
      <c r="P6066" t="s">
        <v>20411</v>
      </c>
      <c r="Q6066" t="s">
        <v>20787</v>
      </c>
      <c r="R6066" t="s">
        <v>18506</v>
      </c>
      <c r="S6066">
        <v>870</v>
      </c>
    </row>
    <row r="6067" spans="1:19">
      <c r="A6067" t="s">
        <v>28</v>
      </c>
      <c r="B6067" t="s">
        <v>148</v>
      </c>
      <c r="C6067" t="s">
        <v>160</v>
      </c>
      <c r="D6067" t="s">
        <v>289</v>
      </c>
      <c r="E6067" t="s">
        <v>418</v>
      </c>
      <c r="F6067">
        <f>HYPERLINK("https://www.wikidata.org/wiki/Q33755445", "Q33755445")</f>
        <v>0</v>
      </c>
      <c r="G6067" t="s">
        <v>618</v>
      </c>
      <c r="H6067" t="s">
        <v>5378</v>
      </c>
      <c r="I6067" t="s">
        <v>9456</v>
      </c>
      <c r="J6067" t="s">
        <v>11368</v>
      </c>
      <c r="K6067" t="s">
        <v>15770</v>
      </c>
      <c r="L6067">
        <f>HYPERLINK("https://www2.assemblee-nationale.fr/sycomore/fiche/(num_dept)/2524", "2524")</f>
        <v>0</v>
      </c>
      <c r="N6067">
        <f>HYPERLINK("https://www.wikidata.org/wiki/Q16025600", "Q16025600")</f>
        <v>0</v>
      </c>
      <c r="O6067" t="s">
        <v>20021</v>
      </c>
      <c r="Q6067" t="s">
        <v>20787</v>
      </c>
      <c r="R6067" t="s">
        <v>418</v>
      </c>
      <c r="S6067">
        <v>1745</v>
      </c>
    </row>
    <row r="6068" spans="1:19">
      <c r="A6068" t="s">
        <v>28</v>
      </c>
      <c r="B6068" t="s">
        <v>148</v>
      </c>
      <c r="C6068" t="s">
        <v>160</v>
      </c>
      <c r="D6068" t="s">
        <v>289</v>
      </c>
      <c r="E6068" t="s">
        <v>418</v>
      </c>
      <c r="F6068">
        <f>HYPERLINK("https://www.wikidata.org/wiki/Q33755445", "Q33755445")</f>
        <v>0</v>
      </c>
      <c r="G6068" t="s">
        <v>3364</v>
      </c>
      <c r="H6068" t="s">
        <v>7761</v>
      </c>
      <c r="I6068" t="s">
        <v>9958</v>
      </c>
      <c r="J6068" t="s">
        <v>13976</v>
      </c>
      <c r="K6068" t="s">
        <v>18344</v>
      </c>
      <c r="L6068">
        <f>HYPERLINK("https://www2.assemblee-nationale.fr/sycomore/fiche/(num_dept)/2554", "2554")</f>
        <v>0</v>
      </c>
      <c r="N6068">
        <f>HYPERLINK("https://www.wikidata.org/wiki/Q16025605", "Q16025605")</f>
        <v>0</v>
      </c>
      <c r="O6068" t="s">
        <v>19997</v>
      </c>
      <c r="Q6068" t="s">
        <v>20787</v>
      </c>
      <c r="R6068" t="s">
        <v>418</v>
      </c>
      <c r="S6068">
        <v>1745</v>
      </c>
    </row>
    <row r="6069" spans="1:19">
      <c r="A6069" t="s">
        <v>28</v>
      </c>
      <c r="B6069" t="s">
        <v>148</v>
      </c>
      <c r="C6069" t="s">
        <v>160</v>
      </c>
      <c r="D6069" t="s">
        <v>289</v>
      </c>
      <c r="E6069" t="s">
        <v>418</v>
      </c>
      <c r="F6069">
        <f>HYPERLINK("https://www.wikidata.org/wiki/Q33755445", "Q33755445")</f>
        <v>0</v>
      </c>
      <c r="G6069" t="s">
        <v>3381</v>
      </c>
      <c r="H6069" t="s">
        <v>7773</v>
      </c>
      <c r="I6069" t="s">
        <v>9388</v>
      </c>
      <c r="J6069" t="s">
        <v>13991</v>
      </c>
      <c r="K6069" t="s">
        <v>18361</v>
      </c>
      <c r="L6069">
        <f>HYPERLINK("https://www2.assemblee-nationale.fr/sycomore/fiche/(num_dept)/2569", "2569")</f>
        <v>0</v>
      </c>
      <c r="M6069">
        <f>HYPERLINK("https://www.senat.fr/senateur-3eme-republique/doumer_paul0473r3.html", "doumer_paul0473r3")</f>
        <v>0</v>
      </c>
      <c r="N6069">
        <f>HYPERLINK("https://www.wikidata.org/wiki/Q12680", "Q12680")</f>
        <v>0</v>
      </c>
      <c r="O6069" t="s">
        <v>20034</v>
      </c>
      <c r="P6069" t="s">
        <v>20401</v>
      </c>
      <c r="Q6069" t="s">
        <v>20787</v>
      </c>
      <c r="R6069" t="s">
        <v>13049</v>
      </c>
      <c r="S6069">
        <v>1225</v>
      </c>
    </row>
    <row r="6070" spans="1:19">
      <c r="A6070" t="s">
        <v>28</v>
      </c>
      <c r="B6070" t="s">
        <v>148</v>
      </c>
      <c r="C6070" t="s">
        <v>160</v>
      </c>
      <c r="D6070" t="s">
        <v>289</v>
      </c>
      <c r="E6070" t="s">
        <v>418</v>
      </c>
      <c r="F6070">
        <f>HYPERLINK("https://www.wikidata.org/wiki/Q33755445", "Q33755445")</f>
        <v>0</v>
      </c>
      <c r="G6070" t="s">
        <v>2555</v>
      </c>
      <c r="H6070" t="s">
        <v>7114</v>
      </c>
      <c r="I6070" t="s">
        <v>10283</v>
      </c>
      <c r="J6070" t="s">
        <v>13199</v>
      </c>
      <c r="K6070" t="s">
        <v>12522</v>
      </c>
      <c r="L6070">
        <f>HYPERLINK("https://www2.assemblee-nationale.fr/sycomore/fiche/(num_dept)/2577", "2577")</f>
        <v>0</v>
      </c>
      <c r="N6070">
        <f>HYPERLINK("https://www.wikidata.org/wiki/Q5624188", "Q5624188")</f>
        <v>0</v>
      </c>
      <c r="O6070" t="s">
        <v>20012</v>
      </c>
      <c r="Q6070" t="s">
        <v>20787</v>
      </c>
      <c r="R6070" t="s">
        <v>12522</v>
      </c>
      <c r="S6070">
        <v>527</v>
      </c>
    </row>
    <row r="6071" spans="1:19">
      <c r="A6071" t="s">
        <v>28</v>
      </c>
      <c r="B6071" t="s">
        <v>148</v>
      </c>
      <c r="C6071" t="s">
        <v>160</v>
      </c>
      <c r="D6071" t="s">
        <v>289</v>
      </c>
      <c r="E6071" t="s">
        <v>418</v>
      </c>
      <c r="F6071">
        <f>HYPERLINK("https://www.wikidata.org/wiki/Q33755445", "Q33755445")</f>
        <v>0</v>
      </c>
      <c r="G6071" t="s">
        <v>2557</v>
      </c>
      <c r="H6071" t="s">
        <v>7116</v>
      </c>
      <c r="I6071" t="s">
        <v>10285</v>
      </c>
      <c r="J6071" t="s">
        <v>13201</v>
      </c>
      <c r="K6071" t="s">
        <v>17605</v>
      </c>
      <c r="L6071">
        <f>HYPERLINK("https://www2.assemblee-nationale.fr/sycomore/fiche/(num_dept)/2605", "2605")</f>
        <v>0</v>
      </c>
      <c r="N6071">
        <f>HYPERLINK("https://www.wikidata.org/wiki/Q2959275", "Q2959275")</f>
        <v>0</v>
      </c>
      <c r="O6071" t="s">
        <v>19961</v>
      </c>
      <c r="P6071" t="s">
        <v>20460</v>
      </c>
      <c r="Q6071" t="s">
        <v>20787</v>
      </c>
      <c r="R6071" t="s">
        <v>17605</v>
      </c>
      <c r="S6071">
        <v>1549</v>
      </c>
    </row>
    <row r="6072" spans="1:19">
      <c r="A6072" t="s">
        <v>28</v>
      </c>
      <c r="B6072" t="s">
        <v>148</v>
      </c>
      <c r="C6072" t="s">
        <v>160</v>
      </c>
      <c r="D6072" t="s">
        <v>289</v>
      </c>
      <c r="E6072" t="s">
        <v>418</v>
      </c>
      <c r="F6072">
        <f>HYPERLINK("https://www.wikidata.org/wiki/Q33755445", "Q33755445")</f>
        <v>0</v>
      </c>
      <c r="G6072" t="s">
        <v>1165</v>
      </c>
      <c r="H6072" t="s">
        <v>5897</v>
      </c>
      <c r="I6072" t="s">
        <v>9446</v>
      </c>
      <c r="J6072" t="s">
        <v>11898</v>
      </c>
      <c r="K6072" t="s">
        <v>16300</v>
      </c>
      <c r="L6072">
        <f>HYPERLINK("https://www2.assemblee-nationale.fr/sycomore/fiche/(num_dept)/2610", "2610")</f>
        <v>0</v>
      </c>
      <c r="N6072">
        <f>HYPERLINK("https://www.wikidata.org/wiki/Q2646670", "Q2646670")</f>
        <v>0</v>
      </c>
      <c r="O6072" t="s">
        <v>19994</v>
      </c>
      <c r="P6072" t="s">
        <v>20477</v>
      </c>
      <c r="Q6072" t="s">
        <v>20787</v>
      </c>
      <c r="R6072" t="s">
        <v>418</v>
      </c>
      <c r="S6072">
        <v>1745</v>
      </c>
    </row>
    <row r="6073" spans="1:19">
      <c r="A6073" t="s">
        <v>28</v>
      </c>
      <c r="B6073" t="s">
        <v>148</v>
      </c>
      <c r="C6073" t="s">
        <v>160</v>
      </c>
      <c r="D6073" t="s">
        <v>289</v>
      </c>
      <c r="E6073" t="s">
        <v>418</v>
      </c>
      <c r="F6073">
        <f>HYPERLINK("https://www.wikidata.org/wiki/Q33755445", "Q33755445")</f>
        <v>0</v>
      </c>
      <c r="G6073" t="s">
        <v>3429</v>
      </c>
      <c r="H6073" t="s">
        <v>5695</v>
      </c>
      <c r="I6073" t="s">
        <v>10825</v>
      </c>
      <c r="J6073" t="s">
        <v>14034</v>
      </c>
      <c r="K6073" t="s">
        <v>17695</v>
      </c>
      <c r="L6073">
        <f>HYPERLINK("https://www2.assemblee-nationale.fr/sycomore/fiche/(num_dept)/2619", "2619")</f>
        <v>0</v>
      </c>
      <c r="N6073">
        <f>HYPERLINK("https://www.wikidata.org/wiki/Q3588468", "Q3588468")</f>
        <v>0</v>
      </c>
      <c r="O6073" t="s">
        <v>20013</v>
      </c>
      <c r="Q6073" t="s">
        <v>20787</v>
      </c>
      <c r="R6073" t="s">
        <v>21550</v>
      </c>
      <c r="S6073">
        <v>1245</v>
      </c>
    </row>
    <row r="6074" spans="1:19">
      <c r="A6074" t="s">
        <v>28</v>
      </c>
      <c r="B6074" t="s">
        <v>148</v>
      </c>
      <c r="C6074" t="s">
        <v>160</v>
      </c>
      <c r="D6074" t="s">
        <v>289</v>
      </c>
      <c r="E6074" t="s">
        <v>418</v>
      </c>
      <c r="F6074">
        <f>HYPERLINK("https://www.wikidata.org/wiki/Q33755445", "Q33755445")</f>
        <v>0</v>
      </c>
      <c r="G6074" t="s">
        <v>2559</v>
      </c>
      <c r="H6074" t="s">
        <v>7117</v>
      </c>
      <c r="I6074" t="s">
        <v>10017</v>
      </c>
      <c r="J6074" t="s">
        <v>13203</v>
      </c>
      <c r="K6074" t="s">
        <v>17607</v>
      </c>
      <c r="L6074">
        <f>HYPERLINK("https://www2.assemblee-nationale.fr/sycomore/fiche/(num_dept)/2632", "2632")</f>
        <v>0</v>
      </c>
      <c r="M6074">
        <f>HYPERLINK("https://www.senat.fr/senateur-3eme-republique/dubost_antonin1187r3.html", "dubost_antonin1187r3")</f>
        <v>0</v>
      </c>
      <c r="N6074">
        <f>HYPERLINK("https://www.wikidata.org/wiki/Q2857118", "Q2857118")</f>
        <v>0</v>
      </c>
      <c r="O6074" t="s">
        <v>20006</v>
      </c>
      <c r="P6074" t="s">
        <v>20401</v>
      </c>
      <c r="Q6074" t="s">
        <v>20787</v>
      </c>
      <c r="R6074" t="s">
        <v>19358</v>
      </c>
      <c r="S6074">
        <v>1251</v>
      </c>
    </row>
    <row r="6075" spans="1:19">
      <c r="A6075" t="s">
        <v>28</v>
      </c>
      <c r="B6075" t="s">
        <v>148</v>
      </c>
      <c r="C6075" t="s">
        <v>160</v>
      </c>
      <c r="D6075" t="s">
        <v>289</v>
      </c>
      <c r="E6075" t="s">
        <v>418</v>
      </c>
      <c r="F6075">
        <f>HYPERLINK("https://www.wikidata.org/wiki/Q33755445", "Q33755445")</f>
        <v>0</v>
      </c>
      <c r="G6075" t="s">
        <v>2560</v>
      </c>
      <c r="H6075" t="s">
        <v>7118</v>
      </c>
      <c r="I6075" t="s">
        <v>9474</v>
      </c>
      <c r="J6075" t="s">
        <v>13204</v>
      </c>
      <c r="K6075" t="s">
        <v>17608</v>
      </c>
      <c r="L6075">
        <f>HYPERLINK("https://www2.assemblee-nationale.fr/sycomore/fiche/(num_dept)/2643", "2643")</f>
        <v>0</v>
      </c>
      <c r="N6075">
        <f>HYPERLINK("https://www.wikidata.org/wiki/Q3164037", "Q3164037")</f>
        <v>0</v>
      </c>
      <c r="O6075" t="s">
        <v>20005</v>
      </c>
      <c r="P6075" t="s">
        <v>20401</v>
      </c>
      <c r="Q6075" t="s">
        <v>20787</v>
      </c>
      <c r="R6075" t="s">
        <v>17608</v>
      </c>
      <c r="S6075">
        <v>550</v>
      </c>
    </row>
    <row r="6076" spans="1:19">
      <c r="A6076" t="s">
        <v>28</v>
      </c>
      <c r="B6076" t="s">
        <v>148</v>
      </c>
      <c r="C6076" t="s">
        <v>160</v>
      </c>
      <c r="D6076" t="s">
        <v>289</v>
      </c>
      <c r="E6076" t="s">
        <v>418</v>
      </c>
      <c r="F6076">
        <f>HYPERLINK("https://www.wikidata.org/wiki/Q33755445", "Q33755445")</f>
        <v>0</v>
      </c>
      <c r="G6076" t="s">
        <v>623</v>
      </c>
      <c r="H6076" t="s">
        <v>5383</v>
      </c>
      <c r="I6076" t="s">
        <v>5394</v>
      </c>
      <c r="J6076" t="s">
        <v>11373</v>
      </c>
      <c r="K6076" t="s">
        <v>15775</v>
      </c>
      <c r="L6076">
        <f>HYPERLINK("https://www2.assemblee-nationale.fr/sycomore/fiche/(num_dept)/2685", "2685")</f>
        <v>0</v>
      </c>
      <c r="M6076">
        <f>HYPERLINK("https://www.senat.fr/senateur-3eme-republique/dujardin_beaumetz_henri0274r3.html", "dujardin_beaumetz_henri0274r3")</f>
        <v>0</v>
      </c>
      <c r="N6076">
        <f>HYPERLINK("https://www.wikidata.org/wiki/Q289596", "Q289596")</f>
        <v>0</v>
      </c>
      <c r="O6076" t="s">
        <v>19960</v>
      </c>
      <c r="Q6076" t="s">
        <v>20787</v>
      </c>
      <c r="R6076" t="s">
        <v>418</v>
      </c>
      <c r="S6076">
        <v>1745</v>
      </c>
    </row>
    <row r="6077" spans="1:19">
      <c r="A6077" t="s">
        <v>28</v>
      </c>
      <c r="B6077" t="s">
        <v>148</v>
      </c>
      <c r="C6077" t="s">
        <v>160</v>
      </c>
      <c r="D6077" t="s">
        <v>289</v>
      </c>
      <c r="E6077" t="s">
        <v>418</v>
      </c>
      <c r="F6077">
        <f>HYPERLINK("https://www.wikidata.org/wiki/Q33755445", "Q33755445")</f>
        <v>0</v>
      </c>
      <c r="G6077" t="s">
        <v>624</v>
      </c>
      <c r="H6077" t="s">
        <v>5384</v>
      </c>
      <c r="I6077" t="s">
        <v>5349</v>
      </c>
      <c r="J6077" t="s">
        <v>11374</v>
      </c>
      <c r="K6077" t="s">
        <v>15776</v>
      </c>
      <c r="L6077">
        <f>HYPERLINK("https://www2.assemblee-nationale.fr/sycomore/fiche/(num_dept)/2686", "2686")</f>
        <v>0</v>
      </c>
      <c r="N6077">
        <f>HYPERLINK("https://www.wikidata.org/wiki/Q16025633", "Q16025633")</f>
        <v>0</v>
      </c>
      <c r="O6077" t="s">
        <v>19995</v>
      </c>
      <c r="Q6077" t="s">
        <v>20787</v>
      </c>
      <c r="R6077" t="s">
        <v>418</v>
      </c>
      <c r="S6077">
        <v>1745</v>
      </c>
    </row>
    <row r="6078" spans="1:19">
      <c r="A6078" t="s">
        <v>28</v>
      </c>
      <c r="B6078" t="s">
        <v>148</v>
      </c>
      <c r="C6078" t="s">
        <v>160</v>
      </c>
      <c r="D6078" t="s">
        <v>289</v>
      </c>
      <c r="E6078" t="s">
        <v>418</v>
      </c>
      <c r="F6078">
        <f>HYPERLINK("https://www.wikidata.org/wiki/Q33755445", "Q33755445")</f>
        <v>0</v>
      </c>
      <c r="G6078" t="s">
        <v>3700</v>
      </c>
      <c r="H6078" t="s">
        <v>8020</v>
      </c>
      <c r="I6078" t="s">
        <v>10941</v>
      </c>
      <c r="J6078" t="s">
        <v>14275</v>
      </c>
      <c r="K6078" t="s">
        <v>18634</v>
      </c>
      <c r="L6078">
        <f>HYPERLINK("https://www2.assemblee-nationale.fr/sycomore/fiche/(num_dept)/2715", "2715")</f>
        <v>0</v>
      </c>
      <c r="N6078">
        <f>HYPERLINK("https://www.wikidata.org/wiki/Q16025646", "Q16025646")</f>
        <v>0</v>
      </c>
      <c r="O6078" t="s">
        <v>20037</v>
      </c>
      <c r="P6078" t="s">
        <v>20411</v>
      </c>
      <c r="Q6078" t="s">
        <v>20787</v>
      </c>
      <c r="R6078" t="s">
        <v>18634</v>
      </c>
      <c r="S6078">
        <v>1417</v>
      </c>
    </row>
    <row r="6079" spans="1:19">
      <c r="A6079" t="s">
        <v>28</v>
      </c>
      <c r="B6079" t="s">
        <v>148</v>
      </c>
      <c r="C6079" t="s">
        <v>160</v>
      </c>
      <c r="D6079" t="s">
        <v>289</v>
      </c>
      <c r="E6079" t="s">
        <v>418</v>
      </c>
      <c r="F6079">
        <f>HYPERLINK("https://www.wikidata.org/wiki/Q33755445", "Q33755445")</f>
        <v>0</v>
      </c>
      <c r="G6079" t="s">
        <v>3554</v>
      </c>
      <c r="H6079" t="s">
        <v>7910</v>
      </c>
      <c r="I6079" t="s">
        <v>10879</v>
      </c>
      <c r="J6079" t="s">
        <v>14144</v>
      </c>
      <c r="K6079" t="s">
        <v>18510</v>
      </c>
      <c r="L6079">
        <f>HYPERLINK("https://www2.assemblee-nationale.fr/sycomore/fiche/(num_dept)/2744", "2744")</f>
        <v>0</v>
      </c>
      <c r="N6079">
        <f>HYPERLINK("https://www.wikidata.org/wiki/Q3266121", "Q3266121")</f>
        <v>0</v>
      </c>
      <c r="O6079" t="s">
        <v>19962</v>
      </c>
      <c r="P6079" t="s">
        <v>20479</v>
      </c>
      <c r="Q6079" t="s">
        <v>20787</v>
      </c>
      <c r="R6079" t="s">
        <v>418</v>
      </c>
      <c r="S6079">
        <v>1745</v>
      </c>
    </row>
    <row r="6080" spans="1:19">
      <c r="A6080" t="s">
        <v>28</v>
      </c>
      <c r="B6080" t="s">
        <v>148</v>
      </c>
      <c r="C6080" t="s">
        <v>160</v>
      </c>
      <c r="D6080" t="s">
        <v>289</v>
      </c>
      <c r="E6080" t="s">
        <v>418</v>
      </c>
      <c r="F6080">
        <f>HYPERLINK("https://www.wikidata.org/wiki/Q33755445", "Q33755445")</f>
        <v>0</v>
      </c>
      <c r="G6080" t="s">
        <v>3432</v>
      </c>
      <c r="H6080" t="s">
        <v>7811</v>
      </c>
      <c r="I6080" t="s">
        <v>9692</v>
      </c>
      <c r="J6080" t="s">
        <v>14037</v>
      </c>
      <c r="K6080" t="s">
        <v>18404</v>
      </c>
      <c r="L6080">
        <f>HYPERLINK("https://www2.assemblee-nationale.fr/sycomore/fiche/(num_dept)/2745", "2745")</f>
        <v>0</v>
      </c>
      <c r="N6080">
        <f>HYPERLINK("https://www.wikidata.org/wiki/Q3420824", "Q3420824")</f>
        <v>0</v>
      </c>
      <c r="O6080" t="s">
        <v>19982</v>
      </c>
      <c r="Q6080" t="s">
        <v>20787</v>
      </c>
      <c r="R6080" t="s">
        <v>418</v>
      </c>
      <c r="S6080">
        <v>1745</v>
      </c>
    </row>
    <row r="6081" spans="1:19">
      <c r="A6081" t="s">
        <v>28</v>
      </c>
      <c r="B6081" t="s">
        <v>148</v>
      </c>
      <c r="C6081" t="s">
        <v>160</v>
      </c>
      <c r="D6081" t="s">
        <v>289</v>
      </c>
      <c r="E6081" t="s">
        <v>418</v>
      </c>
      <c r="F6081">
        <f>HYPERLINK("https://www.wikidata.org/wiki/Q33755445", "Q33755445")</f>
        <v>0</v>
      </c>
      <c r="G6081" t="s">
        <v>3055</v>
      </c>
      <c r="H6081" t="s">
        <v>6149</v>
      </c>
      <c r="I6081" t="s">
        <v>9538</v>
      </c>
      <c r="J6081" t="s">
        <v>13681</v>
      </c>
      <c r="K6081" t="s">
        <v>18062</v>
      </c>
      <c r="L6081">
        <f>HYPERLINK("https://www2.assemblee-nationale.fr/sycomore/fiche/(num_dept)/2799", "2799")</f>
        <v>0</v>
      </c>
      <c r="M6081">
        <f>HYPERLINK("https://www.senat.fr/senateur-3eme-republique/duval_cesar1318r3.html", "duval_cesar1318r3")</f>
        <v>0</v>
      </c>
      <c r="N6081">
        <f>HYPERLINK("https://www.wikidata.org/wiki/Q3010446", "Q3010446")</f>
        <v>0</v>
      </c>
      <c r="O6081" t="s">
        <v>20018</v>
      </c>
      <c r="Q6081" t="s">
        <v>20787</v>
      </c>
      <c r="R6081" t="s">
        <v>21551</v>
      </c>
      <c r="S6081">
        <v>1641</v>
      </c>
    </row>
    <row r="6082" spans="1:19">
      <c r="A6082" t="s">
        <v>28</v>
      </c>
      <c r="B6082" t="s">
        <v>148</v>
      </c>
      <c r="C6082" t="s">
        <v>160</v>
      </c>
      <c r="D6082" t="s">
        <v>289</v>
      </c>
      <c r="E6082" t="s">
        <v>418</v>
      </c>
      <c r="F6082">
        <f>HYPERLINK("https://www.wikidata.org/wiki/Q33755445", "Q33755445")</f>
        <v>0</v>
      </c>
      <c r="G6082" t="s">
        <v>3666</v>
      </c>
      <c r="H6082" t="s">
        <v>7995</v>
      </c>
      <c r="I6082" t="s">
        <v>7419</v>
      </c>
      <c r="J6082" t="s">
        <v>14245</v>
      </c>
      <c r="K6082" t="s">
        <v>18605</v>
      </c>
      <c r="L6082">
        <f>HYPERLINK("https://www2.assemblee-nationale.fr/sycomore/fiche/(num_dept)/2806", "2806")</f>
        <v>0</v>
      </c>
      <c r="N6082">
        <f>HYPERLINK("https://www.wikidata.org/wiki/Q3158835", "Q3158835")</f>
        <v>0</v>
      </c>
      <c r="O6082" t="s">
        <v>19987</v>
      </c>
      <c r="P6082" t="s">
        <v>20492</v>
      </c>
      <c r="Q6082" t="s">
        <v>20787</v>
      </c>
      <c r="R6082" t="s">
        <v>418</v>
      </c>
      <c r="S6082">
        <v>1745</v>
      </c>
    </row>
    <row r="6083" spans="1:19">
      <c r="A6083" t="s">
        <v>28</v>
      </c>
      <c r="B6083" t="s">
        <v>148</v>
      </c>
      <c r="C6083" t="s">
        <v>160</v>
      </c>
      <c r="D6083" t="s">
        <v>289</v>
      </c>
      <c r="E6083" t="s">
        <v>418</v>
      </c>
      <c r="F6083">
        <f>HYPERLINK("https://www.wikidata.org/wiki/Q33755445", "Q33755445")</f>
        <v>0</v>
      </c>
      <c r="G6083" t="s">
        <v>3434</v>
      </c>
      <c r="H6083" t="s">
        <v>7812</v>
      </c>
      <c r="I6083" t="s">
        <v>6154</v>
      </c>
      <c r="J6083" t="s">
        <v>14039</v>
      </c>
      <c r="K6083" t="s">
        <v>18406</v>
      </c>
      <c r="L6083">
        <f>HYPERLINK("https://www2.assemblee-nationale.fr/sycomore/fiche/(num_dept)/2818", "2818")</f>
        <v>0</v>
      </c>
      <c r="M6083">
        <f>HYPERLINK("https://www.senat.fr/senateur-3eme-republique/eliez_evrard_evrard1386r3.html", "eliez_evrard_evrard1386r3")</f>
        <v>0</v>
      </c>
      <c r="N6083">
        <f>HYPERLINK("https://www.wikidata.org/wiki/Q3061659", "Q3061659")</f>
        <v>0</v>
      </c>
      <c r="O6083" t="s">
        <v>20013</v>
      </c>
      <c r="P6083" t="s">
        <v>20411</v>
      </c>
      <c r="Q6083" t="s">
        <v>20787</v>
      </c>
      <c r="R6083" t="s">
        <v>418</v>
      </c>
      <c r="S6083">
        <v>1745</v>
      </c>
    </row>
    <row r="6084" spans="1:19">
      <c r="A6084" t="s">
        <v>28</v>
      </c>
      <c r="B6084" t="s">
        <v>148</v>
      </c>
      <c r="C6084" t="s">
        <v>160</v>
      </c>
      <c r="D6084" t="s">
        <v>289</v>
      </c>
      <c r="E6084" t="s">
        <v>418</v>
      </c>
      <c r="F6084">
        <f>HYPERLINK("https://www.wikidata.org/wiki/Q33755445", "Q33755445")</f>
        <v>0</v>
      </c>
      <c r="G6084" t="s">
        <v>3435</v>
      </c>
      <c r="H6084" t="s">
        <v>7813</v>
      </c>
      <c r="I6084" t="s">
        <v>10827</v>
      </c>
      <c r="J6084" t="s">
        <v>11615</v>
      </c>
      <c r="K6084" t="s">
        <v>18407</v>
      </c>
      <c r="L6084">
        <f>HYPERLINK("https://www2.assemblee-nationale.fr/sycomore/fiche/(num_dept)/2823", "2823")</f>
        <v>0</v>
      </c>
      <c r="M6084">
        <f>HYPERLINK("https://www.senat.fr/senateur-3eme-republique/elva_christian0958r3.html", "elva_christian0958r3")</f>
        <v>0</v>
      </c>
      <c r="N6084">
        <f>HYPERLINK("https://www.wikidata.org/wiki/Q2965715", "Q2965715")</f>
        <v>0</v>
      </c>
      <c r="O6084" t="s">
        <v>19984</v>
      </c>
      <c r="Q6084" t="s">
        <v>20787</v>
      </c>
      <c r="R6084" t="s">
        <v>418</v>
      </c>
      <c r="S6084">
        <v>1745</v>
      </c>
    </row>
    <row r="6085" spans="1:19">
      <c r="A6085" t="s">
        <v>28</v>
      </c>
      <c r="B6085" t="s">
        <v>148</v>
      </c>
      <c r="C6085" t="s">
        <v>160</v>
      </c>
      <c r="D6085" t="s">
        <v>289</v>
      </c>
      <c r="E6085" t="s">
        <v>418</v>
      </c>
      <c r="F6085">
        <f>HYPERLINK("https://www.wikidata.org/wiki/Q33755445", "Q33755445")</f>
        <v>0</v>
      </c>
      <c r="G6085" t="s">
        <v>2567</v>
      </c>
      <c r="H6085" t="s">
        <v>7124</v>
      </c>
      <c r="I6085" t="s">
        <v>9612</v>
      </c>
      <c r="J6085" t="s">
        <v>13211</v>
      </c>
      <c r="K6085" t="s">
        <v>17614</v>
      </c>
      <c r="L6085">
        <f>HYPERLINK("https://www2.assemblee-nationale.fr/sycomore/fiche/(num_dept)/2837", "2837")</f>
        <v>0</v>
      </c>
      <c r="N6085">
        <f>HYPERLINK("https://www.wikidata.org/wiki/Q16011198", "Q16011198")</f>
        <v>0</v>
      </c>
      <c r="O6085" t="s">
        <v>20001</v>
      </c>
      <c r="Q6085" t="s">
        <v>20787</v>
      </c>
      <c r="R6085" t="s">
        <v>418</v>
      </c>
      <c r="S6085">
        <v>1745</v>
      </c>
    </row>
    <row r="6086" spans="1:19">
      <c r="A6086" t="s">
        <v>28</v>
      </c>
      <c r="B6086" t="s">
        <v>148</v>
      </c>
      <c r="C6086" t="s">
        <v>160</v>
      </c>
      <c r="D6086" t="s">
        <v>289</v>
      </c>
      <c r="E6086" t="s">
        <v>418</v>
      </c>
      <c r="F6086">
        <f>HYPERLINK("https://www.wikidata.org/wiki/Q33755445", "Q33755445")</f>
        <v>0</v>
      </c>
      <c r="G6086" t="s">
        <v>635</v>
      </c>
      <c r="H6086" t="s">
        <v>5394</v>
      </c>
      <c r="I6086" t="s">
        <v>9465</v>
      </c>
      <c r="J6086" t="s">
        <v>11385</v>
      </c>
      <c r="K6086" t="s">
        <v>15787</v>
      </c>
      <c r="L6086">
        <f>HYPERLINK("https://www2.assemblee-nationale.fr/sycomore/fiche/(num_dept)/2861", "2861")</f>
        <v>0</v>
      </c>
      <c r="M6086">
        <f>HYPERLINK("https://www.senat.fr/senateur-3eme-republique/etienne_eugene1824r3.html", "etienne_eugene1824r3")</f>
        <v>0</v>
      </c>
      <c r="N6086">
        <f>HYPERLINK("https://www.wikidata.org/wiki/Q2612305", "Q2612305")</f>
        <v>0</v>
      </c>
      <c r="O6086" t="s">
        <v>20000</v>
      </c>
      <c r="Q6086" t="s">
        <v>20787</v>
      </c>
      <c r="R6086" t="s">
        <v>418</v>
      </c>
      <c r="S6086">
        <v>1745</v>
      </c>
    </row>
    <row r="6087" spans="1:19">
      <c r="A6087" t="s">
        <v>28</v>
      </c>
      <c r="B6087" t="s">
        <v>148</v>
      </c>
      <c r="C6087" t="s">
        <v>160</v>
      </c>
      <c r="D6087" t="s">
        <v>289</v>
      </c>
      <c r="E6087" t="s">
        <v>418</v>
      </c>
      <c r="F6087">
        <f>HYPERLINK("https://www.wikidata.org/wiki/Q33755445", "Q33755445")</f>
        <v>0</v>
      </c>
      <c r="G6087" t="s">
        <v>3437</v>
      </c>
      <c r="H6087" t="s">
        <v>7815</v>
      </c>
      <c r="I6087" t="s">
        <v>9612</v>
      </c>
      <c r="J6087" t="s">
        <v>14041</v>
      </c>
      <c r="K6087" t="s">
        <v>18409</v>
      </c>
      <c r="L6087">
        <f>HYPERLINK("https://www2.assemblee-nationale.fr/sycomore/fiche/(num_dept)/2864", "2864")</f>
        <v>0</v>
      </c>
      <c r="N6087">
        <f>HYPERLINK("https://www.wikidata.org/wiki/Q16025675", "Q16025675")</f>
        <v>0</v>
      </c>
      <c r="O6087" t="s">
        <v>19981</v>
      </c>
      <c r="Q6087" t="s">
        <v>20787</v>
      </c>
      <c r="R6087" t="s">
        <v>418</v>
      </c>
      <c r="S6087">
        <v>1745</v>
      </c>
    </row>
    <row r="6088" spans="1:19">
      <c r="A6088" t="s">
        <v>28</v>
      </c>
      <c r="B6088" t="s">
        <v>148</v>
      </c>
      <c r="C6088" t="s">
        <v>160</v>
      </c>
      <c r="D6088" t="s">
        <v>289</v>
      </c>
      <c r="E6088" t="s">
        <v>418</v>
      </c>
      <c r="F6088">
        <f>HYPERLINK("https://www.wikidata.org/wiki/Q33755445", "Q33755445")</f>
        <v>0</v>
      </c>
      <c r="G6088" t="s">
        <v>2571</v>
      </c>
      <c r="H6088" t="s">
        <v>7127</v>
      </c>
      <c r="I6088" t="s">
        <v>9681</v>
      </c>
      <c r="J6088" t="s">
        <v>13215</v>
      </c>
      <c r="K6088" t="s">
        <v>17618</v>
      </c>
      <c r="L6088">
        <f>HYPERLINK("https://www2.assemblee-nationale.fr/sycomore/fiche/(num_dept)/2903", "2903")</f>
        <v>0</v>
      </c>
      <c r="N6088">
        <f>HYPERLINK("https://www.wikidata.org/wiki/Q16025681", "Q16025681")</f>
        <v>0</v>
      </c>
      <c r="O6088" t="s">
        <v>19968</v>
      </c>
      <c r="Q6088" t="s">
        <v>20787</v>
      </c>
      <c r="R6088" t="s">
        <v>418</v>
      </c>
      <c r="S6088">
        <v>1745</v>
      </c>
    </row>
    <row r="6089" spans="1:19">
      <c r="A6089" t="s">
        <v>28</v>
      </c>
      <c r="B6089" t="s">
        <v>148</v>
      </c>
      <c r="C6089" t="s">
        <v>160</v>
      </c>
      <c r="D6089" t="s">
        <v>289</v>
      </c>
      <c r="E6089" t="s">
        <v>418</v>
      </c>
      <c r="F6089">
        <f>HYPERLINK("https://www.wikidata.org/wiki/Q33755445", "Q33755445")</f>
        <v>0</v>
      </c>
      <c r="G6089" t="s">
        <v>3438</v>
      </c>
      <c r="H6089" t="s">
        <v>7816</v>
      </c>
      <c r="I6089" t="s">
        <v>10829</v>
      </c>
      <c r="J6089" t="s">
        <v>14042</v>
      </c>
      <c r="K6089" t="s">
        <v>18410</v>
      </c>
      <c r="L6089">
        <f>HYPERLINK("https://www2.assemblee-nationale.fr/sycomore/fiche/(num_dept)/2911", "2911")</f>
        <v>0</v>
      </c>
      <c r="N6089">
        <f>HYPERLINK("https://www.wikidata.org/wiki/Q10644147", "Q10644147")</f>
        <v>0</v>
      </c>
      <c r="O6089" t="s">
        <v>20005</v>
      </c>
      <c r="P6089" t="s">
        <v>20479</v>
      </c>
      <c r="Q6089" t="s">
        <v>20787</v>
      </c>
      <c r="R6089" t="s">
        <v>418</v>
      </c>
      <c r="S6089">
        <v>1745</v>
      </c>
    </row>
    <row r="6090" spans="1:19">
      <c r="A6090" t="s">
        <v>28</v>
      </c>
      <c r="B6090" t="s">
        <v>148</v>
      </c>
      <c r="C6090" t="s">
        <v>160</v>
      </c>
      <c r="D6090" t="s">
        <v>289</v>
      </c>
      <c r="E6090" t="s">
        <v>418</v>
      </c>
      <c r="F6090">
        <f>HYPERLINK("https://www.wikidata.org/wiki/Q33755445", "Q33755445")</f>
        <v>0</v>
      </c>
      <c r="G6090" t="s">
        <v>2573</v>
      </c>
      <c r="H6090" t="s">
        <v>5397</v>
      </c>
      <c r="I6090" t="s">
        <v>6158</v>
      </c>
      <c r="J6090" t="s">
        <v>13217</v>
      </c>
      <c r="K6090" t="s">
        <v>17620</v>
      </c>
      <c r="L6090">
        <f>HYPERLINK("https://www2.assemblee-nationale.fr/sycomore/fiche/(num_dept)/2925", "2925")</f>
        <v>0</v>
      </c>
      <c r="N6090">
        <f>HYPERLINK("https://www.wikidata.org/wiki/Q296076", "Q296076")</f>
        <v>0</v>
      </c>
      <c r="O6090" t="s">
        <v>19978</v>
      </c>
      <c r="Q6090" t="s">
        <v>20787</v>
      </c>
      <c r="R6090" t="s">
        <v>21552</v>
      </c>
      <c r="S6090">
        <v>515</v>
      </c>
    </row>
    <row r="6091" spans="1:19">
      <c r="A6091" t="s">
        <v>28</v>
      </c>
      <c r="B6091" t="s">
        <v>148</v>
      </c>
      <c r="C6091" t="s">
        <v>160</v>
      </c>
      <c r="D6091" t="s">
        <v>289</v>
      </c>
      <c r="E6091" t="s">
        <v>418</v>
      </c>
      <c r="F6091">
        <f>HYPERLINK("https://www.wikidata.org/wiki/Q33755445", "Q33755445")</f>
        <v>0</v>
      </c>
      <c r="G6091" t="s">
        <v>3121</v>
      </c>
      <c r="H6091" t="s">
        <v>5397</v>
      </c>
      <c r="I6091" t="s">
        <v>9651</v>
      </c>
      <c r="J6091" t="s">
        <v>13743</v>
      </c>
      <c r="K6091" t="s">
        <v>282</v>
      </c>
      <c r="L6091">
        <f>HYPERLINK("https://www2.assemblee-nationale.fr/sycomore/fiche/(num_dept)/2933", "2933")</f>
        <v>0</v>
      </c>
      <c r="N6091">
        <f>HYPERLINK("https://www.wikidata.org/wiki/Q3300286", "Q3300286")</f>
        <v>0</v>
      </c>
      <c r="O6091" t="s">
        <v>20044</v>
      </c>
      <c r="Q6091" t="s">
        <v>20787</v>
      </c>
      <c r="R6091" t="s">
        <v>418</v>
      </c>
      <c r="S6091">
        <v>1745</v>
      </c>
    </row>
    <row r="6092" spans="1:19">
      <c r="A6092" t="s">
        <v>28</v>
      </c>
      <c r="B6092" t="s">
        <v>148</v>
      </c>
      <c r="C6092" t="s">
        <v>160</v>
      </c>
      <c r="D6092" t="s">
        <v>289</v>
      </c>
      <c r="E6092" t="s">
        <v>418</v>
      </c>
      <c r="F6092">
        <f>HYPERLINK("https://www.wikidata.org/wiki/Q33755445", "Q33755445")</f>
        <v>0</v>
      </c>
      <c r="G6092" t="s">
        <v>2577</v>
      </c>
      <c r="H6092" t="s">
        <v>5400</v>
      </c>
      <c r="I6092" t="s">
        <v>9385</v>
      </c>
      <c r="J6092" t="s">
        <v>13221</v>
      </c>
      <c r="K6092" t="s">
        <v>17624</v>
      </c>
      <c r="L6092">
        <f>HYPERLINK("https://www2.assemblee-nationale.fr/sycomore/fiche/(num_dept)/2986", "2986")</f>
        <v>0</v>
      </c>
      <c r="M6092">
        <f>HYPERLINK("https://www.senat.fr/senateur-3eme-republique/ferry_charles1797r3.html", "ferry_charles1797r3")</f>
        <v>0</v>
      </c>
      <c r="N6092">
        <f>HYPERLINK("https://www.wikidata.org/wiki/Q2959061", "Q2959061")</f>
        <v>0</v>
      </c>
      <c r="O6092" t="s">
        <v>20017</v>
      </c>
      <c r="P6092" t="s">
        <v>20479</v>
      </c>
      <c r="Q6092" t="s">
        <v>20787</v>
      </c>
      <c r="R6092" t="s">
        <v>418</v>
      </c>
      <c r="S6092">
        <v>1745</v>
      </c>
    </row>
    <row r="6093" spans="1:19">
      <c r="A6093" t="s">
        <v>28</v>
      </c>
      <c r="B6093" t="s">
        <v>148</v>
      </c>
      <c r="C6093" t="s">
        <v>160</v>
      </c>
      <c r="D6093" t="s">
        <v>289</v>
      </c>
      <c r="E6093" t="s">
        <v>418</v>
      </c>
      <c r="F6093">
        <f>HYPERLINK("https://www.wikidata.org/wiki/Q33755445", "Q33755445")</f>
        <v>0</v>
      </c>
      <c r="G6093" t="s">
        <v>3701</v>
      </c>
      <c r="H6093" t="s">
        <v>8021</v>
      </c>
      <c r="I6093" t="s">
        <v>9426</v>
      </c>
      <c r="J6093" t="s">
        <v>14276</v>
      </c>
      <c r="K6093" t="s">
        <v>18635</v>
      </c>
      <c r="L6093">
        <f>HYPERLINK("https://www2.assemblee-nationale.fr/sycomore/fiche/(num_dept)/3013", "3013")</f>
        <v>0</v>
      </c>
      <c r="M6093">
        <f>HYPERLINK("https://www.senat.fr/senateur-3eme-republique/fiquet_alphonse1691r3.html", "fiquet_alphonse1691r3")</f>
        <v>0</v>
      </c>
      <c r="N6093">
        <f>HYPERLINK("https://www.wikidata.org/wiki/Q2839795", "Q2839795")</f>
        <v>0</v>
      </c>
      <c r="O6093" t="s">
        <v>20012</v>
      </c>
      <c r="P6093" t="s">
        <v>20411</v>
      </c>
      <c r="Q6093" t="s">
        <v>20787</v>
      </c>
      <c r="R6093" t="s">
        <v>418</v>
      </c>
      <c r="S6093">
        <v>1745</v>
      </c>
    </row>
    <row r="6094" spans="1:19">
      <c r="A6094" t="s">
        <v>28</v>
      </c>
      <c r="B6094" t="s">
        <v>148</v>
      </c>
      <c r="C6094" t="s">
        <v>160</v>
      </c>
      <c r="D6094" t="s">
        <v>289</v>
      </c>
      <c r="E6094" t="s">
        <v>418</v>
      </c>
      <c r="F6094">
        <f>HYPERLINK("https://www.wikidata.org/wiki/Q33755445", "Q33755445")</f>
        <v>0</v>
      </c>
      <c r="G6094" t="s">
        <v>3375</v>
      </c>
      <c r="H6094" t="s">
        <v>7768</v>
      </c>
      <c r="I6094" t="s">
        <v>9437</v>
      </c>
      <c r="J6094" t="s">
        <v>13748</v>
      </c>
      <c r="K6094" t="s">
        <v>18355</v>
      </c>
      <c r="L6094">
        <f>HYPERLINK("https://www2.assemblee-nationale.fr/sycomore/fiche/(num_dept)/3038", "3038")</f>
        <v>0</v>
      </c>
      <c r="N6094">
        <f>HYPERLINK("https://www.wikidata.org/wiki/Q2602696", "Q2602696")</f>
        <v>0</v>
      </c>
      <c r="O6094" t="s">
        <v>19981</v>
      </c>
      <c r="P6094" t="s">
        <v>20479</v>
      </c>
      <c r="Q6094" t="s">
        <v>20787</v>
      </c>
      <c r="R6094" t="s">
        <v>418</v>
      </c>
      <c r="S6094">
        <v>1745</v>
      </c>
    </row>
    <row r="6095" spans="1:19">
      <c r="A6095" t="s">
        <v>28</v>
      </c>
      <c r="B6095" t="s">
        <v>148</v>
      </c>
      <c r="C6095" t="s">
        <v>160</v>
      </c>
      <c r="D6095" t="s">
        <v>289</v>
      </c>
      <c r="E6095" t="s">
        <v>418</v>
      </c>
      <c r="F6095">
        <f>HYPERLINK("https://www.wikidata.org/wiki/Q33755445", "Q33755445")</f>
        <v>0</v>
      </c>
      <c r="G6095" t="s">
        <v>2579</v>
      </c>
      <c r="H6095" t="s">
        <v>7132</v>
      </c>
      <c r="I6095" t="s">
        <v>6585</v>
      </c>
      <c r="J6095" t="s">
        <v>13223</v>
      </c>
      <c r="K6095" t="s">
        <v>17626</v>
      </c>
      <c r="L6095">
        <f>HYPERLINK("https://www2.assemblee-nationale.fr/sycomore/fiche/(num_dept)/3040", "3040")</f>
        <v>0</v>
      </c>
      <c r="M6095">
        <f>HYPERLINK("https://www.senat.fr/senateur-3eme-republique/folliet_andre1312r3.html", "folliet_andre1312r3")</f>
        <v>0</v>
      </c>
      <c r="N6095">
        <f>HYPERLINK("https://www.wikidata.org/wiki/Q2847756", "Q2847756")</f>
        <v>0</v>
      </c>
      <c r="O6095" t="s">
        <v>20018</v>
      </c>
      <c r="Q6095" t="s">
        <v>20787</v>
      </c>
      <c r="R6095" t="s">
        <v>21553</v>
      </c>
      <c r="S6095">
        <v>153</v>
      </c>
    </row>
    <row r="6096" spans="1:19">
      <c r="A6096" t="s">
        <v>28</v>
      </c>
      <c r="B6096" t="s">
        <v>148</v>
      </c>
      <c r="C6096" t="s">
        <v>160</v>
      </c>
      <c r="D6096" t="s">
        <v>289</v>
      </c>
      <c r="E6096" t="s">
        <v>418</v>
      </c>
      <c r="F6096">
        <f>HYPERLINK("https://www.wikidata.org/wiki/Q33755445", "Q33755445")</f>
        <v>0</v>
      </c>
      <c r="G6096" t="s">
        <v>3439</v>
      </c>
      <c r="H6096" t="s">
        <v>7817</v>
      </c>
      <c r="I6096" t="s">
        <v>9636</v>
      </c>
      <c r="J6096" t="s">
        <v>14043</v>
      </c>
      <c r="K6096" t="s">
        <v>18411</v>
      </c>
      <c r="L6096">
        <f>HYPERLINK("https://www2.assemblee-nationale.fr/sycomore/fiche/(num_dept)/3052", "3052")</f>
        <v>0</v>
      </c>
      <c r="M6096">
        <f>HYPERLINK("https://www.senat.fr/senateur-3eme-republique/forcioli_dominique0691r3.html", "forcioli_dominique0691r3")</f>
        <v>0</v>
      </c>
      <c r="N6096">
        <f>HYPERLINK("https://www.wikidata.org/wiki/Q16025715", "Q16025715")</f>
        <v>0</v>
      </c>
      <c r="O6096" t="s">
        <v>20000</v>
      </c>
      <c r="Q6096" t="s">
        <v>20787</v>
      </c>
      <c r="R6096" t="s">
        <v>418</v>
      </c>
      <c r="S6096">
        <v>1745</v>
      </c>
    </row>
    <row r="6097" spans="1:19">
      <c r="A6097" t="s">
        <v>28</v>
      </c>
      <c r="B6097" t="s">
        <v>148</v>
      </c>
      <c r="C6097" t="s">
        <v>160</v>
      </c>
      <c r="D6097" t="s">
        <v>289</v>
      </c>
      <c r="E6097" t="s">
        <v>418</v>
      </c>
      <c r="F6097">
        <f>HYPERLINK("https://www.wikidata.org/wiki/Q33755445", "Q33755445")</f>
        <v>0</v>
      </c>
      <c r="G6097" t="s">
        <v>3057</v>
      </c>
      <c r="H6097" t="s">
        <v>7511</v>
      </c>
      <c r="I6097" t="s">
        <v>10602</v>
      </c>
      <c r="J6097" t="s">
        <v>13683</v>
      </c>
      <c r="K6097" t="s">
        <v>18064</v>
      </c>
      <c r="L6097">
        <f>HYPERLINK("https://www2.assemblee-nationale.fr/sycomore/fiche/(num_dept)/3076", "3076")</f>
        <v>0</v>
      </c>
      <c r="M6097">
        <f>HYPERLINK("https://www.senat.fr/senateur-3eme-republique/fougeirol_edouard0132r3.html", "fougeirol_edouard0132r3")</f>
        <v>0</v>
      </c>
      <c r="N6097">
        <f>HYPERLINK("https://www.wikidata.org/wiki/Q3579840", "Q3579840")</f>
        <v>0</v>
      </c>
      <c r="O6097" t="s">
        <v>19991</v>
      </c>
      <c r="P6097" t="s">
        <v>20459</v>
      </c>
      <c r="Q6097" t="s">
        <v>20787</v>
      </c>
      <c r="R6097" t="s">
        <v>21554</v>
      </c>
      <c r="S6097">
        <v>948</v>
      </c>
    </row>
    <row r="6098" spans="1:19">
      <c r="A6098" t="s">
        <v>28</v>
      </c>
      <c r="B6098" t="s">
        <v>148</v>
      </c>
      <c r="C6098" t="s">
        <v>160</v>
      </c>
      <c r="D6098" t="s">
        <v>289</v>
      </c>
      <c r="E6098" t="s">
        <v>418</v>
      </c>
      <c r="F6098">
        <f>HYPERLINK("https://www.wikidata.org/wiki/Q33755445", "Q33755445")</f>
        <v>0</v>
      </c>
      <c r="G6098" t="s">
        <v>3440</v>
      </c>
      <c r="H6098" t="s">
        <v>6165</v>
      </c>
      <c r="I6098" t="s">
        <v>9681</v>
      </c>
      <c r="J6098" t="s">
        <v>14044</v>
      </c>
      <c r="K6098" t="s">
        <v>18412</v>
      </c>
      <c r="L6098">
        <f>HYPERLINK("https://www2.assemblee-nationale.fr/sycomore/fiche/(num_dept)/3081", "3081")</f>
        <v>0</v>
      </c>
      <c r="N6098">
        <f>HYPERLINK("https://www.wikidata.org/wiki/Q2411428", "Q2411428")</f>
        <v>0</v>
      </c>
      <c r="O6098" t="s">
        <v>20027</v>
      </c>
      <c r="P6098" t="s">
        <v>20457</v>
      </c>
      <c r="Q6098" t="s">
        <v>20787</v>
      </c>
      <c r="R6098" t="s">
        <v>418</v>
      </c>
      <c r="S6098">
        <v>1745</v>
      </c>
    </row>
    <row r="6099" spans="1:19">
      <c r="A6099" t="s">
        <v>28</v>
      </c>
      <c r="B6099" t="s">
        <v>148</v>
      </c>
      <c r="C6099" t="s">
        <v>160</v>
      </c>
      <c r="D6099" t="s">
        <v>289</v>
      </c>
      <c r="E6099" t="s">
        <v>418</v>
      </c>
      <c r="F6099">
        <f>HYPERLINK("https://www.wikidata.org/wiki/Q33755445", "Q33755445")</f>
        <v>0</v>
      </c>
      <c r="G6099" t="s">
        <v>650</v>
      </c>
      <c r="H6099" t="s">
        <v>5409</v>
      </c>
      <c r="I6099" t="s">
        <v>9469</v>
      </c>
      <c r="J6099" t="s">
        <v>11400</v>
      </c>
      <c r="K6099" t="s">
        <v>15802</v>
      </c>
      <c r="L6099">
        <f>HYPERLINK("https://www2.assemblee-nationale.fr/sycomore/fiche/(num_dept)/3084", "3084")</f>
        <v>0</v>
      </c>
      <c r="N6099">
        <f>HYPERLINK("https://www.wikidata.org/wiki/Q3261915", "Q3261915")</f>
        <v>0</v>
      </c>
      <c r="O6099" t="s">
        <v>19992</v>
      </c>
      <c r="P6099" t="s">
        <v>20460</v>
      </c>
      <c r="Q6099" t="s">
        <v>20787</v>
      </c>
      <c r="R6099" t="s">
        <v>418</v>
      </c>
      <c r="S6099">
        <v>1745</v>
      </c>
    </row>
    <row r="6100" spans="1:19">
      <c r="A6100" t="s">
        <v>28</v>
      </c>
      <c r="B6100" t="s">
        <v>148</v>
      </c>
      <c r="C6100" t="s">
        <v>160</v>
      </c>
      <c r="D6100" t="s">
        <v>289</v>
      </c>
      <c r="E6100" t="s">
        <v>418</v>
      </c>
      <c r="F6100">
        <f>HYPERLINK("https://www.wikidata.org/wiki/Q33755445", "Q33755445")</f>
        <v>0</v>
      </c>
      <c r="G6100" t="s">
        <v>3702</v>
      </c>
      <c r="H6100" t="s">
        <v>5710</v>
      </c>
      <c r="I6100" t="s">
        <v>9388</v>
      </c>
      <c r="J6100" t="s">
        <v>14277</v>
      </c>
      <c r="K6100" t="s">
        <v>18636</v>
      </c>
      <c r="L6100">
        <f>HYPERLINK("https://www2.assemblee-nationale.fr/sycomore/fiche/(num_dept)/3101", "3101")</f>
        <v>0</v>
      </c>
      <c r="N6100">
        <f>HYPERLINK("https://www.wikidata.org/wiki/Q16025726", "Q16025726")</f>
        <v>0</v>
      </c>
      <c r="O6100" t="s">
        <v>19967</v>
      </c>
      <c r="Q6100" t="s">
        <v>20787</v>
      </c>
      <c r="R6100" t="s">
        <v>418</v>
      </c>
      <c r="S6100">
        <v>1745</v>
      </c>
    </row>
    <row r="6101" spans="1:19">
      <c r="A6101" t="s">
        <v>28</v>
      </c>
      <c r="B6101" t="s">
        <v>148</v>
      </c>
      <c r="C6101" t="s">
        <v>160</v>
      </c>
      <c r="D6101" t="s">
        <v>289</v>
      </c>
      <c r="E6101" t="s">
        <v>418</v>
      </c>
      <c r="F6101">
        <f>HYPERLINK("https://www.wikidata.org/wiki/Q33755445", "Q33755445")</f>
        <v>0</v>
      </c>
      <c r="G6101" t="s">
        <v>3647</v>
      </c>
      <c r="H6101" t="s">
        <v>7978</v>
      </c>
      <c r="I6101" t="s">
        <v>10917</v>
      </c>
      <c r="J6101" t="s">
        <v>14227</v>
      </c>
      <c r="K6101" t="s">
        <v>18589</v>
      </c>
      <c r="L6101">
        <f>HYPERLINK("https://www2.assemblee-nationale.fr/sycomore/fiche/(num_dept)/3116", "3116")</f>
        <v>0</v>
      </c>
      <c r="N6101">
        <f>HYPERLINK("https://www.wikidata.org/wiki/Q8313088", "Q8313088")</f>
        <v>0</v>
      </c>
      <c r="O6101" t="s">
        <v>19994</v>
      </c>
      <c r="P6101" t="s">
        <v>20493</v>
      </c>
      <c r="Q6101" t="s">
        <v>20787</v>
      </c>
      <c r="R6101" t="s">
        <v>18589</v>
      </c>
      <c r="S6101">
        <v>1678</v>
      </c>
    </row>
    <row r="6102" spans="1:19">
      <c r="A6102" t="s">
        <v>28</v>
      </c>
      <c r="B6102" t="s">
        <v>148</v>
      </c>
      <c r="C6102" t="s">
        <v>160</v>
      </c>
      <c r="D6102" t="s">
        <v>289</v>
      </c>
      <c r="E6102" t="s">
        <v>418</v>
      </c>
      <c r="F6102">
        <f>HYPERLINK("https://www.wikidata.org/wiki/Q33755445", "Q33755445")</f>
        <v>0</v>
      </c>
      <c r="G6102" t="s">
        <v>3703</v>
      </c>
      <c r="H6102" t="s">
        <v>6166</v>
      </c>
      <c r="I6102" t="s">
        <v>9465</v>
      </c>
      <c r="J6102" t="s">
        <v>14278</v>
      </c>
      <c r="K6102" t="s">
        <v>18637</v>
      </c>
      <c r="L6102">
        <f>HYPERLINK("https://www2.assemblee-nationale.fr/sycomore/fiche/(num_dept)/3127", "3127")</f>
        <v>0</v>
      </c>
      <c r="N6102">
        <f>HYPERLINK("https://www.wikidata.org/wiki/Q16025732", "Q16025732")</f>
        <v>0</v>
      </c>
      <c r="O6102" t="s">
        <v>20012</v>
      </c>
      <c r="Q6102" t="s">
        <v>20787</v>
      </c>
      <c r="R6102" t="s">
        <v>418</v>
      </c>
      <c r="S6102">
        <v>1745</v>
      </c>
    </row>
    <row r="6103" spans="1:19">
      <c r="A6103" t="s">
        <v>28</v>
      </c>
      <c r="B6103" t="s">
        <v>148</v>
      </c>
      <c r="C6103" t="s">
        <v>160</v>
      </c>
      <c r="D6103" t="s">
        <v>289</v>
      </c>
      <c r="E6103" t="s">
        <v>418</v>
      </c>
      <c r="F6103">
        <f>HYPERLINK("https://www.wikidata.org/wiki/Q33755445", "Q33755445")</f>
        <v>0</v>
      </c>
      <c r="G6103" t="s">
        <v>2584</v>
      </c>
      <c r="H6103" t="s">
        <v>7136</v>
      </c>
      <c r="I6103" t="s">
        <v>9388</v>
      </c>
      <c r="J6103" t="s">
        <v>13228</v>
      </c>
      <c r="K6103" t="s">
        <v>17631</v>
      </c>
      <c r="L6103">
        <f>HYPERLINK("https://www2.assemblee-nationale.fr/sycomore/fiche/(num_dept)/3159", "3159")</f>
        <v>0</v>
      </c>
      <c r="M6103">
        <f>HYPERLINK("https://www.senat.fr/senateur-3eme-republique/frogier_de_ponlevoy_paul1811r3.html", "frogier_de_ponlevoy_paul1811r3")</f>
        <v>0</v>
      </c>
      <c r="N6103">
        <f>HYPERLINK("https://www.wikidata.org/wiki/Q3371249", "Q3371249")</f>
        <v>0</v>
      </c>
      <c r="O6103" t="s">
        <v>20017</v>
      </c>
      <c r="Q6103" t="s">
        <v>20787</v>
      </c>
      <c r="R6103" t="s">
        <v>21555</v>
      </c>
      <c r="S6103">
        <v>207</v>
      </c>
    </row>
    <row r="6104" spans="1:19">
      <c r="A6104" t="s">
        <v>28</v>
      </c>
      <c r="B6104" t="s">
        <v>148</v>
      </c>
      <c r="C6104" t="s">
        <v>160</v>
      </c>
      <c r="D6104" t="s">
        <v>289</v>
      </c>
      <c r="E6104" t="s">
        <v>418</v>
      </c>
      <c r="F6104">
        <f>HYPERLINK("https://www.wikidata.org/wiki/Q33755445", "Q33755445")</f>
        <v>0</v>
      </c>
      <c r="G6104" t="s">
        <v>3656</v>
      </c>
      <c r="H6104" t="s">
        <v>6914</v>
      </c>
      <c r="I6104" t="s">
        <v>6495</v>
      </c>
      <c r="J6104" t="s">
        <v>14236</v>
      </c>
      <c r="K6104" t="s">
        <v>18596</v>
      </c>
      <c r="L6104">
        <f>HYPERLINK("https://www2.assemblee-nationale.fr/sycomore/fiche/(num_dept)/3162", "3162")</f>
        <v>0</v>
      </c>
      <c r="M6104">
        <f>HYPERLINK("https://www.senat.fr/senateur-3eme-republique/froment_louis1678r3.html", "froment_louis1678r3")</f>
        <v>0</v>
      </c>
      <c r="N6104">
        <f>HYPERLINK("https://www.wikidata.org/wiki/Q3261963", "Q3261963")</f>
        <v>0</v>
      </c>
      <c r="O6104" t="s">
        <v>20012</v>
      </c>
      <c r="P6104" t="s">
        <v>20461</v>
      </c>
      <c r="Q6104" t="s">
        <v>20787</v>
      </c>
      <c r="R6104" t="s">
        <v>21556</v>
      </c>
      <c r="S6104">
        <v>793</v>
      </c>
    </row>
    <row r="6105" spans="1:19">
      <c r="A6105" t="s">
        <v>28</v>
      </c>
      <c r="B6105" t="s">
        <v>148</v>
      </c>
      <c r="C6105" t="s">
        <v>160</v>
      </c>
      <c r="D6105" t="s">
        <v>289</v>
      </c>
      <c r="E6105" t="s">
        <v>418</v>
      </c>
      <c r="F6105">
        <f>HYPERLINK("https://www.wikidata.org/wiki/Q33755445", "Q33755445")</f>
        <v>0</v>
      </c>
      <c r="G6105" t="s">
        <v>3558</v>
      </c>
      <c r="H6105" t="s">
        <v>7912</v>
      </c>
      <c r="I6105" t="s">
        <v>10881</v>
      </c>
      <c r="J6105" t="s">
        <v>14147</v>
      </c>
      <c r="K6105" t="s">
        <v>18514</v>
      </c>
      <c r="L6105">
        <f>HYPERLINK("https://www2.assemblee-nationale.fr/sycomore/fiche/(num_dept)/3191", "3191")</f>
        <v>0</v>
      </c>
      <c r="M6105">
        <f>HYPERLINK("https://www.senat.fr/senateur-3eme-republique/gacon_jules0043r3.html", "gacon_jules0043r3")</f>
        <v>0</v>
      </c>
      <c r="N6105">
        <f>HYPERLINK("https://www.wikidata.org/wiki/Q3188598", "Q3188598")</f>
        <v>0</v>
      </c>
      <c r="O6105" t="s">
        <v>19999</v>
      </c>
      <c r="P6105" t="s">
        <v>20402</v>
      </c>
      <c r="Q6105" t="s">
        <v>20787</v>
      </c>
      <c r="R6105" t="s">
        <v>418</v>
      </c>
      <c r="S6105">
        <v>1745</v>
      </c>
    </row>
    <row r="6106" spans="1:19">
      <c r="A6106" t="s">
        <v>28</v>
      </c>
      <c r="B6106" t="s">
        <v>148</v>
      </c>
      <c r="C6106" t="s">
        <v>160</v>
      </c>
      <c r="D6106" t="s">
        <v>289</v>
      </c>
      <c r="E6106" t="s">
        <v>418</v>
      </c>
      <c r="F6106">
        <f>HYPERLINK("https://www.wikidata.org/wiki/Q33755445", "Q33755445")</f>
        <v>0</v>
      </c>
      <c r="G6106" t="s">
        <v>3559</v>
      </c>
      <c r="H6106" t="s">
        <v>7477</v>
      </c>
      <c r="I6106" t="s">
        <v>9449</v>
      </c>
      <c r="J6106" t="s">
        <v>14148</v>
      </c>
      <c r="K6106" t="s">
        <v>18515</v>
      </c>
      <c r="L6106">
        <f>HYPERLINK("https://www2.assemblee-nationale.fr/sycomore/fiche/(num_dept)/3202", "3202")</f>
        <v>0</v>
      </c>
      <c r="N6106">
        <f>HYPERLINK("https://www.wikidata.org/wiki/Q3188600", "Q3188600")</f>
        <v>0</v>
      </c>
      <c r="O6106" t="s">
        <v>19989</v>
      </c>
      <c r="P6106" t="s">
        <v>20410</v>
      </c>
      <c r="Q6106" t="s">
        <v>20787</v>
      </c>
      <c r="R6106" t="s">
        <v>418</v>
      </c>
      <c r="S6106">
        <v>1745</v>
      </c>
    </row>
    <row r="6107" spans="1:19">
      <c r="A6107" t="s">
        <v>28</v>
      </c>
      <c r="B6107" t="s">
        <v>148</v>
      </c>
      <c r="C6107" t="s">
        <v>160</v>
      </c>
      <c r="D6107" t="s">
        <v>289</v>
      </c>
      <c r="E6107" t="s">
        <v>418</v>
      </c>
      <c r="F6107">
        <f>HYPERLINK("https://www.wikidata.org/wiki/Q33755445", "Q33755445")</f>
        <v>0</v>
      </c>
      <c r="G6107" t="s">
        <v>653</v>
      </c>
      <c r="H6107" t="s">
        <v>5412</v>
      </c>
      <c r="I6107" t="s">
        <v>9470</v>
      </c>
      <c r="J6107" t="s">
        <v>11403</v>
      </c>
      <c r="K6107" t="s">
        <v>15805</v>
      </c>
      <c r="L6107">
        <f>HYPERLINK("https://www2.assemblee-nationale.fr/sycomore/fiche/(num_dept)/3229", "3229")</f>
        <v>0</v>
      </c>
      <c r="N6107">
        <f>HYPERLINK("https://www.wikidata.org/wiki/Q8298734", "Q8298734")</f>
        <v>0</v>
      </c>
      <c r="O6107" t="s">
        <v>19956</v>
      </c>
      <c r="P6107" t="s">
        <v>20409</v>
      </c>
      <c r="Q6107" t="s">
        <v>20787</v>
      </c>
      <c r="R6107" t="s">
        <v>418</v>
      </c>
      <c r="S6107">
        <v>1745</v>
      </c>
    </row>
    <row r="6108" spans="1:19">
      <c r="A6108" t="s">
        <v>28</v>
      </c>
      <c r="B6108" t="s">
        <v>148</v>
      </c>
      <c r="C6108" t="s">
        <v>160</v>
      </c>
      <c r="D6108" t="s">
        <v>289</v>
      </c>
      <c r="E6108" t="s">
        <v>418</v>
      </c>
      <c r="F6108">
        <f>HYPERLINK("https://www.wikidata.org/wiki/Q33755445", "Q33755445")</f>
        <v>0</v>
      </c>
      <c r="G6108" t="s">
        <v>3662</v>
      </c>
      <c r="H6108" t="s">
        <v>6468</v>
      </c>
      <c r="I6108" t="s">
        <v>6175</v>
      </c>
      <c r="J6108" t="s">
        <v>14241</v>
      </c>
      <c r="K6108" t="s">
        <v>18601</v>
      </c>
      <c r="L6108">
        <f>HYPERLINK("https://www2.assemblee-nationale.fr/sycomore/fiche/(num_dept)/3235", "3235")</f>
        <v>0</v>
      </c>
      <c r="N6108">
        <f>HYPERLINK("https://www.wikidata.org/wiki/Q3102747", "Q3102747")</f>
        <v>0</v>
      </c>
      <c r="O6108" t="s">
        <v>19984</v>
      </c>
      <c r="P6108" t="s">
        <v>20460</v>
      </c>
      <c r="Q6108" t="s">
        <v>20787</v>
      </c>
      <c r="R6108" t="s">
        <v>418</v>
      </c>
      <c r="S6108">
        <v>1745</v>
      </c>
    </row>
    <row r="6109" spans="1:19">
      <c r="A6109" t="s">
        <v>28</v>
      </c>
      <c r="B6109" t="s">
        <v>148</v>
      </c>
      <c r="C6109" t="s">
        <v>160</v>
      </c>
      <c r="D6109" t="s">
        <v>289</v>
      </c>
      <c r="E6109" t="s">
        <v>418</v>
      </c>
      <c r="F6109">
        <f>HYPERLINK("https://www.wikidata.org/wiki/Q33755445", "Q33755445")</f>
        <v>0</v>
      </c>
      <c r="G6109" t="s">
        <v>3444</v>
      </c>
      <c r="H6109" t="s">
        <v>7529</v>
      </c>
      <c r="I6109" t="s">
        <v>10830</v>
      </c>
      <c r="J6109" t="s">
        <v>14048</v>
      </c>
      <c r="K6109" t="s">
        <v>18416</v>
      </c>
      <c r="L6109">
        <f>HYPERLINK("https://www2.assemblee-nationale.fr/sycomore/fiche/(num_dept)/3261", "3261")</f>
        <v>0</v>
      </c>
      <c r="M6109">
        <f>HYPERLINK("https://www.senat.fr/senateur-3eme-republique/garnier_frederic0419r3.html", "garnier_frederic0419r3")</f>
        <v>0</v>
      </c>
      <c r="N6109">
        <f>HYPERLINK("https://www.wikidata.org/wiki/Q3089831", "Q3089831")</f>
        <v>0</v>
      </c>
      <c r="O6109" t="s">
        <v>20037</v>
      </c>
      <c r="P6109" t="s">
        <v>20479</v>
      </c>
      <c r="Q6109" t="s">
        <v>20787</v>
      </c>
      <c r="R6109" t="s">
        <v>418</v>
      </c>
      <c r="S6109">
        <v>1745</v>
      </c>
    </row>
    <row r="6110" spans="1:19">
      <c r="A6110" t="s">
        <v>28</v>
      </c>
      <c r="B6110" t="s">
        <v>148</v>
      </c>
      <c r="C6110" t="s">
        <v>160</v>
      </c>
      <c r="D6110" t="s">
        <v>289</v>
      </c>
      <c r="E6110" t="s">
        <v>418</v>
      </c>
      <c r="F6110">
        <f>HYPERLINK("https://www.wikidata.org/wiki/Q33755445", "Q33755445")</f>
        <v>0</v>
      </c>
      <c r="G6110" t="s">
        <v>3446</v>
      </c>
      <c r="H6110" t="s">
        <v>7820</v>
      </c>
      <c r="I6110" t="s">
        <v>10831</v>
      </c>
      <c r="J6110" t="s">
        <v>14050</v>
      </c>
      <c r="K6110" t="s">
        <v>18418</v>
      </c>
      <c r="L6110">
        <f>HYPERLINK("https://www2.assemblee-nationale.fr/sycomore/fiche/(num_dept)/3305", "3305")</f>
        <v>0</v>
      </c>
      <c r="N6110">
        <f>HYPERLINK("https://www.wikidata.org/wiki/Q8343994", "Q8343994")</f>
        <v>0</v>
      </c>
      <c r="O6110" t="s">
        <v>19976</v>
      </c>
      <c r="P6110" t="s">
        <v>20409</v>
      </c>
      <c r="Q6110" t="s">
        <v>20787</v>
      </c>
      <c r="R6110" t="s">
        <v>418</v>
      </c>
      <c r="S6110">
        <v>1745</v>
      </c>
    </row>
    <row r="6111" spans="1:19">
      <c r="A6111" t="s">
        <v>28</v>
      </c>
      <c r="B6111" t="s">
        <v>148</v>
      </c>
      <c r="C6111" t="s">
        <v>160</v>
      </c>
      <c r="D6111" t="s">
        <v>289</v>
      </c>
      <c r="E6111" t="s">
        <v>418</v>
      </c>
      <c r="F6111">
        <f>HYPERLINK("https://www.wikidata.org/wiki/Q33755445", "Q33755445")</f>
        <v>0</v>
      </c>
      <c r="G6111" t="s">
        <v>1472</v>
      </c>
      <c r="H6111" t="s">
        <v>6171</v>
      </c>
      <c r="I6111" t="s">
        <v>9401</v>
      </c>
      <c r="J6111" t="s">
        <v>12191</v>
      </c>
      <c r="K6111" t="s">
        <v>16597</v>
      </c>
      <c r="L6111">
        <f>HYPERLINK("https://www2.assemblee-nationale.fr/sycomore/fiche/(num_dept)/3314", "3314")</f>
        <v>0</v>
      </c>
      <c r="M6111">
        <f>HYPERLINK("https://www.senat.fr/senateur-3eme-republique/gavini_antoine0491r3.html", "gavini_antoine0491r3")</f>
        <v>0</v>
      </c>
      <c r="N6111">
        <f>HYPERLINK("https://www.wikidata.org/wiki/Q2853978", "Q2853978")</f>
        <v>0</v>
      </c>
      <c r="O6111" t="s">
        <v>19955</v>
      </c>
      <c r="Q6111" t="s">
        <v>20787</v>
      </c>
      <c r="R6111" t="s">
        <v>418</v>
      </c>
      <c r="S6111">
        <v>1745</v>
      </c>
    </row>
    <row r="6112" spans="1:19">
      <c r="A6112" t="s">
        <v>28</v>
      </c>
      <c r="B6112" t="s">
        <v>148</v>
      </c>
      <c r="C6112" t="s">
        <v>160</v>
      </c>
      <c r="D6112" t="s">
        <v>289</v>
      </c>
      <c r="E6112" t="s">
        <v>418</v>
      </c>
      <c r="F6112">
        <f>HYPERLINK("https://www.wikidata.org/wiki/Q33755445", "Q33755445")</f>
        <v>0</v>
      </c>
      <c r="G6112" t="s">
        <v>3704</v>
      </c>
      <c r="H6112" t="s">
        <v>6171</v>
      </c>
      <c r="I6112" t="s">
        <v>10942</v>
      </c>
      <c r="J6112" t="s">
        <v>14279</v>
      </c>
      <c r="K6112" t="s">
        <v>16597</v>
      </c>
      <c r="L6112">
        <f>HYPERLINK("https://www2.assemblee-nationale.fr/sycomore/fiche/(num_dept)/3317", "3317")</f>
        <v>0</v>
      </c>
      <c r="N6112">
        <f>HYPERLINK("https://www.wikidata.org/wiki/Q3510093", "Q3510093")</f>
        <v>0</v>
      </c>
      <c r="O6112" t="s">
        <v>19955</v>
      </c>
      <c r="P6112" t="s">
        <v>20483</v>
      </c>
      <c r="Q6112" t="s">
        <v>20787</v>
      </c>
      <c r="R6112" t="s">
        <v>418</v>
      </c>
      <c r="S6112">
        <v>1745</v>
      </c>
    </row>
    <row r="6113" spans="1:19">
      <c r="A6113" t="s">
        <v>28</v>
      </c>
      <c r="B6113" t="s">
        <v>148</v>
      </c>
      <c r="C6113" t="s">
        <v>160</v>
      </c>
      <c r="D6113" t="s">
        <v>289</v>
      </c>
      <c r="E6113" t="s">
        <v>418</v>
      </c>
      <c r="F6113">
        <f>HYPERLINK("https://www.wikidata.org/wiki/Q33755445", "Q33755445")</f>
        <v>0</v>
      </c>
      <c r="G6113" t="s">
        <v>3387</v>
      </c>
      <c r="H6113" t="s">
        <v>7777</v>
      </c>
      <c r="I6113" t="s">
        <v>10802</v>
      </c>
      <c r="J6113" t="s">
        <v>13997</v>
      </c>
      <c r="K6113" t="s">
        <v>18366</v>
      </c>
      <c r="L6113">
        <f>HYPERLINK("https://www2.assemblee-nationale.fr/sycomore/fiche/(num_dept)/3331", "3331")</f>
        <v>0</v>
      </c>
      <c r="N6113">
        <f>HYPERLINK("https://www.wikidata.org/wiki/Q16025760", "Q16025760")</f>
        <v>0</v>
      </c>
      <c r="O6113" t="s">
        <v>20031</v>
      </c>
      <c r="P6113" t="s">
        <v>11123</v>
      </c>
      <c r="Q6113" t="s">
        <v>20787</v>
      </c>
      <c r="R6113" t="s">
        <v>418</v>
      </c>
      <c r="S6113">
        <v>1745</v>
      </c>
    </row>
    <row r="6114" spans="1:19">
      <c r="A6114" t="s">
        <v>28</v>
      </c>
      <c r="B6114" t="s">
        <v>148</v>
      </c>
      <c r="C6114" t="s">
        <v>160</v>
      </c>
      <c r="D6114" t="s">
        <v>289</v>
      </c>
      <c r="E6114" t="s">
        <v>418</v>
      </c>
      <c r="F6114">
        <f>HYPERLINK("https://www.wikidata.org/wiki/Q33755445", "Q33755445")</f>
        <v>0</v>
      </c>
      <c r="G6114" t="s">
        <v>2956</v>
      </c>
      <c r="H6114" t="s">
        <v>5417</v>
      </c>
      <c r="I6114" t="s">
        <v>10542</v>
      </c>
      <c r="J6114" t="s">
        <v>13589</v>
      </c>
      <c r="K6114" t="s">
        <v>17974</v>
      </c>
      <c r="L6114">
        <f>HYPERLINK("https://www2.assemblee-nationale.fr/sycomore/fiche/(num_dept)/3361", "3361")</f>
        <v>0</v>
      </c>
      <c r="N6114">
        <f>HYPERLINK("https://www.wikidata.org/wiki/Q3131251", "Q3131251")</f>
        <v>0</v>
      </c>
      <c r="O6114" t="s">
        <v>20009</v>
      </c>
      <c r="Q6114" t="s">
        <v>20787</v>
      </c>
      <c r="R6114" t="s">
        <v>418</v>
      </c>
      <c r="S6114">
        <v>1745</v>
      </c>
    </row>
    <row r="6115" spans="1:19">
      <c r="A6115" t="s">
        <v>28</v>
      </c>
      <c r="B6115" t="s">
        <v>148</v>
      </c>
      <c r="C6115" t="s">
        <v>160</v>
      </c>
      <c r="D6115" t="s">
        <v>289</v>
      </c>
      <c r="E6115" t="s">
        <v>418</v>
      </c>
      <c r="F6115">
        <f>HYPERLINK("https://www.wikidata.org/wiki/Q33755445", "Q33755445")</f>
        <v>0</v>
      </c>
      <c r="G6115" t="s">
        <v>3448</v>
      </c>
      <c r="H6115" t="s">
        <v>7822</v>
      </c>
      <c r="I6115" t="s">
        <v>9385</v>
      </c>
      <c r="J6115" t="s">
        <v>14052</v>
      </c>
      <c r="K6115" t="s">
        <v>18420</v>
      </c>
      <c r="L6115">
        <f>HYPERLINK("https://www2.assemblee-nationale.fr/sycomore/fiche/(num_dept)/3385", "3385")</f>
        <v>0</v>
      </c>
      <c r="M6115">
        <f>HYPERLINK("https://www.senat.fr/senateur-3eme-republique/gervais_charles1585r3.html", "gervais_charles1585r3")</f>
        <v>0</v>
      </c>
      <c r="N6115">
        <f>HYPERLINK("https://www.wikidata.org/wiki/Q3188616", "Q3188616")</f>
        <v>0</v>
      </c>
      <c r="O6115" t="s">
        <v>19978</v>
      </c>
      <c r="Q6115" t="s">
        <v>20787</v>
      </c>
      <c r="R6115" t="s">
        <v>418</v>
      </c>
      <c r="S6115">
        <v>1745</v>
      </c>
    </row>
    <row r="6116" spans="1:19">
      <c r="A6116" t="s">
        <v>28</v>
      </c>
      <c r="B6116" t="s">
        <v>148</v>
      </c>
      <c r="C6116" t="s">
        <v>160</v>
      </c>
      <c r="D6116" t="s">
        <v>289</v>
      </c>
      <c r="E6116" t="s">
        <v>418</v>
      </c>
      <c r="F6116">
        <f>HYPERLINK("https://www.wikidata.org/wiki/Q33755445", "Q33755445")</f>
        <v>0</v>
      </c>
      <c r="G6116" t="s">
        <v>2957</v>
      </c>
      <c r="H6116" t="s">
        <v>7429</v>
      </c>
      <c r="I6116" t="s">
        <v>10543</v>
      </c>
      <c r="J6116" t="s">
        <v>11365</v>
      </c>
      <c r="K6116" t="s">
        <v>17975</v>
      </c>
      <c r="L6116">
        <f>HYPERLINK("https://www2.assemblee-nationale.fr/sycomore/fiche/(num_dept)/3387", "3387")</f>
        <v>0</v>
      </c>
      <c r="N6116">
        <f>HYPERLINK("https://www.wikidata.org/wiki/Q3099023", "Q3099023")</f>
        <v>0</v>
      </c>
      <c r="O6116" t="s">
        <v>20028</v>
      </c>
      <c r="Q6116" t="s">
        <v>20787</v>
      </c>
      <c r="R6116" t="s">
        <v>418</v>
      </c>
      <c r="S6116">
        <v>1745</v>
      </c>
    </row>
    <row r="6117" spans="1:19">
      <c r="A6117" t="s">
        <v>28</v>
      </c>
      <c r="B6117" t="s">
        <v>148</v>
      </c>
      <c r="C6117" t="s">
        <v>160</v>
      </c>
      <c r="D6117" t="s">
        <v>289</v>
      </c>
      <c r="E6117" t="s">
        <v>418</v>
      </c>
      <c r="F6117">
        <f>HYPERLINK("https://www.wikidata.org/wiki/Q33755445", "Q33755445")</f>
        <v>0</v>
      </c>
      <c r="G6117" t="s">
        <v>2592</v>
      </c>
      <c r="H6117" t="s">
        <v>7141</v>
      </c>
      <c r="I6117" t="s">
        <v>10301</v>
      </c>
      <c r="J6117" t="s">
        <v>13235</v>
      </c>
      <c r="K6117" t="s">
        <v>17639</v>
      </c>
      <c r="L6117">
        <f>HYPERLINK("https://www2.assemblee-nationale.fr/sycomore/fiche/(num_dept)/3392", "3392")</f>
        <v>0</v>
      </c>
      <c r="N6117">
        <f>HYPERLINK("https://www.wikidata.org/wiki/Q3188644", "Q3188644")</f>
        <v>0</v>
      </c>
      <c r="O6117" t="s">
        <v>19957</v>
      </c>
      <c r="P6117" t="s">
        <v>20479</v>
      </c>
      <c r="Q6117" t="s">
        <v>20787</v>
      </c>
      <c r="R6117" t="s">
        <v>418</v>
      </c>
      <c r="S6117">
        <v>1745</v>
      </c>
    </row>
    <row r="6118" spans="1:19">
      <c r="A6118" t="s">
        <v>28</v>
      </c>
      <c r="B6118" t="s">
        <v>148</v>
      </c>
      <c r="C6118" t="s">
        <v>160</v>
      </c>
      <c r="D6118" t="s">
        <v>289</v>
      </c>
      <c r="E6118" t="s">
        <v>418</v>
      </c>
      <c r="F6118">
        <f>HYPERLINK("https://www.wikidata.org/wiki/Q33755445", "Q33755445")</f>
        <v>0</v>
      </c>
      <c r="G6118" t="s">
        <v>3063</v>
      </c>
      <c r="H6118" t="s">
        <v>7516</v>
      </c>
      <c r="I6118" t="s">
        <v>9438</v>
      </c>
      <c r="J6118" t="s">
        <v>13687</v>
      </c>
      <c r="K6118" t="s">
        <v>18070</v>
      </c>
      <c r="L6118">
        <f>HYPERLINK("https://www2.assemblee-nationale.fr/sycomore/fiche/(num_dept)/3405", "3405")</f>
        <v>0</v>
      </c>
      <c r="M6118">
        <f>HYPERLINK("https://www.senat.fr/senateur-3eme-republique/giguet_honore0009r3.html", "giguet_honore0009r3")</f>
        <v>0</v>
      </c>
      <c r="N6118">
        <f>HYPERLINK("https://www.wikidata.org/wiki/Q3140225", "Q3140225")</f>
        <v>0</v>
      </c>
      <c r="O6118" t="s">
        <v>19986</v>
      </c>
      <c r="Q6118" t="s">
        <v>20787</v>
      </c>
      <c r="R6118" t="s">
        <v>418</v>
      </c>
      <c r="S6118">
        <v>1745</v>
      </c>
    </row>
    <row r="6119" spans="1:19">
      <c r="A6119" t="s">
        <v>28</v>
      </c>
      <c r="B6119" t="s">
        <v>148</v>
      </c>
      <c r="C6119" t="s">
        <v>160</v>
      </c>
      <c r="D6119" t="s">
        <v>289</v>
      </c>
      <c r="E6119" t="s">
        <v>418</v>
      </c>
      <c r="F6119">
        <f>HYPERLINK("https://www.wikidata.org/wiki/Q33755445", "Q33755445")</f>
        <v>0</v>
      </c>
      <c r="G6119" t="s">
        <v>3449</v>
      </c>
      <c r="H6119" t="s">
        <v>7823</v>
      </c>
      <c r="I6119" t="s">
        <v>5528</v>
      </c>
      <c r="J6119" t="s">
        <v>13985</v>
      </c>
      <c r="K6119" t="s">
        <v>18421</v>
      </c>
      <c r="L6119">
        <f>HYPERLINK("https://www2.assemblee-nationale.fr/sycomore/fiche/(num_dept)/3411", "3411")</f>
        <v>0</v>
      </c>
      <c r="M6119">
        <f>HYPERLINK("https://www.senat.fr/senateur-3eme-republique/gillot_leon1209r3.html", "gillot_leon1209r3")</f>
        <v>0</v>
      </c>
      <c r="N6119">
        <f>HYPERLINK("https://www.wikidata.org/wiki/Q3270992", "Q3270992")</f>
        <v>0</v>
      </c>
      <c r="O6119" t="s">
        <v>19994</v>
      </c>
      <c r="P6119" t="s">
        <v>20402</v>
      </c>
      <c r="Q6119" t="s">
        <v>20787</v>
      </c>
      <c r="R6119" t="s">
        <v>418</v>
      </c>
      <c r="S6119">
        <v>1745</v>
      </c>
    </row>
    <row r="6120" spans="1:19">
      <c r="A6120" t="s">
        <v>28</v>
      </c>
      <c r="B6120" t="s">
        <v>148</v>
      </c>
      <c r="C6120" t="s">
        <v>160</v>
      </c>
      <c r="D6120" t="s">
        <v>289</v>
      </c>
      <c r="E6120" t="s">
        <v>418</v>
      </c>
      <c r="F6120">
        <f>HYPERLINK("https://www.wikidata.org/wiki/Q33755445", "Q33755445")</f>
        <v>0</v>
      </c>
      <c r="G6120" t="s">
        <v>3705</v>
      </c>
      <c r="H6120" t="s">
        <v>5856</v>
      </c>
      <c r="I6120" t="s">
        <v>9440</v>
      </c>
      <c r="J6120" t="s">
        <v>14280</v>
      </c>
      <c r="K6120" t="s">
        <v>18638</v>
      </c>
      <c r="L6120">
        <f>HYPERLINK("https://www2.assemblee-nationale.fr/sycomore/fiche/(num_dept)/3426", "3426")</f>
        <v>0</v>
      </c>
      <c r="N6120">
        <f>HYPERLINK("https://www.wikidata.org/wiki/Q16025774", "Q16025774")</f>
        <v>0</v>
      </c>
      <c r="O6120" t="s">
        <v>20005</v>
      </c>
      <c r="P6120" t="s">
        <v>20402</v>
      </c>
      <c r="Q6120" t="s">
        <v>20787</v>
      </c>
      <c r="R6120" t="s">
        <v>418</v>
      </c>
      <c r="S6120">
        <v>1745</v>
      </c>
    </row>
    <row r="6121" spans="1:19">
      <c r="A6121" t="s">
        <v>28</v>
      </c>
      <c r="B6121" t="s">
        <v>148</v>
      </c>
      <c r="C6121" t="s">
        <v>160</v>
      </c>
      <c r="D6121" t="s">
        <v>289</v>
      </c>
      <c r="E6121" t="s">
        <v>418</v>
      </c>
      <c r="F6121">
        <f>HYPERLINK("https://www.wikidata.org/wiki/Q33755445", "Q33755445")</f>
        <v>0</v>
      </c>
      <c r="G6121" t="s">
        <v>2483</v>
      </c>
      <c r="H6121" t="s">
        <v>7056</v>
      </c>
      <c r="I6121" t="s">
        <v>9389</v>
      </c>
      <c r="J6121" t="s">
        <v>13127</v>
      </c>
      <c r="K6121" t="s">
        <v>17537</v>
      </c>
      <c r="L6121">
        <f>HYPERLINK("https://www2.assemblee-nationale.fr/sycomore/fiche/(num_dept)/3445", "3445")</f>
        <v>0</v>
      </c>
      <c r="N6121">
        <f>HYPERLINK("https://www.wikidata.org/wiki/Q3588534", "Q3588534")</f>
        <v>0</v>
      </c>
      <c r="O6121" t="s">
        <v>19997</v>
      </c>
      <c r="P6121" t="s">
        <v>20406</v>
      </c>
      <c r="Q6121" t="s">
        <v>20787</v>
      </c>
      <c r="R6121" t="s">
        <v>17537</v>
      </c>
      <c r="S6121">
        <v>1700</v>
      </c>
    </row>
    <row r="6122" spans="1:19">
      <c r="A6122" t="s">
        <v>28</v>
      </c>
      <c r="B6122" t="s">
        <v>148</v>
      </c>
      <c r="C6122" t="s">
        <v>160</v>
      </c>
      <c r="D6122" t="s">
        <v>289</v>
      </c>
      <c r="E6122" t="s">
        <v>418</v>
      </c>
      <c r="F6122">
        <f>HYPERLINK("https://www.wikidata.org/wiki/Q33755445", "Q33755445")</f>
        <v>0</v>
      </c>
      <c r="G6122" t="s">
        <v>3370</v>
      </c>
      <c r="H6122" t="s">
        <v>6472</v>
      </c>
      <c r="I6122" t="s">
        <v>10037</v>
      </c>
      <c r="J6122" t="s">
        <v>13982</v>
      </c>
      <c r="K6122" t="s">
        <v>18350</v>
      </c>
      <c r="L6122">
        <f>HYPERLINK("https://www2.assemblee-nationale.fr/sycomore/fiche/(num_dept)/3472", "3472")</f>
        <v>0</v>
      </c>
      <c r="M6122">
        <f>HYPERLINK("https://www.senat.fr/senateur-3eme-republique/goirand_leopold1625r3.html", "goirand_leopold1625r3")</f>
        <v>0</v>
      </c>
      <c r="N6122">
        <f>HYPERLINK("https://www.wikidata.org/wiki/Q3271812", "Q3271812")</f>
        <v>0</v>
      </c>
      <c r="O6122" t="s">
        <v>20021</v>
      </c>
      <c r="Q6122" t="s">
        <v>20787</v>
      </c>
      <c r="R6122" t="s">
        <v>418</v>
      </c>
      <c r="S6122">
        <v>1745</v>
      </c>
    </row>
    <row r="6123" spans="1:19">
      <c r="A6123" t="s">
        <v>28</v>
      </c>
      <c r="B6123" t="s">
        <v>148</v>
      </c>
      <c r="C6123" t="s">
        <v>160</v>
      </c>
      <c r="D6123" t="s">
        <v>289</v>
      </c>
      <c r="E6123" t="s">
        <v>418</v>
      </c>
      <c r="F6123">
        <f>HYPERLINK("https://www.wikidata.org/wiki/Q33755445", "Q33755445")</f>
        <v>0</v>
      </c>
      <c r="G6123" t="s">
        <v>3561</v>
      </c>
      <c r="H6123" t="s">
        <v>7914</v>
      </c>
      <c r="I6123" t="s">
        <v>10883</v>
      </c>
      <c r="J6123" t="s">
        <v>14150</v>
      </c>
      <c r="K6123" t="s">
        <v>18517</v>
      </c>
      <c r="L6123">
        <f>HYPERLINK("https://www2.assemblee-nationale.fr/sycomore/fiche/(num_dept)/3489", "3489")</f>
        <v>0</v>
      </c>
      <c r="M6123">
        <f>HYPERLINK("https://www.senat.fr/senateur-3eme-republique/gotteron_andre1785r3.html", "gotteron_andre1785r3")</f>
        <v>0</v>
      </c>
      <c r="N6123">
        <f>HYPERLINK("https://www.wikidata.org/wiki/Q2847866", "Q2847866")</f>
        <v>0</v>
      </c>
      <c r="O6123" t="s">
        <v>19977</v>
      </c>
      <c r="P6123" t="s">
        <v>20479</v>
      </c>
      <c r="Q6123" t="s">
        <v>20787</v>
      </c>
      <c r="R6123" t="s">
        <v>418</v>
      </c>
      <c r="S6123">
        <v>1745</v>
      </c>
    </row>
    <row r="6124" spans="1:19">
      <c r="A6124" t="s">
        <v>28</v>
      </c>
      <c r="B6124" t="s">
        <v>148</v>
      </c>
      <c r="C6124" t="s">
        <v>160</v>
      </c>
      <c r="D6124" t="s">
        <v>289</v>
      </c>
      <c r="E6124" t="s">
        <v>418</v>
      </c>
      <c r="F6124">
        <f>HYPERLINK("https://www.wikidata.org/wiki/Q33755445", "Q33755445")</f>
        <v>0</v>
      </c>
      <c r="G6124" t="s">
        <v>3645</v>
      </c>
      <c r="H6124" t="s">
        <v>7976</v>
      </c>
      <c r="I6124" t="s">
        <v>9389</v>
      </c>
      <c r="J6124" t="s">
        <v>14225</v>
      </c>
      <c r="K6124" t="s">
        <v>18587</v>
      </c>
      <c r="L6124">
        <f>HYPERLINK("https://www2.assemblee-nationale.fr/sycomore/fiche/(num_dept)/3516", "3516")</f>
        <v>0</v>
      </c>
      <c r="N6124">
        <f>HYPERLINK("https://www.wikidata.org/wiki/Q3588542", "Q3588542")</f>
        <v>0</v>
      </c>
      <c r="O6124" t="s">
        <v>20011</v>
      </c>
      <c r="Q6124" t="s">
        <v>20787</v>
      </c>
      <c r="R6124" t="s">
        <v>418</v>
      </c>
      <c r="S6124">
        <v>1745</v>
      </c>
    </row>
    <row r="6125" spans="1:19">
      <c r="A6125" t="s">
        <v>28</v>
      </c>
      <c r="B6125" t="s">
        <v>148</v>
      </c>
      <c r="C6125" t="s">
        <v>160</v>
      </c>
      <c r="D6125" t="s">
        <v>289</v>
      </c>
      <c r="E6125" t="s">
        <v>418</v>
      </c>
      <c r="F6125">
        <f>HYPERLINK("https://www.wikidata.org/wiki/Q33755445", "Q33755445")</f>
        <v>0</v>
      </c>
      <c r="G6125" t="s">
        <v>3452</v>
      </c>
      <c r="H6125" t="s">
        <v>7825</v>
      </c>
      <c r="I6125" t="s">
        <v>9389</v>
      </c>
      <c r="J6125" t="s">
        <v>14054</v>
      </c>
      <c r="K6125" t="s">
        <v>16868</v>
      </c>
      <c r="L6125">
        <f>HYPERLINK("https://www2.assemblee-nationale.fr/sycomore/fiche/(num_dept)/3517", "3517")</f>
        <v>0</v>
      </c>
      <c r="N6125">
        <f>HYPERLINK("https://www.wikidata.org/wiki/Q13091124", "Q13091124")</f>
        <v>0</v>
      </c>
      <c r="O6125" t="s">
        <v>19969</v>
      </c>
      <c r="P6125" t="s">
        <v>20485</v>
      </c>
      <c r="Q6125" t="s">
        <v>20787</v>
      </c>
      <c r="R6125" t="s">
        <v>418</v>
      </c>
      <c r="S6125">
        <v>1745</v>
      </c>
    </row>
    <row r="6126" spans="1:19">
      <c r="A6126" t="s">
        <v>28</v>
      </c>
      <c r="B6126" t="s">
        <v>148</v>
      </c>
      <c r="C6126" t="s">
        <v>160</v>
      </c>
      <c r="D6126" t="s">
        <v>289</v>
      </c>
      <c r="E6126" t="s">
        <v>418</v>
      </c>
      <c r="F6126">
        <f>HYPERLINK("https://www.wikidata.org/wiki/Q33755445", "Q33755445")</f>
        <v>0</v>
      </c>
      <c r="G6126" t="s">
        <v>2484</v>
      </c>
      <c r="H6126" t="s">
        <v>7057</v>
      </c>
      <c r="I6126" t="s">
        <v>10237</v>
      </c>
      <c r="J6126" t="s">
        <v>13128</v>
      </c>
      <c r="K6126" t="s">
        <v>17538</v>
      </c>
      <c r="L6126">
        <f>HYPERLINK("https://www2.assemblee-nationale.fr/sycomore/fiche/(num_dept)/3559", "3559")</f>
        <v>0</v>
      </c>
      <c r="N6126">
        <f>HYPERLINK("https://www.wikidata.org/wiki/Q16025808", "Q16025808")</f>
        <v>0</v>
      </c>
      <c r="O6126" t="s">
        <v>19968</v>
      </c>
      <c r="P6126" t="s">
        <v>20402</v>
      </c>
      <c r="Q6126" t="s">
        <v>20787</v>
      </c>
      <c r="R6126" t="s">
        <v>418</v>
      </c>
      <c r="S6126">
        <v>1745</v>
      </c>
    </row>
    <row r="6127" spans="1:19">
      <c r="A6127" t="s">
        <v>28</v>
      </c>
      <c r="B6127" t="s">
        <v>148</v>
      </c>
      <c r="C6127" t="s">
        <v>160</v>
      </c>
      <c r="D6127" t="s">
        <v>289</v>
      </c>
      <c r="E6127" t="s">
        <v>418</v>
      </c>
      <c r="F6127">
        <f>HYPERLINK("https://www.wikidata.org/wiki/Q33755445", "Q33755445")</f>
        <v>0</v>
      </c>
      <c r="G6127" t="s">
        <v>3663</v>
      </c>
      <c r="H6127" t="s">
        <v>7992</v>
      </c>
      <c r="I6127" t="s">
        <v>6860</v>
      </c>
      <c r="J6127" t="s">
        <v>14242</v>
      </c>
      <c r="K6127" t="s">
        <v>18602</v>
      </c>
      <c r="L6127">
        <f>HYPERLINK("https://www2.assemblee-nationale.fr/sycomore/fiche/(num_dept)/3623", "3623")</f>
        <v>0</v>
      </c>
      <c r="N6127">
        <f>HYPERLINK("https://www.wikidata.org/wiki/Q16025819", "Q16025819")</f>
        <v>0</v>
      </c>
      <c r="O6127" t="s">
        <v>20002</v>
      </c>
      <c r="P6127" t="s">
        <v>20401</v>
      </c>
      <c r="Q6127" t="s">
        <v>20787</v>
      </c>
      <c r="R6127" t="s">
        <v>18602</v>
      </c>
      <c r="S6127">
        <v>468</v>
      </c>
    </row>
    <row r="6128" spans="1:19">
      <c r="A6128" t="s">
        <v>28</v>
      </c>
      <c r="B6128" t="s">
        <v>148</v>
      </c>
      <c r="C6128" t="s">
        <v>160</v>
      </c>
      <c r="D6128" t="s">
        <v>289</v>
      </c>
      <c r="E6128" t="s">
        <v>418</v>
      </c>
      <c r="F6128">
        <f>HYPERLINK("https://www.wikidata.org/wiki/Q33755445", "Q33755445")</f>
        <v>0</v>
      </c>
      <c r="G6128" t="s">
        <v>3706</v>
      </c>
      <c r="H6128" t="s">
        <v>6183</v>
      </c>
      <c r="I6128" t="s">
        <v>5528</v>
      </c>
      <c r="J6128" t="s">
        <v>14281</v>
      </c>
      <c r="K6128" t="s">
        <v>18639</v>
      </c>
      <c r="L6128">
        <f>HYPERLINK("https://www2.assemblee-nationale.fr/sycomore/fiche/(num_dept)/3628", "3628")</f>
        <v>0</v>
      </c>
      <c r="N6128">
        <f>HYPERLINK("https://www.wikidata.org/wiki/Q3271033", "Q3271033")</f>
        <v>0</v>
      </c>
      <c r="O6128" t="s">
        <v>19985</v>
      </c>
      <c r="P6128" t="s">
        <v>20401</v>
      </c>
      <c r="Q6128" t="s">
        <v>20787</v>
      </c>
      <c r="R6128" t="s">
        <v>418</v>
      </c>
      <c r="S6128">
        <v>1745</v>
      </c>
    </row>
    <row r="6129" spans="1:19">
      <c r="A6129" t="s">
        <v>28</v>
      </c>
      <c r="B6129" t="s">
        <v>148</v>
      </c>
      <c r="C6129" t="s">
        <v>160</v>
      </c>
      <c r="D6129" t="s">
        <v>289</v>
      </c>
      <c r="E6129" t="s">
        <v>418</v>
      </c>
      <c r="F6129">
        <f>HYPERLINK("https://www.wikidata.org/wiki/Q33755445", "Q33755445")</f>
        <v>0</v>
      </c>
      <c r="G6129" t="s">
        <v>673</v>
      </c>
      <c r="H6129" t="s">
        <v>5432</v>
      </c>
      <c r="I6129" t="s">
        <v>9449</v>
      </c>
      <c r="J6129" t="s">
        <v>11423</v>
      </c>
      <c r="K6129" t="s">
        <v>15824</v>
      </c>
      <c r="L6129">
        <f>HYPERLINK("https://www2.assemblee-nationale.fr/sycomore/fiche/(num_dept)/3638", "3638")</f>
        <v>0</v>
      </c>
      <c r="N6129">
        <f>HYPERLINK("https://www.wikidata.org/wiki/Q379699", "Q379699")</f>
        <v>0</v>
      </c>
      <c r="O6129" t="s">
        <v>20013</v>
      </c>
      <c r="Q6129" t="s">
        <v>20787</v>
      </c>
      <c r="R6129" t="s">
        <v>418</v>
      </c>
      <c r="S6129">
        <v>1745</v>
      </c>
    </row>
    <row r="6130" spans="1:19">
      <c r="A6130" t="s">
        <v>28</v>
      </c>
      <c r="B6130" t="s">
        <v>148</v>
      </c>
      <c r="C6130" t="s">
        <v>160</v>
      </c>
      <c r="D6130" t="s">
        <v>289</v>
      </c>
      <c r="E6130" t="s">
        <v>418</v>
      </c>
      <c r="F6130">
        <f>HYPERLINK("https://www.wikidata.org/wiki/Q33755445", "Q33755445")</f>
        <v>0</v>
      </c>
      <c r="G6130" t="s">
        <v>3617</v>
      </c>
      <c r="H6130" t="s">
        <v>7959</v>
      </c>
      <c r="I6130" t="s">
        <v>9508</v>
      </c>
      <c r="J6130" t="s">
        <v>11328</v>
      </c>
      <c r="K6130" t="s">
        <v>18567</v>
      </c>
      <c r="L6130">
        <f>HYPERLINK("https://www2.assemblee-nationale.fr/sycomore/fiche/(num_dept)/3659", "3659")</f>
        <v>0</v>
      </c>
      <c r="N6130">
        <f>HYPERLINK("https://www.wikidata.org/wiki/Q3383454", "Q3383454")</f>
        <v>0</v>
      </c>
      <c r="O6130" t="s">
        <v>19961</v>
      </c>
      <c r="Q6130" t="s">
        <v>20787</v>
      </c>
      <c r="R6130" t="s">
        <v>418</v>
      </c>
      <c r="S6130">
        <v>1745</v>
      </c>
    </row>
    <row r="6131" spans="1:19">
      <c r="A6131" t="s">
        <v>28</v>
      </c>
      <c r="B6131" t="s">
        <v>148</v>
      </c>
      <c r="C6131" t="s">
        <v>160</v>
      </c>
      <c r="D6131" t="s">
        <v>289</v>
      </c>
      <c r="E6131" t="s">
        <v>418</v>
      </c>
      <c r="F6131">
        <f>HYPERLINK("https://www.wikidata.org/wiki/Q33755445", "Q33755445")</f>
        <v>0</v>
      </c>
      <c r="G6131" t="s">
        <v>3075</v>
      </c>
      <c r="H6131" t="s">
        <v>7525</v>
      </c>
      <c r="I6131" t="s">
        <v>9455</v>
      </c>
      <c r="J6131" t="s">
        <v>13699</v>
      </c>
      <c r="K6131" t="s">
        <v>18082</v>
      </c>
      <c r="L6131">
        <f>HYPERLINK("https://www2.assemblee-nationale.fr/sycomore/fiche/(num_dept)/3674", "3674")</f>
        <v>0</v>
      </c>
      <c r="M6131">
        <f>HYPERLINK("https://www.senat.fr/senateur-3eme-republique/guillemaut_lucien1225r3.html", "guillemaut_lucien1225r3")</f>
        <v>0</v>
      </c>
      <c r="N6131">
        <f>HYPERLINK("https://www.wikidata.org/wiki/Q3265536", "Q3265536")</f>
        <v>0</v>
      </c>
      <c r="O6131" t="s">
        <v>19994</v>
      </c>
      <c r="Q6131" t="s">
        <v>20787</v>
      </c>
      <c r="R6131" t="s">
        <v>21557</v>
      </c>
      <c r="S6131">
        <v>1689</v>
      </c>
    </row>
    <row r="6132" spans="1:19">
      <c r="A6132" t="s">
        <v>28</v>
      </c>
      <c r="B6132" t="s">
        <v>148</v>
      </c>
      <c r="C6132" t="s">
        <v>160</v>
      </c>
      <c r="D6132" t="s">
        <v>289</v>
      </c>
      <c r="E6132" t="s">
        <v>418</v>
      </c>
      <c r="F6132">
        <f>HYPERLINK("https://www.wikidata.org/wiki/Q33755445", "Q33755445")</f>
        <v>0</v>
      </c>
      <c r="G6132" t="s">
        <v>3619</v>
      </c>
      <c r="H6132" t="s">
        <v>7960</v>
      </c>
      <c r="I6132" t="s">
        <v>9470</v>
      </c>
      <c r="J6132" t="s">
        <v>14201</v>
      </c>
      <c r="K6132" t="s">
        <v>18568</v>
      </c>
      <c r="L6132">
        <f>HYPERLINK("https://www2.assemblee-nationale.fr/sycomore/fiche/(num_dept)/3675", "3675")</f>
        <v>0</v>
      </c>
      <c r="N6132">
        <f>HYPERLINK("https://www.wikidata.org/wiki/Q16025829", "Q16025829")</f>
        <v>0</v>
      </c>
      <c r="O6132" t="s">
        <v>19972</v>
      </c>
      <c r="P6132" t="s">
        <v>20402</v>
      </c>
      <c r="Q6132" t="s">
        <v>20787</v>
      </c>
      <c r="R6132" t="s">
        <v>418</v>
      </c>
      <c r="S6132">
        <v>1745</v>
      </c>
    </row>
    <row r="6133" spans="1:19">
      <c r="A6133" t="s">
        <v>28</v>
      </c>
      <c r="B6133" t="s">
        <v>148</v>
      </c>
      <c r="C6133" t="s">
        <v>160</v>
      </c>
      <c r="D6133" t="s">
        <v>289</v>
      </c>
      <c r="E6133" t="s">
        <v>418</v>
      </c>
      <c r="F6133">
        <f>HYPERLINK("https://www.wikidata.org/wiki/Q33755445", "Q33755445")</f>
        <v>0</v>
      </c>
      <c r="G6133" t="s">
        <v>3255</v>
      </c>
      <c r="H6133" t="s">
        <v>7675</v>
      </c>
      <c r="I6133" t="s">
        <v>6200</v>
      </c>
      <c r="J6133" t="s">
        <v>13872</v>
      </c>
      <c r="K6133" t="s">
        <v>18243</v>
      </c>
      <c r="L6133">
        <f>HYPERLINK("https://www2.assemblee-nationale.fr/sycomore/fiche/(num_dept)/3714", "3714")</f>
        <v>0</v>
      </c>
      <c r="N6133">
        <f>HYPERLINK("https://www.wikidata.org/wiki/Q3172111", "Q3172111")</f>
        <v>0</v>
      </c>
      <c r="O6133" t="s">
        <v>20005</v>
      </c>
      <c r="Q6133" t="s">
        <v>20787</v>
      </c>
      <c r="R6133" t="s">
        <v>418</v>
      </c>
      <c r="S6133">
        <v>1745</v>
      </c>
    </row>
    <row r="6134" spans="1:19">
      <c r="A6134" t="s">
        <v>28</v>
      </c>
      <c r="B6134" t="s">
        <v>148</v>
      </c>
      <c r="C6134" t="s">
        <v>160</v>
      </c>
      <c r="D6134" t="s">
        <v>289</v>
      </c>
      <c r="E6134" t="s">
        <v>418</v>
      </c>
      <c r="F6134">
        <f>HYPERLINK("https://www.wikidata.org/wiki/Q33755445", "Q33755445")</f>
        <v>0</v>
      </c>
      <c r="G6134" t="s">
        <v>3707</v>
      </c>
      <c r="H6134" t="s">
        <v>8022</v>
      </c>
      <c r="I6134" t="s">
        <v>10943</v>
      </c>
      <c r="J6134" t="s">
        <v>14282</v>
      </c>
      <c r="K6134" t="s">
        <v>18640</v>
      </c>
      <c r="L6134">
        <f>HYPERLINK("https://www2.assemblee-nationale.fr/sycomore/fiche/(num_dept)/3754", "3754")</f>
        <v>0</v>
      </c>
      <c r="N6134">
        <f>HYPERLINK("https://www.wikidata.org/wiki/Q15263187", "Q15263187")</f>
        <v>0</v>
      </c>
      <c r="O6134" t="s">
        <v>19970</v>
      </c>
      <c r="Q6134" t="s">
        <v>20787</v>
      </c>
      <c r="R6134" t="s">
        <v>418</v>
      </c>
      <c r="S6134">
        <v>1745</v>
      </c>
    </row>
    <row r="6135" spans="1:19">
      <c r="A6135" t="s">
        <v>28</v>
      </c>
      <c r="B6135" t="s">
        <v>148</v>
      </c>
      <c r="C6135" t="s">
        <v>160</v>
      </c>
      <c r="D6135" t="s">
        <v>289</v>
      </c>
      <c r="E6135" t="s">
        <v>418</v>
      </c>
      <c r="F6135">
        <f>HYPERLINK("https://www.wikidata.org/wiki/Q33755445", "Q33755445")</f>
        <v>0</v>
      </c>
      <c r="G6135" t="s">
        <v>680</v>
      </c>
      <c r="H6135" t="s">
        <v>5439</v>
      </c>
      <c r="I6135" t="s">
        <v>6495</v>
      </c>
      <c r="J6135" t="s">
        <v>11430</v>
      </c>
      <c r="K6135" t="s">
        <v>15831</v>
      </c>
      <c r="L6135">
        <f>HYPERLINK("https://www2.assemblee-nationale.fr/sycomore/fiche/(num_dept)/3790", "3790")</f>
        <v>0</v>
      </c>
      <c r="M6135">
        <f>HYPERLINK("https://www.senat.fr/senateur-3eme-republique/hemon_louis0801r3.html", "hemon_louis0801r3")</f>
        <v>0</v>
      </c>
      <c r="N6135">
        <f>HYPERLINK("https://www.wikidata.org/wiki/Q3262222", "Q3262222")</f>
        <v>0</v>
      </c>
      <c r="O6135" t="s">
        <v>20011</v>
      </c>
      <c r="Q6135" t="s">
        <v>20787</v>
      </c>
      <c r="R6135" t="s">
        <v>418</v>
      </c>
      <c r="S6135">
        <v>1745</v>
      </c>
    </row>
    <row r="6136" spans="1:19">
      <c r="A6136" t="s">
        <v>28</v>
      </c>
      <c r="B6136" t="s">
        <v>148</v>
      </c>
      <c r="C6136" t="s">
        <v>160</v>
      </c>
      <c r="D6136" t="s">
        <v>289</v>
      </c>
      <c r="E6136" t="s">
        <v>418</v>
      </c>
      <c r="F6136">
        <f>HYPERLINK("https://www.wikidata.org/wiki/Q33755445", "Q33755445")</f>
        <v>0</v>
      </c>
      <c r="G6136" t="s">
        <v>3708</v>
      </c>
      <c r="H6136" t="s">
        <v>8023</v>
      </c>
      <c r="I6136" t="s">
        <v>9375</v>
      </c>
      <c r="J6136" t="s">
        <v>14283</v>
      </c>
      <c r="K6136" t="s">
        <v>18641</v>
      </c>
      <c r="L6136">
        <f>HYPERLINK("https://www2.assemblee-nationale.fr/sycomore/fiche/(num_dept)/3797", "3797")</f>
        <v>0</v>
      </c>
      <c r="N6136">
        <f>HYPERLINK("https://www.wikidata.org/wiki/Q16025843", "Q16025843")</f>
        <v>0</v>
      </c>
      <c r="O6136" t="s">
        <v>20007</v>
      </c>
      <c r="Q6136" t="s">
        <v>20787</v>
      </c>
      <c r="R6136" t="s">
        <v>418</v>
      </c>
      <c r="S6136">
        <v>1745</v>
      </c>
    </row>
    <row r="6137" spans="1:19">
      <c r="A6137" t="s">
        <v>28</v>
      </c>
      <c r="B6137" t="s">
        <v>148</v>
      </c>
      <c r="C6137" t="s">
        <v>160</v>
      </c>
      <c r="D6137" t="s">
        <v>289</v>
      </c>
      <c r="E6137" t="s">
        <v>418</v>
      </c>
      <c r="F6137">
        <f>HYPERLINK("https://www.wikidata.org/wiki/Q33755445", "Q33755445")</f>
        <v>0</v>
      </c>
      <c r="G6137" t="s">
        <v>3461</v>
      </c>
      <c r="H6137" t="s">
        <v>7834</v>
      </c>
      <c r="I6137" t="s">
        <v>9472</v>
      </c>
      <c r="J6137" t="s">
        <v>14063</v>
      </c>
      <c r="K6137" t="s">
        <v>18431</v>
      </c>
      <c r="L6137">
        <f>HYPERLINK("https://www2.assemblee-nationale.fr/sycomore/fiche/(num_dept)/3807", "3807")</f>
        <v>0</v>
      </c>
      <c r="N6137">
        <f>HYPERLINK("https://www.wikidata.org/wiki/Q7124799", "Q7124799")</f>
        <v>0</v>
      </c>
      <c r="O6137" t="s">
        <v>19986</v>
      </c>
      <c r="P6137" t="s">
        <v>20457</v>
      </c>
      <c r="Q6137" t="s">
        <v>20787</v>
      </c>
      <c r="R6137" t="s">
        <v>418</v>
      </c>
      <c r="S6137">
        <v>1745</v>
      </c>
    </row>
    <row r="6138" spans="1:19">
      <c r="A6138" t="s">
        <v>28</v>
      </c>
      <c r="B6138" t="s">
        <v>148</v>
      </c>
      <c r="C6138" t="s">
        <v>160</v>
      </c>
      <c r="D6138" t="s">
        <v>289</v>
      </c>
      <c r="E6138" t="s">
        <v>418</v>
      </c>
      <c r="F6138">
        <f>HYPERLINK("https://www.wikidata.org/wiki/Q33755445", "Q33755445")</f>
        <v>0</v>
      </c>
      <c r="G6138" t="s">
        <v>2599</v>
      </c>
      <c r="H6138" t="s">
        <v>7148</v>
      </c>
      <c r="I6138" t="s">
        <v>9788</v>
      </c>
      <c r="J6138" t="s">
        <v>13242</v>
      </c>
      <c r="K6138" t="s">
        <v>17646</v>
      </c>
      <c r="L6138">
        <f>HYPERLINK("https://www2.assemblee-nationale.fr/sycomore/fiche/(num_dept)/3861", "3861")</f>
        <v>0</v>
      </c>
      <c r="N6138">
        <f>HYPERLINK("https://www.wikidata.org/wiki/Q3188346", "Q3188346")</f>
        <v>0</v>
      </c>
      <c r="O6138" t="s">
        <v>19988</v>
      </c>
      <c r="Q6138" t="s">
        <v>20787</v>
      </c>
      <c r="R6138" t="s">
        <v>17646</v>
      </c>
      <c r="S6138">
        <v>753</v>
      </c>
    </row>
    <row r="6139" spans="1:19">
      <c r="A6139" t="s">
        <v>28</v>
      </c>
      <c r="B6139" t="s">
        <v>148</v>
      </c>
      <c r="C6139" t="s">
        <v>160</v>
      </c>
      <c r="D6139" t="s">
        <v>289</v>
      </c>
      <c r="E6139" t="s">
        <v>418</v>
      </c>
      <c r="F6139">
        <f>HYPERLINK("https://www.wikidata.org/wiki/Q33755445", "Q33755445")</f>
        <v>0</v>
      </c>
      <c r="G6139" t="s">
        <v>3565</v>
      </c>
      <c r="H6139" t="s">
        <v>7918</v>
      </c>
      <c r="I6139" t="s">
        <v>8494</v>
      </c>
      <c r="J6139" t="s">
        <v>14154</v>
      </c>
      <c r="K6139" t="s">
        <v>18521</v>
      </c>
      <c r="L6139">
        <f>HYPERLINK("https://www2.assemblee-nationale.fr/sycomore/fiche/(num_dept)/3879", "3879")</f>
        <v>0</v>
      </c>
      <c r="N6139">
        <f>HYPERLINK("https://www.wikidata.org/wiki/Q318444", "Q318444")</f>
        <v>0</v>
      </c>
      <c r="O6139" t="s">
        <v>19969</v>
      </c>
      <c r="P6139" t="s">
        <v>11123</v>
      </c>
      <c r="Q6139" t="s">
        <v>20787</v>
      </c>
      <c r="R6139" t="s">
        <v>17864</v>
      </c>
      <c r="S6139">
        <v>429</v>
      </c>
    </row>
    <row r="6140" spans="1:19">
      <c r="A6140" t="s">
        <v>28</v>
      </c>
      <c r="B6140" t="s">
        <v>148</v>
      </c>
      <c r="C6140" t="s">
        <v>160</v>
      </c>
      <c r="D6140" t="s">
        <v>289</v>
      </c>
      <c r="E6140" t="s">
        <v>418</v>
      </c>
      <c r="F6140">
        <f>HYPERLINK("https://www.wikidata.org/wiki/Q33755445", "Q33755445")</f>
        <v>0</v>
      </c>
      <c r="G6140" t="s">
        <v>3133</v>
      </c>
      <c r="H6140" t="s">
        <v>7574</v>
      </c>
      <c r="I6140" t="s">
        <v>10651</v>
      </c>
      <c r="J6140" t="s">
        <v>13755</v>
      </c>
      <c r="K6140" t="s">
        <v>18132</v>
      </c>
      <c r="L6140">
        <f>HYPERLINK("https://www2.assemblee-nationale.fr/sycomore/fiche/(num_dept)/3882", "3882")</f>
        <v>0</v>
      </c>
      <c r="N6140">
        <f>HYPERLINK("https://www.wikidata.org/wiki/Q16025854", "Q16025854")</f>
        <v>0</v>
      </c>
      <c r="O6140" t="s">
        <v>19976</v>
      </c>
      <c r="P6140" t="s">
        <v>20477</v>
      </c>
      <c r="Q6140" t="s">
        <v>20787</v>
      </c>
      <c r="R6140" t="s">
        <v>418</v>
      </c>
      <c r="S6140">
        <v>1745</v>
      </c>
    </row>
    <row r="6141" spans="1:19">
      <c r="A6141" t="s">
        <v>28</v>
      </c>
      <c r="B6141" t="s">
        <v>148</v>
      </c>
      <c r="C6141" t="s">
        <v>160</v>
      </c>
      <c r="D6141" t="s">
        <v>289</v>
      </c>
      <c r="E6141" t="s">
        <v>418</v>
      </c>
      <c r="F6141">
        <f>HYPERLINK("https://www.wikidata.org/wiki/Q33755445", "Q33755445")</f>
        <v>0</v>
      </c>
      <c r="G6141" t="s">
        <v>3655</v>
      </c>
      <c r="H6141" t="s">
        <v>7986</v>
      </c>
      <c r="I6141" t="s">
        <v>10921</v>
      </c>
      <c r="J6141" t="s">
        <v>14235</v>
      </c>
      <c r="K6141" t="s">
        <v>18595</v>
      </c>
      <c r="L6141">
        <f>HYPERLINK("https://www2.assemblee-nationale.fr/sycomore/fiche/(num_dept)/3906", "3906")</f>
        <v>0</v>
      </c>
      <c r="N6141">
        <f>HYPERLINK("https://www.wikidata.org/wiki/Q3301022", "Q3301022")</f>
        <v>0</v>
      </c>
      <c r="O6141" t="s">
        <v>20011</v>
      </c>
      <c r="Q6141" t="s">
        <v>20787</v>
      </c>
      <c r="R6141" t="s">
        <v>18595</v>
      </c>
      <c r="S6141">
        <v>1174</v>
      </c>
    </row>
    <row r="6142" spans="1:19">
      <c r="A6142" t="s">
        <v>28</v>
      </c>
      <c r="B6142" t="s">
        <v>148</v>
      </c>
      <c r="C6142" t="s">
        <v>160</v>
      </c>
      <c r="D6142" t="s">
        <v>289</v>
      </c>
      <c r="E6142" t="s">
        <v>418</v>
      </c>
      <c r="F6142">
        <f>HYPERLINK("https://www.wikidata.org/wiki/Q33755445", "Q33755445")</f>
        <v>0</v>
      </c>
      <c r="G6142" t="s">
        <v>3709</v>
      </c>
      <c r="H6142" t="s">
        <v>7575</v>
      </c>
      <c r="I6142" t="s">
        <v>10944</v>
      </c>
      <c r="J6142" t="s">
        <v>14284</v>
      </c>
      <c r="K6142" t="s">
        <v>18642</v>
      </c>
      <c r="L6142">
        <f>HYPERLINK("https://www2.assemblee-nationale.fr/sycomore/fiche/(num_dept)/3907", "3907")</f>
        <v>0</v>
      </c>
      <c r="N6142">
        <f>HYPERLINK("https://www.wikidata.org/wiki/Q2839835", "Q2839835")</f>
        <v>0</v>
      </c>
      <c r="O6142" t="s">
        <v>19969</v>
      </c>
      <c r="P6142" t="s">
        <v>20477</v>
      </c>
      <c r="Q6142" t="s">
        <v>20787</v>
      </c>
      <c r="R6142" t="s">
        <v>418</v>
      </c>
      <c r="S6142">
        <v>1745</v>
      </c>
    </row>
    <row r="6143" spans="1:19">
      <c r="A6143" t="s">
        <v>28</v>
      </c>
      <c r="B6143" t="s">
        <v>148</v>
      </c>
      <c r="C6143" t="s">
        <v>160</v>
      </c>
      <c r="D6143" t="s">
        <v>289</v>
      </c>
      <c r="E6143" t="s">
        <v>418</v>
      </c>
      <c r="F6143">
        <f>HYPERLINK("https://www.wikidata.org/wiki/Q33755445", "Q33755445")</f>
        <v>0</v>
      </c>
      <c r="G6143" t="s">
        <v>3628</v>
      </c>
      <c r="H6143" t="s">
        <v>7965</v>
      </c>
      <c r="I6143" t="s">
        <v>9989</v>
      </c>
      <c r="J6143" t="s">
        <v>14209</v>
      </c>
      <c r="K6143" t="s">
        <v>18575</v>
      </c>
      <c r="L6143">
        <f>HYPERLINK("https://www2.assemblee-nationale.fr/sycomore/fiche/(num_dept)/3940", "3940")</f>
        <v>0</v>
      </c>
      <c r="N6143">
        <f>HYPERLINK("https://www.wikidata.org/wiki/Q3579900", "Q3579900")</f>
        <v>0</v>
      </c>
      <c r="O6143" t="s">
        <v>19992</v>
      </c>
      <c r="Q6143" t="s">
        <v>20787</v>
      </c>
      <c r="R6143" t="s">
        <v>418</v>
      </c>
      <c r="S6143">
        <v>1745</v>
      </c>
    </row>
    <row r="6144" spans="1:19">
      <c r="A6144" t="s">
        <v>28</v>
      </c>
      <c r="B6144" t="s">
        <v>148</v>
      </c>
      <c r="C6144" t="s">
        <v>160</v>
      </c>
      <c r="D6144" t="s">
        <v>289</v>
      </c>
      <c r="E6144" t="s">
        <v>418</v>
      </c>
      <c r="F6144">
        <f>HYPERLINK("https://www.wikidata.org/wiki/Q33755445", "Q33755445")</f>
        <v>0</v>
      </c>
      <c r="G6144" t="s">
        <v>3566</v>
      </c>
      <c r="H6144" t="s">
        <v>7919</v>
      </c>
      <c r="I6144" t="s">
        <v>9421</v>
      </c>
      <c r="J6144" t="s">
        <v>14155</v>
      </c>
      <c r="K6144" t="s">
        <v>18522</v>
      </c>
      <c r="L6144">
        <f>HYPERLINK("https://www2.assemblee-nationale.fr/sycomore/fiche/(num_dept)/3941", "3941")</f>
        <v>0</v>
      </c>
      <c r="N6144">
        <f>HYPERLINK("https://www.wikidata.org/wiki/Q3121216", "Q3121216")</f>
        <v>0</v>
      </c>
      <c r="O6144" t="s">
        <v>19971</v>
      </c>
      <c r="P6144" t="s">
        <v>20457</v>
      </c>
      <c r="Q6144" t="s">
        <v>20787</v>
      </c>
      <c r="R6144" t="s">
        <v>418</v>
      </c>
      <c r="S6144">
        <v>1745</v>
      </c>
    </row>
    <row r="6145" spans="1:19">
      <c r="A6145" t="s">
        <v>28</v>
      </c>
      <c r="B6145" t="s">
        <v>148</v>
      </c>
      <c r="C6145" t="s">
        <v>160</v>
      </c>
      <c r="D6145" t="s">
        <v>289</v>
      </c>
      <c r="E6145" t="s">
        <v>418</v>
      </c>
      <c r="F6145">
        <f>HYPERLINK("https://www.wikidata.org/wiki/Q33755445", "Q33755445")</f>
        <v>0</v>
      </c>
      <c r="G6145" t="s">
        <v>3463</v>
      </c>
      <c r="H6145" t="s">
        <v>7836</v>
      </c>
      <c r="I6145" t="s">
        <v>6584</v>
      </c>
      <c r="J6145" t="s">
        <v>14065</v>
      </c>
      <c r="K6145" t="s">
        <v>18009</v>
      </c>
      <c r="L6145">
        <f>HYPERLINK("https://www2.assemblee-nationale.fr/sycomore/fiche/(num_dept)/3963", "3963")</f>
        <v>0</v>
      </c>
      <c r="N6145">
        <f>HYPERLINK("https://www.wikidata.org/wiki/Q2831269", "Q2831269")</f>
        <v>0</v>
      </c>
      <c r="O6145" t="s">
        <v>19964</v>
      </c>
      <c r="Q6145" t="s">
        <v>20787</v>
      </c>
      <c r="R6145" t="s">
        <v>418</v>
      </c>
      <c r="S6145">
        <v>1745</v>
      </c>
    </row>
    <row r="6146" spans="1:19">
      <c r="A6146" t="s">
        <v>28</v>
      </c>
      <c r="B6146" t="s">
        <v>148</v>
      </c>
      <c r="C6146" t="s">
        <v>160</v>
      </c>
      <c r="D6146" t="s">
        <v>289</v>
      </c>
      <c r="E6146" t="s">
        <v>418</v>
      </c>
      <c r="F6146">
        <f>HYPERLINK("https://www.wikidata.org/wiki/Q33755445", "Q33755445")</f>
        <v>0</v>
      </c>
      <c r="G6146" t="s">
        <v>3567</v>
      </c>
      <c r="H6146" t="s">
        <v>7419</v>
      </c>
      <c r="I6146" t="s">
        <v>9375</v>
      </c>
      <c r="J6146" t="s">
        <v>14156</v>
      </c>
      <c r="K6146" t="s">
        <v>18523</v>
      </c>
      <c r="L6146">
        <f>HYPERLINK("https://www2.assemblee-nationale.fr/sycomore/fiche/(num_dept)/3966", "3966")</f>
        <v>0</v>
      </c>
      <c r="N6146">
        <f>HYPERLINK("https://www.wikidata.org/wiki/Q13091121", "Q13091121")</f>
        <v>0</v>
      </c>
      <c r="O6146" t="s">
        <v>19969</v>
      </c>
      <c r="Q6146" t="s">
        <v>20787</v>
      </c>
      <c r="R6146" t="s">
        <v>418</v>
      </c>
      <c r="S6146">
        <v>1745</v>
      </c>
    </row>
    <row r="6147" spans="1:19">
      <c r="A6147" t="s">
        <v>28</v>
      </c>
      <c r="B6147" t="s">
        <v>148</v>
      </c>
      <c r="C6147" t="s">
        <v>160</v>
      </c>
      <c r="D6147" t="s">
        <v>289</v>
      </c>
      <c r="E6147" t="s">
        <v>418</v>
      </c>
      <c r="F6147">
        <f>HYPERLINK("https://www.wikidata.org/wiki/Q33755445", "Q33755445")</f>
        <v>0</v>
      </c>
      <c r="G6147" t="s">
        <v>3464</v>
      </c>
      <c r="H6147" t="s">
        <v>7837</v>
      </c>
      <c r="I6147" t="s">
        <v>9449</v>
      </c>
      <c r="J6147" t="s">
        <v>13900</v>
      </c>
      <c r="K6147" t="s">
        <v>18433</v>
      </c>
      <c r="L6147">
        <f>HYPERLINK("https://www2.assemblee-nationale.fr/sycomore/fiche/(num_dept)/3984", "3984")</f>
        <v>0</v>
      </c>
      <c r="N6147">
        <f>HYPERLINK("https://www.wikidata.org/wiki/Q1266110", "Q1266110")</f>
        <v>0</v>
      </c>
      <c r="O6147" t="s">
        <v>20032</v>
      </c>
      <c r="P6147" t="s">
        <v>20479</v>
      </c>
      <c r="Q6147" t="s">
        <v>20787</v>
      </c>
      <c r="R6147" t="s">
        <v>418</v>
      </c>
      <c r="S6147">
        <v>1745</v>
      </c>
    </row>
    <row r="6148" spans="1:19">
      <c r="A6148" t="s">
        <v>28</v>
      </c>
      <c r="B6148" t="s">
        <v>148</v>
      </c>
      <c r="C6148" t="s">
        <v>160</v>
      </c>
      <c r="D6148" t="s">
        <v>289</v>
      </c>
      <c r="E6148" t="s">
        <v>418</v>
      </c>
      <c r="F6148">
        <f>HYPERLINK("https://www.wikidata.org/wiki/Q33755445", "Q33755445")</f>
        <v>0</v>
      </c>
      <c r="G6148" t="s">
        <v>3258</v>
      </c>
      <c r="H6148" t="s">
        <v>7678</v>
      </c>
      <c r="I6148" t="s">
        <v>9437</v>
      </c>
      <c r="J6148" t="s">
        <v>13874</v>
      </c>
      <c r="K6148" t="s">
        <v>18246</v>
      </c>
      <c r="L6148">
        <f>HYPERLINK("https://www2.assemblee-nationale.fr/sycomore/fiche/(num_dept)/3985", "3985")</f>
        <v>0</v>
      </c>
      <c r="N6148">
        <f>HYPERLINK("https://www.wikidata.org/wiki/Q286003", "Q286003")</f>
        <v>0</v>
      </c>
      <c r="O6148" t="s">
        <v>20014</v>
      </c>
      <c r="Q6148" t="s">
        <v>20787</v>
      </c>
      <c r="R6148" t="s">
        <v>18246</v>
      </c>
      <c r="S6148">
        <v>82</v>
      </c>
    </row>
    <row r="6149" spans="1:19">
      <c r="A6149" t="s">
        <v>28</v>
      </c>
      <c r="B6149" t="s">
        <v>148</v>
      </c>
      <c r="C6149" t="s">
        <v>160</v>
      </c>
      <c r="D6149" t="s">
        <v>289</v>
      </c>
      <c r="E6149" t="s">
        <v>418</v>
      </c>
      <c r="F6149">
        <f>HYPERLINK("https://www.wikidata.org/wiki/Q33755445", "Q33755445")</f>
        <v>0</v>
      </c>
      <c r="G6149" t="s">
        <v>690</v>
      </c>
      <c r="H6149" t="s">
        <v>5448</v>
      </c>
      <c r="I6149" t="s">
        <v>6200</v>
      </c>
      <c r="J6149" t="s">
        <v>11440</v>
      </c>
      <c r="K6149" t="s">
        <v>15841</v>
      </c>
      <c r="L6149">
        <f>HYPERLINK("https://www2.assemblee-nationale.fr/sycomore/fiche/(num_dept)/4011", "4011")</f>
        <v>0</v>
      </c>
      <c r="N6149">
        <f>HYPERLINK("https://www.wikidata.org/wiki/Q12688", "Q12688")</f>
        <v>0</v>
      </c>
      <c r="O6149" t="s">
        <v>19962</v>
      </c>
      <c r="Q6149" t="s">
        <v>20787</v>
      </c>
      <c r="R6149" t="s">
        <v>418</v>
      </c>
      <c r="S6149">
        <v>1745</v>
      </c>
    </row>
    <row r="6150" spans="1:19">
      <c r="A6150" t="s">
        <v>28</v>
      </c>
      <c r="B6150" t="s">
        <v>148</v>
      </c>
      <c r="C6150" t="s">
        <v>160</v>
      </c>
      <c r="D6150" t="s">
        <v>289</v>
      </c>
      <c r="E6150" t="s">
        <v>418</v>
      </c>
      <c r="F6150">
        <f>HYPERLINK("https://www.wikidata.org/wiki/Q33755445", "Q33755445")</f>
        <v>0</v>
      </c>
      <c r="G6150" t="s">
        <v>692</v>
      </c>
      <c r="H6150" t="s">
        <v>5450</v>
      </c>
      <c r="I6150" t="s">
        <v>9385</v>
      </c>
      <c r="J6150" t="s">
        <v>11442</v>
      </c>
      <c r="K6150" t="s">
        <v>15843</v>
      </c>
      <c r="L6150">
        <f>HYPERLINK("https://www2.assemblee-nationale.fr/sycomore/fiche/(num_dept)/4047", "4047")</f>
        <v>0</v>
      </c>
      <c r="M6150">
        <f>HYPERLINK("https://www.senat.fr/senateur-3eme-republique/jonnart_celestin0975r3.html", "jonnart_celestin0975r3")</f>
        <v>0</v>
      </c>
      <c r="N6150">
        <f>HYPERLINK("https://www.wikidata.org/wiki/Q212634", "Q212634")</f>
        <v>0</v>
      </c>
      <c r="O6150" t="s">
        <v>19968</v>
      </c>
      <c r="Q6150" t="s">
        <v>20787</v>
      </c>
      <c r="R6150" t="s">
        <v>418</v>
      </c>
      <c r="S6150">
        <v>1745</v>
      </c>
    </row>
    <row r="6151" spans="1:19">
      <c r="A6151" t="s">
        <v>28</v>
      </c>
      <c r="B6151" t="s">
        <v>148</v>
      </c>
      <c r="C6151" t="s">
        <v>160</v>
      </c>
      <c r="D6151" t="s">
        <v>289</v>
      </c>
      <c r="E6151" t="s">
        <v>418</v>
      </c>
      <c r="F6151">
        <f>HYPERLINK("https://www.wikidata.org/wiki/Q33755445", "Q33755445")</f>
        <v>0</v>
      </c>
      <c r="G6151" t="s">
        <v>3465</v>
      </c>
      <c r="H6151" t="s">
        <v>7838</v>
      </c>
      <c r="I6151" t="s">
        <v>9506</v>
      </c>
      <c r="J6151" t="s">
        <v>14066</v>
      </c>
      <c r="K6151" t="s">
        <v>18434</v>
      </c>
      <c r="L6151">
        <f>HYPERLINK("https://www2.assemblee-nationale.fr/sycomore/fiche/(num_dept)/4062", "4062")</f>
        <v>0</v>
      </c>
      <c r="M6151">
        <f>HYPERLINK("https://www.senat.fr/senateur-3eme-republique/jouffray_camille1192r3.html", "jouffray_camille1192r3")</f>
        <v>0</v>
      </c>
      <c r="N6151">
        <f>HYPERLINK("https://www.wikidata.org/wiki/Q2934968", "Q2934968")</f>
        <v>0</v>
      </c>
      <c r="O6151" t="s">
        <v>20006</v>
      </c>
      <c r="Q6151" t="s">
        <v>20787</v>
      </c>
      <c r="R6151" t="s">
        <v>418</v>
      </c>
      <c r="S6151">
        <v>1745</v>
      </c>
    </row>
    <row r="6152" spans="1:19">
      <c r="A6152" t="s">
        <v>28</v>
      </c>
      <c r="B6152" t="s">
        <v>148</v>
      </c>
      <c r="C6152" t="s">
        <v>160</v>
      </c>
      <c r="D6152" t="s">
        <v>289</v>
      </c>
      <c r="E6152" t="s">
        <v>418</v>
      </c>
      <c r="F6152">
        <f>HYPERLINK("https://www.wikidata.org/wiki/Q33755445", "Q33755445")</f>
        <v>0</v>
      </c>
      <c r="G6152" t="s">
        <v>3466</v>
      </c>
      <c r="H6152" t="s">
        <v>7839</v>
      </c>
      <c r="I6152" t="s">
        <v>10837</v>
      </c>
      <c r="J6152" t="s">
        <v>14067</v>
      </c>
      <c r="K6152" t="s">
        <v>18435</v>
      </c>
      <c r="L6152">
        <f>HYPERLINK("https://www2.assemblee-nationale.fr/sycomore/fiche/(num_dept)/4064", "4064")</f>
        <v>0</v>
      </c>
      <c r="N6152">
        <f>HYPERLINK("https://www.wikidata.org/wiki/Q8308543", "Q8308543")</f>
        <v>0</v>
      </c>
      <c r="O6152" t="s">
        <v>19973</v>
      </c>
      <c r="Q6152" t="s">
        <v>20787</v>
      </c>
      <c r="R6152" t="s">
        <v>418</v>
      </c>
      <c r="S6152">
        <v>1745</v>
      </c>
    </row>
    <row r="6153" spans="1:19">
      <c r="A6153" t="s">
        <v>28</v>
      </c>
      <c r="B6153" t="s">
        <v>148</v>
      </c>
      <c r="C6153" t="s">
        <v>160</v>
      </c>
      <c r="D6153" t="s">
        <v>289</v>
      </c>
      <c r="E6153" t="s">
        <v>418</v>
      </c>
      <c r="F6153">
        <f>HYPERLINK("https://www.wikidata.org/wiki/Q33755445", "Q33755445")</f>
        <v>0</v>
      </c>
      <c r="G6153" t="s">
        <v>3351</v>
      </c>
      <c r="H6153" t="s">
        <v>7751</v>
      </c>
      <c r="I6153" t="s">
        <v>6495</v>
      </c>
      <c r="J6153" t="s">
        <v>13963</v>
      </c>
      <c r="K6153" t="s">
        <v>18333</v>
      </c>
      <c r="L6153">
        <f>HYPERLINK("https://www2.assemblee-nationale.fr/sycomore/fiche/(num_dept)/4072", "4072")</f>
        <v>0</v>
      </c>
      <c r="N6153">
        <f>HYPERLINK("https://www.wikidata.org/wiki/Q3262379", "Q3262379")</f>
        <v>0</v>
      </c>
      <c r="O6153" t="s">
        <v>20004</v>
      </c>
      <c r="Q6153" t="s">
        <v>20787</v>
      </c>
      <c r="R6153" t="s">
        <v>418</v>
      </c>
      <c r="S6153">
        <v>1745</v>
      </c>
    </row>
    <row r="6154" spans="1:19">
      <c r="A6154" t="s">
        <v>28</v>
      </c>
      <c r="B6154" t="s">
        <v>148</v>
      </c>
      <c r="C6154" t="s">
        <v>160</v>
      </c>
      <c r="D6154" t="s">
        <v>289</v>
      </c>
      <c r="E6154" t="s">
        <v>418</v>
      </c>
      <c r="F6154">
        <f>HYPERLINK("https://www.wikidata.org/wiki/Q33755445", "Q33755445")</f>
        <v>0</v>
      </c>
      <c r="G6154" t="s">
        <v>2603</v>
      </c>
      <c r="H6154" t="s">
        <v>7152</v>
      </c>
      <c r="I6154" t="s">
        <v>10306</v>
      </c>
      <c r="J6154" t="s">
        <v>13246</v>
      </c>
      <c r="K6154" t="s">
        <v>17649</v>
      </c>
      <c r="L6154">
        <f>HYPERLINK("https://www2.assemblee-nationale.fr/sycomore/fiche/(num_dept)/4091", "4091")</f>
        <v>0</v>
      </c>
      <c r="M6154">
        <f>HYPERLINK("https://www.senat.fr/senateur-3eme-republique/leclerc_de_juigne_charles1283r3.html", "leclerc_de_juigne_charles1283r3")</f>
        <v>0</v>
      </c>
      <c r="N6154">
        <f>HYPERLINK("https://www.wikidata.org/wiki/Q2960767", "Q2960767")</f>
        <v>0</v>
      </c>
      <c r="O6154" t="s">
        <v>20023</v>
      </c>
      <c r="P6154" t="s">
        <v>20460</v>
      </c>
      <c r="Q6154" t="s">
        <v>20787</v>
      </c>
      <c r="R6154" t="s">
        <v>418</v>
      </c>
      <c r="S6154">
        <v>1745</v>
      </c>
    </row>
    <row r="6155" spans="1:19">
      <c r="A6155" t="s">
        <v>28</v>
      </c>
      <c r="B6155" t="s">
        <v>148</v>
      </c>
      <c r="C6155" t="s">
        <v>160</v>
      </c>
      <c r="D6155" t="s">
        <v>289</v>
      </c>
      <c r="E6155" t="s">
        <v>418</v>
      </c>
      <c r="F6155">
        <f>HYPERLINK("https://www.wikidata.org/wiki/Q33755445", "Q33755445")</f>
        <v>0</v>
      </c>
      <c r="G6155" t="s">
        <v>2604</v>
      </c>
      <c r="H6155" t="s">
        <v>7153</v>
      </c>
      <c r="I6155" t="s">
        <v>10307</v>
      </c>
      <c r="J6155" t="s">
        <v>13247</v>
      </c>
      <c r="K6155" t="s">
        <v>16045</v>
      </c>
      <c r="L6155">
        <f>HYPERLINK("https://www2.assemblee-nationale.fr/sycomore/fiche/(num_dept)/4099", "4099")</f>
        <v>0</v>
      </c>
      <c r="N6155">
        <f>HYPERLINK("https://www.wikidata.org/wiki/Q16025887", "Q16025887")</f>
        <v>0</v>
      </c>
      <c r="O6155" t="s">
        <v>20039</v>
      </c>
      <c r="P6155" t="s">
        <v>20401</v>
      </c>
      <c r="Q6155" t="s">
        <v>20787</v>
      </c>
      <c r="R6155" t="s">
        <v>418</v>
      </c>
      <c r="S6155">
        <v>1745</v>
      </c>
    </row>
    <row r="6156" spans="1:19">
      <c r="A6156" t="s">
        <v>28</v>
      </c>
      <c r="B6156" t="s">
        <v>148</v>
      </c>
      <c r="C6156" t="s">
        <v>160</v>
      </c>
      <c r="D6156" t="s">
        <v>289</v>
      </c>
      <c r="E6156" t="s">
        <v>418</v>
      </c>
      <c r="F6156">
        <f>HYPERLINK("https://www.wikidata.org/wiki/Q33755445", "Q33755445")</f>
        <v>0</v>
      </c>
      <c r="G6156" t="s">
        <v>3352</v>
      </c>
      <c r="H6156" t="s">
        <v>7752</v>
      </c>
      <c r="I6156" t="s">
        <v>10787</v>
      </c>
      <c r="J6156" t="s">
        <v>13964</v>
      </c>
      <c r="K6156" t="s">
        <v>18334</v>
      </c>
      <c r="L6156">
        <f>HYPERLINK("https://www2.assemblee-nationale.fr/sycomore/fiche/(num_dept)/4101", "4101")</f>
        <v>0</v>
      </c>
      <c r="N6156">
        <f>HYPERLINK("https://www.wikidata.org/wiki/Q16025888", "Q16025888")</f>
        <v>0</v>
      </c>
      <c r="O6156" t="s">
        <v>19995</v>
      </c>
      <c r="Q6156" t="s">
        <v>20787</v>
      </c>
      <c r="R6156" t="s">
        <v>418</v>
      </c>
      <c r="S6156">
        <v>1745</v>
      </c>
    </row>
    <row r="6157" spans="1:19">
      <c r="A6157" t="s">
        <v>28</v>
      </c>
      <c r="B6157" t="s">
        <v>148</v>
      </c>
      <c r="C6157" t="s">
        <v>160</v>
      </c>
      <c r="D6157" t="s">
        <v>289</v>
      </c>
      <c r="E6157" t="s">
        <v>418</v>
      </c>
      <c r="F6157">
        <f>HYPERLINK("https://www.wikidata.org/wiki/Q33755445", "Q33755445")</f>
        <v>0</v>
      </c>
      <c r="G6157" t="s">
        <v>3135</v>
      </c>
      <c r="H6157" t="s">
        <v>7576</v>
      </c>
      <c r="I6157" t="s">
        <v>9603</v>
      </c>
      <c r="J6157" t="s">
        <v>13757</v>
      </c>
      <c r="K6157" t="s">
        <v>18134</v>
      </c>
      <c r="L6157">
        <f>HYPERLINK("https://www2.assemblee-nationale.fr/sycomore/fiche/(num_dept)/4125", "4125")</f>
        <v>0</v>
      </c>
      <c r="N6157">
        <f>HYPERLINK("https://www.wikidata.org/wiki/Q2959750", "Q2959750")</f>
        <v>0</v>
      </c>
      <c r="O6157" t="s">
        <v>19964</v>
      </c>
      <c r="Q6157" t="s">
        <v>20787</v>
      </c>
      <c r="R6157" t="s">
        <v>18134</v>
      </c>
      <c r="S6157">
        <v>1309</v>
      </c>
    </row>
    <row r="6158" spans="1:19">
      <c r="A6158" t="s">
        <v>28</v>
      </c>
      <c r="B6158" t="s">
        <v>148</v>
      </c>
      <c r="C6158" t="s">
        <v>160</v>
      </c>
      <c r="D6158" t="s">
        <v>289</v>
      </c>
      <c r="E6158" t="s">
        <v>418</v>
      </c>
      <c r="F6158">
        <f>HYPERLINK("https://www.wikidata.org/wiki/Q33755445", "Q33755445")</f>
        <v>0</v>
      </c>
      <c r="G6158" t="s">
        <v>3467</v>
      </c>
      <c r="H6158" t="s">
        <v>7840</v>
      </c>
      <c r="I6158" t="s">
        <v>10838</v>
      </c>
      <c r="J6158" t="s">
        <v>14068</v>
      </c>
      <c r="K6158" t="s">
        <v>18436</v>
      </c>
      <c r="L6158">
        <f>HYPERLINK("https://www2.assemblee-nationale.fr/sycomore/fiche/(num_dept)/4130", "4130")</f>
        <v>0</v>
      </c>
      <c r="N6158">
        <f>HYPERLINK("https://www.wikidata.org/wiki/Q3161253", "Q3161253")</f>
        <v>0</v>
      </c>
      <c r="O6158" t="s">
        <v>20011</v>
      </c>
      <c r="Q6158" t="s">
        <v>20787</v>
      </c>
      <c r="R6158" t="s">
        <v>418</v>
      </c>
      <c r="S6158">
        <v>1745</v>
      </c>
    </row>
    <row r="6159" spans="1:19">
      <c r="A6159" t="s">
        <v>28</v>
      </c>
      <c r="B6159" t="s">
        <v>148</v>
      </c>
      <c r="C6159" t="s">
        <v>160</v>
      </c>
      <c r="D6159" t="s">
        <v>289</v>
      </c>
      <c r="E6159" t="s">
        <v>418</v>
      </c>
      <c r="F6159">
        <f>HYPERLINK("https://www.wikidata.org/wiki/Q33755445", "Q33755445")</f>
        <v>0</v>
      </c>
      <c r="G6159" t="s">
        <v>2605</v>
      </c>
      <c r="H6159" t="s">
        <v>7154</v>
      </c>
      <c r="I6159" t="s">
        <v>10308</v>
      </c>
      <c r="J6159" t="s">
        <v>13248</v>
      </c>
      <c r="K6159" t="s">
        <v>17650</v>
      </c>
      <c r="L6159">
        <f>HYPERLINK("https://www2.assemblee-nationale.fr/sycomore/fiche/(num_dept)/4131", "4131")</f>
        <v>0</v>
      </c>
      <c r="N6159">
        <f>HYPERLINK("https://www.wikidata.org/wiki/Q3588415", "Q3588415")</f>
        <v>0</v>
      </c>
      <c r="O6159" t="s">
        <v>20011</v>
      </c>
      <c r="P6159" t="s">
        <v>20460</v>
      </c>
      <c r="Q6159" t="s">
        <v>20787</v>
      </c>
      <c r="R6159" t="s">
        <v>17650</v>
      </c>
      <c r="S6159">
        <v>99</v>
      </c>
    </row>
    <row r="6160" spans="1:19">
      <c r="A6160" t="s">
        <v>28</v>
      </c>
      <c r="B6160" t="s">
        <v>148</v>
      </c>
      <c r="C6160" t="s">
        <v>160</v>
      </c>
      <c r="D6160" t="s">
        <v>289</v>
      </c>
      <c r="E6160" t="s">
        <v>418</v>
      </c>
      <c r="F6160">
        <f>HYPERLINK("https://www.wikidata.org/wiki/Q33755445", "Q33755445")</f>
        <v>0</v>
      </c>
      <c r="G6160" t="s">
        <v>3637</v>
      </c>
      <c r="H6160" t="s">
        <v>7970</v>
      </c>
      <c r="I6160" t="s">
        <v>9506</v>
      </c>
      <c r="J6160" t="s">
        <v>14217</v>
      </c>
      <c r="K6160" t="s">
        <v>18581</v>
      </c>
      <c r="L6160">
        <f>HYPERLINK("https://www2.assemblee-nationale.fr/sycomore/fiche/(num_dept)/4153", "4153")</f>
        <v>0</v>
      </c>
      <c r="N6160">
        <f>HYPERLINK("https://www.wikidata.org/wiki/Q2934973", "Q2934973")</f>
        <v>0</v>
      </c>
      <c r="O6160" t="s">
        <v>20017</v>
      </c>
      <c r="P6160" t="s">
        <v>20479</v>
      </c>
      <c r="Q6160" t="s">
        <v>20787</v>
      </c>
      <c r="R6160" t="s">
        <v>418</v>
      </c>
      <c r="S6160">
        <v>1745</v>
      </c>
    </row>
    <row r="6161" spans="1:19">
      <c r="A6161" t="s">
        <v>28</v>
      </c>
      <c r="B6161" t="s">
        <v>148</v>
      </c>
      <c r="C6161" t="s">
        <v>160</v>
      </c>
      <c r="D6161" t="s">
        <v>289</v>
      </c>
      <c r="E6161" t="s">
        <v>418</v>
      </c>
      <c r="F6161">
        <f>HYPERLINK("https://www.wikidata.org/wiki/Q33755445", "Q33755445")</f>
        <v>0</v>
      </c>
      <c r="G6161" t="s">
        <v>698</v>
      </c>
      <c r="H6161" t="s">
        <v>5456</v>
      </c>
      <c r="I6161" t="s">
        <v>9421</v>
      </c>
      <c r="J6161" t="s">
        <v>11448</v>
      </c>
      <c r="K6161" t="s">
        <v>15849</v>
      </c>
      <c r="L6161">
        <f>HYPERLINK("https://www2.assemblee-nationale.fr/sycomore/fiche/(num_dept)/4168", "4168")</f>
        <v>0</v>
      </c>
      <c r="M6161">
        <f>HYPERLINK("https://www.senat.fr/senateur-3eme-republique/lhopiteau_gustave0772r3.html", "lhopiteau_gustave0772r3")</f>
        <v>0</v>
      </c>
      <c r="N6161">
        <f>HYPERLINK("https://www.wikidata.org/wiki/Q3121244", "Q3121244")</f>
        <v>0</v>
      </c>
      <c r="O6161" t="s">
        <v>19971</v>
      </c>
      <c r="Q6161" t="s">
        <v>20787</v>
      </c>
      <c r="R6161" t="s">
        <v>418</v>
      </c>
      <c r="S6161">
        <v>1745</v>
      </c>
    </row>
    <row r="6162" spans="1:19">
      <c r="A6162" t="s">
        <v>28</v>
      </c>
      <c r="B6162" t="s">
        <v>148</v>
      </c>
      <c r="C6162" t="s">
        <v>160</v>
      </c>
      <c r="D6162" t="s">
        <v>289</v>
      </c>
      <c r="E6162" t="s">
        <v>418</v>
      </c>
      <c r="F6162">
        <f>HYPERLINK("https://www.wikidata.org/wiki/Q33755445", "Q33755445")</f>
        <v>0</v>
      </c>
      <c r="G6162" t="s">
        <v>699</v>
      </c>
      <c r="H6162" t="s">
        <v>5457</v>
      </c>
      <c r="I6162" t="s">
        <v>9376</v>
      </c>
      <c r="J6162" t="s">
        <v>11449</v>
      </c>
      <c r="K6162" t="s">
        <v>15850</v>
      </c>
      <c r="L6162">
        <f>HYPERLINK("https://www2.assemblee-nationale.fr/sycomore/fiche/(num_dept)/4171", "4171")</f>
        <v>0</v>
      </c>
      <c r="M6162">
        <f>HYPERLINK("https://www.senat.fr/senateur-3eme-republique/de_la_batut_ferdinand0668r3.html", "de_la_batut_ferdinand0668r3")</f>
        <v>0</v>
      </c>
      <c r="N6162">
        <f>HYPERLINK("https://www.wikidata.org/wiki/Q3068680", "Q3068680")</f>
        <v>0</v>
      </c>
      <c r="O6162" t="s">
        <v>20010</v>
      </c>
      <c r="Q6162" t="s">
        <v>20787</v>
      </c>
      <c r="R6162" t="s">
        <v>418</v>
      </c>
      <c r="S6162">
        <v>1745</v>
      </c>
    </row>
    <row r="6163" spans="1:19">
      <c r="A6163" t="s">
        <v>28</v>
      </c>
      <c r="B6163" t="s">
        <v>148</v>
      </c>
      <c r="C6163" t="s">
        <v>160</v>
      </c>
      <c r="D6163" t="s">
        <v>289</v>
      </c>
      <c r="E6163" t="s">
        <v>418</v>
      </c>
      <c r="F6163">
        <f>HYPERLINK("https://www.wikidata.org/wiki/Q33755445", "Q33755445")</f>
        <v>0</v>
      </c>
      <c r="G6163" t="s">
        <v>3071</v>
      </c>
      <c r="H6163" t="s">
        <v>7522</v>
      </c>
      <c r="I6163" t="s">
        <v>9500</v>
      </c>
      <c r="J6163" t="s">
        <v>13695</v>
      </c>
      <c r="K6163" t="s">
        <v>18078</v>
      </c>
      <c r="L6163">
        <f>HYPERLINK("https://www2.assemblee-nationale.fr/sycomore/fiche/(num_dept)/4172", "4172")</f>
        <v>0</v>
      </c>
      <c r="M6163">
        <f>HYPERLINK("https://www.senat.fr/senateur-3eme-republique/de_la_bourdonnaye_raoul1062r3.html", "de_la_bourdonnaye_raoul1062r3")</f>
        <v>0</v>
      </c>
      <c r="N6163">
        <f>HYPERLINK("https://www.wikidata.org/wiki/Q3292518", "Q3292518")</f>
        <v>0</v>
      </c>
      <c r="O6163" t="s">
        <v>19980</v>
      </c>
      <c r="Q6163" t="s">
        <v>20787</v>
      </c>
      <c r="R6163" t="s">
        <v>418</v>
      </c>
      <c r="S6163">
        <v>1745</v>
      </c>
    </row>
    <row r="6164" spans="1:19">
      <c r="A6164" t="s">
        <v>28</v>
      </c>
      <c r="B6164" t="s">
        <v>148</v>
      </c>
      <c r="C6164" t="s">
        <v>160</v>
      </c>
      <c r="D6164" t="s">
        <v>289</v>
      </c>
      <c r="E6164" t="s">
        <v>418</v>
      </c>
      <c r="F6164">
        <f>HYPERLINK("https://www.wikidata.org/wiki/Q33755445", "Q33755445")</f>
        <v>0</v>
      </c>
      <c r="G6164" t="s">
        <v>3138</v>
      </c>
      <c r="H6164" t="s">
        <v>5458</v>
      </c>
      <c r="I6164" t="s">
        <v>10654</v>
      </c>
      <c r="J6164" t="s">
        <v>13760</v>
      </c>
      <c r="K6164" t="s">
        <v>18137</v>
      </c>
      <c r="L6164">
        <f>HYPERLINK("https://www2.assemblee-nationale.fr/sycomore/fiche/(num_dept)/4178", "4178")</f>
        <v>0</v>
      </c>
      <c r="N6164">
        <f>HYPERLINK("https://www.wikidata.org/wiki/Q3131569", "Q3131569")</f>
        <v>0</v>
      </c>
      <c r="O6164" t="s">
        <v>20023</v>
      </c>
      <c r="Q6164" t="s">
        <v>20787</v>
      </c>
      <c r="R6164" t="s">
        <v>418</v>
      </c>
      <c r="S6164">
        <v>1745</v>
      </c>
    </row>
    <row r="6165" spans="1:19">
      <c r="A6165" t="s">
        <v>28</v>
      </c>
      <c r="B6165" t="s">
        <v>148</v>
      </c>
      <c r="C6165" t="s">
        <v>160</v>
      </c>
      <c r="D6165" t="s">
        <v>289</v>
      </c>
      <c r="E6165" t="s">
        <v>418</v>
      </c>
      <c r="F6165">
        <f>HYPERLINK("https://www.wikidata.org/wiki/Q33755445", "Q33755445")</f>
        <v>0</v>
      </c>
      <c r="G6165" t="s">
        <v>3393</v>
      </c>
      <c r="H6165" t="s">
        <v>7782</v>
      </c>
      <c r="I6165" t="s">
        <v>10805</v>
      </c>
      <c r="J6165" t="s">
        <v>14002</v>
      </c>
      <c r="K6165" t="s">
        <v>18371</v>
      </c>
      <c r="L6165">
        <f>HYPERLINK("https://www2.assemblee-nationale.fr/sycomore/fiche/(num_dept)/4182", "4182")</f>
        <v>0</v>
      </c>
      <c r="N6165">
        <f>HYPERLINK("https://www.wikidata.org/wiki/Q2960604", "Q2960604")</f>
        <v>0</v>
      </c>
      <c r="O6165" t="s">
        <v>19964</v>
      </c>
      <c r="P6165" t="s">
        <v>20460</v>
      </c>
      <c r="Q6165" t="s">
        <v>20787</v>
      </c>
      <c r="R6165" t="s">
        <v>418</v>
      </c>
      <c r="S6165">
        <v>1745</v>
      </c>
    </row>
    <row r="6166" spans="1:19">
      <c r="A6166" t="s">
        <v>28</v>
      </c>
      <c r="B6166" t="s">
        <v>148</v>
      </c>
      <c r="C6166" t="s">
        <v>160</v>
      </c>
      <c r="D6166" t="s">
        <v>289</v>
      </c>
      <c r="E6166" t="s">
        <v>418</v>
      </c>
      <c r="F6166">
        <f>HYPERLINK("https://www.wikidata.org/wiki/Q33755445", "Q33755445")</f>
        <v>0</v>
      </c>
      <c r="G6166" t="s">
        <v>2606</v>
      </c>
      <c r="H6166" t="s">
        <v>7155</v>
      </c>
      <c r="I6166" t="s">
        <v>9440</v>
      </c>
      <c r="J6166" t="s">
        <v>13249</v>
      </c>
      <c r="K6166" t="s">
        <v>17651</v>
      </c>
      <c r="L6166">
        <f>HYPERLINK("https://www2.assemblee-nationale.fr/sycomore/fiche/(num_dept)/4183", "4183")</f>
        <v>0</v>
      </c>
      <c r="N6166">
        <f>HYPERLINK("https://www.wikidata.org/wiki/Q2844734", "Q2844734")</f>
        <v>0</v>
      </c>
      <c r="O6166" t="s">
        <v>20021</v>
      </c>
      <c r="P6166" t="s">
        <v>20402</v>
      </c>
      <c r="Q6166" t="s">
        <v>20787</v>
      </c>
      <c r="R6166" t="s">
        <v>418</v>
      </c>
      <c r="S6166">
        <v>1745</v>
      </c>
    </row>
    <row r="6167" spans="1:19">
      <c r="A6167" t="s">
        <v>28</v>
      </c>
      <c r="B6167" t="s">
        <v>148</v>
      </c>
      <c r="C6167" t="s">
        <v>160</v>
      </c>
      <c r="D6167" t="s">
        <v>289</v>
      </c>
      <c r="E6167" t="s">
        <v>418</v>
      </c>
      <c r="F6167">
        <f>HYPERLINK("https://www.wikidata.org/wiki/Q33755445", "Q33755445")</f>
        <v>0</v>
      </c>
      <c r="G6167" t="s">
        <v>2607</v>
      </c>
      <c r="H6167" t="s">
        <v>7156</v>
      </c>
      <c r="I6167" t="s">
        <v>10309</v>
      </c>
      <c r="J6167" t="s">
        <v>13250</v>
      </c>
      <c r="K6167" t="s">
        <v>17652</v>
      </c>
      <c r="L6167">
        <f>HYPERLINK("https://www2.assemblee-nationale.fr/sycomore/fiche/(num_dept)/4186", "4186")</f>
        <v>0</v>
      </c>
      <c r="N6167">
        <f>HYPERLINK("https://www.wikidata.org/wiki/Q3491366", "Q3491366")</f>
        <v>0</v>
      </c>
      <c r="O6167" t="s">
        <v>19956</v>
      </c>
      <c r="P6167" t="s">
        <v>20460</v>
      </c>
      <c r="Q6167" t="s">
        <v>20787</v>
      </c>
      <c r="R6167" t="s">
        <v>418</v>
      </c>
      <c r="S6167">
        <v>1745</v>
      </c>
    </row>
    <row r="6168" spans="1:19">
      <c r="A6168" t="s">
        <v>28</v>
      </c>
      <c r="B6168" t="s">
        <v>148</v>
      </c>
      <c r="C6168" t="s">
        <v>160</v>
      </c>
      <c r="D6168" t="s">
        <v>289</v>
      </c>
      <c r="E6168" t="s">
        <v>418</v>
      </c>
      <c r="F6168">
        <f>HYPERLINK("https://www.wikidata.org/wiki/Q33755445", "Q33755445")</f>
        <v>0</v>
      </c>
      <c r="G6168" t="s">
        <v>2608</v>
      </c>
      <c r="H6168" t="s">
        <v>7157</v>
      </c>
      <c r="I6168" t="s">
        <v>10310</v>
      </c>
      <c r="J6168" t="s">
        <v>13251</v>
      </c>
      <c r="K6168" t="s">
        <v>17653</v>
      </c>
      <c r="L6168">
        <f>HYPERLINK("https://www2.assemblee-nationale.fr/sycomore/fiche/(num_dept)/4187", "4187")</f>
        <v>0</v>
      </c>
      <c r="N6168">
        <f>HYPERLINK("https://www.wikidata.org/wiki/Q6075430", "Q6075430")</f>
        <v>0</v>
      </c>
      <c r="O6168" t="s">
        <v>20021</v>
      </c>
      <c r="P6168" t="s">
        <v>20460</v>
      </c>
      <c r="Q6168" t="s">
        <v>20787</v>
      </c>
      <c r="R6168" t="s">
        <v>17653</v>
      </c>
      <c r="S6168">
        <v>1440</v>
      </c>
    </row>
    <row r="6169" spans="1:19">
      <c r="A6169" t="s">
        <v>28</v>
      </c>
      <c r="B6169" t="s">
        <v>148</v>
      </c>
      <c r="C6169" t="s">
        <v>160</v>
      </c>
      <c r="D6169" t="s">
        <v>289</v>
      </c>
      <c r="E6169" t="s">
        <v>418</v>
      </c>
      <c r="F6169">
        <f>HYPERLINK("https://www.wikidata.org/wiki/Q33755445", "Q33755445")</f>
        <v>0</v>
      </c>
      <c r="G6169" t="s">
        <v>3710</v>
      </c>
      <c r="H6169" t="s">
        <v>8024</v>
      </c>
      <c r="I6169" t="s">
        <v>6860</v>
      </c>
      <c r="J6169" t="s">
        <v>14285</v>
      </c>
      <c r="K6169" t="s">
        <v>18643</v>
      </c>
      <c r="L6169">
        <f>HYPERLINK("https://www2.assemblee-nationale.fr/sycomore/fiche/(num_dept)/4194", "4194")</f>
        <v>0</v>
      </c>
      <c r="N6169">
        <f>HYPERLINK("https://www.wikidata.org/wiki/Q16025898", "Q16025898")</f>
        <v>0</v>
      </c>
      <c r="O6169" t="s">
        <v>19967</v>
      </c>
      <c r="Q6169" t="s">
        <v>20787</v>
      </c>
      <c r="R6169" t="s">
        <v>418</v>
      </c>
      <c r="S6169">
        <v>1745</v>
      </c>
    </row>
    <row r="6170" spans="1:19">
      <c r="A6170" t="s">
        <v>28</v>
      </c>
      <c r="B6170" t="s">
        <v>148</v>
      </c>
      <c r="C6170" t="s">
        <v>160</v>
      </c>
      <c r="D6170" t="s">
        <v>289</v>
      </c>
      <c r="E6170" t="s">
        <v>418</v>
      </c>
      <c r="F6170">
        <f>HYPERLINK("https://www.wikidata.org/wiki/Q33755445", "Q33755445")</f>
        <v>0</v>
      </c>
      <c r="G6170" t="s">
        <v>3711</v>
      </c>
      <c r="H6170" t="s">
        <v>7158</v>
      </c>
      <c r="I6170" t="s">
        <v>9451</v>
      </c>
      <c r="J6170" t="s">
        <v>14286</v>
      </c>
      <c r="K6170" t="s">
        <v>18644</v>
      </c>
      <c r="L6170">
        <f>HYPERLINK("https://www2.assemblee-nationale.fr/sycomore/fiche/(num_dept)/4196", "4196")</f>
        <v>0</v>
      </c>
      <c r="N6170">
        <f>HYPERLINK("https://www.wikidata.org/wiki/Q16025899", "Q16025899")</f>
        <v>0</v>
      </c>
      <c r="O6170" t="s">
        <v>19987</v>
      </c>
      <c r="Q6170" t="s">
        <v>20787</v>
      </c>
      <c r="R6170" t="s">
        <v>18644</v>
      </c>
      <c r="S6170">
        <v>1117</v>
      </c>
    </row>
    <row r="6171" spans="1:19">
      <c r="A6171" t="s">
        <v>28</v>
      </c>
      <c r="B6171" t="s">
        <v>148</v>
      </c>
      <c r="C6171" t="s">
        <v>160</v>
      </c>
      <c r="D6171" t="s">
        <v>289</v>
      </c>
      <c r="E6171" t="s">
        <v>418</v>
      </c>
      <c r="F6171">
        <f>HYPERLINK("https://www.wikidata.org/wiki/Q33755445", "Q33755445")</f>
        <v>0</v>
      </c>
      <c r="G6171" t="s">
        <v>3067</v>
      </c>
      <c r="H6171" t="s">
        <v>7519</v>
      </c>
      <c r="I6171" t="s">
        <v>10607</v>
      </c>
      <c r="J6171" t="s">
        <v>13691</v>
      </c>
      <c r="K6171" t="s">
        <v>18074</v>
      </c>
      <c r="L6171">
        <f>HYPERLINK("https://www2.assemblee-nationale.fr/sycomore/fiche/(num_dept)/4209", "4209")</f>
        <v>0</v>
      </c>
      <c r="M6171">
        <f>HYPERLINK("https://www.senat.fr/senateur-3eme-republique/labrousse_philippe0456r3.html", "labrousse_philippe0456r3")</f>
        <v>0</v>
      </c>
      <c r="N6171">
        <f>HYPERLINK("https://www.wikidata.org/wiki/Q3380114", "Q3380114")</f>
        <v>0</v>
      </c>
      <c r="O6171" t="s">
        <v>20020</v>
      </c>
      <c r="Q6171" t="s">
        <v>20787</v>
      </c>
      <c r="R6171" t="s">
        <v>17930</v>
      </c>
      <c r="S6171">
        <v>95</v>
      </c>
    </row>
    <row r="6172" spans="1:19">
      <c r="A6172" t="s">
        <v>28</v>
      </c>
      <c r="B6172" t="s">
        <v>148</v>
      </c>
      <c r="C6172" t="s">
        <v>160</v>
      </c>
      <c r="D6172" t="s">
        <v>289</v>
      </c>
      <c r="E6172" t="s">
        <v>418</v>
      </c>
      <c r="F6172">
        <f>HYPERLINK("https://www.wikidata.org/wiki/Q33755445", "Q33755445")</f>
        <v>0</v>
      </c>
      <c r="G6172" t="s">
        <v>3712</v>
      </c>
      <c r="H6172" t="s">
        <v>5462</v>
      </c>
      <c r="I6172" t="s">
        <v>6495</v>
      </c>
      <c r="J6172" t="s">
        <v>14287</v>
      </c>
      <c r="K6172" t="s">
        <v>15701</v>
      </c>
      <c r="L6172">
        <f>HYPERLINK("https://www2.assemblee-nationale.fr/sycomore/fiche/(num_dept)/4228", "4228")</f>
        <v>0</v>
      </c>
      <c r="N6172">
        <f>HYPERLINK("https://www.wikidata.org/wiki/Q16025912", "Q16025912")</f>
        <v>0</v>
      </c>
      <c r="O6172" t="s">
        <v>19967</v>
      </c>
      <c r="P6172" t="s">
        <v>20401</v>
      </c>
      <c r="Q6172" t="s">
        <v>20787</v>
      </c>
      <c r="R6172" t="s">
        <v>418</v>
      </c>
      <c r="S6172">
        <v>1745</v>
      </c>
    </row>
    <row r="6173" spans="1:19">
      <c r="A6173" t="s">
        <v>28</v>
      </c>
      <c r="B6173" t="s">
        <v>148</v>
      </c>
      <c r="C6173" t="s">
        <v>160</v>
      </c>
      <c r="D6173" t="s">
        <v>289</v>
      </c>
      <c r="E6173" t="s">
        <v>418</v>
      </c>
      <c r="F6173">
        <f>HYPERLINK("https://www.wikidata.org/wiki/Q33755445", "Q33755445")</f>
        <v>0</v>
      </c>
      <c r="G6173" t="s">
        <v>2960</v>
      </c>
      <c r="H6173" t="s">
        <v>7431</v>
      </c>
      <c r="I6173" t="s">
        <v>9552</v>
      </c>
      <c r="J6173" t="s">
        <v>13592</v>
      </c>
      <c r="K6173" t="s">
        <v>17978</v>
      </c>
      <c r="L6173">
        <f>HYPERLINK("https://www2.assemblee-nationale.fr/sycomore/fiche/(num_dept)/4231", "4231")</f>
        <v>0</v>
      </c>
      <c r="N6173">
        <f>HYPERLINK("https://www.wikidata.org/wiki/Q16025913", "Q16025913")</f>
        <v>0</v>
      </c>
      <c r="O6173" t="s">
        <v>19979</v>
      </c>
      <c r="P6173" t="s">
        <v>20401</v>
      </c>
      <c r="Q6173" t="s">
        <v>20787</v>
      </c>
      <c r="R6173" t="s">
        <v>418</v>
      </c>
      <c r="S6173">
        <v>1745</v>
      </c>
    </row>
    <row r="6174" spans="1:19">
      <c r="A6174" t="s">
        <v>28</v>
      </c>
      <c r="B6174" t="s">
        <v>148</v>
      </c>
      <c r="C6174" t="s">
        <v>160</v>
      </c>
      <c r="D6174" t="s">
        <v>289</v>
      </c>
      <c r="E6174" t="s">
        <v>418</v>
      </c>
      <c r="F6174">
        <f>HYPERLINK("https://www.wikidata.org/wiki/Q33755445", "Q33755445")</f>
        <v>0</v>
      </c>
      <c r="G6174" t="s">
        <v>2611</v>
      </c>
      <c r="H6174" t="s">
        <v>7160</v>
      </c>
      <c r="I6174" t="s">
        <v>10312</v>
      </c>
      <c r="J6174" t="s">
        <v>13254</v>
      </c>
      <c r="K6174" t="s">
        <v>17656</v>
      </c>
      <c r="L6174">
        <f>HYPERLINK("https://www2.assemblee-nationale.fr/sycomore/fiche/(num_dept)/4236", "4236")</f>
        <v>0</v>
      </c>
      <c r="N6174">
        <f>HYPERLINK("https://www.wikidata.org/wiki/Q3383114", "Q3383114")</f>
        <v>0</v>
      </c>
      <c r="O6174" t="s">
        <v>19994</v>
      </c>
      <c r="P6174" t="s">
        <v>20401</v>
      </c>
      <c r="Q6174" t="s">
        <v>20787</v>
      </c>
      <c r="R6174" t="s">
        <v>418</v>
      </c>
      <c r="S6174">
        <v>1745</v>
      </c>
    </row>
    <row r="6175" spans="1:19">
      <c r="A6175" t="s">
        <v>28</v>
      </c>
      <c r="B6175" t="s">
        <v>148</v>
      </c>
      <c r="C6175" t="s">
        <v>160</v>
      </c>
      <c r="D6175" t="s">
        <v>289</v>
      </c>
      <c r="E6175" t="s">
        <v>418</v>
      </c>
      <c r="F6175">
        <f>HYPERLINK("https://www.wikidata.org/wiki/Q33755445", "Q33755445")</f>
        <v>0</v>
      </c>
      <c r="G6175" t="s">
        <v>3389</v>
      </c>
      <c r="H6175" t="s">
        <v>7505</v>
      </c>
      <c r="I6175" t="s">
        <v>9423</v>
      </c>
      <c r="J6175" t="s">
        <v>13150</v>
      </c>
      <c r="K6175" t="s">
        <v>18368</v>
      </c>
      <c r="L6175">
        <f>HYPERLINK("https://www2.assemblee-nationale.fr/sycomore/fiche/(num_dept)/4238", "4238")</f>
        <v>0</v>
      </c>
      <c r="N6175">
        <f>HYPERLINK("https://www.wikidata.org/wiki/Q3120001", "Q3120001")</f>
        <v>0</v>
      </c>
      <c r="O6175" t="s">
        <v>19958</v>
      </c>
      <c r="Q6175" t="s">
        <v>20787</v>
      </c>
      <c r="R6175" t="s">
        <v>418</v>
      </c>
      <c r="S6175">
        <v>1745</v>
      </c>
    </row>
    <row r="6176" spans="1:19">
      <c r="A6176" t="s">
        <v>28</v>
      </c>
      <c r="B6176" t="s">
        <v>148</v>
      </c>
      <c r="C6176" t="s">
        <v>160</v>
      </c>
      <c r="D6176" t="s">
        <v>289</v>
      </c>
      <c r="E6176" t="s">
        <v>418</v>
      </c>
      <c r="F6176">
        <f>HYPERLINK("https://www.wikidata.org/wiki/Q33755445", "Q33755445")</f>
        <v>0</v>
      </c>
      <c r="G6176" t="s">
        <v>3624</v>
      </c>
      <c r="H6176" t="s">
        <v>5992</v>
      </c>
      <c r="I6176" t="s">
        <v>9442</v>
      </c>
      <c r="J6176" t="s">
        <v>14205</v>
      </c>
      <c r="K6176" t="s">
        <v>12941</v>
      </c>
      <c r="L6176">
        <f>HYPERLINK("https://www2.assemblee-nationale.fr/sycomore/fiche/(num_dept)/4260", "4260")</f>
        <v>0</v>
      </c>
      <c r="N6176">
        <f>HYPERLINK("https://www.wikidata.org/wiki/Q17350214", "Q17350214")</f>
        <v>0</v>
      </c>
      <c r="O6176" t="s">
        <v>19970</v>
      </c>
      <c r="Q6176" t="s">
        <v>20787</v>
      </c>
      <c r="R6176" t="s">
        <v>12941</v>
      </c>
      <c r="S6176">
        <v>947</v>
      </c>
    </row>
    <row r="6177" spans="1:19">
      <c r="A6177" t="s">
        <v>28</v>
      </c>
      <c r="B6177" t="s">
        <v>148</v>
      </c>
      <c r="C6177" t="s">
        <v>160</v>
      </c>
      <c r="D6177" t="s">
        <v>289</v>
      </c>
      <c r="E6177" t="s">
        <v>418</v>
      </c>
      <c r="F6177">
        <f>HYPERLINK("https://www.wikidata.org/wiki/Q33755445", "Q33755445")</f>
        <v>0</v>
      </c>
      <c r="G6177" t="s">
        <v>3469</v>
      </c>
      <c r="H6177" t="s">
        <v>7842</v>
      </c>
      <c r="I6177" t="s">
        <v>9401</v>
      </c>
      <c r="J6177" t="s">
        <v>14070</v>
      </c>
      <c r="K6177" t="s">
        <v>18438</v>
      </c>
      <c r="L6177">
        <f>HYPERLINK("https://www2.assemblee-nationale.fr/sycomore/fiche/(num_dept)/4264", "4264")</f>
        <v>0</v>
      </c>
      <c r="N6177">
        <f>HYPERLINK("https://www.wikidata.org/wiki/Q586560", "Q586560")</f>
        <v>0</v>
      </c>
      <c r="O6177" t="s">
        <v>19990</v>
      </c>
      <c r="P6177" t="s">
        <v>20494</v>
      </c>
      <c r="Q6177" t="s">
        <v>20787</v>
      </c>
      <c r="R6177" t="s">
        <v>418</v>
      </c>
      <c r="S6177">
        <v>1745</v>
      </c>
    </row>
    <row r="6178" spans="1:19">
      <c r="A6178" t="s">
        <v>28</v>
      </c>
      <c r="B6178" t="s">
        <v>148</v>
      </c>
      <c r="C6178" t="s">
        <v>160</v>
      </c>
      <c r="D6178" t="s">
        <v>289</v>
      </c>
      <c r="E6178" t="s">
        <v>418</v>
      </c>
      <c r="F6178">
        <f>HYPERLINK("https://www.wikidata.org/wiki/Q33755445", "Q33755445")</f>
        <v>0</v>
      </c>
      <c r="G6178" t="s">
        <v>707</v>
      </c>
      <c r="H6178" t="s">
        <v>5465</v>
      </c>
      <c r="I6178" t="s">
        <v>9453</v>
      </c>
      <c r="J6178" t="s">
        <v>11457</v>
      </c>
      <c r="K6178" t="s">
        <v>15858</v>
      </c>
      <c r="L6178">
        <f>HYPERLINK("https://www2.assemblee-nationale.fr/sycomore/fiche/(num_dept)/4312", "4312")</f>
        <v>0</v>
      </c>
      <c r="N6178">
        <f>HYPERLINK("https://www.wikidata.org/wiki/Q2865188", "Q2865188")</f>
        <v>0</v>
      </c>
      <c r="O6178" t="s">
        <v>19968</v>
      </c>
      <c r="Q6178" t="s">
        <v>20787</v>
      </c>
      <c r="R6178" t="s">
        <v>418</v>
      </c>
      <c r="S6178">
        <v>1745</v>
      </c>
    </row>
    <row r="6179" spans="1:19">
      <c r="A6179" t="s">
        <v>28</v>
      </c>
      <c r="B6179" t="s">
        <v>148</v>
      </c>
      <c r="C6179" t="s">
        <v>160</v>
      </c>
      <c r="D6179" t="s">
        <v>289</v>
      </c>
      <c r="E6179" t="s">
        <v>418</v>
      </c>
      <c r="F6179">
        <f>HYPERLINK("https://www.wikidata.org/wiki/Q33755445", "Q33755445")</f>
        <v>0</v>
      </c>
      <c r="G6179" t="s">
        <v>710</v>
      </c>
      <c r="H6179" t="s">
        <v>5468</v>
      </c>
      <c r="I6179" t="s">
        <v>9491</v>
      </c>
      <c r="J6179" t="s">
        <v>11459</v>
      </c>
      <c r="K6179" t="s">
        <v>15861</v>
      </c>
      <c r="L6179">
        <f>HYPERLINK("https://www2.assemblee-nationale.fr/sycomore/fiche/(num_dept)/4339", "4339")</f>
        <v>0</v>
      </c>
      <c r="N6179">
        <f>HYPERLINK("https://www.wikidata.org/wiki/Q3370301", "Q3370301")</f>
        <v>0</v>
      </c>
      <c r="O6179" t="s">
        <v>19961</v>
      </c>
      <c r="Q6179" t="s">
        <v>20787</v>
      </c>
      <c r="R6179" t="s">
        <v>418</v>
      </c>
      <c r="S6179">
        <v>1745</v>
      </c>
    </row>
    <row r="6180" spans="1:19">
      <c r="A6180" t="s">
        <v>28</v>
      </c>
      <c r="B6180" t="s">
        <v>148</v>
      </c>
      <c r="C6180" t="s">
        <v>160</v>
      </c>
      <c r="D6180" t="s">
        <v>289</v>
      </c>
      <c r="E6180" t="s">
        <v>418</v>
      </c>
      <c r="F6180">
        <f>HYPERLINK("https://www.wikidata.org/wiki/Q33755445", "Q33755445")</f>
        <v>0</v>
      </c>
      <c r="G6180" t="s">
        <v>3713</v>
      </c>
      <c r="H6180" t="s">
        <v>8025</v>
      </c>
      <c r="I6180" t="s">
        <v>10945</v>
      </c>
      <c r="J6180" t="s">
        <v>14288</v>
      </c>
      <c r="K6180" t="s">
        <v>18645</v>
      </c>
      <c r="L6180">
        <f>HYPERLINK("https://www2.assemblee-nationale.fr/sycomore/fiche/(num_dept)/4340", "4340")</f>
        <v>0</v>
      </c>
      <c r="M6180">
        <f>HYPERLINK("https://www.senat.fr/senateur-3eme-republique/lannelongue_odilon0147r3.html", "lannelongue_odilon0147r3")</f>
        <v>0</v>
      </c>
      <c r="N6180">
        <f>HYPERLINK("https://www.wikidata.org/wiki/Q2331612", "Q2331612")</f>
        <v>0</v>
      </c>
      <c r="O6180" t="s">
        <v>20003</v>
      </c>
      <c r="P6180" t="s">
        <v>20401</v>
      </c>
      <c r="Q6180" t="s">
        <v>20787</v>
      </c>
      <c r="R6180" t="s">
        <v>418</v>
      </c>
      <c r="S6180">
        <v>1745</v>
      </c>
    </row>
    <row r="6181" spans="1:19">
      <c r="A6181" t="s">
        <v>28</v>
      </c>
      <c r="B6181" t="s">
        <v>148</v>
      </c>
      <c r="C6181" t="s">
        <v>160</v>
      </c>
      <c r="D6181" t="s">
        <v>289</v>
      </c>
      <c r="E6181" t="s">
        <v>418</v>
      </c>
      <c r="F6181">
        <f>HYPERLINK("https://www.wikidata.org/wiki/Q33755445", "Q33755445")</f>
        <v>0</v>
      </c>
      <c r="G6181" t="s">
        <v>711</v>
      </c>
      <c r="H6181" t="s">
        <v>5469</v>
      </c>
      <c r="I6181" t="s">
        <v>9492</v>
      </c>
      <c r="J6181" t="s">
        <v>11460</v>
      </c>
      <c r="K6181" t="s">
        <v>15862</v>
      </c>
      <c r="L6181">
        <f>HYPERLINK("https://www2.assemblee-nationale.fr/sycomore/fiche/(num_dept)/4341", "4341")</f>
        <v>0</v>
      </c>
      <c r="N6181">
        <f>HYPERLINK("https://www.wikidata.org/wiki/Q2825199", "Q2825199")</f>
        <v>0</v>
      </c>
      <c r="O6181" t="s">
        <v>20025</v>
      </c>
      <c r="Q6181" t="s">
        <v>20787</v>
      </c>
      <c r="R6181" t="s">
        <v>418</v>
      </c>
      <c r="S6181">
        <v>1745</v>
      </c>
    </row>
    <row r="6182" spans="1:19">
      <c r="A6182" t="s">
        <v>28</v>
      </c>
      <c r="B6182" t="s">
        <v>148</v>
      </c>
      <c r="C6182" t="s">
        <v>160</v>
      </c>
      <c r="D6182" t="s">
        <v>289</v>
      </c>
      <c r="E6182" t="s">
        <v>418</v>
      </c>
      <c r="F6182">
        <f>HYPERLINK("https://www.wikidata.org/wiki/Q33755445", "Q33755445")</f>
        <v>0</v>
      </c>
      <c r="G6182" t="s">
        <v>3080</v>
      </c>
      <c r="H6182" t="s">
        <v>6493</v>
      </c>
      <c r="I6182" t="s">
        <v>10616</v>
      </c>
      <c r="J6182" t="s">
        <v>13703</v>
      </c>
      <c r="K6182" t="s">
        <v>18086</v>
      </c>
      <c r="L6182">
        <f>HYPERLINK("https://www2.assemblee-nationale.fr/sycomore/fiche/(num_dept)/4363", "4363")</f>
        <v>0</v>
      </c>
      <c r="N6182">
        <f>HYPERLINK("https://www.wikidata.org/wiki/Q3047523", "Q3047523")</f>
        <v>0</v>
      </c>
      <c r="O6182" t="s">
        <v>20031</v>
      </c>
      <c r="Q6182" t="s">
        <v>20787</v>
      </c>
      <c r="R6182" t="s">
        <v>418</v>
      </c>
      <c r="S6182">
        <v>1745</v>
      </c>
    </row>
    <row r="6183" spans="1:19">
      <c r="A6183" t="s">
        <v>28</v>
      </c>
      <c r="B6183" t="s">
        <v>148</v>
      </c>
      <c r="C6183" t="s">
        <v>160</v>
      </c>
      <c r="D6183" t="s">
        <v>289</v>
      </c>
      <c r="E6183" t="s">
        <v>418</v>
      </c>
      <c r="F6183">
        <f>HYPERLINK("https://www.wikidata.org/wiki/Q33755445", "Q33755445")</f>
        <v>0</v>
      </c>
      <c r="G6183" t="s">
        <v>3714</v>
      </c>
      <c r="H6183" t="s">
        <v>7433</v>
      </c>
      <c r="I6183" t="s">
        <v>6860</v>
      </c>
      <c r="J6183" t="s">
        <v>14289</v>
      </c>
      <c r="K6183" t="s">
        <v>18646</v>
      </c>
      <c r="L6183">
        <f>HYPERLINK("https://www2.assemblee-nationale.fr/sycomore/fiche/(num_dept)/4367", "4367")</f>
        <v>0</v>
      </c>
      <c r="N6183">
        <f>HYPERLINK("https://www.wikidata.org/wiki/Q16025942", "Q16025942")</f>
        <v>0</v>
      </c>
      <c r="O6183" t="s">
        <v>19987</v>
      </c>
      <c r="P6183" t="s">
        <v>20479</v>
      </c>
      <c r="Q6183" t="s">
        <v>20787</v>
      </c>
      <c r="R6183" t="s">
        <v>418</v>
      </c>
      <c r="S6183">
        <v>1745</v>
      </c>
    </row>
    <row r="6184" spans="1:19">
      <c r="A6184" t="s">
        <v>28</v>
      </c>
      <c r="B6184" t="s">
        <v>148</v>
      </c>
      <c r="C6184" t="s">
        <v>160</v>
      </c>
      <c r="D6184" t="s">
        <v>289</v>
      </c>
      <c r="E6184" t="s">
        <v>418</v>
      </c>
      <c r="F6184">
        <f>HYPERLINK("https://www.wikidata.org/wiki/Q33755445", "Q33755445")</f>
        <v>0</v>
      </c>
      <c r="G6184" t="s">
        <v>3144</v>
      </c>
      <c r="H6184" t="s">
        <v>7583</v>
      </c>
      <c r="I6184" t="s">
        <v>9401</v>
      </c>
      <c r="J6184" t="s">
        <v>13766</v>
      </c>
      <c r="K6184" t="s">
        <v>18141</v>
      </c>
      <c r="L6184">
        <f>HYPERLINK("https://www2.assemblee-nationale.fr/sycomore/fiche/(num_dept)/4376", "4376")</f>
        <v>0</v>
      </c>
      <c r="N6184">
        <f>HYPERLINK("https://www.wikidata.org/wiki/Q16025945", "Q16025945")</f>
        <v>0</v>
      </c>
      <c r="O6184" t="s">
        <v>19966</v>
      </c>
      <c r="Q6184" t="s">
        <v>20787</v>
      </c>
      <c r="R6184" t="s">
        <v>418</v>
      </c>
      <c r="S6184">
        <v>1745</v>
      </c>
    </row>
    <row r="6185" spans="1:19">
      <c r="A6185" t="s">
        <v>28</v>
      </c>
      <c r="B6185" t="s">
        <v>148</v>
      </c>
      <c r="C6185" t="s">
        <v>160</v>
      </c>
      <c r="D6185" t="s">
        <v>289</v>
      </c>
      <c r="E6185" t="s">
        <v>418</v>
      </c>
      <c r="F6185">
        <f>HYPERLINK("https://www.wikidata.org/wiki/Q33755445", "Q33755445")</f>
        <v>0</v>
      </c>
      <c r="G6185" t="s">
        <v>3613</v>
      </c>
      <c r="H6185" t="s">
        <v>6928</v>
      </c>
      <c r="I6185" t="s">
        <v>7642</v>
      </c>
      <c r="J6185" t="s">
        <v>14197</v>
      </c>
      <c r="K6185" t="s">
        <v>18563</v>
      </c>
      <c r="L6185">
        <f>HYPERLINK("https://www2.assemblee-nationale.fr/sycomore/fiche/(num_dept)/4384", "4384")</f>
        <v>0</v>
      </c>
      <c r="N6185">
        <f>HYPERLINK("https://www.wikidata.org/wiki/Q16025947", "Q16025947")</f>
        <v>0</v>
      </c>
      <c r="O6185" t="s">
        <v>20045</v>
      </c>
      <c r="Q6185" t="s">
        <v>20787</v>
      </c>
      <c r="R6185" t="s">
        <v>418</v>
      </c>
      <c r="S6185">
        <v>1745</v>
      </c>
    </row>
    <row r="6186" spans="1:19">
      <c r="A6186" t="s">
        <v>28</v>
      </c>
      <c r="B6186" t="s">
        <v>148</v>
      </c>
      <c r="C6186" t="s">
        <v>160</v>
      </c>
      <c r="D6186" t="s">
        <v>289</v>
      </c>
      <c r="E6186" t="s">
        <v>418</v>
      </c>
      <c r="F6186">
        <f>HYPERLINK("https://www.wikidata.org/wiki/Q33755445", "Q33755445")</f>
        <v>0</v>
      </c>
      <c r="G6186" t="s">
        <v>1095</v>
      </c>
      <c r="H6186" t="s">
        <v>5837</v>
      </c>
      <c r="I6186" t="s">
        <v>9385</v>
      </c>
      <c r="J6186" t="s">
        <v>11831</v>
      </c>
      <c r="K6186" t="s">
        <v>16231</v>
      </c>
      <c r="L6186">
        <f>HYPERLINK("https://www2.assemblee-nationale.fr/sycomore/fiche/(num_dept)/4812", "4812")</f>
        <v>0</v>
      </c>
      <c r="N6186">
        <f>HYPERLINK("https://www.wikidata.org/wiki/Q2959663", "Q2959663")</f>
        <v>0</v>
      </c>
      <c r="O6186" t="s">
        <v>19992</v>
      </c>
      <c r="Q6186" t="s">
        <v>20787</v>
      </c>
      <c r="R6186" t="s">
        <v>418</v>
      </c>
      <c r="S6186">
        <v>1745</v>
      </c>
    </row>
    <row r="6187" spans="1:19">
      <c r="A6187" t="s">
        <v>28</v>
      </c>
      <c r="B6187" t="s">
        <v>148</v>
      </c>
      <c r="C6187" t="s">
        <v>160</v>
      </c>
      <c r="D6187" t="s">
        <v>289</v>
      </c>
      <c r="E6187" t="s">
        <v>418</v>
      </c>
      <c r="F6187">
        <f>HYPERLINK("https://www.wikidata.org/wiki/Q33755445", "Q33755445")</f>
        <v>0</v>
      </c>
      <c r="G6187" t="s">
        <v>3354</v>
      </c>
      <c r="H6187" t="s">
        <v>7261</v>
      </c>
      <c r="I6187" t="s">
        <v>10788</v>
      </c>
      <c r="J6187" t="s">
        <v>13966</v>
      </c>
      <c r="K6187" t="s">
        <v>18336</v>
      </c>
      <c r="L6187">
        <f>HYPERLINK("https://www2.assemblee-nationale.fr/sycomore/fiche/(num_dept)/4813", "4813")</f>
        <v>0</v>
      </c>
      <c r="N6187">
        <f>HYPERLINK("https://www.wikidata.org/wiki/Q3588627", "Q3588627")</f>
        <v>0</v>
      </c>
      <c r="O6187" t="s">
        <v>19961</v>
      </c>
      <c r="P6187" t="s">
        <v>20460</v>
      </c>
      <c r="Q6187" t="s">
        <v>20787</v>
      </c>
      <c r="R6187" t="s">
        <v>418</v>
      </c>
      <c r="S6187">
        <v>1745</v>
      </c>
    </row>
    <row r="6188" spans="1:19">
      <c r="A6188" t="s">
        <v>28</v>
      </c>
      <c r="B6188" t="s">
        <v>148</v>
      </c>
      <c r="C6188" t="s">
        <v>160</v>
      </c>
      <c r="D6188" t="s">
        <v>289</v>
      </c>
      <c r="E6188" t="s">
        <v>418</v>
      </c>
      <c r="F6188">
        <f>HYPERLINK("https://www.wikidata.org/wiki/Q33755445", "Q33755445")</f>
        <v>0</v>
      </c>
      <c r="G6188" t="s">
        <v>988</v>
      </c>
      <c r="H6188" t="s">
        <v>5740</v>
      </c>
      <c r="I6188" t="s">
        <v>9457</v>
      </c>
      <c r="J6188" t="s">
        <v>11726</v>
      </c>
      <c r="K6188" t="s">
        <v>16130</v>
      </c>
      <c r="L6188">
        <f>HYPERLINK("https://www2.assemblee-nationale.fr/sycomore/fiche/(num_dept)/4828", "4828")</f>
        <v>0</v>
      </c>
      <c r="N6188">
        <f>HYPERLINK("https://www.wikidata.org/wiki/Q16026012", "Q16026012")</f>
        <v>0</v>
      </c>
      <c r="O6188" t="s">
        <v>20034</v>
      </c>
      <c r="Q6188" t="s">
        <v>20787</v>
      </c>
      <c r="R6188" t="s">
        <v>418</v>
      </c>
      <c r="S6188">
        <v>1745</v>
      </c>
    </row>
    <row r="6189" spans="1:19">
      <c r="A6189" t="s">
        <v>28</v>
      </c>
      <c r="B6189" t="s">
        <v>148</v>
      </c>
      <c r="C6189" t="s">
        <v>160</v>
      </c>
      <c r="D6189" t="s">
        <v>289</v>
      </c>
      <c r="E6189" t="s">
        <v>418</v>
      </c>
      <c r="F6189">
        <f>HYPERLINK("https://www.wikidata.org/wiki/Q33755445", "Q33755445")</f>
        <v>0</v>
      </c>
      <c r="G6189" t="s">
        <v>716</v>
      </c>
      <c r="H6189" t="s">
        <v>5474</v>
      </c>
      <c r="I6189" t="s">
        <v>9495</v>
      </c>
      <c r="J6189" t="s">
        <v>11465</v>
      </c>
      <c r="K6189" t="s">
        <v>15867</v>
      </c>
      <c r="L6189">
        <f>HYPERLINK("https://www2.assemblee-nationale.fr/sycomore/fiche/(num_dept)/4868", "4868")</f>
        <v>0</v>
      </c>
      <c r="N6189">
        <f>HYPERLINK("https://www.wikidata.org/wiki/Q2862011", "Q2862011")</f>
        <v>0</v>
      </c>
      <c r="O6189" t="s">
        <v>19957</v>
      </c>
      <c r="P6189" t="s">
        <v>20460</v>
      </c>
      <c r="Q6189" t="s">
        <v>20787</v>
      </c>
      <c r="R6189" t="s">
        <v>418</v>
      </c>
      <c r="S6189">
        <v>1745</v>
      </c>
    </row>
    <row r="6190" spans="1:19">
      <c r="A6190" t="s">
        <v>28</v>
      </c>
      <c r="B6190" t="s">
        <v>148</v>
      </c>
      <c r="C6190" t="s">
        <v>160</v>
      </c>
      <c r="D6190" t="s">
        <v>289</v>
      </c>
      <c r="E6190" t="s">
        <v>418</v>
      </c>
      <c r="F6190">
        <f>HYPERLINK("https://www.wikidata.org/wiki/Q33755445", "Q33755445")</f>
        <v>0</v>
      </c>
      <c r="G6190" t="s">
        <v>3262</v>
      </c>
      <c r="H6190" t="s">
        <v>7680</v>
      </c>
      <c r="I6190" t="s">
        <v>10737</v>
      </c>
      <c r="J6190" t="s">
        <v>13878</v>
      </c>
      <c r="K6190" t="s">
        <v>18250</v>
      </c>
      <c r="L6190">
        <f>HYPERLINK("https://www2.assemblee-nationale.fr/sycomore/fiche/(num_dept)/4889", "4889")</f>
        <v>0</v>
      </c>
      <c r="M6190">
        <f>HYPERLINK("https://www.senat.fr/senateur-3eme-republique/magnien_gabriel1229r3.html", "magnien_gabriel1229r3")</f>
        <v>0</v>
      </c>
      <c r="N6190">
        <f>HYPERLINK("https://www.wikidata.org/wiki/Q3093845", "Q3093845")</f>
        <v>0</v>
      </c>
      <c r="O6190" t="s">
        <v>19994</v>
      </c>
      <c r="Q6190" t="s">
        <v>20787</v>
      </c>
      <c r="R6190" t="s">
        <v>418</v>
      </c>
      <c r="S6190">
        <v>1745</v>
      </c>
    </row>
    <row r="6191" spans="1:19">
      <c r="A6191" t="s">
        <v>28</v>
      </c>
      <c r="B6191" t="s">
        <v>148</v>
      </c>
      <c r="C6191" t="s">
        <v>160</v>
      </c>
      <c r="D6191" t="s">
        <v>289</v>
      </c>
      <c r="E6191" t="s">
        <v>418</v>
      </c>
      <c r="F6191">
        <f>HYPERLINK("https://www.wikidata.org/wiki/Q33755445", "Q33755445")</f>
        <v>0</v>
      </c>
      <c r="G6191" t="s">
        <v>2964</v>
      </c>
      <c r="H6191" t="s">
        <v>7434</v>
      </c>
      <c r="I6191" t="s">
        <v>6166</v>
      </c>
      <c r="J6191" t="s">
        <v>13596</v>
      </c>
      <c r="K6191" t="s">
        <v>17982</v>
      </c>
      <c r="L6191">
        <f>HYPERLINK("https://www2.assemblee-nationale.fr/sycomore/fiche/(num_dept)/4897", "4897")</f>
        <v>0</v>
      </c>
      <c r="N6191">
        <f>HYPERLINK("https://www.wikidata.org/wiki/Q962478", "Q962478")</f>
        <v>0</v>
      </c>
      <c r="O6191" t="s">
        <v>19963</v>
      </c>
      <c r="Q6191" t="s">
        <v>20787</v>
      </c>
      <c r="R6191" t="s">
        <v>418</v>
      </c>
      <c r="S6191">
        <v>1745</v>
      </c>
    </row>
    <row r="6192" spans="1:19">
      <c r="A6192" t="s">
        <v>28</v>
      </c>
      <c r="B6192" t="s">
        <v>148</v>
      </c>
      <c r="C6192" t="s">
        <v>160</v>
      </c>
      <c r="D6192" t="s">
        <v>289</v>
      </c>
      <c r="E6192" t="s">
        <v>418</v>
      </c>
      <c r="F6192">
        <f>HYPERLINK("https://www.wikidata.org/wiki/Q33755445", "Q33755445")</f>
        <v>0</v>
      </c>
      <c r="G6192" t="s">
        <v>2620</v>
      </c>
      <c r="H6192" t="s">
        <v>7167</v>
      </c>
      <c r="I6192" t="s">
        <v>7790</v>
      </c>
      <c r="J6192" t="s">
        <v>13263</v>
      </c>
      <c r="K6192" t="s">
        <v>17664</v>
      </c>
      <c r="L6192">
        <f>HYPERLINK("https://www2.assemblee-nationale.fr/sycomore/fiche/(num_dept)/4903", "4903")</f>
        <v>0</v>
      </c>
      <c r="M6192">
        <f>HYPERLINK("https://www.senat.fr/senateur-3eme-republique/de_maille_de_la_jumelliere_armand1160r3.html", "de_maille_de_la_jumelliere_armand1160r3")</f>
        <v>0</v>
      </c>
      <c r="N6192">
        <f>HYPERLINK("https://www.wikidata.org/wiki/Q2861743", "Q2861743")</f>
        <v>0</v>
      </c>
      <c r="O6192" t="s">
        <v>19980</v>
      </c>
      <c r="P6192" t="s">
        <v>20460</v>
      </c>
      <c r="Q6192" t="s">
        <v>20787</v>
      </c>
      <c r="R6192" t="s">
        <v>21558</v>
      </c>
      <c r="S6192">
        <v>926</v>
      </c>
    </row>
    <row r="6193" spans="1:19">
      <c r="A6193" t="s">
        <v>28</v>
      </c>
      <c r="B6193" t="s">
        <v>148</v>
      </c>
      <c r="C6193" t="s">
        <v>160</v>
      </c>
      <c r="D6193" t="s">
        <v>289</v>
      </c>
      <c r="E6193" t="s">
        <v>418</v>
      </c>
      <c r="F6193">
        <f>HYPERLINK("https://www.wikidata.org/wiki/Q33755445", "Q33755445")</f>
        <v>0</v>
      </c>
      <c r="G6193" t="s">
        <v>3473</v>
      </c>
      <c r="H6193" t="s">
        <v>7846</v>
      </c>
      <c r="I6193" t="s">
        <v>9455</v>
      </c>
      <c r="J6193" t="s">
        <v>13392</v>
      </c>
      <c r="K6193" t="s">
        <v>18442</v>
      </c>
      <c r="L6193">
        <f>HYPERLINK("https://www2.assemblee-nationale.fr/sycomore/fiche/(num_dept)/4953", "4953")</f>
        <v>0</v>
      </c>
      <c r="N6193">
        <f>HYPERLINK("https://www.wikidata.org/wiki/Q16026034", "Q16026034")</f>
        <v>0</v>
      </c>
      <c r="O6193" t="s">
        <v>20016</v>
      </c>
      <c r="P6193" t="s">
        <v>20471</v>
      </c>
      <c r="Q6193" t="s">
        <v>20787</v>
      </c>
      <c r="R6193" t="s">
        <v>418</v>
      </c>
      <c r="S6193">
        <v>1745</v>
      </c>
    </row>
    <row r="6194" spans="1:19">
      <c r="A6194" t="s">
        <v>28</v>
      </c>
      <c r="B6194" t="s">
        <v>148</v>
      </c>
      <c r="C6194" t="s">
        <v>160</v>
      </c>
      <c r="D6194" t="s">
        <v>289</v>
      </c>
      <c r="E6194" t="s">
        <v>418</v>
      </c>
      <c r="F6194">
        <f>HYPERLINK("https://www.wikidata.org/wiki/Q33755445", "Q33755445")</f>
        <v>0</v>
      </c>
      <c r="G6194" t="s">
        <v>3715</v>
      </c>
      <c r="H6194" t="s">
        <v>8026</v>
      </c>
      <c r="I6194" t="s">
        <v>9388</v>
      </c>
      <c r="J6194" t="s">
        <v>14290</v>
      </c>
      <c r="K6194" t="s">
        <v>18647</v>
      </c>
      <c r="L6194">
        <f>HYPERLINK("https://www2.assemblee-nationale.fr/sycomore/fiche/(num_dept)/4980", "4980")</f>
        <v>0</v>
      </c>
      <c r="N6194">
        <f>HYPERLINK("https://www.wikidata.org/wiki/Q16026040", "Q16026040")</f>
        <v>0</v>
      </c>
      <c r="O6194" t="s">
        <v>20017</v>
      </c>
      <c r="P6194" t="s">
        <v>20479</v>
      </c>
      <c r="Q6194" t="s">
        <v>20787</v>
      </c>
      <c r="R6194" t="s">
        <v>418</v>
      </c>
      <c r="S6194">
        <v>1745</v>
      </c>
    </row>
    <row r="6195" spans="1:19">
      <c r="A6195" t="s">
        <v>28</v>
      </c>
      <c r="B6195" t="s">
        <v>148</v>
      </c>
      <c r="C6195" t="s">
        <v>160</v>
      </c>
      <c r="D6195" t="s">
        <v>289</v>
      </c>
      <c r="E6195" t="s">
        <v>418</v>
      </c>
      <c r="F6195">
        <f>HYPERLINK("https://www.wikidata.org/wiki/Q33755445", "Q33755445")</f>
        <v>0</v>
      </c>
      <c r="G6195" t="s">
        <v>2624</v>
      </c>
      <c r="H6195" t="s">
        <v>7171</v>
      </c>
      <c r="I6195" t="s">
        <v>6478</v>
      </c>
      <c r="J6195" t="s">
        <v>13267</v>
      </c>
      <c r="K6195" t="s">
        <v>17668</v>
      </c>
      <c r="L6195">
        <f>HYPERLINK("https://www2.assemblee-nationale.fr/sycomore/fiche/(num_dept)/4988", "4988")</f>
        <v>0</v>
      </c>
      <c r="N6195">
        <f>HYPERLINK("https://www.wikidata.org/wiki/Q3131564", "Q3131564")</f>
        <v>0</v>
      </c>
      <c r="O6195" t="s">
        <v>19996</v>
      </c>
      <c r="Q6195" t="s">
        <v>20787</v>
      </c>
      <c r="R6195" t="s">
        <v>418</v>
      </c>
      <c r="S6195">
        <v>1745</v>
      </c>
    </row>
    <row r="6196" spans="1:19">
      <c r="A6196" t="s">
        <v>28</v>
      </c>
      <c r="B6196" t="s">
        <v>148</v>
      </c>
      <c r="C6196" t="s">
        <v>160</v>
      </c>
      <c r="D6196" t="s">
        <v>289</v>
      </c>
      <c r="E6196" t="s">
        <v>418</v>
      </c>
      <c r="F6196">
        <f>HYPERLINK("https://www.wikidata.org/wiki/Q33755445", "Q33755445")</f>
        <v>0</v>
      </c>
      <c r="G6196" t="s">
        <v>3475</v>
      </c>
      <c r="H6196" t="s">
        <v>7848</v>
      </c>
      <c r="I6196" t="s">
        <v>10841</v>
      </c>
      <c r="J6196" t="s">
        <v>14075</v>
      </c>
      <c r="K6196" t="s">
        <v>18444</v>
      </c>
      <c r="L6196">
        <f>HYPERLINK("https://www2.assemblee-nationale.fr/sycomore/fiche/(num_dept)/5055", "5055")</f>
        <v>0</v>
      </c>
      <c r="N6196">
        <f>HYPERLINK("https://www.wikidata.org/wiki/Q16026057", "Q16026057")</f>
        <v>0</v>
      </c>
      <c r="O6196" t="s">
        <v>19979</v>
      </c>
      <c r="Q6196" t="s">
        <v>20787</v>
      </c>
      <c r="R6196" t="s">
        <v>418</v>
      </c>
      <c r="S6196">
        <v>1745</v>
      </c>
    </row>
    <row r="6197" spans="1:19">
      <c r="A6197" t="s">
        <v>28</v>
      </c>
      <c r="B6197" t="s">
        <v>148</v>
      </c>
      <c r="C6197" t="s">
        <v>160</v>
      </c>
      <c r="D6197" t="s">
        <v>289</v>
      </c>
      <c r="E6197" t="s">
        <v>418</v>
      </c>
      <c r="F6197">
        <f>HYPERLINK("https://www.wikidata.org/wiki/Q33755445", "Q33755445")</f>
        <v>0</v>
      </c>
      <c r="G6197" t="s">
        <v>3263</v>
      </c>
      <c r="H6197" t="s">
        <v>6502</v>
      </c>
      <c r="I6197" t="s">
        <v>9401</v>
      </c>
      <c r="J6197" t="s">
        <v>13879</v>
      </c>
      <c r="K6197" t="s">
        <v>18251</v>
      </c>
      <c r="L6197">
        <f>HYPERLINK("https://www2.assemblee-nationale.fr/sycomore/fiche/(num_dept)/5058", "5058")</f>
        <v>0</v>
      </c>
      <c r="N6197">
        <f>HYPERLINK("https://www.wikidata.org/wiki/Q3173440", "Q3173440")</f>
        <v>0</v>
      </c>
      <c r="O6197" t="s">
        <v>19960</v>
      </c>
      <c r="P6197" t="s">
        <v>20486</v>
      </c>
      <c r="Q6197" t="s">
        <v>20787</v>
      </c>
      <c r="R6197" t="s">
        <v>418</v>
      </c>
      <c r="S6197">
        <v>1745</v>
      </c>
    </row>
    <row r="6198" spans="1:19">
      <c r="A6198" t="s">
        <v>28</v>
      </c>
      <c r="B6198" t="s">
        <v>148</v>
      </c>
      <c r="C6198" t="s">
        <v>160</v>
      </c>
      <c r="D6198" t="s">
        <v>289</v>
      </c>
      <c r="E6198" t="s">
        <v>418</v>
      </c>
      <c r="F6198">
        <f>HYPERLINK("https://www.wikidata.org/wiki/Q33755445", "Q33755445")</f>
        <v>0</v>
      </c>
      <c r="G6198" t="s">
        <v>3476</v>
      </c>
      <c r="H6198" t="s">
        <v>7849</v>
      </c>
      <c r="I6198" t="s">
        <v>9437</v>
      </c>
      <c r="J6198" t="s">
        <v>14076</v>
      </c>
      <c r="K6198" t="s">
        <v>18023</v>
      </c>
      <c r="L6198">
        <f>HYPERLINK("https://www2.assemblee-nationale.fr/sycomore/fiche/(num_dept)/5059", "5059")</f>
        <v>0</v>
      </c>
      <c r="N6198">
        <f>HYPERLINK("https://www.wikidata.org/wiki/Q3588648", "Q3588648")</f>
        <v>0</v>
      </c>
      <c r="O6198" t="s">
        <v>19967</v>
      </c>
      <c r="Q6198" t="s">
        <v>20787</v>
      </c>
      <c r="R6198" t="s">
        <v>418</v>
      </c>
      <c r="S6198">
        <v>1745</v>
      </c>
    </row>
    <row r="6199" spans="1:19">
      <c r="A6199" t="s">
        <v>28</v>
      </c>
      <c r="B6199" t="s">
        <v>148</v>
      </c>
      <c r="C6199" t="s">
        <v>160</v>
      </c>
      <c r="D6199" t="s">
        <v>289</v>
      </c>
      <c r="E6199" t="s">
        <v>418</v>
      </c>
      <c r="F6199">
        <f>HYPERLINK("https://www.wikidata.org/wiki/Q33755445", "Q33755445")</f>
        <v>0</v>
      </c>
      <c r="G6199" t="s">
        <v>3146</v>
      </c>
      <c r="H6199" t="s">
        <v>7416</v>
      </c>
      <c r="I6199" t="s">
        <v>10658</v>
      </c>
      <c r="J6199" t="s">
        <v>13768</v>
      </c>
      <c r="K6199" t="s">
        <v>18143</v>
      </c>
      <c r="L6199">
        <f>HYPERLINK("https://www2.assemblee-nationale.fr/sycomore/fiche/(num_dept)/5093", "5093")</f>
        <v>0</v>
      </c>
      <c r="N6199">
        <f>HYPERLINK("https://www.wikidata.org/wiki/Q16026065", "Q16026065")</f>
        <v>0</v>
      </c>
      <c r="O6199" t="s">
        <v>19999</v>
      </c>
      <c r="P6199" t="s">
        <v>20411</v>
      </c>
      <c r="Q6199" t="s">
        <v>20787</v>
      </c>
      <c r="R6199" t="s">
        <v>418</v>
      </c>
      <c r="S6199">
        <v>1745</v>
      </c>
    </row>
    <row r="6200" spans="1:19">
      <c r="A6200" t="s">
        <v>28</v>
      </c>
      <c r="B6200" t="s">
        <v>148</v>
      </c>
      <c r="C6200" t="s">
        <v>160</v>
      </c>
      <c r="D6200" t="s">
        <v>289</v>
      </c>
      <c r="E6200" t="s">
        <v>418</v>
      </c>
      <c r="F6200">
        <f>HYPERLINK("https://www.wikidata.org/wiki/Q33755445", "Q33755445")</f>
        <v>0</v>
      </c>
      <c r="G6200" t="s">
        <v>2629</v>
      </c>
      <c r="H6200" t="s">
        <v>7175</v>
      </c>
      <c r="I6200" t="s">
        <v>9449</v>
      </c>
      <c r="J6200" t="s">
        <v>13271</v>
      </c>
      <c r="K6200" t="s">
        <v>17673</v>
      </c>
      <c r="L6200">
        <f>HYPERLINK("https://www2.assemblee-nationale.fr/sycomore/fiche/(num_dept)/5168", "5168")</f>
        <v>0</v>
      </c>
      <c r="M6200">
        <f>HYPERLINK("https://www.senat.fr/senateur-3eme-republique/meline_jules1799r3.html", "meline_jules1799r3")</f>
        <v>0</v>
      </c>
      <c r="N6200">
        <f>HYPERLINK("https://www.wikidata.org/wiki/Q459914", "Q459914")</f>
        <v>0</v>
      </c>
      <c r="O6200" t="s">
        <v>20017</v>
      </c>
      <c r="Q6200" t="s">
        <v>20787</v>
      </c>
      <c r="R6200" t="s">
        <v>418</v>
      </c>
      <c r="S6200">
        <v>1745</v>
      </c>
    </row>
    <row r="6201" spans="1:19">
      <c r="A6201" t="s">
        <v>28</v>
      </c>
      <c r="B6201" t="s">
        <v>148</v>
      </c>
      <c r="C6201" t="s">
        <v>160</v>
      </c>
      <c r="D6201" t="s">
        <v>289</v>
      </c>
      <c r="E6201" t="s">
        <v>418</v>
      </c>
      <c r="F6201">
        <f>HYPERLINK("https://www.wikidata.org/wiki/Q33755445", "Q33755445")</f>
        <v>0</v>
      </c>
      <c r="G6201" t="s">
        <v>3372</v>
      </c>
      <c r="H6201" t="s">
        <v>6235</v>
      </c>
      <c r="I6201" t="s">
        <v>9407</v>
      </c>
      <c r="J6201" t="s">
        <v>13984</v>
      </c>
      <c r="K6201" t="s">
        <v>18352</v>
      </c>
      <c r="L6201">
        <f>HYPERLINK("https://www2.assemblee-nationale.fr/sycomore/fiche/(num_dept)/5195", "5195")</f>
        <v>0</v>
      </c>
      <c r="N6201">
        <f>HYPERLINK("https://www.wikidata.org/wiki/Q16026086", "Q16026086")</f>
        <v>0</v>
      </c>
      <c r="O6201" t="s">
        <v>20036</v>
      </c>
      <c r="Q6201" t="s">
        <v>20787</v>
      </c>
      <c r="R6201" t="s">
        <v>18352</v>
      </c>
      <c r="S6201">
        <v>1448</v>
      </c>
    </row>
    <row r="6202" spans="1:19">
      <c r="A6202" t="s">
        <v>28</v>
      </c>
      <c r="B6202" t="s">
        <v>148</v>
      </c>
      <c r="C6202" t="s">
        <v>160</v>
      </c>
      <c r="D6202" t="s">
        <v>289</v>
      </c>
      <c r="E6202" t="s">
        <v>418</v>
      </c>
      <c r="F6202">
        <f>HYPERLINK("https://www.wikidata.org/wiki/Q33755445", "Q33755445")</f>
        <v>0</v>
      </c>
      <c r="G6202" t="s">
        <v>3580</v>
      </c>
      <c r="H6202" t="s">
        <v>7930</v>
      </c>
      <c r="I6202" t="s">
        <v>6860</v>
      </c>
      <c r="J6202" t="s">
        <v>14167</v>
      </c>
      <c r="K6202" t="s">
        <v>18536</v>
      </c>
      <c r="L6202">
        <f>HYPERLINK("https://www2.assemblee-nationale.fr/sycomore/fiche/(num_dept)/5209", "5209")</f>
        <v>0</v>
      </c>
      <c r="N6202">
        <f>HYPERLINK("https://www.wikidata.org/wiki/Q3386255", "Q3386255")</f>
        <v>0</v>
      </c>
      <c r="O6202" t="s">
        <v>20034</v>
      </c>
      <c r="Q6202" t="s">
        <v>20787</v>
      </c>
      <c r="R6202" t="s">
        <v>418</v>
      </c>
      <c r="S6202">
        <v>1745</v>
      </c>
    </row>
    <row r="6203" spans="1:19">
      <c r="A6203" t="s">
        <v>28</v>
      </c>
      <c r="B6203" t="s">
        <v>148</v>
      </c>
      <c r="C6203" t="s">
        <v>160</v>
      </c>
      <c r="D6203" t="s">
        <v>289</v>
      </c>
      <c r="E6203" t="s">
        <v>418</v>
      </c>
      <c r="F6203">
        <f>HYPERLINK("https://www.wikidata.org/wiki/Q33755445", "Q33755445")</f>
        <v>0</v>
      </c>
      <c r="G6203" t="s">
        <v>3365</v>
      </c>
      <c r="H6203" t="s">
        <v>7762</v>
      </c>
      <c r="I6203" t="s">
        <v>9421</v>
      </c>
      <c r="J6203" t="s">
        <v>13977</v>
      </c>
      <c r="K6203" t="s">
        <v>18345</v>
      </c>
      <c r="L6203">
        <f>HYPERLINK("https://www2.assemblee-nationale.fr/sycomore/fiche/(num_dept)/5223", "5223")</f>
        <v>0</v>
      </c>
      <c r="N6203">
        <f>HYPERLINK("https://www.wikidata.org/wiki/Q3121269", "Q3121269")</f>
        <v>0</v>
      </c>
      <c r="O6203" t="s">
        <v>19969</v>
      </c>
      <c r="P6203" t="s">
        <v>20477</v>
      </c>
      <c r="Q6203" t="s">
        <v>20787</v>
      </c>
      <c r="R6203" t="s">
        <v>418</v>
      </c>
      <c r="S6203">
        <v>1745</v>
      </c>
    </row>
    <row r="6204" spans="1:19">
      <c r="A6204" t="s">
        <v>28</v>
      </c>
      <c r="B6204" t="s">
        <v>148</v>
      </c>
      <c r="C6204" t="s">
        <v>160</v>
      </c>
      <c r="D6204" t="s">
        <v>289</v>
      </c>
      <c r="E6204" t="s">
        <v>418</v>
      </c>
      <c r="F6204">
        <f>HYPERLINK("https://www.wikidata.org/wiki/Q33755445", "Q33755445")</f>
        <v>0</v>
      </c>
      <c r="G6204" t="s">
        <v>2632</v>
      </c>
      <c r="H6204" t="s">
        <v>7177</v>
      </c>
      <c r="I6204" t="s">
        <v>10326</v>
      </c>
      <c r="J6204" t="s">
        <v>13274</v>
      </c>
      <c r="K6204" t="s">
        <v>17676</v>
      </c>
      <c r="L6204">
        <f>HYPERLINK("https://www2.assemblee-nationale.fr/sycomore/fiche/(num_dept)/5247", "5247")</f>
        <v>0</v>
      </c>
      <c r="M6204">
        <f>HYPERLINK("https://www.senat.fr/senateur-3eme-republique/mezieres_alfred0932r3.html", "mezieres_alfred0932r3")</f>
        <v>0</v>
      </c>
      <c r="N6204">
        <f>HYPERLINK("https://www.wikidata.org/wiki/Q2835365", "Q2835365")</f>
        <v>0</v>
      </c>
      <c r="O6204" t="s">
        <v>20007</v>
      </c>
      <c r="Q6204" t="s">
        <v>20787</v>
      </c>
      <c r="R6204" t="s">
        <v>418</v>
      </c>
      <c r="S6204">
        <v>1745</v>
      </c>
    </row>
    <row r="6205" spans="1:19">
      <c r="A6205" t="s">
        <v>28</v>
      </c>
      <c r="B6205" t="s">
        <v>148</v>
      </c>
      <c r="C6205" t="s">
        <v>160</v>
      </c>
      <c r="D6205" t="s">
        <v>289</v>
      </c>
      <c r="E6205" t="s">
        <v>418</v>
      </c>
      <c r="F6205">
        <f>HYPERLINK("https://www.wikidata.org/wiki/Q33755445", "Q33755445")</f>
        <v>0</v>
      </c>
      <c r="G6205" t="s">
        <v>3478</v>
      </c>
      <c r="H6205" t="s">
        <v>7851</v>
      </c>
      <c r="I6205" t="s">
        <v>9451</v>
      </c>
      <c r="J6205" t="s">
        <v>14078</v>
      </c>
      <c r="K6205" t="s">
        <v>15668</v>
      </c>
      <c r="L6205">
        <f>HYPERLINK("https://www2.assemblee-nationale.fr/sycomore/fiche/(num_dept)/5251", "5251")</f>
        <v>0</v>
      </c>
      <c r="N6205">
        <f>HYPERLINK("https://www.wikidata.org/wiki/Q16026097", "Q16026097")</f>
        <v>0</v>
      </c>
      <c r="O6205" t="s">
        <v>20013</v>
      </c>
      <c r="Q6205" t="s">
        <v>20787</v>
      </c>
      <c r="R6205" t="s">
        <v>418</v>
      </c>
      <c r="S6205">
        <v>1745</v>
      </c>
    </row>
    <row r="6206" spans="1:19">
      <c r="A6206" t="s">
        <v>28</v>
      </c>
      <c r="B6206" t="s">
        <v>148</v>
      </c>
      <c r="C6206" t="s">
        <v>160</v>
      </c>
      <c r="D6206" t="s">
        <v>289</v>
      </c>
      <c r="E6206" t="s">
        <v>418</v>
      </c>
      <c r="F6206">
        <f>HYPERLINK("https://www.wikidata.org/wiki/Q33755445", "Q33755445")</f>
        <v>0</v>
      </c>
      <c r="G6206" t="s">
        <v>3716</v>
      </c>
      <c r="H6206" t="s">
        <v>5731</v>
      </c>
      <c r="I6206" t="s">
        <v>10946</v>
      </c>
      <c r="J6206" t="s">
        <v>14291</v>
      </c>
      <c r="K6206" t="s">
        <v>16045</v>
      </c>
      <c r="L6206">
        <f>HYPERLINK("https://www2.assemblee-nationale.fr/sycomore/fiche/(num_dept)/5272", "5272")</f>
        <v>0</v>
      </c>
      <c r="N6206">
        <f>HYPERLINK("https://www.wikidata.org/wiki/Q16026101", "Q16026101")</f>
        <v>0</v>
      </c>
      <c r="O6206" t="s">
        <v>20020</v>
      </c>
      <c r="P6206" t="s">
        <v>20479</v>
      </c>
      <c r="Q6206" t="s">
        <v>20787</v>
      </c>
      <c r="R6206" t="s">
        <v>21559</v>
      </c>
      <c r="S6206">
        <v>263</v>
      </c>
    </row>
    <row r="6207" spans="1:19">
      <c r="A6207" t="s">
        <v>28</v>
      </c>
      <c r="B6207" t="s">
        <v>148</v>
      </c>
      <c r="C6207" t="s">
        <v>160</v>
      </c>
      <c r="D6207" t="s">
        <v>289</v>
      </c>
      <c r="E6207" t="s">
        <v>418</v>
      </c>
      <c r="F6207">
        <f>HYPERLINK("https://www.wikidata.org/wiki/Q33755445", "Q33755445")</f>
        <v>0</v>
      </c>
      <c r="G6207" t="s">
        <v>1005</v>
      </c>
      <c r="H6207" t="s">
        <v>5756</v>
      </c>
      <c r="I6207" t="s">
        <v>9553</v>
      </c>
      <c r="J6207" t="s">
        <v>11742</v>
      </c>
      <c r="K6207" t="s">
        <v>16146</v>
      </c>
      <c r="L6207">
        <f>HYPERLINK("https://www2.assemblee-nationale.fr/sycomore/fiche/(num_dept)/5284", "5284")</f>
        <v>0</v>
      </c>
      <c r="M6207">
        <f>HYPERLINK("https://www.senat.fr/senateur-3eme-republique/millerand_alexandre0910r3.html", "millerand_alexandre0910r3")</f>
        <v>0</v>
      </c>
      <c r="N6207">
        <f>HYPERLINK("https://www.wikidata.org/wiki/Q274540", "Q274540")</f>
        <v>0</v>
      </c>
      <c r="O6207" t="s">
        <v>19969</v>
      </c>
      <c r="Q6207" t="s">
        <v>20787</v>
      </c>
      <c r="R6207" t="s">
        <v>418</v>
      </c>
      <c r="S6207">
        <v>1745</v>
      </c>
    </row>
    <row r="6208" spans="1:19">
      <c r="A6208" t="s">
        <v>28</v>
      </c>
      <c r="B6208" t="s">
        <v>148</v>
      </c>
      <c r="C6208" t="s">
        <v>160</v>
      </c>
      <c r="D6208" t="s">
        <v>289</v>
      </c>
      <c r="E6208" t="s">
        <v>418</v>
      </c>
      <c r="F6208">
        <f>HYPERLINK("https://www.wikidata.org/wiki/Q33755445", "Q33755445")</f>
        <v>0</v>
      </c>
      <c r="G6208" t="s">
        <v>3030</v>
      </c>
      <c r="H6208" t="s">
        <v>7487</v>
      </c>
      <c r="I6208" t="s">
        <v>6495</v>
      </c>
      <c r="J6208" t="s">
        <v>13658</v>
      </c>
      <c r="K6208" t="s">
        <v>18041</v>
      </c>
      <c r="L6208">
        <f>HYPERLINK("https://www2.assemblee-nationale.fr/sycomore/fiche/(num_dept)/5289", "5289")</f>
        <v>0</v>
      </c>
      <c r="M6208">
        <f>HYPERLINK("https://www.senat.fr/senateur-3eme-republique/million_louis1142r3.html", "million_louis1142r3")</f>
        <v>0</v>
      </c>
      <c r="N6208">
        <f>HYPERLINK("https://www.wikidata.org/wiki/Q3262708", "Q3262708")</f>
        <v>0</v>
      </c>
      <c r="O6208" t="s">
        <v>19965</v>
      </c>
      <c r="Q6208" t="s">
        <v>20787</v>
      </c>
      <c r="R6208" t="s">
        <v>418</v>
      </c>
      <c r="S6208">
        <v>1745</v>
      </c>
    </row>
    <row r="6209" spans="1:19">
      <c r="A6209" t="s">
        <v>28</v>
      </c>
      <c r="B6209" t="s">
        <v>148</v>
      </c>
      <c r="C6209" t="s">
        <v>160</v>
      </c>
      <c r="D6209" t="s">
        <v>289</v>
      </c>
      <c r="E6209" t="s">
        <v>418</v>
      </c>
      <c r="F6209">
        <f>HYPERLINK("https://www.wikidata.org/wiki/Q33755445", "Q33755445")</f>
        <v>0</v>
      </c>
      <c r="G6209" t="s">
        <v>3148</v>
      </c>
      <c r="H6209" t="s">
        <v>7585</v>
      </c>
      <c r="I6209" t="s">
        <v>10660</v>
      </c>
      <c r="J6209" t="s">
        <v>13770</v>
      </c>
      <c r="K6209" t="s">
        <v>18145</v>
      </c>
      <c r="L6209">
        <f>HYPERLINK("https://www2.assemblee-nationale.fr/sycomore/fiche/(num_dept)/5293", "5293")</f>
        <v>0</v>
      </c>
      <c r="N6209">
        <f>HYPERLINK("https://www.wikidata.org/wiki/Q16026106", "Q16026106")</f>
        <v>0</v>
      </c>
      <c r="O6209" t="s">
        <v>19971</v>
      </c>
      <c r="Q6209" t="s">
        <v>20787</v>
      </c>
      <c r="R6209" t="s">
        <v>418</v>
      </c>
      <c r="S6209">
        <v>1745</v>
      </c>
    </row>
    <row r="6210" spans="1:19">
      <c r="A6210" t="s">
        <v>28</v>
      </c>
      <c r="B6210" t="s">
        <v>148</v>
      </c>
      <c r="C6210" t="s">
        <v>160</v>
      </c>
      <c r="D6210" t="s">
        <v>289</v>
      </c>
      <c r="E6210" t="s">
        <v>418</v>
      </c>
      <c r="F6210">
        <f>HYPERLINK("https://www.wikidata.org/wiki/Q33755445", "Q33755445")</f>
        <v>0</v>
      </c>
      <c r="G6210" t="s">
        <v>2634</v>
      </c>
      <c r="H6210" t="s">
        <v>7179</v>
      </c>
      <c r="I6210" t="s">
        <v>10328</v>
      </c>
      <c r="J6210" t="s">
        <v>13276</v>
      </c>
      <c r="K6210" t="s">
        <v>17678</v>
      </c>
      <c r="L6210">
        <f>HYPERLINK("https://www2.assemblee-nationale.fr/sycomore/fiche/(num_dept)/5302", "5302")</f>
        <v>0</v>
      </c>
      <c r="M6210">
        <f>HYPERLINK("https://www.senat.fr/senateur-3eme-republique/mir_eugene0269r3.html", "mir_eugene0269r3")</f>
        <v>0</v>
      </c>
      <c r="N6210">
        <f>HYPERLINK("https://www.wikidata.org/wiki/Q3060037", "Q3060037")</f>
        <v>0</v>
      </c>
      <c r="O6210" t="s">
        <v>19960</v>
      </c>
      <c r="Q6210" t="s">
        <v>20787</v>
      </c>
      <c r="R6210" t="s">
        <v>21555</v>
      </c>
      <c r="S6210">
        <v>207</v>
      </c>
    </row>
    <row r="6211" spans="1:19">
      <c r="A6211" t="s">
        <v>28</v>
      </c>
      <c r="B6211" t="s">
        <v>148</v>
      </c>
      <c r="C6211" t="s">
        <v>160</v>
      </c>
      <c r="D6211" t="s">
        <v>289</v>
      </c>
      <c r="E6211" t="s">
        <v>418</v>
      </c>
      <c r="F6211">
        <f>HYPERLINK("https://www.wikidata.org/wiki/Q33755445", "Q33755445")</f>
        <v>0</v>
      </c>
      <c r="G6211" t="s">
        <v>3479</v>
      </c>
      <c r="H6211" t="s">
        <v>7852</v>
      </c>
      <c r="I6211" t="s">
        <v>10843</v>
      </c>
      <c r="J6211" t="s">
        <v>14079</v>
      </c>
      <c r="K6211" t="s">
        <v>18446</v>
      </c>
      <c r="L6211">
        <f>HYPERLINK("https://www2.assemblee-nationale.fr/sycomore/fiche/(num_dept)/5367", "5367")</f>
        <v>0</v>
      </c>
      <c r="N6211">
        <f>HYPERLINK("https://www.wikidata.org/wiki/Q3188997", "Q3188997")</f>
        <v>0</v>
      </c>
      <c r="O6211" t="s">
        <v>20013</v>
      </c>
      <c r="Q6211" t="s">
        <v>20787</v>
      </c>
      <c r="R6211" t="s">
        <v>418</v>
      </c>
      <c r="S6211">
        <v>1745</v>
      </c>
    </row>
    <row r="6212" spans="1:19">
      <c r="A6212" t="s">
        <v>28</v>
      </c>
      <c r="B6212" t="s">
        <v>148</v>
      </c>
      <c r="C6212" t="s">
        <v>160</v>
      </c>
      <c r="D6212" t="s">
        <v>289</v>
      </c>
      <c r="E6212" t="s">
        <v>418</v>
      </c>
      <c r="F6212">
        <f>HYPERLINK("https://www.wikidata.org/wiki/Q33755445", "Q33755445")</f>
        <v>0</v>
      </c>
      <c r="G6212" t="s">
        <v>3149</v>
      </c>
      <c r="H6212" t="s">
        <v>7586</v>
      </c>
      <c r="I6212" t="s">
        <v>10661</v>
      </c>
      <c r="J6212" t="s">
        <v>13771</v>
      </c>
      <c r="K6212" t="s">
        <v>18146</v>
      </c>
      <c r="L6212">
        <f>HYPERLINK("https://www2.assemblee-nationale.fr/sycomore/fiche/(num_dept)/5370", "5370")</f>
        <v>0</v>
      </c>
      <c r="N6212">
        <f>HYPERLINK("https://www.wikidata.org/wiki/Q13077251", "Q13077251")</f>
        <v>0</v>
      </c>
      <c r="O6212" t="s">
        <v>20026</v>
      </c>
      <c r="Q6212" t="s">
        <v>20787</v>
      </c>
      <c r="R6212" t="s">
        <v>418</v>
      </c>
      <c r="S6212">
        <v>1745</v>
      </c>
    </row>
    <row r="6213" spans="1:19">
      <c r="A6213" t="s">
        <v>28</v>
      </c>
      <c r="B6213" t="s">
        <v>148</v>
      </c>
      <c r="C6213" t="s">
        <v>160</v>
      </c>
      <c r="D6213" t="s">
        <v>289</v>
      </c>
      <c r="E6213" t="s">
        <v>418</v>
      </c>
      <c r="F6213">
        <f>HYPERLINK("https://www.wikidata.org/wiki/Q33755445", "Q33755445")</f>
        <v>0</v>
      </c>
      <c r="G6213" t="s">
        <v>3581</v>
      </c>
      <c r="H6213" t="s">
        <v>7931</v>
      </c>
      <c r="I6213" t="s">
        <v>6495</v>
      </c>
      <c r="J6213" t="s">
        <v>14168</v>
      </c>
      <c r="K6213" t="s">
        <v>18537</v>
      </c>
      <c r="L6213">
        <f>HYPERLINK("https://www2.assemblee-nationale.fr/sycomore/fiche/(num_dept)/5384", "5384")</f>
        <v>0</v>
      </c>
      <c r="M6213">
        <f>HYPERLINK("https://www.senat.fr/senateur-3eme-republique/de_montfort_louis1574r3.html", "de_montfort_louis1574r3")</f>
        <v>0</v>
      </c>
      <c r="N6213">
        <f>HYPERLINK("https://www.wikidata.org/wiki/Q3263531", "Q3263531")</f>
        <v>0</v>
      </c>
      <c r="O6213" t="s">
        <v>19978</v>
      </c>
      <c r="P6213" t="s">
        <v>20487</v>
      </c>
      <c r="Q6213" t="s">
        <v>20787</v>
      </c>
      <c r="R6213" t="s">
        <v>418</v>
      </c>
      <c r="S6213">
        <v>1745</v>
      </c>
    </row>
    <row r="6214" spans="1:19">
      <c r="A6214" t="s">
        <v>28</v>
      </c>
      <c r="B6214" t="s">
        <v>148</v>
      </c>
      <c r="C6214" t="s">
        <v>160</v>
      </c>
      <c r="D6214" t="s">
        <v>289</v>
      </c>
      <c r="E6214" t="s">
        <v>418</v>
      </c>
      <c r="F6214">
        <f>HYPERLINK("https://www.wikidata.org/wiki/Q33755445", "Q33755445")</f>
        <v>0</v>
      </c>
      <c r="G6214" t="s">
        <v>3717</v>
      </c>
      <c r="H6214" t="s">
        <v>8027</v>
      </c>
      <c r="I6214" t="s">
        <v>9453</v>
      </c>
      <c r="J6214" t="s">
        <v>14292</v>
      </c>
      <c r="K6214" t="s">
        <v>16511</v>
      </c>
      <c r="L6214">
        <f>HYPERLINK("https://www2.assemblee-nationale.fr/sycomore/fiche/(num_dept)/5416", "5416")</f>
        <v>0</v>
      </c>
      <c r="N6214">
        <f>HYPERLINK("https://www.wikidata.org/wiki/Q16026153", "Q16026153")</f>
        <v>0</v>
      </c>
      <c r="O6214" t="s">
        <v>20015</v>
      </c>
      <c r="Q6214" t="s">
        <v>20787</v>
      </c>
      <c r="R6214" t="s">
        <v>418</v>
      </c>
      <c r="S6214">
        <v>1745</v>
      </c>
    </row>
    <row r="6215" spans="1:19">
      <c r="A6215" t="s">
        <v>28</v>
      </c>
      <c r="B6215" t="s">
        <v>148</v>
      </c>
      <c r="C6215" t="s">
        <v>160</v>
      </c>
      <c r="D6215" t="s">
        <v>289</v>
      </c>
      <c r="E6215" t="s">
        <v>418</v>
      </c>
      <c r="F6215">
        <f>HYPERLINK("https://www.wikidata.org/wiki/Q33755445", "Q33755445")</f>
        <v>0</v>
      </c>
      <c r="G6215" t="s">
        <v>3642</v>
      </c>
      <c r="H6215" t="s">
        <v>7974</v>
      </c>
      <c r="I6215" t="s">
        <v>9458</v>
      </c>
      <c r="J6215" t="s">
        <v>14222</v>
      </c>
      <c r="K6215" t="s">
        <v>18202</v>
      </c>
      <c r="L6215">
        <f>HYPERLINK("https://www2.assemblee-nationale.fr/sycomore/fiche/(num_dept)/5433", "5433")</f>
        <v>0</v>
      </c>
      <c r="M6215">
        <f>HYPERLINK("https://www.senat.fr/senateur-3eme-republique/moroux_alfred0263r3.html", "moroux_alfred0263r3")</f>
        <v>0</v>
      </c>
      <c r="N6215">
        <f>HYPERLINK("https://www.wikidata.org/wiki/Q2835349", "Q2835349")</f>
        <v>0</v>
      </c>
      <c r="O6215" t="s">
        <v>19975</v>
      </c>
      <c r="Q6215" t="s">
        <v>20787</v>
      </c>
      <c r="R6215" t="s">
        <v>21550</v>
      </c>
      <c r="S6215">
        <v>1245</v>
      </c>
    </row>
    <row r="6216" spans="1:19">
      <c r="A6216" t="s">
        <v>28</v>
      </c>
      <c r="B6216" t="s">
        <v>148</v>
      </c>
      <c r="C6216" t="s">
        <v>160</v>
      </c>
      <c r="D6216" t="s">
        <v>289</v>
      </c>
      <c r="E6216" t="s">
        <v>418</v>
      </c>
      <c r="F6216">
        <f>HYPERLINK("https://www.wikidata.org/wiki/Q33755445", "Q33755445")</f>
        <v>0</v>
      </c>
      <c r="G6216" t="s">
        <v>3718</v>
      </c>
      <c r="H6216" t="s">
        <v>8028</v>
      </c>
      <c r="I6216" t="s">
        <v>5528</v>
      </c>
      <c r="J6216" t="s">
        <v>14293</v>
      </c>
      <c r="K6216" t="s">
        <v>18648</v>
      </c>
      <c r="L6216">
        <f>HYPERLINK("https://www2.assemblee-nationale.fr/sycomore/fiche/(num_dept)/5445", "5445")</f>
        <v>0</v>
      </c>
      <c r="M6216">
        <f>HYPERLINK("https://www.senat.fr/senateur-3eme-republique/mougeot_leon0865r3.html", "mougeot_leon0865r3")</f>
        <v>0</v>
      </c>
      <c r="N6216">
        <f>HYPERLINK("https://www.wikidata.org/wiki/Q3271218", "Q3271218")</f>
        <v>0</v>
      </c>
      <c r="O6216" t="s">
        <v>20022</v>
      </c>
      <c r="Q6216" t="s">
        <v>20787</v>
      </c>
      <c r="R6216" t="s">
        <v>418</v>
      </c>
      <c r="S6216">
        <v>1745</v>
      </c>
    </row>
    <row r="6217" spans="1:19">
      <c r="A6217" t="s">
        <v>28</v>
      </c>
      <c r="B6217" t="s">
        <v>148</v>
      </c>
      <c r="C6217" t="s">
        <v>160</v>
      </c>
      <c r="D6217" t="s">
        <v>289</v>
      </c>
      <c r="E6217" t="s">
        <v>418</v>
      </c>
      <c r="F6217">
        <f>HYPERLINK("https://www.wikidata.org/wiki/Q33755445", "Q33755445")</f>
        <v>0</v>
      </c>
      <c r="G6217" t="s">
        <v>3483</v>
      </c>
      <c r="H6217" t="s">
        <v>7856</v>
      </c>
      <c r="I6217" t="s">
        <v>9868</v>
      </c>
      <c r="J6217" t="s">
        <v>14083</v>
      </c>
      <c r="K6217" t="s">
        <v>18449</v>
      </c>
      <c r="L6217">
        <f>HYPERLINK("https://www2.assemblee-nationale.fr/sycomore/fiche/(num_dept)/5446", "5446")</f>
        <v>0</v>
      </c>
      <c r="N6217">
        <f>HYPERLINK("https://www.wikidata.org/wiki/Q15970080", "Q15970080")</f>
        <v>0</v>
      </c>
      <c r="O6217" t="s">
        <v>20017</v>
      </c>
      <c r="Q6217" t="s">
        <v>20787</v>
      </c>
      <c r="R6217" t="s">
        <v>418</v>
      </c>
      <c r="S6217">
        <v>1745</v>
      </c>
    </row>
    <row r="6218" spans="1:19">
      <c r="A6218" t="s">
        <v>28</v>
      </c>
      <c r="B6218" t="s">
        <v>148</v>
      </c>
      <c r="C6218" t="s">
        <v>160</v>
      </c>
      <c r="D6218" t="s">
        <v>289</v>
      </c>
      <c r="E6218" t="s">
        <v>418</v>
      </c>
      <c r="F6218">
        <f>HYPERLINK("https://www.wikidata.org/wiki/Q33755445", "Q33755445")</f>
        <v>0</v>
      </c>
      <c r="G6218" t="s">
        <v>741</v>
      </c>
      <c r="H6218" t="s">
        <v>5499</v>
      </c>
      <c r="I6218" t="s">
        <v>9476</v>
      </c>
      <c r="J6218" t="s">
        <v>11490</v>
      </c>
      <c r="K6218" t="s">
        <v>15892</v>
      </c>
      <c r="L6218">
        <f>HYPERLINK("https://www2.assemblee-nationale.fr/sycomore/fiche/(num_dept)/5463", "5463")</f>
        <v>0</v>
      </c>
      <c r="M6218">
        <f>HYPERLINK("https://www.senat.fr/senateur-3eme-republique/de_moustier_rene0688r3.html", "de_moustier_rene0688r3")</f>
        <v>0</v>
      </c>
      <c r="N6218">
        <f>HYPERLINK("https://www.wikidata.org/wiki/Q3427071", "Q3427071")</f>
        <v>0</v>
      </c>
      <c r="O6218" t="s">
        <v>19973</v>
      </c>
      <c r="Q6218" t="s">
        <v>20787</v>
      </c>
      <c r="R6218" t="s">
        <v>418</v>
      </c>
      <c r="S6218">
        <v>1745</v>
      </c>
    </row>
    <row r="6219" spans="1:19">
      <c r="A6219" t="s">
        <v>28</v>
      </c>
      <c r="B6219" t="s">
        <v>148</v>
      </c>
      <c r="C6219" t="s">
        <v>160</v>
      </c>
      <c r="D6219" t="s">
        <v>289</v>
      </c>
      <c r="E6219" t="s">
        <v>418</v>
      </c>
      <c r="F6219">
        <f>HYPERLINK("https://www.wikidata.org/wiki/Q33755445", "Q33755445")</f>
        <v>0</v>
      </c>
      <c r="G6219" t="s">
        <v>3719</v>
      </c>
      <c r="H6219" t="s">
        <v>8029</v>
      </c>
      <c r="I6219" t="s">
        <v>9389</v>
      </c>
      <c r="J6219" t="s">
        <v>14294</v>
      </c>
      <c r="K6219" t="s">
        <v>18649</v>
      </c>
      <c r="L6219">
        <f>HYPERLINK("https://www2.assemblee-nationale.fr/sycomore/fiche/(num_dept)/5530", "5530")</f>
        <v>0</v>
      </c>
      <c r="N6219">
        <f>HYPERLINK("https://www.wikidata.org/wiki/Q16026186", "Q16026186")</f>
        <v>0</v>
      </c>
      <c r="O6219" t="s">
        <v>19993</v>
      </c>
      <c r="P6219" t="s">
        <v>20479</v>
      </c>
      <c r="Q6219" t="s">
        <v>20787</v>
      </c>
      <c r="R6219" t="s">
        <v>418</v>
      </c>
      <c r="S6219">
        <v>1745</v>
      </c>
    </row>
    <row r="6220" spans="1:19">
      <c r="A6220" t="s">
        <v>28</v>
      </c>
      <c r="B6220" t="s">
        <v>148</v>
      </c>
      <c r="C6220" t="s">
        <v>160</v>
      </c>
      <c r="D6220" t="s">
        <v>289</v>
      </c>
      <c r="E6220" t="s">
        <v>418</v>
      </c>
      <c r="F6220">
        <f>HYPERLINK("https://www.wikidata.org/wiki/Q33755445", "Q33755445")</f>
        <v>0</v>
      </c>
      <c r="G6220" t="s">
        <v>3485</v>
      </c>
      <c r="H6220" t="s">
        <v>7858</v>
      </c>
      <c r="I6220" t="s">
        <v>6584</v>
      </c>
      <c r="J6220" t="s">
        <v>14084</v>
      </c>
      <c r="L6220">
        <f>HYPERLINK("https://www2.assemblee-nationale.fr/sycomore/fiche/(num_dept)/5558", "5558")</f>
        <v>0</v>
      </c>
      <c r="N6220">
        <f>HYPERLINK("https://www.wikidata.org/wiki/Q2410261", "Q2410261")</f>
        <v>0</v>
      </c>
      <c r="O6220" t="s">
        <v>19982</v>
      </c>
      <c r="Q6220" t="s">
        <v>20787</v>
      </c>
      <c r="R6220" t="s">
        <v>21560</v>
      </c>
      <c r="S6220">
        <v>851</v>
      </c>
    </row>
    <row r="6221" spans="1:19">
      <c r="A6221" t="s">
        <v>28</v>
      </c>
      <c r="B6221" t="s">
        <v>148</v>
      </c>
      <c r="C6221" t="s">
        <v>160</v>
      </c>
      <c r="D6221" t="s">
        <v>289</v>
      </c>
      <c r="E6221" t="s">
        <v>418</v>
      </c>
      <c r="F6221">
        <f>HYPERLINK("https://www.wikidata.org/wiki/Q33755445", "Q33755445")</f>
        <v>0</v>
      </c>
      <c r="G6221" t="s">
        <v>3720</v>
      </c>
      <c r="H6221" t="s">
        <v>5504</v>
      </c>
      <c r="I6221" t="s">
        <v>9442</v>
      </c>
      <c r="J6221" t="s">
        <v>14295</v>
      </c>
      <c r="K6221" t="s">
        <v>15930</v>
      </c>
      <c r="L6221">
        <f>HYPERLINK("https://www2.assemblee-nationale.fr/sycomore/fiche/(num_dept)/5564", "5564")</f>
        <v>0</v>
      </c>
      <c r="M6221">
        <f>HYPERLINK("https://www.senat.fr/senateur-3eme-republique/noel_charles0885r3.html", "noel_charles0885r3")</f>
        <v>0</v>
      </c>
      <c r="N6221">
        <f>HYPERLINK("https://www.wikidata.org/wiki/Q2959917", "Q2959917")</f>
        <v>0</v>
      </c>
      <c r="O6221" t="s">
        <v>19989</v>
      </c>
      <c r="Q6221" t="s">
        <v>20787</v>
      </c>
      <c r="R6221" t="s">
        <v>418</v>
      </c>
      <c r="S6221">
        <v>1745</v>
      </c>
    </row>
    <row r="6222" spans="1:19">
      <c r="A6222" t="s">
        <v>28</v>
      </c>
      <c r="B6222" t="s">
        <v>148</v>
      </c>
      <c r="C6222" t="s">
        <v>160</v>
      </c>
      <c r="D6222" t="s">
        <v>289</v>
      </c>
      <c r="E6222" t="s">
        <v>418</v>
      </c>
      <c r="F6222">
        <f>HYPERLINK("https://www.wikidata.org/wiki/Q33755445", "Q33755445")</f>
        <v>0</v>
      </c>
      <c r="G6222" t="s">
        <v>3077</v>
      </c>
      <c r="H6222" t="s">
        <v>7195</v>
      </c>
      <c r="I6222" t="s">
        <v>10614</v>
      </c>
      <c r="J6222" t="s">
        <v>13701</v>
      </c>
      <c r="K6222" t="s">
        <v>18084</v>
      </c>
      <c r="L6222">
        <f>HYPERLINK("https://www2.assemblee-nationale.fr/sycomore/fiche/(num_dept)/5591", "5591")</f>
        <v>0</v>
      </c>
      <c r="M6222">
        <f>HYPERLINK("https://www.senat.fr/senateur-3eme-republique/obissier_louis0200r3.html", "obissier_louis0200r3")</f>
        <v>0</v>
      </c>
      <c r="N6222">
        <f>HYPERLINK("https://www.wikidata.org/wiki/Q16026221", "Q16026221")</f>
        <v>0</v>
      </c>
      <c r="O6222" t="s">
        <v>19987</v>
      </c>
      <c r="Q6222" t="s">
        <v>20787</v>
      </c>
      <c r="R6222" t="s">
        <v>18163</v>
      </c>
      <c r="S6222">
        <v>1247</v>
      </c>
    </row>
    <row r="6223" spans="1:19">
      <c r="A6223" t="s">
        <v>28</v>
      </c>
      <c r="B6223" t="s">
        <v>148</v>
      </c>
      <c r="C6223" t="s">
        <v>160</v>
      </c>
      <c r="D6223" t="s">
        <v>289</v>
      </c>
      <c r="E6223" t="s">
        <v>418</v>
      </c>
      <c r="F6223">
        <f>HYPERLINK("https://www.wikidata.org/wiki/Q33755445", "Q33755445")</f>
        <v>0</v>
      </c>
      <c r="G6223" t="s">
        <v>2640</v>
      </c>
      <c r="H6223" t="s">
        <v>7185</v>
      </c>
      <c r="I6223" t="s">
        <v>10331</v>
      </c>
      <c r="J6223" t="s">
        <v>13282</v>
      </c>
      <c r="K6223" t="s">
        <v>17684</v>
      </c>
      <c r="L6223">
        <f>HYPERLINK("https://www2.assemblee-nationale.fr/sycomore/fiche/(num_dept)/5609", "5609")</f>
        <v>0</v>
      </c>
      <c r="N6223">
        <f>HYPERLINK("https://www.wikidata.org/wiki/Q16026232", "Q16026232")</f>
        <v>0</v>
      </c>
      <c r="O6223" t="s">
        <v>19973</v>
      </c>
      <c r="P6223" t="s">
        <v>20459</v>
      </c>
      <c r="Q6223" t="s">
        <v>20787</v>
      </c>
      <c r="R6223" t="s">
        <v>17684</v>
      </c>
      <c r="S6223">
        <v>1152</v>
      </c>
    </row>
    <row r="6224" spans="1:19">
      <c r="A6224" t="s">
        <v>28</v>
      </c>
      <c r="B6224" t="s">
        <v>148</v>
      </c>
      <c r="C6224" t="s">
        <v>160</v>
      </c>
      <c r="D6224" t="s">
        <v>289</v>
      </c>
      <c r="E6224" t="s">
        <v>418</v>
      </c>
      <c r="F6224">
        <f>HYPERLINK("https://www.wikidata.org/wiki/Q33755445", "Q33755445")</f>
        <v>0</v>
      </c>
      <c r="G6224" t="s">
        <v>2641</v>
      </c>
      <c r="H6224" t="s">
        <v>7186</v>
      </c>
      <c r="I6224" t="s">
        <v>10332</v>
      </c>
      <c r="J6224" t="s">
        <v>13283</v>
      </c>
      <c r="K6224" t="s">
        <v>17685</v>
      </c>
      <c r="L6224">
        <f>HYPERLINK("https://www2.assemblee-nationale.fr/sycomore/fiche/(num_dept)/5612", "5612")</f>
        <v>0</v>
      </c>
      <c r="N6224">
        <f>HYPERLINK("https://www.wikidata.org/wiki/Q16025508", "Q16025508")</f>
        <v>0</v>
      </c>
      <c r="O6224" t="s">
        <v>20031</v>
      </c>
      <c r="Q6224" t="s">
        <v>20787</v>
      </c>
      <c r="R6224" t="s">
        <v>418</v>
      </c>
      <c r="S6224">
        <v>1745</v>
      </c>
    </row>
    <row r="6225" spans="1:19">
      <c r="A6225" t="s">
        <v>28</v>
      </c>
      <c r="B6225" t="s">
        <v>148</v>
      </c>
      <c r="C6225" t="s">
        <v>160</v>
      </c>
      <c r="D6225" t="s">
        <v>289</v>
      </c>
      <c r="E6225" t="s">
        <v>418</v>
      </c>
      <c r="F6225">
        <f>HYPERLINK("https://www.wikidata.org/wiki/Q33755445", "Q33755445")</f>
        <v>0</v>
      </c>
      <c r="G6225" t="s">
        <v>3646</v>
      </c>
      <c r="H6225" t="s">
        <v>7977</v>
      </c>
      <c r="I6225" t="s">
        <v>5528</v>
      </c>
      <c r="J6225" t="s">
        <v>14226</v>
      </c>
      <c r="K6225" t="s">
        <v>18588</v>
      </c>
      <c r="L6225">
        <f>HYPERLINK("https://www2.assemblee-nationale.fr/sycomore/fiche/(num_dept)/5615", "5615")</f>
        <v>0</v>
      </c>
      <c r="N6225">
        <f>HYPERLINK("https://www.wikidata.org/wiki/Q3271242", "Q3271242")</f>
        <v>0</v>
      </c>
      <c r="O6225" t="s">
        <v>20018</v>
      </c>
      <c r="Q6225" t="s">
        <v>20787</v>
      </c>
      <c r="R6225" t="s">
        <v>18588</v>
      </c>
      <c r="S6225">
        <v>1518</v>
      </c>
    </row>
    <row r="6226" spans="1:19">
      <c r="A6226" t="s">
        <v>28</v>
      </c>
      <c r="B6226" t="s">
        <v>148</v>
      </c>
      <c r="C6226" t="s">
        <v>160</v>
      </c>
      <c r="D6226" t="s">
        <v>289</v>
      </c>
      <c r="E6226" t="s">
        <v>418</v>
      </c>
      <c r="F6226">
        <f>HYPERLINK("https://www.wikidata.org/wiki/Q33755445", "Q33755445")</f>
        <v>0</v>
      </c>
      <c r="G6226" t="s">
        <v>3582</v>
      </c>
      <c r="H6226" t="s">
        <v>6255</v>
      </c>
      <c r="I6226" t="s">
        <v>6585</v>
      </c>
      <c r="J6226" t="s">
        <v>14169</v>
      </c>
      <c r="K6226" t="s">
        <v>18538</v>
      </c>
      <c r="L6226">
        <f>HYPERLINK("https://www2.assemblee-nationale.fr/sycomore/fiche/(num_dept)/5638", "5638")</f>
        <v>0</v>
      </c>
      <c r="N6226">
        <f>HYPERLINK("https://www.wikidata.org/wiki/Q27899334", "Q27899334")</f>
        <v>0</v>
      </c>
      <c r="O6226" t="s">
        <v>20026</v>
      </c>
      <c r="P6226" t="s">
        <v>20479</v>
      </c>
      <c r="Q6226" t="s">
        <v>20787</v>
      </c>
      <c r="R6226" t="s">
        <v>418</v>
      </c>
      <c r="S6226">
        <v>1745</v>
      </c>
    </row>
    <row r="6227" spans="1:19">
      <c r="A6227" t="s">
        <v>28</v>
      </c>
      <c r="B6227" t="s">
        <v>148</v>
      </c>
      <c r="C6227" t="s">
        <v>160</v>
      </c>
      <c r="D6227" t="s">
        <v>289</v>
      </c>
      <c r="E6227" t="s">
        <v>418</v>
      </c>
      <c r="F6227">
        <f>HYPERLINK("https://www.wikidata.org/wiki/Q33755445", "Q33755445")</f>
        <v>0</v>
      </c>
      <c r="G6227" t="s">
        <v>3272</v>
      </c>
      <c r="H6227" t="s">
        <v>7687</v>
      </c>
      <c r="I6227" t="s">
        <v>10739</v>
      </c>
      <c r="J6227" t="s">
        <v>13886</v>
      </c>
      <c r="K6227" t="s">
        <v>18259</v>
      </c>
      <c r="L6227">
        <f>HYPERLINK("https://www2.assemblee-nationale.fr/sycomore/fiche/(num_dept)/5657", "5657")</f>
        <v>0</v>
      </c>
      <c r="M6227">
        <f>HYPERLINK("https://www.senat.fr/senateur-3eme-republique/pajot_christophe0430r3.html", "pajot_christophe0430r3")</f>
        <v>0</v>
      </c>
      <c r="N6227">
        <f>HYPERLINK("https://www.wikidata.org/wiki/Q2966424", "Q2966424")</f>
        <v>0</v>
      </c>
      <c r="O6227" t="s">
        <v>19996</v>
      </c>
      <c r="Q6227" t="s">
        <v>20787</v>
      </c>
      <c r="R6227" t="s">
        <v>418</v>
      </c>
      <c r="S6227">
        <v>1745</v>
      </c>
    </row>
    <row r="6228" spans="1:19">
      <c r="A6228" t="s">
        <v>28</v>
      </c>
      <c r="B6228" t="s">
        <v>148</v>
      </c>
      <c r="C6228" t="s">
        <v>160</v>
      </c>
      <c r="D6228" t="s">
        <v>289</v>
      </c>
      <c r="E6228" t="s">
        <v>418</v>
      </c>
      <c r="F6228">
        <f>HYPERLINK("https://www.wikidata.org/wiki/Q33755445", "Q33755445")</f>
        <v>0</v>
      </c>
      <c r="G6228" t="s">
        <v>3721</v>
      </c>
      <c r="H6228" t="s">
        <v>8030</v>
      </c>
      <c r="I6228" t="s">
        <v>9449</v>
      </c>
      <c r="J6228" t="s">
        <v>14296</v>
      </c>
      <c r="K6228" t="s">
        <v>18650</v>
      </c>
      <c r="L6228">
        <f>HYPERLINK("https://www2.assemblee-nationale.fr/sycomore/fiche/(num_dept)/5665", "5665")</f>
        <v>0</v>
      </c>
      <c r="M6228">
        <f>HYPERLINK("https://www.senat.fr/senateur-3eme-republique/pams_jules1089r3.html", "pams_jules1089r3")</f>
        <v>0</v>
      </c>
      <c r="N6228">
        <f>HYPERLINK("https://www.wikidata.org/wiki/Q3188830", "Q3188830")</f>
        <v>0</v>
      </c>
      <c r="O6228" t="s">
        <v>20001</v>
      </c>
      <c r="P6228" t="s">
        <v>20401</v>
      </c>
      <c r="Q6228" t="s">
        <v>20787</v>
      </c>
      <c r="R6228" t="s">
        <v>418</v>
      </c>
      <c r="S6228">
        <v>1745</v>
      </c>
    </row>
    <row r="6229" spans="1:19">
      <c r="A6229" t="s">
        <v>28</v>
      </c>
      <c r="B6229" t="s">
        <v>148</v>
      </c>
      <c r="C6229" t="s">
        <v>160</v>
      </c>
      <c r="D6229" t="s">
        <v>289</v>
      </c>
      <c r="E6229" t="s">
        <v>418</v>
      </c>
      <c r="F6229">
        <f>HYPERLINK("https://www.wikidata.org/wiki/Q33755445", "Q33755445")</f>
        <v>0</v>
      </c>
      <c r="G6229" t="s">
        <v>3583</v>
      </c>
      <c r="H6229" t="s">
        <v>7932</v>
      </c>
      <c r="I6229" t="s">
        <v>6584</v>
      </c>
      <c r="J6229" t="s">
        <v>14170</v>
      </c>
      <c r="K6229" t="s">
        <v>18539</v>
      </c>
      <c r="L6229">
        <f>HYPERLINK("https://www2.assemblee-nationale.fr/sycomore/fiche/(num_dept)/5670", "5670")</f>
        <v>0</v>
      </c>
      <c r="N6229">
        <f>HYPERLINK("https://www.wikidata.org/wiki/Q16026255", "Q16026255")</f>
        <v>0</v>
      </c>
      <c r="O6229" t="s">
        <v>20007</v>
      </c>
      <c r="P6229" t="s">
        <v>20409</v>
      </c>
      <c r="Q6229" t="s">
        <v>20787</v>
      </c>
      <c r="R6229" t="s">
        <v>418</v>
      </c>
      <c r="S6229">
        <v>1745</v>
      </c>
    </row>
    <row r="6230" spans="1:19">
      <c r="A6230" t="s">
        <v>28</v>
      </c>
      <c r="B6230" t="s">
        <v>148</v>
      </c>
      <c r="C6230" t="s">
        <v>160</v>
      </c>
      <c r="D6230" t="s">
        <v>289</v>
      </c>
      <c r="E6230" t="s">
        <v>418</v>
      </c>
      <c r="F6230">
        <f>HYPERLINK("https://www.wikidata.org/wiki/Q33755445", "Q33755445")</f>
        <v>0</v>
      </c>
      <c r="G6230" t="s">
        <v>751</v>
      </c>
      <c r="H6230" t="s">
        <v>5509</v>
      </c>
      <c r="I6230" t="s">
        <v>9509</v>
      </c>
      <c r="J6230" t="s">
        <v>11499</v>
      </c>
      <c r="K6230" t="s">
        <v>15902</v>
      </c>
      <c r="L6230">
        <f>HYPERLINK("https://www2.assemblee-nationale.fr/sycomore/fiche/(num_dept)/5702", "5702")</f>
        <v>0</v>
      </c>
      <c r="N6230">
        <f>HYPERLINK("https://www.wikidata.org/wiki/Q3262846", "Q3262846")</f>
        <v>0</v>
      </c>
      <c r="O6230" t="s">
        <v>19992</v>
      </c>
      <c r="Q6230" t="s">
        <v>20787</v>
      </c>
      <c r="R6230" t="s">
        <v>418</v>
      </c>
      <c r="S6230">
        <v>1745</v>
      </c>
    </row>
    <row r="6231" spans="1:19">
      <c r="A6231" t="s">
        <v>28</v>
      </c>
      <c r="B6231" t="s">
        <v>148</v>
      </c>
      <c r="C6231" t="s">
        <v>160</v>
      </c>
      <c r="D6231" t="s">
        <v>289</v>
      </c>
      <c r="E6231" t="s">
        <v>418</v>
      </c>
      <c r="F6231">
        <f>HYPERLINK("https://www.wikidata.org/wiki/Q33755445", "Q33755445")</f>
        <v>0</v>
      </c>
      <c r="G6231" t="s">
        <v>3584</v>
      </c>
      <c r="H6231" t="s">
        <v>7933</v>
      </c>
      <c r="I6231" t="s">
        <v>10888</v>
      </c>
      <c r="J6231" t="s">
        <v>14171</v>
      </c>
      <c r="K6231" t="s">
        <v>18540</v>
      </c>
      <c r="L6231">
        <f>HYPERLINK("https://www2.assemblee-nationale.fr/sycomore/fiche/(num_dept)/5728", "5728")</f>
        <v>0</v>
      </c>
      <c r="N6231">
        <f>HYPERLINK("https://www.wikidata.org/wiki/Q3372672", "Q3372672")</f>
        <v>0</v>
      </c>
      <c r="O6231" t="s">
        <v>19969</v>
      </c>
      <c r="Q6231" t="s">
        <v>20787</v>
      </c>
      <c r="R6231" t="s">
        <v>418</v>
      </c>
      <c r="S6231">
        <v>1745</v>
      </c>
    </row>
    <row r="6232" spans="1:19">
      <c r="A6232" t="s">
        <v>28</v>
      </c>
      <c r="B6232" t="s">
        <v>148</v>
      </c>
      <c r="C6232" t="s">
        <v>160</v>
      </c>
      <c r="D6232" t="s">
        <v>289</v>
      </c>
      <c r="E6232" t="s">
        <v>418</v>
      </c>
      <c r="F6232">
        <f>HYPERLINK("https://www.wikidata.org/wiki/Q33755445", "Q33755445")</f>
        <v>0</v>
      </c>
      <c r="G6232" t="s">
        <v>3154</v>
      </c>
      <c r="H6232" t="s">
        <v>7590</v>
      </c>
      <c r="I6232" t="s">
        <v>10664</v>
      </c>
      <c r="J6232" t="s">
        <v>13776</v>
      </c>
      <c r="K6232" t="s">
        <v>18151</v>
      </c>
      <c r="L6232">
        <f>HYPERLINK("https://www2.assemblee-nationale.fr/sycomore/fiche/(num_dept)/5729", "5729")</f>
        <v>0</v>
      </c>
      <c r="N6232">
        <f>HYPERLINK("https://www.wikidata.org/wiki/Q17350275", "Q17350275")</f>
        <v>0</v>
      </c>
      <c r="O6232" t="s">
        <v>20009</v>
      </c>
      <c r="P6232" t="s">
        <v>20495</v>
      </c>
      <c r="Q6232" t="s">
        <v>20787</v>
      </c>
      <c r="R6232" t="s">
        <v>418</v>
      </c>
      <c r="S6232">
        <v>1745</v>
      </c>
    </row>
    <row r="6233" spans="1:19">
      <c r="A6233" t="s">
        <v>28</v>
      </c>
      <c r="B6233" t="s">
        <v>148</v>
      </c>
      <c r="C6233" t="s">
        <v>160</v>
      </c>
      <c r="D6233" t="s">
        <v>289</v>
      </c>
      <c r="E6233" t="s">
        <v>418</v>
      </c>
      <c r="F6233">
        <f>HYPERLINK("https://www.wikidata.org/wiki/Q33755445", "Q33755445")</f>
        <v>0</v>
      </c>
      <c r="G6233" t="s">
        <v>3722</v>
      </c>
      <c r="H6233" t="s">
        <v>8031</v>
      </c>
      <c r="I6233" t="s">
        <v>10947</v>
      </c>
      <c r="J6233" t="s">
        <v>14297</v>
      </c>
      <c r="K6233" t="s">
        <v>18651</v>
      </c>
      <c r="L6233">
        <f>HYPERLINK("https://www2.assemblee-nationale.fr/sycomore/fiche/(num_dept)/5745", "5745")</f>
        <v>0</v>
      </c>
      <c r="M6233">
        <f>HYPERLINK("https://www.senat.fr/senateur-3eme-republique/pedebidou_adolphe1079r3.html", "pedebidou_adolphe1079r3")</f>
        <v>0</v>
      </c>
      <c r="N6233">
        <f>HYPERLINK("https://www.wikidata.org/wiki/Q2839931", "Q2839931")</f>
        <v>0</v>
      </c>
      <c r="O6233" t="s">
        <v>20027</v>
      </c>
      <c r="P6233" t="s">
        <v>20479</v>
      </c>
      <c r="Q6233" t="s">
        <v>20787</v>
      </c>
      <c r="R6233" t="s">
        <v>418</v>
      </c>
      <c r="S6233">
        <v>1745</v>
      </c>
    </row>
    <row r="6234" spans="1:19">
      <c r="A6234" t="s">
        <v>28</v>
      </c>
      <c r="B6234" t="s">
        <v>148</v>
      </c>
      <c r="C6234" t="s">
        <v>160</v>
      </c>
      <c r="D6234" t="s">
        <v>289</v>
      </c>
      <c r="E6234" t="s">
        <v>418</v>
      </c>
      <c r="F6234">
        <f>HYPERLINK("https://www.wikidata.org/wiki/Q33755445", "Q33755445")</f>
        <v>0</v>
      </c>
      <c r="G6234" t="s">
        <v>754</v>
      </c>
      <c r="H6234" t="s">
        <v>5512</v>
      </c>
      <c r="I6234" t="s">
        <v>9506</v>
      </c>
      <c r="J6234" t="s">
        <v>11502</v>
      </c>
      <c r="K6234" t="s">
        <v>15905</v>
      </c>
      <c r="L6234">
        <f>HYPERLINK("https://www2.assemblee-nationale.fr/sycomore/fiche/(num_dept)/5764", "5764")</f>
        <v>0</v>
      </c>
      <c r="M6234">
        <f>HYPERLINK("https://www.senat.fr/senateur-3eme-republique/pelletan_camille0312r3.html", "pelletan_camille0312r3")</f>
        <v>0</v>
      </c>
      <c r="N6234">
        <f>HYPERLINK("https://www.wikidata.org/wiki/Q2862434", "Q2862434")</f>
        <v>0</v>
      </c>
      <c r="O6234" t="s">
        <v>19990</v>
      </c>
      <c r="P6234" t="s">
        <v>20471</v>
      </c>
      <c r="Q6234" t="s">
        <v>20787</v>
      </c>
      <c r="R6234" t="s">
        <v>418</v>
      </c>
      <c r="S6234">
        <v>1745</v>
      </c>
    </row>
    <row r="6235" spans="1:19">
      <c r="A6235" t="s">
        <v>28</v>
      </c>
      <c r="B6235" t="s">
        <v>148</v>
      </c>
      <c r="C6235" t="s">
        <v>160</v>
      </c>
      <c r="D6235" t="s">
        <v>289</v>
      </c>
      <c r="E6235" t="s">
        <v>418</v>
      </c>
      <c r="F6235">
        <f>HYPERLINK("https://www.wikidata.org/wiki/Q33755445", "Q33755445")</f>
        <v>0</v>
      </c>
      <c r="G6235" t="s">
        <v>3488</v>
      </c>
      <c r="H6235" t="s">
        <v>7861</v>
      </c>
      <c r="I6235" t="s">
        <v>10845</v>
      </c>
      <c r="J6235" t="s">
        <v>14087</v>
      </c>
      <c r="K6235" t="s">
        <v>18452</v>
      </c>
      <c r="L6235">
        <f>HYPERLINK("https://www2.assemblee-nationale.fr/sycomore/fiche/(num_dept)/5789", "5789")</f>
        <v>0</v>
      </c>
      <c r="N6235">
        <f>HYPERLINK("https://www.wikidata.org/wiki/Q16026302", "Q16026302")</f>
        <v>0</v>
      </c>
      <c r="O6235" t="s">
        <v>19987</v>
      </c>
      <c r="P6235" t="s">
        <v>20479</v>
      </c>
      <c r="Q6235" t="s">
        <v>20787</v>
      </c>
      <c r="R6235" t="s">
        <v>418</v>
      </c>
      <c r="S6235">
        <v>1745</v>
      </c>
    </row>
    <row r="6236" spans="1:19">
      <c r="A6236" t="s">
        <v>28</v>
      </c>
      <c r="B6236" t="s">
        <v>148</v>
      </c>
      <c r="C6236" t="s">
        <v>160</v>
      </c>
      <c r="D6236" t="s">
        <v>289</v>
      </c>
      <c r="E6236" t="s">
        <v>418</v>
      </c>
      <c r="F6236">
        <f>HYPERLINK("https://www.wikidata.org/wiki/Q33755445", "Q33755445")</f>
        <v>0</v>
      </c>
      <c r="G6236" t="s">
        <v>3489</v>
      </c>
      <c r="H6236" t="s">
        <v>5776</v>
      </c>
      <c r="I6236" t="s">
        <v>9401</v>
      </c>
      <c r="J6236" t="s">
        <v>14088</v>
      </c>
      <c r="K6236" t="s">
        <v>18453</v>
      </c>
      <c r="L6236">
        <f>HYPERLINK("https://www2.assemblee-nationale.fr/sycomore/fiche/(num_dept)/5810", "5810")</f>
        <v>0</v>
      </c>
      <c r="M6236">
        <f>HYPERLINK("https://www.senat.fr/senateur-3eme-republique/perrier_antoine1304r3.html", "perrier_antoine1304r3")</f>
        <v>0</v>
      </c>
      <c r="N6236">
        <f>HYPERLINK("https://www.wikidata.org/wiki/Q2856600", "Q2856600")</f>
        <v>0</v>
      </c>
      <c r="O6236" t="s">
        <v>19988</v>
      </c>
      <c r="P6236" t="s">
        <v>20479</v>
      </c>
      <c r="Q6236" t="s">
        <v>20787</v>
      </c>
      <c r="R6236" t="s">
        <v>418</v>
      </c>
      <c r="S6236">
        <v>1745</v>
      </c>
    </row>
    <row r="6237" spans="1:19">
      <c r="A6237" t="s">
        <v>28</v>
      </c>
      <c r="B6237" t="s">
        <v>148</v>
      </c>
      <c r="C6237" t="s">
        <v>160</v>
      </c>
      <c r="D6237" t="s">
        <v>289</v>
      </c>
      <c r="E6237" t="s">
        <v>418</v>
      </c>
      <c r="F6237">
        <f>HYPERLINK("https://www.wikidata.org/wiki/Q33755445", "Q33755445")</f>
        <v>0</v>
      </c>
      <c r="G6237" t="s">
        <v>2965</v>
      </c>
      <c r="H6237" t="s">
        <v>5848</v>
      </c>
      <c r="I6237" t="s">
        <v>9388</v>
      </c>
      <c r="J6237" t="s">
        <v>13597</v>
      </c>
      <c r="K6237" t="s">
        <v>17983</v>
      </c>
      <c r="L6237">
        <f>HYPERLINK("https://www2.assemblee-nationale.fr/sycomore/fiche/(num_dept)/5873", "5873")</f>
        <v>0</v>
      </c>
      <c r="M6237">
        <f>HYPERLINK("https://www.senat.fr/senateur-3eme-republique/peytral_paul0322r3.html", "peytral_paul0322r3")</f>
        <v>0</v>
      </c>
      <c r="N6237">
        <f>HYPERLINK("https://www.wikidata.org/wiki/Q179491", "Q179491")</f>
        <v>0</v>
      </c>
      <c r="O6237" t="s">
        <v>19990</v>
      </c>
      <c r="P6237" t="s">
        <v>20471</v>
      </c>
      <c r="Q6237" t="s">
        <v>20787</v>
      </c>
      <c r="R6237" t="s">
        <v>21544</v>
      </c>
      <c r="S6237">
        <v>148</v>
      </c>
    </row>
    <row r="6238" spans="1:19">
      <c r="A6238" t="s">
        <v>28</v>
      </c>
      <c r="B6238" t="s">
        <v>148</v>
      </c>
      <c r="C6238" t="s">
        <v>160</v>
      </c>
      <c r="D6238" t="s">
        <v>289</v>
      </c>
      <c r="E6238" t="s">
        <v>418</v>
      </c>
      <c r="F6238">
        <f>HYPERLINK("https://www.wikidata.org/wiki/Q33755445", "Q33755445")</f>
        <v>0</v>
      </c>
      <c r="G6238" t="s">
        <v>3156</v>
      </c>
      <c r="H6238" t="s">
        <v>7592</v>
      </c>
      <c r="I6238" t="s">
        <v>10666</v>
      </c>
      <c r="J6238" t="s">
        <v>13777</v>
      </c>
      <c r="K6238" t="s">
        <v>18153</v>
      </c>
      <c r="L6238">
        <f>HYPERLINK("https://www2.assemblee-nationale.fr/sycomore/fiche/(num_dept)/5886", "5886")</f>
        <v>0</v>
      </c>
      <c r="N6238">
        <f>HYPERLINK("https://www.wikidata.org/wiki/Q8313632", "Q8313632")</f>
        <v>0</v>
      </c>
      <c r="O6238" t="s">
        <v>19986</v>
      </c>
      <c r="Q6238" t="s">
        <v>20787</v>
      </c>
      <c r="R6238" t="s">
        <v>418</v>
      </c>
      <c r="S6238">
        <v>1745</v>
      </c>
    </row>
    <row r="6239" spans="1:19">
      <c r="A6239" t="s">
        <v>28</v>
      </c>
      <c r="B6239" t="s">
        <v>148</v>
      </c>
      <c r="C6239" t="s">
        <v>160</v>
      </c>
      <c r="D6239" t="s">
        <v>289</v>
      </c>
      <c r="E6239" t="s">
        <v>418</v>
      </c>
      <c r="F6239">
        <f>HYPERLINK("https://www.wikidata.org/wiki/Q33755445", "Q33755445")</f>
        <v>0</v>
      </c>
      <c r="G6239" t="s">
        <v>2645</v>
      </c>
      <c r="H6239" t="s">
        <v>7188</v>
      </c>
      <c r="I6239" t="s">
        <v>10334</v>
      </c>
      <c r="J6239" t="s">
        <v>13287</v>
      </c>
      <c r="K6239" t="s">
        <v>17592</v>
      </c>
      <c r="L6239">
        <f>HYPERLINK("https://www2.assemblee-nationale.fr/sycomore/fiche/(num_dept)/5919", "5919")</f>
        <v>0</v>
      </c>
      <c r="N6239">
        <f>HYPERLINK("https://www.wikidata.org/wiki/Q20204178", "Q20204178")</f>
        <v>0</v>
      </c>
      <c r="O6239" t="s">
        <v>19983</v>
      </c>
      <c r="P6239" t="s">
        <v>20401</v>
      </c>
      <c r="Q6239" t="s">
        <v>20787</v>
      </c>
      <c r="R6239" t="s">
        <v>418</v>
      </c>
      <c r="S6239">
        <v>1745</v>
      </c>
    </row>
    <row r="6240" spans="1:19">
      <c r="A6240" t="s">
        <v>28</v>
      </c>
      <c r="B6240" t="s">
        <v>148</v>
      </c>
      <c r="C6240" t="s">
        <v>160</v>
      </c>
      <c r="D6240" t="s">
        <v>289</v>
      </c>
      <c r="E6240" t="s">
        <v>418</v>
      </c>
      <c r="F6240">
        <f>HYPERLINK("https://www.wikidata.org/wiki/Q33755445", "Q33755445")</f>
        <v>0</v>
      </c>
      <c r="G6240" t="s">
        <v>762</v>
      </c>
      <c r="H6240" t="s">
        <v>5520</v>
      </c>
      <c r="I6240" t="s">
        <v>9514</v>
      </c>
      <c r="J6240" t="s">
        <v>11507</v>
      </c>
      <c r="K6240" t="s">
        <v>15913</v>
      </c>
      <c r="L6240">
        <f>HYPERLINK("https://www2.assemblee-nationale.fr/sycomore/fiche/(num_dept)/5981", "5981")</f>
        <v>0</v>
      </c>
      <c r="M6240">
        <f>HYPERLINK("https://www.senat.fr/senateur-3eme-republique/plichon_jean1422r3.html", "plichon_jean1422r3")</f>
        <v>0</v>
      </c>
      <c r="N6240">
        <f>HYPERLINK("https://www.wikidata.org/wiki/Q3174051", "Q3174051")</f>
        <v>0</v>
      </c>
      <c r="O6240" t="s">
        <v>20013</v>
      </c>
      <c r="P6240" t="s">
        <v>20410</v>
      </c>
      <c r="Q6240" t="s">
        <v>20787</v>
      </c>
      <c r="R6240" t="s">
        <v>418</v>
      </c>
      <c r="S6240">
        <v>1745</v>
      </c>
    </row>
    <row r="6241" spans="1:19">
      <c r="A6241" t="s">
        <v>28</v>
      </c>
      <c r="B6241" t="s">
        <v>148</v>
      </c>
      <c r="C6241" t="s">
        <v>160</v>
      </c>
      <c r="D6241" t="s">
        <v>289</v>
      </c>
      <c r="E6241" t="s">
        <v>418</v>
      </c>
      <c r="F6241">
        <f>HYPERLINK("https://www.wikidata.org/wiki/Q33755445", "Q33755445")</f>
        <v>0</v>
      </c>
      <c r="G6241" t="s">
        <v>763</v>
      </c>
      <c r="H6241" t="s">
        <v>5521</v>
      </c>
      <c r="I6241" t="s">
        <v>5800</v>
      </c>
      <c r="J6241" t="s">
        <v>11510</v>
      </c>
      <c r="K6241" t="s">
        <v>15914</v>
      </c>
      <c r="L6241">
        <f>HYPERLINK("https://www2.assemblee-nationale.fr/sycomore/fiche/(num_dept)/5983", "5983")</f>
        <v>0</v>
      </c>
      <c r="N6241">
        <f>HYPERLINK("https://www.wikidata.org/wiki/Q3484416", "Q3484416")</f>
        <v>0</v>
      </c>
      <c r="O6241" t="s">
        <v>20006</v>
      </c>
      <c r="Q6241" t="s">
        <v>20787</v>
      </c>
      <c r="R6241" t="s">
        <v>418</v>
      </c>
      <c r="S6241">
        <v>1745</v>
      </c>
    </row>
    <row r="6242" spans="1:19">
      <c r="A6242" t="s">
        <v>28</v>
      </c>
      <c r="B6242" t="s">
        <v>148</v>
      </c>
      <c r="C6242" t="s">
        <v>160</v>
      </c>
      <c r="D6242" t="s">
        <v>289</v>
      </c>
      <c r="E6242" t="s">
        <v>418</v>
      </c>
      <c r="F6242">
        <f>HYPERLINK("https://www.wikidata.org/wiki/Q33755445", "Q33755445")</f>
        <v>0</v>
      </c>
      <c r="G6242" t="s">
        <v>3052</v>
      </c>
      <c r="H6242" t="s">
        <v>7507</v>
      </c>
      <c r="I6242" t="s">
        <v>10601</v>
      </c>
      <c r="J6242" t="s">
        <v>13678</v>
      </c>
      <c r="K6242" t="s">
        <v>18059</v>
      </c>
      <c r="L6242">
        <f>HYPERLINK("https://www2.assemblee-nationale.fr/sycomore/fiche/(num_dept)/5987", "5987")</f>
        <v>0</v>
      </c>
      <c r="M6242">
        <f>HYPERLINK("https://www.senat.fr/senateur-3eme-republique/pochon_joseph0015r3.html", "pochon_joseph0015r3")</f>
        <v>0</v>
      </c>
      <c r="N6242">
        <f>HYPERLINK("https://www.wikidata.org/wiki/Q3185501", "Q3185501")</f>
        <v>0</v>
      </c>
      <c r="O6242" t="s">
        <v>19986</v>
      </c>
      <c r="P6242" t="s">
        <v>20456</v>
      </c>
      <c r="Q6242" t="s">
        <v>20787</v>
      </c>
      <c r="R6242" t="s">
        <v>418</v>
      </c>
      <c r="S6242">
        <v>1745</v>
      </c>
    </row>
    <row r="6243" spans="1:19">
      <c r="A6243" t="s">
        <v>28</v>
      </c>
      <c r="B6243" t="s">
        <v>148</v>
      </c>
      <c r="C6243" t="s">
        <v>160</v>
      </c>
      <c r="D6243" t="s">
        <v>289</v>
      </c>
      <c r="E6243" t="s">
        <v>418</v>
      </c>
      <c r="F6243">
        <f>HYPERLINK("https://www.wikidata.org/wiki/Q33755445", "Q33755445")</f>
        <v>0</v>
      </c>
      <c r="G6243" t="s">
        <v>3369</v>
      </c>
      <c r="H6243" t="s">
        <v>7766</v>
      </c>
      <c r="I6243" t="s">
        <v>9692</v>
      </c>
      <c r="J6243" t="s">
        <v>13981</v>
      </c>
      <c r="K6243" t="s">
        <v>18349</v>
      </c>
      <c r="L6243">
        <f>HYPERLINK("https://www2.assemblee-nationale.fr/sycomore/fiche/(num_dept)/5994", "5994")</f>
        <v>0</v>
      </c>
      <c r="M6243">
        <f>HYPERLINK("https://www.senat.fr/senateur-3eme-republique/poincare_raymond1024r3.html", "poincare_raymond1024r3")</f>
        <v>0</v>
      </c>
      <c r="N6243">
        <f>HYPERLINK("https://www.wikidata.org/wiki/Q191974", "Q191974")</f>
        <v>0</v>
      </c>
      <c r="O6243" t="s">
        <v>20030</v>
      </c>
      <c r="Q6243" t="s">
        <v>20787</v>
      </c>
      <c r="R6243" t="s">
        <v>418</v>
      </c>
      <c r="S6243">
        <v>1745</v>
      </c>
    </row>
    <row r="6244" spans="1:19">
      <c r="A6244" t="s">
        <v>28</v>
      </c>
      <c r="B6244" t="s">
        <v>148</v>
      </c>
      <c r="C6244" t="s">
        <v>160</v>
      </c>
      <c r="D6244" t="s">
        <v>289</v>
      </c>
      <c r="E6244" t="s">
        <v>418</v>
      </c>
      <c r="F6244">
        <f>HYPERLINK("https://www.wikidata.org/wiki/Q33755445", "Q33755445")</f>
        <v>0</v>
      </c>
      <c r="G6244" t="s">
        <v>3047</v>
      </c>
      <c r="H6244" t="s">
        <v>7503</v>
      </c>
      <c r="I6244" t="s">
        <v>9421</v>
      </c>
      <c r="J6244" t="s">
        <v>13674</v>
      </c>
      <c r="K6244" t="s">
        <v>18055</v>
      </c>
      <c r="L6244">
        <f>HYPERLINK("https://www2.assemblee-nationale.fr/sycomore/fiche/(num_dept)/6001", "6001")</f>
        <v>0</v>
      </c>
      <c r="M6244">
        <f>HYPERLINK("https://www.senat.fr/senateur-3eme-republique/rivet_gustave1198r3.html", "rivet_gustave1198r3")</f>
        <v>0</v>
      </c>
      <c r="N6244">
        <f>HYPERLINK("https://www.wikidata.org/wiki/Q3121310", "Q3121310")</f>
        <v>0</v>
      </c>
      <c r="O6244" t="s">
        <v>20006</v>
      </c>
      <c r="P6244" t="s">
        <v>20401</v>
      </c>
      <c r="Q6244" t="s">
        <v>20787</v>
      </c>
      <c r="R6244" t="s">
        <v>418</v>
      </c>
      <c r="S6244">
        <v>1745</v>
      </c>
    </row>
    <row r="6245" spans="1:19">
      <c r="A6245" t="s">
        <v>28</v>
      </c>
      <c r="B6245" t="s">
        <v>148</v>
      </c>
      <c r="C6245" t="s">
        <v>160</v>
      </c>
      <c r="D6245" t="s">
        <v>289</v>
      </c>
      <c r="E6245" t="s">
        <v>418</v>
      </c>
      <c r="F6245">
        <f>HYPERLINK("https://www.wikidata.org/wiki/Q33755445", "Q33755445")</f>
        <v>0</v>
      </c>
      <c r="G6245" t="s">
        <v>1029</v>
      </c>
      <c r="H6245" t="s">
        <v>5525</v>
      </c>
      <c r="I6245" t="s">
        <v>9627</v>
      </c>
      <c r="J6245" t="s">
        <v>11766</v>
      </c>
      <c r="K6245" t="s">
        <v>16167</v>
      </c>
      <c r="L6245">
        <f>HYPERLINK("https://www2.assemblee-nationale.fr/sycomore/fiche/(num_dept)/6029", "6029")</f>
        <v>0</v>
      </c>
      <c r="N6245">
        <f>HYPERLINK("https://www.wikidata.org/wiki/Q3057161", "Q3057161")</f>
        <v>0</v>
      </c>
      <c r="O6245" t="s">
        <v>19969</v>
      </c>
      <c r="Q6245" t="s">
        <v>20787</v>
      </c>
      <c r="R6245" t="s">
        <v>418</v>
      </c>
      <c r="S6245">
        <v>1745</v>
      </c>
    </row>
    <row r="6246" spans="1:19">
      <c r="A6246" t="s">
        <v>28</v>
      </c>
      <c r="B6246" t="s">
        <v>148</v>
      </c>
      <c r="C6246" t="s">
        <v>160</v>
      </c>
      <c r="D6246" t="s">
        <v>289</v>
      </c>
      <c r="E6246" t="s">
        <v>418</v>
      </c>
      <c r="F6246">
        <f>HYPERLINK("https://www.wikidata.org/wiki/Q33755445", "Q33755445")</f>
        <v>0</v>
      </c>
      <c r="G6246" t="s">
        <v>767</v>
      </c>
      <c r="H6246" t="s">
        <v>5525</v>
      </c>
      <c r="I6246" t="s">
        <v>9449</v>
      </c>
      <c r="J6246" t="s">
        <v>11514</v>
      </c>
      <c r="K6246" t="s">
        <v>15918</v>
      </c>
      <c r="L6246">
        <f>HYPERLINK("https://www2.assemblee-nationale.fr/sycomore/fiche/(num_dept)/6031", "6031")</f>
        <v>0</v>
      </c>
      <c r="N6246">
        <f>HYPERLINK("https://www.wikidata.org/wiki/Q3188891", "Q3188891")</f>
        <v>0</v>
      </c>
      <c r="O6246" t="s">
        <v>19988</v>
      </c>
      <c r="Q6246" t="s">
        <v>20787</v>
      </c>
      <c r="R6246" t="s">
        <v>418</v>
      </c>
      <c r="S6246">
        <v>1745</v>
      </c>
    </row>
    <row r="6247" spans="1:19">
      <c r="A6247" t="s">
        <v>28</v>
      </c>
      <c r="B6247" t="s">
        <v>148</v>
      </c>
      <c r="C6247" t="s">
        <v>160</v>
      </c>
      <c r="D6247" t="s">
        <v>289</v>
      </c>
      <c r="E6247" t="s">
        <v>418</v>
      </c>
      <c r="F6247">
        <f>HYPERLINK("https://www.wikidata.org/wiki/Q33755445", "Q33755445")</f>
        <v>0</v>
      </c>
      <c r="G6247" t="s">
        <v>770</v>
      </c>
      <c r="H6247" t="s">
        <v>5528</v>
      </c>
      <c r="I6247" t="s">
        <v>9517</v>
      </c>
      <c r="J6247" t="s">
        <v>11517</v>
      </c>
      <c r="K6247" t="s">
        <v>15921</v>
      </c>
      <c r="L6247">
        <f>HYPERLINK("https://www2.assemblee-nationale.fr/sycomore/fiche/(num_dept)/6054", "6054")</f>
        <v>0</v>
      </c>
      <c r="N6247">
        <f>HYPERLINK("https://www.wikidata.org/wiki/Q2829651", "Q2829651")</f>
        <v>0</v>
      </c>
      <c r="O6247" t="s">
        <v>19961</v>
      </c>
      <c r="Q6247" t="s">
        <v>20787</v>
      </c>
      <c r="R6247" t="s">
        <v>418</v>
      </c>
      <c r="S6247">
        <v>1745</v>
      </c>
    </row>
    <row r="6248" spans="1:19">
      <c r="A6248" t="s">
        <v>28</v>
      </c>
      <c r="B6248" t="s">
        <v>148</v>
      </c>
      <c r="C6248" t="s">
        <v>160</v>
      </c>
      <c r="D6248" t="s">
        <v>289</v>
      </c>
      <c r="E6248" t="s">
        <v>418</v>
      </c>
      <c r="F6248">
        <f>HYPERLINK("https://www.wikidata.org/wiki/Q33755445", "Q33755445")</f>
        <v>0</v>
      </c>
      <c r="G6248" t="s">
        <v>3585</v>
      </c>
      <c r="H6248" t="s">
        <v>6610</v>
      </c>
      <c r="I6248" t="s">
        <v>10889</v>
      </c>
      <c r="J6248" t="s">
        <v>14172</v>
      </c>
      <c r="K6248" t="s">
        <v>18541</v>
      </c>
      <c r="L6248">
        <f>HYPERLINK("https://www2.assemblee-nationale.fr/sycomore/fiche/(num_dept)/6059", "6059")</f>
        <v>0</v>
      </c>
      <c r="N6248">
        <f>HYPERLINK("https://www.wikidata.org/wiki/Q16026441", "Q16026441")</f>
        <v>0</v>
      </c>
      <c r="O6248" t="s">
        <v>20001</v>
      </c>
      <c r="Q6248" t="s">
        <v>20787</v>
      </c>
      <c r="R6248" t="s">
        <v>418</v>
      </c>
      <c r="S6248">
        <v>1745</v>
      </c>
    </row>
    <row r="6249" spans="1:19">
      <c r="A6249" t="s">
        <v>28</v>
      </c>
      <c r="B6249" t="s">
        <v>148</v>
      </c>
      <c r="C6249" t="s">
        <v>160</v>
      </c>
      <c r="D6249" t="s">
        <v>289</v>
      </c>
      <c r="E6249" t="s">
        <v>418</v>
      </c>
      <c r="F6249">
        <f>HYPERLINK("https://www.wikidata.org/wiki/Q33755445", "Q33755445")</f>
        <v>0</v>
      </c>
      <c r="G6249" t="s">
        <v>2650</v>
      </c>
      <c r="H6249" t="s">
        <v>7191</v>
      </c>
      <c r="I6249" t="s">
        <v>7642</v>
      </c>
      <c r="J6249" t="s">
        <v>13292</v>
      </c>
      <c r="K6249" t="s">
        <v>17691</v>
      </c>
      <c r="L6249">
        <f>HYPERLINK("https://www2.assemblee-nationale.fr/sycomore/fiche/(num_dept)/6152", "6152")</f>
        <v>0</v>
      </c>
      <c r="M6249">
        <f>HYPERLINK("https://www.senat.fr/senateur-3eme-republique/rouvier_maurice0115r3.html", "rouvier_maurice0115r3")</f>
        <v>0</v>
      </c>
      <c r="N6249">
        <f>HYPERLINK("https://www.wikidata.org/wiki/Q471293", "Q471293")</f>
        <v>0</v>
      </c>
      <c r="O6249" t="s">
        <v>20024</v>
      </c>
      <c r="Q6249" t="s">
        <v>20787</v>
      </c>
      <c r="R6249" t="s">
        <v>418</v>
      </c>
      <c r="S6249">
        <v>1745</v>
      </c>
    </row>
    <row r="6250" spans="1:19">
      <c r="A6250" t="s">
        <v>28</v>
      </c>
      <c r="B6250" t="s">
        <v>148</v>
      </c>
      <c r="C6250" t="s">
        <v>160</v>
      </c>
      <c r="D6250" t="s">
        <v>289</v>
      </c>
      <c r="E6250" t="s">
        <v>418</v>
      </c>
      <c r="F6250">
        <f>HYPERLINK("https://www.wikidata.org/wiki/Q33755445", "Q33755445")</f>
        <v>0</v>
      </c>
      <c r="G6250" t="s">
        <v>3587</v>
      </c>
      <c r="H6250" t="s">
        <v>7935</v>
      </c>
      <c r="I6250" t="s">
        <v>10891</v>
      </c>
      <c r="J6250" t="s">
        <v>14174</v>
      </c>
      <c r="K6250" t="s">
        <v>16012</v>
      </c>
      <c r="L6250">
        <f>HYPERLINK("https://www2.assemblee-nationale.fr/sycomore/fiche/(num_dept)/6164", "6164")</f>
        <v>0</v>
      </c>
      <c r="N6250">
        <f>HYPERLINK("https://www.wikidata.org/wiki/Q1711666", "Q1711666")</f>
        <v>0</v>
      </c>
      <c r="O6250" t="s">
        <v>19990</v>
      </c>
      <c r="Q6250" t="s">
        <v>20787</v>
      </c>
      <c r="R6250" t="s">
        <v>418</v>
      </c>
      <c r="S6250">
        <v>1745</v>
      </c>
    </row>
    <row r="6251" spans="1:19">
      <c r="A6251" t="s">
        <v>28</v>
      </c>
      <c r="B6251" t="s">
        <v>148</v>
      </c>
      <c r="C6251" t="s">
        <v>160</v>
      </c>
      <c r="D6251" t="s">
        <v>289</v>
      </c>
      <c r="E6251" t="s">
        <v>418</v>
      </c>
      <c r="F6251">
        <f>HYPERLINK("https://www.wikidata.org/wiki/Q33755445", "Q33755445")</f>
        <v>0</v>
      </c>
      <c r="G6251" t="s">
        <v>3723</v>
      </c>
      <c r="H6251" t="s">
        <v>8032</v>
      </c>
      <c r="I6251" t="s">
        <v>10948</v>
      </c>
      <c r="J6251" t="s">
        <v>14298</v>
      </c>
      <c r="K6251" t="s">
        <v>18652</v>
      </c>
      <c r="L6251">
        <f>HYPERLINK("https://www2.assemblee-nationale.fr/sycomore/fiche/(num_dept)/6168", "6168")</f>
        <v>0</v>
      </c>
      <c r="N6251">
        <f>HYPERLINK("https://www.wikidata.org/wiki/Q3131954", "Q3131954")</f>
        <v>0</v>
      </c>
      <c r="O6251" t="s">
        <v>19960</v>
      </c>
      <c r="Q6251" t="s">
        <v>20787</v>
      </c>
      <c r="R6251" t="s">
        <v>418</v>
      </c>
      <c r="S6251">
        <v>1745</v>
      </c>
    </row>
    <row r="6252" spans="1:19">
      <c r="A6252" t="s">
        <v>28</v>
      </c>
      <c r="B6252" t="s">
        <v>148</v>
      </c>
      <c r="C6252" t="s">
        <v>160</v>
      </c>
      <c r="D6252" t="s">
        <v>289</v>
      </c>
      <c r="E6252" t="s">
        <v>418</v>
      </c>
      <c r="F6252">
        <f>HYPERLINK("https://www.wikidata.org/wiki/Q33755445", "Q33755445")</f>
        <v>0</v>
      </c>
      <c r="G6252" t="s">
        <v>2652</v>
      </c>
      <c r="H6252" t="s">
        <v>7193</v>
      </c>
      <c r="I6252" t="s">
        <v>10340</v>
      </c>
      <c r="J6252" t="s">
        <v>13294</v>
      </c>
      <c r="K6252" t="s">
        <v>17693</v>
      </c>
      <c r="L6252">
        <f>HYPERLINK("https://www2.assemblee-nationale.fr/sycomore/fiche/(num_dept)/6175", "6175")</f>
        <v>0</v>
      </c>
      <c r="N6252">
        <f>HYPERLINK("https://www.wikidata.org/wiki/Q16026458", "Q16026458")</f>
        <v>0</v>
      </c>
      <c r="O6252" t="s">
        <v>20030</v>
      </c>
      <c r="P6252" t="s">
        <v>20459</v>
      </c>
      <c r="Q6252" t="s">
        <v>20787</v>
      </c>
      <c r="R6252" t="s">
        <v>418</v>
      </c>
      <c r="S6252">
        <v>1745</v>
      </c>
    </row>
    <row r="6253" spans="1:19">
      <c r="A6253" t="s">
        <v>28</v>
      </c>
      <c r="B6253" t="s">
        <v>148</v>
      </c>
      <c r="C6253" t="s">
        <v>160</v>
      </c>
      <c r="D6253" t="s">
        <v>289</v>
      </c>
      <c r="E6253" t="s">
        <v>418</v>
      </c>
      <c r="F6253">
        <f>HYPERLINK("https://www.wikidata.org/wiki/Q33755445", "Q33755445")</f>
        <v>0</v>
      </c>
      <c r="G6253" t="s">
        <v>1033</v>
      </c>
      <c r="H6253" t="s">
        <v>5782</v>
      </c>
      <c r="I6253" t="s">
        <v>9630</v>
      </c>
      <c r="J6253" t="s">
        <v>11770</v>
      </c>
      <c r="K6253" t="s">
        <v>16171</v>
      </c>
      <c r="L6253">
        <f>HYPERLINK("https://www2.assemblee-nationale.fr/sycomore/fiche/(num_dept)/6179", "6179")</f>
        <v>0</v>
      </c>
      <c r="N6253">
        <f>HYPERLINK("https://www.wikidata.org/wiki/Q13077219", "Q13077219")</f>
        <v>0</v>
      </c>
      <c r="O6253" t="s">
        <v>20022</v>
      </c>
      <c r="Q6253" t="s">
        <v>20787</v>
      </c>
      <c r="R6253" t="s">
        <v>418</v>
      </c>
      <c r="S6253">
        <v>1745</v>
      </c>
    </row>
    <row r="6254" spans="1:19">
      <c r="A6254" t="s">
        <v>28</v>
      </c>
      <c r="B6254" t="s">
        <v>148</v>
      </c>
      <c r="C6254" t="s">
        <v>160</v>
      </c>
      <c r="D6254" t="s">
        <v>289</v>
      </c>
      <c r="E6254" t="s">
        <v>418</v>
      </c>
      <c r="F6254">
        <f>HYPERLINK("https://www.wikidata.org/wiki/Q33755445", "Q33755445")</f>
        <v>0</v>
      </c>
      <c r="G6254" t="s">
        <v>2654</v>
      </c>
      <c r="H6254" t="s">
        <v>7194</v>
      </c>
      <c r="I6254" t="s">
        <v>10342</v>
      </c>
      <c r="J6254" t="s">
        <v>13296</v>
      </c>
      <c r="K6254" t="s">
        <v>17695</v>
      </c>
      <c r="L6254">
        <f>HYPERLINK("https://www2.assemblee-nationale.fr/sycomore/fiche/(num_dept)/6183", "6183")</f>
        <v>0</v>
      </c>
      <c r="M6254">
        <f>HYPERLINK("https://www.senat.fr/senateur-3eme-republique/rubillard_anselme1245r3.html", "rubillard_anselme1245r3")</f>
        <v>0</v>
      </c>
      <c r="N6254">
        <f>HYPERLINK("https://www.wikidata.org/wiki/Q2852487", "Q2852487")</f>
        <v>0</v>
      </c>
      <c r="O6254" t="s">
        <v>19956</v>
      </c>
      <c r="P6254" t="s">
        <v>20420</v>
      </c>
      <c r="Q6254" t="s">
        <v>20787</v>
      </c>
      <c r="R6254" t="s">
        <v>418</v>
      </c>
      <c r="S6254">
        <v>1745</v>
      </c>
    </row>
    <row r="6255" spans="1:19">
      <c r="A6255" t="s">
        <v>28</v>
      </c>
      <c r="B6255" t="s">
        <v>148</v>
      </c>
      <c r="C6255" t="s">
        <v>160</v>
      </c>
      <c r="D6255" t="s">
        <v>289</v>
      </c>
      <c r="E6255" t="s">
        <v>418</v>
      </c>
      <c r="F6255">
        <f>HYPERLINK("https://www.wikidata.org/wiki/Q33755445", "Q33755445")</f>
        <v>0</v>
      </c>
      <c r="G6255" t="s">
        <v>3493</v>
      </c>
      <c r="H6255" t="s">
        <v>7799</v>
      </c>
      <c r="I6255" t="s">
        <v>9523</v>
      </c>
      <c r="J6255" t="s">
        <v>14092</v>
      </c>
      <c r="K6255" t="s">
        <v>18457</v>
      </c>
      <c r="L6255">
        <f>HYPERLINK("https://www2.assemblee-nationale.fr/sycomore/fiche/(num_dept)/6215", "6215")</f>
        <v>0</v>
      </c>
      <c r="M6255">
        <f>HYPERLINK("https://www.senat.fr/senateur-3eme-republique/saint_germain_marcel1823r3.html", "saint_germain_marcel1823r3")</f>
        <v>0</v>
      </c>
      <c r="N6255">
        <f>HYPERLINK("https://www.wikidata.org/wiki/Q16798548", "Q16798548")</f>
        <v>0</v>
      </c>
      <c r="O6255" t="s">
        <v>20000</v>
      </c>
      <c r="P6255" t="s">
        <v>20482</v>
      </c>
      <c r="Q6255" t="s">
        <v>20787</v>
      </c>
      <c r="R6255" t="s">
        <v>418</v>
      </c>
      <c r="S6255">
        <v>1745</v>
      </c>
    </row>
    <row r="6256" spans="1:19">
      <c r="A6256" t="s">
        <v>28</v>
      </c>
      <c r="B6256" t="s">
        <v>148</v>
      </c>
      <c r="C6256" t="s">
        <v>160</v>
      </c>
      <c r="D6256" t="s">
        <v>289</v>
      </c>
      <c r="E6256" t="s">
        <v>418</v>
      </c>
      <c r="F6256">
        <f>HYPERLINK("https://www.wikidata.org/wiki/Q33755445", "Q33755445")</f>
        <v>0</v>
      </c>
      <c r="G6256" t="s">
        <v>2656</v>
      </c>
      <c r="H6256" t="s">
        <v>7196</v>
      </c>
      <c r="I6256" t="s">
        <v>10343</v>
      </c>
      <c r="J6256" t="s">
        <v>13298</v>
      </c>
      <c r="K6256" t="s">
        <v>17697</v>
      </c>
      <c r="L6256">
        <f>HYPERLINK("https://www2.assemblee-nationale.fr/sycomore/fiche/(num_dept)/6222", "6222")</f>
        <v>0</v>
      </c>
      <c r="N6256">
        <f>HYPERLINK("https://www.wikidata.org/wiki/Q3592434", "Q3592434")</f>
        <v>0</v>
      </c>
      <c r="O6256" t="s">
        <v>19975</v>
      </c>
      <c r="Q6256" t="s">
        <v>20787</v>
      </c>
      <c r="R6256" t="s">
        <v>418</v>
      </c>
      <c r="S6256">
        <v>1745</v>
      </c>
    </row>
    <row r="6257" spans="1:19">
      <c r="A6257" t="s">
        <v>28</v>
      </c>
      <c r="B6257" t="s">
        <v>148</v>
      </c>
      <c r="C6257" t="s">
        <v>160</v>
      </c>
      <c r="D6257" t="s">
        <v>289</v>
      </c>
      <c r="E6257" t="s">
        <v>418</v>
      </c>
      <c r="F6257">
        <f>HYPERLINK("https://www.wikidata.org/wiki/Q33755445", "Q33755445")</f>
        <v>0</v>
      </c>
      <c r="G6257" t="s">
        <v>2657</v>
      </c>
      <c r="H6257" t="s">
        <v>7197</v>
      </c>
      <c r="I6257" t="s">
        <v>10344</v>
      </c>
      <c r="J6257" t="s">
        <v>11632</v>
      </c>
      <c r="K6257" t="s">
        <v>17698</v>
      </c>
      <c r="L6257">
        <f>HYPERLINK("https://www2.assemblee-nationale.fr/sycomore/fiche/(num_dept)/6230", "6230")</f>
        <v>0</v>
      </c>
      <c r="M6257">
        <f>HYPERLINK("https://www.senat.fr/senateur-3eme-republique/saint_romme_mathias1205r3.html", "saint_romme_mathias1205r3")</f>
        <v>0</v>
      </c>
      <c r="N6257">
        <f>HYPERLINK("https://www.wikidata.org/wiki/Q3298594", "Q3298594")</f>
        <v>0</v>
      </c>
      <c r="O6257" t="s">
        <v>20006</v>
      </c>
      <c r="P6257" t="s">
        <v>20459</v>
      </c>
      <c r="Q6257" t="s">
        <v>20787</v>
      </c>
      <c r="R6257" t="s">
        <v>18602</v>
      </c>
      <c r="S6257">
        <v>468</v>
      </c>
    </row>
    <row r="6258" spans="1:19">
      <c r="A6258" t="s">
        <v>28</v>
      </c>
      <c r="B6258" t="s">
        <v>148</v>
      </c>
      <c r="C6258" t="s">
        <v>160</v>
      </c>
      <c r="D6258" t="s">
        <v>289</v>
      </c>
      <c r="E6258" t="s">
        <v>418</v>
      </c>
      <c r="F6258">
        <f>HYPERLINK("https://www.wikidata.org/wiki/Q33755445", "Q33755445")</f>
        <v>0</v>
      </c>
      <c r="G6258" t="s">
        <v>2658</v>
      </c>
      <c r="H6258" t="s">
        <v>7198</v>
      </c>
      <c r="I6258" t="s">
        <v>10345</v>
      </c>
      <c r="J6258" t="s">
        <v>13299</v>
      </c>
      <c r="K6258" t="s">
        <v>17699</v>
      </c>
      <c r="L6258">
        <f>HYPERLINK("https://www2.assemblee-nationale.fr/sycomore/fiche/(num_dept)/6250", "6250")</f>
        <v>0</v>
      </c>
      <c r="N6258">
        <f>HYPERLINK("https://www.wikidata.org/wiki/Q16026472", "Q16026472")</f>
        <v>0</v>
      </c>
      <c r="O6258" t="s">
        <v>7411</v>
      </c>
      <c r="P6258" t="s">
        <v>20401</v>
      </c>
      <c r="Q6258" t="s">
        <v>20787</v>
      </c>
      <c r="R6258" t="s">
        <v>418</v>
      </c>
      <c r="S6258">
        <v>1745</v>
      </c>
    </row>
    <row r="6259" spans="1:19">
      <c r="A6259" t="s">
        <v>28</v>
      </c>
      <c r="B6259" t="s">
        <v>148</v>
      </c>
      <c r="C6259" t="s">
        <v>160</v>
      </c>
      <c r="D6259" t="s">
        <v>289</v>
      </c>
      <c r="E6259" t="s">
        <v>418</v>
      </c>
      <c r="F6259">
        <f>HYPERLINK("https://www.wikidata.org/wiki/Q33755445", "Q33755445")</f>
        <v>0</v>
      </c>
      <c r="G6259" t="s">
        <v>2659</v>
      </c>
      <c r="H6259" t="s">
        <v>7199</v>
      </c>
      <c r="I6259" t="s">
        <v>9376</v>
      </c>
      <c r="J6259" t="s">
        <v>13300</v>
      </c>
      <c r="K6259" t="s">
        <v>17700</v>
      </c>
      <c r="L6259">
        <f>HYPERLINK("https://www2.assemblee-nationale.fr/sycomore/fiche/(num_dept)/6297", "6297")</f>
        <v>0</v>
      </c>
      <c r="M6259">
        <f>HYPERLINK("https://www.senat.fr/senateur-3eme-republique/sarrien_ferdinand1219r3.html", "sarrien_ferdinand1219r3")</f>
        <v>0</v>
      </c>
      <c r="N6259">
        <f>HYPERLINK("https://www.wikidata.org/wiki/Q718698", "Q718698")</f>
        <v>0</v>
      </c>
      <c r="O6259" t="s">
        <v>19994</v>
      </c>
      <c r="Q6259" t="s">
        <v>20787</v>
      </c>
      <c r="R6259" t="s">
        <v>418</v>
      </c>
      <c r="S6259">
        <v>1745</v>
      </c>
    </row>
    <row r="6260" spans="1:19">
      <c r="A6260" t="s">
        <v>28</v>
      </c>
      <c r="B6260" t="s">
        <v>148</v>
      </c>
      <c r="C6260" t="s">
        <v>160</v>
      </c>
      <c r="D6260" t="s">
        <v>289</v>
      </c>
      <c r="E6260" t="s">
        <v>418</v>
      </c>
      <c r="F6260">
        <f>HYPERLINK("https://www.wikidata.org/wiki/Q33755445", "Q33755445")</f>
        <v>0</v>
      </c>
      <c r="G6260" t="s">
        <v>779</v>
      </c>
      <c r="H6260" t="s">
        <v>5537</v>
      </c>
      <c r="I6260" t="s">
        <v>6175</v>
      </c>
      <c r="J6260" t="s">
        <v>11526</v>
      </c>
      <c r="K6260" t="s">
        <v>15930</v>
      </c>
      <c r="L6260">
        <f>HYPERLINK("https://www2.assemblee-nationale.fr/sycomore/fiche/(num_dept)/6306", "6306")</f>
        <v>0</v>
      </c>
      <c r="N6260">
        <f>HYPERLINK("https://www.wikidata.org/wiki/Q16026484", "Q16026484")</f>
        <v>0</v>
      </c>
      <c r="O6260" t="s">
        <v>20010</v>
      </c>
      <c r="Q6260" t="s">
        <v>20787</v>
      </c>
      <c r="R6260" t="s">
        <v>418</v>
      </c>
      <c r="S6260">
        <v>1745</v>
      </c>
    </row>
    <row r="6261" spans="1:19">
      <c r="A6261" t="s">
        <v>28</v>
      </c>
      <c r="B6261" t="s">
        <v>148</v>
      </c>
      <c r="C6261" t="s">
        <v>160</v>
      </c>
      <c r="D6261" t="s">
        <v>289</v>
      </c>
      <c r="E6261" t="s">
        <v>418</v>
      </c>
      <c r="F6261">
        <f>HYPERLINK("https://www.wikidata.org/wiki/Q33755445", "Q33755445")</f>
        <v>0</v>
      </c>
      <c r="G6261" t="s">
        <v>3494</v>
      </c>
      <c r="H6261" t="s">
        <v>7864</v>
      </c>
      <c r="I6261" t="s">
        <v>5528</v>
      </c>
      <c r="J6261" t="s">
        <v>13235</v>
      </c>
      <c r="K6261" t="s">
        <v>18458</v>
      </c>
      <c r="L6261">
        <f>HYPERLINK("https://www2.assemblee-nationale.fr/sycomore/fiche/(num_dept)/6327", "6327")</f>
        <v>0</v>
      </c>
      <c r="M6261">
        <f>HYPERLINK("https://www.senat.fr/senateur-3eme-republique/say_leon1623r3.html", "say_leon1623r3")</f>
        <v>0</v>
      </c>
      <c r="N6261">
        <f>HYPERLINK("https://www.wikidata.org/wiki/Q3271322", "Q3271322")</f>
        <v>0</v>
      </c>
      <c r="O6261" t="s">
        <v>19970</v>
      </c>
      <c r="P6261" t="s">
        <v>20410</v>
      </c>
      <c r="Q6261" t="s">
        <v>20787</v>
      </c>
      <c r="R6261" t="s">
        <v>18458</v>
      </c>
      <c r="S6261">
        <v>975</v>
      </c>
    </row>
    <row r="6262" spans="1:19">
      <c r="A6262" t="s">
        <v>28</v>
      </c>
      <c r="B6262" t="s">
        <v>148</v>
      </c>
      <c r="C6262" t="s">
        <v>160</v>
      </c>
      <c r="D6262" t="s">
        <v>289</v>
      </c>
      <c r="E6262" t="s">
        <v>418</v>
      </c>
      <c r="F6262">
        <f>HYPERLINK("https://www.wikidata.org/wiki/Q33755445", "Q33755445")</f>
        <v>0</v>
      </c>
      <c r="G6262" t="s">
        <v>3724</v>
      </c>
      <c r="H6262" t="s">
        <v>8033</v>
      </c>
      <c r="I6262" t="s">
        <v>9375</v>
      </c>
      <c r="J6262" t="s">
        <v>14299</v>
      </c>
      <c r="K6262" t="s">
        <v>18653</v>
      </c>
      <c r="L6262">
        <f>HYPERLINK("https://www2.assemblee-nationale.fr/sycomore/fiche/(num_dept)/6423", "6423")</f>
        <v>0</v>
      </c>
      <c r="N6262">
        <f>HYPERLINK("https://www.wikidata.org/wiki/Q3580001", "Q3580001")</f>
        <v>0</v>
      </c>
      <c r="O6262" t="s">
        <v>19998</v>
      </c>
      <c r="Q6262" t="s">
        <v>20787</v>
      </c>
      <c r="R6262" t="s">
        <v>418</v>
      </c>
      <c r="S6262">
        <v>1745</v>
      </c>
    </row>
    <row r="6263" spans="1:19">
      <c r="A6263" t="s">
        <v>28</v>
      </c>
      <c r="B6263" t="s">
        <v>148</v>
      </c>
      <c r="C6263" t="s">
        <v>160</v>
      </c>
      <c r="D6263" t="s">
        <v>289</v>
      </c>
      <c r="E6263" t="s">
        <v>418</v>
      </c>
      <c r="F6263">
        <f>HYPERLINK("https://www.wikidata.org/wiki/Q33755445", "Q33755445")</f>
        <v>0</v>
      </c>
      <c r="G6263" t="s">
        <v>3495</v>
      </c>
      <c r="H6263" t="s">
        <v>7865</v>
      </c>
      <c r="I6263" t="s">
        <v>9446</v>
      </c>
      <c r="J6263" t="s">
        <v>14093</v>
      </c>
      <c r="K6263" t="s">
        <v>18181</v>
      </c>
      <c r="L6263">
        <f>HYPERLINK("https://www2.assemblee-nationale.fr/sycomore/fiche/(num_dept)/6424", "6424")</f>
        <v>0</v>
      </c>
      <c r="M6263">
        <f>HYPERLINK("https://www.senat.fr/senateur-3eme-republique/de_breil_de_pontbriand_fernand1284r3.html", "de_breil_de_pontbriand_fernand1284r3")</f>
        <v>0</v>
      </c>
      <c r="N6263">
        <f>HYPERLINK("https://www.wikidata.org/wiki/Q3069390", "Q3069390")</f>
        <v>0</v>
      </c>
      <c r="O6263" t="s">
        <v>20023</v>
      </c>
      <c r="Q6263" t="s">
        <v>20787</v>
      </c>
      <c r="R6263" t="s">
        <v>418</v>
      </c>
      <c r="S6263">
        <v>1745</v>
      </c>
    </row>
    <row r="6264" spans="1:19">
      <c r="A6264" t="s">
        <v>28</v>
      </c>
      <c r="B6264" t="s">
        <v>148</v>
      </c>
      <c r="C6264" t="s">
        <v>160</v>
      </c>
      <c r="D6264" t="s">
        <v>289</v>
      </c>
      <c r="E6264" t="s">
        <v>418</v>
      </c>
      <c r="F6264">
        <f>HYPERLINK("https://www.wikidata.org/wiki/Q33755445", "Q33755445")</f>
        <v>0</v>
      </c>
      <c r="G6264" t="s">
        <v>3496</v>
      </c>
      <c r="H6264" t="s">
        <v>5546</v>
      </c>
      <c r="I6264" t="s">
        <v>10847</v>
      </c>
      <c r="J6264" t="s">
        <v>14094</v>
      </c>
      <c r="K6264" t="s">
        <v>17718</v>
      </c>
      <c r="L6264">
        <f>HYPERLINK("https://www2.assemblee-nationale.fr/sycomore/fiche/(num_dept)/6434", "6434")</f>
        <v>0</v>
      </c>
      <c r="N6264">
        <f>HYPERLINK("https://www.wikidata.org/wiki/Q2861944", "Q2861944")</f>
        <v>0</v>
      </c>
      <c r="O6264" t="s">
        <v>19998</v>
      </c>
      <c r="Q6264" t="s">
        <v>20787</v>
      </c>
      <c r="R6264" t="s">
        <v>418</v>
      </c>
      <c r="S6264">
        <v>1745</v>
      </c>
    </row>
    <row r="6265" spans="1:19">
      <c r="A6265" t="s">
        <v>28</v>
      </c>
      <c r="B6265" t="s">
        <v>148</v>
      </c>
      <c r="C6265" t="s">
        <v>160</v>
      </c>
      <c r="D6265" t="s">
        <v>289</v>
      </c>
      <c r="E6265" t="s">
        <v>418</v>
      </c>
      <c r="F6265">
        <f>HYPERLINK("https://www.wikidata.org/wiki/Q33755445", "Q33755445")</f>
        <v>0</v>
      </c>
      <c r="G6265" t="s">
        <v>1039</v>
      </c>
      <c r="H6265" t="s">
        <v>5788</v>
      </c>
      <c r="I6265" t="s">
        <v>9634</v>
      </c>
      <c r="J6265" t="s">
        <v>11776</v>
      </c>
      <c r="K6265" t="s">
        <v>16177</v>
      </c>
      <c r="L6265">
        <f>HYPERLINK("https://www2.assemblee-nationale.fr/sycomore/fiche/(num_dept)/6457", "6457")</f>
        <v>0</v>
      </c>
      <c r="N6265">
        <f>HYPERLINK("https://www.wikidata.org/wiki/Q3184280", "Q3184280")</f>
        <v>0</v>
      </c>
      <c r="O6265" t="s">
        <v>20047</v>
      </c>
      <c r="Q6265" t="s">
        <v>20787</v>
      </c>
      <c r="R6265" t="s">
        <v>418</v>
      </c>
      <c r="S6265">
        <v>1745</v>
      </c>
    </row>
    <row r="6266" spans="1:19">
      <c r="A6266" t="s">
        <v>28</v>
      </c>
      <c r="B6266" t="s">
        <v>148</v>
      </c>
      <c r="C6266" t="s">
        <v>160</v>
      </c>
      <c r="D6266" t="s">
        <v>289</v>
      </c>
      <c r="E6266" t="s">
        <v>418</v>
      </c>
      <c r="F6266">
        <f>HYPERLINK("https://www.wikidata.org/wiki/Q33755445", "Q33755445")</f>
        <v>0</v>
      </c>
      <c r="G6266" t="s">
        <v>3725</v>
      </c>
      <c r="H6266" t="s">
        <v>8034</v>
      </c>
      <c r="I6266" t="s">
        <v>9388</v>
      </c>
      <c r="J6266" t="s">
        <v>14300</v>
      </c>
      <c r="K6266" t="s">
        <v>18654</v>
      </c>
      <c r="L6266">
        <f>HYPERLINK("https://www2.assemblee-nationale.fr/sycomore/fiche/(num_dept)/6459", "6459")</f>
        <v>0</v>
      </c>
      <c r="N6266">
        <f>HYPERLINK("https://www.wikidata.org/wiki/Q16026361", "Q16026361")</f>
        <v>0</v>
      </c>
      <c r="O6266" t="s">
        <v>20010</v>
      </c>
      <c r="Q6266" t="s">
        <v>20787</v>
      </c>
      <c r="R6266" t="s">
        <v>418</v>
      </c>
      <c r="S6266">
        <v>1745</v>
      </c>
    </row>
    <row r="6267" spans="1:19">
      <c r="A6267" t="s">
        <v>28</v>
      </c>
      <c r="B6267" t="s">
        <v>148</v>
      </c>
      <c r="C6267" t="s">
        <v>160</v>
      </c>
      <c r="D6267" t="s">
        <v>289</v>
      </c>
      <c r="E6267" t="s">
        <v>418</v>
      </c>
      <c r="F6267">
        <f>HYPERLINK("https://www.wikidata.org/wiki/Q33755445", "Q33755445")</f>
        <v>0</v>
      </c>
      <c r="G6267" t="s">
        <v>2663</v>
      </c>
      <c r="H6267" t="s">
        <v>7203</v>
      </c>
      <c r="I6267" t="s">
        <v>10348</v>
      </c>
      <c r="J6267" t="s">
        <v>13304</v>
      </c>
      <c r="K6267" t="s">
        <v>17704</v>
      </c>
      <c r="L6267">
        <f>HYPERLINK("https://www2.assemblee-nationale.fr/sycomore/fiche/(num_dept)/6484", "6484")</f>
        <v>0</v>
      </c>
      <c r="N6267">
        <f>HYPERLINK("https://www.wikidata.org/wiki/Q15969647", "Q15969647")</f>
        <v>0</v>
      </c>
      <c r="O6267" t="s">
        <v>20045</v>
      </c>
      <c r="P6267" t="s">
        <v>20483</v>
      </c>
      <c r="Q6267" t="s">
        <v>20787</v>
      </c>
      <c r="R6267" t="s">
        <v>418</v>
      </c>
      <c r="S6267">
        <v>1745</v>
      </c>
    </row>
    <row r="6268" spans="1:19">
      <c r="A6268" t="s">
        <v>28</v>
      </c>
      <c r="B6268" t="s">
        <v>148</v>
      </c>
      <c r="C6268" t="s">
        <v>160</v>
      </c>
      <c r="D6268" t="s">
        <v>289</v>
      </c>
      <c r="E6268" t="s">
        <v>418</v>
      </c>
      <c r="F6268">
        <f>HYPERLINK("https://www.wikidata.org/wiki/Q33755445", "Q33755445")</f>
        <v>0</v>
      </c>
      <c r="G6268" t="s">
        <v>3498</v>
      </c>
      <c r="H6268" t="s">
        <v>7867</v>
      </c>
      <c r="I6268" t="s">
        <v>9605</v>
      </c>
      <c r="J6268" t="s">
        <v>14096</v>
      </c>
      <c r="K6268" t="s">
        <v>18460</v>
      </c>
      <c r="L6268">
        <f>HYPERLINK("https://www2.assemblee-nationale.fr/sycomore/fiche/(num_dept)/6564", "6564")</f>
        <v>0</v>
      </c>
      <c r="M6268">
        <f>HYPERLINK("https://www.senat.fr/senateur-3eme-republique/quintaa_justin1048r3.html", "quintaa_justin1048r3")</f>
        <v>0</v>
      </c>
      <c r="N6268">
        <f>HYPERLINK("https://www.wikidata.org/wiki/Q3190491", "Q3190491")</f>
        <v>0</v>
      </c>
      <c r="O6268" t="s">
        <v>19970</v>
      </c>
      <c r="Q6268" t="s">
        <v>20787</v>
      </c>
      <c r="R6268" t="s">
        <v>418</v>
      </c>
      <c r="S6268">
        <v>1745</v>
      </c>
    </row>
    <row r="6269" spans="1:19">
      <c r="A6269" t="s">
        <v>28</v>
      </c>
      <c r="B6269" t="s">
        <v>148</v>
      </c>
      <c r="C6269" t="s">
        <v>160</v>
      </c>
      <c r="D6269" t="s">
        <v>289</v>
      </c>
      <c r="E6269" t="s">
        <v>418</v>
      </c>
      <c r="F6269">
        <f>HYPERLINK("https://www.wikidata.org/wiki/Q33755445", "Q33755445")</f>
        <v>0</v>
      </c>
      <c r="G6269" t="s">
        <v>796</v>
      </c>
      <c r="H6269" t="s">
        <v>5553</v>
      </c>
      <c r="I6269" t="s">
        <v>9527</v>
      </c>
      <c r="J6269" t="s">
        <v>11543</v>
      </c>
      <c r="K6269" t="s">
        <v>15947</v>
      </c>
      <c r="L6269">
        <f>HYPERLINK("https://www2.assemblee-nationale.fr/sycomore/fiche/(num_dept)/6567", "6567")</f>
        <v>0</v>
      </c>
      <c r="M6269">
        <f>HYPERLINK("https://www.senat.fr/senateur-3eme-republique/rabier_fernand0501r3.html", "rabier_fernand0501r3")</f>
        <v>0</v>
      </c>
      <c r="N6269">
        <f>HYPERLINK("https://www.wikidata.org/wiki/Q3069308", "Q3069308")</f>
        <v>0</v>
      </c>
      <c r="O6269" t="s">
        <v>19958</v>
      </c>
      <c r="Q6269" t="s">
        <v>20787</v>
      </c>
      <c r="R6269" t="s">
        <v>418</v>
      </c>
      <c r="S6269">
        <v>1745</v>
      </c>
    </row>
    <row r="6270" spans="1:19">
      <c r="A6270" t="s">
        <v>28</v>
      </c>
      <c r="B6270" t="s">
        <v>148</v>
      </c>
      <c r="C6270" t="s">
        <v>160</v>
      </c>
      <c r="D6270" t="s">
        <v>289</v>
      </c>
      <c r="E6270" t="s">
        <v>418</v>
      </c>
      <c r="F6270">
        <f>HYPERLINK("https://www.wikidata.org/wiki/Q33755445", "Q33755445")</f>
        <v>0</v>
      </c>
      <c r="G6270" t="s">
        <v>3726</v>
      </c>
      <c r="H6270" t="s">
        <v>8035</v>
      </c>
      <c r="I6270" t="s">
        <v>10949</v>
      </c>
      <c r="J6270" t="s">
        <v>14301</v>
      </c>
      <c r="K6270" t="s">
        <v>18655</v>
      </c>
      <c r="L6270">
        <f>HYPERLINK("https://www2.assemblee-nationale.fr/sycomore/fiche/(num_dept)/6580", "6580")</f>
        <v>0</v>
      </c>
      <c r="N6270">
        <f>HYPERLINK("https://www.wikidata.org/wiki/Q16026390", "Q16026390")</f>
        <v>0</v>
      </c>
      <c r="O6270" t="s">
        <v>20039</v>
      </c>
      <c r="P6270" t="s">
        <v>20471</v>
      </c>
      <c r="Q6270" t="s">
        <v>20787</v>
      </c>
      <c r="R6270" t="s">
        <v>418</v>
      </c>
      <c r="S6270">
        <v>1745</v>
      </c>
    </row>
    <row r="6271" spans="1:19">
      <c r="A6271" t="s">
        <v>28</v>
      </c>
      <c r="B6271" t="s">
        <v>148</v>
      </c>
      <c r="C6271" t="s">
        <v>160</v>
      </c>
      <c r="D6271" t="s">
        <v>289</v>
      </c>
      <c r="E6271" t="s">
        <v>418</v>
      </c>
      <c r="F6271">
        <f>HYPERLINK("https://www.wikidata.org/wiki/Q33755445", "Q33755445")</f>
        <v>0</v>
      </c>
      <c r="G6271" t="s">
        <v>798</v>
      </c>
      <c r="H6271" t="s">
        <v>5555</v>
      </c>
      <c r="I6271" t="s">
        <v>9529</v>
      </c>
      <c r="J6271" t="s">
        <v>11545</v>
      </c>
      <c r="K6271" t="s">
        <v>15949</v>
      </c>
      <c r="L6271">
        <f>HYPERLINK("https://www2.assemblee-nationale.fr/sycomore/fiche/(num_dept)/6581", "6581")</f>
        <v>0</v>
      </c>
      <c r="M6271">
        <f>HYPERLINK("https://www.senat.fr/senateur-3eme-republique/raiberti_flaminius0124r3.html", "raiberti_flaminius0124r3")</f>
        <v>0</v>
      </c>
      <c r="N6271">
        <f>HYPERLINK("https://www.wikidata.org/wiki/Q3073302", "Q3073302")</f>
        <v>0</v>
      </c>
      <c r="O6271" t="s">
        <v>20024</v>
      </c>
      <c r="Q6271" t="s">
        <v>20787</v>
      </c>
      <c r="R6271" t="s">
        <v>418</v>
      </c>
      <c r="S6271">
        <v>1745</v>
      </c>
    </row>
    <row r="6272" spans="1:19">
      <c r="A6272" t="s">
        <v>28</v>
      </c>
      <c r="B6272" t="s">
        <v>148</v>
      </c>
      <c r="C6272" t="s">
        <v>160</v>
      </c>
      <c r="D6272" t="s">
        <v>289</v>
      </c>
      <c r="E6272" t="s">
        <v>418</v>
      </c>
      <c r="F6272">
        <f>HYPERLINK("https://www.wikidata.org/wiki/Q33755445", "Q33755445")</f>
        <v>0</v>
      </c>
      <c r="G6272" t="s">
        <v>1045</v>
      </c>
      <c r="H6272" t="s">
        <v>5793</v>
      </c>
      <c r="I6272" t="s">
        <v>9639</v>
      </c>
      <c r="J6272" t="s">
        <v>11782</v>
      </c>
      <c r="K6272" t="s">
        <v>16183</v>
      </c>
      <c r="L6272">
        <f>HYPERLINK("https://www2.assemblee-nationale.fr/sycomore/fiche/(num_dept)/6593", "6593")</f>
        <v>0</v>
      </c>
      <c r="N6272">
        <f>HYPERLINK("https://www.wikidata.org/wiki/Q3069386", "Q3069386")</f>
        <v>0</v>
      </c>
      <c r="O6272" t="s">
        <v>20014</v>
      </c>
      <c r="Q6272" t="s">
        <v>20787</v>
      </c>
      <c r="R6272" t="s">
        <v>418</v>
      </c>
      <c r="S6272">
        <v>1745</v>
      </c>
    </row>
    <row r="6273" spans="1:19">
      <c r="A6273" t="s">
        <v>28</v>
      </c>
      <c r="B6273" t="s">
        <v>148</v>
      </c>
      <c r="C6273" t="s">
        <v>160</v>
      </c>
      <c r="D6273" t="s">
        <v>289</v>
      </c>
      <c r="E6273" t="s">
        <v>418</v>
      </c>
      <c r="F6273">
        <f>HYPERLINK("https://www.wikidata.org/wiki/Q33755445", "Q33755445")</f>
        <v>0</v>
      </c>
      <c r="G6273" t="s">
        <v>3595</v>
      </c>
      <c r="H6273" t="s">
        <v>7421</v>
      </c>
      <c r="I6273" t="s">
        <v>6200</v>
      </c>
      <c r="J6273" t="s">
        <v>14181</v>
      </c>
      <c r="K6273" t="s">
        <v>18547</v>
      </c>
      <c r="L6273">
        <f>HYPERLINK("https://www2.assemblee-nationale.fr/sycomore/fiche/(num_dept)/6609", "6609")</f>
        <v>0</v>
      </c>
      <c r="N6273">
        <f>HYPERLINK("https://www.wikidata.org/wiki/Q16026393", "Q16026393")</f>
        <v>0</v>
      </c>
      <c r="O6273" t="s">
        <v>20034</v>
      </c>
      <c r="Q6273" t="s">
        <v>20787</v>
      </c>
      <c r="R6273" t="s">
        <v>18547</v>
      </c>
      <c r="S6273">
        <v>503</v>
      </c>
    </row>
    <row r="6274" spans="1:19">
      <c r="A6274" t="s">
        <v>28</v>
      </c>
      <c r="B6274" t="s">
        <v>148</v>
      </c>
      <c r="C6274" t="s">
        <v>160</v>
      </c>
      <c r="D6274" t="s">
        <v>289</v>
      </c>
      <c r="E6274" t="s">
        <v>418</v>
      </c>
      <c r="F6274">
        <f>HYPERLINK("https://www.wikidata.org/wiki/Q33755445", "Q33755445")</f>
        <v>0</v>
      </c>
      <c r="G6274" t="s">
        <v>2665</v>
      </c>
      <c r="H6274" t="s">
        <v>5556</v>
      </c>
      <c r="I6274" t="s">
        <v>10349</v>
      </c>
      <c r="J6274" t="s">
        <v>13306</v>
      </c>
      <c r="K6274" t="s">
        <v>17706</v>
      </c>
      <c r="L6274">
        <f>HYPERLINK("https://www2.assemblee-nationale.fr/sycomore/fiche/(num_dept)/6613", "6613")</f>
        <v>0</v>
      </c>
      <c r="N6274">
        <f>HYPERLINK("https://www.wikidata.org/wiki/Q3121306", "Q3121306")</f>
        <v>0</v>
      </c>
      <c r="O6274" t="s">
        <v>19985</v>
      </c>
      <c r="P6274" t="s">
        <v>20460</v>
      </c>
      <c r="Q6274" t="s">
        <v>20787</v>
      </c>
      <c r="R6274" t="s">
        <v>418</v>
      </c>
      <c r="S6274">
        <v>1745</v>
      </c>
    </row>
    <row r="6275" spans="1:19">
      <c r="A6275" t="s">
        <v>28</v>
      </c>
      <c r="B6275" t="s">
        <v>148</v>
      </c>
      <c r="C6275" t="s">
        <v>160</v>
      </c>
      <c r="D6275" t="s">
        <v>289</v>
      </c>
      <c r="E6275" t="s">
        <v>418</v>
      </c>
      <c r="F6275">
        <f>HYPERLINK("https://www.wikidata.org/wiki/Q33755445", "Q33755445")</f>
        <v>0</v>
      </c>
      <c r="G6275" t="s">
        <v>2666</v>
      </c>
      <c r="H6275" t="s">
        <v>7204</v>
      </c>
      <c r="I6275" t="s">
        <v>5361</v>
      </c>
      <c r="J6275" t="s">
        <v>13307</v>
      </c>
      <c r="K6275" t="s">
        <v>17707</v>
      </c>
      <c r="L6275">
        <f>HYPERLINK("https://www2.assemblee-nationale.fr/sycomore/fiche/(num_dept)/6631", "6631")</f>
        <v>0</v>
      </c>
      <c r="M6275">
        <f>HYPERLINK("https://www.senat.fr/senateur-3eme-republique/raynal_david0206r3.html", "raynal_david0206r3")</f>
        <v>0</v>
      </c>
      <c r="N6275">
        <f>HYPERLINK("https://www.wikidata.org/wiki/Q3018665", "Q3018665")</f>
        <v>0</v>
      </c>
      <c r="O6275" t="s">
        <v>19987</v>
      </c>
      <c r="Q6275" t="s">
        <v>20787</v>
      </c>
      <c r="R6275" t="s">
        <v>21550</v>
      </c>
      <c r="S6275">
        <v>1245</v>
      </c>
    </row>
    <row r="6276" spans="1:19">
      <c r="A6276" t="s">
        <v>28</v>
      </c>
      <c r="B6276" t="s">
        <v>148</v>
      </c>
      <c r="C6276" t="s">
        <v>160</v>
      </c>
      <c r="D6276" t="s">
        <v>289</v>
      </c>
      <c r="E6276" t="s">
        <v>418</v>
      </c>
      <c r="F6276">
        <f>HYPERLINK("https://www.wikidata.org/wiki/Q33755445", "Q33755445")</f>
        <v>0</v>
      </c>
      <c r="G6276" t="s">
        <v>3650</v>
      </c>
      <c r="H6276" t="s">
        <v>7981</v>
      </c>
      <c r="I6276" t="s">
        <v>7911</v>
      </c>
      <c r="J6276" t="s">
        <v>14230</v>
      </c>
      <c r="K6276" t="s">
        <v>16133</v>
      </c>
      <c r="L6276">
        <f>HYPERLINK("https://www2.assemblee-nationale.fr/sycomore/fiche/(num_dept)/6638", "6638")</f>
        <v>0</v>
      </c>
      <c r="M6276">
        <f>HYPERLINK("https://www.senat.fr/senateur-3eme-republique/real_gabriel1352r3.html", "real_gabriel1352r3")</f>
        <v>0</v>
      </c>
      <c r="N6276">
        <f>HYPERLINK("https://www.wikidata.org/wiki/Q3093943", "Q3093943")</f>
        <v>0</v>
      </c>
      <c r="O6276" t="s">
        <v>19997</v>
      </c>
      <c r="P6276" t="s">
        <v>20457</v>
      </c>
      <c r="Q6276" t="s">
        <v>20787</v>
      </c>
      <c r="R6276" t="s">
        <v>418</v>
      </c>
      <c r="S6276">
        <v>1745</v>
      </c>
    </row>
    <row r="6277" spans="1:19">
      <c r="A6277" t="s">
        <v>28</v>
      </c>
      <c r="B6277" t="s">
        <v>148</v>
      </c>
      <c r="C6277" t="s">
        <v>160</v>
      </c>
      <c r="D6277" t="s">
        <v>289</v>
      </c>
      <c r="E6277" t="s">
        <v>418</v>
      </c>
      <c r="F6277">
        <f>HYPERLINK("https://www.wikidata.org/wiki/Q33755445", "Q33755445")</f>
        <v>0</v>
      </c>
      <c r="G6277" t="s">
        <v>2667</v>
      </c>
      <c r="H6277" t="s">
        <v>7205</v>
      </c>
      <c r="I6277" t="s">
        <v>10350</v>
      </c>
      <c r="J6277" t="s">
        <v>13308</v>
      </c>
      <c r="K6277" t="s">
        <v>17708</v>
      </c>
      <c r="L6277">
        <f>HYPERLINK("https://www2.assemblee-nationale.fr/sycomore/fiche/(num_dept)/6643", "6643")</f>
        <v>0</v>
      </c>
      <c r="N6277">
        <f>HYPERLINK("https://www.wikidata.org/wiki/Q3588737", "Q3588737")</f>
        <v>0</v>
      </c>
      <c r="O6277" t="s">
        <v>19998</v>
      </c>
      <c r="Q6277" t="s">
        <v>20787</v>
      </c>
      <c r="R6277" t="s">
        <v>17708</v>
      </c>
      <c r="S6277">
        <v>549</v>
      </c>
    </row>
    <row r="6278" spans="1:19">
      <c r="A6278" t="s">
        <v>28</v>
      </c>
      <c r="B6278" t="s">
        <v>148</v>
      </c>
      <c r="C6278" t="s">
        <v>160</v>
      </c>
      <c r="D6278" t="s">
        <v>289</v>
      </c>
      <c r="E6278" t="s">
        <v>418</v>
      </c>
      <c r="F6278">
        <f>HYPERLINK("https://www.wikidata.org/wiki/Q33755445", "Q33755445")</f>
        <v>0</v>
      </c>
      <c r="G6278" t="s">
        <v>2968</v>
      </c>
      <c r="H6278" t="s">
        <v>7436</v>
      </c>
      <c r="I6278" t="s">
        <v>10548</v>
      </c>
      <c r="J6278" t="s">
        <v>13600</v>
      </c>
      <c r="K6278" t="s">
        <v>17986</v>
      </c>
      <c r="L6278">
        <f>HYPERLINK("https://www2.assemblee-nationale.fr/sycomore/fiche/(num_dept)/6651", "6651")</f>
        <v>0</v>
      </c>
      <c r="N6278">
        <f>HYPERLINK("https://www.wikidata.org/wiki/Q16026400", "Q16026400")</f>
        <v>0</v>
      </c>
      <c r="O6278" t="s">
        <v>19985</v>
      </c>
      <c r="P6278" t="s">
        <v>20479</v>
      </c>
      <c r="Q6278" t="s">
        <v>20787</v>
      </c>
      <c r="R6278" t="s">
        <v>418</v>
      </c>
      <c r="S6278">
        <v>1745</v>
      </c>
    </row>
    <row r="6279" spans="1:19">
      <c r="A6279" t="s">
        <v>28</v>
      </c>
      <c r="B6279" t="s">
        <v>148</v>
      </c>
      <c r="C6279" t="s">
        <v>160</v>
      </c>
      <c r="D6279" t="s">
        <v>289</v>
      </c>
      <c r="E6279" t="s">
        <v>418</v>
      </c>
      <c r="F6279">
        <f>HYPERLINK("https://www.wikidata.org/wiki/Q33755445", "Q33755445")</f>
        <v>0</v>
      </c>
      <c r="G6279" t="s">
        <v>1048</v>
      </c>
      <c r="H6279" t="s">
        <v>5560</v>
      </c>
      <c r="I6279" t="s">
        <v>9407</v>
      </c>
      <c r="J6279" t="s">
        <v>11785</v>
      </c>
      <c r="K6279" t="s">
        <v>16186</v>
      </c>
      <c r="L6279">
        <f>HYPERLINK("https://www2.assemblee-nationale.fr/sycomore/fiche/(num_dept)/6663", "6663")</f>
        <v>0</v>
      </c>
      <c r="N6279">
        <f>HYPERLINK("https://www.wikidata.org/wiki/Q172161", "Q172161")</f>
        <v>0</v>
      </c>
      <c r="O6279" t="s">
        <v>20033</v>
      </c>
      <c r="Q6279" t="s">
        <v>20787</v>
      </c>
      <c r="R6279" t="s">
        <v>418</v>
      </c>
      <c r="S6279">
        <v>1745</v>
      </c>
    </row>
    <row r="6280" spans="1:19">
      <c r="A6280" t="s">
        <v>28</v>
      </c>
      <c r="B6280" t="s">
        <v>148</v>
      </c>
      <c r="C6280" t="s">
        <v>160</v>
      </c>
      <c r="D6280" t="s">
        <v>289</v>
      </c>
      <c r="E6280" t="s">
        <v>418</v>
      </c>
      <c r="F6280">
        <f>HYPERLINK("https://www.wikidata.org/wiki/Q33755445", "Q33755445")</f>
        <v>0</v>
      </c>
      <c r="G6280" t="s">
        <v>3659</v>
      </c>
      <c r="H6280" t="s">
        <v>7989</v>
      </c>
      <c r="I6280" t="s">
        <v>10922</v>
      </c>
      <c r="J6280" t="s">
        <v>12101</v>
      </c>
      <c r="K6280" t="s">
        <v>16380</v>
      </c>
      <c r="L6280">
        <f>HYPERLINK("https://www2.assemblee-nationale.fr/sycomore/fiche/(num_dept)/6668", "6668")</f>
        <v>0</v>
      </c>
      <c r="N6280">
        <f>HYPERLINK("https://www.wikidata.org/wiki/Q3387685", "Q3387685")</f>
        <v>0</v>
      </c>
      <c r="O6280" t="s">
        <v>20016</v>
      </c>
      <c r="Q6280" t="s">
        <v>20787</v>
      </c>
      <c r="R6280" t="s">
        <v>418</v>
      </c>
      <c r="S6280">
        <v>1745</v>
      </c>
    </row>
    <row r="6281" spans="1:19">
      <c r="A6281" t="s">
        <v>28</v>
      </c>
      <c r="B6281" t="s">
        <v>148</v>
      </c>
      <c r="C6281" t="s">
        <v>160</v>
      </c>
      <c r="D6281" t="s">
        <v>289</v>
      </c>
      <c r="E6281" t="s">
        <v>418</v>
      </c>
      <c r="F6281">
        <f>HYPERLINK("https://www.wikidata.org/wiki/Q33755445", "Q33755445")</f>
        <v>0</v>
      </c>
      <c r="G6281" t="s">
        <v>2669</v>
      </c>
      <c r="H6281" t="s">
        <v>7206</v>
      </c>
      <c r="I6281" t="s">
        <v>10352</v>
      </c>
      <c r="J6281" t="s">
        <v>13310</v>
      </c>
      <c r="K6281" t="s">
        <v>17710</v>
      </c>
      <c r="L6281">
        <f>HYPERLINK("https://www2.assemblee-nationale.fr/sycomore/fiche/(num_dept)/6678", "6678")</f>
        <v>0</v>
      </c>
      <c r="N6281">
        <f>HYPERLINK("https://www.wikidata.org/wiki/Q2844704", "Q2844704")</f>
        <v>0</v>
      </c>
      <c r="O6281" t="s">
        <v>19984</v>
      </c>
      <c r="Q6281" t="s">
        <v>20787</v>
      </c>
      <c r="R6281" t="s">
        <v>418</v>
      </c>
      <c r="S6281">
        <v>1745</v>
      </c>
    </row>
    <row r="6282" spans="1:19">
      <c r="A6282" t="s">
        <v>28</v>
      </c>
      <c r="B6282" t="s">
        <v>148</v>
      </c>
      <c r="C6282" t="s">
        <v>160</v>
      </c>
      <c r="D6282" t="s">
        <v>289</v>
      </c>
      <c r="E6282" t="s">
        <v>418</v>
      </c>
      <c r="F6282">
        <f>HYPERLINK("https://www.wikidata.org/wiki/Q33755445", "Q33755445")</f>
        <v>0</v>
      </c>
      <c r="G6282" t="s">
        <v>3500</v>
      </c>
      <c r="H6282" t="s">
        <v>7480</v>
      </c>
      <c r="I6282" t="s">
        <v>10849</v>
      </c>
      <c r="J6282" t="s">
        <v>14098</v>
      </c>
      <c r="K6282" t="s">
        <v>18462</v>
      </c>
      <c r="L6282">
        <f>HYPERLINK("https://www2.assemblee-nationale.fr/sycomore/fiche/(num_dept)/6701", "6701")</f>
        <v>0</v>
      </c>
      <c r="M6282">
        <f>HYPERLINK("https://www.senat.fr/senateur-3eme-republique/rey_emile0613r3.html", "rey_emile0613r3")</f>
        <v>0</v>
      </c>
      <c r="N6282">
        <f>HYPERLINK("https://www.wikidata.org/wiki/Q3588712", "Q3588712")</f>
        <v>0</v>
      </c>
      <c r="O6282" t="s">
        <v>19974</v>
      </c>
      <c r="P6282" t="s">
        <v>20459</v>
      </c>
      <c r="Q6282" t="s">
        <v>20787</v>
      </c>
      <c r="R6282" t="s">
        <v>418</v>
      </c>
      <c r="S6282">
        <v>1745</v>
      </c>
    </row>
    <row r="6283" spans="1:19">
      <c r="A6283" t="s">
        <v>28</v>
      </c>
      <c r="B6283" t="s">
        <v>148</v>
      </c>
      <c r="C6283" t="s">
        <v>160</v>
      </c>
      <c r="D6283" t="s">
        <v>289</v>
      </c>
      <c r="E6283" t="s">
        <v>418</v>
      </c>
      <c r="F6283">
        <f>HYPERLINK("https://www.wikidata.org/wiki/Q33755445", "Q33755445")</f>
        <v>0</v>
      </c>
      <c r="G6283" t="s">
        <v>2671</v>
      </c>
      <c r="H6283" t="s">
        <v>7208</v>
      </c>
      <c r="I6283" t="s">
        <v>9553</v>
      </c>
      <c r="J6283" t="s">
        <v>13312</v>
      </c>
      <c r="K6283" t="s">
        <v>17712</v>
      </c>
      <c r="L6283">
        <f>HYPERLINK("https://www2.assemblee-nationale.fr/sycomore/fiche/(num_dept)/6727", "6727")</f>
        <v>0</v>
      </c>
      <c r="M6283">
        <f>HYPERLINK("https://www.senat.fr/senateur-3eme-republique/ribot_alexandre0941r3.html", "ribot_alexandre0941r3")</f>
        <v>0</v>
      </c>
      <c r="N6283">
        <f>HYPERLINK("https://www.wikidata.org/wiki/Q358387", "Q358387")</f>
        <v>0</v>
      </c>
      <c r="O6283" t="s">
        <v>19968</v>
      </c>
      <c r="Q6283" t="s">
        <v>20787</v>
      </c>
      <c r="R6283" t="s">
        <v>418</v>
      </c>
      <c r="S6283">
        <v>1745</v>
      </c>
    </row>
    <row r="6284" spans="1:19">
      <c r="A6284" t="s">
        <v>28</v>
      </c>
      <c r="B6284" t="s">
        <v>148</v>
      </c>
      <c r="C6284" t="s">
        <v>160</v>
      </c>
      <c r="D6284" t="s">
        <v>289</v>
      </c>
      <c r="E6284" t="s">
        <v>418</v>
      </c>
      <c r="F6284">
        <f>HYPERLINK("https://www.wikidata.org/wiki/Q33755445", "Q33755445")</f>
        <v>0</v>
      </c>
      <c r="G6284" t="s">
        <v>3643</v>
      </c>
      <c r="H6284" t="s">
        <v>7600</v>
      </c>
      <c r="I6284" t="s">
        <v>10786</v>
      </c>
      <c r="J6284" t="s">
        <v>14223</v>
      </c>
      <c r="K6284" t="s">
        <v>18585</v>
      </c>
      <c r="L6284">
        <f>HYPERLINK("https://www2.assemblee-nationale.fr/sycomore/fiche/(num_dept)/6728", "6728")</f>
        <v>0</v>
      </c>
      <c r="M6284">
        <f>HYPERLINK("https://www.senat.fr/senateur-3eme-republique/ricard_henri0543r3.html", "ricard_henri0543r3")</f>
        <v>0</v>
      </c>
      <c r="N6284">
        <f>HYPERLINK("https://www.wikidata.org/wiki/Q3131907", "Q3131907")</f>
        <v>0</v>
      </c>
      <c r="O6284" t="s">
        <v>20002</v>
      </c>
      <c r="Q6284" t="s">
        <v>20787</v>
      </c>
      <c r="R6284" t="s">
        <v>418</v>
      </c>
      <c r="S6284">
        <v>1745</v>
      </c>
    </row>
    <row r="6285" spans="1:19">
      <c r="A6285" t="s">
        <v>28</v>
      </c>
      <c r="B6285" t="s">
        <v>148</v>
      </c>
      <c r="C6285" t="s">
        <v>160</v>
      </c>
      <c r="D6285" t="s">
        <v>289</v>
      </c>
      <c r="E6285" t="s">
        <v>418</v>
      </c>
      <c r="F6285">
        <f>HYPERLINK("https://www.wikidata.org/wiki/Q33755445", "Q33755445")</f>
        <v>0</v>
      </c>
      <c r="G6285" t="s">
        <v>3168</v>
      </c>
      <c r="H6285" t="s">
        <v>7600</v>
      </c>
      <c r="I6285" t="s">
        <v>6495</v>
      </c>
      <c r="J6285" t="s">
        <v>13789</v>
      </c>
      <c r="K6285" t="s">
        <v>18164</v>
      </c>
      <c r="L6285">
        <f>HYPERLINK("https://www2.assemblee-nationale.fr/sycomore/fiche/(num_dept)/6729", "6729")</f>
        <v>0</v>
      </c>
      <c r="N6285">
        <f>HYPERLINK("https://www.wikidata.org/wiki/Q3263005", "Q3263005")</f>
        <v>0</v>
      </c>
      <c r="O6285" t="s">
        <v>19978</v>
      </c>
      <c r="Q6285" t="s">
        <v>20787</v>
      </c>
      <c r="R6285" t="s">
        <v>418</v>
      </c>
      <c r="S6285">
        <v>1745</v>
      </c>
    </row>
    <row r="6286" spans="1:19">
      <c r="A6286" t="s">
        <v>28</v>
      </c>
      <c r="B6286" t="s">
        <v>148</v>
      </c>
      <c r="C6286" t="s">
        <v>160</v>
      </c>
      <c r="D6286" t="s">
        <v>289</v>
      </c>
      <c r="E6286" t="s">
        <v>418</v>
      </c>
      <c r="F6286">
        <f>HYPERLINK("https://www.wikidata.org/wiki/Q33755445", "Q33755445")</f>
        <v>0</v>
      </c>
      <c r="G6286" t="s">
        <v>3597</v>
      </c>
      <c r="H6286" t="s">
        <v>6303</v>
      </c>
      <c r="I6286" t="s">
        <v>10899</v>
      </c>
      <c r="J6286" t="s">
        <v>14183</v>
      </c>
      <c r="K6286" t="s">
        <v>18549</v>
      </c>
      <c r="L6286">
        <f>HYPERLINK("https://www2.assemblee-nationale.fr/sycomore/fiche/(num_dept)/6739", "6739")</f>
        <v>0</v>
      </c>
      <c r="N6286">
        <f>HYPERLINK("https://www.wikidata.org/wiki/Q16026419", "Q16026419")</f>
        <v>0</v>
      </c>
      <c r="O6286" t="s">
        <v>19969</v>
      </c>
      <c r="P6286" t="s">
        <v>20488</v>
      </c>
      <c r="Q6286" t="s">
        <v>20787</v>
      </c>
      <c r="R6286" t="s">
        <v>418</v>
      </c>
      <c r="S6286">
        <v>1745</v>
      </c>
    </row>
    <row r="6287" spans="1:19">
      <c r="A6287" t="s">
        <v>28</v>
      </c>
      <c r="B6287" t="s">
        <v>148</v>
      </c>
      <c r="C6287" t="s">
        <v>160</v>
      </c>
      <c r="D6287" t="s">
        <v>289</v>
      </c>
      <c r="E6287" t="s">
        <v>418</v>
      </c>
      <c r="F6287">
        <f>HYPERLINK("https://www.wikidata.org/wiki/Q33755445", "Q33755445")</f>
        <v>0</v>
      </c>
      <c r="G6287" t="s">
        <v>2674</v>
      </c>
      <c r="H6287" t="s">
        <v>7209</v>
      </c>
      <c r="I6287" t="s">
        <v>10355</v>
      </c>
      <c r="J6287" t="s">
        <v>13315</v>
      </c>
      <c r="K6287" t="s">
        <v>17715</v>
      </c>
      <c r="L6287">
        <f>HYPERLINK("https://www2.assemblee-nationale.fr/sycomore/fiche/(num_dept)/6782", "6782")</f>
        <v>0</v>
      </c>
      <c r="M6287">
        <f>HYPERLINK("https://www.senat.fr/senateur-3eme-republique/riotteau_emile1031r3.html", "riotteau_emile1031r3")</f>
        <v>0</v>
      </c>
      <c r="N6287">
        <f>HYPERLINK("https://www.wikidata.org/wiki/Q3588719", "Q3588719")</f>
        <v>0</v>
      </c>
      <c r="O6287" t="s">
        <v>19985</v>
      </c>
      <c r="Q6287" t="s">
        <v>20787</v>
      </c>
      <c r="R6287" t="s">
        <v>418</v>
      </c>
      <c r="S6287">
        <v>1745</v>
      </c>
    </row>
    <row r="6288" spans="1:19">
      <c r="A6288" t="s">
        <v>28</v>
      </c>
      <c r="B6288" t="s">
        <v>148</v>
      </c>
      <c r="C6288" t="s">
        <v>160</v>
      </c>
      <c r="D6288" t="s">
        <v>289</v>
      </c>
      <c r="E6288" t="s">
        <v>418</v>
      </c>
      <c r="F6288">
        <f>HYPERLINK("https://www.wikidata.org/wiki/Q33755445", "Q33755445")</f>
        <v>0</v>
      </c>
      <c r="G6288" t="s">
        <v>3068</v>
      </c>
      <c r="H6288" t="s">
        <v>7303</v>
      </c>
      <c r="I6288" t="s">
        <v>10608</v>
      </c>
      <c r="J6288" t="s">
        <v>13692</v>
      </c>
      <c r="K6288" t="s">
        <v>18075</v>
      </c>
      <c r="L6288">
        <f>HYPERLINK("https://www2.assemblee-nationale.fr/sycomore/fiche/(num_dept)/6785", "6785")</f>
        <v>0</v>
      </c>
      <c r="N6288">
        <f>HYPERLINK("https://www.wikidata.org/wiki/Q3090160", "Q3090160")</f>
        <v>0</v>
      </c>
      <c r="O6288" t="s">
        <v>19964</v>
      </c>
      <c r="Q6288" t="s">
        <v>20787</v>
      </c>
      <c r="R6288" t="s">
        <v>418</v>
      </c>
      <c r="S6288">
        <v>1745</v>
      </c>
    </row>
    <row r="6289" spans="1:19">
      <c r="A6289" t="s">
        <v>28</v>
      </c>
      <c r="B6289" t="s">
        <v>148</v>
      </c>
      <c r="C6289" t="s">
        <v>160</v>
      </c>
      <c r="D6289" t="s">
        <v>289</v>
      </c>
      <c r="E6289" t="s">
        <v>418</v>
      </c>
      <c r="F6289">
        <f>HYPERLINK("https://www.wikidata.org/wiki/Q33755445", "Q33755445")</f>
        <v>0</v>
      </c>
      <c r="G6289" t="s">
        <v>809</v>
      </c>
      <c r="H6289" t="s">
        <v>5566</v>
      </c>
      <c r="I6289" t="s">
        <v>7642</v>
      </c>
      <c r="J6289" t="s">
        <v>11556</v>
      </c>
      <c r="K6289" t="s">
        <v>15960</v>
      </c>
      <c r="L6289">
        <f>HYPERLINK("https://www2.assemblee-nationale.fr/sycomore/fiche/(num_dept)/6821", "6821")</f>
        <v>0</v>
      </c>
      <c r="N6289">
        <f>HYPERLINK("https://www.wikidata.org/wiki/Q3301402", "Q3301402")</f>
        <v>0</v>
      </c>
      <c r="O6289" t="s">
        <v>20023</v>
      </c>
      <c r="Q6289" t="s">
        <v>20787</v>
      </c>
      <c r="R6289" t="s">
        <v>418</v>
      </c>
      <c r="S6289">
        <v>1745</v>
      </c>
    </row>
    <row r="6290" spans="1:19">
      <c r="A6290" t="s">
        <v>28</v>
      </c>
      <c r="B6290" t="s">
        <v>148</v>
      </c>
      <c r="C6290" t="s">
        <v>160</v>
      </c>
      <c r="D6290" t="s">
        <v>289</v>
      </c>
      <c r="E6290" t="s">
        <v>418</v>
      </c>
      <c r="F6290">
        <f>HYPERLINK("https://www.wikidata.org/wiki/Q33755445", "Q33755445")</f>
        <v>0</v>
      </c>
      <c r="G6290" t="s">
        <v>1052</v>
      </c>
      <c r="H6290" t="s">
        <v>5799</v>
      </c>
      <c r="I6290" t="s">
        <v>9449</v>
      </c>
      <c r="J6290" t="s">
        <v>11789</v>
      </c>
      <c r="K6290" t="s">
        <v>16190</v>
      </c>
      <c r="L6290">
        <f>HYPERLINK("https://www2.assemblee-nationale.fr/sycomore/fiche/(num_dept)/6832", "6832")</f>
        <v>0</v>
      </c>
      <c r="M6290">
        <f>HYPERLINK("https://www.senat.fr/senateur-3eme-republique/siegfried_jules1584r3.html", "siegfried_jules1584r3")</f>
        <v>0</v>
      </c>
      <c r="N6290">
        <f>HYPERLINK("https://www.wikidata.org/wiki/Q3188910", "Q3188910")</f>
        <v>0</v>
      </c>
      <c r="O6290" t="s">
        <v>19978</v>
      </c>
      <c r="Q6290" t="s">
        <v>20787</v>
      </c>
      <c r="R6290" t="s">
        <v>21561</v>
      </c>
      <c r="S6290">
        <v>1523</v>
      </c>
    </row>
    <row r="6291" spans="1:19">
      <c r="A6291" t="s">
        <v>28</v>
      </c>
      <c r="B6291" t="s">
        <v>148</v>
      </c>
      <c r="C6291" t="s">
        <v>160</v>
      </c>
      <c r="D6291" t="s">
        <v>289</v>
      </c>
      <c r="E6291" t="s">
        <v>418</v>
      </c>
      <c r="F6291">
        <f>HYPERLINK("https://www.wikidata.org/wiki/Q33755445", "Q33755445")</f>
        <v>0</v>
      </c>
      <c r="G6291" t="s">
        <v>3598</v>
      </c>
      <c r="H6291" t="s">
        <v>7943</v>
      </c>
      <c r="I6291" t="s">
        <v>7642</v>
      </c>
      <c r="J6291" t="s">
        <v>14184</v>
      </c>
      <c r="K6291" t="s">
        <v>18550</v>
      </c>
      <c r="L6291">
        <f>HYPERLINK("https://www2.assemblee-nationale.fr/sycomore/fiche/(num_dept)/6834", "6834")</f>
        <v>0</v>
      </c>
      <c r="M6291">
        <f>HYPERLINK("https://www.senat.fr/senateur-3eme-republique/signard_maurice1168r3.html", "signard_maurice1168r3")</f>
        <v>0</v>
      </c>
      <c r="N6291">
        <f>HYPERLINK("https://www.wikidata.org/wiki/Q3301410", "Q3301410")</f>
        <v>0</v>
      </c>
      <c r="O6291" t="s">
        <v>20036</v>
      </c>
      <c r="Q6291" t="s">
        <v>20787</v>
      </c>
      <c r="R6291" t="s">
        <v>18163</v>
      </c>
      <c r="S6291">
        <v>1247</v>
      </c>
    </row>
    <row r="6292" spans="1:19">
      <c r="A6292" t="s">
        <v>28</v>
      </c>
      <c r="B6292" t="s">
        <v>148</v>
      </c>
      <c r="C6292" t="s">
        <v>160</v>
      </c>
      <c r="D6292" t="s">
        <v>289</v>
      </c>
      <c r="E6292" t="s">
        <v>418</v>
      </c>
      <c r="F6292">
        <f>HYPERLINK("https://www.wikidata.org/wiki/Q33755445", "Q33755445")</f>
        <v>0</v>
      </c>
      <c r="G6292" t="s">
        <v>3727</v>
      </c>
      <c r="H6292" t="s">
        <v>5800</v>
      </c>
      <c r="I6292" t="s">
        <v>10950</v>
      </c>
      <c r="J6292" t="s">
        <v>14302</v>
      </c>
      <c r="K6292" t="s">
        <v>18656</v>
      </c>
      <c r="L6292">
        <f>HYPERLINK("https://www2.assemblee-nationale.fr/sycomore/fiche/(num_dept)/6841", "6841")</f>
        <v>0</v>
      </c>
      <c r="N6292">
        <f>HYPERLINK("https://www.wikidata.org/wiki/Q8332983", "Q8332983")</f>
        <v>0</v>
      </c>
      <c r="O6292" t="s">
        <v>20023</v>
      </c>
      <c r="Q6292" t="s">
        <v>20787</v>
      </c>
      <c r="R6292" t="s">
        <v>418</v>
      </c>
      <c r="S6292">
        <v>1745</v>
      </c>
    </row>
    <row r="6293" spans="1:19">
      <c r="A6293" t="s">
        <v>28</v>
      </c>
      <c r="B6293" t="s">
        <v>148</v>
      </c>
      <c r="C6293" t="s">
        <v>160</v>
      </c>
      <c r="D6293" t="s">
        <v>289</v>
      </c>
      <c r="E6293" t="s">
        <v>418</v>
      </c>
      <c r="F6293">
        <f>HYPERLINK("https://www.wikidata.org/wiki/Q33755445", "Q33755445")</f>
        <v>0</v>
      </c>
      <c r="G6293" t="s">
        <v>3728</v>
      </c>
      <c r="H6293" t="s">
        <v>8036</v>
      </c>
      <c r="I6293" t="s">
        <v>9592</v>
      </c>
      <c r="J6293" t="s">
        <v>14303</v>
      </c>
      <c r="K6293" t="s">
        <v>18657</v>
      </c>
      <c r="L6293">
        <f>HYPERLINK("https://www2.assemblee-nationale.fr/sycomore/fiche/(num_dept)/6861", "6861")</f>
        <v>0</v>
      </c>
      <c r="N6293">
        <f>HYPERLINK("https://www.wikidata.org/wiki/Q16026510", "Q16026510")</f>
        <v>0</v>
      </c>
      <c r="O6293" t="s">
        <v>20013</v>
      </c>
      <c r="Q6293" t="s">
        <v>20787</v>
      </c>
      <c r="R6293" t="s">
        <v>418</v>
      </c>
      <c r="S6293">
        <v>1745</v>
      </c>
    </row>
    <row r="6294" spans="1:19">
      <c r="A6294" t="s">
        <v>28</v>
      </c>
      <c r="B6294" t="s">
        <v>148</v>
      </c>
      <c r="C6294" t="s">
        <v>160</v>
      </c>
      <c r="D6294" t="s">
        <v>289</v>
      </c>
      <c r="E6294" t="s">
        <v>418</v>
      </c>
      <c r="F6294">
        <f>HYPERLINK("https://www.wikidata.org/wiki/Q33755445", "Q33755445")</f>
        <v>0</v>
      </c>
      <c r="G6294" t="s">
        <v>2677</v>
      </c>
      <c r="H6294" t="s">
        <v>7211</v>
      </c>
      <c r="I6294" t="s">
        <v>10358</v>
      </c>
      <c r="J6294" t="s">
        <v>13318</v>
      </c>
      <c r="K6294" t="s">
        <v>17718</v>
      </c>
      <c r="L6294">
        <f>HYPERLINK("https://www2.assemblee-nationale.fr/sycomore/fiche/(num_dept)/6868", "6868")</f>
        <v>0</v>
      </c>
      <c r="N6294">
        <f>HYPERLINK("https://www.wikidata.org/wiki/Q8299196", "Q8299196")</f>
        <v>0</v>
      </c>
      <c r="O6294" t="s">
        <v>19980</v>
      </c>
      <c r="Q6294" t="s">
        <v>20787</v>
      </c>
      <c r="R6294" t="s">
        <v>418</v>
      </c>
      <c r="S6294">
        <v>1745</v>
      </c>
    </row>
    <row r="6295" spans="1:19">
      <c r="A6295" t="s">
        <v>28</v>
      </c>
      <c r="B6295" t="s">
        <v>148</v>
      </c>
      <c r="C6295" t="s">
        <v>160</v>
      </c>
      <c r="D6295" t="s">
        <v>289</v>
      </c>
      <c r="E6295" t="s">
        <v>418</v>
      </c>
      <c r="F6295">
        <f>HYPERLINK("https://www.wikidata.org/wiki/Q33755445", "Q33755445")</f>
        <v>0</v>
      </c>
      <c r="G6295" t="s">
        <v>3599</v>
      </c>
      <c r="H6295" t="s">
        <v>7944</v>
      </c>
      <c r="I6295" t="s">
        <v>10900</v>
      </c>
      <c r="J6295" t="s">
        <v>14185</v>
      </c>
      <c r="K6295" t="s">
        <v>18551</v>
      </c>
      <c r="L6295">
        <f>HYPERLINK("https://www2.assemblee-nationale.fr/sycomore/fiche/(num_dept)/6879", "6879")</f>
        <v>0</v>
      </c>
      <c r="N6295">
        <f>HYPERLINK("https://www.wikidata.org/wiki/Q16026517", "Q16026517")</f>
        <v>0</v>
      </c>
      <c r="O6295" t="s">
        <v>19997</v>
      </c>
      <c r="P6295" t="s">
        <v>20477</v>
      </c>
      <c r="Q6295" t="s">
        <v>20787</v>
      </c>
      <c r="R6295" t="s">
        <v>418</v>
      </c>
      <c r="S6295">
        <v>1745</v>
      </c>
    </row>
    <row r="6296" spans="1:19">
      <c r="A6296" t="s">
        <v>28</v>
      </c>
      <c r="B6296" t="s">
        <v>148</v>
      </c>
      <c r="C6296" t="s">
        <v>160</v>
      </c>
      <c r="D6296" t="s">
        <v>289</v>
      </c>
      <c r="E6296" t="s">
        <v>418</v>
      </c>
      <c r="F6296">
        <f>HYPERLINK("https://www.wikidata.org/wiki/Q33755445", "Q33755445")</f>
        <v>0</v>
      </c>
      <c r="G6296" t="s">
        <v>3600</v>
      </c>
      <c r="H6296" t="s">
        <v>7945</v>
      </c>
      <c r="I6296" t="s">
        <v>8494</v>
      </c>
      <c r="J6296" t="s">
        <v>13272</v>
      </c>
      <c r="K6296" t="s">
        <v>18552</v>
      </c>
      <c r="L6296">
        <f>HYPERLINK("https://www2.assemblee-nationale.fr/sycomore/fiche/(num_dept)/6922", "6922")</f>
        <v>0</v>
      </c>
      <c r="N6296">
        <f>HYPERLINK("https://www.wikidata.org/wiki/Q16026523", "Q16026523")</f>
        <v>0</v>
      </c>
      <c r="O6296" t="s">
        <v>19987</v>
      </c>
      <c r="P6296" t="s">
        <v>20479</v>
      </c>
      <c r="Q6296" t="s">
        <v>20787</v>
      </c>
      <c r="R6296" t="s">
        <v>418</v>
      </c>
      <c r="S6296">
        <v>1745</v>
      </c>
    </row>
    <row r="6297" spans="1:19">
      <c r="A6297" t="s">
        <v>28</v>
      </c>
      <c r="B6297" t="s">
        <v>148</v>
      </c>
      <c r="C6297" t="s">
        <v>160</v>
      </c>
      <c r="D6297" t="s">
        <v>289</v>
      </c>
      <c r="E6297" t="s">
        <v>418</v>
      </c>
      <c r="F6297">
        <f>HYPERLINK("https://www.wikidata.org/wiki/Q33755445", "Q33755445")</f>
        <v>0</v>
      </c>
      <c r="G6297" t="s">
        <v>3170</v>
      </c>
      <c r="H6297" t="s">
        <v>6034</v>
      </c>
      <c r="I6297" t="s">
        <v>10679</v>
      </c>
      <c r="J6297" t="s">
        <v>13791</v>
      </c>
      <c r="K6297" t="s">
        <v>18166</v>
      </c>
      <c r="L6297">
        <f>HYPERLINK("https://www2.assemblee-nationale.fr/sycomore/fiche/(num_dept)/6937", "6937")</f>
        <v>0</v>
      </c>
      <c r="N6297">
        <f>HYPERLINK("https://www.wikidata.org/wiki/Q16026528", "Q16026528")</f>
        <v>0</v>
      </c>
      <c r="O6297" t="s">
        <v>19968</v>
      </c>
      <c r="P6297" t="s">
        <v>20410</v>
      </c>
      <c r="Q6297" t="s">
        <v>20787</v>
      </c>
      <c r="R6297" t="s">
        <v>418</v>
      </c>
      <c r="S6297">
        <v>1745</v>
      </c>
    </row>
    <row r="6298" spans="1:19">
      <c r="A6298" t="s">
        <v>28</v>
      </c>
      <c r="B6298" t="s">
        <v>148</v>
      </c>
      <c r="C6298" t="s">
        <v>160</v>
      </c>
      <c r="D6298" t="s">
        <v>289</v>
      </c>
      <c r="E6298" t="s">
        <v>418</v>
      </c>
      <c r="F6298">
        <f>HYPERLINK("https://www.wikidata.org/wiki/Q33755445", "Q33755445")</f>
        <v>0</v>
      </c>
      <c r="G6298" t="s">
        <v>3503</v>
      </c>
      <c r="H6298" t="s">
        <v>7871</v>
      </c>
      <c r="I6298" t="s">
        <v>10851</v>
      </c>
      <c r="J6298" t="s">
        <v>14101</v>
      </c>
      <c r="K6298" t="s">
        <v>18465</v>
      </c>
      <c r="L6298">
        <f>HYPERLINK("https://www2.assemblee-nationale.fr/sycomore/fiche/(num_dept)/6945", "6945")</f>
        <v>0</v>
      </c>
      <c r="M6298">
        <f>HYPERLINK("https://www.senat.fr/senateur-3eme-republique/talou_leon0610r3.html", "talou_leon0610r3")</f>
        <v>0</v>
      </c>
      <c r="N6298">
        <f>HYPERLINK("https://www.wikidata.org/wiki/Q3271343", "Q3271343")</f>
        <v>0</v>
      </c>
      <c r="O6298" t="s">
        <v>19974</v>
      </c>
      <c r="P6298" t="s">
        <v>20471</v>
      </c>
      <c r="Q6298" t="s">
        <v>20787</v>
      </c>
      <c r="R6298" t="s">
        <v>21550</v>
      </c>
      <c r="S6298">
        <v>1245</v>
      </c>
    </row>
    <row r="6299" spans="1:19">
      <c r="A6299" t="s">
        <v>28</v>
      </c>
      <c r="B6299" t="s">
        <v>148</v>
      </c>
      <c r="C6299" t="s">
        <v>160</v>
      </c>
      <c r="D6299" t="s">
        <v>289</v>
      </c>
      <c r="E6299" t="s">
        <v>418</v>
      </c>
      <c r="F6299">
        <f>HYPERLINK("https://www.wikidata.org/wiki/Q33755445", "Q33755445")</f>
        <v>0</v>
      </c>
      <c r="G6299" t="s">
        <v>3729</v>
      </c>
      <c r="H6299" t="s">
        <v>8037</v>
      </c>
      <c r="I6299" t="s">
        <v>10951</v>
      </c>
      <c r="J6299" t="s">
        <v>14304</v>
      </c>
      <c r="K6299" t="s">
        <v>18658</v>
      </c>
      <c r="L6299">
        <f>HYPERLINK("https://www2.assemblee-nationale.fr/sycomore/fiche/(num_dept)/6955", "6955")</f>
        <v>0</v>
      </c>
      <c r="N6299">
        <f>HYPERLINK("https://www.wikidata.org/wiki/Q16026534", "Q16026534")</f>
        <v>0</v>
      </c>
      <c r="O6299" t="s">
        <v>19979</v>
      </c>
      <c r="Q6299" t="s">
        <v>20787</v>
      </c>
      <c r="R6299" t="s">
        <v>418</v>
      </c>
      <c r="S6299">
        <v>1745</v>
      </c>
    </row>
    <row r="6300" spans="1:19">
      <c r="A6300" t="s">
        <v>28</v>
      </c>
      <c r="B6300" t="s">
        <v>148</v>
      </c>
      <c r="C6300" t="s">
        <v>160</v>
      </c>
      <c r="D6300" t="s">
        <v>289</v>
      </c>
      <c r="E6300" t="s">
        <v>418</v>
      </c>
      <c r="F6300">
        <f>HYPERLINK("https://www.wikidata.org/wiki/Q33755445", "Q33755445")</f>
        <v>0</v>
      </c>
      <c r="G6300" t="s">
        <v>3505</v>
      </c>
      <c r="H6300" t="s">
        <v>7872</v>
      </c>
      <c r="I6300" t="s">
        <v>10853</v>
      </c>
      <c r="J6300" t="s">
        <v>14103</v>
      </c>
      <c r="K6300" t="s">
        <v>18467</v>
      </c>
      <c r="L6300">
        <f>HYPERLINK("https://www2.assemblee-nationale.fr/sycomore/fiche/(num_dept)/6996", "6996")</f>
        <v>0</v>
      </c>
      <c r="N6300">
        <f>HYPERLINK("https://www.wikidata.org/wiki/Q3263166", "Q3263166")</f>
        <v>0</v>
      </c>
      <c r="O6300" t="s">
        <v>19971</v>
      </c>
      <c r="Q6300" t="s">
        <v>20787</v>
      </c>
      <c r="R6300" t="s">
        <v>18467</v>
      </c>
      <c r="S6300">
        <v>730</v>
      </c>
    </row>
    <row r="6301" spans="1:19">
      <c r="A6301" t="s">
        <v>28</v>
      </c>
      <c r="B6301" t="s">
        <v>148</v>
      </c>
      <c r="C6301" t="s">
        <v>160</v>
      </c>
      <c r="D6301" t="s">
        <v>289</v>
      </c>
      <c r="E6301" t="s">
        <v>418</v>
      </c>
      <c r="F6301">
        <f>HYPERLINK("https://www.wikidata.org/wiki/Q33755445", "Q33755445")</f>
        <v>0</v>
      </c>
      <c r="G6301" t="s">
        <v>2686</v>
      </c>
      <c r="H6301" t="s">
        <v>7219</v>
      </c>
      <c r="I6301" t="s">
        <v>10364</v>
      </c>
      <c r="J6301" t="s">
        <v>13327</v>
      </c>
      <c r="K6301" t="s">
        <v>17727</v>
      </c>
      <c r="L6301">
        <f>HYPERLINK("https://www2.assemblee-nationale.fr/sycomore/fiche/(num_dept)/7017", "7017")</f>
        <v>0</v>
      </c>
      <c r="N6301">
        <f>HYPERLINK("https://www.wikidata.org/wiki/Q16026550", "Q16026550")</f>
        <v>0</v>
      </c>
      <c r="O6301" t="s">
        <v>20010</v>
      </c>
      <c r="P6301" t="s">
        <v>20401</v>
      </c>
      <c r="Q6301" t="s">
        <v>20787</v>
      </c>
      <c r="R6301" t="s">
        <v>418</v>
      </c>
      <c r="S6301">
        <v>1745</v>
      </c>
    </row>
    <row r="6302" spans="1:19">
      <c r="A6302" t="s">
        <v>28</v>
      </c>
      <c r="B6302" t="s">
        <v>148</v>
      </c>
      <c r="C6302" t="s">
        <v>160</v>
      </c>
      <c r="D6302" t="s">
        <v>289</v>
      </c>
      <c r="E6302" t="s">
        <v>418</v>
      </c>
      <c r="F6302">
        <f>HYPERLINK("https://www.wikidata.org/wiki/Q33755445", "Q33755445")</f>
        <v>0</v>
      </c>
      <c r="G6302" t="s">
        <v>818</v>
      </c>
      <c r="H6302" t="s">
        <v>5575</v>
      </c>
      <c r="I6302" t="s">
        <v>9470</v>
      </c>
      <c r="J6302" t="s">
        <v>11565</v>
      </c>
      <c r="K6302" t="s">
        <v>15969</v>
      </c>
      <c r="L6302">
        <f>HYPERLINK("https://www2.assemblee-nationale.fr/sycomore/fiche/(num_dept)/7055", "7055")</f>
        <v>0</v>
      </c>
      <c r="N6302">
        <f>HYPERLINK("https://www.wikidata.org/wiki/Q2246519", "Q2246519")</f>
        <v>0</v>
      </c>
      <c r="O6302" t="s">
        <v>20000</v>
      </c>
      <c r="Q6302" t="s">
        <v>20787</v>
      </c>
      <c r="R6302" t="s">
        <v>418</v>
      </c>
      <c r="S6302">
        <v>1745</v>
      </c>
    </row>
    <row r="6303" spans="1:19">
      <c r="A6303" t="s">
        <v>28</v>
      </c>
      <c r="B6303" t="s">
        <v>148</v>
      </c>
      <c r="C6303" t="s">
        <v>160</v>
      </c>
      <c r="D6303" t="s">
        <v>289</v>
      </c>
      <c r="E6303" t="s">
        <v>418</v>
      </c>
      <c r="F6303">
        <f>HYPERLINK("https://www.wikidata.org/wiki/Q33755445", "Q33755445")</f>
        <v>0</v>
      </c>
      <c r="G6303" t="s">
        <v>3653</v>
      </c>
      <c r="H6303" t="s">
        <v>7984</v>
      </c>
      <c r="I6303" t="s">
        <v>5948</v>
      </c>
      <c r="J6303" t="s">
        <v>14233</v>
      </c>
      <c r="K6303" t="s">
        <v>18593</v>
      </c>
      <c r="L6303">
        <f>HYPERLINK("https://www2.assemblee-nationale.fr/sycomore/fiche/(num_dept)/7056", "7056")</f>
        <v>0</v>
      </c>
      <c r="N6303">
        <f>HYPERLINK("https://www.wikidata.org/wiki/Q2898669", "Q2898669")</f>
        <v>0</v>
      </c>
      <c r="O6303" t="s">
        <v>20018</v>
      </c>
      <c r="Q6303" t="s">
        <v>20787</v>
      </c>
      <c r="R6303" t="s">
        <v>418</v>
      </c>
      <c r="S6303">
        <v>1745</v>
      </c>
    </row>
    <row r="6304" spans="1:19">
      <c r="A6304" t="s">
        <v>28</v>
      </c>
      <c r="B6304" t="s">
        <v>148</v>
      </c>
      <c r="C6304" t="s">
        <v>160</v>
      </c>
      <c r="D6304" t="s">
        <v>289</v>
      </c>
      <c r="E6304" t="s">
        <v>418</v>
      </c>
      <c r="F6304">
        <f>HYPERLINK("https://www.wikidata.org/wiki/Q33755445", "Q33755445")</f>
        <v>0</v>
      </c>
      <c r="G6304" t="s">
        <v>3506</v>
      </c>
      <c r="H6304" t="s">
        <v>7873</v>
      </c>
      <c r="I6304" t="s">
        <v>10854</v>
      </c>
      <c r="J6304" t="s">
        <v>14104</v>
      </c>
      <c r="K6304" t="s">
        <v>18468</v>
      </c>
      <c r="L6304">
        <f>HYPERLINK("https://www2.assemblee-nationale.fr/sycomore/fiche/(num_dept)/7062", "7062")</f>
        <v>0</v>
      </c>
      <c r="M6304">
        <f>HYPERLINK("https://www.senat.fr/senateur-3eme-republique/thorel_jules0739r3.html", "thorel_jules0739r3")</f>
        <v>0</v>
      </c>
      <c r="N6304">
        <f>HYPERLINK("https://www.wikidata.org/wiki/Q3188936", "Q3188936")</f>
        <v>0</v>
      </c>
      <c r="O6304" t="s">
        <v>19992</v>
      </c>
      <c r="Q6304" t="s">
        <v>20787</v>
      </c>
      <c r="R6304" t="s">
        <v>418</v>
      </c>
      <c r="S6304">
        <v>1745</v>
      </c>
    </row>
    <row r="6305" spans="1:19">
      <c r="A6305" t="s">
        <v>28</v>
      </c>
      <c r="B6305" t="s">
        <v>148</v>
      </c>
      <c r="C6305" t="s">
        <v>160</v>
      </c>
      <c r="D6305" t="s">
        <v>289</v>
      </c>
      <c r="E6305" t="s">
        <v>418</v>
      </c>
      <c r="F6305">
        <f>HYPERLINK("https://www.wikidata.org/wiki/Q33755445", "Q33755445")</f>
        <v>0</v>
      </c>
      <c r="G6305" t="s">
        <v>3730</v>
      </c>
      <c r="H6305" t="s">
        <v>8038</v>
      </c>
      <c r="I6305" t="s">
        <v>10952</v>
      </c>
      <c r="J6305" t="s">
        <v>14305</v>
      </c>
      <c r="K6305" t="s">
        <v>18659</v>
      </c>
      <c r="L6305">
        <f>HYPERLINK("https://www2.assemblee-nationale.fr/sycomore/fiche/(num_dept)/7065", "7065")</f>
        <v>0</v>
      </c>
      <c r="N6305">
        <f>HYPERLINK("https://www.wikidata.org/wiki/Q16026557", "Q16026557")</f>
        <v>0</v>
      </c>
      <c r="O6305" t="s">
        <v>20003</v>
      </c>
      <c r="P6305" t="s">
        <v>20411</v>
      </c>
      <c r="Q6305" t="s">
        <v>20787</v>
      </c>
      <c r="R6305" t="s">
        <v>418</v>
      </c>
      <c r="S6305">
        <v>1745</v>
      </c>
    </row>
    <row r="6306" spans="1:19">
      <c r="A6306" t="s">
        <v>28</v>
      </c>
      <c r="B6306" t="s">
        <v>148</v>
      </c>
      <c r="C6306" t="s">
        <v>160</v>
      </c>
      <c r="D6306" t="s">
        <v>289</v>
      </c>
      <c r="E6306" t="s">
        <v>418</v>
      </c>
      <c r="F6306">
        <f>HYPERLINK("https://www.wikidata.org/wiki/Q33755445", "Q33755445")</f>
        <v>0</v>
      </c>
      <c r="G6306" t="s">
        <v>3731</v>
      </c>
      <c r="H6306" t="s">
        <v>8039</v>
      </c>
      <c r="I6306" t="s">
        <v>9421</v>
      </c>
      <c r="J6306" t="s">
        <v>14306</v>
      </c>
      <c r="K6306" t="s">
        <v>18660</v>
      </c>
      <c r="L6306">
        <f>HYPERLINK("https://www2.assemblee-nationale.fr/sycomore/fiche/(num_dept)/7131", "7131")</f>
        <v>0</v>
      </c>
      <c r="M6306">
        <f>HYPERLINK("https://www.senat.fr/senateur-3eme-republique/trannoy_gustave1655r3.html", "trannoy_gustave1655r3")</f>
        <v>0</v>
      </c>
      <c r="N6306">
        <f>HYPERLINK("https://www.wikidata.org/wiki/Q3121335", "Q3121335")</f>
        <v>0</v>
      </c>
      <c r="O6306" t="s">
        <v>20012</v>
      </c>
      <c r="Q6306" t="s">
        <v>20787</v>
      </c>
      <c r="R6306" t="s">
        <v>418</v>
      </c>
      <c r="S6306">
        <v>1745</v>
      </c>
    </row>
    <row r="6307" spans="1:19">
      <c r="A6307" t="s">
        <v>28</v>
      </c>
      <c r="B6307" t="s">
        <v>148</v>
      </c>
      <c r="C6307" t="s">
        <v>160</v>
      </c>
      <c r="D6307" t="s">
        <v>289</v>
      </c>
      <c r="E6307" t="s">
        <v>418</v>
      </c>
      <c r="F6307">
        <f>HYPERLINK("https://www.wikidata.org/wiki/Q33755445", "Q33755445")</f>
        <v>0</v>
      </c>
      <c r="G6307" t="s">
        <v>3732</v>
      </c>
      <c r="H6307" t="s">
        <v>8040</v>
      </c>
      <c r="I6307" t="s">
        <v>6759</v>
      </c>
      <c r="J6307" t="s">
        <v>14307</v>
      </c>
      <c r="K6307" t="s">
        <v>18661</v>
      </c>
      <c r="L6307">
        <f>HYPERLINK("https://www2.assemblee-nationale.fr/sycomore/fiche/(num_dept)/7149", "7149")</f>
        <v>0</v>
      </c>
      <c r="M6307">
        <f>HYPERLINK("https://www.senat.fr/senateur-3eme-republique/de_treveneuc_robert0572r3.html", "de_treveneuc_robert0572r3")</f>
        <v>0</v>
      </c>
      <c r="N6307">
        <f>HYPERLINK("https://www.wikidata.org/wiki/Q3436738", "Q3436738")</f>
        <v>0</v>
      </c>
      <c r="O6307" t="s">
        <v>19964</v>
      </c>
      <c r="P6307" t="s">
        <v>20460</v>
      </c>
      <c r="Q6307" t="s">
        <v>20787</v>
      </c>
      <c r="R6307" t="s">
        <v>418</v>
      </c>
      <c r="S6307">
        <v>1745</v>
      </c>
    </row>
    <row r="6308" spans="1:19">
      <c r="A6308" t="s">
        <v>28</v>
      </c>
      <c r="B6308" t="s">
        <v>148</v>
      </c>
      <c r="C6308" t="s">
        <v>160</v>
      </c>
      <c r="D6308" t="s">
        <v>289</v>
      </c>
      <c r="E6308" t="s">
        <v>418</v>
      </c>
      <c r="F6308">
        <f>HYPERLINK("https://www.wikidata.org/wiki/Q33755445", "Q33755445")</f>
        <v>0</v>
      </c>
      <c r="G6308" t="s">
        <v>3603</v>
      </c>
      <c r="H6308" t="s">
        <v>7947</v>
      </c>
      <c r="I6308" t="s">
        <v>6175</v>
      </c>
      <c r="J6308" t="s">
        <v>14188</v>
      </c>
      <c r="K6308" t="s">
        <v>18554</v>
      </c>
      <c r="L6308">
        <f>HYPERLINK("https://www2.assemblee-nationale.fr/sycomore/fiche/(num_dept)/7163", "7163")</f>
        <v>0</v>
      </c>
      <c r="M6308">
        <f>HYPERLINK("https://www.senat.fr/senateur-3eme-republique/trouillot_georges0444r3.html", "trouillot_georges0444r3")</f>
        <v>0</v>
      </c>
      <c r="N6308">
        <f>HYPERLINK("https://www.wikidata.org/wiki/Q3103564", "Q3103564")</f>
        <v>0</v>
      </c>
      <c r="O6308" t="s">
        <v>20041</v>
      </c>
      <c r="P6308" t="s">
        <v>20401</v>
      </c>
      <c r="Q6308" t="s">
        <v>20787</v>
      </c>
      <c r="R6308" t="s">
        <v>418</v>
      </c>
      <c r="S6308">
        <v>1745</v>
      </c>
    </row>
    <row r="6309" spans="1:19">
      <c r="A6309" t="s">
        <v>28</v>
      </c>
      <c r="B6309" t="s">
        <v>148</v>
      </c>
      <c r="C6309" t="s">
        <v>160</v>
      </c>
      <c r="D6309" t="s">
        <v>289</v>
      </c>
      <c r="E6309" t="s">
        <v>418</v>
      </c>
      <c r="F6309">
        <f>HYPERLINK("https://www.wikidata.org/wiki/Q33755445", "Q33755445")</f>
        <v>0</v>
      </c>
      <c r="G6309" t="s">
        <v>3289</v>
      </c>
      <c r="H6309" t="s">
        <v>7701</v>
      </c>
      <c r="I6309" t="s">
        <v>9534</v>
      </c>
      <c r="J6309" t="s">
        <v>13903</v>
      </c>
      <c r="K6309" t="s">
        <v>16613</v>
      </c>
      <c r="L6309">
        <f>HYPERLINK("https://www2.assemblee-nationale.fr/sycomore/fiche/(num_dept)/7179", "7179")</f>
        <v>0</v>
      </c>
      <c r="N6309">
        <f>HYPERLINK("https://www.wikidata.org/wiki/Q2824919", "Q2824919")</f>
        <v>0</v>
      </c>
      <c r="O6309" t="s">
        <v>19960</v>
      </c>
      <c r="P6309" t="s">
        <v>20474</v>
      </c>
      <c r="Q6309" t="s">
        <v>20787</v>
      </c>
      <c r="R6309" t="s">
        <v>418</v>
      </c>
      <c r="S6309">
        <v>1745</v>
      </c>
    </row>
    <row r="6310" spans="1:19">
      <c r="A6310" t="s">
        <v>28</v>
      </c>
      <c r="B6310" t="s">
        <v>148</v>
      </c>
      <c r="C6310" t="s">
        <v>160</v>
      </c>
      <c r="D6310" t="s">
        <v>289</v>
      </c>
      <c r="E6310" t="s">
        <v>418</v>
      </c>
      <c r="F6310">
        <f>HYPERLINK("https://www.wikidata.org/wiki/Q33755445", "Q33755445")</f>
        <v>0</v>
      </c>
      <c r="G6310" t="s">
        <v>3604</v>
      </c>
      <c r="H6310" t="s">
        <v>7948</v>
      </c>
      <c r="I6310" t="s">
        <v>9457</v>
      </c>
      <c r="J6310" t="s">
        <v>14189</v>
      </c>
      <c r="K6310" t="s">
        <v>18555</v>
      </c>
      <c r="L6310">
        <f>HYPERLINK("https://www2.assemblee-nationale.fr/sycomore/fiche/(num_dept)/7193", "7193")</f>
        <v>0</v>
      </c>
      <c r="M6310">
        <f>HYPERLINK("https://www.senat.fr/senateur-3eme-republique/vacherie_henri1791r3.html", "vacherie_henri1791r3")</f>
        <v>0</v>
      </c>
      <c r="N6310">
        <f>HYPERLINK("https://www.wikidata.org/wiki/Q3132113", "Q3132113")</f>
        <v>0</v>
      </c>
      <c r="O6310" t="s">
        <v>19977</v>
      </c>
      <c r="P6310" t="s">
        <v>20402</v>
      </c>
      <c r="Q6310" t="s">
        <v>20787</v>
      </c>
      <c r="R6310" t="s">
        <v>418</v>
      </c>
      <c r="S6310">
        <v>1745</v>
      </c>
    </row>
    <row r="6311" spans="1:19">
      <c r="A6311" t="s">
        <v>28</v>
      </c>
      <c r="B6311" t="s">
        <v>148</v>
      </c>
      <c r="C6311" t="s">
        <v>160</v>
      </c>
      <c r="D6311" t="s">
        <v>289</v>
      </c>
      <c r="E6311" t="s">
        <v>418</v>
      </c>
      <c r="F6311">
        <f>HYPERLINK("https://www.wikidata.org/wiki/Q33755445", "Q33755445")</f>
        <v>0</v>
      </c>
      <c r="G6311" t="s">
        <v>830</v>
      </c>
      <c r="H6311" t="s">
        <v>5587</v>
      </c>
      <c r="I6311" t="s">
        <v>9541</v>
      </c>
      <c r="J6311" t="s">
        <v>11577</v>
      </c>
      <c r="K6311" t="s">
        <v>15979</v>
      </c>
      <c r="L6311">
        <f>HYPERLINK("https://www2.assemblee-nationale.fr/sycomore/fiche/(num_dept)/7418", "7418")</f>
        <v>0</v>
      </c>
      <c r="M6311">
        <f>HYPERLINK("https://www.senat.fr/senateur-3eme-republique/villiers_emile0785r3.html", "villiers_emile0785r3")</f>
        <v>0</v>
      </c>
      <c r="N6311">
        <f>HYPERLINK("https://www.wikidata.org/wiki/Q3083748", "Q3083748")</f>
        <v>0</v>
      </c>
      <c r="O6311" t="s">
        <v>20011</v>
      </c>
      <c r="Q6311" t="s">
        <v>20787</v>
      </c>
      <c r="R6311" t="s">
        <v>418</v>
      </c>
      <c r="S6311">
        <v>1745</v>
      </c>
    </row>
    <row r="6312" spans="1:19">
      <c r="A6312" t="s">
        <v>28</v>
      </c>
      <c r="B6312" t="s">
        <v>148</v>
      </c>
      <c r="C6312" t="s">
        <v>160</v>
      </c>
      <c r="D6312" t="s">
        <v>289</v>
      </c>
      <c r="E6312" t="s">
        <v>418</v>
      </c>
      <c r="F6312">
        <f>HYPERLINK("https://www.wikidata.org/wiki/Q33755445", "Q33755445")</f>
        <v>0</v>
      </c>
      <c r="G6312" t="s">
        <v>3508</v>
      </c>
      <c r="H6312" t="s">
        <v>7875</v>
      </c>
      <c r="I6312" t="s">
        <v>6495</v>
      </c>
      <c r="J6312" t="s">
        <v>11505</v>
      </c>
      <c r="K6312" t="s">
        <v>18470</v>
      </c>
      <c r="L6312">
        <f>HYPERLINK("https://www2.assemblee-nationale.fr/sycomore/fiche/(num_dept)/7433", "7433")</f>
        <v>0</v>
      </c>
      <c r="N6312">
        <f>HYPERLINK("https://www.wikidata.org/wiki/Q16026620", "Q16026620")</f>
        <v>0</v>
      </c>
      <c r="O6312" t="s">
        <v>19974</v>
      </c>
      <c r="P6312" t="s">
        <v>20401</v>
      </c>
      <c r="Q6312" t="s">
        <v>20787</v>
      </c>
      <c r="R6312" t="s">
        <v>418</v>
      </c>
      <c r="S6312">
        <v>1745</v>
      </c>
    </row>
    <row r="6313" spans="1:19">
      <c r="A6313" t="s">
        <v>28</v>
      </c>
      <c r="B6313" t="s">
        <v>148</v>
      </c>
      <c r="C6313" t="s">
        <v>160</v>
      </c>
      <c r="D6313" t="s">
        <v>289</v>
      </c>
      <c r="E6313" t="s">
        <v>418</v>
      </c>
      <c r="F6313">
        <f>HYPERLINK("https://www.wikidata.org/wiki/Q33755445", "Q33755445")</f>
        <v>0</v>
      </c>
      <c r="G6313" t="s">
        <v>3733</v>
      </c>
      <c r="H6313" t="s">
        <v>8041</v>
      </c>
      <c r="I6313" t="s">
        <v>6158</v>
      </c>
      <c r="J6313" t="s">
        <v>14308</v>
      </c>
      <c r="K6313" t="s">
        <v>280</v>
      </c>
      <c r="L6313">
        <f>HYPERLINK("https://www2.assemblee-nationale.fr/sycomore/fiche/(num_dept)/7437", "7437")</f>
        <v>0</v>
      </c>
      <c r="N6313">
        <f>HYPERLINK("https://www.wikidata.org/wiki/Q3092631", "Q3092631")</f>
        <v>0</v>
      </c>
      <c r="O6313" t="s">
        <v>20006</v>
      </c>
      <c r="Q6313" t="s">
        <v>20787</v>
      </c>
      <c r="R6313" t="s">
        <v>418</v>
      </c>
      <c r="S6313">
        <v>1745</v>
      </c>
    </row>
    <row r="6314" spans="1:19">
      <c r="A6314" t="s">
        <v>28</v>
      </c>
      <c r="B6314" t="s">
        <v>148</v>
      </c>
      <c r="C6314" t="s">
        <v>160</v>
      </c>
      <c r="D6314" t="s">
        <v>289</v>
      </c>
      <c r="E6314" t="s">
        <v>418</v>
      </c>
      <c r="F6314">
        <f>HYPERLINK("https://www.wikidata.org/wiki/Q33755445", "Q33755445")</f>
        <v>0</v>
      </c>
      <c r="G6314" t="s">
        <v>3172</v>
      </c>
      <c r="H6314" t="s">
        <v>7603</v>
      </c>
      <c r="I6314" t="s">
        <v>10681</v>
      </c>
      <c r="J6314" t="s">
        <v>13793</v>
      </c>
      <c r="K6314" t="s">
        <v>18168</v>
      </c>
      <c r="L6314">
        <f>HYPERLINK("https://www2.assemblee-nationale.fr/sycomore/fiche/(num_dept)/7440", "7440")</f>
        <v>0</v>
      </c>
      <c r="N6314">
        <f>HYPERLINK("https://www.wikidata.org/wiki/Q2993635", "Q2993635")</f>
        <v>0</v>
      </c>
      <c r="O6314" t="s">
        <v>20009</v>
      </c>
      <c r="P6314" t="s">
        <v>20460</v>
      </c>
      <c r="Q6314" t="s">
        <v>20787</v>
      </c>
      <c r="R6314" t="s">
        <v>418</v>
      </c>
      <c r="S6314">
        <v>1745</v>
      </c>
    </row>
    <row r="6315" spans="1:19">
      <c r="A6315" t="s">
        <v>28</v>
      </c>
      <c r="B6315" t="s">
        <v>148</v>
      </c>
      <c r="C6315" t="s">
        <v>160</v>
      </c>
      <c r="D6315" t="s">
        <v>289</v>
      </c>
      <c r="E6315" t="s">
        <v>418</v>
      </c>
      <c r="F6315">
        <f>HYPERLINK("https://www.wikidata.org/wiki/Q33755445", "Q33755445")</f>
        <v>0</v>
      </c>
      <c r="G6315" t="s">
        <v>2694</v>
      </c>
      <c r="H6315" t="s">
        <v>7226</v>
      </c>
      <c r="I6315" t="s">
        <v>9488</v>
      </c>
      <c r="J6315" t="s">
        <v>13335</v>
      </c>
      <c r="K6315" t="s">
        <v>17735</v>
      </c>
      <c r="L6315">
        <f>HYPERLINK("https://www2.assemblee-nationale.fr/sycomore/fiche/(num_dept)/7442", "7442")</f>
        <v>0</v>
      </c>
      <c r="N6315">
        <f>HYPERLINK("https://www.wikidata.org/wiki/Q3014816", "Q3014816")</f>
        <v>0</v>
      </c>
      <c r="O6315" t="s">
        <v>20008</v>
      </c>
      <c r="P6315" t="s">
        <v>20474</v>
      </c>
      <c r="Q6315" t="s">
        <v>20787</v>
      </c>
      <c r="R6315" t="s">
        <v>21562</v>
      </c>
      <c r="S6315">
        <v>190</v>
      </c>
    </row>
    <row r="6316" spans="1:19">
      <c r="A6316" t="s">
        <v>28</v>
      </c>
      <c r="B6316" t="s">
        <v>148</v>
      </c>
      <c r="C6316" t="s">
        <v>160</v>
      </c>
      <c r="D6316" t="s">
        <v>289</v>
      </c>
      <c r="E6316" t="s">
        <v>418</v>
      </c>
      <c r="F6316">
        <f>HYPERLINK("https://www.wikidata.org/wiki/Q33755445", "Q33755445")</f>
        <v>0</v>
      </c>
      <c r="G6316" t="s">
        <v>3290</v>
      </c>
      <c r="H6316" t="s">
        <v>7702</v>
      </c>
      <c r="I6316" t="s">
        <v>6584</v>
      </c>
      <c r="J6316" t="s">
        <v>13904</v>
      </c>
      <c r="K6316" t="s">
        <v>18275</v>
      </c>
      <c r="L6316">
        <f>HYPERLINK("https://www2.assemblee-nationale.fr/sycomore/fiche/(num_dept)/7443", "7443")</f>
        <v>0</v>
      </c>
      <c r="M6316">
        <f>HYPERLINK("https://www.senat.fr/senateur-3eme-republique/viger_albert0500r3.html", "viger_albert0500r3")</f>
        <v>0</v>
      </c>
      <c r="N6316">
        <f>HYPERLINK("https://www.wikidata.org/wiki/Q2153536", "Q2153536")</f>
        <v>0</v>
      </c>
      <c r="O6316" t="s">
        <v>19958</v>
      </c>
      <c r="P6316" t="s">
        <v>20401</v>
      </c>
      <c r="Q6316" t="s">
        <v>20787</v>
      </c>
      <c r="R6316" t="s">
        <v>418</v>
      </c>
      <c r="S6316">
        <v>1745</v>
      </c>
    </row>
    <row r="6317" spans="1:19">
      <c r="A6317" t="s">
        <v>28</v>
      </c>
      <c r="B6317" t="s">
        <v>148</v>
      </c>
      <c r="C6317" t="s">
        <v>160</v>
      </c>
      <c r="D6317" t="s">
        <v>289</v>
      </c>
      <c r="E6317" t="s">
        <v>418</v>
      </c>
      <c r="F6317">
        <f>HYPERLINK("https://www.wikidata.org/wiki/Q33755445", "Q33755445")</f>
        <v>0</v>
      </c>
      <c r="G6317" t="s">
        <v>3509</v>
      </c>
      <c r="H6317" t="s">
        <v>7876</v>
      </c>
      <c r="I6317" t="s">
        <v>9442</v>
      </c>
      <c r="J6317" t="s">
        <v>14106</v>
      </c>
      <c r="K6317" t="s">
        <v>18471</v>
      </c>
      <c r="L6317">
        <f>HYPERLINK("https://www2.assemblee-nationale.fr/sycomore/fiche/(num_dept)/7444", "7444")</f>
        <v>0</v>
      </c>
      <c r="M6317">
        <f>HYPERLINK("https://www.senat.fr/senateur-3eme-republique/valle_ernest0643r3.html", "valle_ernest0643r3")</f>
        <v>0</v>
      </c>
      <c r="N6317">
        <f>HYPERLINK("https://www.wikidata.org/wiki/Q3057194", "Q3057194")</f>
        <v>0</v>
      </c>
      <c r="O6317" t="s">
        <v>20025</v>
      </c>
      <c r="P6317" t="s">
        <v>20474</v>
      </c>
      <c r="Q6317" t="s">
        <v>20787</v>
      </c>
      <c r="R6317" t="s">
        <v>418</v>
      </c>
      <c r="S6317">
        <v>1745</v>
      </c>
    </row>
    <row r="6318" spans="1:19">
      <c r="A6318" t="s">
        <v>28</v>
      </c>
      <c r="B6318" t="s">
        <v>148</v>
      </c>
      <c r="C6318" t="s">
        <v>160</v>
      </c>
      <c r="D6318" t="s">
        <v>289</v>
      </c>
      <c r="E6318" t="s">
        <v>418</v>
      </c>
      <c r="F6318">
        <f>HYPERLINK("https://www.wikidata.org/wiki/Q33755445", "Q33755445")</f>
        <v>0</v>
      </c>
      <c r="G6318" t="s">
        <v>3734</v>
      </c>
      <c r="H6318" t="s">
        <v>8042</v>
      </c>
      <c r="I6318" t="s">
        <v>9389</v>
      </c>
      <c r="J6318" t="s">
        <v>14309</v>
      </c>
      <c r="K6318" t="s">
        <v>18662</v>
      </c>
      <c r="L6318">
        <f>HYPERLINK("https://www2.assemblee-nationale.fr/sycomore/fiche/(num_dept)/7445", "7445")</f>
        <v>0</v>
      </c>
      <c r="N6318">
        <f>HYPERLINK("https://www.wikidata.org/wiki/Q16026623", "Q16026623")</f>
        <v>0</v>
      </c>
      <c r="O6318" t="s">
        <v>20013</v>
      </c>
      <c r="Q6318" t="s">
        <v>20787</v>
      </c>
      <c r="R6318" t="s">
        <v>418</v>
      </c>
      <c r="S6318">
        <v>1745</v>
      </c>
    </row>
    <row r="6319" spans="1:19">
      <c r="A6319" t="s">
        <v>28</v>
      </c>
      <c r="B6319" t="s">
        <v>148</v>
      </c>
      <c r="C6319" t="s">
        <v>160</v>
      </c>
      <c r="D6319" t="s">
        <v>289</v>
      </c>
      <c r="E6319" t="s">
        <v>418</v>
      </c>
      <c r="F6319">
        <f>HYPERLINK("https://www.wikidata.org/wiki/Q33755445", "Q33755445")</f>
        <v>0</v>
      </c>
      <c r="G6319" t="s">
        <v>3173</v>
      </c>
      <c r="H6319" t="s">
        <v>7604</v>
      </c>
      <c r="I6319" t="s">
        <v>7790</v>
      </c>
      <c r="J6319" t="s">
        <v>13794</v>
      </c>
      <c r="K6319" t="s">
        <v>18169</v>
      </c>
      <c r="L6319">
        <f>HYPERLINK("https://www2.assemblee-nationale.fr/sycomore/fiche/(num_dept)/7446", "7446")</f>
        <v>0</v>
      </c>
      <c r="N6319">
        <f>HYPERLINK("https://www.wikidata.org/wiki/Q2861987", "Q2861987")</f>
        <v>0</v>
      </c>
      <c r="O6319" t="s">
        <v>20040</v>
      </c>
      <c r="P6319" t="s">
        <v>20410</v>
      </c>
      <c r="Q6319" t="s">
        <v>20787</v>
      </c>
      <c r="R6319" t="s">
        <v>418</v>
      </c>
      <c r="S6319">
        <v>1745</v>
      </c>
    </row>
    <row r="6320" spans="1:19">
      <c r="A6320" t="s">
        <v>28</v>
      </c>
      <c r="B6320" t="s">
        <v>148</v>
      </c>
      <c r="C6320" t="s">
        <v>160</v>
      </c>
      <c r="D6320" t="s">
        <v>289</v>
      </c>
      <c r="E6320" t="s">
        <v>418</v>
      </c>
      <c r="F6320">
        <f>HYPERLINK("https://www.wikidata.org/wiki/Q33755445", "Q33755445")</f>
        <v>0</v>
      </c>
      <c r="G6320" t="s">
        <v>3735</v>
      </c>
      <c r="H6320" t="s">
        <v>8043</v>
      </c>
      <c r="I6320" t="s">
        <v>10953</v>
      </c>
      <c r="J6320" t="s">
        <v>14310</v>
      </c>
      <c r="K6320" t="s">
        <v>18663</v>
      </c>
      <c r="L6320">
        <f>HYPERLINK("https://www2.assemblee-nationale.fr/sycomore/fiche/(num_dept)/7447", "7447")</f>
        <v>0</v>
      </c>
      <c r="N6320">
        <f>HYPERLINK("https://www.wikidata.org/wiki/Q16053", "Q16053")</f>
        <v>0</v>
      </c>
      <c r="O6320" t="s">
        <v>19991</v>
      </c>
      <c r="P6320" t="s">
        <v>20409</v>
      </c>
      <c r="Q6320" t="s">
        <v>20787</v>
      </c>
      <c r="R6320" t="s">
        <v>418</v>
      </c>
      <c r="S6320">
        <v>1745</v>
      </c>
    </row>
    <row r="6321" spans="1:19">
      <c r="A6321" t="s">
        <v>28</v>
      </c>
      <c r="B6321" t="s">
        <v>148</v>
      </c>
      <c r="C6321" t="s">
        <v>160</v>
      </c>
      <c r="D6321" t="s">
        <v>289</v>
      </c>
      <c r="E6321" t="s">
        <v>418</v>
      </c>
      <c r="F6321">
        <f>HYPERLINK("https://www.wikidata.org/wiki/Q33755445", "Q33755445")</f>
        <v>0</v>
      </c>
      <c r="G6321" t="s">
        <v>2695</v>
      </c>
      <c r="H6321" t="s">
        <v>7227</v>
      </c>
      <c r="I6321" t="s">
        <v>9449</v>
      </c>
      <c r="J6321" t="s">
        <v>13336</v>
      </c>
      <c r="K6321" t="s">
        <v>17736</v>
      </c>
      <c r="L6321">
        <f>HYPERLINK("https://www2.assemblee-nationale.fr/sycomore/fiche/(num_dept)/7450", "7450")</f>
        <v>0</v>
      </c>
      <c r="N6321">
        <f>HYPERLINK("https://www.wikidata.org/wiki/Q3188959", "Q3188959")</f>
        <v>0</v>
      </c>
      <c r="O6321" t="s">
        <v>19973</v>
      </c>
      <c r="P6321" t="s">
        <v>20479</v>
      </c>
      <c r="Q6321" t="s">
        <v>20787</v>
      </c>
      <c r="R6321" t="s">
        <v>17736</v>
      </c>
      <c r="S6321">
        <v>179</v>
      </c>
    </row>
    <row r="6322" spans="1:19">
      <c r="A6322" t="s">
        <v>28</v>
      </c>
      <c r="B6322" t="s">
        <v>148</v>
      </c>
      <c r="C6322" t="s">
        <v>160</v>
      </c>
      <c r="D6322" t="s">
        <v>289</v>
      </c>
      <c r="E6322" t="s">
        <v>418</v>
      </c>
      <c r="F6322">
        <f>HYPERLINK("https://www.wikidata.org/wiki/Q33755445", "Q33755445")</f>
        <v>0</v>
      </c>
      <c r="G6322" t="s">
        <v>2697</v>
      </c>
      <c r="H6322" t="s">
        <v>7229</v>
      </c>
      <c r="I6322" t="s">
        <v>9506</v>
      </c>
      <c r="J6322" t="s">
        <v>13338</v>
      </c>
      <c r="K6322" t="s">
        <v>17738</v>
      </c>
      <c r="L6322">
        <f>HYPERLINK("https://www2.assemblee-nationale.fr/sycomore/fiche/(num_dept)/7461", "7461")</f>
        <v>0</v>
      </c>
      <c r="N6322">
        <f>HYPERLINK("https://www.wikidata.org/wiki/Q15971948", "Q15971948")</f>
        <v>0</v>
      </c>
      <c r="O6322" t="s">
        <v>20007</v>
      </c>
      <c r="Q6322" t="s">
        <v>20787</v>
      </c>
      <c r="R6322" t="s">
        <v>418</v>
      </c>
      <c r="S6322">
        <v>1745</v>
      </c>
    </row>
    <row r="6323" spans="1:19">
      <c r="A6323" t="s">
        <v>28</v>
      </c>
      <c r="B6323" t="s">
        <v>148</v>
      </c>
      <c r="C6323" t="s">
        <v>160</v>
      </c>
      <c r="D6323" t="s">
        <v>289</v>
      </c>
      <c r="E6323" t="s">
        <v>418</v>
      </c>
      <c r="F6323">
        <f>HYPERLINK("https://www.wikidata.org/wiki/Q33755445", "Q33755445")</f>
        <v>0</v>
      </c>
      <c r="G6323" t="s">
        <v>2703</v>
      </c>
      <c r="H6323" t="s">
        <v>7235</v>
      </c>
      <c r="I6323" t="s">
        <v>5528</v>
      </c>
      <c r="J6323" t="s">
        <v>13344</v>
      </c>
      <c r="K6323" t="s">
        <v>17744</v>
      </c>
      <c r="L6323">
        <f>HYPERLINK("https://www2.assemblee-nationale.fr/sycomore/fiche/(num_dept)/7496", "7496")</f>
        <v>0</v>
      </c>
      <c r="N6323">
        <f>HYPERLINK("https://www.wikidata.org/wiki/Q16025951", "Q16025951")</f>
        <v>0</v>
      </c>
      <c r="O6323" t="s">
        <v>19981</v>
      </c>
      <c r="Q6323" t="s">
        <v>20787</v>
      </c>
      <c r="R6323" t="s">
        <v>418</v>
      </c>
      <c r="S6323">
        <v>1745</v>
      </c>
    </row>
    <row r="6324" spans="1:19">
      <c r="A6324" t="s">
        <v>28</v>
      </c>
      <c r="B6324" t="s">
        <v>148</v>
      </c>
      <c r="C6324" t="s">
        <v>160</v>
      </c>
      <c r="D6324" t="s">
        <v>289</v>
      </c>
      <c r="E6324" t="s">
        <v>418</v>
      </c>
      <c r="F6324">
        <f>HYPERLINK("https://www.wikidata.org/wiki/Q33755445", "Q33755445")</f>
        <v>0</v>
      </c>
      <c r="G6324" t="s">
        <v>3512</v>
      </c>
      <c r="H6324" t="s">
        <v>7879</v>
      </c>
      <c r="I6324" t="s">
        <v>9457</v>
      </c>
      <c r="J6324" t="s">
        <v>14108</v>
      </c>
      <c r="K6324" t="s">
        <v>18474</v>
      </c>
      <c r="L6324">
        <f>HYPERLINK("https://www2.assemblee-nationale.fr/sycomore/fiche/(num_dept)/7525", "7525")</f>
        <v>0</v>
      </c>
      <c r="M6324">
        <f>HYPERLINK("https://www.senat.fr/senateur-3eme-republique/lavertujon_henri1778r3.html", "lavertujon_henri1778r3")</f>
        <v>0</v>
      </c>
      <c r="N6324">
        <f>HYPERLINK("https://www.wikidata.org/wiki/Q3131428", "Q3131428")</f>
        <v>0</v>
      </c>
      <c r="O6324" t="s">
        <v>19977</v>
      </c>
      <c r="Q6324" t="s">
        <v>20787</v>
      </c>
      <c r="R6324" t="s">
        <v>418</v>
      </c>
      <c r="S6324">
        <v>1745</v>
      </c>
    </row>
    <row r="6325" spans="1:19">
      <c r="A6325" t="s">
        <v>28</v>
      </c>
      <c r="B6325" t="s">
        <v>148</v>
      </c>
      <c r="C6325" t="s">
        <v>160</v>
      </c>
      <c r="D6325" t="s">
        <v>289</v>
      </c>
      <c r="E6325" t="s">
        <v>418</v>
      </c>
      <c r="F6325">
        <f>HYPERLINK("https://www.wikidata.org/wiki/Q33755445", "Q33755445")</f>
        <v>0</v>
      </c>
      <c r="G6325" t="s">
        <v>2704</v>
      </c>
      <c r="H6325" t="s">
        <v>6798</v>
      </c>
      <c r="I6325" t="s">
        <v>10375</v>
      </c>
      <c r="J6325" t="s">
        <v>13345</v>
      </c>
      <c r="K6325" t="s">
        <v>17745</v>
      </c>
      <c r="L6325">
        <f>HYPERLINK("https://www2.assemblee-nationale.fr/sycomore/fiche/(num_dept)/7528", "7528")</f>
        <v>0</v>
      </c>
      <c r="N6325">
        <f>HYPERLINK("https://www.wikidata.org/wiki/Q16025956", "Q16025956")</f>
        <v>0</v>
      </c>
      <c r="O6325" t="s">
        <v>20005</v>
      </c>
      <c r="P6325" t="s">
        <v>20459</v>
      </c>
      <c r="Q6325" t="s">
        <v>20787</v>
      </c>
      <c r="R6325" t="s">
        <v>418</v>
      </c>
      <c r="S6325">
        <v>1745</v>
      </c>
    </row>
    <row r="6326" spans="1:19">
      <c r="A6326" t="s">
        <v>28</v>
      </c>
      <c r="B6326" t="s">
        <v>148</v>
      </c>
      <c r="C6326" t="s">
        <v>160</v>
      </c>
      <c r="D6326" t="s">
        <v>289</v>
      </c>
      <c r="E6326" t="s">
        <v>418</v>
      </c>
      <c r="F6326">
        <f>HYPERLINK("https://www.wikidata.org/wiki/Q33755445", "Q33755445")</f>
        <v>0</v>
      </c>
      <c r="G6326" t="s">
        <v>3513</v>
      </c>
      <c r="H6326" t="s">
        <v>7880</v>
      </c>
      <c r="I6326" t="s">
        <v>10857</v>
      </c>
      <c r="J6326" t="s">
        <v>14109</v>
      </c>
      <c r="K6326" t="s">
        <v>18475</v>
      </c>
      <c r="L6326">
        <f>HYPERLINK("https://www2.assemblee-nationale.fr/sycomore/fiche/(num_dept)/7546", "7546")</f>
        <v>0</v>
      </c>
      <c r="N6326">
        <f>HYPERLINK("https://www.wikidata.org/wiki/Q3168567", "Q3168567")</f>
        <v>0</v>
      </c>
      <c r="O6326" t="s">
        <v>20011</v>
      </c>
      <c r="Q6326" t="s">
        <v>20787</v>
      </c>
      <c r="R6326" t="s">
        <v>418</v>
      </c>
      <c r="S6326">
        <v>1745</v>
      </c>
    </row>
    <row r="6327" spans="1:19">
      <c r="A6327" t="s">
        <v>28</v>
      </c>
      <c r="B6327" t="s">
        <v>148</v>
      </c>
      <c r="C6327" t="s">
        <v>160</v>
      </c>
      <c r="D6327" t="s">
        <v>289</v>
      </c>
      <c r="E6327" t="s">
        <v>418</v>
      </c>
      <c r="F6327">
        <f>HYPERLINK("https://www.wikidata.org/wiki/Q33755445", "Q33755445")</f>
        <v>0</v>
      </c>
      <c r="G6327" t="s">
        <v>3394</v>
      </c>
      <c r="H6327" t="s">
        <v>7783</v>
      </c>
      <c r="I6327" t="s">
        <v>9548</v>
      </c>
      <c r="J6327" t="s">
        <v>14003</v>
      </c>
      <c r="K6327" t="s">
        <v>13061</v>
      </c>
      <c r="L6327">
        <f>HYPERLINK("https://www2.assemblee-nationale.fr/sycomore/fiche/(num_dept)/7552", "7552")</f>
        <v>0</v>
      </c>
      <c r="N6327">
        <f>HYPERLINK("https://www.wikidata.org/wiki/Q3426487", "Q3426487")</f>
        <v>0</v>
      </c>
      <c r="O6327" t="s">
        <v>19964</v>
      </c>
      <c r="P6327" t="s">
        <v>20460</v>
      </c>
      <c r="Q6327" t="s">
        <v>20787</v>
      </c>
      <c r="R6327" t="s">
        <v>418</v>
      </c>
      <c r="S6327">
        <v>1745</v>
      </c>
    </row>
    <row r="6328" spans="1:19">
      <c r="A6328" t="s">
        <v>28</v>
      </c>
      <c r="B6328" t="s">
        <v>148</v>
      </c>
      <c r="C6328" t="s">
        <v>160</v>
      </c>
      <c r="D6328" t="s">
        <v>289</v>
      </c>
      <c r="E6328" t="s">
        <v>418</v>
      </c>
      <c r="F6328">
        <f>HYPERLINK("https://www.wikidata.org/wiki/Q33755445", "Q33755445")</f>
        <v>0</v>
      </c>
      <c r="G6328" t="s">
        <v>2705</v>
      </c>
      <c r="H6328" t="s">
        <v>7236</v>
      </c>
      <c r="I6328" t="s">
        <v>9376</v>
      </c>
      <c r="J6328" t="s">
        <v>13346</v>
      </c>
      <c r="K6328" t="s">
        <v>17746</v>
      </c>
      <c r="L6328">
        <f>HYPERLINK("https://www2.assemblee-nationale.fr/sycomore/fiche/(num_dept)/7555", "7555")</f>
        <v>0</v>
      </c>
      <c r="N6328">
        <f>HYPERLINK("https://www.wikidata.org/wiki/Q13080871", "Q13080871")</f>
        <v>0</v>
      </c>
      <c r="O6328" t="s">
        <v>19978</v>
      </c>
      <c r="P6328" t="s">
        <v>20479</v>
      </c>
      <c r="Q6328" t="s">
        <v>20787</v>
      </c>
      <c r="R6328" t="s">
        <v>418</v>
      </c>
      <c r="S6328">
        <v>1745</v>
      </c>
    </row>
    <row r="6329" spans="1:19">
      <c r="A6329" t="s">
        <v>28</v>
      </c>
      <c r="B6329" t="s">
        <v>148</v>
      </c>
      <c r="C6329" t="s">
        <v>160</v>
      </c>
      <c r="D6329" t="s">
        <v>289</v>
      </c>
      <c r="E6329" t="s">
        <v>418</v>
      </c>
      <c r="F6329">
        <f>HYPERLINK("https://www.wikidata.org/wiki/Q33755445", "Q33755445")</f>
        <v>0</v>
      </c>
      <c r="G6329" t="s">
        <v>3736</v>
      </c>
      <c r="H6329" t="s">
        <v>8044</v>
      </c>
      <c r="I6329" t="s">
        <v>10954</v>
      </c>
      <c r="J6329" t="s">
        <v>14311</v>
      </c>
      <c r="L6329">
        <f>HYPERLINK("https://www2.assemblee-nationale.fr/sycomore/fiche/(num_dept)/7556", "7556")</f>
        <v>0</v>
      </c>
      <c r="N6329">
        <f>HYPERLINK("https://www.wikidata.org/wiki/Q2831322", "Q2831322")</f>
        <v>0</v>
      </c>
      <c r="O6329" t="s">
        <v>19961</v>
      </c>
      <c r="P6329" t="s">
        <v>20402</v>
      </c>
      <c r="Q6329" t="s">
        <v>20787</v>
      </c>
      <c r="R6329" t="s">
        <v>418</v>
      </c>
      <c r="S6329">
        <v>1745</v>
      </c>
    </row>
    <row r="6330" spans="1:19">
      <c r="A6330" t="s">
        <v>28</v>
      </c>
      <c r="B6330" t="s">
        <v>148</v>
      </c>
      <c r="C6330" t="s">
        <v>160</v>
      </c>
      <c r="D6330" t="s">
        <v>289</v>
      </c>
      <c r="E6330" t="s">
        <v>418</v>
      </c>
      <c r="F6330">
        <f>HYPERLINK("https://www.wikidata.org/wiki/Q33755445", "Q33755445")</f>
        <v>0</v>
      </c>
      <c r="G6330" t="s">
        <v>3177</v>
      </c>
      <c r="H6330" t="s">
        <v>7607</v>
      </c>
      <c r="I6330" t="s">
        <v>9551</v>
      </c>
      <c r="J6330" t="s">
        <v>13798</v>
      </c>
      <c r="K6330" t="s">
        <v>18173</v>
      </c>
      <c r="L6330">
        <f>HYPERLINK("https://www2.assemblee-nationale.fr/sycomore/fiche/(num_dept)/7585", "7585")</f>
        <v>0</v>
      </c>
      <c r="N6330">
        <f>HYPERLINK("https://www.wikidata.org/wiki/Q16025958", "Q16025958")</f>
        <v>0</v>
      </c>
      <c r="O6330" t="s">
        <v>20013</v>
      </c>
      <c r="Q6330" t="s">
        <v>20787</v>
      </c>
      <c r="R6330" t="s">
        <v>418</v>
      </c>
      <c r="S6330">
        <v>1745</v>
      </c>
    </row>
    <row r="6331" spans="1:19">
      <c r="A6331" t="s">
        <v>28</v>
      </c>
      <c r="B6331" t="s">
        <v>148</v>
      </c>
      <c r="C6331" t="s">
        <v>160</v>
      </c>
      <c r="D6331" t="s">
        <v>289</v>
      </c>
      <c r="E6331" t="s">
        <v>418</v>
      </c>
      <c r="F6331">
        <f>HYPERLINK("https://www.wikidata.org/wiki/Q33755445", "Q33755445")</f>
        <v>0</v>
      </c>
      <c r="G6331" t="s">
        <v>840</v>
      </c>
      <c r="H6331" t="s">
        <v>5597</v>
      </c>
      <c r="I6331" t="s">
        <v>9547</v>
      </c>
      <c r="J6331" t="s">
        <v>11587</v>
      </c>
      <c r="K6331" t="s">
        <v>15989</v>
      </c>
      <c r="L6331">
        <f>HYPERLINK("https://www2.assemblee-nationale.fr/sycomore/fiche/(num_dept)/7587", "7587")</f>
        <v>0</v>
      </c>
      <c r="N6331">
        <f>HYPERLINK("https://www.wikidata.org/wiki/Q3351149", "Q3351149")</f>
        <v>0</v>
      </c>
      <c r="O6331" t="s">
        <v>19998</v>
      </c>
      <c r="Q6331" t="s">
        <v>20787</v>
      </c>
      <c r="R6331" t="s">
        <v>418</v>
      </c>
      <c r="S6331">
        <v>1745</v>
      </c>
    </row>
    <row r="6332" spans="1:19">
      <c r="A6332" t="s">
        <v>28</v>
      </c>
      <c r="B6332" t="s">
        <v>148</v>
      </c>
      <c r="C6332" t="s">
        <v>160</v>
      </c>
      <c r="D6332" t="s">
        <v>289</v>
      </c>
      <c r="E6332" t="s">
        <v>418</v>
      </c>
      <c r="F6332">
        <f>HYPERLINK("https://www.wikidata.org/wiki/Q33755445", "Q33755445")</f>
        <v>0</v>
      </c>
      <c r="G6332" t="s">
        <v>841</v>
      </c>
      <c r="H6332" t="s">
        <v>5598</v>
      </c>
      <c r="I6332" t="s">
        <v>9548</v>
      </c>
      <c r="J6332" t="s">
        <v>11588</v>
      </c>
      <c r="K6332" t="s">
        <v>15990</v>
      </c>
      <c r="L6332">
        <f>HYPERLINK("https://www2.assemblee-nationale.fr/sycomore/fiche/(num_dept)/7591", "7591")</f>
        <v>0</v>
      </c>
      <c r="M6332">
        <f>HYPERLINK("https://www.senat.fr/senateur-3eme-republique/le_herisse_rene0541r3.html", "le_herisse_rene0541r3")</f>
        <v>0</v>
      </c>
      <c r="N6332">
        <f>HYPERLINK("https://www.wikidata.org/wiki/Q3426501", "Q3426501")</f>
        <v>0</v>
      </c>
      <c r="O6332" t="s">
        <v>19998</v>
      </c>
      <c r="Q6332" t="s">
        <v>20787</v>
      </c>
      <c r="R6332" t="s">
        <v>418</v>
      </c>
      <c r="S6332">
        <v>1745</v>
      </c>
    </row>
    <row r="6333" spans="1:19">
      <c r="A6333" t="s">
        <v>28</v>
      </c>
      <c r="B6333" t="s">
        <v>148</v>
      </c>
      <c r="C6333" t="s">
        <v>160</v>
      </c>
      <c r="D6333" t="s">
        <v>289</v>
      </c>
      <c r="E6333" t="s">
        <v>418</v>
      </c>
      <c r="F6333">
        <f>HYPERLINK("https://www.wikidata.org/wiki/Q33755445", "Q33755445")</f>
        <v>0</v>
      </c>
      <c r="G6333" t="s">
        <v>3737</v>
      </c>
      <c r="H6333" t="s">
        <v>8045</v>
      </c>
      <c r="I6333" t="s">
        <v>9999</v>
      </c>
      <c r="J6333" t="s">
        <v>14312</v>
      </c>
      <c r="K6333" t="s">
        <v>18664</v>
      </c>
      <c r="L6333">
        <f>HYPERLINK("https://www2.assemblee-nationale.fr/sycomore/fiche/(num_dept)/7601", "7601")</f>
        <v>0</v>
      </c>
      <c r="N6333">
        <f>HYPERLINK("https://www.wikidata.org/wiki/Q3386135", "Q3386135")</f>
        <v>0</v>
      </c>
      <c r="O6333" t="s">
        <v>19964</v>
      </c>
      <c r="Q6333" t="s">
        <v>20787</v>
      </c>
      <c r="R6333" t="s">
        <v>418</v>
      </c>
      <c r="S6333">
        <v>1745</v>
      </c>
    </row>
    <row r="6334" spans="1:19">
      <c r="A6334" t="s">
        <v>28</v>
      </c>
      <c r="B6334" t="s">
        <v>148</v>
      </c>
      <c r="C6334" t="s">
        <v>160</v>
      </c>
      <c r="D6334" t="s">
        <v>289</v>
      </c>
      <c r="E6334" t="s">
        <v>418</v>
      </c>
      <c r="F6334">
        <f>HYPERLINK("https://www.wikidata.org/wiki/Q33755445", "Q33755445")</f>
        <v>0</v>
      </c>
      <c r="G6334" t="s">
        <v>3612</v>
      </c>
      <c r="H6334" t="s">
        <v>7955</v>
      </c>
      <c r="I6334" t="s">
        <v>10906</v>
      </c>
      <c r="J6334" t="s">
        <v>14196</v>
      </c>
      <c r="K6334" t="s">
        <v>18562</v>
      </c>
      <c r="L6334">
        <f>HYPERLINK("https://www2.assemblee-nationale.fr/sycomore/fiche/(num_dept)/7605", "7605")</f>
        <v>0</v>
      </c>
      <c r="N6334">
        <f>HYPERLINK("https://www.wikidata.org/wiki/Q2959611", "Q2959611")</f>
        <v>0</v>
      </c>
      <c r="O6334" t="s">
        <v>20038</v>
      </c>
      <c r="Q6334" t="s">
        <v>20787</v>
      </c>
      <c r="R6334" t="s">
        <v>418</v>
      </c>
      <c r="S6334">
        <v>1745</v>
      </c>
    </row>
    <row r="6335" spans="1:19">
      <c r="A6335" t="s">
        <v>28</v>
      </c>
      <c r="B6335" t="s">
        <v>148</v>
      </c>
      <c r="C6335" t="s">
        <v>160</v>
      </c>
      <c r="D6335" t="s">
        <v>289</v>
      </c>
      <c r="E6335" t="s">
        <v>418</v>
      </c>
      <c r="F6335">
        <f>HYPERLINK("https://www.wikidata.org/wiki/Q33755445", "Q33755445")</f>
        <v>0</v>
      </c>
      <c r="G6335" t="s">
        <v>3618</v>
      </c>
      <c r="H6335" t="s">
        <v>7237</v>
      </c>
      <c r="I6335" t="s">
        <v>9388</v>
      </c>
      <c r="J6335" t="s">
        <v>14200</v>
      </c>
      <c r="K6335" t="s">
        <v>16176</v>
      </c>
      <c r="L6335">
        <f>HYPERLINK("https://www2.assemblee-nationale.fr/sycomore/fiche/(num_dept)/7638", "7638")</f>
        <v>0</v>
      </c>
      <c r="N6335">
        <f>HYPERLINK("https://www.wikidata.org/wiki/Q3371659", "Q3371659")</f>
        <v>0</v>
      </c>
      <c r="O6335" t="s">
        <v>19976</v>
      </c>
      <c r="Q6335" t="s">
        <v>20787</v>
      </c>
      <c r="R6335" t="s">
        <v>418</v>
      </c>
      <c r="S6335">
        <v>1745</v>
      </c>
    </row>
    <row r="6336" spans="1:19">
      <c r="A6336" t="s">
        <v>28</v>
      </c>
      <c r="B6336" t="s">
        <v>148</v>
      </c>
      <c r="C6336" t="s">
        <v>160</v>
      </c>
      <c r="D6336" t="s">
        <v>289</v>
      </c>
      <c r="E6336" t="s">
        <v>418</v>
      </c>
      <c r="F6336">
        <f>HYPERLINK("https://www.wikidata.org/wiki/Q33755445", "Q33755445")</f>
        <v>0</v>
      </c>
      <c r="G6336" t="s">
        <v>3738</v>
      </c>
      <c r="H6336" t="s">
        <v>7971</v>
      </c>
      <c r="I6336" t="s">
        <v>6585</v>
      </c>
      <c r="J6336" t="s">
        <v>14313</v>
      </c>
      <c r="K6336" t="s">
        <v>17444</v>
      </c>
      <c r="L6336">
        <f>HYPERLINK("https://www2.assemblee-nationale.fr/sycomore/fiche/(num_dept)/7645", "7645")</f>
        <v>0</v>
      </c>
      <c r="N6336">
        <f>HYPERLINK("https://www.wikidata.org/wiki/Q2848132", "Q2848132")</f>
        <v>0</v>
      </c>
      <c r="O6336" t="s">
        <v>20021</v>
      </c>
      <c r="P6336" t="s">
        <v>20479</v>
      </c>
      <c r="Q6336" t="s">
        <v>20787</v>
      </c>
      <c r="R6336" t="s">
        <v>418</v>
      </c>
      <c r="S6336">
        <v>1745</v>
      </c>
    </row>
    <row r="6337" spans="1:19">
      <c r="A6337" t="s">
        <v>28</v>
      </c>
      <c r="B6337" t="s">
        <v>148</v>
      </c>
      <c r="C6337" t="s">
        <v>160</v>
      </c>
      <c r="D6337" t="s">
        <v>289</v>
      </c>
      <c r="E6337" t="s">
        <v>418</v>
      </c>
      <c r="F6337">
        <f>HYPERLINK("https://www.wikidata.org/wiki/Q33755445", "Q33755445")</f>
        <v>0</v>
      </c>
      <c r="G6337" t="s">
        <v>3639</v>
      </c>
      <c r="H6337" t="s">
        <v>7971</v>
      </c>
      <c r="I6337" t="s">
        <v>7642</v>
      </c>
      <c r="J6337" t="s">
        <v>14219</v>
      </c>
      <c r="K6337" t="s">
        <v>17561</v>
      </c>
      <c r="L6337">
        <f>HYPERLINK("https://www2.assemblee-nationale.fr/sycomore/fiche/(num_dept)/7646", "7646")</f>
        <v>0</v>
      </c>
      <c r="N6337">
        <f>HYPERLINK("https://www.wikidata.org/wiki/Q3301023", "Q3301023")</f>
        <v>0</v>
      </c>
      <c r="O6337" t="s">
        <v>19978</v>
      </c>
      <c r="P6337" t="s">
        <v>20479</v>
      </c>
      <c r="Q6337" t="s">
        <v>20787</v>
      </c>
      <c r="R6337" t="s">
        <v>418</v>
      </c>
      <c r="S6337">
        <v>1745</v>
      </c>
    </row>
    <row r="6338" spans="1:19">
      <c r="A6338" t="s">
        <v>28</v>
      </c>
      <c r="B6338" t="s">
        <v>148</v>
      </c>
      <c r="C6338" t="s">
        <v>160</v>
      </c>
      <c r="D6338" t="s">
        <v>289</v>
      </c>
      <c r="E6338" t="s">
        <v>418</v>
      </c>
      <c r="F6338">
        <f>HYPERLINK("https://www.wikidata.org/wiki/Q33755445", "Q33755445")</f>
        <v>0</v>
      </c>
      <c r="G6338" t="s">
        <v>3739</v>
      </c>
      <c r="H6338" t="s">
        <v>6800</v>
      </c>
      <c r="I6338" t="s">
        <v>6175</v>
      </c>
      <c r="J6338" t="s">
        <v>14314</v>
      </c>
      <c r="K6338" t="s">
        <v>18665</v>
      </c>
      <c r="L6338">
        <f>HYPERLINK("https://www2.assemblee-nationale.fr/sycomore/fiche/(num_dept)/7650", "7650")</f>
        <v>0</v>
      </c>
      <c r="N6338">
        <f>HYPERLINK("https://www.wikidata.org/wiki/Q3103056", "Q3103056")</f>
        <v>0</v>
      </c>
      <c r="O6338" t="s">
        <v>20009</v>
      </c>
      <c r="Q6338" t="s">
        <v>20787</v>
      </c>
      <c r="R6338" t="s">
        <v>418</v>
      </c>
      <c r="S6338">
        <v>1745</v>
      </c>
    </row>
    <row r="6339" spans="1:19">
      <c r="A6339" t="s">
        <v>28</v>
      </c>
      <c r="B6339" t="s">
        <v>148</v>
      </c>
      <c r="C6339" t="s">
        <v>160</v>
      </c>
      <c r="D6339" t="s">
        <v>289</v>
      </c>
      <c r="E6339" t="s">
        <v>418</v>
      </c>
      <c r="F6339">
        <f>HYPERLINK("https://www.wikidata.org/wiki/Q33755445", "Q33755445")</f>
        <v>0</v>
      </c>
      <c r="G6339" t="s">
        <v>3740</v>
      </c>
      <c r="H6339" t="s">
        <v>5603</v>
      </c>
      <c r="I6339" t="s">
        <v>6495</v>
      </c>
      <c r="J6339" t="s">
        <v>14315</v>
      </c>
      <c r="K6339" t="s">
        <v>18666</v>
      </c>
      <c r="L6339">
        <f>HYPERLINK("https://www2.assemblee-nationale.fr/sycomore/fiche/(num_dept)/7653", "7653")</f>
        <v>0</v>
      </c>
      <c r="N6339">
        <f>HYPERLINK("https://www.wikidata.org/wiki/Q16025968", "Q16025968")</f>
        <v>0</v>
      </c>
      <c r="O6339" t="s">
        <v>20036</v>
      </c>
      <c r="Q6339" t="s">
        <v>20787</v>
      </c>
      <c r="R6339" t="s">
        <v>18666</v>
      </c>
      <c r="S6339">
        <v>308</v>
      </c>
    </row>
    <row r="6340" spans="1:19">
      <c r="A6340" t="s">
        <v>28</v>
      </c>
      <c r="B6340" t="s">
        <v>148</v>
      </c>
      <c r="C6340" t="s">
        <v>160</v>
      </c>
      <c r="D6340" t="s">
        <v>289</v>
      </c>
      <c r="E6340" t="s">
        <v>418</v>
      </c>
      <c r="F6340">
        <f>HYPERLINK("https://www.wikidata.org/wiki/Q33755445", "Q33755445")</f>
        <v>0</v>
      </c>
      <c r="G6340" t="s">
        <v>3741</v>
      </c>
      <c r="H6340" t="s">
        <v>8046</v>
      </c>
      <c r="I6340" t="s">
        <v>9465</v>
      </c>
      <c r="J6340" t="s">
        <v>14316</v>
      </c>
      <c r="K6340" t="s">
        <v>18667</v>
      </c>
      <c r="L6340">
        <f>HYPERLINK("https://www2.assemblee-nationale.fr/sycomore/fiche/(num_dept)/7699", "7699")</f>
        <v>0</v>
      </c>
      <c r="N6340">
        <f>HYPERLINK("https://www.wikidata.org/wiki/Q8338896", "Q8338896")</f>
        <v>0</v>
      </c>
      <c r="O6340" t="s">
        <v>20008</v>
      </c>
      <c r="P6340" t="s">
        <v>20471</v>
      </c>
      <c r="Q6340" t="s">
        <v>20787</v>
      </c>
      <c r="R6340" t="s">
        <v>418</v>
      </c>
      <c r="S6340">
        <v>1745</v>
      </c>
    </row>
    <row r="6341" spans="1:19">
      <c r="A6341" t="s">
        <v>28</v>
      </c>
      <c r="B6341" t="s">
        <v>148</v>
      </c>
      <c r="C6341" t="s">
        <v>160</v>
      </c>
      <c r="D6341" t="s">
        <v>289</v>
      </c>
      <c r="E6341" t="s">
        <v>418</v>
      </c>
      <c r="F6341">
        <f>HYPERLINK("https://www.wikidata.org/wiki/Q33755445", "Q33755445")</f>
        <v>0</v>
      </c>
      <c r="G6341" t="s">
        <v>2710</v>
      </c>
      <c r="H6341" t="s">
        <v>6801</v>
      </c>
      <c r="I6341" t="s">
        <v>6158</v>
      </c>
      <c r="J6341" t="s">
        <v>13351</v>
      </c>
      <c r="K6341" t="s">
        <v>17751</v>
      </c>
      <c r="L6341">
        <f>HYPERLINK("https://www2.assemblee-nationale.fr/sycomore/fiche/(num_dept)/7718", "7718")</f>
        <v>0</v>
      </c>
      <c r="N6341">
        <f>HYPERLINK("https://www.wikidata.org/wiki/Q3092516", "Q3092516")</f>
        <v>0</v>
      </c>
      <c r="O6341" t="s">
        <v>19995</v>
      </c>
      <c r="P6341" t="s">
        <v>20459</v>
      </c>
      <c r="Q6341" t="s">
        <v>20787</v>
      </c>
      <c r="R6341" t="s">
        <v>418</v>
      </c>
      <c r="S6341">
        <v>1745</v>
      </c>
    </row>
    <row r="6342" spans="1:19">
      <c r="A6342" t="s">
        <v>28</v>
      </c>
      <c r="B6342" t="s">
        <v>148</v>
      </c>
      <c r="C6342" t="s">
        <v>160</v>
      </c>
      <c r="D6342" t="s">
        <v>289</v>
      </c>
      <c r="E6342" t="s">
        <v>418</v>
      </c>
      <c r="F6342">
        <f>HYPERLINK("https://www.wikidata.org/wiki/Q33755445", "Q33755445")</f>
        <v>0</v>
      </c>
      <c r="G6342" t="s">
        <v>3742</v>
      </c>
      <c r="H6342" t="s">
        <v>8047</v>
      </c>
      <c r="I6342" t="s">
        <v>9457</v>
      </c>
      <c r="J6342" t="s">
        <v>14317</v>
      </c>
      <c r="K6342" t="s">
        <v>18668</v>
      </c>
      <c r="L6342">
        <f>HYPERLINK("https://www2.assemblee-nationale.fr/sycomore/fiche/(num_dept)/7722", "7722")</f>
        <v>0</v>
      </c>
      <c r="N6342">
        <f>HYPERLINK("https://www.wikidata.org/wiki/Q3131472", "Q3131472")</f>
        <v>0</v>
      </c>
      <c r="O6342" t="s">
        <v>20009</v>
      </c>
      <c r="Q6342" t="s">
        <v>20787</v>
      </c>
      <c r="R6342" t="s">
        <v>18668</v>
      </c>
      <c r="S6342">
        <v>351</v>
      </c>
    </row>
    <row r="6343" spans="1:19">
      <c r="A6343" t="s">
        <v>28</v>
      </c>
      <c r="B6343" t="s">
        <v>148</v>
      </c>
      <c r="C6343" t="s">
        <v>160</v>
      </c>
      <c r="D6343" t="s">
        <v>289</v>
      </c>
      <c r="E6343" t="s">
        <v>418</v>
      </c>
      <c r="F6343">
        <f>HYPERLINK("https://www.wikidata.org/wiki/Q33755445", "Q33755445")</f>
        <v>0</v>
      </c>
      <c r="G6343" t="s">
        <v>854</v>
      </c>
      <c r="H6343" t="s">
        <v>5610</v>
      </c>
      <c r="I6343" t="s">
        <v>9556</v>
      </c>
      <c r="J6343" t="s">
        <v>11600</v>
      </c>
      <c r="K6343" t="s">
        <v>16002</v>
      </c>
      <c r="L6343">
        <f>HYPERLINK("https://www2.assemblee-nationale.fr/sycomore/fiche/(num_dept)/7723", "7723")</f>
        <v>0</v>
      </c>
      <c r="N6343">
        <f>HYPERLINK("https://www.wikidata.org/wiki/Q8327019", "Q8327019")</f>
        <v>0</v>
      </c>
      <c r="O6343" t="s">
        <v>19985</v>
      </c>
      <c r="Q6343" t="s">
        <v>20787</v>
      </c>
      <c r="R6343" t="s">
        <v>418</v>
      </c>
      <c r="S6343">
        <v>1745</v>
      </c>
    </row>
    <row r="6344" spans="1:19">
      <c r="A6344" t="s">
        <v>28</v>
      </c>
      <c r="B6344" t="s">
        <v>148</v>
      </c>
      <c r="C6344" t="s">
        <v>160</v>
      </c>
      <c r="D6344" t="s">
        <v>289</v>
      </c>
      <c r="E6344" t="s">
        <v>418</v>
      </c>
      <c r="F6344">
        <f>HYPERLINK("https://www.wikidata.org/wiki/Q33755445", "Q33755445")</f>
        <v>0</v>
      </c>
      <c r="G6344" t="s">
        <v>3516</v>
      </c>
      <c r="H6344" t="s">
        <v>7882</v>
      </c>
      <c r="I6344" t="s">
        <v>6495</v>
      </c>
      <c r="J6344" t="s">
        <v>14112</v>
      </c>
      <c r="K6344" t="s">
        <v>18478</v>
      </c>
      <c r="L6344">
        <f>HYPERLINK("https://www2.assemblee-nationale.fr/sycomore/fiche/(num_dept)/7727", "7727")</f>
        <v>0</v>
      </c>
      <c r="N6344">
        <f>HYPERLINK("https://www.wikidata.org/wiki/Q16025979", "Q16025979")</f>
        <v>0</v>
      </c>
      <c r="O6344" t="s">
        <v>19978</v>
      </c>
      <c r="Q6344" t="s">
        <v>20787</v>
      </c>
      <c r="R6344" t="s">
        <v>18478</v>
      </c>
      <c r="S6344">
        <v>971</v>
      </c>
    </row>
    <row r="6345" spans="1:19">
      <c r="A6345" t="s">
        <v>28</v>
      </c>
      <c r="B6345" t="s">
        <v>148</v>
      </c>
      <c r="C6345" t="s">
        <v>160</v>
      </c>
      <c r="D6345" t="s">
        <v>289</v>
      </c>
      <c r="E6345" t="s">
        <v>418</v>
      </c>
      <c r="F6345">
        <f>HYPERLINK("https://www.wikidata.org/wiki/Q33755445", "Q33755445")</f>
        <v>0</v>
      </c>
      <c r="G6345" t="s">
        <v>3517</v>
      </c>
      <c r="H6345" t="s">
        <v>7883</v>
      </c>
      <c r="I6345" t="s">
        <v>10859</v>
      </c>
      <c r="J6345" t="s">
        <v>14113</v>
      </c>
      <c r="K6345" t="s">
        <v>18479</v>
      </c>
      <c r="L6345">
        <f>HYPERLINK("https://www2.assemblee-nationale.fr/sycomore/fiche/(num_dept)/7750", "7750")</f>
        <v>0</v>
      </c>
      <c r="N6345">
        <f>HYPERLINK("https://www.wikidata.org/wiki/Q15969591", "Q15969591")</f>
        <v>0</v>
      </c>
      <c r="O6345" t="s">
        <v>20037</v>
      </c>
      <c r="P6345" t="s">
        <v>20493</v>
      </c>
      <c r="Q6345" t="s">
        <v>20787</v>
      </c>
      <c r="R6345" t="s">
        <v>18479</v>
      </c>
      <c r="S6345">
        <v>1589</v>
      </c>
    </row>
    <row r="6346" spans="1:19">
      <c r="A6346" t="s">
        <v>28</v>
      </c>
      <c r="B6346" t="s">
        <v>148</v>
      </c>
      <c r="C6346" t="s">
        <v>160</v>
      </c>
      <c r="D6346" t="s">
        <v>289</v>
      </c>
      <c r="E6346" t="s">
        <v>418</v>
      </c>
      <c r="F6346">
        <f>HYPERLINK("https://www.wikidata.org/wiki/Q33755445", "Q33755445")</f>
        <v>0</v>
      </c>
      <c r="G6346" t="s">
        <v>3743</v>
      </c>
      <c r="H6346" t="s">
        <v>8048</v>
      </c>
      <c r="I6346" t="s">
        <v>10955</v>
      </c>
      <c r="J6346" t="s">
        <v>14318</v>
      </c>
      <c r="K6346" t="s">
        <v>18669</v>
      </c>
      <c r="L6346">
        <f>HYPERLINK("https://www2.assemblee-nationale.fr/sycomore/fiche/(num_dept)/7784", "7784")</f>
        <v>0</v>
      </c>
      <c r="N6346">
        <f>HYPERLINK("https://www.wikidata.org/wiki/Q16025987", "Q16025987")</f>
        <v>0</v>
      </c>
      <c r="O6346" t="s">
        <v>20013</v>
      </c>
      <c r="Q6346" t="s">
        <v>20787</v>
      </c>
      <c r="R6346" t="s">
        <v>418</v>
      </c>
      <c r="S6346">
        <v>1745</v>
      </c>
    </row>
    <row r="6347" spans="1:19">
      <c r="A6347" t="s">
        <v>28</v>
      </c>
      <c r="B6347" t="s">
        <v>148</v>
      </c>
      <c r="C6347" t="s">
        <v>160</v>
      </c>
      <c r="D6347" t="s">
        <v>289</v>
      </c>
      <c r="E6347" t="s">
        <v>418</v>
      </c>
      <c r="F6347">
        <f>HYPERLINK("https://www.wikidata.org/wiki/Q33755445", "Q33755445")</f>
        <v>0</v>
      </c>
      <c r="G6347" t="s">
        <v>2712</v>
      </c>
      <c r="H6347" t="s">
        <v>5612</v>
      </c>
      <c r="I6347" t="s">
        <v>9453</v>
      </c>
      <c r="J6347" t="s">
        <v>13353</v>
      </c>
      <c r="K6347" t="s">
        <v>17753</v>
      </c>
      <c r="L6347">
        <f>HYPERLINK("https://www2.assemblee-nationale.fr/sycomore/fiche/(num_dept)/7796", "7796")</f>
        <v>0</v>
      </c>
      <c r="N6347">
        <f>HYPERLINK("https://www.wikidata.org/wiki/Q16025990", "Q16025990")</f>
        <v>0</v>
      </c>
      <c r="O6347" t="s">
        <v>20002</v>
      </c>
      <c r="P6347" t="s">
        <v>20461</v>
      </c>
      <c r="Q6347" t="s">
        <v>20787</v>
      </c>
      <c r="R6347" t="s">
        <v>418</v>
      </c>
      <c r="S6347">
        <v>1745</v>
      </c>
    </row>
    <row r="6348" spans="1:19">
      <c r="A6348" t="s">
        <v>28</v>
      </c>
      <c r="B6348" t="s">
        <v>148</v>
      </c>
      <c r="C6348" t="s">
        <v>160</v>
      </c>
      <c r="D6348" t="s">
        <v>289</v>
      </c>
      <c r="E6348" t="s">
        <v>418</v>
      </c>
      <c r="F6348">
        <f>HYPERLINK("https://www.wikidata.org/wiki/Q33755445", "Q33755445")</f>
        <v>0</v>
      </c>
      <c r="G6348" t="s">
        <v>3669</v>
      </c>
      <c r="H6348" t="s">
        <v>5612</v>
      </c>
      <c r="I6348" t="s">
        <v>9442</v>
      </c>
      <c r="J6348" t="s">
        <v>14248</v>
      </c>
      <c r="K6348" t="s">
        <v>18607</v>
      </c>
      <c r="L6348">
        <f>HYPERLINK("https://www2.assemblee-nationale.fr/sycomore/fiche/(num_dept)/7798", "7798")</f>
        <v>0</v>
      </c>
      <c r="N6348">
        <f>HYPERLINK("https://www.wikidata.org/wiki/Q3057054", "Q3057054")</f>
        <v>0</v>
      </c>
      <c r="O6348" t="s">
        <v>20012</v>
      </c>
      <c r="Q6348" t="s">
        <v>20787</v>
      </c>
      <c r="R6348" t="s">
        <v>18607</v>
      </c>
      <c r="S6348">
        <v>840</v>
      </c>
    </row>
    <row r="6349" spans="1:19">
      <c r="A6349" t="s">
        <v>28</v>
      </c>
      <c r="B6349" t="s">
        <v>148</v>
      </c>
      <c r="C6349" t="s">
        <v>160</v>
      </c>
      <c r="D6349" t="s">
        <v>289</v>
      </c>
      <c r="E6349" t="s">
        <v>418</v>
      </c>
      <c r="F6349">
        <f>HYPERLINK("https://www.wikidata.org/wiki/Q33755445", "Q33755445")</f>
        <v>0</v>
      </c>
      <c r="G6349" t="s">
        <v>856</v>
      </c>
      <c r="H6349" t="s">
        <v>5612</v>
      </c>
      <c r="I6349" t="s">
        <v>9558</v>
      </c>
      <c r="J6349" t="s">
        <v>11602</v>
      </c>
      <c r="K6349" t="s">
        <v>16004</v>
      </c>
      <c r="L6349">
        <f>HYPERLINK("https://www2.assemblee-nationale.fr/sycomore/fiche/(num_dept)/7801", "7801")</f>
        <v>0</v>
      </c>
      <c r="N6349">
        <f>HYPERLINK("https://www.wikidata.org/wiki/Q3317903", "Q3317903")</f>
        <v>0</v>
      </c>
      <c r="O6349" t="s">
        <v>19992</v>
      </c>
      <c r="Q6349" t="s">
        <v>20787</v>
      </c>
      <c r="R6349" t="s">
        <v>418</v>
      </c>
      <c r="S6349">
        <v>1745</v>
      </c>
    </row>
    <row r="6350" spans="1:19">
      <c r="A6350" t="s">
        <v>28</v>
      </c>
      <c r="B6350" t="s">
        <v>148</v>
      </c>
      <c r="C6350" t="s">
        <v>160</v>
      </c>
      <c r="D6350" t="s">
        <v>289</v>
      </c>
      <c r="E6350" t="s">
        <v>418</v>
      </c>
      <c r="F6350">
        <f>HYPERLINK("https://www.wikidata.org/wiki/Q33755445", "Q33755445")</f>
        <v>0</v>
      </c>
      <c r="G6350" t="s">
        <v>3294</v>
      </c>
      <c r="H6350" t="s">
        <v>7705</v>
      </c>
      <c r="I6350" t="s">
        <v>10485</v>
      </c>
      <c r="J6350" t="s">
        <v>13908</v>
      </c>
      <c r="K6350" t="s">
        <v>18279</v>
      </c>
      <c r="L6350">
        <f>HYPERLINK("https://www2.assemblee-nationale.fr/sycomore/fiche/(num_dept)/7807", "7807")</f>
        <v>0</v>
      </c>
      <c r="N6350">
        <f>HYPERLINK("https://www.wikidata.org/wiki/Q2941050", "Q2941050")</f>
        <v>0</v>
      </c>
      <c r="O6350" t="s">
        <v>19996</v>
      </c>
      <c r="P6350" t="s">
        <v>20479</v>
      </c>
      <c r="Q6350" t="s">
        <v>20787</v>
      </c>
      <c r="R6350" t="s">
        <v>418</v>
      </c>
      <c r="S6350">
        <v>1745</v>
      </c>
    </row>
    <row r="6351" spans="1:19">
      <c r="A6351" t="s">
        <v>28</v>
      </c>
      <c r="B6351" t="s">
        <v>148</v>
      </c>
      <c r="C6351" t="s">
        <v>160</v>
      </c>
      <c r="D6351" t="s">
        <v>289</v>
      </c>
      <c r="E6351" t="s">
        <v>418</v>
      </c>
      <c r="F6351">
        <f>HYPERLINK("https://www.wikidata.org/wiki/Q33755445", "Q33755445")</f>
        <v>0</v>
      </c>
      <c r="G6351" t="s">
        <v>3744</v>
      </c>
      <c r="H6351" t="s">
        <v>8049</v>
      </c>
      <c r="I6351" t="s">
        <v>10956</v>
      </c>
      <c r="J6351" t="s">
        <v>14319</v>
      </c>
      <c r="K6351" t="s">
        <v>18670</v>
      </c>
      <c r="L6351">
        <f>HYPERLINK("https://www2.assemblee-nationale.fr/sycomore/fiche/(num_dept)/7819", "7819")</f>
        <v>0</v>
      </c>
      <c r="N6351">
        <f>HYPERLINK("https://www.wikidata.org/wiki/Q3554328", "Q3554328")</f>
        <v>0</v>
      </c>
      <c r="O6351" t="s">
        <v>19978</v>
      </c>
      <c r="Q6351" t="s">
        <v>20787</v>
      </c>
      <c r="R6351" t="s">
        <v>418</v>
      </c>
      <c r="S6351">
        <v>1745</v>
      </c>
    </row>
    <row r="6352" spans="1:19">
      <c r="A6352" t="s">
        <v>28</v>
      </c>
      <c r="B6352" t="s">
        <v>148</v>
      </c>
      <c r="C6352" t="s">
        <v>160</v>
      </c>
      <c r="D6352" t="s">
        <v>289</v>
      </c>
      <c r="E6352" t="s">
        <v>418</v>
      </c>
      <c r="F6352">
        <f>HYPERLINK("https://www.wikidata.org/wiki/Q33755445", "Q33755445")</f>
        <v>0</v>
      </c>
      <c r="G6352" t="s">
        <v>3745</v>
      </c>
      <c r="H6352" t="s">
        <v>8050</v>
      </c>
      <c r="I6352" t="s">
        <v>10957</v>
      </c>
      <c r="J6352" t="s">
        <v>11654</v>
      </c>
      <c r="K6352" t="s">
        <v>18671</v>
      </c>
      <c r="L6352">
        <f>HYPERLINK("https://www2.assemblee-nationale.fr/sycomore/fiche/(num_dept)/7826", "7826")</f>
        <v>0</v>
      </c>
      <c r="N6352">
        <f>HYPERLINK("https://www.wikidata.org/wiki/Q3069256", "Q3069256")</f>
        <v>0</v>
      </c>
      <c r="O6352" t="s">
        <v>20012</v>
      </c>
      <c r="Q6352" t="s">
        <v>20787</v>
      </c>
      <c r="R6352" t="s">
        <v>418</v>
      </c>
      <c r="S6352">
        <v>1745</v>
      </c>
    </row>
    <row r="6353" spans="1:19">
      <c r="A6353" t="s">
        <v>28</v>
      </c>
      <c r="B6353" t="s">
        <v>148</v>
      </c>
      <c r="C6353" t="s">
        <v>160</v>
      </c>
      <c r="D6353" t="s">
        <v>289</v>
      </c>
      <c r="E6353" t="s">
        <v>418</v>
      </c>
      <c r="F6353">
        <f>HYPERLINK("https://www.wikidata.org/wiki/Q33755445", "Q33755445")</f>
        <v>0</v>
      </c>
      <c r="G6353" t="s">
        <v>2716</v>
      </c>
      <c r="H6353" t="s">
        <v>7242</v>
      </c>
      <c r="I6353" t="s">
        <v>10381</v>
      </c>
      <c r="J6353" t="s">
        <v>13357</v>
      </c>
      <c r="K6353" t="s">
        <v>17757</v>
      </c>
      <c r="L6353">
        <f>HYPERLINK("https://www2.assemblee-nationale.fr/sycomore/fiche/(num_dept)/7831", "7831")</f>
        <v>0</v>
      </c>
      <c r="N6353">
        <f>HYPERLINK("https://www.wikidata.org/wiki/Q8316737", "Q8316737")</f>
        <v>0</v>
      </c>
      <c r="O6353" t="s">
        <v>19997</v>
      </c>
      <c r="P6353" t="s">
        <v>20401</v>
      </c>
      <c r="Q6353" t="s">
        <v>20787</v>
      </c>
      <c r="R6353" t="s">
        <v>418</v>
      </c>
      <c r="S6353">
        <v>1745</v>
      </c>
    </row>
    <row r="6354" spans="1:19">
      <c r="A6354" t="s">
        <v>28</v>
      </c>
      <c r="B6354" t="s">
        <v>148</v>
      </c>
      <c r="C6354" t="s">
        <v>160</v>
      </c>
      <c r="D6354" t="s">
        <v>289</v>
      </c>
      <c r="E6354" t="s">
        <v>418</v>
      </c>
      <c r="F6354">
        <f>HYPERLINK("https://www.wikidata.org/wiki/Q33755445", "Q33755445")</f>
        <v>0</v>
      </c>
      <c r="G6354" t="s">
        <v>3295</v>
      </c>
      <c r="H6354" t="s">
        <v>7706</v>
      </c>
      <c r="I6354" t="s">
        <v>10748</v>
      </c>
      <c r="J6354" t="s">
        <v>13909</v>
      </c>
      <c r="K6354" t="s">
        <v>18280</v>
      </c>
      <c r="L6354">
        <f>HYPERLINK("https://www2.assemblee-nationale.fr/sycomore/fiche/(num_dept)/7833", "7833")</f>
        <v>0</v>
      </c>
      <c r="N6354">
        <f>HYPERLINK("https://www.wikidata.org/wiki/Q3092648", "Q3092648")</f>
        <v>0</v>
      </c>
      <c r="O6354" t="s">
        <v>19957</v>
      </c>
      <c r="Q6354" t="s">
        <v>20787</v>
      </c>
      <c r="R6354" t="s">
        <v>418</v>
      </c>
      <c r="S6354">
        <v>1745</v>
      </c>
    </row>
    <row r="6355" spans="1:19">
      <c r="A6355" t="s">
        <v>28</v>
      </c>
      <c r="B6355" t="s">
        <v>148</v>
      </c>
      <c r="C6355" t="s">
        <v>160</v>
      </c>
      <c r="D6355" t="s">
        <v>289</v>
      </c>
      <c r="E6355" t="s">
        <v>418</v>
      </c>
      <c r="F6355">
        <f>HYPERLINK("https://www.wikidata.org/wiki/Q33755445", "Q33755445")</f>
        <v>0</v>
      </c>
      <c r="G6355" t="s">
        <v>3010</v>
      </c>
      <c r="H6355" t="s">
        <v>7470</v>
      </c>
      <c r="I6355" t="s">
        <v>9483</v>
      </c>
      <c r="J6355" t="s">
        <v>13638</v>
      </c>
      <c r="K6355" t="s">
        <v>18023</v>
      </c>
      <c r="L6355">
        <f>HYPERLINK("https://www2.assemblee-nationale.fr/sycomore/fiche/(num_dept)/7839", "7839")</f>
        <v>0</v>
      </c>
      <c r="M6355">
        <f>HYPERLINK("https://www.senat.fr/senateur-3eme-republique/leydet_victor0316r3.html", "leydet_victor0316r3")</f>
        <v>0</v>
      </c>
      <c r="N6355">
        <f>HYPERLINK("https://www.wikidata.org/wiki/Q2522455", "Q2522455")</f>
        <v>0</v>
      </c>
      <c r="O6355" t="s">
        <v>19990</v>
      </c>
      <c r="P6355" t="s">
        <v>20471</v>
      </c>
      <c r="Q6355" t="s">
        <v>20787</v>
      </c>
      <c r="R6355" t="s">
        <v>21563</v>
      </c>
      <c r="S6355">
        <v>1248</v>
      </c>
    </row>
    <row r="6356" spans="1:19">
      <c r="A6356" t="s">
        <v>28</v>
      </c>
      <c r="B6356" t="s">
        <v>148</v>
      </c>
      <c r="C6356" t="s">
        <v>160</v>
      </c>
      <c r="D6356" t="s">
        <v>289</v>
      </c>
      <c r="E6356" t="s">
        <v>418</v>
      </c>
      <c r="F6356">
        <f>HYPERLINK("https://www.wikidata.org/wiki/Q33755445", "Q33755445")</f>
        <v>0</v>
      </c>
      <c r="G6356" t="s">
        <v>857</v>
      </c>
      <c r="H6356" t="s">
        <v>5613</v>
      </c>
      <c r="I6356" t="s">
        <v>6175</v>
      </c>
      <c r="J6356" t="s">
        <v>11603</v>
      </c>
      <c r="K6356" t="s">
        <v>16005</v>
      </c>
      <c r="L6356">
        <f>HYPERLINK("https://www2.assemblee-nationale.fr/sycomore/fiche/(num_dept)/7840", "7840")</f>
        <v>0</v>
      </c>
      <c r="N6356">
        <f>HYPERLINK("https://www.wikidata.org/wiki/Q728806", "Q728806")</f>
        <v>0</v>
      </c>
      <c r="O6356" t="s">
        <v>20043</v>
      </c>
      <c r="Q6356" t="s">
        <v>20787</v>
      </c>
      <c r="R6356" t="s">
        <v>418</v>
      </c>
      <c r="S6356">
        <v>1745</v>
      </c>
    </row>
    <row r="6357" spans="1:19">
      <c r="A6357" t="s">
        <v>28</v>
      </c>
      <c r="B6357" t="s">
        <v>148</v>
      </c>
      <c r="C6357" t="s">
        <v>160</v>
      </c>
      <c r="D6357" t="s">
        <v>289</v>
      </c>
      <c r="E6357" t="s">
        <v>418</v>
      </c>
      <c r="F6357">
        <f>HYPERLINK("https://www.wikidata.org/wiki/Q33755445", "Q33755445")</f>
        <v>0</v>
      </c>
      <c r="G6357" t="s">
        <v>3621</v>
      </c>
      <c r="H6357" t="s">
        <v>7961</v>
      </c>
      <c r="I6357" t="s">
        <v>9692</v>
      </c>
      <c r="J6357" t="s">
        <v>14203</v>
      </c>
      <c r="K6357" t="s">
        <v>18570</v>
      </c>
      <c r="L6357">
        <f>HYPERLINK("https://www2.assemblee-nationale.fr/sycomore/fiche/(num_dept)/7842", "7842")</f>
        <v>0</v>
      </c>
      <c r="M6357">
        <f>HYPERLINK("https://www.senat.fr/senateur-3eme-republique/leygue_raymond0108r3.html", "leygue_raymond0108r3")</f>
        <v>0</v>
      </c>
      <c r="N6357">
        <f>HYPERLINK("https://www.wikidata.org/wiki/Q3421004", "Q3421004")</f>
        <v>0</v>
      </c>
      <c r="O6357" t="s">
        <v>20016</v>
      </c>
      <c r="P6357" t="s">
        <v>20477</v>
      </c>
      <c r="Q6357" t="s">
        <v>20787</v>
      </c>
      <c r="R6357" t="s">
        <v>418</v>
      </c>
      <c r="S6357">
        <v>1745</v>
      </c>
    </row>
    <row r="6358" spans="1:19">
      <c r="A6358" t="s">
        <v>28</v>
      </c>
      <c r="B6358" t="s">
        <v>148</v>
      </c>
      <c r="C6358" t="s">
        <v>160</v>
      </c>
      <c r="D6358" t="s">
        <v>289</v>
      </c>
      <c r="E6358" t="s">
        <v>418</v>
      </c>
      <c r="F6358">
        <f>HYPERLINK("https://www.wikidata.org/wiki/Q33755445", "Q33755445")</f>
        <v>0</v>
      </c>
      <c r="G6358" t="s">
        <v>3396</v>
      </c>
      <c r="H6358" t="s">
        <v>7785</v>
      </c>
      <c r="I6358" t="s">
        <v>10806</v>
      </c>
      <c r="J6358" t="s">
        <v>14005</v>
      </c>
      <c r="K6358" t="s">
        <v>18373</v>
      </c>
      <c r="L6358">
        <f>HYPERLINK("https://www2.assemblee-nationale.fr/sycomore/fiche/(num_dept)/7857", "7857")</f>
        <v>0</v>
      </c>
      <c r="M6358">
        <f>HYPERLINK("https://www.senat.fr/senateur-3eme-republique/linard_desire0173r3.html", "linard_desire0173r3")</f>
        <v>0</v>
      </c>
      <c r="N6358">
        <f>HYPERLINK("https://www.wikidata.org/wiki/Q3045178", "Q3045178")</f>
        <v>0</v>
      </c>
      <c r="O6358" t="s">
        <v>19959</v>
      </c>
      <c r="Q6358" t="s">
        <v>20787</v>
      </c>
      <c r="R6358" t="s">
        <v>21564</v>
      </c>
      <c r="S6358">
        <v>1644</v>
      </c>
    </row>
    <row r="6359" spans="1:19">
      <c r="A6359" t="s">
        <v>28</v>
      </c>
      <c r="B6359" t="s">
        <v>148</v>
      </c>
      <c r="C6359" t="s">
        <v>160</v>
      </c>
      <c r="D6359" t="s">
        <v>289</v>
      </c>
      <c r="E6359" t="s">
        <v>418</v>
      </c>
      <c r="F6359">
        <f>HYPERLINK("https://www.wikidata.org/wiki/Q33755445", "Q33755445")</f>
        <v>0</v>
      </c>
      <c r="G6359" t="s">
        <v>2717</v>
      </c>
      <c r="H6359" t="s">
        <v>7243</v>
      </c>
      <c r="I6359" t="s">
        <v>9728</v>
      </c>
      <c r="J6359" t="s">
        <v>13358</v>
      </c>
      <c r="K6359" t="s">
        <v>17758</v>
      </c>
      <c r="L6359">
        <f>HYPERLINK("https://www2.assemblee-nationale.fr/sycomore/fiche/(num_dept)/7875", "7875")</f>
        <v>0</v>
      </c>
      <c r="N6359">
        <f>HYPERLINK("https://www.wikidata.org/wiki/Q733836", "Q733836")</f>
        <v>0</v>
      </c>
      <c r="O6359" t="s">
        <v>19969</v>
      </c>
      <c r="P6359" t="s">
        <v>20401</v>
      </c>
      <c r="Q6359" t="s">
        <v>20787</v>
      </c>
      <c r="R6359" t="s">
        <v>418</v>
      </c>
      <c r="S6359">
        <v>1745</v>
      </c>
    </row>
    <row r="6360" spans="1:19">
      <c r="A6360" t="s">
        <v>28</v>
      </c>
      <c r="B6360" t="s">
        <v>148</v>
      </c>
      <c r="C6360" t="s">
        <v>160</v>
      </c>
      <c r="D6360" t="s">
        <v>289</v>
      </c>
      <c r="E6360" t="s">
        <v>418</v>
      </c>
      <c r="F6360">
        <f>HYPERLINK("https://www.wikidata.org/wiki/Q33755445", "Q33755445")</f>
        <v>0</v>
      </c>
      <c r="G6360" t="s">
        <v>3083</v>
      </c>
      <c r="H6360" t="s">
        <v>7530</v>
      </c>
      <c r="I6360" t="s">
        <v>10619</v>
      </c>
      <c r="J6360" t="s">
        <v>13706</v>
      </c>
      <c r="K6360" t="s">
        <v>18089</v>
      </c>
      <c r="L6360">
        <f>HYPERLINK("https://www2.assemblee-nationale.fr/sycomore/fiche/(num_dept)/8238", "8238")</f>
        <v>0</v>
      </c>
      <c r="M6360">
        <f>HYPERLINK("https://www.senat.fr/senateur-3eme-republique/legludic_prosper1251r3.html", "legludic_prosper1251r3")</f>
        <v>0</v>
      </c>
      <c r="N6360">
        <f>HYPERLINK("https://www.wikidata.org/wiki/Q3407790", "Q3407790")</f>
        <v>0</v>
      </c>
      <c r="O6360" t="s">
        <v>19956</v>
      </c>
      <c r="P6360" t="s">
        <v>20401</v>
      </c>
      <c r="Q6360" t="s">
        <v>20787</v>
      </c>
      <c r="R6360" t="s">
        <v>21565</v>
      </c>
      <c r="S6360">
        <v>587</v>
      </c>
    </row>
    <row r="6361" spans="1:19">
      <c r="A6361" t="s">
        <v>28</v>
      </c>
      <c r="B6361" t="s">
        <v>148</v>
      </c>
      <c r="C6361" t="s">
        <v>160</v>
      </c>
      <c r="D6361" t="s">
        <v>289</v>
      </c>
      <c r="E6361" t="s">
        <v>418</v>
      </c>
      <c r="F6361">
        <f>HYPERLINK("https://www.wikidata.org/wiki/Q33755445", "Q33755445")</f>
        <v>0</v>
      </c>
      <c r="G6361" t="s">
        <v>3342</v>
      </c>
      <c r="H6361" t="s">
        <v>5387</v>
      </c>
      <c r="I6361" t="s">
        <v>9385</v>
      </c>
      <c r="J6361" t="s">
        <v>13955</v>
      </c>
      <c r="K6361" t="s">
        <v>18324</v>
      </c>
      <c r="L6361">
        <f>HYPERLINK("https://www2.assemblee-nationale.fr/sycomore/fiche/(num_dept)/10133", "10133")</f>
        <v>0</v>
      </c>
      <c r="M6361">
        <f>HYPERLINK("https://www.senat.fr/senateur-3eme-republique/dupuy_charles0513r3.html", "dupuy_charles0513r3")</f>
        <v>0</v>
      </c>
      <c r="N6361">
        <f>HYPERLINK("https://www.wikidata.org/wiki/Q356032", "Q356032")</f>
        <v>0</v>
      </c>
      <c r="O6361" t="s">
        <v>19993</v>
      </c>
      <c r="P6361" t="s">
        <v>20459</v>
      </c>
      <c r="Q6361" t="s">
        <v>20787</v>
      </c>
      <c r="R6361" t="s">
        <v>418</v>
      </c>
      <c r="S6361">
        <v>1745</v>
      </c>
    </row>
    <row r="6362" spans="1:19">
      <c r="A6362" t="s">
        <v>28</v>
      </c>
      <c r="B6362" t="s">
        <v>148</v>
      </c>
      <c r="C6362" t="s">
        <v>160</v>
      </c>
      <c r="D6362" t="s">
        <v>289</v>
      </c>
      <c r="E6362" t="s">
        <v>418</v>
      </c>
      <c r="F6362">
        <f>HYPERLINK("https://www.wikidata.org/wiki/Q33755445", "Q33755445")</f>
        <v>0</v>
      </c>
      <c r="G6362" t="s">
        <v>3519</v>
      </c>
      <c r="H6362" t="s">
        <v>5540</v>
      </c>
      <c r="I6362" t="s">
        <v>10860</v>
      </c>
      <c r="J6362" t="s">
        <v>14114</v>
      </c>
      <c r="K6362" t="s">
        <v>18481</v>
      </c>
      <c r="L6362">
        <f>HYPERLINK("https://www2.assemblee-nationale.fr/sycomore/fiche/(num_dept)/17834", "17834")</f>
        <v>0</v>
      </c>
      <c r="N6362">
        <f>HYPERLINK("https://www.wikidata.org/wiki/Q2034069", "Q2034069")</f>
        <v>0</v>
      </c>
      <c r="O6362" t="s">
        <v>19994</v>
      </c>
      <c r="Q6362" t="s">
        <v>20787</v>
      </c>
      <c r="R6362" t="s">
        <v>418</v>
      </c>
      <c r="S6362">
        <v>1745</v>
      </c>
    </row>
    <row r="6363" spans="1:19">
      <c r="A6363" t="s">
        <v>28</v>
      </c>
      <c r="B6363" t="s">
        <v>148</v>
      </c>
      <c r="C6363" t="s">
        <v>160</v>
      </c>
      <c r="D6363" t="s">
        <v>289</v>
      </c>
      <c r="E6363" t="s">
        <v>418</v>
      </c>
      <c r="F6363">
        <f>HYPERLINK("https://www.wikidata.org/wiki/Q33755445", "Q33755445")</f>
        <v>0</v>
      </c>
      <c r="G6363" t="s">
        <v>3069</v>
      </c>
      <c r="H6363" t="s">
        <v>7520</v>
      </c>
      <c r="I6363" t="s">
        <v>10609</v>
      </c>
      <c r="J6363" t="s">
        <v>13693</v>
      </c>
      <c r="K6363" t="s">
        <v>18076</v>
      </c>
      <c r="L6363">
        <f>HYPERLINK("https://www2.assemblee-nationale.fr/sycomore/fiche/(num_dept)/25", "25")</f>
        <v>0</v>
      </c>
      <c r="N6363">
        <f>HYPERLINK("https://www.wikidata.org/wiki/Q15302973", "Q15302973")</f>
        <v>0</v>
      </c>
      <c r="O6363" t="s">
        <v>19962</v>
      </c>
      <c r="Q6363" t="s">
        <v>20788</v>
      </c>
      <c r="R6363" t="s">
        <v>18076</v>
      </c>
      <c r="S6363">
        <v>154</v>
      </c>
    </row>
    <row r="6364" spans="1:19">
      <c r="A6364" t="s">
        <v>28</v>
      </c>
      <c r="B6364" t="s">
        <v>148</v>
      </c>
      <c r="C6364" t="s">
        <v>160</v>
      </c>
      <c r="D6364" t="s">
        <v>289</v>
      </c>
      <c r="E6364" t="s">
        <v>418</v>
      </c>
      <c r="F6364">
        <f>HYPERLINK("https://www.wikidata.org/wiki/Q33755445", "Q33755445")</f>
        <v>0</v>
      </c>
      <c r="G6364" t="s">
        <v>1146</v>
      </c>
      <c r="H6364" t="s">
        <v>5881</v>
      </c>
      <c r="I6364" t="s">
        <v>5592</v>
      </c>
      <c r="J6364" t="s">
        <v>11880</v>
      </c>
      <c r="K6364" t="s">
        <v>16282</v>
      </c>
      <c r="L6364">
        <f>HYPERLINK("https://www2.assemblee-nationale.fr/sycomore/fiche/(num_dept)/116", "116")</f>
        <v>0</v>
      </c>
      <c r="N6364">
        <f>HYPERLINK("https://www.wikidata.org/wiki/Q2380639", "Q2380639")</f>
        <v>0</v>
      </c>
      <c r="O6364" t="s">
        <v>19976</v>
      </c>
      <c r="Q6364" t="s">
        <v>20788</v>
      </c>
      <c r="R6364" t="s">
        <v>418</v>
      </c>
      <c r="S6364">
        <v>1731</v>
      </c>
    </row>
    <row r="6365" spans="1:19">
      <c r="A6365" t="s">
        <v>28</v>
      </c>
      <c r="B6365" t="s">
        <v>148</v>
      </c>
      <c r="C6365" t="s">
        <v>160</v>
      </c>
      <c r="D6365" t="s">
        <v>289</v>
      </c>
      <c r="E6365" t="s">
        <v>418</v>
      </c>
      <c r="F6365">
        <f>HYPERLINK("https://www.wikidata.org/wiki/Q33755445", "Q33755445")</f>
        <v>0</v>
      </c>
      <c r="G6365" t="s">
        <v>3522</v>
      </c>
      <c r="H6365" t="s">
        <v>7886</v>
      </c>
      <c r="I6365" t="s">
        <v>10862</v>
      </c>
      <c r="J6365" t="s">
        <v>14117</v>
      </c>
      <c r="K6365" t="s">
        <v>18484</v>
      </c>
      <c r="L6365">
        <f>HYPERLINK("https://www2.assemblee-nationale.fr/sycomore/fiche/(num_dept)/190", "190")</f>
        <v>0</v>
      </c>
      <c r="N6365">
        <f>HYPERLINK("https://www.wikidata.org/wiki/Q3170409", "Q3170409")</f>
        <v>0</v>
      </c>
      <c r="O6365" t="s">
        <v>19976</v>
      </c>
      <c r="Q6365" t="s">
        <v>20788</v>
      </c>
      <c r="R6365" t="s">
        <v>418</v>
      </c>
      <c r="S6365">
        <v>1731</v>
      </c>
    </row>
    <row r="6366" spans="1:19">
      <c r="A6366" t="s">
        <v>28</v>
      </c>
      <c r="B6366" t="s">
        <v>148</v>
      </c>
      <c r="C6366" t="s">
        <v>160</v>
      </c>
      <c r="D6366" t="s">
        <v>289</v>
      </c>
      <c r="E6366" t="s">
        <v>418</v>
      </c>
      <c r="F6366">
        <f>HYPERLINK("https://www.wikidata.org/wiki/Q33755445", "Q33755445")</f>
        <v>0</v>
      </c>
      <c r="G6366" t="s">
        <v>3746</v>
      </c>
      <c r="H6366" t="s">
        <v>8051</v>
      </c>
      <c r="I6366" t="s">
        <v>10958</v>
      </c>
      <c r="J6366" t="s">
        <v>14320</v>
      </c>
      <c r="K6366" t="s">
        <v>18672</v>
      </c>
      <c r="L6366">
        <f>HYPERLINK("https://www2.assemblee-nationale.fr/sycomore/fiche/(num_dept)/295", "295")</f>
        <v>0</v>
      </c>
      <c r="N6366">
        <f>HYPERLINK("https://www.wikidata.org/wiki/Q2833417", "Q2833417")</f>
        <v>0</v>
      </c>
      <c r="O6366" t="s">
        <v>19969</v>
      </c>
      <c r="P6366" t="s">
        <v>20485</v>
      </c>
      <c r="Q6366" t="s">
        <v>20788</v>
      </c>
      <c r="R6366" t="s">
        <v>18672</v>
      </c>
      <c r="S6366">
        <v>861</v>
      </c>
    </row>
    <row r="6367" spans="1:19">
      <c r="A6367" t="s">
        <v>28</v>
      </c>
      <c r="B6367" t="s">
        <v>148</v>
      </c>
      <c r="C6367" t="s">
        <v>160</v>
      </c>
      <c r="D6367" t="s">
        <v>289</v>
      </c>
      <c r="E6367" t="s">
        <v>418</v>
      </c>
      <c r="F6367">
        <f>HYPERLINK("https://www.wikidata.org/wiki/Q33755445", "Q33755445")</f>
        <v>0</v>
      </c>
      <c r="G6367" t="s">
        <v>1993</v>
      </c>
      <c r="H6367" t="s">
        <v>6629</v>
      </c>
      <c r="I6367" t="s">
        <v>10036</v>
      </c>
      <c r="J6367" t="s">
        <v>12672</v>
      </c>
      <c r="K6367" t="s">
        <v>17084</v>
      </c>
      <c r="L6367">
        <f>HYPERLINK("https://www2.assemblee-nationale.fr/sycomore/fiche/(num_dept)/461", "461")</f>
        <v>0</v>
      </c>
      <c r="N6367">
        <f>HYPERLINK("https://www.wikidata.org/wiki/Q15973541", "Q15973541")</f>
        <v>0</v>
      </c>
      <c r="O6367" t="s">
        <v>20003</v>
      </c>
      <c r="Q6367" t="s">
        <v>20788</v>
      </c>
      <c r="R6367" t="s">
        <v>418</v>
      </c>
      <c r="S6367">
        <v>1731</v>
      </c>
    </row>
    <row r="6368" spans="1:19">
      <c r="A6368" t="s">
        <v>28</v>
      </c>
      <c r="B6368" t="s">
        <v>148</v>
      </c>
      <c r="C6368" t="s">
        <v>160</v>
      </c>
      <c r="D6368" t="s">
        <v>289</v>
      </c>
      <c r="E6368" t="s">
        <v>418</v>
      </c>
      <c r="F6368">
        <f>HYPERLINK("https://www.wikidata.org/wiki/Q33755445", "Q33755445")</f>
        <v>0</v>
      </c>
      <c r="G6368" t="s">
        <v>3405</v>
      </c>
      <c r="H6368" t="s">
        <v>7793</v>
      </c>
      <c r="I6368" t="s">
        <v>10814</v>
      </c>
      <c r="J6368" t="s">
        <v>13459</v>
      </c>
      <c r="K6368" t="s">
        <v>18380</v>
      </c>
      <c r="L6368">
        <f>HYPERLINK("https://www2.assemblee-nationale.fr/sycomore/fiche/(num_dept)/502", "502")</f>
        <v>0</v>
      </c>
      <c r="N6368">
        <f>HYPERLINK("https://www.wikidata.org/wiki/Q3188340", "Q3188340")</f>
        <v>0</v>
      </c>
      <c r="O6368" t="s">
        <v>19969</v>
      </c>
      <c r="Q6368" t="s">
        <v>20788</v>
      </c>
      <c r="R6368" t="s">
        <v>418</v>
      </c>
      <c r="S6368">
        <v>1731</v>
      </c>
    </row>
    <row r="6369" spans="1:19">
      <c r="A6369" t="s">
        <v>28</v>
      </c>
      <c r="B6369" t="s">
        <v>148</v>
      </c>
      <c r="C6369" t="s">
        <v>160</v>
      </c>
      <c r="D6369" t="s">
        <v>289</v>
      </c>
      <c r="E6369" t="s">
        <v>418</v>
      </c>
      <c r="F6369">
        <f>HYPERLINK("https://www.wikidata.org/wiki/Q33755445", "Q33755445")</f>
        <v>0</v>
      </c>
      <c r="G6369" t="s">
        <v>3529</v>
      </c>
      <c r="H6369" t="s">
        <v>5286</v>
      </c>
      <c r="I6369" t="s">
        <v>9442</v>
      </c>
      <c r="J6369" t="s">
        <v>14123</v>
      </c>
      <c r="K6369" t="s">
        <v>17733</v>
      </c>
      <c r="L6369">
        <f>HYPERLINK("https://www2.assemblee-nationale.fr/sycomore/fiche/(num_dept)/648", "648")</f>
        <v>0</v>
      </c>
      <c r="N6369">
        <f>HYPERLINK("https://www.wikidata.org/wiki/Q3056868", "Q3056868")</f>
        <v>0</v>
      </c>
      <c r="O6369" t="s">
        <v>19965</v>
      </c>
      <c r="P6369" t="s">
        <v>20401</v>
      </c>
      <c r="Q6369" t="s">
        <v>20788</v>
      </c>
      <c r="R6369" t="s">
        <v>418</v>
      </c>
      <c r="S6369">
        <v>1731</v>
      </c>
    </row>
    <row r="6370" spans="1:19">
      <c r="A6370" t="s">
        <v>28</v>
      </c>
      <c r="B6370" t="s">
        <v>148</v>
      </c>
      <c r="C6370" t="s">
        <v>160</v>
      </c>
      <c r="D6370" t="s">
        <v>289</v>
      </c>
      <c r="E6370" t="s">
        <v>418</v>
      </c>
      <c r="F6370">
        <f>HYPERLINK("https://www.wikidata.org/wiki/Q33755445", "Q33755445")</f>
        <v>0</v>
      </c>
      <c r="G6370" t="s">
        <v>3531</v>
      </c>
      <c r="H6370" t="s">
        <v>7538</v>
      </c>
      <c r="I6370" t="s">
        <v>10867</v>
      </c>
      <c r="J6370" t="s">
        <v>14125</v>
      </c>
      <c r="K6370" t="s">
        <v>17759</v>
      </c>
      <c r="L6370">
        <f>HYPERLINK("https://www2.assemblee-nationale.fr/sycomore/fiche/(num_dept)/710", "710")</f>
        <v>0</v>
      </c>
      <c r="N6370">
        <f>HYPERLINK("https://www.wikidata.org/wiki/Q3188996", "Q3188996")</f>
        <v>0</v>
      </c>
      <c r="O6370" t="s">
        <v>20014</v>
      </c>
      <c r="P6370" t="s">
        <v>20460</v>
      </c>
      <c r="Q6370" t="s">
        <v>20788</v>
      </c>
      <c r="R6370" t="s">
        <v>418</v>
      </c>
      <c r="S6370">
        <v>1731</v>
      </c>
    </row>
    <row r="6371" spans="1:19">
      <c r="A6371" t="s">
        <v>28</v>
      </c>
      <c r="B6371" t="s">
        <v>148</v>
      </c>
      <c r="C6371" t="s">
        <v>160</v>
      </c>
      <c r="D6371" t="s">
        <v>289</v>
      </c>
      <c r="E6371" t="s">
        <v>418</v>
      </c>
      <c r="F6371">
        <f>HYPERLINK("https://www.wikidata.org/wiki/Q33755445", "Q33755445")</f>
        <v>0</v>
      </c>
      <c r="G6371" t="s">
        <v>524</v>
      </c>
      <c r="H6371" t="s">
        <v>5288</v>
      </c>
      <c r="I6371" t="s">
        <v>9392</v>
      </c>
      <c r="J6371" t="s">
        <v>11276</v>
      </c>
      <c r="K6371" t="s">
        <v>15676</v>
      </c>
      <c r="L6371">
        <f>HYPERLINK("https://www2.assemblee-nationale.fr/sycomore/fiche/(num_dept)/715", "715")</f>
        <v>0</v>
      </c>
      <c r="N6371">
        <f>HYPERLINK("https://www.wikidata.org/wiki/Q3102282", "Q3102282")</f>
        <v>0</v>
      </c>
      <c r="O6371" t="s">
        <v>19969</v>
      </c>
      <c r="P6371" t="s">
        <v>20483</v>
      </c>
      <c r="Q6371" t="s">
        <v>20788</v>
      </c>
      <c r="R6371" t="s">
        <v>418</v>
      </c>
      <c r="S6371">
        <v>1731</v>
      </c>
    </row>
    <row r="6372" spans="1:19">
      <c r="A6372" t="s">
        <v>28</v>
      </c>
      <c r="B6372" t="s">
        <v>148</v>
      </c>
      <c r="C6372" t="s">
        <v>160</v>
      </c>
      <c r="D6372" t="s">
        <v>289</v>
      </c>
      <c r="E6372" t="s">
        <v>418</v>
      </c>
      <c r="F6372">
        <f>HYPERLINK("https://www.wikidata.org/wiki/Q33755445", "Q33755445")</f>
        <v>0</v>
      </c>
      <c r="G6372" t="s">
        <v>525</v>
      </c>
      <c r="H6372" t="s">
        <v>5289</v>
      </c>
      <c r="I6372" t="s">
        <v>7642</v>
      </c>
      <c r="J6372" t="s">
        <v>11277</v>
      </c>
      <c r="K6372" t="s">
        <v>15677</v>
      </c>
      <c r="L6372">
        <f>HYPERLINK("https://www2.assemblee-nationale.fr/sycomore/fiche/(num_dept)/720", "720")</f>
        <v>0</v>
      </c>
      <c r="N6372">
        <f>HYPERLINK("https://www.wikidata.org/wiki/Q3300415", "Q3300415")</f>
        <v>0</v>
      </c>
      <c r="O6372" t="s">
        <v>19976</v>
      </c>
      <c r="P6372" t="s">
        <v>20477</v>
      </c>
      <c r="Q6372" t="s">
        <v>20788</v>
      </c>
      <c r="R6372" t="s">
        <v>418</v>
      </c>
      <c r="S6372">
        <v>1731</v>
      </c>
    </row>
    <row r="6373" spans="1:19">
      <c r="A6373" t="s">
        <v>28</v>
      </c>
      <c r="B6373" t="s">
        <v>148</v>
      </c>
      <c r="C6373" t="s">
        <v>160</v>
      </c>
      <c r="D6373" t="s">
        <v>289</v>
      </c>
      <c r="E6373" t="s">
        <v>418</v>
      </c>
      <c r="F6373">
        <f>HYPERLINK("https://www.wikidata.org/wiki/Q33755445", "Q33755445")</f>
        <v>0</v>
      </c>
      <c r="G6373" t="s">
        <v>529</v>
      </c>
      <c r="H6373" t="s">
        <v>5293</v>
      </c>
      <c r="I6373" t="s">
        <v>9394</v>
      </c>
      <c r="J6373" t="s">
        <v>11281</v>
      </c>
      <c r="K6373" t="s">
        <v>15681</v>
      </c>
      <c r="L6373">
        <f>HYPERLINK("https://www2.assemblee-nationale.fr/sycomore/fiche/(num_dept)/817", "817")</f>
        <v>0</v>
      </c>
      <c r="N6373">
        <f>HYPERLINK("https://www.wikidata.org/wiki/Q3300423", "Q3300423")</f>
        <v>0</v>
      </c>
      <c r="O6373" t="s">
        <v>19969</v>
      </c>
      <c r="Q6373" t="s">
        <v>20788</v>
      </c>
      <c r="R6373" t="s">
        <v>418</v>
      </c>
      <c r="S6373">
        <v>1731</v>
      </c>
    </row>
    <row r="6374" spans="1:19">
      <c r="A6374" t="s">
        <v>28</v>
      </c>
      <c r="B6374" t="s">
        <v>148</v>
      </c>
      <c r="C6374" t="s">
        <v>160</v>
      </c>
      <c r="D6374" t="s">
        <v>289</v>
      </c>
      <c r="E6374" t="s">
        <v>418</v>
      </c>
      <c r="F6374">
        <f>HYPERLINK("https://www.wikidata.org/wiki/Q33755445", "Q33755445")</f>
        <v>0</v>
      </c>
      <c r="G6374" t="s">
        <v>3534</v>
      </c>
      <c r="H6374" t="s">
        <v>7895</v>
      </c>
      <c r="I6374" t="s">
        <v>6736</v>
      </c>
      <c r="J6374" t="s">
        <v>13282</v>
      </c>
      <c r="K6374" t="s">
        <v>18492</v>
      </c>
      <c r="L6374">
        <f>HYPERLINK("https://www2.assemblee-nationale.fr/sycomore/fiche/(num_dept)/835", "835")</f>
        <v>0</v>
      </c>
      <c r="N6374">
        <f>HYPERLINK("https://www.wikidata.org/wiki/Q15973752", "Q15973752")</f>
        <v>0</v>
      </c>
      <c r="O6374" t="s">
        <v>20002</v>
      </c>
      <c r="P6374" t="s">
        <v>20471</v>
      </c>
      <c r="Q6374" t="s">
        <v>20788</v>
      </c>
      <c r="R6374" t="s">
        <v>18492</v>
      </c>
      <c r="S6374">
        <v>1696</v>
      </c>
    </row>
    <row r="6375" spans="1:19">
      <c r="A6375" t="s">
        <v>28</v>
      </c>
      <c r="B6375" t="s">
        <v>148</v>
      </c>
      <c r="C6375" t="s">
        <v>160</v>
      </c>
      <c r="D6375" t="s">
        <v>289</v>
      </c>
      <c r="E6375" t="s">
        <v>418</v>
      </c>
      <c r="F6375">
        <f>HYPERLINK("https://www.wikidata.org/wiki/Q33755445", "Q33755445")</f>
        <v>0</v>
      </c>
      <c r="G6375" t="s">
        <v>3747</v>
      </c>
      <c r="H6375" t="s">
        <v>5296</v>
      </c>
      <c r="I6375" t="s">
        <v>9602</v>
      </c>
      <c r="J6375" t="s">
        <v>14321</v>
      </c>
      <c r="K6375" t="s">
        <v>18673</v>
      </c>
      <c r="L6375">
        <f>HYPERLINK("https://www2.assemblee-nationale.fr/sycomore/fiche/(num_dept)/846", "846")</f>
        <v>0</v>
      </c>
      <c r="N6375">
        <f>HYPERLINK("https://www.wikidata.org/wiki/Q3047749", "Q3047749")</f>
        <v>0</v>
      </c>
      <c r="O6375" t="s">
        <v>20027</v>
      </c>
      <c r="P6375" t="s">
        <v>20411</v>
      </c>
      <c r="Q6375" t="s">
        <v>20788</v>
      </c>
      <c r="R6375" t="s">
        <v>12609</v>
      </c>
      <c r="S6375">
        <v>185</v>
      </c>
    </row>
    <row r="6376" spans="1:19">
      <c r="A6376" t="s">
        <v>28</v>
      </c>
      <c r="B6376" t="s">
        <v>148</v>
      </c>
      <c r="C6376" t="s">
        <v>160</v>
      </c>
      <c r="D6376" t="s">
        <v>289</v>
      </c>
      <c r="E6376" t="s">
        <v>418</v>
      </c>
      <c r="F6376">
        <f>HYPERLINK("https://www.wikidata.org/wiki/Q33755445", "Q33755445")</f>
        <v>0</v>
      </c>
      <c r="G6376" t="s">
        <v>2514</v>
      </c>
      <c r="H6376" t="s">
        <v>7082</v>
      </c>
      <c r="I6376" t="s">
        <v>9385</v>
      </c>
      <c r="J6376" t="s">
        <v>13158</v>
      </c>
      <c r="K6376" t="s">
        <v>17565</v>
      </c>
      <c r="L6376">
        <f>HYPERLINK("https://www2.assemblee-nationale.fr/sycomore/fiche/(num_dept)/1021", "1021")</f>
        <v>0</v>
      </c>
      <c r="N6376">
        <f>HYPERLINK("https://www.wikidata.org/wiki/Q15973825", "Q15973825")</f>
        <v>0</v>
      </c>
      <c r="O6376" t="s">
        <v>19989</v>
      </c>
      <c r="P6376" t="s">
        <v>20459</v>
      </c>
      <c r="Q6376" t="s">
        <v>20788</v>
      </c>
      <c r="R6376" t="s">
        <v>17565</v>
      </c>
      <c r="S6376">
        <v>537</v>
      </c>
    </row>
    <row r="6377" spans="1:19">
      <c r="A6377" t="s">
        <v>28</v>
      </c>
      <c r="B6377" t="s">
        <v>148</v>
      </c>
      <c r="C6377" t="s">
        <v>160</v>
      </c>
      <c r="D6377" t="s">
        <v>289</v>
      </c>
      <c r="E6377" t="s">
        <v>418</v>
      </c>
      <c r="F6377">
        <f>HYPERLINK("https://www.wikidata.org/wiki/Q33755445", "Q33755445")</f>
        <v>0</v>
      </c>
      <c r="G6377" t="s">
        <v>543</v>
      </c>
      <c r="H6377" t="s">
        <v>5307</v>
      </c>
      <c r="I6377" t="s">
        <v>9404</v>
      </c>
      <c r="J6377" t="s">
        <v>11295</v>
      </c>
      <c r="K6377" t="s">
        <v>15695</v>
      </c>
      <c r="L6377">
        <f>HYPERLINK("https://www2.assemblee-nationale.fr/sycomore/fiche/(num_dept)/1029", "1029")</f>
        <v>0</v>
      </c>
      <c r="N6377">
        <f>HYPERLINK("https://www.wikidata.org/wiki/Q766157", "Q766157")</f>
        <v>0</v>
      </c>
      <c r="O6377" t="s">
        <v>19990</v>
      </c>
      <c r="Q6377" t="s">
        <v>20788</v>
      </c>
      <c r="R6377" t="s">
        <v>418</v>
      </c>
      <c r="S6377">
        <v>1731</v>
      </c>
    </row>
    <row r="6378" spans="1:19">
      <c r="A6378" t="s">
        <v>28</v>
      </c>
      <c r="B6378" t="s">
        <v>148</v>
      </c>
      <c r="C6378" t="s">
        <v>160</v>
      </c>
      <c r="D6378" t="s">
        <v>289</v>
      </c>
      <c r="E6378" t="s">
        <v>418</v>
      </c>
      <c r="F6378">
        <f>HYPERLINK("https://www.wikidata.org/wiki/Q33755445", "Q33755445")</f>
        <v>0</v>
      </c>
      <c r="G6378" t="s">
        <v>3748</v>
      </c>
      <c r="H6378" t="s">
        <v>8052</v>
      </c>
      <c r="I6378" t="s">
        <v>10959</v>
      </c>
      <c r="J6378" t="s">
        <v>14322</v>
      </c>
      <c r="K6378" t="s">
        <v>18674</v>
      </c>
      <c r="L6378">
        <f>HYPERLINK("https://www2.assemblee-nationale.fr/sycomore/fiche/(num_dept)/1073", "1073")</f>
        <v>0</v>
      </c>
      <c r="N6378">
        <f>HYPERLINK("https://www.wikidata.org/wiki/Q15973887", "Q15973887")</f>
        <v>0</v>
      </c>
      <c r="O6378" t="s">
        <v>20037</v>
      </c>
      <c r="P6378" t="s">
        <v>20411</v>
      </c>
      <c r="Q6378" t="s">
        <v>20788</v>
      </c>
      <c r="R6378" t="s">
        <v>418</v>
      </c>
      <c r="S6378">
        <v>1731</v>
      </c>
    </row>
    <row r="6379" spans="1:19">
      <c r="A6379" t="s">
        <v>28</v>
      </c>
      <c r="B6379" t="s">
        <v>148</v>
      </c>
      <c r="C6379" t="s">
        <v>160</v>
      </c>
      <c r="D6379" t="s">
        <v>289</v>
      </c>
      <c r="E6379" t="s">
        <v>418</v>
      </c>
      <c r="F6379">
        <f>HYPERLINK("https://www.wikidata.org/wiki/Q33755445", "Q33755445")</f>
        <v>0</v>
      </c>
      <c r="G6379" t="s">
        <v>3412</v>
      </c>
      <c r="H6379" t="s">
        <v>7798</v>
      </c>
      <c r="I6379" t="s">
        <v>10817</v>
      </c>
      <c r="J6379" t="s">
        <v>14018</v>
      </c>
      <c r="K6379" t="s">
        <v>18386</v>
      </c>
      <c r="L6379">
        <f>HYPERLINK("https://www2.assemblee-nationale.fr/sycomore/fiche/(num_dept)/1100", "1100")</f>
        <v>0</v>
      </c>
      <c r="N6379">
        <f>HYPERLINK("https://www.wikidata.org/wiki/Q2958604", "Q2958604")</f>
        <v>0</v>
      </c>
      <c r="O6379" t="s">
        <v>20022</v>
      </c>
      <c r="P6379" t="s">
        <v>20479</v>
      </c>
      <c r="Q6379" t="s">
        <v>20788</v>
      </c>
      <c r="R6379" t="s">
        <v>418</v>
      </c>
      <c r="S6379">
        <v>1731</v>
      </c>
    </row>
    <row r="6380" spans="1:19">
      <c r="A6380" t="s">
        <v>28</v>
      </c>
      <c r="B6380" t="s">
        <v>148</v>
      </c>
      <c r="C6380" t="s">
        <v>160</v>
      </c>
      <c r="D6380" t="s">
        <v>289</v>
      </c>
      <c r="E6380" t="s">
        <v>418</v>
      </c>
      <c r="F6380">
        <f>HYPERLINK("https://www.wikidata.org/wiki/Q33755445", "Q33755445")</f>
        <v>0</v>
      </c>
      <c r="G6380" t="s">
        <v>3749</v>
      </c>
      <c r="H6380" t="s">
        <v>5317</v>
      </c>
      <c r="I6380" t="s">
        <v>10960</v>
      </c>
      <c r="J6380" t="s">
        <v>14323</v>
      </c>
      <c r="K6380" t="s">
        <v>18675</v>
      </c>
      <c r="L6380">
        <f>HYPERLINK("https://www2.assemblee-nationale.fr/sycomore/fiche/(num_dept)/1218", "1218")</f>
        <v>0</v>
      </c>
      <c r="N6380">
        <f>HYPERLINK("https://www.wikidata.org/wiki/Q15973935", "Q15973935")</f>
        <v>0</v>
      </c>
      <c r="O6380" t="s">
        <v>20007</v>
      </c>
      <c r="P6380" t="s">
        <v>20495</v>
      </c>
      <c r="Q6380" t="s">
        <v>20788</v>
      </c>
      <c r="R6380" t="s">
        <v>418</v>
      </c>
      <c r="S6380">
        <v>1731</v>
      </c>
    </row>
    <row r="6381" spans="1:19">
      <c r="A6381" t="s">
        <v>28</v>
      </c>
      <c r="B6381" t="s">
        <v>148</v>
      </c>
      <c r="C6381" t="s">
        <v>160</v>
      </c>
      <c r="D6381" t="s">
        <v>289</v>
      </c>
      <c r="E6381" t="s">
        <v>418</v>
      </c>
      <c r="F6381">
        <f>HYPERLINK("https://www.wikidata.org/wiki/Q33755445", "Q33755445")</f>
        <v>0</v>
      </c>
      <c r="G6381" t="s">
        <v>2523</v>
      </c>
      <c r="H6381" t="s">
        <v>5320</v>
      </c>
      <c r="I6381" t="s">
        <v>9389</v>
      </c>
      <c r="J6381" t="s">
        <v>13167</v>
      </c>
      <c r="K6381" t="s">
        <v>17573</v>
      </c>
      <c r="L6381">
        <f>HYPERLINK("https://www2.assemblee-nationale.fr/sycomore/fiche/(num_dept)/1259", "1259")</f>
        <v>0</v>
      </c>
      <c r="N6381">
        <f>HYPERLINK("https://www.wikidata.org/wiki/Q15968404", "Q15968404")</f>
        <v>0</v>
      </c>
      <c r="O6381" t="s">
        <v>20001</v>
      </c>
      <c r="P6381" t="s">
        <v>20401</v>
      </c>
      <c r="Q6381" t="s">
        <v>20788</v>
      </c>
      <c r="R6381" t="s">
        <v>21566</v>
      </c>
      <c r="S6381">
        <v>813</v>
      </c>
    </row>
    <row r="6382" spans="1:19">
      <c r="A6382" t="s">
        <v>28</v>
      </c>
      <c r="B6382" t="s">
        <v>148</v>
      </c>
      <c r="C6382" t="s">
        <v>160</v>
      </c>
      <c r="D6382" t="s">
        <v>289</v>
      </c>
      <c r="E6382" t="s">
        <v>418</v>
      </c>
      <c r="F6382">
        <f>HYPERLINK("https://www.wikidata.org/wiki/Q33755445", "Q33755445")</f>
        <v>0</v>
      </c>
      <c r="G6382" t="s">
        <v>3750</v>
      </c>
      <c r="H6382" t="s">
        <v>8053</v>
      </c>
      <c r="I6382" t="s">
        <v>9736</v>
      </c>
      <c r="J6382" t="s">
        <v>14324</v>
      </c>
      <c r="K6382" t="s">
        <v>18676</v>
      </c>
      <c r="L6382">
        <f>HYPERLINK("https://www2.assemblee-nationale.fr/sycomore/fiche/(num_dept)/1460", "1460")</f>
        <v>0</v>
      </c>
      <c r="N6382">
        <f>HYPERLINK("https://www.wikidata.org/wiki/Q15974150", "Q15974150")</f>
        <v>0</v>
      </c>
      <c r="O6382" t="s">
        <v>20013</v>
      </c>
      <c r="Q6382" t="s">
        <v>20788</v>
      </c>
      <c r="R6382" t="s">
        <v>418</v>
      </c>
      <c r="S6382">
        <v>1731</v>
      </c>
    </row>
    <row r="6383" spans="1:19">
      <c r="A6383" t="s">
        <v>28</v>
      </c>
      <c r="B6383" t="s">
        <v>148</v>
      </c>
      <c r="C6383" t="s">
        <v>160</v>
      </c>
      <c r="D6383" t="s">
        <v>289</v>
      </c>
      <c r="E6383" t="s">
        <v>418</v>
      </c>
      <c r="F6383">
        <f>HYPERLINK("https://www.wikidata.org/wiki/Q33755445", "Q33755445")</f>
        <v>0</v>
      </c>
      <c r="G6383" t="s">
        <v>3751</v>
      </c>
      <c r="H6383" t="s">
        <v>8054</v>
      </c>
      <c r="I6383" t="s">
        <v>9385</v>
      </c>
      <c r="J6383" t="s">
        <v>14325</v>
      </c>
      <c r="K6383" t="s">
        <v>358</v>
      </c>
      <c r="L6383">
        <f>HYPERLINK("https://www2.assemblee-nationale.fr/sycomore/fiche/(num_dept)/1535", "1535")</f>
        <v>0</v>
      </c>
      <c r="N6383">
        <f>HYPERLINK("https://www.wikidata.org/wiki/Q16025424", "Q16025424")</f>
        <v>0</v>
      </c>
      <c r="O6383" t="s">
        <v>19967</v>
      </c>
      <c r="P6383" t="s">
        <v>20411</v>
      </c>
      <c r="Q6383" t="s">
        <v>20788</v>
      </c>
      <c r="R6383" t="s">
        <v>418</v>
      </c>
      <c r="S6383">
        <v>1731</v>
      </c>
    </row>
    <row r="6384" spans="1:19">
      <c r="A6384" t="s">
        <v>28</v>
      </c>
      <c r="B6384" t="s">
        <v>148</v>
      </c>
      <c r="C6384" t="s">
        <v>160</v>
      </c>
      <c r="D6384" t="s">
        <v>289</v>
      </c>
      <c r="E6384" t="s">
        <v>418</v>
      </c>
      <c r="F6384">
        <f>HYPERLINK("https://www.wikidata.org/wiki/Q33755445", "Q33755445")</f>
        <v>0</v>
      </c>
      <c r="G6384" t="s">
        <v>3348</v>
      </c>
      <c r="H6384" t="s">
        <v>5658</v>
      </c>
      <c r="I6384" t="s">
        <v>10784</v>
      </c>
      <c r="J6384" t="s">
        <v>13409</v>
      </c>
      <c r="K6384" t="s">
        <v>18330</v>
      </c>
      <c r="L6384">
        <f>HYPERLINK("https://www2.assemblee-nationale.fr/sycomore/fiche/(num_dept)/1567", "1567")</f>
        <v>0</v>
      </c>
      <c r="N6384">
        <f>HYPERLINK("https://www.wikidata.org/wiki/Q15974233", "Q15974233")</f>
        <v>0</v>
      </c>
      <c r="O6384" t="s">
        <v>19955</v>
      </c>
      <c r="P6384" t="s">
        <v>20401</v>
      </c>
      <c r="Q6384" t="s">
        <v>20788</v>
      </c>
      <c r="R6384" t="s">
        <v>18330</v>
      </c>
      <c r="S6384">
        <v>1435</v>
      </c>
    </row>
    <row r="6385" spans="1:19">
      <c r="A6385" t="s">
        <v>28</v>
      </c>
      <c r="B6385" t="s">
        <v>148</v>
      </c>
      <c r="C6385" t="s">
        <v>160</v>
      </c>
      <c r="D6385" t="s">
        <v>289</v>
      </c>
      <c r="E6385" t="s">
        <v>418</v>
      </c>
      <c r="F6385">
        <f>HYPERLINK("https://www.wikidata.org/wiki/Q33755445", "Q33755445")</f>
        <v>0</v>
      </c>
      <c r="G6385" t="s">
        <v>568</v>
      </c>
      <c r="H6385" t="s">
        <v>5331</v>
      </c>
      <c r="I6385" t="s">
        <v>9421</v>
      </c>
      <c r="J6385" t="s">
        <v>11319</v>
      </c>
      <c r="K6385" t="s">
        <v>15720</v>
      </c>
      <c r="L6385">
        <f>HYPERLINK("https://www2.assemblee-nationale.fr/sycomore/fiche/(num_dept)/1650", "1650")</f>
        <v>0</v>
      </c>
      <c r="M6385">
        <f>HYPERLINK("https://www.senat.fr/senateur-3eme-republique/chapuis_gustave0947r3.html", "chapuis_gustave0947r3")</f>
        <v>0</v>
      </c>
      <c r="N6385">
        <f>HYPERLINK("https://www.wikidata.org/wiki/Q3121135", "Q3121135")</f>
        <v>0</v>
      </c>
      <c r="O6385" t="s">
        <v>20007</v>
      </c>
      <c r="Q6385" t="s">
        <v>20788</v>
      </c>
      <c r="R6385" t="s">
        <v>418</v>
      </c>
      <c r="S6385">
        <v>1731</v>
      </c>
    </row>
    <row r="6386" spans="1:19">
      <c r="A6386" t="s">
        <v>28</v>
      </c>
      <c r="B6386" t="s">
        <v>148</v>
      </c>
      <c r="C6386" t="s">
        <v>160</v>
      </c>
      <c r="D6386" t="s">
        <v>289</v>
      </c>
      <c r="E6386" t="s">
        <v>418</v>
      </c>
      <c r="F6386">
        <f>HYPERLINK("https://www.wikidata.org/wiki/Q33755445", "Q33755445")</f>
        <v>0</v>
      </c>
      <c r="G6386" t="s">
        <v>3752</v>
      </c>
      <c r="H6386" t="s">
        <v>5964</v>
      </c>
      <c r="I6386" t="s">
        <v>10961</v>
      </c>
      <c r="J6386" t="s">
        <v>14326</v>
      </c>
      <c r="K6386" t="s">
        <v>18677</v>
      </c>
      <c r="L6386">
        <f>HYPERLINK("https://www2.assemblee-nationale.fr/sycomore/fiche/(num_dept)/1675", "1675")</f>
        <v>0</v>
      </c>
      <c r="N6386">
        <f>HYPERLINK("https://www.wikidata.org/wiki/Q16025426", "Q16025426")</f>
        <v>0</v>
      </c>
      <c r="O6386" t="s">
        <v>19997</v>
      </c>
      <c r="P6386" t="s">
        <v>20485</v>
      </c>
      <c r="Q6386" t="s">
        <v>20788</v>
      </c>
      <c r="R6386" t="s">
        <v>418</v>
      </c>
      <c r="S6386">
        <v>1731</v>
      </c>
    </row>
    <row r="6387" spans="1:19">
      <c r="A6387" t="s">
        <v>28</v>
      </c>
      <c r="B6387" t="s">
        <v>148</v>
      </c>
      <c r="C6387" t="s">
        <v>160</v>
      </c>
      <c r="D6387" t="s">
        <v>289</v>
      </c>
      <c r="E6387" t="s">
        <v>418</v>
      </c>
      <c r="F6387">
        <f>HYPERLINK("https://www.wikidata.org/wiki/Q33755445", "Q33755445")</f>
        <v>0</v>
      </c>
      <c r="G6387" t="s">
        <v>3417</v>
      </c>
      <c r="H6387" t="s">
        <v>5332</v>
      </c>
      <c r="I6387" t="s">
        <v>10820</v>
      </c>
      <c r="J6387" t="s">
        <v>14022</v>
      </c>
      <c r="K6387" t="s">
        <v>18391</v>
      </c>
      <c r="L6387">
        <f>HYPERLINK("https://www2.assemblee-nationale.fr/sycomore/fiche/(num_dept)/1694", "1694")</f>
        <v>0</v>
      </c>
      <c r="N6387">
        <f>HYPERLINK("https://www.wikidata.org/wiki/Q3130344", "Q3130344")</f>
        <v>0</v>
      </c>
      <c r="O6387" t="s">
        <v>19969</v>
      </c>
      <c r="P6387" t="s">
        <v>20477</v>
      </c>
      <c r="Q6387" t="s">
        <v>20788</v>
      </c>
      <c r="R6387" t="s">
        <v>418</v>
      </c>
      <c r="S6387">
        <v>1731</v>
      </c>
    </row>
    <row r="6388" spans="1:19">
      <c r="A6388" t="s">
        <v>28</v>
      </c>
      <c r="B6388" t="s">
        <v>148</v>
      </c>
      <c r="C6388" t="s">
        <v>160</v>
      </c>
      <c r="D6388" t="s">
        <v>289</v>
      </c>
      <c r="E6388" t="s">
        <v>418</v>
      </c>
      <c r="F6388">
        <f>HYPERLINK("https://www.wikidata.org/wiki/Q33755445", "Q33755445")</f>
        <v>0</v>
      </c>
      <c r="G6388" t="s">
        <v>3541</v>
      </c>
      <c r="H6388" t="s">
        <v>5337</v>
      </c>
      <c r="I6388" t="s">
        <v>9437</v>
      </c>
      <c r="J6388" t="s">
        <v>14132</v>
      </c>
      <c r="K6388" t="s">
        <v>18497</v>
      </c>
      <c r="L6388">
        <f>HYPERLINK("https://www2.assemblee-nationale.fr/sycomore/fiche/(num_dept)/1727", "1727")</f>
        <v>0</v>
      </c>
      <c r="M6388">
        <f>HYPERLINK("https://www.senat.fr/senateur-3eme-republique/chautemps_emile1313r3.html", "chautemps_emile1313r3")</f>
        <v>0</v>
      </c>
      <c r="N6388">
        <f>HYPERLINK("https://www.wikidata.org/wiki/Q3588410", "Q3588410")</f>
        <v>0</v>
      </c>
      <c r="O6388" t="s">
        <v>19969</v>
      </c>
      <c r="P6388" t="s">
        <v>20477</v>
      </c>
      <c r="Q6388" t="s">
        <v>20788</v>
      </c>
      <c r="R6388" t="s">
        <v>418</v>
      </c>
      <c r="S6388">
        <v>1731</v>
      </c>
    </row>
    <row r="6389" spans="1:19">
      <c r="A6389" t="s">
        <v>28</v>
      </c>
      <c r="B6389" t="s">
        <v>148</v>
      </c>
      <c r="C6389" t="s">
        <v>160</v>
      </c>
      <c r="D6389" t="s">
        <v>289</v>
      </c>
      <c r="E6389" t="s">
        <v>418</v>
      </c>
      <c r="F6389">
        <f>HYPERLINK("https://www.wikidata.org/wiki/Q33755445", "Q33755445")</f>
        <v>0</v>
      </c>
      <c r="G6389" t="s">
        <v>908</v>
      </c>
      <c r="H6389" t="s">
        <v>5664</v>
      </c>
      <c r="I6389" t="s">
        <v>9585</v>
      </c>
      <c r="J6389" t="s">
        <v>11652</v>
      </c>
      <c r="K6389" t="s">
        <v>16051</v>
      </c>
      <c r="L6389">
        <f>HYPERLINK("https://www2.assemblee-nationale.fr/sycomore/fiche/(num_dept)/1734", "1734")</f>
        <v>0</v>
      </c>
      <c r="N6389">
        <f>HYPERLINK("https://www.wikidata.org/wiki/Q13080861", "Q13080861")</f>
        <v>0</v>
      </c>
      <c r="O6389" t="s">
        <v>19969</v>
      </c>
      <c r="Q6389" t="s">
        <v>20788</v>
      </c>
      <c r="R6389" t="s">
        <v>418</v>
      </c>
      <c r="S6389">
        <v>1731</v>
      </c>
    </row>
    <row r="6390" spans="1:19">
      <c r="A6390" t="s">
        <v>28</v>
      </c>
      <c r="B6390" t="s">
        <v>148</v>
      </c>
      <c r="C6390" t="s">
        <v>160</v>
      </c>
      <c r="D6390" t="s">
        <v>289</v>
      </c>
      <c r="E6390" t="s">
        <v>418</v>
      </c>
      <c r="F6390">
        <f>HYPERLINK("https://www.wikidata.org/wiki/Q33755445", "Q33755445")</f>
        <v>0</v>
      </c>
      <c r="G6390" t="s">
        <v>3753</v>
      </c>
      <c r="H6390" t="s">
        <v>6427</v>
      </c>
      <c r="I6390" t="s">
        <v>10962</v>
      </c>
      <c r="J6390" t="s">
        <v>14327</v>
      </c>
      <c r="K6390" t="s">
        <v>18678</v>
      </c>
      <c r="L6390">
        <f>HYPERLINK("https://www2.assemblee-nationale.fr/sycomore/fiche/(num_dept)/1738", "1738")</f>
        <v>0</v>
      </c>
      <c r="N6390">
        <f>HYPERLINK("https://www.wikidata.org/wiki/Q16025437", "Q16025437")</f>
        <v>0</v>
      </c>
      <c r="O6390" t="s">
        <v>19969</v>
      </c>
      <c r="P6390" t="s">
        <v>20485</v>
      </c>
      <c r="Q6390" t="s">
        <v>20788</v>
      </c>
      <c r="R6390" t="s">
        <v>418</v>
      </c>
      <c r="S6390">
        <v>1731</v>
      </c>
    </row>
    <row r="6391" spans="1:19">
      <c r="A6391" t="s">
        <v>28</v>
      </c>
      <c r="B6391" t="s">
        <v>148</v>
      </c>
      <c r="C6391" t="s">
        <v>160</v>
      </c>
      <c r="D6391" t="s">
        <v>289</v>
      </c>
      <c r="E6391" t="s">
        <v>418</v>
      </c>
      <c r="F6391">
        <f>HYPERLINK("https://www.wikidata.org/wiki/Q33755445", "Q33755445")</f>
        <v>0</v>
      </c>
      <c r="G6391" t="s">
        <v>3239</v>
      </c>
      <c r="H6391" t="s">
        <v>5863</v>
      </c>
      <c r="I6391" t="s">
        <v>10725</v>
      </c>
      <c r="J6391" t="s">
        <v>13857</v>
      </c>
      <c r="K6391" t="s">
        <v>18229</v>
      </c>
      <c r="L6391">
        <f>HYPERLINK("https://www2.assemblee-nationale.fr/sycomore/fiche/(num_dept)/1783", "1783")</f>
        <v>0</v>
      </c>
      <c r="N6391">
        <f>HYPERLINK("https://www.wikidata.org/wiki/Q3184756", "Q3184756")</f>
        <v>0</v>
      </c>
      <c r="O6391" t="s">
        <v>19990</v>
      </c>
      <c r="P6391" t="s">
        <v>20401</v>
      </c>
      <c r="Q6391" t="s">
        <v>20788</v>
      </c>
      <c r="R6391" t="s">
        <v>418</v>
      </c>
      <c r="S6391">
        <v>1731</v>
      </c>
    </row>
    <row r="6392" spans="1:19">
      <c r="A6392" t="s">
        <v>28</v>
      </c>
      <c r="B6392" t="s">
        <v>148</v>
      </c>
      <c r="C6392" t="s">
        <v>160</v>
      </c>
      <c r="D6392" t="s">
        <v>289</v>
      </c>
      <c r="E6392" t="s">
        <v>418</v>
      </c>
      <c r="F6392">
        <f>HYPERLINK("https://www.wikidata.org/wiki/Q33755445", "Q33755445")</f>
        <v>0</v>
      </c>
      <c r="G6392" t="s">
        <v>3754</v>
      </c>
      <c r="H6392" t="s">
        <v>8055</v>
      </c>
      <c r="I6392" t="s">
        <v>10963</v>
      </c>
      <c r="J6392" t="s">
        <v>14328</v>
      </c>
      <c r="K6392" t="s">
        <v>18679</v>
      </c>
      <c r="L6392">
        <f>HYPERLINK("https://www2.assemblee-nationale.fr/sycomore/fiche/(num_dept)/1788", "1788")</f>
        <v>0</v>
      </c>
      <c r="N6392">
        <f>HYPERLINK("https://www.wikidata.org/wiki/Q8343915", "Q8343915")</f>
        <v>0</v>
      </c>
      <c r="O6392" t="s">
        <v>19976</v>
      </c>
      <c r="P6392" t="s">
        <v>20496</v>
      </c>
      <c r="Q6392" t="s">
        <v>20788</v>
      </c>
      <c r="R6392" t="s">
        <v>418</v>
      </c>
      <c r="S6392">
        <v>1731</v>
      </c>
    </row>
    <row r="6393" spans="1:19">
      <c r="A6393" t="s">
        <v>28</v>
      </c>
      <c r="B6393" t="s">
        <v>148</v>
      </c>
      <c r="C6393" t="s">
        <v>160</v>
      </c>
      <c r="D6393" t="s">
        <v>289</v>
      </c>
      <c r="E6393" t="s">
        <v>418</v>
      </c>
      <c r="F6393">
        <f>HYPERLINK("https://www.wikidata.org/wiki/Q33755445", "Q33755445")</f>
        <v>0</v>
      </c>
      <c r="G6393" t="s">
        <v>3658</v>
      </c>
      <c r="H6393" t="s">
        <v>7988</v>
      </c>
      <c r="I6393" t="s">
        <v>6200</v>
      </c>
      <c r="J6393" t="s">
        <v>14238</v>
      </c>
      <c r="K6393" t="s">
        <v>18598</v>
      </c>
      <c r="L6393">
        <f>HYPERLINK("https://www2.assemblee-nationale.fr/sycomore/fiche/(num_dept)/1832", "1832")</f>
        <v>0</v>
      </c>
      <c r="N6393">
        <f>HYPERLINK("https://www.wikidata.org/wiki/Q16025455", "Q16025455")</f>
        <v>0</v>
      </c>
      <c r="O6393" t="s">
        <v>19965</v>
      </c>
      <c r="P6393" t="s">
        <v>20471</v>
      </c>
      <c r="Q6393" t="s">
        <v>20788</v>
      </c>
      <c r="R6393" t="s">
        <v>418</v>
      </c>
      <c r="S6393">
        <v>1731</v>
      </c>
    </row>
    <row r="6394" spans="1:19">
      <c r="A6394" t="s">
        <v>28</v>
      </c>
      <c r="B6394" t="s">
        <v>148</v>
      </c>
      <c r="C6394" t="s">
        <v>160</v>
      </c>
      <c r="D6394" t="s">
        <v>289</v>
      </c>
      <c r="E6394" t="s">
        <v>418</v>
      </c>
      <c r="F6394">
        <f>HYPERLINK("https://www.wikidata.org/wiki/Q33755445", "Q33755445")</f>
        <v>0</v>
      </c>
      <c r="G6394" t="s">
        <v>3395</v>
      </c>
      <c r="H6394" t="s">
        <v>7784</v>
      </c>
      <c r="I6394" t="s">
        <v>10349</v>
      </c>
      <c r="J6394" t="s">
        <v>14004</v>
      </c>
      <c r="K6394" t="s">
        <v>18372</v>
      </c>
      <c r="L6394">
        <f>HYPERLINK("https://www2.assemblee-nationale.fr/sycomore/fiche/(num_dept)/1862", "1862")</f>
        <v>0</v>
      </c>
      <c r="N6394">
        <f>HYPERLINK("https://www.wikidata.org/wiki/Q684449", "Q684449")</f>
        <v>0</v>
      </c>
      <c r="O6394" t="s">
        <v>20042</v>
      </c>
      <c r="Q6394" t="s">
        <v>20788</v>
      </c>
      <c r="R6394" t="s">
        <v>418</v>
      </c>
      <c r="S6394">
        <v>1731</v>
      </c>
    </row>
    <row r="6395" spans="1:19">
      <c r="A6395" t="s">
        <v>28</v>
      </c>
      <c r="B6395" t="s">
        <v>148</v>
      </c>
      <c r="C6395" t="s">
        <v>160</v>
      </c>
      <c r="D6395" t="s">
        <v>289</v>
      </c>
      <c r="E6395" t="s">
        <v>418</v>
      </c>
      <c r="F6395">
        <f>HYPERLINK("https://www.wikidata.org/wiki/Q33755445", "Q33755445")</f>
        <v>0</v>
      </c>
      <c r="G6395" t="s">
        <v>583</v>
      </c>
      <c r="H6395" t="s">
        <v>5345</v>
      </c>
      <c r="I6395" t="s">
        <v>9432</v>
      </c>
      <c r="J6395" t="s">
        <v>11334</v>
      </c>
      <c r="K6395" t="s">
        <v>15735</v>
      </c>
      <c r="L6395">
        <f>HYPERLINK("https://www2.assemblee-nationale.fr/sycomore/fiche/(num_dept)/1874", "1874")</f>
        <v>0</v>
      </c>
      <c r="N6395">
        <f>HYPERLINK("https://www.wikidata.org/wiki/Q3023401", "Q3023401")</f>
        <v>0</v>
      </c>
      <c r="O6395" t="s">
        <v>19969</v>
      </c>
      <c r="Q6395" t="s">
        <v>20788</v>
      </c>
      <c r="R6395" t="s">
        <v>418</v>
      </c>
      <c r="S6395">
        <v>1731</v>
      </c>
    </row>
    <row r="6396" spans="1:19">
      <c r="A6396" t="s">
        <v>28</v>
      </c>
      <c r="B6396" t="s">
        <v>148</v>
      </c>
      <c r="C6396" t="s">
        <v>160</v>
      </c>
      <c r="D6396" t="s">
        <v>289</v>
      </c>
      <c r="E6396" t="s">
        <v>418</v>
      </c>
      <c r="F6396">
        <f>HYPERLINK("https://www.wikidata.org/wiki/Q33755445", "Q33755445")</f>
        <v>0</v>
      </c>
      <c r="G6396" t="s">
        <v>3755</v>
      </c>
      <c r="H6396" t="s">
        <v>6849</v>
      </c>
      <c r="I6396" t="s">
        <v>9389</v>
      </c>
      <c r="J6396" t="s">
        <v>13910</v>
      </c>
      <c r="K6396" t="s">
        <v>18680</v>
      </c>
      <c r="L6396">
        <f>HYPERLINK("https://www2.assemblee-nationale.fr/sycomore/fiche/(num_dept)/1933", "1933")</f>
        <v>0</v>
      </c>
      <c r="N6396">
        <f>HYPERLINK("https://www.wikidata.org/wiki/Q16025477", "Q16025477")</f>
        <v>0</v>
      </c>
      <c r="O6396" t="s">
        <v>19962</v>
      </c>
      <c r="Q6396" t="s">
        <v>20788</v>
      </c>
      <c r="R6396" t="s">
        <v>418</v>
      </c>
      <c r="S6396">
        <v>1731</v>
      </c>
    </row>
    <row r="6397" spans="1:19">
      <c r="A6397" t="s">
        <v>28</v>
      </c>
      <c r="B6397" t="s">
        <v>148</v>
      </c>
      <c r="C6397" t="s">
        <v>160</v>
      </c>
      <c r="D6397" t="s">
        <v>289</v>
      </c>
      <c r="E6397" t="s">
        <v>418</v>
      </c>
      <c r="F6397">
        <f>HYPERLINK("https://www.wikidata.org/wiki/Q33755445", "Q33755445")</f>
        <v>0</v>
      </c>
      <c r="G6397" t="s">
        <v>3756</v>
      </c>
      <c r="H6397" t="s">
        <v>6590</v>
      </c>
      <c r="I6397" t="s">
        <v>6200</v>
      </c>
      <c r="J6397" t="s">
        <v>14329</v>
      </c>
      <c r="K6397" t="s">
        <v>18681</v>
      </c>
      <c r="L6397">
        <f>HYPERLINK("https://www2.assemblee-nationale.fr/sycomore/fiche/(num_dept)/1995", "1995")</f>
        <v>0</v>
      </c>
      <c r="N6397">
        <f>HYPERLINK("https://www.wikidata.org/wiki/Q16025488", "Q16025488")</f>
        <v>0</v>
      </c>
      <c r="O6397" t="s">
        <v>7411</v>
      </c>
      <c r="Q6397" t="s">
        <v>20788</v>
      </c>
      <c r="R6397" t="s">
        <v>21550</v>
      </c>
      <c r="S6397">
        <v>1231</v>
      </c>
    </row>
    <row r="6398" spans="1:19">
      <c r="A6398" t="s">
        <v>28</v>
      </c>
      <c r="B6398" t="s">
        <v>148</v>
      </c>
      <c r="C6398" t="s">
        <v>160</v>
      </c>
      <c r="D6398" t="s">
        <v>289</v>
      </c>
      <c r="E6398" t="s">
        <v>418</v>
      </c>
      <c r="F6398">
        <f>HYPERLINK("https://www.wikidata.org/wiki/Q33755445", "Q33755445")</f>
        <v>0</v>
      </c>
      <c r="G6398" t="s">
        <v>3757</v>
      </c>
      <c r="H6398" t="s">
        <v>8056</v>
      </c>
      <c r="I6398" t="s">
        <v>6200</v>
      </c>
      <c r="J6398" t="s">
        <v>12022</v>
      </c>
      <c r="K6398" t="s">
        <v>18682</v>
      </c>
      <c r="L6398">
        <f>HYPERLINK("https://www2.assemblee-nationale.fr/sycomore/fiche/(num_dept)/2002", "2002")</f>
        <v>0</v>
      </c>
      <c r="N6398">
        <f>HYPERLINK("https://www.wikidata.org/wiki/Q3188499", "Q3188499")</f>
        <v>0</v>
      </c>
      <c r="O6398" t="s">
        <v>20046</v>
      </c>
      <c r="P6398" t="s">
        <v>20411</v>
      </c>
      <c r="Q6398" t="s">
        <v>20788</v>
      </c>
      <c r="R6398" t="s">
        <v>418</v>
      </c>
      <c r="S6398">
        <v>1731</v>
      </c>
    </row>
    <row r="6399" spans="1:19">
      <c r="A6399" t="s">
        <v>28</v>
      </c>
      <c r="B6399" t="s">
        <v>148</v>
      </c>
      <c r="C6399" t="s">
        <v>160</v>
      </c>
      <c r="D6399" t="s">
        <v>289</v>
      </c>
      <c r="E6399" t="s">
        <v>418</v>
      </c>
      <c r="F6399">
        <f>HYPERLINK("https://www.wikidata.org/wiki/Q33755445", "Q33755445")</f>
        <v>0</v>
      </c>
      <c r="G6399" t="s">
        <v>3758</v>
      </c>
      <c r="H6399" t="s">
        <v>7004</v>
      </c>
      <c r="I6399" t="s">
        <v>10964</v>
      </c>
      <c r="J6399" t="s">
        <v>14330</v>
      </c>
      <c r="K6399" t="s">
        <v>18683</v>
      </c>
      <c r="L6399">
        <f>HYPERLINK("https://www2.assemblee-nationale.fr/sycomore/fiche/(num_dept)/2039", "2039")</f>
        <v>0</v>
      </c>
      <c r="N6399">
        <f>HYPERLINK("https://www.wikidata.org/wiki/Q16025495", "Q16025495")</f>
        <v>0</v>
      </c>
      <c r="O6399" t="s">
        <v>7411</v>
      </c>
      <c r="P6399" t="s">
        <v>20481</v>
      </c>
      <c r="Q6399" t="s">
        <v>20788</v>
      </c>
      <c r="R6399" t="s">
        <v>418</v>
      </c>
      <c r="S6399">
        <v>1731</v>
      </c>
    </row>
    <row r="6400" spans="1:19">
      <c r="A6400" t="s">
        <v>28</v>
      </c>
      <c r="B6400" t="s">
        <v>148</v>
      </c>
      <c r="C6400" t="s">
        <v>160</v>
      </c>
      <c r="D6400" t="s">
        <v>289</v>
      </c>
      <c r="E6400" t="s">
        <v>418</v>
      </c>
      <c r="F6400">
        <f>HYPERLINK("https://www.wikidata.org/wiki/Q33755445", "Q33755445")</f>
        <v>0</v>
      </c>
      <c r="G6400" t="s">
        <v>592</v>
      </c>
      <c r="H6400" t="s">
        <v>5353</v>
      </c>
      <c r="I6400" t="s">
        <v>9441</v>
      </c>
      <c r="J6400" t="s">
        <v>11343</v>
      </c>
      <c r="K6400" t="s">
        <v>15744</v>
      </c>
      <c r="L6400">
        <f>HYPERLINK("https://www2.assemblee-nationale.fr/sycomore/fiche/(num_dept)/2048", "2048")</f>
        <v>0</v>
      </c>
      <c r="N6400">
        <f>HYPERLINK("https://www.wikidata.org/wiki/Q16025498", "Q16025498")</f>
        <v>0</v>
      </c>
      <c r="O6400" t="s">
        <v>19969</v>
      </c>
      <c r="P6400" t="s">
        <v>20497</v>
      </c>
      <c r="Q6400" t="s">
        <v>20788</v>
      </c>
      <c r="R6400" t="s">
        <v>418</v>
      </c>
      <c r="S6400">
        <v>1731</v>
      </c>
    </row>
    <row r="6401" spans="1:19">
      <c r="A6401" t="s">
        <v>28</v>
      </c>
      <c r="B6401" t="s">
        <v>148</v>
      </c>
      <c r="C6401" t="s">
        <v>160</v>
      </c>
      <c r="D6401" t="s">
        <v>289</v>
      </c>
      <c r="E6401" t="s">
        <v>418</v>
      </c>
      <c r="F6401">
        <f>HYPERLINK("https://www.wikidata.org/wiki/Q33755445", "Q33755445")</f>
        <v>0</v>
      </c>
      <c r="G6401" t="s">
        <v>3546</v>
      </c>
      <c r="H6401" t="s">
        <v>7327</v>
      </c>
      <c r="I6401" t="s">
        <v>7763</v>
      </c>
      <c r="J6401" t="s">
        <v>14137</v>
      </c>
      <c r="K6401" t="s">
        <v>18502</v>
      </c>
      <c r="L6401">
        <f>HYPERLINK("https://www2.assemblee-nationale.fr/sycomore/fiche/(num_dept)/2053", "2053")</f>
        <v>0</v>
      </c>
      <c r="N6401">
        <f>HYPERLINK("https://www.wikidata.org/wiki/Q16025501", "Q16025501")</f>
        <v>0</v>
      </c>
      <c r="O6401" t="s">
        <v>19965</v>
      </c>
      <c r="P6401" t="s">
        <v>20477</v>
      </c>
      <c r="Q6401" t="s">
        <v>20788</v>
      </c>
      <c r="R6401" t="s">
        <v>418</v>
      </c>
      <c r="S6401">
        <v>1731</v>
      </c>
    </row>
    <row r="6402" spans="1:19">
      <c r="A6402" t="s">
        <v>28</v>
      </c>
      <c r="B6402" t="s">
        <v>148</v>
      </c>
      <c r="C6402" t="s">
        <v>160</v>
      </c>
      <c r="D6402" t="s">
        <v>289</v>
      </c>
      <c r="E6402" t="s">
        <v>418</v>
      </c>
      <c r="F6402">
        <f>HYPERLINK("https://www.wikidata.org/wiki/Q33755445", "Q33755445")</f>
        <v>0</v>
      </c>
      <c r="G6402" t="s">
        <v>3241</v>
      </c>
      <c r="H6402" t="s">
        <v>7665</v>
      </c>
      <c r="I6402" t="s">
        <v>10726</v>
      </c>
      <c r="J6402" t="s">
        <v>13859</v>
      </c>
      <c r="K6402" t="s">
        <v>18231</v>
      </c>
      <c r="L6402">
        <f>HYPERLINK("https://www2.assemblee-nationale.fr/sycomore/fiche/(num_dept)/2063", "2063")</f>
        <v>0</v>
      </c>
      <c r="M6402">
        <f>HYPERLINK("https://www.senat.fr/senateur-3eme-republique/cremieux_fernand0821r3.html", "cremieux_fernand0821r3")</f>
        <v>0</v>
      </c>
      <c r="N6402">
        <f>HYPERLINK("https://www.wikidata.org/wiki/Q1406493", "Q1406493")</f>
        <v>0</v>
      </c>
      <c r="O6402" t="s">
        <v>20014</v>
      </c>
      <c r="Q6402" t="s">
        <v>20788</v>
      </c>
      <c r="R6402" t="s">
        <v>418</v>
      </c>
      <c r="S6402">
        <v>1731</v>
      </c>
    </row>
    <row r="6403" spans="1:19">
      <c r="A6403" t="s">
        <v>28</v>
      </c>
      <c r="B6403" t="s">
        <v>148</v>
      </c>
      <c r="C6403" t="s">
        <v>160</v>
      </c>
      <c r="D6403" t="s">
        <v>289</v>
      </c>
      <c r="E6403" t="s">
        <v>418</v>
      </c>
      <c r="F6403">
        <f>HYPERLINK("https://www.wikidata.org/wiki/Q33755445", "Q33755445")</f>
        <v>0</v>
      </c>
      <c r="G6403" t="s">
        <v>3759</v>
      </c>
      <c r="H6403" t="s">
        <v>8057</v>
      </c>
      <c r="I6403" t="s">
        <v>6495</v>
      </c>
      <c r="J6403" t="s">
        <v>14331</v>
      </c>
      <c r="K6403" t="s">
        <v>18684</v>
      </c>
      <c r="L6403">
        <f>HYPERLINK("https://www2.assemblee-nationale.fr/sycomore/fiche/(num_dept)/2076", "2076")</f>
        <v>0</v>
      </c>
      <c r="N6403">
        <f>HYPERLINK("https://www.wikidata.org/wiki/Q16025506", "Q16025506")</f>
        <v>0</v>
      </c>
      <c r="O6403" t="s">
        <v>7411</v>
      </c>
      <c r="Q6403" t="s">
        <v>20788</v>
      </c>
      <c r="R6403" t="s">
        <v>418</v>
      </c>
      <c r="S6403">
        <v>1731</v>
      </c>
    </row>
    <row r="6404" spans="1:19">
      <c r="A6404" t="s">
        <v>28</v>
      </c>
      <c r="B6404" t="s">
        <v>148</v>
      </c>
      <c r="C6404" t="s">
        <v>160</v>
      </c>
      <c r="D6404" t="s">
        <v>289</v>
      </c>
      <c r="E6404" t="s">
        <v>418</v>
      </c>
      <c r="F6404">
        <f>HYPERLINK("https://www.wikidata.org/wiki/Q33755445", "Q33755445")</f>
        <v>0</v>
      </c>
      <c r="G6404" t="s">
        <v>3760</v>
      </c>
      <c r="H6404" t="s">
        <v>8058</v>
      </c>
      <c r="I6404" t="s">
        <v>10965</v>
      </c>
      <c r="J6404" t="s">
        <v>14332</v>
      </c>
      <c r="K6404" t="s">
        <v>18685</v>
      </c>
      <c r="L6404">
        <f>HYPERLINK("https://www2.assemblee-nationale.fr/sycomore/fiche/(num_dept)/2166", "2166")</f>
        <v>0</v>
      </c>
      <c r="N6404">
        <f>HYPERLINK("https://www.wikidata.org/wiki/Q3379684", "Q3379684")</f>
        <v>0</v>
      </c>
      <c r="O6404" t="s">
        <v>20043</v>
      </c>
      <c r="P6404" t="s">
        <v>20498</v>
      </c>
      <c r="Q6404" t="s">
        <v>20788</v>
      </c>
      <c r="R6404" t="s">
        <v>418</v>
      </c>
      <c r="S6404">
        <v>1731</v>
      </c>
    </row>
    <row r="6405" spans="1:19">
      <c r="A6405" t="s">
        <v>28</v>
      </c>
      <c r="B6405" t="s">
        <v>148</v>
      </c>
      <c r="C6405" t="s">
        <v>160</v>
      </c>
      <c r="D6405" t="s">
        <v>289</v>
      </c>
      <c r="E6405" t="s">
        <v>418</v>
      </c>
      <c r="F6405">
        <f>HYPERLINK("https://www.wikidata.org/wiki/Q33755445", "Q33755445")</f>
        <v>0</v>
      </c>
      <c r="G6405" t="s">
        <v>3761</v>
      </c>
      <c r="H6405" t="s">
        <v>8059</v>
      </c>
      <c r="I6405" t="s">
        <v>10966</v>
      </c>
      <c r="J6405" t="s">
        <v>12240</v>
      </c>
      <c r="K6405" t="s">
        <v>18686</v>
      </c>
      <c r="L6405">
        <f>HYPERLINK("https://www2.assemblee-nationale.fr/sycomore/fiche/(num_dept)/2207", "2207")</f>
        <v>0</v>
      </c>
      <c r="M6405">
        <f>HYPERLINK("https://www.senat.fr/senateur-3eme-republique/decker_david_paul0148r3.html", "decker_david_paul0148r3")</f>
        <v>0</v>
      </c>
      <c r="N6405">
        <f>HYPERLINK("https://www.wikidata.org/wiki/Q3370999", "Q3370999")</f>
        <v>0</v>
      </c>
      <c r="O6405" t="s">
        <v>20003</v>
      </c>
      <c r="P6405" t="s">
        <v>20498</v>
      </c>
      <c r="Q6405" t="s">
        <v>20788</v>
      </c>
      <c r="R6405" t="s">
        <v>418</v>
      </c>
      <c r="S6405">
        <v>1731</v>
      </c>
    </row>
    <row r="6406" spans="1:19">
      <c r="A6406" t="s">
        <v>28</v>
      </c>
      <c r="B6406" t="s">
        <v>148</v>
      </c>
      <c r="C6406" t="s">
        <v>160</v>
      </c>
      <c r="D6406" t="s">
        <v>289</v>
      </c>
      <c r="E6406" t="s">
        <v>418</v>
      </c>
      <c r="F6406">
        <f>HYPERLINK("https://www.wikidata.org/wiki/Q33755445", "Q33755445")</f>
        <v>0</v>
      </c>
      <c r="G6406" t="s">
        <v>603</v>
      </c>
      <c r="H6406" t="s">
        <v>5363</v>
      </c>
      <c r="I6406" t="s">
        <v>9447</v>
      </c>
      <c r="J6406" t="s">
        <v>11354</v>
      </c>
      <c r="K6406" t="s">
        <v>15755</v>
      </c>
      <c r="L6406">
        <f>HYPERLINK("https://www2.assemblee-nationale.fr/sycomore/fiche/(num_dept)/2240", "2240")</f>
        <v>0</v>
      </c>
      <c r="N6406">
        <f>HYPERLINK("https://www.wikidata.org/wiki/Q11954687", "Q11954687")</f>
        <v>0</v>
      </c>
      <c r="O6406" t="s">
        <v>19969</v>
      </c>
      <c r="Q6406" t="s">
        <v>20788</v>
      </c>
      <c r="R6406" t="s">
        <v>418</v>
      </c>
      <c r="S6406">
        <v>1731</v>
      </c>
    </row>
    <row r="6407" spans="1:19">
      <c r="A6407" t="s">
        <v>28</v>
      </c>
      <c r="B6407" t="s">
        <v>148</v>
      </c>
      <c r="C6407" t="s">
        <v>160</v>
      </c>
      <c r="D6407" t="s">
        <v>289</v>
      </c>
      <c r="E6407" t="s">
        <v>418</v>
      </c>
      <c r="F6407">
        <f>HYPERLINK("https://www.wikidata.org/wiki/Q33755445", "Q33755445")</f>
        <v>0</v>
      </c>
      <c r="G6407" t="s">
        <v>3762</v>
      </c>
      <c r="H6407" t="s">
        <v>8060</v>
      </c>
      <c r="I6407" t="s">
        <v>9895</v>
      </c>
      <c r="J6407" t="s">
        <v>14333</v>
      </c>
      <c r="K6407" t="s">
        <v>18624</v>
      </c>
      <c r="L6407">
        <f>HYPERLINK("https://www2.assemblee-nationale.fr/sycomore/fiche/(num_dept)/2267", "2267")</f>
        <v>0</v>
      </c>
      <c r="N6407">
        <f>HYPERLINK("https://www.wikidata.org/wiki/Q16025545", "Q16025545")</f>
        <v>0</v>
      </c>
      <c r="O6407" t="s">
        <v>19999</v>
      </c>
      <c r="P6407" t="s">
        <v>20401</v>
      </c>
      <c r="Q6407" t="s">
        <v>20788</v>
      </c>
      <c r="R6407" t="s">
        <v>418</v>
      </c>
      <c r="S6407">
        <v>1731</v>
      </c>
    </row>
    <row r="6408" spans="1:19">
      <c r="A6408" t="s">
        <v>28</v>
      </c>
      <c r="B6408" t="s">
        <v>148</v>
      </c>
      <c r="C6408" t="s">
        <v>160</v>
      </c>
      <c r="D6408" t="s">
        <v>289</v>
      </c>
      <c r="E6408" t="s">
        <v>418</v>
      </c>
      <c r="F6408">
        <f>HYPERLINK("https://www.wikidata.org/wiki/Q33755445", "Q33755445")</f>
        <v>0</v>
      </c>
      <c r="G6408" t="s">
        <v>3763</v>
      </c>
      <c r="H6408" t="s">
        <v>8061</v>
      </c>
      <c r="I6408" t="s">
        <v>10967</v>
      </c>
      <c r="J6408" t="s">
        <v>14334</v>
      </c>
      <c r="K6408" t="s">
        <v>18687</v>
      </c>
      <c r="L6408">
        <f>HYPERLINK("https://www2.assemblee-nationale.fr/sycomore/fiche/(num_dept)/2280", "2280")</f>
        <v>0</v>
      </c>
      <c r="N6408">
        <f>HYPERLINK("https://www.wikidata.org/wiki/Q3056919", "Q3056919")</f>
        <v>0</v>
      </c>
      <c r="O6408" t="s">
        <v>20026</v>
      </c>
      <c r="P6408" t="s">
        <v>20402</v>
      </c>
      <c r="Q6408" t="s">
        <v>20788</v>
      </c>
      <c r="R6408" t="s">
        <v>418</v>
      </c>
      <c r="S6408">
        <v>1731</v>
      </c>
    </row>
    <row r="6409" spans="1:19">
      <c r="A6409" t="s">
        <v>28</v>
      </c>
      <c r="B6409" t="s">
        <v>148</v>
      </c>
      <c r="C6409" t="s">
        <v>160</v>
      </c>
      <c r="D6409" t="s">
        <v>289</v>
      </c>
      <c r="E6409" t="s">
        <v>418</v>
      </c>
      <c r="F6409">
        <f>HYPERLINK("https://www.wikidata.org/wiki/Q33755445", "Q33755445")</f>
        <v>0</v>
      </c>
      <c r="G6409" t="s">
        <v>3764</v>
      </c>
      <c r="H6409" t="s">
        <v>8062</v>
      </c>
      <c r="I6409" t="s">
        <v>9388</v>
      </c>
      <c r="J6409" t="s">
        <v>14335</v>
      </c>
      <c r="K6409" t="s">
        <v>18688</v>
      </c>
      <c r="L6409">
        <f>HYPERLINK("https://www2.assemblee-nationale.fr/sycomore/fiche/(num_dept)/2325", "2325")</f>
        <v>0</v>
      </c>
      <c r="N6409">
        <f>HYPERLINK("https://www.wikidata.org/wiki/Q3371024", "Q3371024")</f>
        <v>0</v>
      </c>
      <c r="O6409" t="s">
        <v>20033</v>
      </c>
      <c r="P6409" t="s">
        <v>20457</v>
      </c>
      <c r="Q6409" t="s">
        <v>20788</v>
      </c>
      <c r="R6409" t="s">
        <v>418</v>
      </c>
      <c r="S6409">
        <v>1731</v>
      </c>
    </row>
    <row r="6410" spans="1:19">
      <c r="A6410" t="s">
        <v>28</v>
      </c>
      <c r="B6410" t="s">
        <v>148</v>
      </c>
      <c r="C6410" t="s">
        <v>160</v>
      </c>
      <c r="D6410" t="s">
        <v>289</v>
      </c>
      <c r="E6410" t="s">
        <v>418</v>
      </c>
      <c r="F6410">
        <f>HYPERLINK("https://www.wikidata.org/wiki/Q33755445", "Q33755445")</f>
        <v>0</v>
      </c>
      <c r="G6410" t="s">
        <v>2549</v>
      </c>
      <c r="H6410" t="s">
        <v>7108</v>
      </c>
      <c r="I6410" t="s">
        <v>6860</v>
      </c>
      <c r="J6410" t="s">
        <v>13193</v>
      </c>
      <c r="K6410" t="s">
        <v>17598</v>
      </c>
      <c r="L6410">
        <f>HYPERLINK("https://www2.assemblee-nationale.fr/sycomore/fiche/(num_dept)/2353", "2353")</f>
        <v>0</v>
      </c>
      <c r="N6410">
        <f>HYPERLINK("https://www.wikidata.org/wiki/Q3384693", "Q3384693")</f>
        <v>0</v>
      </c>
      <c r="O6410" t="s">
        <v>20043</v>
      </c>
      <c r="P6410" t="s">
        <v>20461</v>
      </c>
      <c r="Q6410" t="s">
        <v>20788</v>
      </c>
      <c r="R6410" t="s">
        <v>418</v>
      </c>
      <c r="S6410">
        <v>1731</v>
      </c>
    </row>
    <row r="6411" spans="1:19">
      <c r="A6411" t="s">
        <v>28</v>
      </c>
      <c r="B6411" t="s">
        <v>148</v>
      </c>
      <c r="C6411" t="s">
        <v>160</v>
      </c>
      <c r="D6411" t="s">
        <v>289</v>
      </c>
      <c r="E6411" t="s">
        <v>418</v>
      </c>
      <c r="F6411">
        <f>HYPERLINK("https://www.wikidata.org/wiki/Q33755445", "Q33755445")</f>
        <v>0</v>
      </c>
      <c r="G6411" t="s">
        <v>3029</v>
      </c>
      <c r="H6411" t="s">
        <v>7486</v>
      </c>
      <c r="I6411" t="s">
        <v>6495</v>
      </c>
      <c r="J6411" t="s">
        <v>13657</v>
      </c>
      <c r="K6411" t="s">
        <v>18040</v>
      </c>
      <c r="L6411">
        <f>HYPERLINK("https://www2.assemblee-nationale.fr/sycomore/fiche/(num_dept)/2398", "2398")</f>
        <v>0</v>
      </c>
      <c r="N6411">
        <f>HYPERLINK("https://www.wikidata.org/wiki/Q3056924", "Q3056924")</f>
        <v>0</v>
      </c>
      <c r="O6411" t="s">
        <v>20035</v>
      </c>
      <c r="P6411" t="s">
        <v>20401</v>
      </c>
      <c r="Q6411" t="s">
        <v>20788</v>
      </c>
      <c r="R6411" t="s">
        <v>418</v>
      </c>
      <c r="S6411">
        <v>1731</v>
      </c>
    </row>
    <row r="6412" spans="1:19">
      <c r="A6412" t="s">
        <v>28</v>
      </c>
      <c r="B6412" t="s">
        <v>148</v>
      </c>
      <c r="C6412" t="s">
        <v>160</v>
      </c>
      <c r="D6412" t="s">
        <v>289</v>
      </c>
      <c r="E6412" t="s">
        <v>418</v>
      </c>
      <c r="F6412">
        <f>HYPERLINK("https://www.wikidata.org/wiki/Q33755445", "Q33755445")</f>
        <v>0</v>
      </c>
      <c r="G6412" t="s">
        <v>3765</v>
      </c>
      <c r="H6412" t="s">
        <v>8063</v>
      </c>
      <c r="I6412" t="s">
        <v>9440</v>
      </c>
      <c r="J6412" t="s">
        <v>14336</v>
      </c>
      <c r="K6412" t="s">
        <v>18689</v>
      </c>
      <c r="L6412">
        <f>HYPERLINK("https://www2.assemblee-nationale.fr/sycomore/fiche/(num_dept)/2430", "2430")</f>
        <v>0</v>
      </c>
      <c r="N6412">
        <f>HYPERLINK("https://www.wikidata.org/wiki/Q16025574", "Q16025574")</f>
        <v>0</v>
      </c>
      <c r="O6412" t="s">
        <v>20020</v>
      </c>
      <c r="P6412" t="s">
        <v>20479</v>
      </c>
      <c r="Q6412" t="s">
        <v>20788</v>
      </c>
      <c r="R6412" t="s">
        <v>418</v>
      </c>
      <c r="S6412">
        <v>1731</v>
      </c>
    </row>
    <row r="6413" spans="1:19">
      <c r="A6413" t="s">
        <v>28</v>
      </c>
      <c r="B6413" t="s">
        <v>148</v>
      </c>
      <c r="C6413" t="s">
        <v>160</v>
      </c>
      <c r="D6413" t="s">
        <v>289</v>
      </c>
      <c r="E6413" t="s">
        <v>418</v>
      </c>
      <c r="F6413">
        <f>HYPERLINK("https://www.wikidata.org/wiki/Q33755445", "Q33755445")</f>
        <v>0</v>
      </c>
      <c r="G6413" t="s">
        <v>3766</v>
      </c>
      <c r="H6413" t="s">
        <v>8064</v>
      </c>
      <c r="I6413" t="s">
        <v>10017</v>
      </c>
      <c r="J6413" t="s">
        <v>14337</v>
      </c>
      <c r="K6413" t="s">
        <v>16165</v>
      </c>
      <c r="L6413">
        <f>HYPERLINK("https://www2.assemblee-nationale.fr/sycomore/fiche/(num_dept)/2431", "2431")</f>
        <v>0</v>
      </c>
      <c r="N6413">
        <f>HYPERLINK("https://www.wikidata.org/wiki/Q2857112", "Q2857112")</f>
        <v>0</v>
      </c>
      <c r="O6413" t="s">
        <v>19979</v>
      </c>
      <c r="P6413" t="s">
        <v>20406</v>
      </c>
      <c r="Q6413" t="s">
        <v>20788</v>
      </c>
      <c r="R6413" t="s">
        <v>418</v>
      </c>
      <c r="S6413">
        <v>1731</v>
      </c>
    </row>
    <row r="6414" spans="1:19">
      <c r="A6414" t="s">
        <v>28</v>
      </c>
      <c r="B6414" t="s">
        <v>148</v>
      </c>
      <c r="C6414" t="s">
        <v>160</v>
      </c>
      <c r="D6414" t="s">
        <v>289</v>
      </c>
      <c r="E6414" t="s">
        <v>418</v>
      </c>
      <c r="F6414">
        <f>HYPERLINK("https://www.wikidata.org/wiki/Q33755445", "Q33755445")</f>
        <v>0</v>
      </c>
      <c r="G6414" t="s">
        <v>3672</v>
      </c>
      <c r="H6414" t="s">
        <v>7999</v>
      </c>
      <c r="I6414" t="s">
        <v>10927</v>
      </c>
      <c r="J6414" t="s">
        <v>14251</v>
      </c>
      <c r="K6414" t="s">
        <v>18610</v>
      </c>
      <c r="L6414">
        <f>HYPERLINK("https://www2.assemblee-nationale.fr/sycomore/fiche/(num_dept)/2519", "2519")</f>
        <v>0</v>
      </c>
      <c r="N6414">
        <f>HYPERLINK("https://www.wikidata.org/wiki/Q16025599", "Q16025599")</f>
        <v>0</v>
      </c>
      <c r="O6414" t="s">
        <v>19991</v>
      </c>
      <c r="P6414" t="s">
        <v>20471</v>
      </c>
      <c r="Q6414" t="s">
        <v>20788</v>
      </c>
      <c r="R6414" t="s">
        <v>418</v>
      </c>
      <c r="S6414">
        <v>1731</v>
      </c>
    </row>
    <row r="6415" spans="1:19">
      <c r="A6415" t="s">
        <v>28</v>
      </c>
      <c r="B6415" t="s">
        <v>148</v>
      </c>
      <c r="C6415" t="s">
        <v>160</v>
      </c>
      <c r="D6415" t="s">
        <v>289</v>
      </c>
      <c r="E6415" t="s">
        <v>418</v>
      </c>
      <c r="F6415">
        <f>HYPERLINK("https://www.wikidata.org/wiki/Q33755445", "Q33755445")</f>
        <v>0</v>
      </c>
      <c r="G6415" t="s">
        <v>3767</v>
      </c>
      <c r="H6415" t="s">
        <v>8065</v>
      </c>
      <c r="I6415" t="s">
        <v>10968</v>
      </c>
      <c r="J6415" t="s">
        <v>14338</v>
      </c>
      <c r="K6415" t="s">
        <v>18690</v>
      </c>
      <c r="L6415">
        <f>HYPERLINK("https://www2.assemblee-nationale.fr/sycomore/fiche/(num_dept)/2581", "2581")</f>
        <v>0</v>
      </c>
      <c r="N6415">
        <f>HYPERLINK("https://www.wikidata.org/wiki/Q3158769", "Q3158769")</f>
        <v>0</v>
      </c>
      <c r="O6415" t="s">
        <v>20008</v>
      </c>
      <c r="P6415" t="s">
        <v>20479</v>
      </c>
      <c r="Q6415" t="s">
        <v>20788</v>
      </c>
      <c r="R6415" t="s">
        <v>418</v>
      </c>
      <c r="S6415">
        <v>1731</v>
      </c>
    </row>
    <row r="6416" spans="1:19">
      <c r="A6416" t="s">
        <v>28</v>
      </c>
      <c r="B6416" t="s">
        <v>148</v>
      </c>
      <c r="C6416" t="s">
        <v>160</v>
      </c>
      <c r="D6416" t="s">
        <v>289</v>
      </c>
      <c r="E6416" t="s">
        <v>418</v>
      </c>
      <c r="F6416">
        <f>HYPERLINK("https://www.wikidata.org/wiki/Q33755445", "Q33755445")</f>
        <v>0</v>
      </c>
      <c r="G6416" t="s">
        <v>936</v>
      </c>
      <c r="H6416" t="s">
        <v>5692</v>
      </c>
      <c r="I6416" t="s">
        <v>9421</v>
      </c>
      <c r="J6416" t="s">
        <v>11677</v>
      </c>
      <c r="K6416" t="s">
        <v>16078</v>
      </c>
      <c r="L6416">
        <f>HYPERLINK("https://www2.assemblee-nationale.fr/sycomore/fiche/(num_dept)/2595", "2595")</f>
        <v>0</v>
      </c>
      <c r="M6416">
        <f>HYPERLINK("https://www.senat.fr/senateur-3eme-republique/dron_gustave1388r3.html", "dron_gustave1388r3")</f>
        <v>0</v>
      </c>
      <c r="N6416">
        <f>HYPERLINK("https://www.wikidata.org/wiki/Q3121171", "Q3121171")</f>
        <v>0</v>
      </c>
      <c r="O6416" t="s">
        <v>20013</v>
      </c>
      <c r="Q6416" t="s">
        <v>20788</v>
      </c>
      <c r="R6416" t="s">
        <v>418</v>
      </c>
      <c r="S6416">
        <v>1731</v>
      </c>
    </row>
    <row r="6417" spans="1:19">
      <c r="A6417" t="s">
        <v>28</v>
      </c>
      <c r="B6417" t="s">
        <v>148</v>
      </c>
      <c r="C6417" t="s">
        <v>160</v>
      </c>
      <c r="D6417" t="s">
        <v>289</v>
      </c>
      <c r="E6417" t="s">
        <v>418</v>
      </c>
      <c r="F6417">
        <f>HYPERLINK("https://www.wikidata.org/wiki/Q33755445", "Q33755445")</f>
        <v>0</v>
      </c>
      <c r="G6417" t="s">
        <v>3768</v>
      </c>
      <c r="H6417" t="s">
        <v>6145</v>
      </c>
      <c r="I6417" t="s">
        <v>10969</v>
      </c>
      <c r="J6417" t="s">
        <v>14339</v>
      </c>
      <c r="K6417" t="s">
        <v>18691</v>
      </c>
      <c r="L6417">
        <f>HYPERLINK("https://www2.assemblee-nationale.fr/sycomore/fiche/(num_dept)/2656", "2656")</f>
        <v>0</v>
      </c>
      <c r="N6417">
        <f>HYPERLINK("https://www.wikidata.org/wiki/Q3184878", "Q3184878")</f>
        <v>0</v>
      </c>
      <c r="O6417" t="s">
        <v>20047</v>
      </c>
      <c r="Q6417" t="s">
        <v>20788</v>
      </c>
      <c r="R6417" t="s">
        <v>418</v>
      </c>
      <c r="S6417">
        <v>1731</v>
      </c>
    </row>
    <row r="6418" spans="1:19">
      <c r="A6418" t="s">
        <v>28</v>
      </c>
      <c r="B6418" t="s">
        <v>148</v>
      </c>
      <c r="C6418" t="s">
        <v>160</v>
      </c>
      <c r="D6418" t="s">
        <v>289</v>
      </c>
      <c r="E6418" t="s">
        <v>418</v>
      </c>
      <c r="F6418">
        <f>HYPERLINK("https://www.wikidata.org/wiki/Q33755445", "Q33755445")</f>
        <v>0</v>
      </c>
      <c r="G6418" t="s">
        <v>3769</v>
      </c>
      <c r="H6418" t="s">
        <v>7809</v>
      </c>
      <c r="I6418" t="s">
        <v>7911</v>
      </c>
      <c r="J6418" t="s">
        <v>14340</v>
      </c>
      <c r="K6418" t="s">
        <v>18692</v>
      </c>
      <c r="L6418">
        <f>HYPERLINK("https://www2.assemblee-nationale.fr/sycomore/fiche/(num_dept)/2666", "2666")</f>
        <v>0</v>
      </c>
      <c r="N6418">
        <f>HYPERLINK("https://www.wikidata.org/wiki/Q3093717", "Q3093717")</f>
        <v>0</v>
      </c>
      <c r="O6418" t="s">
        <v>20037</v>
      </c>
      <c r="P6418" t="s">
        <v>20410</v>
      </c>
      <c r="Q6418" t="s">
        <v>20788</v>
      </c>
      <c r="R6418" t="s">
        <v>418</v>
      </c>
      <c r="S6418">
        <v>1731</v>
      </c>
    </row>
    <row r="6419" spans="1:19">
      <c r="A6419" t="s">
        <v>28</v>
      </c>
      <c r="B6419" t="s">
        <v>148</v>
      </c>
      <c r="C6419" t="s">
        <v>160</v>
      </c>
      <c r="D6419" t="s">
        <v>289</v>
      </c>
      <c r="E6419" t="s">
        <v>418</v>
      </c>
      <c r="F6419">
        <f>HYPERLINK("https://www.wikidata.org/wiki/Q33755445", "Q33755445")</f>
        <v>0</v>
      </c>
      <c r="G6419" t="s">
        <v>3770</v>
      </c>
      <c r="H6419" t="s">
        <v>5702</v>
      </c>
      <c r="I6419" t="s">
        <v>10970</v>
      </c>
      <c r="J6419" t="s">
        <v>12190</v>
      </c>
      <c r="K6419" t="s">
        <v>18062</v>
      </c>
      <c r="L6419">
        <f>HYPERLINK("https://www2.assemblee-nationale.fr/sycomore/fiche/(num_dept)/2692", "2692")</f>
        <v>0</v>
      </c>
      <c r="N6419">
        <f>HYPERLINK("https://www.wikidata.org/wiki/Q16025637", "Q16025637")</f>
        <v>0</v>
      </c>
      <c r="O6419" t="s">
        <v>20019</v>
      </c>
      <c r="Q6419" t="s">
        <v>20788</v>
      </c>
      <c r="R6419" t="s">
        <v>418</v>
      </c>
      <c r="S6419">
        <v>1731</v>
      </c>
    </row>
    <row r="6420" spans="1:19">
      <c r="A6420" t="s">
        <v>28</v>
      </c>
      <c r="B6420" t="s">
        <v>148</v>
      </c>
      <c r="C6420" t="s">
        <v>160</v>
      </c>
      <c r="D6420" t="s">
        <v>289</v>
      </c>
      <c r="E6420" t="s">
        <v>418</v>
      </c>
      <c r="F6420">
        <f>HYPERLINK("https://www.wikidata.org/wiki/Q33755445", "Q33755445")</f>
        <v>0</v>
      </c>
      <c r="G6420" t="s">
        <v>949</v>
      </c>
      <c r="H6420" t="s">
        <v>5703</v>
      </c>
      <c r="I6420" t="s">
        <v>9598</v>
      </c>
      <c r="J6420" t="s">
        <v>11690</v>
      </c>
      <c r="K6420" t="s">
        <v>16091</v>
      </c>
      <c r="L6420">
        <f>HYPERLINK("https://www2.assemblee-nationale.fr/sycomore/fiche/(num_dept)/2711", "2711")</f>
        <v>0</v>
      </c>
      <c r="N6420">
        <f>HYPERLINK("https://www.wikidata.org/wiki/Q15971901", "Q15971901")</f>
        <v>0</v>
      </c>
      <c r="O6420" t="s">
        <v>19959</v>
      </c>
      <c r="Q6420" t="s">
        <v>20788</v>
      </c>
      <c r="R6420" t="s">
        <v>418</v>
      </c>
      <c r="S6420">
        <v>1731</v>
      </c>
    </row>
    <row r="6421" spans="1:19">
      <c r="A6421" t="s">
        <v>28</v>
      </c>
      <c r="B6421" t="s">
        <v>148</v>
      </c>
      <c r="C6421" t="s">
        <v>160</v>
      </c>
      <c r="D6421" t="s">
        <v>289</v>
      </c>
      <c r="E6421" t="s">
        <v>418</v>
      </c>
      <c r="F6421">
        <f>HYPERLINK("https://www.wikidata.org/wiki/Q33755445", "Q33755445")</f>
        <v>0</v>
      </c>
      <c r="G6421" t="s">
        <v>3771</v>
      </c>
      <c r="H6421" t="s">
        <v>5389</v>
      </c>
      <c r="I6421" t="s">
        <v>10971</v>
      </c>
      <c r="J6421" t="s">
        <v>14341</v>
      </c>
      <c r="K6421" t="s">
        <v>18693</v>
      </c>
      <c r="L6421">
        <f>HYPERLINK("https://www2.assemblee-nationale.fr/sycomore/fiche/(num_dept)/2783", "2783")</f>
        <v>0</v>
      </c>
      <c r="N6421">
        <f>HYPERLINK("https://www.wikidata.org/wiki/Q16025660", "Q16025660")</f>
        <v>0</v>
      </c>
      <c r="O6421" t="s">
        <v>20012</v>
      </c>
      <c r="P6421" t="s">
        <v>20493</v>
      </c>
      <c r="Q6421" t="s">
        <v>20788</v>
      </c>
      <c r="R6421" t="s">
        <v>18693</v>
      </c>
      <c r="S6421">
        <v>152</v>
      </c>
    </row>
    <row r="6422" spans="1:19">
      <c r="A6422" t="s">
        <v>28</v>
      </c>
      <c r="B6422" t="s">
        <v>148</v>
      </c>
      <c r="C6422" t="s">
        <v>160</v>
      </c>
      <c r="D6422" t="s">
        <v>289</v>
      </c>
      <c r="E6422" t="s">
        <v>418</v>
      </c>
      <c r="F6422">
        <f>HYPERLINK("https://www.wikidata.org/wiki/Q33755445", "Q33755445")</f>
        <v>0</v>
      </c>
      <c r="G6422" t="s">
        <v>3772</v>
      </c>
      <c r="H6422" t="s">
        <v>8066</v>
      </c>
      <c r="I6422" t="s">
        <v>9388</v>
      </c>
      <c r="J6422" t="s">
        <v>14342</v>
      </c>
      <c r="K6422" t="s">
        <v>18694</v>
      </c>
      <c r="L6422">
        <f>HYPERLINK("https://www2.assemblee-nationale.fr/sycomore/fiche/(num_dept)/2785", "2785")</f>
        <v>0</v>
      </c>
      <c r="N6422">
        <f>HYPERLINK("https://www.wikidata.org/wiki/Q2406994", "Q2406994")</f>
        <v>0</v>
      </c>
      <c r="O6422" t="s">
        <v>19968</v>
      </c>
      <c r="P6422" t="s">
        <v>20410</v>
      </c>
      <c r="Q6422" t="s">
        <v>20788</v>
      </c>
      <c r="R6422" t="s">
        <v>418</v>
      </c>
      <c r="S6422">
        <v>1731</v>
      </c>
    </row>
    <row r="6423" spans="1:19">
      <c r="A6423" t="s">
        <v>28</v>
      </c>
      <c r="B6423" t="s">
        <v>148</v>
      </c>
      <c r="C6423" t="s">
        <v>160</v>
      </c>
      <c r="D6423" t="s">
        <v>289</v>
      </c>
      <c r="E6423" t="s">
        <v>418</v>
      </c>
      <c r="F6423">
        <f>HYPERLINK("https://www.wikidata.org/wiki/Q33755445", "Q33755445")</f>
        <v>0</v>
      </c>
      <c r="G6423" t="s">
        <v>3773</v>
      </c>
      <c r="H6423" t="s">
        <v>8067</v>
      </c>
      <c r="I6423" t="s">
        <v>9385</v>
      </c>
      <c r="J6423" t="s">
        <v>14343</v>
      </c>
      <c r="K6423" t="s">
        <v>18695</v>
      </c>
      <c r="L6423">
        <f>HYPERLINK("https://www2.assemblee-nationale.fr/sycomore/fiche/(num_dept)/2797", "2797")</f>
        <v>0</v>
      </c>
      <c r="N6423">
        <f>HYPERLINK("https://www.wikidata.org/wiki/Q16025662", "Q16025662")</f>
        <v>0</v>
      </c>
      <c r="O6423" t="s">
        <v>8449</v>
      </c>
      <c r="P6423" t="s">
        <v>20477</v>
      </c>
      <c r="Q6423" t="s">
        <v>20788</v>
      </c>
      <c r="R6423" t="s">
        <v>418</v>
      </c>
      <c r="S6423">
        <v>1731</v>
      </c>
    </row>
    <row r="6424" spans="1:19">
      <c r="A6424" t="s">
        <v>28</v>
      </c>
      <c r="B6424" t="s">
        <v>148</v>
      </c>
      <c r="C6424" t="s">
        <v>160</v>
      </c>
      <c r="D6424" t="s">
        <v>289</v>
      </c>
      <c r="E6424" t="s">
        <v>418</v>
      </c>
      <c r="F6424">
        <f>HYPERLINK("https://www.wikidata.org/wiki/Q33755445", "Q33755445")</f>
        <v>0</v>
      </c>
      <c r="G6424" t="s">
        <v>3774</v>
      </c>
      <c r="H6424" t="s">
        <v>8068</v>
      </c>
      <c r="I6424" t="s">
        <v>8240</v>
      </c>
      <c r="J6424" t="s">
        <v>14344</v>
      </c>
      <c r="K6424" t="s">
        <v>18696</v>
      </c>
      <c r="L6424">
        <f>HYPERLINK("https://www2.assemblee-nationale.fr/sycomore/fiche/(num_dept)/2875", "2875")</f>
        <v>0</v>
      </c>
      <c r="N6424">
        <f>HYPERLINK("https://www.wikidata.org/wiki/Q13088837", "Q13088837")</f>
        <v>0</v>
      </c>
      <c r="O6424" t="s">
        <v>19969</v>
      </c>
      <c r="P6424" t="s">
        <v>20485</v>
      </c>
      <c r="Q6424" t="s">
        <v>20788</v>
      </c>
      <c r="R6424" t="s">
        <v>418</v>
      </c>
      <c r="S6424">
        <v>1731</v>
      </c>
    </row>
    <row r="6425" spans="1:19">
      <c r="A6425" t="s">
        <v>28</v>
      </c>
      <c r="B6425" t="s">
        <v>148</v>
      </c>
      <c r="C6425" t="s">
        <v>160</v>
      </c>
      <c r="D6425" t="s">
        <v>289</v>
      </c>
      <c r="E6425" t="s">
        <v>418</v>
      </c>
      <c r="F6425">
        <f>HYPERLINK("https://www.wikidata.org/wiki/Q33755445", "Q33755445")</f>
        <v>0</v>
      </c>
      <c r="G6425" t="s">
        <v>3775</v>
      </c>
      <c r="H6425" t="s">
        <v>8069</v>
      </c>
      <c r="I6425" t="s">
        <v>7308</v>
      </c>
      <c r="J6425" t="s">
        <v>14345</v>
      </c>
      <c r="K6425" t="s">
        <v>18697</v>
      </c>
      <c r="L6425">
        <f>HYPERLINK("https://www2.assemblee-nationale.fr/sycomore/fiche/(num_dept)/3014", "3014")</f>
        <v>0</v>
      </c>
      <c r="N6425">
        <f>HYPERLINK("https://www.wikidata.org/wiki/Q8324901", "Q8324901")</f>
        <v>0</v>
      </c>
      <c r="O6425" t="s">
        <v>20015</v>
      </c>
      <c r="P6425" t="s">
        <v>20410</v>
      </c>
      <c r="Q6425" t="s">
        <v>20788</v>
      </c>
      <c r="R6425" t="s">
        <v>418</v>
      </c>
      <c r="S6425">
        <v>1731</v>
      </c>
    </row>
    <row r="6426" spans="1:19">
      <c r="A6426" t="s">
        <v>28</v>
      </c>
      <c r="B6426" t="s">
        <v>148</v>
      </c>
      <c r="C6426" t="s">
        <v>160</v>
      </c>
      <c r="D6426" t="s">
        <v>289</v>
      </c>
      <c r="E6426" t="s">
        <v>418</v>
      </c>
      <c r="F6426">
        <f>HYPERLINK("https://www.wikidata.org/wiki/Q33755445", "Q33755445")</f>
        <v>0</v>
      </c>
      <c r="G6426" t="s">
        <v>3776</v>
      </c>
      <c r="H6426" t="s">
        <v>5402</v>
      </c>
      <c r="I6426" t="s">
        <v>9516</v>
      </c>
      <c r="J6426" t="s">
        <v>14346</v>
      </c>
      <c r="K6426" t="s">
        <v>18698</v>
      </c>
      <c r="L6426">
        <f>HYPERLINK("https://www2.assemblee-nationale.fr/sycomore/fiche/(num_dept)/3022", "3022")</f>
        <v>0</v>
      </c>
      <c r="M6426">
        <f>HYPERLINK("https://www.senat.fr/senateur-3eme-republique/flandin_etienne1832r3.html", "flandin_etienne1832r3")</f>
        <v>0</v>
      </c>
      <c r="N6426">
        <f>HYPERLINK("https://www.wikidata.org/wiki/Q3592162", "Q3592162")</f>
        <v>0</v>
      </c>
      <c r="O6426" t="s">
        <v>20034</v>
      </c>
      <c r="P6426" t="s">
        <v>20459</v>
      </c>
      <c r="Q6426" t="s">
        <v>20788</v>
      </c>
      <c r="R6426" t="s">
        <v>418</v>
      </c>
      <c r="S6426">
        <v>1731</v>
      </c>
    </row>
    <row r="6427" spans="1:19">
      <c r="A6427" t="s">
        <v>28</v>
      </c>
      <c r="B6427" t="s">
        <v>148</v>
      </c>
      <c r="C6427" t="s">
        <v>160</v>
      </c>
      <c r="D6427" t="s">
        <v>289</v>
      </c>
      <c r="E6427" t="s">
        <v>418</v>
      </c>
      <c r="F6427">
        <f>HYPERLINK("https://www.wikidata.org/wiki/Q33755445", "Q33755445")</f>
        <v>0</v>
      </c>
      <c r="G6427" t="s">
        <v>645</v>
      </c>
      <c r="H6427" t="s">
        <v>5404</v>
      </c>
      <c r="I6427" t="s">
        <v>6478</v>
      </c>
      <c r="J6427" t="s">
        <v>11395</v>
      </c>
      <c r="K6427" t="s">
        <v>15797</v>
      </c>
      <c r="L6427">
        <f>HYPERLINK("https://www2.assemblee-nationale.fr/sycomore/fiche/(num_dept)/3030", "3030")</f>
        <v>0</v>
      </c>
      <c r="M6427">
        <f>HYPERLINK("https://www.senat.fr/senateur-3eme-republique/fleury_ravarin_henry1128r3.html", "fleury_ravarin_henry1128r3")</f>
        <v>0</v>
      </c>
      <c r="N6427">
        <f>HYPERLINK("https://www.wikidata.org/wiki/Q3132778", "Q3132778")</f>
        <v>0</v>
      </c>
      <c r="O6427" t="s">
        <v>19965</v>
      </c>
      <c r="P6427" t="s">
        <v>20459</v>
      </c>
      <c r="Q6427" t="s">
        <v>20788</v>
      </c>
      <c r="R6427" t="s">
        <v>418</v>
      </c>
      <c r="S6427">
        <v>1731</v>
      </c>
    </row>
    <row r="6428" spans="1:19">
      <c r="A6428" t="s">
        <v>28</v>
      </c>
      <c r="B6428" t="s">
        <v>148</v>
      </c>
      <c r="C6428" t="s">
        <v>160</v>
      </c>
      <c r="D6428" t="s">
        <v>289</v>
      </c>
      <c r="E6428" t="s">
        <v>418</v>
      </c>
      <c r="F6428">
        <f>HYPERLINK("https://www.wikidata.org/wiki/Q33755445", "Q33755445")</f>
        <v>0</v>
      </c>
      <c r="G6428" t="s">
        <v>2581</v>
      </c>
      <c r="H6428" t="s">
        <v>7133</v>
      </c>
      <c r="I6428" t="s">
        <v>9421</v>
      </c>
      <c r="J6428" t="s">
        <v>13225</v>
      </c>
      <c r="K6428" t="s">
        <v>17628</v>
      </c>
      <c r="L6428">
        <f>HYPERLINK("https://www2.assemblee-nationale.fr/sycomore/fiche/(num_dept)/3132", "3132")</f>
        <v>0</v>
      </c>
      <c r="N6428">
        <f>HYPERLINK("https://www.wikidata.org/wiki/Q28123320", "Q28123320")</f>
        <v>0</v>
      </c>
      <c r="O6428" t="s">
        <v>20029</v>
      </c>
      <c r="P6428" t="s">
        <v>20485</v>
      </c>
      <c r="Q6428" t="s">
        <v>20788</v>
      </c>
      <c r="R6428" t="s">
        <v>418</v>
      </c>
      <c r="S6428">
        <v>1731</v>
      </c>
    </row>
    <row r="6429" spans="1:19">
      <c r="A6429" t="s">
        <v>28</v>
      </c>
      <c r="B6429" t="s">
        <v>148</v>
      </c>
      <c r="C6429" t="s">
        <v>160</v>
      </c>
      <c r="D6429" t="s">
        <v>289</v>
      </c>
      <c r="E6429" t="s">
        <v>418</v>
      </c>
      <c r="F6429">
        <f>HYPERLINK("https://www.wikidata.org/wiki/Q33755445", "Q33755445")</f>
        <v>0</v>
      </c>
      <c r="G6429" t="s">
        <v>2582</v>
      </c>
      <c r="H6429" t="s">
        <v>7134</v>
      </c>
      <c r="I6429" t="s">
        <v>10296</v>
      </c>
      <c r="J6429" t="s">
        <v>13226</v>
      </c>
      <c r="K6429" t="s">
        <v>17629</v>
      </c>
      <c r="L6429">
        <f>HYPERLINK("https://www2.assemblee-nationale.fr/sycomore/fiche/(num_dept)/3141", "3141")</f>
        <v>0</v>
      </c>
      <c r="N6429">
        <f>HYPERLINK("https://www.wikidata.org/wiki/Q13080830", "Q13080830")</f>
        <v>0</v>
      </c>
      <c r="O6429" t="s">
        <v>19969</v>
      </c>
      <c r="Q6429" t="s">
        <v>20788</v>
      </c>
      <c r="R6429" t="s">
        <v>418</v>
      </c>
      <c r="S6429">
        <v>1731</v>
      </c>
    </row>
    <row r="6430" spans="1:19">
      <c r="A6430" t="s">
        <v>28</v>
      </c>
      <c r="B6430" t="s">
        <v>148</v>
      </c>
      <c r="C6430" t="s">
        <v>160</v>
      </c>
      <c r="D6430" t="s">
        <v>289</v>
      </c>
      <c r="E6430" t="s">
        <v>418</v>
      </c>
      <c r="F6430">
        <f>HYPERLINK("https://www.wikidata.org/wiki/Q33755445", "Q33755445")</f>
        <v>0</v>
      </c>
      <c r="G6430" t="s">
        <v>3777</v>
      </c>
      <c r="H6430" t="s">
        <v>8070</v>
      </c>
      <c r="I6430" t="s">
        <v>9500</v>
      </c>
      <c r="J6430" t="s">
        <v>14347</v>
      </c>
      <c r="K6430" t="s">
        <v>18699</v>
      </c>
      <c r="L6430">
        <f>HYPERLINK("https://www2.assemblee-nationale.fr/sycomore/fiche/(num_dept)/3170", "3170")</f>
        <v>0</v>
      </c>
      <c r="M6430">
        <f>HYPERLINK("https://www.senat.fr/senateur-3eme-republique/fruchier_lazare0067r3.html", "fruchier_lazare0067r3")</f>
        <v>0</v>
      </c>
      <c r="N6430">
        <f>HYPERLINK("https://www.wikidata.org/wiki/Q3220003", "Q3220003")</f>
        <v>0</v>
      </c>
      <c r="O6430" t="s">
        <v>20033</v>
      </c>
      <c r="P6430" t="s">
        <v>20493</v>
      </c>
      <c r="Q6430" t="s">
        <v>20788</v>
      </c>
      <c r="R6430" t="s">
        <v>21546</v>
      </c>
      <c r="S6430">
        <v>782</v>
      </c>
    </row>
    <row r="6431" spans="1:19">
      <c r="A6431" t="s">
        <v>28</v>
      </c>
      <c r="B6431" t="s">
        <v>148</v>
      </c>
      <c r="C6431" t="s">
        <v>160</v>
      </c>
      <c r="D6431" t="s">
        <v>289</v>
      </c>
      <c r="E6431" t="s">
        <v>418</v>
      </c>
      <c r="F6431">
        <f>HYPERLINK("https://www.wikidata.org/wiki/Q33755445", "Q33755445")</f>
        <v>0</v>
      </c>
      <c r="G6431" t="s">
        <v>3778</v>
      </c>
      <c r="H6431" t="s">
        <v>8071</v>
      </c>
      <c r="I6431" t="s">
        <v>10972</v>
      </c>
      <c r="J6431" t="s">
        <v>14348</v>
      </c>
      <c r="K6431" t="s">
        <v>18700</v>
      </c>
      <c r="L6431">
        <f>HYPERLINK("https://www2.assemblee-nationale.fr/sycomore/fiche/(num_dept)/3274", "3274")</f>
        <v>0</v>
      </c>
      <c r="N6431">
        <f>HYPERLINK("https://www.wikidata.org/wiki/Q16025747", "Q16025747")</f>
        <v>0</v>
      </c>
      <c r="O6431" t="s">
        <v>20023</v>
      </c>
      <c r="Q6431" t="s">
        <v>20788</v>
      </c>
      <c r="R6431" t="s">
        <v>418</v>
      </c>
      <c r="S6431">
        <v>1731</v>
      </c>
    </row>
    <row r="6432" spans="1:19">
      <c r="A6432" t="s">
        <v>28</v>
      </c>
      <c r="B6432" t="s">
        <v>148</v>
      </c>
      <c r="C6432" t="s">
        <v>160</v>
      </c>
      <c r="D6432" t="s">
        <v>289</v>
      </c>
      <c r="E6432" t="s">
        <v>418</v>
      </c>
      <c r="F6432">
        <f>HYPERLINK("https://www.wikidata.org/wiki/Q33755445", "Q33755445")</f>
        <v>0</v>
      </c>
      <c r="G6432" t="s">
        <v>3445</v>
      </c>
      <c r="H6432" t="s">
        <v>7746</v>
      </c>
      <c r="I6432" t="s">
        <v>9612</v>
      </c>
      <c r="J6432" t="s">
        <v>14049</v>
      </c>
      <c r="K6432" t="s">
        <v>18417</v>
      </c>
      <c r="L6432">
        <f>HYPERLINK("https://www2.assemblee-nationale.fr/sycomore/fiche/(num_dept)/3301", "3301")</f>
        <v>0</v>
      </c>
      <c r="N6432">
        <f>HYPERLINK("https://www.wikidata.org/wiki/Q3089834", "Q3089834")</f>
        <v>0</v>
      </c>
      <c r="O6432" t="s">
        <v>20014</v>
      </c>
      <c r="Q6432" t="s">
        <v>20788</v>
      </c>
      <c r="R6432" t="s">
        <v>418</v>
      </c>
      <c r="S6432">
        <v>1731</v>
      </c>
    </row>
    <row r="6433" spans="1:19">
      <c r="A6433" t="s">
        <v>28</v>
      </c>
      <c r="B6433" t="s">
        <v>148</v>
      </c>
      <c r="C6433" t="s">
        <v>160</v>
      </c>
      <c r="D6433" t="s">
        <v>289</v>
      </c>
      <c r="E6433" t="s">
        <v>418</v>
      </c>
      <c r="F6433">
        <f>HYPERLINK("https://www.wikidata.org/wiki/Q33755445", "Q33755445")</f>
        <v>0</v>
      </c>
      <c r="G6433" t="s">
        <v>2589</v>
      </c>
      <c r="H6433" t="s">
        <v>6470</v>
      </c>
      <c r="I6433" t="s">
        <v>10299</v>
      </c>
      <c r="J6433" t="s">
        <v>11456</v>
      </c>
      <c r="K6433" t="s">
        <v>17636</v>
      </c>
      <c r="L6433">
        <f>HYPERLINK("https://www2.assemblee-nationale.fr/sycomore/fiche/(num_dept)/3309", "3309")</f>
        <v>0</v>
      </c>
      <c r="N6433">
        <f>HYPERLINK("https://www.wikidata.org/wiki/Q16025754", "Q16025754")</f>
        <v>0</v>
      </c>
      <c r="O6433" t="s">
        <v>20031</v>
      </c>
      <c r="Q6433" t="s">
        <v>20788</v>
      </c>
      <c r="R6433" t="s">
        <v>418</v>
      </c>
      <c r="S6433">
        <v>1731</v>
      </c>
    </row>
    <row r="6434" spans="1:19">
      <c r="A6434" t="s">
        <v>28</v>
      </c>
      <c r="B6434" t="s">
        <v>148</v>
      </c>
      <c r="C6434" t="s">
        <v>160</v>
      </c>
      <c r="D6434" t="s">
        <v>289</v>
      </c>
      <c r="E6434" t="s">
        <v>418</v>
      </c>
      <c r="F6434">
        <f>HYPERLINK("https://www.wikidata.org/wiki/Q33755445", "Q33755445")</f>
        <v>0</v>
      </c>
      <c r="G6434" t="s">
        <v>3779</v>
      </c>
      <c r="H6434" t="s">
        <v>8072</v>
      </c>
      <c r="I6434" t="s">
        <v>9692</v>
      </c>
      <c r="J6434" t="s">
        <v>14349</v>
      </c>
      <c r="K6434" t="s">
        <v>18701</v>
      </c>
      <c r="L6434">
        <f>HYPERLINK("https://www2.assemblee-nationale.fr/sycomore/fiche/(num_dept)/3333", "3333")</f>
        <v>0</v>
      </c>
      <c r="N6434">
        <f>HYPERLINK("https://www.wikidata.org/wiki/Q16025761", "Q16025761")</f>
        <v>0</v>
      </c>
      <c r="O6434" t="s">
        <v>20010</v>
      </c>
      <c r="Q6434" t="s">
        <v>20788</v>
      </c>
      <c r="R6434" t="s">
        <v>418</v>
      </c>
      <c r="S6434">
        <v>1731</v>
      </c>
    </row>
    <row r="6435" spans="1:19">
      <c r="A6435" t="s">
        <v>28</v>
      </c>
      <c r="B6435" t="s">
        <v>148</v>
      </c>
      <c r="C6435" t="s">
        <v>160</v>
      </c>
      <c r="D6435" t="s">
        <v>289</v>
      </c>
      <c r="E6435" t="s">
        <v>418</v>
      </c>
      <c r="F6435">
        <f>HYPERLINK("https://www.wikidata.org/wiki/Q33755445", "Q33755445")</f>
        <v>0</v>
      </c>
      <c r="G6435" t="s">
        <v>3780</v>
      </c>
      <c r="H6435" t="s">
        <v>8073</v>
      </c>
      <c r="I6435" t="s">
        <v>9465</v>
      </c>
      <c r="J6435" t="s">
        <v>14350</v>
      </c>
      <c r="K6435" t="s">
        <v>18702</v>
      </c>
      <c r="L6435">
        <f>HYPERLINK("https://www2.assemblee-nationale.fr/sycomore/fiche/(num_dept)/3336", "3336")</f>
        <v>0</v>
      </c>
      <c r="N6435">
        <f>HYPERLINK("https://www.wikidata.org/wiki/Q9295203", "Q9295203")</f>
        <v>0</v>
      </c>
      <c r="O6435" t="s">
        <v>19965</v>
      </c>
      <c r="P6435" t="s">
        <v>20477</v>
      </c>
      <c r="Q6435" t="s">
        <v>20788</v>
      </c>
      <c r="R6435" t="s">
        <v>418</v>
      </c>
      <c r="S6435">
        <v>1731</v>
      </c>
    </row>
    <row r="6436" spans="1:19">
      <c r="A6436" t="s">
        <v>28</v>
      </c>
      <c r="B6436" t="s">
        <v>148</v>
      </c>
      <c r="C6436" t="s">
        <v>160</v>
      </c>
      <c r="D6436" t="s">
        <v>289</v>
      </c>
      <c r="E6436" t="s">
        <v>418</v>
      </c>
      <c r="F6436">
        <f>HYPERLINK("https://www.wikidata.org/wiki/Q33755445", "Q33755445")</f>
        <v>0</v>
      </c>
      <c r="G6436" t="s">
        <v>2593</v>
      </c>
      <c r="H6436" t="s">
        <v>7142</v>
      </c>
      <c r="I6436" t="s">
        <v>9476</v>
      </c>
      <c r="J6436" t="s">
        <v>13236</v>
      </c>
      <c r="K6436" t="s">
        <v>17640</v>
      </c>
      <c r="L6436">
        <f>HYPERLINK("https://www2.assemblee-nationale.fr/sycomore/fiche/(num_dept)/3457", "3457")</f>
        <v>0</v>
      </c>
      <c r="M6436">
        <f>HYPERLINK("https://www.senat.fr/senateur-3eme-republique/goblet_rene1409r3.html", "goblet_rene1409r3")</f>
        <v>0</v>
      </c>
      <c r="N6436">
        <f>HYPERLINK("https://www.wikidata.org/wiki/Q559645", "Q559645")</f>
        <v>0</v>
      </c>
      <c r="O6436" t="s">
        <v>19969</v>
      </c>
      <c r="P6436" t="s">
        <v>20401</v>
      </c>
      <c r="Q6436" t="s">
        <v>20788</v>
      </c>
      <c r="R6436" t="s">
        <v>418</v>
      </c>
      <c r="S6436">
        <v>1731</v>
      </c>
    </row>
    <row r="6437" spans="1:19">
      <c r="A6437" t="s">
        <v>28</v>
      </c>
      <c r="B6437" t="s">
        <v>148</v>
      </c>
      <c r="C6437" t="s">
        <v>160</v>
      </c>
      <c r="D6437" t="s">
        <v>289</v>
      </c>
      <c r="E6437" t="s">
        <v>418</v>
      </c>
      <c r="F6437">
        <f>HYPERLINK("https://www.wikidata.org/wiki/Q33755445", "Q33755445")</f>
        <v>0</v>
      </c>
      <c r="G6437" t="s">
        <v>3781</v>
      </c>
      <c r="H6437" t="s">
        <v>8074</v>
      </c>
      <c r="I6437" t="s">
        <v>9391</v>
      </c>
      <c r="J6437" t="s">
        <v>14351</v>
      </c>
      <c r="K6437" t="s">
        <v>18703</v>
      </c>
      <c r="L6437">
        <f>HYPERLINK("https://www2.assemblee-nationale.fr/sycomore/fiche/(num_dept)/3497", "3497")</f>
        <v>0</v>
      </c>
      <c r="N6437">
        <f>HYPERLINK("https://www.wikidata.org/wiki/Q7124392", "Q7124392")</f>
        <v>0</v>
      </c>
      <c r="O6437" t="s">
        <v>20032</v>
      </c>
      <c r="P6437" t="s">
        <v>20477</v>
      </c>
      <c r="Q6437" t="s">
        <v>20788</v>
      </c>
      <c r="R6437" t="s">
        <v>418</v>
      </c>
      <c r="S6437">
        <v>1731</v>
      </c>
    </row>
    <row r="6438" spans="1:19">
      <c r="A6438" t="s">
        <v>28</v>
      </c>
      <c r="B6438" t="s">
        <v>148</v>
      </c>
      <c r="C6438" t="s">
        <v>160</v>
      </c>
      <c r="D6438" t="s">
        <v>289</v>
      </c>
      <c r="E6438" t="s">
        <v>418</v>
      </c>
      <c r="F6438">
        <f>HYPERLINK("https://www.wikidata.org/wiki/Q33755445", "Q33755445")</f>
        <v>0</v>
      </c>
      <c r="G6438" t="s">
        <v>3638</v>
      </c>
      <c r="H6438" t="s">
        <v>5424</v>
      </c>
      <c r="I6438" t="s">
        <v>9535</v>
      </c>
      <c r="J6438" t="s">
        <v>14218</v>
      </c>
      <c r="K6438" t="s">
        <v>18582</v>
      </c>
      <c r="L6438">
        <f>HYPERLINK("https://www2.assemblee-nationale.fr/sycomore/fiche/(num_dept)/3498", "3498")</f>
        <v>0</v>
      </c>
      <c r="M6438">
        <f>HYPERLINK("https://www.senat.fr/senateur-3eme-republique/goujon_julien1586r3.html", "goujon_julien1586r3")</f>
        <v>0</v>
      </c>
      <c r="N6438">
        <f>HYPERLINK("https://www.wikidata.org/wiki/Q3189509", "Q3189509")</f>
        <v>0</v>
      </c>
      <c r="O6438" t="s">
        <v>19978</v>
      </c>
      <c r="Q6438" t="s">
        <v>20788</v>
      </c>
      <c r="R6438" t="s">
        <v>418</v>
      </c>
      <c r="S6438">
        <v>1731</v>
      </c>
    </row>
    <row r="6439" spans="1:19">
      <c r="A6439" t="s">
        <v>28</v>
      </c>
      <c r="B6439" t="s">
        <v>148</v>
      </c>
      <c r="C6439" t="s">
        <v>160</v>
      </c>
      <c r="D6439" t="s">
        <v>289</v>
      </c>
      <c r="E6439" t="s">
        <v>418</v>
      </c>
      <c r="F6439">
        <f>HYPERLINK("https://www.wikidata.org/wiki/Q33755445", "Q33755445")</f>
        <v>0</v>
      </c>
      <c r="G6439" t="s">
        <v>3782</v>
      </c>
      <c r="H6439" t="s">
        <v>5424</v>
      </c>
      <c r="I6439" t="s">
        <v>10973</v>
      </c>
      <c r="J6439" t="s">
        <v>14352</v>
      </c>
      <c r="K6439" t="s">
        <v>18704</v>
      </c>
      <c r="L6439">
        <f>HYPERLINK("https://www2.assemblee-nationale.fr/sycomore/fiche/(num_dept)/3502", "3502")</f>
        <v>0</v>
      </c>
      <c r="N6439">
        <f>HYPERLINK("https://www.wikidata.org/wiki/Q3526657", "Q3526657")</f>
        <v>0</v>
      </c>
      <c r="O6439" t="s">
        <v>19987</v>
      </c>
      <c r="P6439" t="s">
        <v>20479</v>
      </c>
      <c r="Q6439" t="s">
        <v>20788</v>
      </c>
      <c r="R6439" t="s">
        <v>418</v>
      </c>
      <c r="S6439">
        <v>1731</v>
      </c>
    </row>
    <row r="6440" spans="1:19">
      <c r="A6440" t="s">
        <v>28</v>
      </c>
      <c r="B6440" t="s">
        <v>148</v>
      </c>
      <c r="C6440" t="s">
        <v>160</v>
      </c>
      <c r="D6440" t="s">
        <v>289</v>
      </c>
      <c r="E6440" t="s">
        <v>418</v>
      </c>
      <c r="F6440">
        <f>HYPERLINK("https://www.wikidata.org/wiki/Q33755445", "Q33755445")</f>
        <v>0</v>
      </c>
      <c r="G6440" t="s">
        <v>668</v>
      </c>
      <c r="H6440" t="s">
        <v>5427</v>
      </c>
      <c r="I6440" t="s">
        <v>6175</v>
      </c>
      <c r="J6440" t="s">
        <v>11418</v>
      </c>
      <c r="K6440" t="s">
        <v>15820</v>
      </c>
      <c r="L6440">
        <f>HYPERLINK("https://www2.assemblee-nationale.fr/sycomore/fiche/(num_dept)/3542", "3542")</f>
        <v>0</v>
      </c>
      <c r="M6440">
        <f>HYPERLINK("https://www.senat.fr/senateur-3eme-republique/de_grandmaison_georges1070r3.html", "de_grandmaison_georges1070r3")</f>
        <v>0</v>
      </c>
      <c r="N6440">
        <f>HYPERLINK("https://www.wikidata.org/wiki/Q3103201", "Q3103201")</f>
        <v>0</v>
      </c>
      <c r="O6440" t="s">
        <v>19980</v>
      </c>
      <c r="Q6440" t="s">
        <v>20788</v>
      </c>
      <c r="R6440" t="s">
        <v>418</v>
      </c>
      <c r="S6440">
        <v>1731</v>
      </c>
    </row>
    <row r="6441" spans="1:19">
      <c r="A6441" t="s">
        <v>28</v>
      </c>
      <c r="B6441" t="s">
        <v>148</v>
      </c>
      <c r="C6441" t="s">
        <v>160</v>
      </c>
      <c r="D6441" t="s">
        <v>289</v>
      </c>
      <c r="E6441" t="s">
        <v>418</v>
      </c>
      <c r="F6441">
        <f>HYPERLINK("https://www.wikidata.org/wiki/Q33755445", "Q33755445")</f>
        <v>0</v>
      </c>
      <c r="G6441" t="s">
        <v>3783</v>
      </c>
      <c r="H6441" t="s">
        <v>8075</v>
      </c>
      <c r="I6441" t="s">
        <v>9401</v>
      </c>
      <c r="J6441" t="s">
        <v>14353</v>
      </c>
      <c r="K6441" t="s">
        <v>18705</v>
      </c>
      <c r="L6441">
        <f>HYPERLINK("https://www2.assemblee-nationale.fr/sycomore/fiche/(num_dept)/3551", "3551")</f>
        <v>0</v>
      </c>
      <c r="N6441">
        <f>HYPERLINK("https://www.wikidata.org/wiki/Q16025805", "Q16025805")</f>
        <v>0</v>
      </c>
      <c r="O6441" t="s">
        <v>20044</v>
      </c>
      <c r="P6441" t="s">
        <v>20477</v>
      </c>
      <c r="Q6441" t="s">
        <v>20788</v>
      </c>
      <c r="R6441" t="s">
        <v>418</v>
      </c>
      <c r="S6441">
        <v>1731</v>
      </c>
    </row>
    <row r="6442" spans="1:19">
      <c r="A6442" t="s">
        <v>28</v>
      </c>
      <c r="B6442" t="s">
        <v>148</v>
      </c>
      <c r="C6442" t="s">
        <v>160</v>
      </c>
      <c r="D6442" t="s">
        <v>289</v>
      </c>
      <c r="E6442" t="s">
        <v>418</v>
      </c>
      <c r="F6442">
        <f>HYPERLINK("https://www.wikidata.org/wiki/Q33755445", "Q33755445")</f>
        <v>0</v>
      </c>
      <c r="G6442" t="s">
        <v>3784</v>
      </c>
      <c r="H6442" t="s">
        <v>7829</v>
      </c>
      <c r="I6442" t="s">
        <v>10974</v>
      </c>
      <c r="J6442" t="s">
        <v>14354</v>
      </c>
      <c r="K6442" t="s">
        <v>18706</v>
      </c>
      <c r="L6442">
        <f>HYPERLINK("https://www2.assemblee-nationale.fr/sycomore/fiche/(num_dept)/3608", "3608")</f>
        <v>0</v>
      </c>
      <c r="N6442">
        <f>HYPERLINK("https://www.wikidata.org/wiki/Q1118848", "Q1118848")</f>
        <v>0</v>
      </c>
      <c r="O6442" t="s">
        <v>19969</v>
      </c>
      <c r="P6442" t="s">
        <v>20477</v>
      </c>
      <c r="Q6442" t="s">
        <v>20788</v>
      </c>
      <c r="R6442" t="s">
        <v>418</v>
      </c>
      <c r="S6442">
        <v>1731</v>
      </c>
    </row>
    <row r="6443" spans="1:19">
      <c r="A6443" t="s">
        <v>28</v>
      </c>
      <c r="B6443" t="s">
        <v>148</v>
      </c>
      <c r="C6443" t="s">
        <v>160</v>
      </c>
      <c r="D6443" t="s">
        <v>289</v>
      </c>
      <c r="E6443" t="s">
        <v>418</v>
      </c>
      <c r="F6443">
        <f>HYPERLINK("https://www.wikidata.org/wiki/Q33755445", "Q33755445")</f>
        <v>0</v>
      </c>
      <c r="G6443" t="s">
        <v>969</v>
      </c>
      <c r="H6443" t="s">
        <v>5721</v>
      </c>
      <c r="I6443" t="s">
        <v>9453</v>
      </c>
      <c r="J6443" t="s">
        <v>11590</v>
      </c>
      <c r="K6443" t="s">
        <v>16111</v>
      </c>
      <c r="L6443">
        <f>HYPERLINK("https://www2.assemblee-nationale.fr/sycomore/fiche/(num_dept)/3609", "3609")</f>
        <v>0</v>
      </c>
      <c r="N6443">
        <f>HYPERLINK("https://www.wikidata.org/wiki/Q2865129", "Q2865129")</f>
        <v>0</v>
      </c>
      <c r="O6443" t="s">
        <v>19969</v>
      </c>
      <c r="Q6443" t="s">
        <v>20788</v>
      </c>
      <c r="R6443" t="s">
        <v>418</v>
      </c>
      <c r="S6443">
        <v>1731</v>
      </c>
    </row>
    <row r="6444" spans="1:19">
      <c r="A6444" t="s">
        <v>28</v>
      </c>
      <c r="B6444" t="s">
        <v>148</v>
      </c>
      <c r="C6444" t="s">
        <v>160</v>
      </c>
      <c r="D6444" t="s">
        <v>289</v>
      </c>
      <c r="E6444" t="s">
        <v>418</v>
      </c>
      <c r="F6444">
        <f>HYPERLINK("https://www.wikidata.org/wiki/Q33755445", "Q33755445")</f>
        <v>0</v>
      </c>
      <c r="G6444" t="s">
        <v>3785</v>
      </c>
      <c r="H6444" t="s">
        <v>5910</v>
      </c>
      <c r="I6444" t="s">
        <v>9385</v>
      </c>
      <c r="J6444" t="s">
        <v>14355</v>
      </c>
      <c r="K6444" t="s">
        <v>16786</v>
      </c>
      <c r="L6444">
        <f>HYPERLINK("https://www2.assemblee-nationale.fr/sycomore/fiche/(num_dept)/3610", "3610")</f>
        <v>0</v>
      </c>
      <c r="N6444">
        <f>HYPERLINK("https://www.wikidata.org/wiki/Q16218131", "Q16218131")</f>
        <v>0</v>
      </c>
      <c r="O6444" t="s">
        <v>19987</v>
      </c>
      <c r="Q6444" t="s">
        <v>20788</v>
      </c>
      <c r="R6444" t="s">
        <v>418</v>
      </c>
      <c r="S6444">
        <v>1731</v>
      </c>
    </row>
    <row r="6445" spans="1:19">
      <c r="A6445" t="s">
        <v>28</v>
      </c>
      <c r="B6445" t="s">
        <v>148</v>
      </c>
      <c r="C6445" t="s">
        <v>160</v>
      </c>
      <c r="D6445" t="s">
        <v>289</v>
      </c>
      <c r="E6445" t="s">
        <v>418</v>
      </c>
      <c r="F6445">
        <f>HYPERLINK("https://www.wikidata.org/wiki/Q33755445", "Q33755445")</f>
        <v>0</v>
      </c>
      <c r="G6445" t="s">
        <v>3622</v>
      </c>
      <c r="H6445" t="s">
        <v>5723</v>
      </c>
      <c r="I6445" t="s">
        <v>10909</v>
      </c>
      <c r="J6445" t="s">
        <v>13191</v>
      </c>
      <c r="K6445" t="s">
        <v>18571</v>
      </c>
      <c r="L6445">
        <f>HYPERLINK("https://www2.assemblee-nationale.fr/sycomore/fiche/(num_dept)/3649", "3649")</f>
        <v>0</v>
      </c>
      <c r="N6445">
        <f>HYPERLINK("https://www.wikidata.org/wiki/Q16025824", "Q16025824")</f>
        <v>0</v>
      </c>
      <c r="O6445" t="s">
        <v>19965</v>
      </c>
      <c r="Q6445" t="s">
        <v>20788</v>
      </c>
      <c r="R6445" t="s">
        <v>18571</v>
      </c>
      <c r="S6445">
        <v>680</v>
      </c>
    </row>
    <row r="6446" spans="1:19">
      <c r="A6446" t="s">
        <v>28</v>
      </c>
      <c r="B6446" t="s">
        <v>148</v>
      </c>
      <c r="C6446" t="s">
        <v>160</v>
      </c>
      <c r="D6446" t="s">
        <v>289</v>
      </c>
      <c r="E6446" t="s">
        <v>418</v>
      </c>
      <c r="F6446">
        <f>HYPERLINK("https://www.wikidata.org/wiki/Q33755445", "Q33755445")</f>
        <v>0</v>
      </c>
      <c r="G6446" t="s">
        <v>3786</v>
      </c>
      <c r="H6446" t="s">
        <v>8076</v>
      </c>
      <c r="I6446" t="s">
        <v>6200</v>
      </c>
      <c r="J6446" t="s">
        <v>14356</v>
      </c>
      <c r="K6446" t="s">
        <v>18707</v>
      </c>
      <c r="L6446">
        <f>HYPERLINK("https://www2.assemblee-nationale.fr/sycomore/fiche/(num_dept)/3660", "3660")</f>
        <v>0</v>
      </c>
      <c r="N6446">
        <f>HYPERLINK("https://www.wikidata.org/wiki/Q3172422", "Q3172422")</f>
        <v>0</v>
      </c>
      <c r="O6446" t="s">
        <v>19980</v>
      </c>
      <c r="Q6446" t="s">
        <v>20788</v>
      </c>
      <c r="R6446" t="s">
        <v>418</v>
      </c>
      <c r="S6446">
        <v>1731</v>
      </c>
    </row>
    <row r="6447" spans="1:19">
      <c r="A6447" t="s">
        <v>28</v>
      </c>
      <c r="B6447" t="s">
        <v>148</v>
      </c>
      <c r="C6447" t="s">
        <v>160</v>
      </c>
      <c r="D6447" t="s">
        <v>289</v>
      </c>
      <c r="E6447" t="s">
        <v>418</v>
      </c>
      <c r="F6447">
        <f>HYPERLINK("https://www.wikidata.org/wiki/Q33755445", "Q33755445")</f>
        <v>0</v>
      </c>
      <c r="G6447" t="s">
        <v>3631</v>
      </c>
      <c r="H6447" t="s">
        <v>7349</v>
      </c>
      <c r="I6447" t="s">
        <v>5528</v>
      </c>
      <c r="J6447" t="s">
        <v>14212</v>
      </c>
      <c r="K6447" t="s">
        <v>18577</v>
      </c>
      <c r="L6447">
        <f>HYPERLINK("https://www2.assemblee-nationale.fr/sycomore/fiche/(num_dept)/3676", "3676")</f>
        <v>0</v>
      </c>
      <c r="N6447">
        <f>HYPERLINK("https://www.wikidata.org/wiki/Q3271028", "Q3271028")</f>
        <v>0</v>
      </c>
      <c r="O6447" t="s">
        <v>20013</v>
      </c>
      <c r="Q6447" t="s">
        <v>20788</v>
      </c>
      <c r="R6447" t="s">
        <v>418</v>
      </c>
      <c r="S6447">
        <v>1731</v>
      </c>
    </row>
    <row r="6448" spans="1:19">
      <c r="A6448" t="s">
        <v>28</v>
      </c>
      <c r="B6448" t="s">
        <v>148</v>
      </c>
      <c r="C6448" t="s">
        <v>160</v>
      </c>
      <c r="D6448" t="s">
        <v>289</v>
      </c>
      <c r="E6448" t="s">
        <v>418</v>
      </c>
      <c r="F6448">
        <f>HYPERLINK("https://www.wikidata.org/wiki/Q33755445", "Q33755445")</f>
        <v>0</v>
      </c>
      <c r="G6448" t="s">
        <v>1488</v>
      </c>
      <c r="H6448" t="s">
        <v>6186</v>
      </c>
      <c r="I6448" t="s">
        <v>9523</v>
      </c>
      <c r="J6448" t="s">
        <v>12207</v>
      </c>
      <c r="K6448" t="s">
        <v>16612</v>
      </c>
      <c r="L6448">
        <f>HYPERLINK("https://www2.assemblee-nationale.fr/sycomore/fiche/(num_dept)/3716", "3716")</f>
        <v>0</v>
      </c>
      <c r="N6448">
        <f>HYPERLINK("https://www.wikidata.org/wiki/Q3289018", "Q3289018")</f>
        <v>0</v>
      </c>
      <c r="O6448" t="s">
        <v>19976</v>
      </c>
      <c r="Q6448" t="s">
        <v>20788</v>
      </c>
      <c r="R6448" t="s">
        <v>418</v>
      </c>
      <c r="S6448">
        <v>1731</v>
      </c>
    </row>
    <row r="6449" spans="1:19">
      <c r="A6449" t="s">
        <v>28</v>
      </c>
      <c r="B6449" t="s">
        <v>148</v>
      </c>
      <c r="C6449" t="s">
        <v>160</v>
      </c>
      <c r="D6449" t="s">
        <v>289</v>
      </c>
      <c r="E6449" t="s">
        <v>418</v>
      </c>
      <c r="F6449">
        <f>HYPERLINK("https://www.wikidata.org/wiki/Q33755445", "Q33755445")</f>
        <v>0</v>
      </c>
      <c r="G6449" t="s">
        <v>3457</v>
      </c>
      <c r="H6449" t="s">
        <v>7830</v>
      </c>
      <c r="I6449" t="s">
        <v>9421</v>
      </c>
      <c r="J6449" t="s">
        <v>14059</v>
      </c>
      <c r="K6449" t="s">
        <v>18427</v>
      </c>
      <c r="L6449">
        <f>HYPERLINK("https://www2.assemblee-nationale.fr/sycomore/fiche/(num_dept)/3727", "3727")</f>
        <v>0</v>
      </c>
      <c r="N6449">
        <f>HYPERLINK("https://www.wikidata.org/wiki/Q16025837", "Q16025837")</f>
        <v>0</v>
      </c>
      <c r="O6449" t="s">
        <v>19989</v>
      </c>
      <c r="Q6449" t="s">
        <v>20788</v>
      </c>
      <c r="R6449" t="s">
        <v>418</v>
      </c>
      <c r="S6449">
        <v>1731</v>
      </c>
    </row>
    <row r="6450" spans="1:19">
      <c r="A6450" t="s">
        <v>28</v>
      </c>
      <c r="B6450" t="s">
        <v>148</v>
      </c>
      <c r="C6450" t="s">
        <v>160</v>
      </c>
      <c r="D6450" t="s">
        <v>289</v>
      </c>
      <c r="E6450" t="s">
        <v>418</v>
      </c>
      <c r="F6450">
        <f>HYPERLINK("https://www.wikidata.org/wiki/Q33755445", "Q33755445")</f>
        <v>0</v>
      </c>
      <c r="G6450" t="s">
        <v>3787</v>
      </c>
      <c r="H6450" t="s">
        <v>8077</v>
      </c>
      <c r="I6450" t="s">
        <v>9388</v>
      </c>
      <c r="J6450" t="s">
        <v>14357</v>
      </c>
      <c r="K6450" t="s">
        <v>18708</v>
      </c>
      <c r="L6450">
        <f>HYPERLINK("https://www2.assemblee-nationale.fr/sycomore/fiche/(num_dept)/3774", "3774")</f>
        <v>0</v>
      </c>
      <c r="M6450">
        <f>HYPERLINK("https://www.senat.fr/senateur-3eme-republique/hayez_paul1415r3.html", "hayez_paul1415r3")</f>
        <v>0</v>
      </c>
      <c r="N6450">
        <f>HYPERLINK("https://www.wikidata.org/wiki/Q3371447", "Q3371447")</f>
        <v>0</v>
      </c>
      <c r="O6450" t="s">
        <v>20013</v>
      </c>
      <c r="Q6450" t="s">
        <v>20788</v>
      </c>
      <c r="R6450" t="s">
        <v>418</v>
      </c>
      <c r="S6450">
        <v>1731</v>
      </c>
    </row>
    <row r="6451" spans="1:19">
      <c r="A6451" t="s">
        <v>28</v>
      </c>
      <c r="B6451" t="s">
        <v>148</v>
      </c>
      <c r="C6451" t="s">
        <v>160</v>
      </c>
      <c r="D6451" t="s">
        <v>289</v>
      </c>
      <c r="E6451" t="s">
        <v>418</v>
      </c>
      <c r="F6451">
        <f>HYPERLINK("https://www.wikidata.org/wiki/Q33755445", "Q33755445")</f>
        <v>0</v>
      </c>
      <c r="G6451" t="s">
        <v>2958</v>
      </c>
      <c r="H6451" t="s">
        <v>6192</v>
      </c>
      <c r="I6451" t="s">
        <v>10544</v>
      </c>
      <c r="J6451" t="s">
        <v>13590</v>
      </c>
      <c r="K6451" t="s">
        <v>17976</v>
      </c>
      <c r="L6451">
        <f>HYPERLINK("https://www2.assemblee-nationale.fr/sycomore/fiche/(num_dept)/3896", "3896")</f>
        <v>0</v>
      </c>
      <c r="N6451">
        <f>HYPERLINK("https://www.wikidata.org/wiki/Q352287", "Q352287")</f>
        <v>0</v>
      </c>
      <c r="O6451" t="s">
        <v>19969</v>
      </c>
      <c r="P6451" t="s">
        <v>20485</v>
      </c>
      <c r="Q6451" t="s">
        <v>20788</v>
      </c>
      <c r="R6451" t="s">
        <v>418</v>
      </c>
      <c r="S6451">
        <v>1731</v>
      </c>
    </row>
    <row r="6452" spans="1:19">
      <c r="A6452" t="s">
        <v>28</v>
      </c>
      <c r="B6452" t="s">
        <v>148</v>
      </c>
      <c r="C6452" t="s">
        <v>160</v>
      </c>
      <c r="D6452" t="s">
        <v>289</v>
      </c>
      <c r="E6452" t="s">
        <v>418</v>
      </c>
      <c r="F6452">
        <f>HYPERLINK("https://www.wikidata.org/wiki/Q33755445", "Q33755445")</f>
        <v>0</v>
      </c>
      <c r="G6452" t="s">
        <v>3788</v>
      </c>
      <c r="H6452" t="s">
        <v>6192</v>
      </c>
      <c r="I6452" t="s">
        <v>6166</v>
      </c>
      <c r="J6452" t="s">
        <v>14358</v>
      </c>
      <c r="K6452" t="s">
        <v>18709</v>
      </c>
      <c r="L6452">
        <f>HYPERLINK("https://www2.assemblee-nationale.fr/sycomore/fiche/(num_dept)/3898", "3898")</f>
        <v>0</v>
      </c>
      <c r="N6452">
        <f>HYPERLINK("https://www.wikidata.org/wiki/Q8338102", "Q8338102")</f>
        <v>0</v>
      </c>
      <c r="O6452" t="s">
        <v>20015</v>
      </c>
      <c r="P6452" t="s">
        <v>20479</v>
      </c>
      <c r="Q6452" t="s">
        <v>20788</v>
      </c>
      <c r="R6452" t="s">
        <v>418</v>
      </c>
      <c r="S6452">
        <v>1731</v>
      </c>
    </row>
    <row r="6453" spans="1:19">
      <c r="A6453" t="s">
        <v>28</v>
      </c>
      <c r="B6453" t="s">
        <v>148</v>
      </c>
      <c r="C6453" t="s">
        <v>160</v>
      </c>
      <c r="D6453" t="s">
        <v>289</v>
      </c>
      <c r="E6453" t="s">
        <v>418</v>
      </c>
      <c r="F6453">
        <f>HYPERLINK("https://www.wikidata.org/wiki/Q33755445", "Q33755445")</f>
        <v>0</v>
      </c>
      <c r="G6453" t="s">
        <v>3789</v>
      </c>
      <c r="H6453" t="s">
        <v>8078</v>
      </c>
      <c r="I6453" t="s">
        <v>10975</v>
      </c>
      <c r="J6453" t="s">
        <v>11738</v>
      </c>
      <c r="K6453" t="s">
        <v>18100</v>
      </c>
      <c r="L6453">
        <f>HYPERLINK("https://www2.assemblee-nationale.fr/sycomore/fiche/(num_dept)/3900", "3900")</f>
        <v>0</v>
      </c>
      <c r="N6453">
        <f>HYPERLINK("https://www.wikidata.org/wiki/Q8309777", "Q8309777")</f>
        <v>0</v>
      </c>
      <c r="O6453" t="s">
        <v>20033</v>
      </c>
      <c r="P6453" t="s">
        <v>20499</v>
      </c>
      <c r="Q6453" t="s">
        <v>20788</v>
      </c>
      <c r="R6453" t="s">
        <v>19369</v>
      </c>
      <c r="S6453">
        <v>107</v>
      </c>
    </row>
    <row r="6454" spans="1:19">
      <c r="A6454" t="s">
        <v>28</v>
      </c>
      <c r="B6454" t="s">
        <v>148</v>
      </c>
      <c r="C6454" t="s">
        <v>160</v>
      </c>
      <c r="D6454" t="s">
        <v>289</v>
      </c>
      <c r="E6454" t="s">
        <v>418</v>
      </c>
      <c r="F6454">
        <f>HYPERLINK("https://www.wikidata.org/wiki/Q33755445", "Q33755445")</f>
        <v>0</v>
      </c>
      <c r="G6454" t="s">
        <v>3790</v>
      </c>
      <c r="H6454" t="s">
        <v>6195</v>
      </c>
      <c r="I6454" t="s">
        <v>9552</v>
      </c>
      <c r="J6454" t="s">
        <v>14359</v>
      </c>
      <c r="K6454" t="s">
        <v>18315</v>
      </c>
      <c r="L6454">
        <f>HYPERLINK("https://www2.assemblee-nationale.fr/sycomore/fiche/(num_dept)/3937", "3937")</f>
        <v>0</v>
      </c>
      <c r="N6454">
        <f>HYPERLINK("https://www.wikidata.org/wiki/Q16025863", "Q16025863")</f>
        <v>0</v>
      </c>
      <c r="O6454" t="s">
        <v>20028</v>
      </c>
      <c r="Q6454" t="s">
        <v>20788</v>
      </c>
      <c r="R6454" t="s">
        <v>418</v>
      </c>
      <c r="S6454">
        <v>1731</v>
      </c>
    </row>
    <row r="6455" spans="1:19">
      <c r="A6455" t="s">
        <v>28</v>
      </c>
      <c r="B6455" t="s">
        <v>148</v>
      </c>
      <c r="C6455" t="s">
        <v>160</v>
      </c>
      <c r="D6455" t="s">
        <v>289</v>
      </c>
      <c r="E6455" t="s">
        <v>418</v>
      </c>
      <c r="F6455">
        <f>HYPERLINK("https://www.wikidata.org/wiki/Q33755445", "Q33755445")</f>
        <v>0</v>
      </c>
      <c r="G6455" t="s">
        <v>3791</v>
      </c>
      <c r="H6455" t="s">
        <v>8079</v>
      </c>
      <c r="I6455" t="s">
        <v>9457</v>
      </c>
      <c r="J6455" t="s">
        <v>14360</v>
      </c>
      <c r="K6455" t="s">
        <v>18710</v>
      </c>
      <c r="L6455">
        <f>HYPERLINK("https://www2.assemblee-nationale.fr/sycomore/fiche/(num_dept)/3951", "3951")</f>
        <v>0</v>
      </c>
      <c r="N6455">
        <f>HYPERLINK("https://www.wikidata.org/wiki/Q14660121", "Q14660121")</f>
        <v>0</v>
      </c>
      <c r="O6455" t="s">
        <v>20013</v>
      </c>
      <c r="Q6455" t="s">
        <v>20788</v>
      </c>
      <c r="R6455" t="s">
        <v>18710</v>
      </c>
      <c r="S6455">
        <v>1126</v>
      </c>
    </row>
    <row r="6456" spans="1:19">
      <c r="A6456" t="s">
        <v>28</v>
      </c>
      <c r="B6456" t="s">
        <v>148</v>
      </c>
      <c r="C6456" t="s">
        <v>160</v>
      </c>
      <c r="D6456" t="s">
        <v>289</v>
      </c>
      <c r="E6456" t="s">
        <v>418</v>
      </c>
      <c r="F6456">
        <f>HYPERLINK("https://www.wikidata.org/wiki/Q33755445", "Q33755445")</f>
        <v>0</v>
      </c>
      <c r="G6456" t="s">
        <v>3792</v>
      </c>
      <c r="H6456" t="s">
        <v>7751</v>
      </c>
      <c r="I6456" t="s">
        <v>9407</v>
      </c>
      <c r="J6456" t="s">
        <v>14361</v>
      </c>
      <c r="K6456" t="s">
        <v>18711</v>
      </c>
      <c r="L6456">
        <f>HYPERLINK("https://www2.assemblee-nationale.fr/sycomore/fiche/(num_dept)/4071", "4071")</f>
        <v>0</v>
      </c>
      <c r="N6456">
        <f>HYPERLINK("https://www.wikidata.org/wiki/Q8301305", "Q8301305")</f>
        <v>0</v>
      </c>
      <c r="O6456" t="s">
        <v>20042</v>
      </c>
      <c r="Q6456" t="s">
        <v>20788</v>
      </c>
      <c r="R6456" t="s">
        <v>418</v>
      </c>
      <c r="S6456">
        <v>1731</v>
      </c>
    </row>
    <row r="6457" spans="1:19">
      <c r="A6457" t="s">
        <v>28</v>
      </c>
      <c r="B6457" t="s">
        <v>148</v>
      </c>
      <c r="C6457" t="s">
        <v>160</v>
      </c>
      <c r="D6457" t="s">
        <v>289</v>
      </c>
      <c r="E6457" t="s">
        <v>418</v>
      </c>
      <c r="F6457">
        <f>HYPERLINK("https://www.wikidata.org/wiki/Q33755445", "Q33755445")</f>
        <v>0</v>
      </c>
      <c r="G6457" t="s">
        <v>3569</v>
      </c>
      <c r="H6457" t="s">
        <v>7921</v>
      </c>
      <c r="I6457" t="s">
        <v>9401</v>
      </c>
      <c r="J6457" t="s">
        <v>14158</v>
      </c>
      <c r="K6457" t="s">
        <v>18525</v>
      </c>
      <c r="L6457">
        <f>HYPERLINK("https://www2.assemblee-nationale.fr/sycomore/fiche/(num_dept)/4073", "4073")</f>
        <v>0</v>
      </c>
      <c r="N6457">
        <f>HYPERLINK("https://www.wikidata.org/wiki/Q16025881", "Q16025881")</f>
        <v>0</v>
      </c>
      <c r="O6457" t="s">
        <v>19987</v>
      </c>
      <c r="Q6457" t="s">
        <v>20788</v>
      </c>
      <c r="R6457" t="s">
        <v>418</v>
      </c>
      <c r="S6457">
        <v>1731</v>
      </c>
    </row>
    <row r="6458" spans="1:19">
      <c r="A6458" t="s">
        <v>28</v>
      </c>
      <c r="B6458" t="s">
        <v>148</v>
      </c>
      <c r="C6458" t="s">
        <v>160</v>
      </c>
      <c r="D6458" t="s">
        <v>289</v>
      </c>
      <c r="E6458" t="s">
        <v>418</v>
      </c>
      <c r="F6458">
        <f>HYPERLINK("https://www.wikidata.org/wiki/Q33755445", "Q33755445")</f>
        <v>0</v>
      </c>
      <c r="G6458" t="s">
        <v>3793</v>
      </c>
      <c r="H6458" t="s">
        <v>7159</v>
      </c>
      <c r="I6458" t="s">
        <v>9389</v>
      </c>
      <c r="J6458" t="s">
        <v>14362</v>
      </c>
      <c r="K6458" t="s">
        <v>18712</v>
      </c>
      <c r="L6458">
        <f>HYPERLINK("https://www2.assemblee-nationale.fr/sycomore/fiche/(num_dept)/4211", "4211")</f>
        <v>0</v>
      </c>
      <c r="N6458">
        <f>HYPERLINK("https://www.wikidata.org/wiki/Q3588594", "Q3588594")</f>
        <v>0</v>
      </c>
      <c r="O6458" t="s">
        <v>19977</v>
      </c>
      <c r="Q6458" t="s">
        <v>20788</v>
      </c>
      <c r="R6458" t="s">
        <v>418</v>
      </c>
      <c r="S6458">
        <v>1731</v>
      </c>
    </row>
    <row r="6459" spans="1:19">
      <c r="A6459" t="s">
        <v>28</v>
      </c>
      <c r="B6459" t="s">
        <v>148</v>
      </c>
      <c r="C6459" t="s">
        <v>160</v>
      </c>
      <c r="D6459" t="s">
        <v>289</v>
      </c>
      <c r="E6459" t="s">
        <v>418</v>
      </c>
      <c r="F6459">
        <f>HYPERLINK("https://www.wikidata.org/wiki/Q33755445", "Q33755445")</f>
        <v>0</v>
      </c>
      <c r="G6459" t="s">
        <v>3468</v>
      </c>
      <c r="H6459" t="s">
        <v>7841</v>
      </c>
      <c r="I6459" t="s">
        <v>6584</v>
      </c>
      <c r="J6459" t="s">
        <v>14069</v>
      </c>
      <c r="K6459" t="s">
        <v>18437</v>
      </c>
      <c r="L6459">
        <f>HYPERLINK("https://www2.assemblee-nationale.fr/sycomore/fiche/(num_dept)/4222", "4222")</f>
        <v>0</v>
      </c>
      <c r="N6459">
        <f>HYPERLINK("https://www.wikidata.org/wiki/Q2831302", "Q2831302")</f>
        <v>0</v>
      </c>
      <c r="O6459" t="s">
        <v>19974</v>
      </c>
      <c r="P6459" t="s">
        <v>20479</v>
      </c>
      <c r="Q6459" t="s">
        <v>20788</v>
      </c>
      <c r="R6459" t="s">
        <v>418</v>
      </c>
      <c r="S6459">
        <v>1731</v>
      </c>
    </row>
    <row r="6460" spans="1:19">
      <c r="A6460" t="s">
        <v>28</v>
      </c>
      <c r="B6460" t="s">
        <v>148</v>
      </c>
      <c r="C6460" t="s">
        <v>160</v>
      </c>
      <c r="D6460" t="s">
        <v>289</v>
      </c>
      <c r="E6460" t="s">
        <v>418</v>
      </c>
      <c r="F6460">
        <f>HYPERLINK("https://www.wikidata.org/wiki/Q33755445", "Q33755445")</f>
        <v>0</v>
      </c>
      <c r="G6460" t="s">
        <v>2962</v>
      </c>
      <c r="H6460" t="s">
        <v>6492</v>
      </c>
      <c r="I6460" t="s">
        <v>9470</v>
      </c>
      <c r="J6460" t="s">
        <v>13594</v>
      </c>
      <c r="K6460" t="s">
        <v>17980</v>
      </c>
      <c r="L6460">
        <f>HYPERLINK("https://www2.assemblee-nationale.fr/sycomore/fiche/(num_dept)/4346", "4346")</f>
        <v>0</v>
      </c>
      <c r="N6460">
        <f>HYPERLINK("https://www.wikidata.org/wiki/Q8318772", "Q8318772")</f>
        <v>0</v>
      </c>
      <c r="O6460" t="s">
        <v>20032</v>
      </c>
      <c r="Q6460" t="s">
        <v>20788</v>
      </c>
      <c r="R6460" t="s">
        <v>418</v>
      </c>
      <c r="S6460">
        <v>1731</v>
      </c>
    </row>
    <row r="6461" spans="1:19">
      <c r="A6461" t="s">
        <v>28</v>
      </c>
      <c r="B6461" t="s">
        <v>148</v>
      </c>
      <c r="C6461" t="s">
        <v>160</v>
      </c>
      <c r="D6461" t="s">
        <v>289</v>
      </c>
      <c r="E6461" t="s">
        <v>418</v>
      </c>
      <c r="F6461">
        <f>HYPERLINK("https://www.wikidata.org/wiki/Q33755445", "Q33755445")</f>
        <v>0</v>
      </c>
      <c r="G6461" t="s">
        <v>3794</v>
      </c>
      <c r="H6461" t="s">
        <v>8080</v>
      </c>
      <c r="I6461" t="s">
        <v>9442</v>
      </c>
      <c r="J6461" t="s">
        <v>14363</v>
      </c>
      <c r="K6461" t="s">
        <v>18713</v>
      </c>
      <c r="L6461">
        <f>HYPERLINK("https://www2.assemblee-nationale.fr/sycomore/fiche/(num_dept)/4836", "4836")</f>
        <v>0</v>
      </c>
      <c r="N6461">
        <f>HYPERLINK("https://www.wikidata.org/wiki/Q8311626", "Q8311626")</f>
        <v>0</v>
      </c>
      <c r="O6461" t="s">
        <v>20013</v>
      </c>
      <c r="Q6461" t="s">
        <v>20788</v>
      </c>
      <c r="R6461" t="s">
        <v>418</v>
      </c>
      <c r="S6461">
        <v>1731</v>
      </c>
    </row>
    <row r="6462" spans="1:19">
      <c r="A6462" t="s">
        <v>28</v>
      </c>
      <c r="B6462" t="s">
        <v>148</v>
      </c>
      <c r="C6462" t="s">
        <v>160</v>
      </c>
      <c r="D6462" t="s">
        <v>289</v>
      </c>
      <c r="E6462" t="s">
        <v>418</v>
      </c>
      <c r="F6462">
        <f>HYPERLINK("https://www.wikidata.org/wiki/Q33755445", "Q33755445")</f>
        <v>0</v>
      </c>
      <c r="G6462" t="s">
        <v>3795</v>
      </c>
      <c r="H6462" t="s">
        <v>8081</v>
      </c>
      <c r="I6462" t="s">
        <v>10976</v>
      </c>
      <c r="J6462" t="s">
        <v>14364</v>
      </c>
      <c r="K6462" t="s">
        <v>18714</v>
      </c>
      <c r="L6462">
        <f>HYPERLINK("https://www2.assemblee-nationale.fr/sycomore/fiche/(num_dept)/4846", "4846")</f>
        <v>0</v>
      </c>
      <c r="N6462">
        <f>HYPERLINK("https://www.wikidata.org/wiki/Q16026016", "Q16026016")</f>
        <v>0</v>
      </c>
      <c r="O6462" t="s">
        <v>19955</v>
      </c>
      <c r="Q6462" t="s">
        <v>20788</v>
      </c>
      <c r="R6462" t="s">
        <v>418</v>
      </c>
      <c r="S6462">
        <v>1731</v>
      </c>
    </row>
    <row r="6463" spans="1:19">
      <c r="A6463" t="s">
        <v>28</v>
      </c>
      <c r="B6463" t="s">
        <v>148</v>
      </c>
      <c r="C6463" t="s">
        <v>160</v>
      </c>
      <c r="D6463" t="s">
        <v>289</v>
      </c>
      <c r="E6463" t="s">
        <v>418</v>
      </c>
      <c r="F6463">
        <f>HYPERLINK("https://www.wikidata.org/wiki/Q33755445", "Q33755445")</f>
        <v>0</v>
      </c>
      <c r="G6463" t="s">
        <v>2625</v>
      </c>
      <c r="H6463" t="s">
        <v>7172</v>
      </c>
      <c r="I6463" t="s">
        <v>10321</v>
      </c>
      <c r="J6463" t="s">
        <v>13268</v>
      </c>
      <c r="K6463" t="s">
        <v>17669</v>
      </c>
      <c r="L6463">
        <f>HYPERLINK("https://www2.assemblee-nationale.fr/sycomore/fiche/(num_dept)/5011", "5011")</f>
        <v>0</v>
      </c>
      <c r="N6463">
        <f>HYPERLINK("https://www.wikidata.org/wiki/Q3386146", "Q3386146")</f>
        <v>0</v>
      </c>
      <c r="O6463" t="s">
        <v>19969</v>
      </c>
      <c r="Q6463" t="s">
        <v>20788</v>
      </c>
      <c r="R6463" t="s">
        <v>418</v>
      </c>
      <c r="S6463">
        <v>1731</v>
      </c>
    </row>
    <row r="6464" spans="1:19">
      <c r="A6464" t="s">
        <v>28</v>
      </c>
      <c r="B6464" t="s">
        <v>148</v>
      </c>
      <c r="C6464" t="s">
        <v>160</v>
      </c>
      <c r="D6464" t="s">
        <v>289</v>
      </c>
      <c r="E6464" t="s">
        <v>418</v>
      </c>
      <c r="F6464">
        <f>HYPERLINK("https://www.wikidata.org/wiki/Q33755445", "Q33755445")</f>
        <v>0</v>
      </c>
      <c r="G6464" t="s">
        <v>3630</v>
      </c>
      <c r="H6464" t="s">
        <v>7174</v>
      </c>
      <c r="I6464" t="s">
        <v>9426</v>
      </c>
      <c r="J6464" t="s">
        <v>14211</v>
      </c>
      <c r="K6464" t="s">
        <v>346</v>
      </c>
      <c r="L6464">
        <f>HYPERLINK("https://www2.assemblee-nationale.fr/sycomore/fiche/(num_dept)/5063", "5063")</f>
        <v>0</v>
      </c>
      <c r="N6464">
        <f>HYPERLINK("https://www.wikidata.org/wiki/Q16026059", "Q16026059")</f>
        <v>0</v>
      </c>
      <c r="O6464" t="s">
        <v>7411</v>
      </c>
      <c r="Q6464" t="s">
        <v>20788</v>
      </c>
      <c r="R6464" t="s">
        <v>418</v>
      </c>
      <c r="S6464">
        <v>1731</v>
      </c>
    </row>
    <row r="6465" spans="1:19">
      <c r="A6465" t="s">
        <v>28</v>
      </c>
      <c r="B6465" t="s">
        <v>148</v>
      </c>
      <c r="C6465" t="s">
        <v>160</v>
      </c>
      <c r="D6465" t="s">
        <v>289</v>
      </c>
      <c r="E6465" t="s">
        <v>418</v>
      </c>
      <c r="F6465">
        <f>HYPERLINK("https://www.wikidata.org/wiki/Q33755445", "Q33755445")</f>
        <v>0</v>
      </c>
      <c r="G6465" t="s">
        <v>3796</v>
      </c>
      <c r="H6465" t="s">
        <v>6226</v>
      </c>
      <c r="I6465" t="s">
        <v>6166</v>
      </c>
      <c r="J6465" t="s">
        <v>14365</v>
      </c>
      <c r="K6465" t="s">
        <v>18715</v>
      </c>
      <c r="L6465">
        <f>HYPERLINK("https://www2.assemblee-nationale.fr/sycomore/fiche/(num_dept)/5081", "5081")</f>
        <v>0</v>
      </c>
      <c r="N6465">
        <f>HYPERLINK("https://www.wikidata.org/wiki/Q16026064", "Q16026064")</f>
        <v>0</v>
      </c>
      <c r="O6465" t="s">
        <v>19965</v>
      </c>
      <c r="P6465" t="s">
        <v>20477</v>
      </c>
      <c r="Q6465" t="s">
        <v>20788</v>
      </c>
      <c r="R6465" t="s">
        <v>418</v>
      </c>
      <c r="S6465">
        <v>1731</v>
      </c>
    </row>
    <row r="6466" spans="1:19">
      <c r="A6466" t="s">
        <v>28</v>
      </c>
      <c r="B6466" t="s">
        <v>148</v>
      </c>
      <c r="C6466" t="s">
        <v>160</v>
      </c>
      <c r="D6466" t="s">
        <v>289</v>
      </c>
      <c r="E6466" t="s">
        <v>418</v>
      </c>
      <c r="F6466">
        <f>HYPERLINK("https://www.wikidata.org/wiki/Q33755445", "Q33755445")</f>
        <v>0</v>
      </c>
      <c r="G6466" t="s">
        <v>3268</v>
      </c>
      <c r="H6466" t="s">
        <v>7683</v>
      </c>
      <c r="I6466" t="s">
        <v>9457</v>
      </c>
      <c r="J6466" t="s">
        <v>13691</v>
      </c>
      <c r="K6466" t="s">
        <v>18256</v>
      </c>
      <c r="L6466">
        <f>HYPERLINK("https://www2.assemblee-nationale.fr/sycomore/fiche/(num_dept)/5267", "5267")</f>
        <v>0</v>
      </c>
      <c r="N6466">
        <f>HYPERLINK("https://www.wikidata.org/wiki/Q3131641", "Q3131641")</f>
        <v>0</v>
      </c>
      <c r="O6466" t="s">
        <v>19969</v>
      </c>
      <c r="Q6466" t="s">
        <v>20788</v>
      </c>
      <c r="R6466" t="s">
        <v>418</v>
      </c>
      <c r="S6466">
        <v>1731</v>
      </c>
    </row>
    <row r="6467" spans="1:19">
      <c r="A6467" t="s">
        <v>28</v>
      </c>
      <c r="B6467" t="s">
        <v>148</v>
      </c>
      <c r="C6467" t="s">
        <v>160</v>
      </c>
      <c r="D6467" t="s">
        <v>289</v>
      </c>
      <c r="E6467" t="s">
        <v>418</v>
      </c>
      <c r="F6467">
        <f>HYPERLINK("https://www.wikidata.org/wiki/Q33755445", "Q33755445")</f>
        <v>0</v>
      </c>
      <c r="G6467" t="s">
        <v>2633</v>
      </c>
      <c r="H6467" t="s">
        <v>7178</v>
      </c>
      <c r="I6467" t="s">
        <v>10327</v>
      </c>
      <c r="J6467" t="s">
        <v>13275</v>
      </c>
      <c r="K6467" t="s">
        <v>17677</v>
      </c>
      <c r="L6467">
        <f>HYPERLINK("https://www2.assemblee-nationale.fr/sycomore/fiche/(num_dept)/5269", "5269")</f>
        <v>0</v>
      </c>
      <c r="N6467">
        <f>HYPERLINK("https://www.wikidata.org/wiki/Q2941052", "Q2941052")</f>
        <v>0</v>
      </c>
      <c r="O6467" t="s">
        <v>8449</v>
      </c>
      <c r="Q6467" t="s">
        <v>20788</v>
      </c>
      <c r="R6467" t="s">
        <v>418</v>
      </c>
      <c r="S6467">
        <v>1731</v>
      </c>
    </row>
    <row r="6468" spans="1:19">
      <c r="A6468" t="s">
        <v>28</v>
      </c>
      <c r="B6468" t="s">
        <v>148</v>
      </c>
      <c r="C6468" t="s">
        <v>160</v>
      </c>
      <c r="D6468" t="s">
        <v>289</v>
      </c>
      <c r="E6468" t="s">
        <v>418</v>
      </c>
      <c r="F6468">
        <f>HYPERLINK("https://www.wikidata.org/wiki/Q33755445", "Q33755445")</f>
        <v>0</v>
      </c>
      <c r="G6468" t="s">
        <v>3797</v>
      </c>
      <c r="H6468" t="s">
        <v>8082</v>
      </c>
      <c r="I6468" t="s">
        <v>5528</v>
      </c>
      <c r="J6468" t="s">
        <v>14366</v>
      </c>
      <c r="K6468" t="s">
        <v>18716</v>
      </c>
      <c r="L6468">
        <f>HYPERLINK("https://www2.assemblee-nationale.fr/sycomore/fiche/(num_dept)/5305", "5305")</f>
        <v>0</v>
      </c>
      <c r="N6468">
        <f>HYPERLINK("https://www.wikidata.org/wiki/Q14218268", "Q14218268")</f>
        <v>0</v>
      </c>
      <c r="O6468" t="s">
        <v>20025</v>
      </c>
      <c r="Q6468" t="s">
        <v>20788</v>
      </c>
      <c r="R6468" t="s">
        <v>418</v>
      </c>
      <c r="S6468">
        <v>1731</v>
      </c>
    </row>
    <row r="6469" spans="1:19">
      <c r="A6469" t="s">
        <v>28</v>
      </c>
      <c r="B6469" t="s">
        <v>148</v>
      </c>
      <c r="C6469" t="s">
        <v>160</v>
      </c>
      <c r="D6469" t="s">
        <v>289</v>
      </c>
      <c r="E6469" t="s">
        <v>418</v>
      </c>
      <c r="F6469">
        <f>HYPERLINK("https://www.wikidata.org/wiki/Q33755445", "Q33755445")</f>
        <v>0</v>
      </c>
      <c r="G6469" t="s">
        <v>3482</v>
      </c>
      <c r="H6469" t="s">
        <v>7855</v>
      </c>
      <c r="I6469" t="s">
        <v>5528</v>
      </c>
      <c r="J6469" t="s">
        <v>14082</v>
      </c>
      <c r="K6469" t="s">
        <v>18448</v>
      </c>
      <c r="L6469">
        <f>HYPERLINK("https://www2.assemblee-nationale.fr/sycomore/fiche/(num_dept)/5420", "5420")</f>
        <v>0</v>
      </c>
      <c r="N6469">
        <f>HYPERLINK("https://www.wikidata.org/wiki/Q16026155", "Q16026155")</f>
        <v>0</v>
      </c>
      <c r="O6469" t="s">
        <v>20025</v>
      </c>
      <c r="P6469" t="s">
        <v>20479</v>
      </c>
      <c r="Q6469" t="s">
        <v>20788</v>
      </c>
      <c r="R6469" t="s">
        <v>418</v>
      </c>
      <c r="S6469">
        <v>1731</v>
      </c>
    </row>
    <row r="6470" spans="1:19">
      <c r="A6470" t="s">
        <v>28</v>
      </c>
      <c r="B6470" t="s">
        <v>148</v>
      </c>
      <c r="C6470" t="s">
        <v>160</v>
      </c>
      <c r="D6470" t="s">
        <v>289</v>
      </c>
      <c r="E6470" t="s">
        <v>418</v>
      </c>
      <c r="F6470">
        <f>HYPERLINK("https://www.wikidata.org/wiki/Q33755445", "Q33755445")</f>
        <v>0</v>
      </c>
      <c r="G6470" t="s">
        <v>2636</v>
      </c>
      <c r="H6470" t="s">
        <v>7181</v>
      </c>
      <c r="I6470" t="s">
        <v>10329</v>
      </c>
      <c r="J6470" t="s">
        <v>13278</v>
      </c>
      <c r="K6470" t="s">
        <v>17680</v>
      </c>
      <c r="L6470">
        <f>HYPERLINK("https://www2.assemblee-nationale.fr/sycomore/fiche/(num_dept)/5506", "5506")</f>
        <v>0</v>
      </c>
      <c r="M6470">
        <f>HYPERLINK("https://www.senat.fr/senateur-3eme-republique/naquet_alfred1708r3.html", "naquet_alfred1708r3")</f>
        <v>0</v>
      </c>
      <c r="N6470">
        <f>HYPERLINK("https://www.wikidata.org/wiki/Q2340682", "Q2340682")</f>
        <v>0</v>
      </c>
      <c r="O6470" t="s">
        <v>20047</v>
      </c>
      <c r="Q6470" t="s">
        <v>20788</v>
      </c>
      <c r="R6470" t="s">
        <v>418</v>
      </c>
      <c r="S6470">
        <v>1731</v>
      </c>
    </row>
    <row r="6471" spans="1:19">
      <c r="A6471" t="s">
        <v>28</v>
      </c>
      <c r="B6471" t="s">
        <v>148</v>
      </c>
      <c r="C6471" t="s">
        <v>160</v>
      </c>
      <c r="D6471" t="s">
        <v>289</v>
      </c>
      <c r="E6471" t="s">
        <v>418</v>
      </c>
      <c r="F6471">
        <f>HYPERLINK("https://www.wikidata.org/wiki/Q33755445", "Q33755445")</f>
        <v>0</v>
      </c>
      <c r="G6471" t="s">
        <v>3798</v>
      </c>
      <c r="H6471" t="s">
        <v>8083</v>
      </c>
      <c r="I6471" t="s">
        <v>6200</v>
      </c>
      <c r="J6471" t="s">
        <v>14367</v>
      </c>
      <c r="K6471" t="s">
        <v>18717</v>
      </c>
      <c r="L6471">
        <f>HYPERLINK("https://www2.assemblee-nationale.fr/sycomore/fiche/(num_dept)/5592", "5592")</f>
        <v>0</v>
      </c>
      <c r="N6471">
        <f>HYPERLINK("https://www.wikidata.org/wiki/Q16026223", "Q16026223")</f>
        <v>0</v>
      </c>
      <c r="O6471" t="s">
        <v>19991</v>
      </c>
      <c r="P6471" t="s">
        <v>20409</v>
      </c>
      <c r="Q6471" t="s">
        <v>20788</v>
      </c>
      <c r="R6471" t="s">
        <v>418</v>
      </c>
      <c r="S6471">
        <v>1731</v>
      </c>
    </row>
    <row r="6472" spans="1:19">
      <c r="A6472" t="s">
        <v>28</v>
      </c>
      <c r="B6472" t="s">
        <v>148</v>
      </c>
      <c r="C6472" t="s">
        <v>160</v>
      </c>
      <c r="D6472" t="s">
        <v>289</v>
      </c>
      <c r="E6472" t="s">
        <v>418</v>
      </c>
      <c r="F6472">
        <f>HYPERLINK("https://www.wikidata.org/wiki/Q33755445", "Q33755445")</f>
        <v>0</v>
      </c>
      <c r="G6472" t="s">
        <v>3799</v>
      </c>
      <c r="H6472" t="s">
        <v>8084</v>
      </c>
      <c r="I6472" t="s">
        <v>10977</v>
      </c>
      <c r="J6472" t="s">
        <v>14368</v>
      </c>
      <c r="K6472" t="s">
        <v>18718</v>
      </c>
      <c r="L6472">
        <f>HYPERLINK("https://www2.assemblee-nationale.fr/sycomore/fiche/(num_dept)/5611", "5611")</f>
        <v>0</v>
      </c>
      <c r="N6472">
        <f>HYPERLINK("https://www.wikidata.org/wiki/Q16026235", "Q16026235")</f>
        <v>0</v>
      </c>
      <c r="O6472" t="s">
        <v>19997</v>
      </c>
      <c r="P6472" t="s">
        <v>20479</v>
      </c>
      <c r="Q6472" t="s">
        <v>20788</v>
      </c>
      <c r="R6472" t="s">
        <v>418</v>
      </c>
      <c r="S6472">
        <v>1731</v>
      </c>
    </row>
    <row r="6473" spans="1:19">
      <c r="A6473" t="s">
        <v>28</v>
      </c>
      <c r="B6473" t="s">
        <v>148</v>
      </c>
      <c r="C6473" t="s">
        <v>160</v>
      </c>
      <c r="D6473" t="s">
        <v>289</v>
      </c>
      <c r="E6473" t="s">
        <v>418</v>
      </c>
      <c r="F6473">
        <f>HYPERLINK("https://www.wikidata.org/wiki/Q33755445", "Q33755445")</f>
        <v>0</v>
      </c>
      <c r="G6473" t="s">
        <v>3800</v>
      </c>
      <c r="H6473" t="s">
        <v>8085</v>
      </c>
      <c r="I6473" t="s">
        <v>10978</v>
      </c>
      <c r="J6473" t="s">
        <v>14369</v>
      </c>
      <c r="K6473" t="s">
        <v>18719</v>
      </c>
      <c r="L6473">
        <f>HYPERLINK("https://www2.assemblee-nationale.fr/sycomore/fiche/(num_dept)/5853", "5853")</f>
        <v>0</v>
      </c>
      <c r="N6473">
        <f>HYPERLINK("https://www.wikidata.org/wiki/Q13077218", "Q13077218")</f>
        <v>0</v>
      </c>
      <c r="O6473" t="s">
        <v>19969</v>
      </c>
      <c r="P6473" t="s">
        <v>20477</v>
      </c>
      <c r="Q6473" t="s">
        <v>20788</v>
      </c>
      <c r="R6473" t="s">
        <v>18719</v>
      </c>
      <c r="S6473">
        <v>1560</v>
      </c>
    </row>
    <row r="6474" spans="1:19">
      <c r="A6474" t="s">
        <v>28</v>
      </c>
      <c r="B6474" t="s">
        <v>148</v>
      </c>
      <c r="C6474" t="s">
        <v>160</v>
      </c>
      <c r="D6474" t="s">
        <v>289</v>
      </c>
      <c r="E6474" t="s">
        <v>418</v>
      </c>
      <c r="F6474">
        <f>HYPERLINK("https://www.wikidata.org/wiki/Q33755445", "Q33755445")</f>
        <v>0</v>
      </c>
      <c r="G6474" t="s">
        <v>2643</v>
      </c>
      <c r="H6474" t="s">
        <v>6262</v>
      </c>
      <c r="I6474" t="s">
        <v>9552</v>
      </c>
      <c r="J6474" t="s">
        <v>13285</v>
      </c>
      <c r="K6474" t="s">
        <v>17608</v>
      </c>
      <c r="L6474">
        <f>HYPERLINK("https://www2.assemblee-nationale.fr/sycomore/fiche/(num_dept)/5890", "5890")</f>
        <v>0</v>
      </c>
      <c r="N6474">
        <f>HYPERLINK("https://www.wikidata.org/wiki/Q2871355", "Q2871355")</f>
        <v>0</v>
      </c>
      <c r="O6474" t="s">
        <v>19959</v>
      </c>
      <c r="Q6474" t="s">
        <v>20788</v>
      </c>
      <c r="R6474" t="s">
        <v>17608</v>
      </c>
      <c r="S6474">
        <v>536</v>
      </c>
    </row>
    <row r="6475" spans="1:19">
      <c r="A6475" t="s">
        <v>28</v>
      </c>
      <c r="B6475" t="s">
        <v>148</v>
      </c>
      <c r="C6475" t="s">
        <v>160</v>
      </c>
      <c r="D6475" t="s">
        <v>289</v>
      </c>
      <c r="E6475" t="s">
        <v>418</v>
      </c>
      <c r="F6475">
        <f>HYPERLINK("https://www.wikidata.org/wiki/Q33755445", "Q33755445")</f>
        <v>0</v>
      </c>
      <c r="G6475" t="s">
        <v>766</v>
      </c>
      <c r="H6475" t="s">
        <v>5524</v>
      </c>
      <c r="I6475" t="s">
        <v>9421</v>
      </c>
      <c r="J6475" t="s">
        <v>11513</v>
      </c>
      <c r="K6475" t="s">
        <v>15917</v>
      </c>
      <c r="L6475">
        <f>HYPERLINK("https://www2.assemblee-nationale.fr/sycomore/fiche/(num_dept)/6027", "6027")</f>
        <v>0</v>
      </c>
      <c r="N6475">
        <f>HYPERLINK("https://www.wikidata.org/wiki/Q3121311", "Q3121311")</f>
        <v>0</v>
      </c>
      <c r="O6475" t="s">
        <v>20023</v>
      </c>
      <c r="Q6475" t="s">
        <v>20788</v>
      </c>
      <c r="R6475" t="s">
        <v>418</v>
      </c>
      <c r="S6475">
        <v>1731</v>
      </c>
    </row>
    <row r="6476" spans="1:19">
      <c r="A6476" t="s">
        <v>28</v>
      </c>
      <c r="B6476" t="s">
        <v>148</v>
      </c>
      <c r="C6476" t="s">
        <v>160</v>
      </c>
      <c r="D6476" t="s">
        <v>289</v>
      </c>
      <c r="E6476" t="s">
        <v>418</v>
      </c>
      <c r="F6476">
        <f>HYPERLINK("https://www.wikidata.org/wiki/Q33755445", "Q33755445")</f>
        <v>0</v>
      </c>
      <c r="G6476" t="s">
        <v>3801</v>
      </c>
      <c r="H6476" t="s">
        <v>8086</v>
      </c>
      <c r="I6476" t="s">
        <v>10979</v>
      </c>
      <c r="J6476" t="s">
        <v>14370</v>
      </c>
      <c r="K6476" t="s">
        <v>17541</v>
      </c>
      <c r="L6476">
        <f>HYPERLINK("https://www2.assemblee-nationale.fr/sycomore/fiche/(num_dept)/6090", "6090")</f>
        <v>0</v>
      </c>
      <c r="N6476">
        <f>HYPERLINK("https://www.wikidata.org/wiki/Q16026449", "Q16026449")</f>
        <v>0</v>
      </c>
      <c r="O6476" t="s">
        <v>19968</v>
      </c>
      <c r="P6476" t="s">
        <v>20459</v>
      </c>
      <c r="Q6476" t="s">
        <v>20788</v>
      </c>
      <c r="R6476" t="s">
        <v>418</v>
      </c>
      <c r="S6476">
        <v>1731</v>
      </c>
    </row>
    <row r="6477" spans="1:19">
      <c r="A6477" t="s">
        <v>28</v>
      </c>
      <c r="B6477" t="s">
        <v>148</v>
      </c>
      <c r="C6477" t="s">
        <v>160</v>
      </c>
      <c r="D6477" t="s">
        <v>289</v>
      </c>
      <c r="E6477" t="s">
        <v>418</v>
      </c>
      <c r="F6477">
        <f>HYPERLINK("https://www.wikidata.org/wiki/Q33755445", "Q33755445")</f>
        <v>0</v>
      </c>
      <c r="G6477" t="s">
        <v>2648</v>
      </c>
      <c r="H6477" t="s">
        <v>7190</v>
      </c>
      <c r="I6477" t="s">
        <v>10337</v>
      </c>
      <c r="J6477" t="s">
        <v>13290</v>
      </c>
      <c r="K6477" t="s">
        <v>17689</v>
      </c>
      <c r="L6477">
        <f>HYPERLINK("https://www2.assemblee-nationale.fr/sycomore/fiche/(num_dept)/6106", "6106")</f>
        <v>0</v>
      </c>
      <c r="N6477">
        <f>HYPERLINK("https://www.wikidata.org/wiki/Q2401407", "Q2401407")</f>
        <v>0</v>
      </c>
      <c r="O6477" t="s">
        <v>20013</v>
      </c>
      <c r="P6477" t="s">
        <v>20460</v>
      </c>
      <c r="Q6477" t="s">
        <v>20788</v>
      </c>
      <c r="R6477" t="s">
        <v>17689</v>
      </c>
      <c r="S6477">
        <v>571</v>
      </c>
    </row>
    <row r="6478" spans="1:19">
      <c r="A6478" t="s">
        <v>28</v>
      </c>
      <c r="B6478" t="s">
        <v>148</v>
      </c>
      <c r="C6478" t="s">
        <v>160</v>
      </c>
      <c r="D6478" t="s">
        <v>289</v>
      </c>
      <c r="E6478" t="s">
        <v>418</v>
      </c>
      <c r="F6478">
        <f>HYPERLINK("https://www.wikidata.org/wiki/Q33755445", "Q33755445")</f>
        <v>0</v>
      </c>
      <c r="G6478" t="s">
        <v>1030</v>
      </c>
      <c r="H6478" t="s">
        <v>5779</v>
      </c>
      <c r="I6478" t="s">
        <v>9628</v>
      </c>
      <c r="J6478" t="s">
        <v>11767</v>
      </c>
      <c r="K6478" t="s">
        <v>16168</v>
      </c>
      <c r="L6478">
        <f>HYPERLINK("https://www2.assemblee-nationale.fr/sycomore/fiche/(num_dept)/6107", "6107")</f>
        <v>0</v>
      </c>
      <c r="N6478">
        <f>HYPERLINK("https://www.wikidata.org/wiki/Q2410604", "Q2410604")</f>
        <v>0</v>
      </c>
      <c r="O6478" t="s">
        <v>19969</v>
      </c>
      <c r="P6478" t="s">
        <v>20477</v>
      </c>
      <c r="Q6478" t="s">
        <v>20788</v>
      </c>
      <c r="R6478" t="s">
        <v>418</v>
      </c>
      <c r="S6478">
        <v>1731</v>
      </c>
    </row>
    <row r="6479" spans="1:19">
      <c r="A6479" t="s">
        <v>28</v>
      </c>
      <c r="B6479" t="s">
        <v>148</v>
      </c>
      <c r="C6479" t="s">
        <v>160</v>
      </c>
      <c r="D6479" t="s">
        <v>289</v>
      </c>
      <c r="E6479" t="s">
        <v>418</v>
      </c>
      <c r="F6479">
        <f>HYPERLINK("https://www.wikidata.org/wiki/Q33755445", "Q33755445")</f>
        <v>0</v>
      </c>
      <c r="G6479" t="s">
        <v>3586</v>
      </c>
      <c r="H6479" t="s">
        <v>7934</v>
      </c>
      <c r="I6479" t="s">
        <v>10890</v>
      </c>
      <c r="J6479" t="s">
        <v>14173</v>
      </c>
      <c r="K6479" t="s">
        <v>16795</v>
      </c>
      <c r="L6479">
        <f>HYPERLINK("https://www2.assemblee-nationale.fr/sycomore/fiche/(num_dept)/6135", "6135")</f>
        <v>0</v>
      </c>
      <c r="N6479">
        <f>HYPERLINK("https://www.wikidata.org/wiki/Q2960153", "Q2960153")</f>
        <v>0</v>
      </c>
      <c r="O6479" t="s">
        <v>20042</v>
      </c>
      <c r="P6479" t="s">
        <v>20477</v>
      </c>
      <c r="Q6479" t="s">
        <v>20788</v>
      </c>
      <c r="R6479" t="s">
        <v>418</v>
      </c>
      <c r="S6479">
        <v>1731</v>
      </c>
    </row>
    <row r="6480" spans="1:19">
      <c r="A6480" t="s">
        <v>28</v>
      </c>
      <c r="B6480" t="s">
        <v>148</v>
      </c>
      <c r="C6480" t="s">
        <v>160</v>
      </c>
      <c r="D6480" t="s">
        <v>289</v>
      </c>
      <c r="E6480" t="s">
        <v>418</v>
      </c>
      <c r="F6480">
        <f>HYPERLINK("https://www.wikidata.org/wiki/Q33755445", "Q33755445")</f>
        <v>0</v>
      </c>
      <c r="G6480" t="s">
        <v>3802</v>
      </c>
      <c r="H6480" t="s">
        <v>8087</v>
      </c>
      <c r="I6480" t="s">
        <v>9388</v>
      </c>
      <c r="J6480" t="s">
        <v>14371</v>
      </c>
      <c r="K6480" t="s">
        <v>18720</v>
      </c>
      <c r="L6480">
        <f>HYPERLINK("https://www2.assemblee-nationale.fr/sycomore/fiche/(num_dept)/6264", "6264")</f>
        <v>0</v>
      </c>
      <c r="N6480">
        <f>HYPERLINK("https://www.wikidata.org/wiki/Q16669286", "Q16669286")</f>
        <v>0</v>
      </c>
      <c r="O6480" t="s">
        <v>20000</v>
      </c>
      <c r="P6480" t="s">
        <v>20477</v>
      </c>
      <c r="Q6480" t="s">
        <v>20788</v>
      </c>
      <c r="R6480" t="s">
        <v>418</v>
      </c>
      <c r="S6480">
        <v>1731</v>
      </c>
    </row>
    <row r="6481" spans="1:19">
      <c r="A6481" t="s">
        <v>28</v>
      </c>
      <c r="B6481" t="s">
        <v>148</v>
      </c>
      <c r="C6481" t="s">
        <v>160</v>
      </c>
      <c r="D6481" t="s">
        <v>289</v>
      </c>
      <c r="E6481" t="s">
        <v>418</v>
      </c>
      <c r="F6481">
        <f>HYPERLINK("https://www.wikidata.org/wiki/Q33755445", "Q33755445")</f>
        <v>0</v>
      </c>
      <c r="G6481" t="s">
        <v>3803</v>
      </c>
      <c r="H6481" t="s">
        <v>8088</v>
      </c>
      <c r="I6481" t="s">
        <v>10980</v>
      </c>
      <c r="J6481" t="s">
        <v>14035</v>
      </c>
      <c r="K6481" t="s">
        <v>18721</v>
      </c>
      <c r="L6481">
        <f>HYPERLINK("https://www2.assemblee-nationale.fr/sycomore/fiche/(num_dept)/6317", "6317")</f>
        <v>0</v>
      </c>
      <c r="N6481">
        <f>HYPERLINK("https://www.wikidata.org/wiki/Q16026485", "Q16026485")</f>
        <v>0</v>
      </c>
      <c r="O6481" t="s">
        <v>19999</v>
      </c>
      <c r="P6481" t="s">
        <v>20500</v>
      </c>
      <c r="Q6481" t="s">
        <v>20788</v>
      </c>
      <c r="R6481" t="s">
        <v>418</v>
      </c>
      <c r="S6481">
        <v>1731</v>
      </c>
    </row>
    <row r="6482" spans="1:19">
      <c r="A6482" t="s">
        <v>28</v>
      </c>
      <c r="B6482" t="s">
        <v>148</v>
      </c>
      <c r="C6482" t="s">
        <v>160</v>
      </c>
      <c r="D6482" t="s">
        <v>289</v>
      </c>
      <c r="E6482" t="s">
        <v>418</v>
      </c>
      <c r="F6482">
        <f>HYPERLINK("https://www.wikidata.org/wiki/Q33755445", "Q33755445")</f>
        <v>0</v>
      </c>
      <c r="G6482" t="s">
        <v>781</v>
      </c>
      <c r="H6482" t="s">
        <v>5539</v>
      </c>
      <c r="I6482" t="s">
        <v>9499</v>
      </c>
      <c r="J6482" t="s">
        <v>11528</v>
      </c>
      <c r="K6482" t="s">
        <v>15932</v>
      </c>
      <c r="L6482">
        <f>HYPERLINK("https://www2.assemblee-nationale.fr/sycomore/fiche/(num_dept)/6320", "6320")</f>
        <v>0</v>
      </c>
      <c r="N6482">
        <f>HYPERLINK("https://www.wikidata.org/wiki/Q16026489", "Q16026489")</f>
        <v>0</v>
      </c>
      <c r="O6482" t="s">
        <v>19991</v>
      </c>
      <c r="Q6482" t="s">
        <v>20788</v>
      </c>
      <c r="R6482" t="s">
        <v>418</v>
      </c>
      <c r="S6482">
        <v>1731</v>
      </c>
    </row>
    <row r="6483" spans="1:19">
      <c r="A6483" t="s">
        <v>28</v>
      </c>
      <c r="B6483" t="s">
        <v>148</v>
      </c>
      <c r="C6483" t="s">
        <v>160</v>
      </c>
      <c r="D6483" t="s">
        <v>289</v>
      </c>
      <c r="E6483" t="s">
        <v>418</v>
      </c>
      <c r="F6483">
        <f>HYPERLINK("https://www.wikidata.org/wiki/Q33755445", "Q33755445")</f>
        <v>0</v>
      </c>
      <c r="G6483" t="s">
        <v>786</v>
      </c>
      <c r="H6483" t="s">
        <v>5543</v>
      </c>
      <c r="I6483" t="s">
        <v>9523</v>
      </c>
      <c r="J6483" t="s">
        <v>11533</v>
      </c>
      <c r="K6483" t="s">
        <v>15937</v>
      </c>
      <c r="L6483">
        <f>HYPERLINK("https://www2.assemblee-nationale.fr/sycomore/fiche/(num_dept)/6379", "6379")</f>
        <v>0</v>
      </c>
      <c r="N6483">
        <f>HYPERLINK("https://www.wikidata.org/wiki/Q2019775", "Q2019775")</f>
        <v>0</v>
      </c>
      <c r="O6483" t="s">
        <v>19969</v>
      </c>
      <c r="Q6483" t="s">
        <v>20788</v>
      </c>
      <c r="R6483" t="s">
        <v>418</v>
      </c>
      <c r="S6483">
        <v>1731</v>
      </c>
    </row>
    <row r="6484" spans="1:19">
      <c r="A6484" t="s">
        <v>28</v>
      </c>
      <c r="B6484" t="s">
        <v>148</v>
      </c>
      <c r="C6484" t="s">
        <v>160</v>
      </c>
      <c r="D6484" t="s">
        <v>289</v>
      </c>
      <c r="E6484" t="s">
        <v>418</v>
      </c>
      <c r="F6484">
        <f>HYPERLINK("https://www.wikidata.org/wiki/Q33755445", "Q33755445")</f>
        <v>0</v>
      </c>
      <c r="G6484" t="s">
        <v>2660</v>
      </c>
      <c r="H6484" t="s">
        <v>7200</v>
      </c>
      <c r="I6484" t="s">
        <v>9407</v>
      </c>
      <c r="J6484" t="s">
        <v>13301</v>
      </c>
      <c r="K6484" t="s">
        <v>17701</v>
      </c>
      <c r="L6484">
        <f>HYPERLINK("https://www2.assemblee-nationale.fr/sycomore/fiche/(num_dept)/6386", "6386")</f>
        <v>0</v>
      </c>
      <c r="N6484">
        <f>HYPERLINK("https://www.wikidata.org/wiki/Q16026497", "Q16026497")</f>
        <v>0</v>
      </c>
      <c r="O6484" t="s">
        <v>20019</v>
      </c>
      <c r="Q6484" t="s">
        <v>20788</v>
      </c>
      <c r="R6484" t="s">
        <v>418</v>
      </c>
      <c r="S6484">
        <v>1731</v>
      </c>
    </row>
    <row r="6485" spans="1:19">
      <c r="A6485" t="s">
        <v>28</v>
      </c>
      <c r="B6485" t="s">
        <v>148</v>
      </c>
      <c r="C6485" t="s">
        <v>160</v>
      </c>
      <c r="D6485" t="s">
        <v>289</v>
      </c>
      <c r="E6485" t="s">
        <v>418</v>
      </c>
      <c r="F6485">
        <f>HYPERLINK("https://www.wikidata.org/wiki/Q33755445", "Q33755445")</f>
        <v>0</v>
      </c>
      <c r="G6485" t="s">
        <v>2661</v>
      </c>
      <c r="H6485" t="s">
        <v>7201</v>
      </c>
      <c r="I6485" t="s">
        <v>10346</v>
      </c>
      <c r="J6485" t="s">
        <v>13302</v>
      </c>
      <c r="K6485" t="s">
        <v>17702</v>
      </c>
      <c r="L6485">
        <f>HYPERLINK("https://www2.assemblee-nationale.fr/sycomore/fiche/(num_dept)/6397", "6397")</f>
        <v>0</v>
      </c>
      <c r="N6485">
        <f>HYPERLINK("https://www.wikidata.org/wiki/Q3121020", "Q3121020")</f>
        <v>0</v>
      </c>
      <c r="O6485" t="s">
        <v>19982</v>
      </c>
      <c r="P6485" t="s">
        <v>20460</v>
      </c>
      <c r="Q6485" t="s">
        <v>20788</v>
      </c>
      <c r="R6485" t="s">
        <v>418</v>
      </c>
      <c r="S6485">
        <v>1731</v>
      </c>
    </row>
    <row r="6486" spans="1:19">
      <c r="A6486" t="s">
        <v>28</v>
      </c>
      <c r="B6486" t="s">
        <v>148</v>
      </c>
      <c r="C6486" t="s">
        <v>160</v>
      </c>
      <c r="D6486" t="s">
        <v>289</v>
      </c>
      <c r="E6486" t="s">
        <v>418</v>
      </c>
      <c r="F6486">
        <f>HYPERLINK("https://www.wikidata.org/wiki/Q33755445", "Q33755445")</f>
        <v>0</v>
      </c>
      <c r="G6486" t="s">
        <v>3281</v>
      </c>
      <c r="H6486" t="s">
        <v>7695</v>
      </c>
      <c r="I6486" t="s">
        <v>10744</v>
      </c>
      <c r="J6486" t="s">
        <v>13895</v>
      </c>
      <c r="K6486" t="s">
        <v>18267</v>
      </c>
      <c r="L6486">
        <f>HYPERLINK("https://www2.assemblee-nationale.fr/sycomore/fiche/(num_dept)/6455", "6455")</f>
        <v>0</v>
      </c>
      <c r="N6486">
        <f>HYPERLINK("https://www.wikidata.org/wiki/Q3557515", "Q3557515")</f>
        <v>0</v>
      </c>
      <c r="O6486" t="s">
        <v>20041</v>
      </c>
      <c r="P6486" t="s">
        <v>20401</v>
      </c>
      <c r="Q6486" t="s">
        <v>20788</v>
      </c>
      <c r="R6486" t="s">
        <v>418</v>
      </c>
      <c r="S6486">
        <v>1731</v>
      </c>
    </row>
    <row r="6487" spans="1:19">
      <c r="A6487" t="s">
        <v>28</v>
      </c>
      <c r="B6487" t="s">
        <v>148</v>
      </c>
      <c r="C6487" t="s">
        <v>160</v>
      </c>
      <c r="D6487" t="s">
        <v>289</v>
      </c>
      <c r="E6487" t="s">
        <v>418</v>
      </c>
      <c r="F6487">
        <f>HYPERLINK("https://www.wikidata.org/wiki/Q33755445", "Q33755445")</f>
        <v>0</v>
      </c>
      <c r="G6487" t="s">
        <v>3804</v>
      </c>
      <c r="H6487" t="s">
        <v>8089</v>
      </c>
      <c r="I6487" t="s">
        <v>10981</v>
      </c>
      <c r="J6487" t="s">
        <v>14372</v>
      </c>
      <c r="K6487" t="s">
        <v>18722</v>
      </c>
      <c r="L6487">
        <f>HYPERLINK("https://www2.assemblee-nationale.fr/sycomore/fiche/(num_dept)/6527", "6527")</f>
        <v>0</v>
      </c>
      <c r="N6487">
        <f>HYPERLINK("https://www.wikidata.org/wiki/Q13091113", "Q13091113")</f>
        <v>0</v>
      </c>
      <c r="O6487" t="s">
        <v>19969</v>
      </c>
      <c r="Q6487" t="s">
        <v>20788</v>
      </c>
      <c r="R6487" t="s">
        <v>18722</v>
      </c>
      <c r="S6487">
        <v>1154</v>
      </c>
    </row>
    <row r="6488" spans="1:19">
      <c r="A6488" t="s">
        <v>28</v>
      </c>
      <c r="B6488" t="s">
        <v>148</v>
      </c>
      <c r="C6488" t="s">
        <v>160</v>
      </c>
      <c r="D6488" t="s">
        <v>289</v>
      </c>
      <c r="E6488" t="s">
        <v>418</v>
      </c>
      <c r="F6488">
        <f>HYPERLINK("https://www.wikidata.org/wiki/Q33755445", "Q33755445")</f>
        <v>0</v>
      </c>
      <c r="G6488" t="s">
        <v>3805</v>
      </c>
      <c r="H6488" t="s">
        <v>8090</v>
      </c>
      <c r="I6488" t="s">
        <v>10982</v>
      </c>
      <c r="J6488" t="s">
        <v>14373</v>
      </c>
      <c r="K6488" t="s">
        <v>18723</v>
      </c>
      <c r="L6488">
        <f>HYPERLINK("https://www2.assemblee-nationale.fr/sycomore/fiche/(num_dept)/6642", "6642")</f>
        <v>0</v>
      </c>
      <c r="N6488">
        <f>HYPERLINK("https://www.wikidata.org/wiki/Q3060129", "Q3060129")</f>
        <v>0</v>
      </c>
      <c r="O6488" t="s">
        <v>20047</v>
      </c>
      <c r="P6488" t="s">
        <v>20471</v>
      </c>
      <c r="Q6488" t="s">
        <v>20788</v>
      </c>
      <c r="R6488" t="s">
        <v>418</v>
      </c>
      <c r="S6488">
        <v>1731</v>
      </c>
    </row>
    <row r="6489" spans="1:19">
      <c r="A6489" t="s">
        <v>28</v>
      </c>
      <c r="B6489" t="s">
        <v>148</v>
      </c>
      <c r="C6489" t="s">
        <v>160</v>
      </c>
      <c r="D6489" t="s">
        <v>289</v>
      </c>
      <c r="E6489" t="s">
        <v>418</v>
      </c>
      <c r="F6489">
        <f>HYPERLINK("https://www.wikidata.org/wiki/Q33755445", "Q33755445")</f>
        <v>0</v>
      </c>
      <c r="G6489" t="s">
        <v>3284</v>
      </c>
      <c r="H6489" t="s">
        <v>7480</v>
      </c>
      <c r="I6489" t="s">
        <v>10747</v>
      </c>
      <c r="J6489" t="s">
        <v>13898</v>
      </c>
      <c r="K6489" t="s">
        <v>18270</v>
      </c>
      <c r="L6489">
        <f>HYPERLINK("https://www2.assemblee-nationale.fr/sycomore/fiche/(num_dept)/6700", "6700")</f>
        <v>0</v>
      </c>
      <c r="N6489">
        <f>HYPERLINK("https://www.wikidata.org/wiki/Q2861372", "Q2861372")</f>
        <v>0</v>
      </c>
      <c r="O6489" t="s">
        <v>20006</v>
      </c>
      <c r="Q6489" t="s">
        <v>20788</v>
      </c>
      <c r="R6489" t="s">
        <v>418</v>
      </c>
      <c r="S6489">
        <v>1731</v>
      </c>
    </row>
    <row r="6490" spans="1:19">
      <c r="A6490" t="s">
        <v>28</v>
      </c>
      <c r="B6490" t="s">
        <v>148</v>
      </c>
      <c r="C6490" t="s">
        <v>160</v>
      </c>
      <c r="D6490" t="s">
        <v>289</v>
      </c>
      <c r="E6490" t="s">
        <v>418</v>
      </c>
      <c r="F6490">
        <f>HYPERLINK("https://www.wikidata.org/wiki/Q33755445", "Q33755445")</f>
        <v>0</v>
      </c>
      <c r="G6490" t="s">
        <v>3806</v>
      </c>
      <c r="H6490" t="s">
        <v>8091</v>
      </c>
      <c r="I6490" t="s">
        <v>10983</v>
      </c>
      <c r="J6490" t="s">
        <v>14374</v>
      </c>
      <c r="K6490" t="s">
        <v>18724</v>
      </c>
      <c r="L6490">
        <f>HYPERLINK("https://www2.assemblee-nationale.fr/sycomore/fiche/(num_dept)/6794", "6794")</f>
        <v>0</v>
      </c>
      <c r="N6490">
        <f>HYPERLINK("https://www.wikidata.org/wiki/Q8317159", "Q8317159")</f>
        <v>0</v>
      </c>
      <c r="O6490" t="s">
        <v>20039</v>
      </c>
      <c r="Q6490" t="s">
        <v>20788</v>
      </c>
      <c r="R6490" t="s">
        <v>18724</v>
      </c>
      <c r="S6490">
        <v>508</v>
      </c>
    </row>
    <row r="6491" spans="1:19">
      <c r="A6491" t="s">
        <v>28</v>
      </c>
      <c r="B6491" t="s">
        <v>148</v>
      </c>
      <c r="C6491" t="s">
        <v>160</v>
      </c>
      <c r="D6491" t="s">
        <v>289</v>
      </c>
      <c r="E6491" t="s">
        <v>418</v>
      </c>
      <c r="F6491">
        <f>HYPERLINK("https://www.wikidata.org/wiki/Q33755445", "Q33755445")</f>
        <v>0</v>
      </c>
      <c r="G6491" t="s">
        <v>3807</v>
      </c>
      <c r="H6491" t="s">
        <v>8092</v>
      </c>
      <c r="I6491" t="s">
        <v>6495</v>
      </c>
      <c r="J6491" t="s">
        <v>14375</v>
      </c>
      <c r="K6491" t="s">
        <v>18725</v>
      </c>
      <c r="L6491">
        <f>HYPERLINK("https://www2.assemblee-nationale.fr/sycomore/fiche/(num_dept)/6872", "6872")</f>
        <v>0</v>
      </c>
      <c r="N6491">
        <f>HYPERLINK("https://www.wikidata.org/wiki/Q16026514", "Q16026514")</f>
        <v>0</v>
      </c>
      <c r="O6491" t="s">
        <v>19965</v>
      </c>
      <c r="Q6491" t="s">
        <v>20788</v>
      </c>
      <c r="R6491" t="s">
        <v>418</v>
      </c>
      <c r="S6491">
        <v>1731</v>
      </c>
    </row>
    <row r="6492" spans="1:19">
      <c r="A6492" t="s">
        <v>28</v>
      </c>
      <c r="B6492" t="s">
        <v>148</v>
      </c>
      <c r="C6492" t="s">
        <v>160</v>
      </c>
      <c r="D6492" t="s">
        <v>289</v>
      </c>
      <c r="E6492" t="s">
        <v>418</v>
      </c>
      <c r="F6492">
        <f>HYPERLINK("https://www.wikidata.org/wiki/Q33755445", "Q33755445")</f>
        <v>0</v>
      </c>
      <c r="G6492" t="s">
        <v>3602</v>
      </c>
      <c r="H6492" t="s">
        <v>5807</v>
      </c>
      <c r="I6492" t="s">
        <v>10902</v>
      </c>
      <c r="J6492" t="s">
        <v>14187</v>
      </c>
      <c r="K6492" t="s">
        <v>18553</v>
      </c>
      <c r="L6492">
        <f>HYPERLINK("https://www2.assemblee-nationale.fr/sycomore/fiche/(num_dept)/7038", "7038")</f>
        <v>0</v>
      </c>
      <c r="N6492">
        <f>HYPERLINK("https://www.wikidata.org/wiki/Q2966499", "Q2966499")</f>
        <v>0</v>
      </c>
      <c r="O6492" t="s">
        <v>19999</v>
      </c>
      <c r="Q6492" t="s">
        <v>20788</v>
      </c>
      <c r="R6492" t="s">
        <v>18553</v>
      </c>
      <c r="S6492">
        <v>704</v>
      </c>
    </row>
    <row r="6493" spans="1:19">
      <c r="A6493" t="s">
        <v>28</v>
      </c>
      <c r="B6493" t="s">
        <v>148</v>
      </c>
      <c r="C6493" t="s">
        <v>160</v>
      </c>
      <c r="D6493" t="s">
        <v>289</v>
      </c>
      <c r="E6493" t="s">
        <v>418</v>
      </c>
      <c r="F6493">
        <f>HYPERLINK("https://www.wikidata.org/wiki/Q33755445", "Q33755445")</f>
        <v>0</v>
      </c>
      <c r="G6493" t="s">
        <v>3808</v>
      </c>
      <c r="H6493" t="s">
        <v>7054</v>
      </c>
      <c r="I6493" t="s">
        <v>10984</v>
      </c>
      <c r="J6493" t="s">
        <v>13893</v>
      </c>
      <c r="K6493" t="s">
        <v>18726</v>
      </c>
      <c r="L6493">
        <f>HYPERLINK("https://www2.assemblee-nationale.fr/sycomore/fiche/(num_dept)/7057", "7057")</f>
        <v>0</v>
      </c>
      <c r="N6493">
        <f>HYPERLINK("https://www.wikidata.org/wiki/Q16026556", "Q16026556")</f>
        <v>0</v>
      </c>
      <c r="O6493" t="s">
        <v>19982</v>
      </c>
      <c r="Q6493" t="s">
        <v>20788</v>
      </c>
      <c r="R6493" t="s">
        <v>418</v>
      </c>
      <c r="S6493">
        <v>1731</v>
      </c>
    </row>
    <row r="6494" spans="1:19">
      <c r="A6494" t="s">
        <v>28</v>
      </c>
      <c r="B6494" t="s">
        <v>148</v>
      </c>
      <c r="C6494" t="s">
        <v>160</v>
      </c>
      <c r="D6494" t="s">
        <v>289</v>
      </c>
      <c r="E6494" t="s">
        <v>418</v>
      </c>
      <c r="F6494">
        <f>HYPERLINK("https://www.wikidata.org/wiki/Q33755445", "Q33755445")</f>
        <v>0</v>
      </c>
      <c r="G6494" t="s">
        <v>3641</v>
      </c>
      <c r="H6494" t="s">
        <v>7973</v>
      </c>
      <c r="I6494" t="s">
        <v>9458</v>
      </c>
      <c r="J6494" t="s">
        <v>14221</v>
      </c>
      <c r="K6494" t="s">
        <v>18584</v>
      </c>
      <c r="L6494">
        <f>HYPERLINK("https://www2.assemblee-nationale.fr/sycomore/fiche/(num_dept)/7082", "7082")</f>
        <v>0</v>
      </c>
      <c r="N6494">
        <f>HYPERLINK("https://www.wikidata.org/wiki/Q8337934", "Q8337934")</f>
        <v>0</v>
      </c>
      <c r="O6494" t="s">
        <v>20008</v>
      </c>
      <c r="P6494" t="s">
        <v>20401</v>
      </c>
      <c r="Q6494" t="s">
        <v>20788</v>
      </c>
      <c r="R6494" t="s">
        <v>418</v>
      </c>
      <c r="S6494">
        <v>1731</v>
      </c>
    </row>
    <row r="6495" spans="1:19">
      <c r="A6495" t="s">
        <v>28</v>
      </c>
      <c r="B6495" t="s">
        <v>148</v>
      </c>
      <c r="C6495" t="s">
        <v>160</v>
      </c>
      <c r="D6495" t="s">
        <v>289</v>
      </c>
      <c r="E6495" t="s">
        <v>418</v>
      </c>
      <c r="F6495">
        <f>HYPERLINK("https://www.wikidata.org/wiki/Q33755445", "Q33755445")</f>
        <v>0</v>
      </c>
      <c r="G6495" t="s">
        <v>3809</v>
      </c>
      <c r="H6495" t="s">
        <v>8093</v>
      </c>
      <c r="I6495" t="s">
        <v>9602</v>
      </c>
      <c r="J6495" t="s">
        <v>14376</v>
      </c>
      <c r="K6495" t="s">
        <v>18727</v>
      </c>
      <c r="L6495">
        <f>HYPERLINK("https://www2.assemblee-nationale.fr/sycomore/fiche/(num_dept)/7122", "7122")</f>
        <v>0</v>
      </c>
      <c r="N6495">
        <f>HYPERLINK("https://www.wikidata.org/wiki/Q3048007", "Q3048007")</f>
        <v>0</v>
      </c>
      <c r="O6495" t="s">
        <v>19969</v>
      </c>
      <c r="P6495" t="s">
        <v>20446</v>
      </c>
      <c r="Q6495" t="s">
        <v>20788</v>
      </c>
      <c r="R6495" t="s">
        <v>418</v>
      </c>
      <c r="S6495">
        <v>1731</v>
      </c>
    </row>
    <row r="6496" spans="1:19">
      <c r="A6496" t="s">
        <v>28</v>
      </c>
      <c r="B6496" t="s">
        <v>148</v>
      </c>
      <c r="C6496" t="s">
        <v>160</v>
      </c>
      <c r="D6496" t="s">
        <v>289</v>
      </c>
      <c r="E6496" t="s">
        <v>418</v>
      </c>
      <c r="F6496">
        <f>HYPERLINK("https://www.wikidata.org/wiki/Q33755445", "Q33755445")</f>
        <v>0</v>
      </c>
      <c r="G6496" t="s">
        <v>3644</v>
      </c>
      <c r="H6496" t="s">
        <v>7975</v>
      </c>
      <c r="I6496" t="s">
        <v>9389</v>
      </c>
      <c r="J6496" t="s">
        <v>14224</v>
      </c>
      <c r="K6496" t="s">
        <v>18586</v>
      </c>
      <c r="L6496">
        <f>HYPERLINK("https://www2.assemblee-nationale.fr/sycomore/fiche/(num_dept)/7138", "7138")</f>
        <v>0</v>
      </c>
      <c r="N6496">
        <f>HYPERLINK("https://www.wikidata.org/wiki/Q13091125", "Q13091125")</f>
        <v>0</v>
      </c>
      <c r="O6496" t="s">
        <v>19969</v>
      </c>
      <c r="Q6496" t="s">
        <v>20788</v>
      </c>
      <c r="R6496" t="s">
        <v>418</v>
      </c>
      <c r="S6496">
        <v>1731</v>
      </c>
    </row>
    <row r="6497" spans="1:19">
      <c r="A6497" t="s">
        <v>28</v>
      </c>
      <c r="B6497" t="s">
        <v>148</v>
      </c>
      <c r="C6497" t="s">
        <v>160</v>
      </c>
      <c r="D6497" t="s">
        <v>289</v>
      </c>
      <c r="E6497" t="s">
        <v>418</v>
      </c>
      <c r="F6497">
        <f>HYPERLINK("https://www.wikidata.org/wiki/Q33755445", "Q33755445")</f>
        <v>0</v>
      </c>
      <c r="G6497" t="s">
        <v>2691</v>
      </c>
      <c r="H6497" t="s">
        <v>7223</v>
      </c>
      <c r="I6497" t="s">
        <v>10369</v>
      </c>
      <c r="J6497" t="s">
        <v>13332</v>
      </c>
      <c r="K6497" t="s">
        <v>17732</v>
      </c>
      <c r="L6497">
        <f>HYPERLINK("https://www2.assemblee-nationale.fr/sycomore/fiche/(num_dept)/7174", "7174")</f>
        <v>0</v>
      </c>
      <c r="N6497">
        <f>HYPERLINK("https://www.wikidata.org/wiki/Q3174122", "Q3174122")</f>
        <v>0</v>
      </c>
      <c r="O6497" t="s">
        <v>20032</v>
      </c>
      <c r="P6497" t="s">
        <v>20489</v>
      </c>
      <c r="Q6497" t="s">
        <v>20788</v>
      </c>
      <c r="R6497" t="s">
        <v>418</v>
      </c>
      <c r="S6497">
        <v>1731</v>
      </c>
    </row>
    <row r="6498" spans="1:19">
      <c r="A6498" t="s">
        <v>28</v>
      </c>
      <c r="B6498" t="s">
        <v>148</v>
      </c>
      <c r="C6498" t="s">
        <v>160</v>
      </c>
      <c r="D6498" t="s">
        <v>289</v>
      </c>
      <c r="E6498" t="s">
        <v>418</v>
      </c>
      <c r="F6498">
        <f>HYPERLINK("https://www.wikidata.org/wiki/Q33755445", "Q33755445")</f>
        <v>0</v>
      </c>
      <c r="G6498" t="s">
        <v>827</v>
      </c>
      <c r="H6498" t="s">
        <v>5584</v>
      </c>
      <c r="I6498" t="s">
        <v>9476</v>
      </c>
      <c r="J6498" t="s">
        <v>11574</v>
      </c>
      <c r="K6498" t="s">
        <v>15976</v>
      </c>
      <c r="L6498">
        <f>HYPERLINK("https://www2.assemblee-nationale.fr/sycomore/fiche/(num_dept)/7368", "7368")</f>
        <v>0</v>
      </c>
      <c r="M6498">
        <f>HYPERLINK("https://www.senat.fr/senateur-3eme-republique/viviani_rene0627r3.html", "viviani_rene0627r3")</f>
        <v>0</v>
      </c>
      <c r="N6498">
        <f>HYPERLINK("https://www.wikidata.org/wiki/Q431074", "Q431074")</f>
        <v>0</v>
      </c>
      <c r="O6498" t="s">
        <v>19969</v>
      </c>
      <c r="Q6498" t="s">
        <v>20788</v>
      </c>
      <c r="R6498" t="s">
        <v>418</v>
      </c>
      <c r="S6498">
        <v>1731</v>
      </c>
    </row>
    <row r="6499" spans="1:19">
      <c r="A6499" t="s">
        <v>28</v>
      </c>
      <c r="B6499" t="s">
        <v>148</v>
      </c>
      <c r="C6499" t="s">
        <v>160</v>
      </c>
      <c r="D6499" t="s">
        <v>289</v>
      </c>
      <c r="E6499" t="s">
        <v>418</v>
      </c>
      <c r="F6499">
        <f>HYPERLINK("https://www.wikidata.org/wiki/Q33755445", "Q33755445")</f>
        <v>0</v>
      </c>
      <c r="G6499" t="s">
        <v>1070</v>
      </c>
      <c r="H6499" t="s">
        <v>5815</v>
      </c>
      <c r="I6499" t="s">
        <v>6584</v>
      </c>
      <c r="J6499" t="s">
        <v>11806</v>
      </c>
      <c r="K6499" t="s">
        <v>16207</v>
      </c>
      <c r="L6499">
        <f>HYPERLINK("https://www2.assemblee-nationale.fr/sycomore/fiche/(num_dept)/7390", "7390")</f>
        <v>0</v>
      </c>
      <c r="N6499">
        <f>HYPERLINK("https://www.wikidata.org/wiki/Q13080029", "Q13080029")</f>
        <v>0</v>
      </c>
      <c r="O6499" t="s">
        <v>19969</v>
      </c>
      <c r="P6499" t="s">
        <v>20446</v>
      </c>
      <c r="Q6499" t="s">
        <v>20788</v>
      </c>
      <c r="R6499" t="s">
        <v>418</v>
      </c>
      <c r="S6499">
        <v>1731</v>
      </c>
    </row>
    <row r="6500" spans="1:19">
      <c r="A6500" t="s">
        <v>28</v>
      </c>
      <c r="B6500" t="s">
        <v>148</v>
      </c>
      <c r="C6500" t="s">
        <v>160</v>
      </c>
      <c r="D6500" t="s">
        <v>289</v>
      </c>
      <c r="E6500" t="s">
        <v>418</v>
      </c>
      <c r="F6500">
        <f>HYPERLINK("https://www.wikidata.org/wiki/Q33755445", "Q33755445")</f>
        <v>0</v>
      </c>
      <c r="G6500" t="s">
        <v>828</v>
      </c>
      <c r="H6500" t="s">
        <v>5585</v>
      </c>
      <c r="I6500" t="s">
        <v>9375</v>
      </c>
      <c r="J6500" t="s">
        <v>11575</v>
      </c>
      <c r="K6500" t="s">
        <v>15977</v>
      </c>
      <c r="L6500">
        <f>HYPERLINK("https://www2.assemblee-nationale.fr/sycomore/fiche/(num_dept)/7392", "7392")</f>
        <v>0</v>
      </c>
      <c r="N6500">
        <f>HYPERLINK("https://www.wikidata.org/wiki/Q274464", "Q274464")</f>
        <v>0</v>
      </c>
      <c r="O6500" t="s">
        <v>19969</v>
      </c>
      <c r="Q6500" t="s">
        <v>20788</v>
      </c>
      <c r="R6500" t="s">
        <v>418</v>
      </c>
      <c r="S6500">
        <v>1731</v>
      </c>
    </row>
    <row r="6501" spans="1:19">
      <c r="A6501" t="s">
        <v>28</v>
      </c>
      <c r="B6501" t="s">
        <v>148</v>
      </c>
      <c r="C6501" t="s">
        <v>160</v>
      </c>
      <c r="D6501" t="s">
        <v>289</v>
      </c>
      <c r="E6501" t="s">
        <v>418</v>
      </c>
      <c r="F6501">
        <f>HYPERLINK("https://www.wikidata.org/wiki/Q33755445", "Q33755445")</f>
        <v>0</v>
      </c>
      <c r="G6501" t="s">
        <v>3605</v>
      </c>
      <c r="H6501" t="s">
        <v>7949</v>
      </c>
      <c r="I6501" t="s">
        <v>10170</v>
      </c>
      <c r="J6501" t="s">
        <v>14190</v>
      </c>
      <c r="K6501" t="s">
        <v>18556</v>
      </c>
      <c r="L6501">
        <f>HYPERLINK("https://www2.assemblee-nationale.fr/sycomore/fiche/(num_dept)/7434", "7434")</f>
        <v>0</v>
      </c>
      <c r="M6501">
        <f>HYPERLINK("https://www.senat.fr/senateur-3eme-republique/ville_pierre0048r3.html", "ville_pierre0048r3")</f>
        <v>0</v>
      </c>
      <c r="N6501">
        <f>HYPERLINK("https://www.wikidata.org/wiki/Q3387297", "Q3387297")</f>
        <v>0</v>
      </c>
      <c r="O6501" t="s">
        <v>19999</v>
      </c>
      <c r="Q6501" t="s">
        <v>20788</v>
      </c>
      <c r="R6501" t="s">
        <v>418</v>
      </c>
      <c r="S6501">
        <v>1731</v>
      </c>
    </row>
    <row r="6502" spans="1:19">
      <c r="A6502" t="s">
        <v>28</v>
      </c>
      <c r="B6502" t="s">
        <v>148</v>
      </c>
      <c r="C6502" t="s">
        <v>160</v>
      </c>
      <c r="D6502" t="s">
        <v>289</v>
      </c>
      <c r="E6502" t="s">
        <v>418</v>
      </c>
      <c r="F6502">
        <f>HYPERLINK("https://www.wikidata.org/wiki/Q33755445", "Q33755445")</f>
        <v>0</v>
      </c>
      <c r="G6502" t="s">
        <v>3810</v>
      </c>
      <c r="H6502" t="s">
        <v>8094</v>
      </c>
      <c r="I6502" t="s">
        <v>10985</v>
      </c>
      <c r="J6502" t="s">
        <v>12627</v>
      </c>
      <c r="K6502" t="s">
        <v>18728</v>
      </c>
      <c r="L6502">
        <f>HYPERLINK("https://www2.assemblee-nationale.fr/sycomore/fiche/(num_dept)/7436", "7436")</f>
        <v>0</v>
      </c>
      <c r="N6502">
        <f>HYPERLINK("https://www.wikidata.org/wiki/Q12353689", "Q12353689")</f>
        <v>0</v>
      </c>
      <c r="O6502" t="s">
        <v>7411</v>
      </c>
      <c r="P6502" t="s">
        <v>20477</v>
      </c>
      <c r="Q6502" t="s">
        <v>20788</v>
      </c>
      <c r="R6502" t="s">
        <v>418</v>
      </c>
      <c r="S6502">
        <v>1731</v>
      </c>
    </row>
    <row r="6503" spans="1:19">
      <c r="A6503" t="s">
        <v>28</v>
      </c>
      <c r="B6503" t="s">
        <v>148</v>
      </c>
      <c r="C6503" t="s">
        <v>160</v>
      </c>
      <c r="D6503" t="s">
        <v>289</v>
      </c>
      <c r="E6503" t="s">
        <v>418</v>
      </c>
      <c r="F6503">
        <f>HYPERLINK("https://www.wikidata.org/wiki/Q33755445", "Q33755445")</f>
        <v>0</v>
      </c>
      <c r="G6503" t="s">
        <v>3811</v>
      </c>
      <c r="H6503" t="s">
        <v>8095</v>
      </c>
      <c r="I6503" t="s">
        <v>10986</v>
      </c>
      <c r="J6503" t="s">
        <v>14377</v>
      </c>
      <c r="K6503" t="s">
        <v>18729</v>
      </c>
      <c r="L6503">
        <f>HYPERLINK("https://www2.assemblee-nationale.fr/sycomore/fiche/(num_dept)/7441", "7441")</f>
        <v>0</v>
      </c>
      <c r="N6503">
        <f>HYPERLINK("https://www.wikidata.org/wiki/Q16026586", "Q16026586")</f>
        <v>0</v>
      </c>
      <c r="O6503" t="s">
        <v>20002</v>
      </c>
      <c r="Q6503" t="s">
        <v>20788</v>
      </c>
      <c r="R6503" t="s">
        <v>418</v>
      </c>
      <c r="S6503">
        <v>1731</v>
      </c>
    </row>
    <row r="6504" spans="1:19">
      <c r="A6504" t="s">
        <v>28</v>
      </c>
      <c r="B6504" t="s">
        <v>148</v>
      </c>
      <c r="C6504" t="s">
        <v>160</v>
      </c>
      <c r="D6504" t="s">
        <v>289</v>
      </c>
      <c r="E6504" t="s">
        <v>418</v>
      </c>
      <c r="F6504">
        <f>HYPERLINK("https://www.wikidata.org/wiki/Q33755445", "Q33755445")</f>
        <v>0</v>
      </c>
      <c r="G6504" t="s">
        <v>3812</v>
      </c>
      <c r="H6504" t="s">
        <v>8096</v>
      </c>
      <c r="I6504" t="s">
        <v>10987</v>
      </c>
      <c r="J6504" t="s">
        <v>14378</v>
      </c>
      <c r="K6504" t="s">
        <v>18730</v>
      </c>
      <c r="L6504">
        <f>HYPERLINK("https://www2.assemblee-nationale.fr/sycomore/fiche/(num_dept)/7449", "7449")</f>
        <v>0</v>
      </c>
      <c r="N6504">
        <f>HYPERLINK("https://www.wikidata.org/wiki/Q2825300", "Q2825300")</f>
        <v>0</v>
      </c>
      <c r="O6504" t="s">
        <v>19959</v>
      </c>
      <c r="P6504" t="s">
        <v>20411</v>
      </c>
      <c r="Q6504" t="s">
        <v>20788</v>
      </c>
      <c r="R6504" t="s">
        <v>418</v>
      </c>
      <c r="S6504">
        <v>1731</v>
      </c>
    </row>
    <row r="6505" spans="1:19">
      <c r="A6505" t="s">
        <v>28</v>
      </c>
      <c r="B6505" t="s">
        <v>148</v>
      </c>
      <c r="C6505" t="s">
        <v>160</v>
      </c>
      <c r="D6505" t="s">
        <v>289</v>
      </c>
      <c r="E6505" t="s">
        <v>418</v>
      </c>
      <c r="F6505">
        <f>HYPERLINK("https://www.wikidata.org/wiki/Q33755445", "Q33755445")</f>
        <v>0</v>
      </c>
      <c r="G6505" t="s">
        <v>3813</v>
      </c>
      <c r="H6505" t="s">
        <v>8097</v>
      </c>
      <c r="I6505" t="s">
        <v>6495</v>
      </c>
      <c r="J6505" t="s">
        <v>14379</v>
      </c>
      <c r="K6505" t="s">
        <v>18731</v>
      </c>
      <c r="L6505">
        <f>HYPERLINK("https://www2.assemblee-nationale.fr/sycomore/fiche/(num_dept)/7451", "7451")</f>
        <v>0</v>
      </c>
      <c r="N6505">
        <f>HYPERLINK("https://www.wikidata.org/wiki/Q3260340", "Q3260340")</f>
        <v>0</v>
      </c>
      <c r="O6505" t="s">
        <v>20011</v>
      </c>
      <c r="Q6505" t="s">
        <v>20788</v>
      </c>
      <c r="R6505" t="s">
        <v>418</v>
      </c>
      <c r="S6505">
        <v>1731</v>
      </c>
    </row>
    <row r="6506" spans="1:19">
      <c r="A6506" t="s">
        <v>28</v>
      </c>
      <c r="B6506" t="s">
        <v>148</v>
      </c>
      <c r="C6506" t="s">
        <v>160</v>
      </c>
      <c r="D6506" t="s">
        <v>289</v>
      </c>
      <c r="E6506" t="s">
        <v>418</v>
      </c>
      <c r="F6506">
        <f>HYPERLINK("https://www.wikidata.org/wiki/Q33755445", "Q33755445")</f>
        <v>0</v>
      </c>
      <c r="G6506" t="s">
        <v>3606</v>
      </c>
      <c r="H6506" t="s">
        <v>7950</v>
      </c>
      <c r="I6506" t="s">
        <v>10903</v>
      </c>
      <c r="J6506" t="s">
        <v>14191</v>
      </c>
      <c r="K6506" t="s">
        <v>18557</v>
      </c>
      <c r="L6506">
        <f>HYPERLINK("https://www2.assemblee-nationale.fr/sycomore/fiche/(num_dept)/7452", "7452")</f>
        <v>0</v>
      </c>
      <c r="N6506">
        <f>HYPERLINK("https://www.wikidata.org/wiki/Q2861381", "Q2861381")</f>
        <v>0</v>
      </c>
      <c r="O6506" t="s">
        <v>20011</v>
      </c>
      <c r="Q6506" t="s">
        <v>20788</v>
      </c>
      <c r="R6506" t="s">
        <v>18557</v>
      </c>
      <c r="S6506">
        <v>1285</v>
      </c>
    </row>
    <row r="6507" spans="1:19">
      <c r="A6507" t="s">
        <v>28</v>
      </c>
      <c r="B6507" t="s">
        <v>148</v>
      </c>
      <c r="C6507" t="s">
        <v>160</v>
      </c>
      <c r="D6507" t="s">
        <v>289</v>
      </c>
      <c r="E6507" t="s">
        <v>418</v>
      </c>
      <c r="F6507">
        <f>HYPERLINK("https://www.wikidata.org/wiki/Q33755445", "Q33755445")</f>
        <v>0</v>
      </c>
      <c r="G6507" t="s">
        <v>3814</v>
      </c>
      <c r="H6507" t="s">
        <v>8098</v>
      </c>
      <c r="I6507" t="s">
        <v>6200</v>
      </c>
      <c r="J6507" t="s">
        <v>14380</v>
      </c>
      <c r="K6507" t="s">
        <v>18732</v>
      </c>
      <c r="L6507">
        <f>HYPERLINK("https://www2.assemblee-nationale.fr/sycomore/fiche/(num_dept)/7465", "7465")</f>
        <v>0</v>
      </c>
      <c r="M6507">
        <f>HYPERLINK("https://www.senat.fr/senateur-3eme-republique/vuillod_jean0440r3.html", "vuillod_jean0440r3")</f>
        <v>0</v>
      </c>
      <c r="N6507">
        <f>HYPERLINK("https://www.wikidata.org/wiki/Q8312093", "Q8312093")</f>
        <v>0</v>
      </c>
      <c r="O6507" t="s">
        <v>20041</v>
      </c>
      <c r="P6507" t="s">
        <v>20402</v>
      </c>
      <c r="Q6507" t="s">
        <v>20788</v>
      </c>
      <c r="R6507" t="s">
        <v>21567</v>
      </c>
      <c r="S6507">
        <v>1366</v>
      </c>
    </row>
    <row r="6508" spans="1:19">
      <c r="A6508" t="s">
        <v>28</v>
      </c>
      <c r="B6508" t="s">
        <v>148</v>
      </c>
      <c r="C6508" t="s">
        <v>160</v>
      </c>
      <c r="D6508" t="s">
        <v>289</v>
      </c>
      <c r="E6508" t="s">
        <v>418</v>
      </c>
      <c r="F6508">
        <f>HYPERLINK("https://www.wikidata.org/wiki/Q33755445", "Q33755445")</f>
        <v>0</v>
      </c>
      <c r="G6508" t="s">
        <v>3634</v>
      </c>
      <c r="H6508" t="s">
        <v>7967</v>
      </c>
      <c r="I6508" t="s">
        <v>10915</v>
      </c>
      <c r="J6508" t="s">
        <v>13348</v>
      </c>
      <c r="K6508" t="s">
        <v>18579</v>
      </c>
      <c r="L6508">
        <f>HYPERLINK("https://www2.assemblee-nationale.fr/sycomore/fiche/(num_dept)/7532", "7532")</f>
        <v>0</v>
      </c>
      <c r="N6508">
        <f>HYPERLINK("https://www.wikidata.org/wiki/Q13080909", "Q13080909")</f>
        <v>0</v>
      </c>
      <c r="O6508" t="s">
        <v>19969</v>
      </c>
      <c r="Q6508" t="s">
        <v>20788</v>
      </c>
      <c r="R6508" t="s">
        <v>418</v>
      </c>
      <c r="S6508">
        <v>1731</v>
      </c>
    </row>
    <row r="6509" spans="1:19">
      <c r="A6509" t="s">
        <v>28</v>
      </c>
      <c r="B6509" t="s">
        <v>148</v>
      </c>
      <c r="C6509" t="s">
        <v>160</v>
      </c>
      <c r="D6509" t="s">
        <v>289</v>
      </c>
      <c r="E6509" t="s">
        <v>418</v>
      </c>
      <c r="F6509">
        <f>HYPERLINK("https://www.wikidata.org/wiki/Q33755445", "Q33755445")</f>
        <v>0</v>
      </c>
      <c r="G6509" t="s">
        <v>3815</v>
      </c>
      <c r="H6509" t="s">
        <v>8099</v>
      </c>
      <c r="I6509" t="s">
        <v>10988</v>
      </c>
      <c r="J6509" t="s">
        <v>14381</v>
      </c>
      <c r="K6509" t="s">
        <v>18733</v>
      </c>
      <c r="L6509">
        <f>HYPERLINK("https://www2.assemblee-nationale.fr/sycomore/fiche/(num_dept)/7561", "7561")</f>
        <v>0</v>
      </c>
      <c r="N6509">
        <f>HYPERLINK("https://www.wikidata.org/wiki/Q3059970", "Q3059970")</f>
        <v>0</v>
      </c>
      <c r="O6509" t="s">
        <v>19961</v>
      </c>
      <c r="Q6509" t="s">
        <v>20788</v>
      </c>
      <c r="R6509" t="s">
        <v>418</v>
      </c>
      <c r="S6509">
        <v>1731</v>
      </c>
    </row>
    <row r="6510" spans="1:19">
      <c r="A6510" t="s">
        <v>28</v>
      </c>
      <c r="B6510" t="s">
        <v>148</v>
      </c>
      <c r="C6510" t="s">
        <v>160</v>
      </c>
      <c r="D6510" t="s">
        <v>289</v>
      </c>
      <c r="E6510" t="s">
        <v>418</v>
      </c>
      <c r="F6510">
        <f>HYPERLINK("https://www.wikidata.org/wiki/Q33755445", "Q33755445")</f>
        <v>0</v>
      </c>
      <c r="G6510" t="s">
        <v>3610</v>
      </c>
      <c r="H6510" t="s">
        <v>7953</v>
      </c>
      <c r="I6510" t="s">
        <v>9546</v>
      </c>
      <c r="J6510" t="s">
        <v>13126</v>
      </c>
      <c r="K6510" t="s">
        <v>18560</v>
      </c>
      <c r="L6510">
        <f>HYPERLINK("https://www2.assemblee-nationale.fr/sycomore/fiche/(num_dept)/7623", "7623")</f>
        <v>0</v>
      </c>
      <c r="N6510">
        <f>HYPERLINK("https://www.wikidata.org/wiki/Q13077261", "Q13077261")</f>
        <v>0</v>
      </c>
      <c r="O6510" t="s">
        <v>19969</v>
      </c>
      <c r="Q6510" t="s">
        <v>20788</v>
      </c>
      <c r="R6510" t="s">
        <v>418</v>
      </c>
      <c r="S6510">
        <v>1731</v>
      </c>
    </row>
    <row r="6511" spans="1:19">
      <c r="A6511" t="s">
        <v>28</v>
      </c>
      <c r="B6511" t="s">
        <v>148</v>
      </c>
      <c r="C6511" t="s">
        <v>160</v>
      </c>
      <c r="D6511" t="s">
        <v>289</v>
      </c>
      <c r="E6511" t="s">
        <v>418</v>
      </c>
      <c r="F6511">
        <f>HYPERLINK("https://www.wikidata.org/wiki/Q33755445", "Q33755445")</f>
        <v>0</v>
      </c>
      <c r="G6511" t="s">
        <v>844</v>
      </c>
      <c r="H6511" t="s">
        <v>5601</v>
      </c>
      <c r="I6511" t="s">
        <v>9551</v>
      </c>
      <c r="J6511" t="s">
        <v>11591</v>
      </c>
      <c r="K6511" t="s">
        <v>15993</v>
      </c>
      <c r="L6511">
        <f>HYPERLINK("https://www2.assemblee-nationale.fr/sycomore/fiche/(num_dept)/7628", "7628")</f>
        <v>0</v>
      </c>
      <c r="M6511">
        <f>HYPERLINK("https://www.senat.fr/senateur-3eme-republique/le_troadec_paul0586r3.html", "le_troadec_paul0586r3")</f>
        <v>0</v>
      </c>
      <c r="N6511">
        <f>HYPERLINK("https://www.wikidata.org/wiki/Q3371653", "Q3371653")</f>
        <v>0</v>
      </c>
      <c r="O6511" t="s">
        <v>19964</v>
      </c>
      <c r="P6511" t="s">
        <v>20401</v>
      </c>
      <c r="Q6511" t="s">
        <v>20788</v>
      </c>
      <c r="R6511" t="s">
        <v>418</v>
      </c>
      <c r="S6511">
        <v>1731</v>
      </c>
    </row>
    <row r="6512" spans="1:19">
      <c r="A6512" t="s">
        <v>28</v>
      </c>
      <c r="B6512" t="s">
        <v>148</v>
      </c>
      <c r="C6512" t="s">
        <v>160</v>
      </c>
      <c r="D6512" t="s">
        <v>289</v>
      </c>
      <c r="E6512" t="s">
        <v>418</v>
      </c>
      <c r="F6512">
        <f>HYPERLINK("https://www.wikidata.org/wiki/Q33755445", "Q33755445")</f>
        <v>0</v>
      </c>
      <c r="G6512" t="s">
        <v>2709</v>
      </c>
      <c r="H6512" t="s">
        <v>7238</v>
      </c>
      <c r="I6512" t="s">
        <v>9458</v>
      </c>
      <c r="J6512" t="s">
        <v>13350</v>
      </c>
      <c r="K6512" t="s">
        <v>17750</v>
      </c>
      <c r="L6512">
        <f>HYPERLINK("https://www2.assemblee-nationale.fr/sycomore/fiche/(num_dept)/7666", "7666")</f>
        <v>0</v>
      </c>
      <c r="N6512">
        <f>HYPERLINK("https://www.wikidata.org/wiki/Q15969923", "Q15969923")</f>
        <v>0</v>
      </c>
      <c r="O6512" t="s">
        <v>19975</v>
      </c>
      <c r="P6512" t="s">
        <v>20489</v>
      </c>
      <c r="Q6512" t="s">
        <v>20788</v>
      </c>
      <c r="R6512" t="s">
        <v>418</v>
      </c>
      <c r="S6512">
        <v>1731</v>
      </c>
    </row>
    <row r="6513" spans="1:19">
      <c r="A6513" t="s">
        <v>28</v>
      </c>
      <c r="B6513" t="s">
        <v>148</v>
      </c>
      <c r="C6513" t="s">
        <v>160</v>
      </c>
      <c r="D6513" t="s">
        <v>289</v>
      </c>
      <c r="E6513" t="s">
        <v>418</v>
      </c>
      <c r="F6513">
        <f>HYPERLINK("https://www.wikidata.org/wiki/Q33755445", "Q33755445")</f>
        <v>0</v>
      </c>
      <c r="G6513" t="s">
        <v>3816</v>
      </c>
      <c r="H6513" t="s">
        <v>8100</v>
      </c>
      <c r="I6513" t="s">
        <v>6495</v>
      </c>
      <c r="J6513" t="s">
        <v>14382</v>
      </c>
      <c r="K6513" t="s">
        <v>18734</v>
      </c>
      <c r="L6513">
        <f>HYPERLINK("https://www2.assemblee-nationale.fr/sycomore/fiche/(num_dept)/7703", "7703")</f>
        <v>0</v>
      </c>
      <c r="N6513">
        <f>HYPERLINK("https://www.wikidata.org/wiki/Q16025977", "Q16025977")</f>
        <v>0</v>
      </c>
      <c r="O6513" t="s">
        <v>19969</v>
      </c>
      <c r="Q6513" t="s">
        <v>20788</v>
      </c>
      <c r="R6513" t="s">
        <v>18734</v>
      </c>
      <c r="S6513">
        <v>846</v>
      </c>
    </row>
    <row r="6514" spans="1:19">
      <c r="A6514" t="s">
        <v>28</v>
      </c>
      <c r="B6514" t="s">
        <v>148</v>
      </c>
      <c r="C6514" t="s">
        <v>160</v>
      </c>
      <c r="D6514" t="s">
        <v>289</v>
      </c>
      <c r="E6514" t="s">
        <v>418</v>
      </c>
      <c r="F6514">
        <f>HYPERLINK("https://www.wikidata.org/wiki/Q33755445", "Q33755445")</f>
        <v>0</v>
      </c>
      <c r="G6514" t="s">
        <v>2711</v>
      </c>
      <c r="H6514" t="s">
        <v>5610</v>
      </c>
      <c r="I6514" t="s">
        <v>6860</v>
      </c>
      <c r="J6514" t="s">
        <v>13352</v>
      </c>
      <c r="K6514" t="s">
        <v>17752</v>
      </c>
      <c r="L6514">
        <f>HYPERLINK("https://www2.assemblee-nationale.fr/sycomore/fiche/(num_dept)/7726", "7726")</f>
        <v>0</v>
      </c>
      <c r="N6514">
        <f>HYPERLINK("https://www.wikidata.org/wiki/Q3385905", "Q3385905")</f>
        <v>0</v>
      </c>
      <c r="O6514" t="s">
        <v>20013</v>
      </c>
      <c r="P6514" t="s">
        <v>20462</v>
      </c>
      <c r="Q6514" t="s">
        <v>20788</v>
      </c>
      <c r="R6514" t="s">
        <v>17752</v>
      </c>
      <c r="S6514">
        <v>635</v>
      </c>
    </row>
    <row r="6515" spans="1:19">
      <c r="A6515" t="s">
        <v>28</v>
      </c>
      <c r="B6515" t="s">
        <v>148</v>
      </c>
      <c r="C6515" t="s">
        <v>160</v>
      </c>
      <c r="D6515" t="s">
        <v>289</v>
      </c>
      <c r="E6515" t="s">
        <v>418</v>
      </c>
      <c r="F6515">
        <f>HYPERLINK("https://www.wikidata.org/wiki/Q33755445", "Q33755445")</f>
        <v>0</v>
      </c>
      <c r="G6515" t="s">
        <v>1078</v>
      </c>
      <c r="H6515" t="s">
        <v>5822</v>
      </c>
      <c r="I6515" t="s">
        <v>9449</v>
      </c>
      <c r="J6515" t="s">
        <v>11814</v>
      </c>
      <c r="K6515" t="s">
        <v>16215</v>
      </c>
      <c r="L6515">
        <f>HYPERLINK("https://www2.assemblee-nationale.fr/sycomore/fiche/(num_dept)/7752", "7752")</f>
        <v>0</v>
      </c>
      <c r="N6515">
        <f>HYPERLINK("https://www.wikidata.org/wiki/Q3085048", "Q3085048")</f>
        <v>0</v>
      </c>
      <c r="O6515" t="s">
        <v>20013</v>
      </c>
      <c r="Q6515" t="s">
        <v>20788</v>
      </c>
      <c r="R6515" t="s">
        <v>418</v>
      </c>
      <c r="S6515">
        <v>1731</v>
      </c>
    </row>
    <row r="6516" spans="1:19">
      <c r="A6516" t="s">
        <v>28</v>
      </c>
      <c r="B6516" t="s">
        <v>148</v>
      </c>
      <c r="C6516" t="s">
        <v>160</v>
      </c>
      <c r="D6516" t="s">
        <v>289</v>
      </c>
      <c r="E6516" t="s">
        <v>418</v>
      </c>
      <c r="F6516">
        <f>HYPERLINK("https://www.wikidata.org/wiki/Q33755445", "Q33755445")</f>
        <v>0</v>
      </c>
      <c r="G6516" t="s">
        <v>3817</v>
      </c>
      <c r="H6516" t="s">
        <v>8101</v>
      </c>
      <c r="I6516" t="s">
        <v>9449</v>
      </c>
      <c r="J6516" t="s">
        <v>14383</v>
      </c>
      <c r="K6516" t="s">
        <v>18735</v>
      </c>
      <c r="L6516">
        <f>HYPERLINK("https://www2.assemblee-nationale.fr/sycomore/fiche/(num_dept)/7828", "7828")</f>
        <v>0</v>
      </c>
      <c r="N6516">
        <f>HYPERLINK("https://www.wikidata.org/wiki/Q16025994", "Q16025994")</f>
        <v>0</v>
      </c>
      <c r="O6516" t="s">
        <v>19969</v>
      </c>
      <c r="Q6516" t="s">
        <v>20788</v>
      </c>
      <c r="R6516" t="s">
        <v>418</v>
      </c>
      <c r="S6516">
        <v>1731</v>
      </c>
    </row>
    <row r="6517" spans="1:19">
      <c r="A6517" t="s">
        <v>28</v>
      </c>
      <c r="B6517" t="s">
        <v>148</v>
      </c>
      <c r="C6517" t="s">
        <v>160</v>
      </c>
      <c r="D6517" t="s">
        <v>289</v>
      </c>
      <c r="E6517" t="s">
        <v>418</v>
      </c>
      <c r="F6517">
        <f>HYPERLINK("https://www.wikidata.org/wiki/Q33755445", "Q33755445")</f>
        <v>0</v>
      </c>
      <c r="G6517" t="s">
        <v>3818</v>
      </c>
      <c r="H6517" t="s">
        <v>8102</v>
      </c>
      <c r="I6517" t="s">
        <v>10989</v>
      </c>
      <c r="J6517" t="s">
        <v>14384</v>
      </c>
      <c r="K6517" t="s">
        <v>18736</v>
      </c>
      <c r="L6517">
        <f>HYPERLINK("https://www2.assemblee-nationale.fr/sycomore/fiche/(num_dept)/4387", "4387")</f>
        <v>0</v>
      </c>
      <c r="N6517">
        <f>HYPERLINK("https://www.wikidata.org/wiki/Q3434784", "Q3434784")</f>
        <v>0</v>
      </c>
      <c r="O6517" t="s">
        <v>20020</v>
      </c>
      <c r="Q6517" t="s">
        <v>20789</v>
      </c>
      <c r="R6517" t="s">
        <v>418</v>
      </c>
      <c r="S6517">
        <v>1626</v>
      </c>
    </row>
    <row r="6518" spans="1:19">
      <c r="A6518" t="s">
        <v>28</v>
      </c>
      <c r="B6518" t="s">
        <v>148</v>
      </c>
      <c r="C6518" t="s">
        <v>160</v>
      </c>
      <c r="D6518" t="s">
        <v>289</v>
      </c>
      <c r="E6518" t="s">
        <v>418</v>
      </c>
      <c r="F6518">
        <f>HYPERLINK("https://www.wikidata.org/wiki/Q33755445", "Q33755445")</f>
        <v>0</v>
      </c>
      <c r="G6518" t="s">
        <v>3819</v>
      </c>
      <c r="H6518" t="s">
        <v>8103</v>
      </c>
      <c r="I6518" t="s">
        <v>9470</v>
      </c>
      <c r="J6518" t="s">
        <v>14385</v>
      </c>
      <c r="K6518" t="s">
        <v>18737</v>
      </c>
      <c r="L6518">
        <f>HYPERLINK("https://www2.assemblee-nationale.fr/sycomore/fiche/(num_dept)/2570", "2570")</f>
        <v>0</v>
      </c>
      <c r="M6518">
        <f>HYPERLINK("https://www.senat.fr/senateur-3eme-republique/doumergue_gaston0833r3.html", "doumergue_gaston0833r3")</f>
        <v>0</v>
      </c>
      <c r="N6518">
        <f>HYPERLINK("https://www.wikidata.org/wiki/Q296064", "Q296064")</f>
        <v>0</v>
      </c>
      <c r="O6518" t="s">
        <v>20014</v>
      </c>
      <c r="P6518" t="s">
        <v>20477</v>
      </c>
      <c r="Q6518" t="s">
        <v>20790</v>
      </c>
      <c r="R6518" t="s">
        <v>418</v>
      </c>
      <c r="S6518">
        <v>1612</v>
      </c>
    </row>
    <row r="6519" spans="1:19">
      <c r="A6519" t="s">
        <v>28</v>
      </c>
      <c r="B6519" t="s">
        <v>148</v>
      </c>
      <c r="C6519" t="s">
        <v>160</v>
      </c>
      <c r="D6519" t="s">
        <v>289</v>
      </c>
      <c r="E6519" t="s">
        <v>418</v>
      </c>
      <c r="F6519">
        <f>HYPERLINK("https://www.wikidata.org/wiki/Q33755445", "Q33755445")</f>
        <v>0</v>
      </c>
      <c r="G6519" t="s">
        <v>3820</v>
      </c>
      <c r="H6519" t="s">
        <v>7805</v>
      </c>
      <c r="I6519" t="s">
        <v>9442</v>
      </c>
      <c r="J6519" t="s">
        <v>14386</v>
      </c>
      <c r="K6519" t="s">
        <v>18738</v>
      </c>
      <c r="L6519">
        <f>HYPERLINK("https://www2.assemblee-nationale.fr/sycomore/fiche/(num_dept)/2274", "2274")</f>
        <v>0</v>
      </c>
      <c r="N6519">
        <f>HYPERLINK("https://www.wikidata.org/wiki/Q3056918", "Q3056918")</f>
        <v>0</v>
      </c>
      <c r="O6519" t="s">
        <v>19978</v>
      </c>
      <c r="P6519" t="s">
        <v>20411</v>
      </c>
      <c r="Q6519" t="s">
        <v>20791</v>
      </c>
      <c r="R6519" t="s">
        <v>418</v>
      </c>
      <c r="S6519">
        <v>1591</v>
      </c>
    </row>
    <row r="6520" spans="1:19">
      <c r="A6520" t="s">
        <v>28</v>
      </c>
      <c r="B6520" t="s">
        <v>148</v>
      </c>
      <c r="C6520" t="s">
        <v>160</v>
      </c>
      <c r="D6520" t="s">
        <v>289</v>
      </c>
      <c r="E6520" t="s">
        <v>418</v>
      </c>
      <c r="F6520">
        <f>HYPERLINK("https://www.wikidata.org/wiki/Q33755445", "Q33755445")</f>
        <v>0</v>
      </c>
      <c r="G6520" t="s">
        <v>742</v>
      </c>
      <c r="H6520" t="s">
        <v>5500</v>
      </c>
      <c r="I6520" t="s">
        <v>9505</v>
      </c>
      <c r="J6520" t="s">
        <v>11491</v>
      </c>
      <c r="K6520" t="s">
        <v>15893</v>
      </c>
      <c r="L6520">
        <f>HYPERLINK("https://www2.assemblee-nationale.fr/sycomore/fiche/(num_dept)/5482", "5482")</f>
        <v>0</v>
      </c>
      <c r="N6520">
        <f>HYPERLINK("https://www.wikidata.org/wiki/Q2475967", "Q2475967")</f>
        <v>0</v>
      </c>
      <c r="O6520" t="s">
        <v>20011</v>
      </c>
      <c r="P6520" t="s">
        <v>20460</v>
      </c>
      <c r="Q6520" t="s">
        <v>20791</v>
      </c>
      <c r="R6520" t="s">
        <v>418</v>
      </c>
      <c r="S6520">
        <v>1591</v>
      </c>
    </row>
    <row r="6521" spans="1:19">
      <c r="A6521" t="s">
        <v>28</v>
      </c>
      <c r="B6521" t="s">
        <v>148</v>
      </c>
      <c r="C6521" t="s">
        <v>160</v>
      </c>
      <c r="D6521" t="s">
        <v>289</v>
      </c>
      <c r="E6521" t="s">
        <v>418</v>
      </c>
      <c r="F6521">
        <f>HYPERLINK("https://www.wikidata.org/wiki/Q33755445", "Q33755445")</f>
        <v>0</v>
      </c>
      <c r="G6521" t="s">
        <v>3789</v>
      </c>
      <c r="H6521" t="s">
        <v>8078</v>
      </c>
      <c r="I6521" t="s">
        <v>10975</v>
      </c>
      <c r="J6521" t="s">
        <v>11738</v>
      </c>
      <c r="K6521" t="s">
        <v>18100</v>
      </c>
      <c r="L6521">
        <f>HYPERLINK("https://www2.assemblee-nationale.fr/sycomore/fiche/(num_dept)/3900", "3900")</f>
        <v>0</v>
      </c>
      <c r="N6521">
        <f>HYPERLINK("https://www.wikidata.org/wiki/Q8309777", "Q8309777")</f>
        <v>0</v>
      </c>
      <c r="O6521" t="s">
        <v>20033</v>
      </c>
      <c r="P6521" t="s">
        <v>20499</v>
      </c>
      <c r="Q6521" t="s">
        <v>20792</v>
      </c>
      <c r="R6521" t="s">
        <v>418</v>
      </c>
      <c r="S6521">
        <v>1563</v>
      </c>
    </row>
    <row r="6522" spans="1:19">
      <c r="A6522" t="s">
        <v>28</v>
      </c>
      <c r="B6522" t="s">
        <v>148</v>
      </c>
      <c r="C6522" t="s">
        <v>160</v>
      </c>
      <c r="D6522" t="s">
        <v>289</v>
      </c>
      <c r="E6522" t="s">
        <v>418</v>
      </c>
      <c r="F6522">
        <f>HYPERLINK("https://www.wikidata.org/wiki/Q33755445", "Q33755445")</f>
        <v>0</v>
      </c>
      <c r="G6522" t="s">
        <v>3660</v>
      </c>
      <c r="H6522" t="s">
        <v>7990</v>
      </c>
      <c r="I6522" t="s">
        <v>9453</v>
      </c>
      <c r="J6522" t="s">
        <v>14239</v>
      </c>
      <c r="K6522" t="s">
        <v>18599</v>
      </c>
      <c r="L6522">
        <f>HYPERLINK("https://www2.assemblee-nationale.fr/sycomore/fiche/(num_dept)/4919", "4919")</f>
        <v>0</v>
      </c>
      <c r="N6522">
        <f>HYPERLINK("https://www.wikidata.org/wiki/Q2865214", "Q2865214")</f>
        <v>0</v>
      </c>
      <c r="O6522" t="s">
        <v>20024</v>
      </c>
      <c r="Q6522" t="s">
        <v>20792</v>
      </c>
      <c r="R6522" t="s">
        <v>418</v>
      </c>
      <c r="S6522">
        <v>1563</v>
      </c>
    </row>
    <row r="6523" spans="1:19">
      <c r="A6523" t="s">
        <v>28</v>
      </c>
      <c r="B6523" t="s">
        <v>148</v>
      </c>
      <c r="C6523" t="s">
        <v>160</v>
      </c>
      <c r="D6523" t="s">
        <v>289</v>
      </c>
      <c r="E6523" t="s">
        <v>418</v>
      </c>
      <c r="F6523">
        <f>HYPERLINK("https://www.wikidata.org/wiki/Q33755445", "Q33755445")</f>
        <v>0</v>
      </c>
      <c r="G6523" t="s">
        <v>3821</v>
      </c>
      <c r="H6523" t="s">
        <v>6235</v>
      </c>
      <c r="I6523" t="s">
        <v>9449</v>
      </c>
      <c r="J6523" t="s">
        <v>14387</v>
      </c>
      <c r="K6523" t="s">
        <v>18739</v>
      </c>
      <c r="L6523">
        <f>HYPERLINK("https://www2.assemblee-nationale.fr/sycomore/fiche/(num_dept)/5196", "5196")</f>
        <v>0</v>
      </c>
      <c r="M6523">
        <f>HYPERLINK("https://www.senat.fr/senateur-3eme-republique/mercier_jules1308r3.html", "mercier_jules1308r3")</f>
        <v>0</v>
      </c>
      <c r="N6523">
        <f>HYPERLINK("https://www.wikidata.org/wiki/Q3188780", "Q3188780")</f>
        <v>0</v>
      </c>
      <c r="O6523" t="s">
        <v>20018</v>
      </c>
      <c r="P6523" t="s">
        <v>20457</v>
      </c>
      <c r="Q6523" t="s">
        <v>20792</v>
      </c>
      <c r="R6523" t="s">
        <v>418</v>
      </c>
      <c r="S6523">
        <v>1563</v>
      </c>
    </row>
    <row r="6524" spans="1:19">
      <c r="A6524" t="s">
        <v>28</v>
      </c>
      <c r="B6524" t="s">
        <v>148</v>
      </c>
      <c r="C6524" t="s">
        <v>160</v>
      </c>
      <c r="D6524" t="s">
        <v>289</v>
      </c>
      <c r="E6524" t="s">
        <v>418</v>
      </c>
      <c r="F6524">
        <f>HYPERLINK("https://www.wikidata.org/wiki/Q33755445", "Q33755445")</f>
        <v>0</v>
      </c>
      <c r="G6524" t="s">
        <v>3822</v>
      </c>
      <c r="H6524" t="s">
        <v>8104</v>
      </c>
      <c r="I6524" t="s">
        <v>9751</v>
      </c>
      <c r="J6524" t="s">
        <v>14388</v>
      </c>
      <c r="K6524" t="s">
        <v>18740</v>
      </c>
      <c r="L6524">
        <f>HYPERLINK("https://www2.assemblee-nationale.fr/sycomore/fiche/(num_dept)/7597", "7597")</f>
        <v>0</v>
      </c>
      <c r="N6524">
        <f>HYPERLINK("https://www.wikidata.org/wiki/Q3103051", "Q3103051")</f>
        <v>0</v>
      </c>
      <c r="O6524" t="s">
        <v>19985</v>
      </c>
      <c r="P6524" t="s">
        <v>20420</v>
      </c>
      <c r="Q6524" t="s">
        <v>20792</v>
      </c>
      <c r="R6524" t="s">
        <v>418</v>
      </c>
      <c r="S6524">
        <v>1563</v>
      </c>
    </row>
    <row r="6525" spans="1:19">
      <c r="A6525" t="s">
        <v>28</v>
      </c>
      <c r="B6525" t="s">
        <v>148</v>
      </c>
      <c r="C6525" t="s">
        <v>160</v>
      </c>
      <c r="D6525" t="s">
        <v>289</v>
      </c>
      <c r="E6525" t="s">
        <v>418</v>
      </c>
      <c r="F6525">
        <f>HYPERLINK("https://www.wikidata.org/wiki/Q33755445", "Q33755445")</f>
        <v>0</v>
      </c>
      <c r="G6525" t="s">
        <v>3823</v>
      </c>
      <c r="H6525" t="s">
        <v>8105</v>
      </c>
      <c r="I6525" t="s">
        <v>10990</v>
      </c>
      <c r="J6525" t="s">
        <v>14389</v>
      </c>
      <c r="K6525" t="s">
        <v>18741</v>
      </c>
      <c r="L6525">
        <f>HYPERLINK("https://www2.assemblee-nationale.fr/sycomore/fiche/(num_dept)/1448", "1448")</f>
        <v>0</v>
      </c>
      <c r="N6525">
        <f>HYPERLINK("https://www.wikidata.org/wiki/Q15974162", "Q15974162")</f>
        <v>0</v>
      </c>
      <c r="O6525" t="s">
        <v>19990</v>
      </c>
      <c r="P6525" t="s">
        <v>20485</v>
      </c>
      <c r="Q6525" t="s">
        <v>12976</v>
      </c>
      <c r="R6525" t="s">
        <v>418</v>
      </c>
      <c r="S6525">
        <v>1549</v>
      </c>
    </row>
    <row r="6526" spans="1:19">
      <c r="A6526" t="s">
        <v>28</v>
      </c>
      <c r="B6526" t="s">
        <v>148</v>
      </c>
      <c r="C6526" t="s">
        <v>160</v>
      </c>
      <c r="D6526" t="s">
        <v>289</v>
      </c>
      <c r="E6526" t="s">
        <v>418</v>
      </c>
      <c r="F6526">
        <f>HYPERLINK("https://www.wikidata.org/wiki/Q33755445", "Q33755445")</f>
        <v>0</v>
      </c>
      <c r="G6526" t="s">
        <v>611</v>
      </c>
      <c r="H6526" t="s">
        <v>5371</v>
      </c>
      <c r="I6526" t="s">
        <v>9452</v>
      </c>
      <c r="J6526" t="s">
        <v>11362</v>
      </c>
      <c r="K6526" t="s">
        <v>15763</v>
      </c>
      <c r="L6526">
        <f>HYPERLINK("https://www2.assemblee-nationale.fr/sycomore/fiche/(num_dept)/2311", "2311")</f>
        <v>0</v>
      </c>
      <c r="N6526">
        <f>HYPERLINK("https://www.wikidata.org/wiki/Q16025554", "Q16025554")</f>
        <v>0</v>
      </c>
      <c r="O6526" t="s">
        <v>20020</v>
      </c>
      <c r="Q6526" t="s">
        <v>12976</v>
      </c>
      <c r="R6526" t="s">
        <v>418</v>
      </c>
      <c r="S6526">
        <v>1549</v>
      </c>
    </row>
    <row r="6527" spans="1:19">
      <c r="A6527" t="s">
        <v>28</v>
      </c>
      <c r="B6527" t="s">
        <v>148</v>
      </c>
      <c r="C6527" t="s">
        <v>160</v>
      </c>
      <c r="D6527" t="s">
        <v>289</v>
      </c>
      <c r="E6527" t="s">
        <v>418</v>
      </c>
      <c r="F6527">
        <f>HYPERLINK("https://www.wikidata.org/wiki/Q33755445", "Q33755445")</f>
        <v>0</v>
      </c>
      <c r="G6527" t="s">
        <v>3824</v>
      </c>
      <c r="H6527" t="s">
        <v>8106</v>
      </c>
      <c r="I6527" t="s">
        <v>10991</v>
      </c>
      <c r="J6527" t="s">
        <v>11652</v>
      </c>
      <c r="K6527" t="s">
        <v>18684</v>
      </c>
      <c r="L6527">
        <f>HYPERLINK("https://www2.assemblee-nationale.fr/sycomore/fiche/(num_dept)/4942", "4942")</f>
        <v>0</v>
      </c>
      <c r="N6527">
        <f>HYPERLINK("https://www.wikidata.org/wiki/Q3315885", "Q3315885")</f>
        <v>0</v>
      </c>
      <c r="O6527" t="s">
        <v>20014</v>
      </c>
      <c r="P6527" t="s">
        <v>20471</v>
      </c>
      <c r="Q6527" t="s">
        <v>12976</v>
      </c>
      <c r="R6527" t="s">
        <v>418</v>
      </c>
      <c r="S6527">
        <v>1549</v>
      </c>
    </row>
    <row r="6528" spans="1:19">
      <c r="A6528" t="s">
        <v>28</v>
      </c>
      <c r="B6528" t="s">
        <v>148</v>
      </c>
      <c r="C6528" t="s">
        <v>160</v>
      </c>
      <c r="D6528" t="s">
        <v>289</v>
      </c>
      <c r="E6528" t="s">
        <v>418</v>
      </c>
      <c r="F6528">
        <f>HYPERLINK("https://www.wikidata.org/wiki/Q33755445", "Q33755445")</f>
        <v>0</v>
      </c>
      <c r="G6528" t="s">
        <v>3825</v>
      </c>
      <c r="H6528" t="s">
        <v>8107</v>
      </c>
      <c r="I6528" t="s">
        <v>9385</v>
      </c>
      <c r="J6528" t="s">
        <v>14390</v>
      </c>
      <c r="K6528" t="s">
        <v>18742</v>
      </c>
      <c r="L6528">
        <f>HYPERLINK("https://www2.assemblee-nationale.fr/sycomore/fiche/(num_dept)/6212", "6212")</f>
        <v>0</v>
      </c>
      <c r="N6528">
        <f>HYPERLINK("https://www.wikidata.org/wiki/Q16026468", "Q16026468")</f>
        <v>0</v>
      </c>
      <c r="O6528" t="s">
        <v>20012</v>
      </c>
      <c r="P6528" t="s">
        <v>20479</v>
      </c>
      <c r="Q6528" t="s">
        <v>20793</v>
      </c>
      <c r="R6528" t="s">
        <v>418</v>
      </c>
      <c r="S6528">
        <v>1535</v>
      </c>
    </row>
    <row r="6529" spans="1:19">
      <c r="A6529" t="s">
        <v>28</v>
      </c>
      <c r="B6529" t="s">
        <v>148</v>
      </c>
      <c r="C6529" t="s">
        <v>160</v>
      </c>
      <c r="D6529" t="s">
        <v>289</v>
      </c>
      <c r="E6529" t="s">
        <v>418</v>
      </c>
      <c r="F6529">
        <f>HYPERLINK("https://www.wikidata.org/wiki/Q33755445", "Q33755445")</f>
        <v>0</v>
      </c>
      <c r="G6529" t="s">
        <v>3826</v>
      </c>
      <c r="H6529" t="s">
        <v>5559</v>
      </c>
      <c r="I6529" t="s">
        <v>6585</v>
      </c>
      <c r="J6529" t="s">
        <v>12720</v>
      </c>
      <c r="K6529" t="s">
        <v>18743</v>
      </c>
      <c r="L6529">
        <f>HYPERLINK("https://www2.assemblee-nationale.fr/sycomore/fiche/(num_dept)/6658", "6658")</f>
        <v>0</v>
      </c>
      <c r="N6529">
        <f>HYPERLINK("https://www.wikidata.org/wiki/Q2847497", "Q2847497")</f>
        <v>0</v>
      </c>
      <c r="O6529" t="s">
        <v>19962</v>
      </c>
      <c r="Q6529" t="s">
        <v>20793</v>
      </c>
      <c r="R6529" t="s">
        <v>18743</v>
      </c>
      <c r="S6529">
        <v>1406</v>
      </c>
    </row>
    <row r="6530" spans="1:19">
      <c r="A6530" t="s">
        <v>28</v>
      </c>
      <c r="B6530" t="s">
        <v>148</v>
      </c>
      <c r="C6530" t="s">
        <v>160</v>
      </c>
      <c r="D6530" t="s">
        <v>289</v>
      </c>
      <c r="E6530" t="s">
        <v>418</v>
      </c>
      <c r="F6530">
        <f>HYPERLINK("https://www.wikidata.org/wiki/Q33755445", "Q33755445")</f>
        <v>0</v>
      </c>
      <c r="G6530" t="s">
        <v>2668</v>
      </c>
      <c r="H6530" t="s">
        <v>5559</v>
      </c>
      <c r="I6530" t="s">
        <v>10351</v>
      </c>
      <c r="J6530" t="s">
        <v>13309</v>
      </c>
      <c r="K6530" t="s">
        <v>17709</v>
      </c>
      <c r="L6530">
        <f>HYPERLINK("https://www2.assemblee-nationale.fr/sycomore/fiche/(num_dept)/6661", "6661")</f>
        <v>0</v>
      </c>
      <c r="N6530">
        <f>HYPERLINK("https://www.wikidata.org/wiki/Q3426803", "Q3426803")</f>
        <v>0</v>
      </c>
      <c r="O6530" t="s">
        <v>19962</v>
      </c>
      <c r="P6530" t="s">
        <v>20460</v>
      </c>
      <c r="Q6530" t="s">
        <v>20793</v>
      </c>
      <c r="R6530" t="s">
        <v>418</v>
      </c>
      <c r="S6530">
        <v>1535</v>
      </c>
    </row>
    <row r="6531" spans="1:19">
      <c r="A6531" t="s">
        <v>28</v>
      </c>
      <c r="B6531" t="s">
        <v>148</v>
      </c>
      <c r="C6531" t="s">
        <v>160</v>
      </c>
      <c r="D6531" t="s">
        <v>289</v>
      </c>
      <c r="E6531" t="s">
        <v>418</v>
      </c>
      <c r="F6531">
        <f>HYPERLINK("https://www.wikidata.org/wiki/Q33755445", "Q33755445")</f>
        <v>0</v>
      </c>
      <c r="G6531" t="s">
        <v>3827</v>
      </c>
      <c r="H6531" t="s">
        <v>6193</v>
      </c>
      <c r="I6531" t="s">
        <v>6200</v>
      </c>
      <c r="J6531" t="s">
        <v>14391</v>
      </c>
      <c r="K6531" t="s">
        <v>18744</v>
      </c>
      <c r="L6531">
        <f>HYPERLINK("https://www2.assemblee-nationale.fr/sycomore/fiche/(num_dept)/3902", "3902")</f>
        <v>0</v>
      </c>
      <c r="N6531">
        <f>HYPERLINK("https://www.wikidata.org/wiki/Q16025857", "Q16025857")</f>
        <v>0</v>
      </c>
      <c r="O6531" t="s">
        <v>19973</v>
      </c>
      <c r="P6531" t="s">
        <v>20479</v>
      </c>
      <c r="Q6531" t="s">
        <v>19363</v>
      </c>
      <c r="R6531" t="s">
        <v>418</v>
      </c>
      <c r="S6531">
        <v>1493</v>
      </c>
    </row>
    <row r="6532" spans="1:19">
      <c r="A6532" t="s">
        <v>28</v>
      </c>
      <c r="B6532" t="s">
        <v>148</v>
      </c>
      <c r="C6532" t="s">
        <v>160</v>
      </c>
      <c r="D6532" t="s">
        <v>289</v>
      </c>
      <c r="E6532" t="s">
        <v>418</v>
      </c>
      <c r="F6532">
        <f>HYPERLINK("https://www.wikidata.org/wiki/Q33755445", "Q33755445")</f>
        <v>0</v>
      </c>
      <c r="G6532" t="s">
        <v>2694</v>
      </c>
      <c r="H6532" t="s">
        <v>7226</v>
      </c>
      <c r="I6532" t="s">
        <v>9488</v>
      </c>
      <c r="J6532" t="s">
        <v>13335</v>
      </c>
      <c r="K6532" t="s">
        <v>17735</v>
      </c>
      <c r="L6532">
        <f>HYPERLINK("https://www2.assemblee-nationale.fr/sycomore/fiche/(num_dept)/7442", "7442")</f>
        <v>0</v>
      </c>
      <c r="N6532">
        <f>HYPERLINK("https://www.wikidata.org/wiki/Q3014816", "Q3014816")</f>
        <v>0</v>
      </c>
      <c r="O6532" t="s">
        <v>20008</v>
      </c>
      <c r="P6532" t="s">
        <v>20474</v>
      </c>
      <c r="Q6532" t="s">
        <v>19178</v>
      </c>
      <c r="R6532" t="s">
        <v>418</v>
      </c>
      <c r="S6532">
        <v>1486</v>
      </c>
    </row>
    <row r="6533" spans="1:19">
      <c r="A6533" t="s">
        <v>28</v>
      </c>
      <c r="B6533" t="s">
        <v>148</v>
      </c>
      <c r="C6533" t="s">
        <v>160</v>
      </c>
      <c r="D6533" t="s">
        <v>289</v>
      </c>
      <c r="E6533" t="s">
        <v>418</v>
      </c>
      <c r="F6533">
        <f>HYPERLINK("https://www.wikidata.org/wiki/Q33755445", "Q33755445")</f>
        <v>0</v>
      </c>
      <c r="G6533" t="s">
        <v>3828</v>
      </c>
      <c r="H6533" t="s">
        <v>8108</v>
      </c>
      <c r="I6533" t="s">
        <v>9401</v>
      </c>
      <c r="J6533" t="s">
        <v>14392</v>
      </c>
      <c r="K6533" t="s">
        <v>18745</v>
      </c>
      <c r="L6533">
        <f>HYPERLINK("https://www2.assemblee-nationale.fr/sycomore/fiche/(num_dept)/4990", "4990")</f>
        <v>0</v>
      </c>
      <c r="N6533">
        <f>HYPERLINK("https://www.wikidata.org/wiki/Q16026022", "Q16026022")</f>
        <v>0</v>
      </c>
      <c r="O6533" t="s">
        <v>19960</v>
      </c>
      <c r="P6533" t="s">
        <v>20479</v>
      </c>
      <c r="Q6533" t="s">
        <v>20794</v>
      </c>
      <c r="R6533" t="s">
        <v>418</v>
      </c>
      <c r="S6533">
        <v>1472</v>
      </c>
    </row>
    <row r="6534" spans="1:19">
      <c r="A6534" t="s">
        <v>28</v>
      </c>
      <c r="B6534" t="s">
        <v>148</v>
      </c>
      <c r="C6534" t="s">
        <v>160</v>
      </c>
      <c r="D6534" t="s">
        <v>289</v>
      </c>
      <c r="E6534" t="s">
        <v>418</v>
      </c>
      <c r="F6534">
        <f>HYPERLINK("https://www.wikidata.org/wiki/Q33755445", "Q33755445")</f>
        <v>0</v>
      </c>
      <c r="G6534" t="s">
        <v>3829</v>
      </c>
      <c r="H6534" t="s">
        <v>8109</v>
      </c>
      <c r="I6534" t="s">
        <v>10992</v>
      </c>
      <c r="J6534" t="s">
        <v>14393</v>
      </c>
      <c r="K6534" t="s">
        <v>18746</v>
      </c>
      <c r="L6534">
        <f>HYPERLINK("https://www2.assemblee-nationale.fr/sycomore/fiche/(num_dept)/103", "103")</f>
        <v>0</v>
      </c>
      <c r="M6534">
        <f>HYPERLINK("https://www.senat.fr/senateur-3eme-republique/comte_d_alsace_thierry1812r3.html", "comte_d_alsace_thierry1812r3")</f>
        <v>0</v>
      </c>
      <c r="N6534">
        <f>HYPERLINK("https://www.wikidata.org/wiki/Q3524185", "Q3524185")</f>
        <v>0</v>
      </c>
      <c r="O6534" t="s">
        <v>20017</v>
      </c>
      <c r="P6534" t="s">
        <v>20411</v>
      </c>
      <c r="Q6534" t="s">
        <v>20795</v>
      </c>
      <c r="R6534" t="s">
        <v>418</v>
      </c>
      <c r="S6534">
        <v>1458</v>
      </c>
    </row>
    <row r="6535" spans="1:19">
      <c r="A6535" t="s">
        <v>28</v>
      </c>
      <c r="B6535" t="s">
        <v>148</v>
      </c>
      <c r="C6535" t="s">
        <v>160</v>
      </c>
      <c r="D6535" t="s">
        <v>289</v>
      </c>
      <c r="E6535" t="s">
        <v>418</v>
      </c>
      <c r="F6535">
        <f>HYPERLINK("https://www.wikidata.org/wiki/Q33755445", "Q33755445")</f>
        <v>0</v>
      </c>
      <c r="G6535" t="s">
        <v>3830</v>
      </c>
      <c r="H6535" t="s">
        <v>8110</v>
      </c>
      <c r="I6535" t="s">
        <v>6495</v>
      </c>
      <c r="J6535" t="s">
        <v>14139</v>
      </c>
      <c r="K6535" t="s">
        <v>18747</v>
      </c>
      <c r="L6535">
        <f>HYPERLINK("https://www2.assemblee-nationale.fr/sycomore/fiche/(num_dept)/6526", "6526")</f>
        <v>0</v>
      </c>
      <c r="N6535">
        <f>HYPERLINK("https://www.wikidata.org/wiki/Q16026378", "Q16026378")</f>
        <v>0</v>
      </c>
      <c r="O6535" t="s">
        <v>20030</v>
      </c>
      <c r="P6535" t="s">
        <v>20479</v>
      </c>
      <c r="Q6535" t="s">
        <v>20796</v>
      </c>
      <c r="R6535" t="s">
        <v>418</v>
      </c>
      <c r="S6535">
        <v>1430</v>
      </c>
    </row>
    <row r="6536" spans="1:19">
      <c r="A6536" t="s">
        <v>28</v>
      </c>
      <c r="B6536" t="s">
        <v>148</v>
      </c>
      <c r="C6536" t="s">
        <v>160</v>
      </c>
      <c r="D6536" t="s">
        <v>289</v>
      </c>
      <c r="E6536" t="s">
        <v>418</v>
      </c>
      <c r="F6536">
        <f>HYPERLINK("https://www.wikidata.org/wiki/Q33755445", "Q33755445")</f>
        <v>0</v>
      </c>
      <c r="G6536" t="s">
        <v>3716</v>
      </c>
      <c r="H6536" t="s">
        <v>5731</v>
      </c>
      <c r="I6536" t="s">
        <v>10946</v>
      </c>
      <c r="J6536" t="s">
        <v>14291</v>
      </c>
      <c r="K6536" t="s">
        <v>16045</v>
      </c>
      <c r="L6536">
        <f>HYPERLINK("https://www2.assemblee-nationale.fr/sycomore/fiche/(num_dept)/5272", "5272")</f>
        <v>0</v>
      </c>
      <c r="N6536">
        <f>HYPERLINK("https://www.wikidata.org/wiki/Q16026101", "Q16026101")</f>
        <v>0</v>
      </c>
      <c r="O6536" t="s">
        <v>20020</v>
      </c>
      <c r="P6536" t="s">
        <v>20479</v>
      </c>
      <c r="Q6536" t="s">
        <v>20797</v>
      </c>
      <c r="R6536" t="s">
        <v>418</v>
      </c>
      <c r="S6536">
        <v>1423</v>
      </c>
    </row>
    <row r="6537" spans="1:19">
      <c r="A6537" t="s">
        <v>28</v>
      </c>
      <c r="B6537" t="s">
        <v>148</v>
      </c>
      <c r="C6537" t="s">
        <v>160</v>
      </c>
      <c r="D6537" t="s">
        <v>289</v>
      </c>
      <c r="E6537" t="s">
        <v>418</v>
      </c>
      <c r="F6537">
        <f>HYPERLINK("https://www.wikidata.org/wiki/Q33755445", "Q33755445")</f>
        <v>0</v>
      </c>
      <c r="G6537" t="s">
        <v>3831</v>
      </c>
      <c r="H6537" t="s">
        <v>8111</v>
      </c>
      <c r="I6537" t="s">
        <v>9483</v>
      </c>
      <c r="J6537" t="s">
        <v>14394</v>
      </c>
      <c r="K6537" t="s">
        <v>18748</v>
      </c>
      <c r="L6537">
        <f>HYPERLINK("https://www2.assemblee-nationale.fr/sycomore/fiche/(num_dept)/3343", "3343")</f>
        <v>0</v>
      </c>
      <c r="M6537">
        <f>HYPERLINK("https://www.senat.fr/senateur-3eme-republique/genoux_prachee_victor1171r3.html", "genoux_prachee_victor1171r3")</f>
        <v>0</v>
      </c>
      <c r="N6537">
        <f>HYPERLINK("https://www.wikidata.org/wiki/Q3557323", "Q3557323")</f>
        <v>0</v>
      </c>
      <c r="O6537" t="s">
        <v>20036</v>
      </c>
      <c r="P6537" t="s">
        <v>20471</v>
      </c>
      <c r="Q6537" t="s">
        <v>20798</v>
      </c>
      <c r="R6537" t="s">
        <v>418</v>
      </c>
      <c r="S6537">
        <v>1381</v>
      </c>
    </row>
    <row r="6538" spans="1:19">
      <c r="A6538" t="s">
        <v>28</v>
      </c>
      <c r="B6538" t="s">
        <v>148</v>
      </c>
      <c r="C6538" t="s">
        <v>160</v>
      </c>
      <c r="D6538" t="s">
        <v>289</v>
      </c>
      <c r="E6538" t="s">
        <v>418</v>
      </c>
      <c r="F6538">
        <f>HYPERLINK("https://www.wikidata.org/wiki/Q33755445", "Q33755445")</f>
        <v>0</v>
      </c>
      <c r="G6538" t="s">
        <v>868</v>
      </c>
      <c r="H6538" t="s">
        <v>5624</v>
      </c>
      <c r="I6538" t="s">
        <v>6166</v>
      </c>
      <c r="J6538" t="s">
        <v>11614</v>
      </c>
      <c r="K6538" t="s">
        <v>16016</v>
      </c>
      <c r="L6538">
        <f>HYPERLINK("https://www2.assemblee-nationale.fr/sycomore/fiche/(num_dept)/317", "317")</f>
        <v>0</v>
      </c>
      <c r="N6538">
        <f>HYPERLINK("https://www.wikidata.org/wiki/Q15973432", "Q15973432")</f>
        <v>0</v>
      </c>
      <c r="O6538" t="s">
        <v>8449</v>
      </c>
      <c r="P6538" t="s">
        <v>20471</v>
      </c>
      <c r="Q6538" t="s">
        <v>20799</v>
      </c>
      <c r="R6538" t="s">
        <v>418</v>
      </c>
      <c r="S6538">
        <v>1346</v>
      </c>
    </row>
    <row r="6539" spans="1:19">
      <c r="A6539" t="s">
        <v>28</v>
      </c>
      <c r="B6539" t="s">
        <v>148</v>
      </c>
      <c r="C6539" t="s">
        <v>160</v>
      </c>
      <c r="D6539" t="s">
        <v>289</v>
      </c>
      <c r="E6539" t="s">
        <v>418</v>
      </c>
      <c r="F6539">
        <f>HYPERLINK("https://www.wikidata.org/wiki/Q33755445", "Q33755445")</f>
        <v>0</v>
      </c>
      <c r="G6539" t="s">
        <v>3832</v>
      </c>
      <c r="H6539" t="s">
        <v>8112</v>
      </c>
      <c r="I6539" t="s">
        <v>10993</v>
      </c>
      <c r="J6539" t="s">
        <v>11898</v>
      </c>
      <c r="K6539" t="s">
        <v>18135</v>
      </c>
      <c r="L6539">
        <f>HYPERLINK("https://www2.assemblee-nationale.fr/sycomore/fiche/(num_dept)/6229", "6229")</f>
        <v>0</v>
      </c>
      <c r="M6539">
        <f>HYPERLINK("https://www.senat.fr/senateur-3eme-republique/saint_quentin_louis0355r3.html", "saint_quentin_louis0355r3")</f>
        <v>0</v>
      </c>
      <c r="N6539">
        <f>HYPERLINK("https://www.wikidata.org/wiki/Q3261753", "Q3261753")</f>
        <v>0</v>
      </c>
      <c r="O6539" t="s">
        <v>20009</v>
      </c>
      <c r="Q6539" t="s">
        <v>20800</v>
      </c>
      <c r="R6539" t="s">
        <v>418</v>
      </c>
      <c r="S6539">
        <v>1332</v>
      </c>
    </row>
    <row r="6540" spans="1:19">
      <c r="A6540" t="s">
        <v>28</v>
      </c>
      <c r="B6540" t="s">
        <v>148</v>
      </c>
      <c r="C6540" t="s">
        <v>160</v>
      </c>
      <c r="D6540" t="s">
        <v>289</v>
      </c>
      <c r="E6540" t="s">
        <v>418</v>
      </c>
      <c r="F6540">
        <f>HYPERLINK("https://www.wikidata.org/wiki/Q33755445", "Q33755445")</f>
        <v>0</v>
      </c>
      <c r="G6540" t="s">
        <v>3833</v>
      </c>
      <c r="H6540" t="s">
        <v>5325</v>
      </c>
      <c r="I6540" t="s">
        <v>10994</v>
      </c>
      <c r="J6540" t="s">
        <v>14395</v>
      </c>
      <c r="K6540" t="s">
        <v>18749</v>
      </c>
      <c r="L6540">
        <f>HYPERLINK("https://www2.assemblee-nationale.fr/sycomore/fiche/(num_dept)/1450", "1450")</f>
        <v>0</v>
      </c>
      <c r="N6540">
        <f>HYPERLINK("https://www.wikidata.org/wiki/Q8299336", "Q8299336")</f>
        <v>0</v>
      </c>
      <c r="O6540" t="s">
        <v>20002</v>
      </c>
      <c r="P6540" t="s">
        <v>20486</v>
      </c>
      <c r="Q6540" t="s">
        <v>20801</v>
      </c>
      <c r="R6540" t="s">
        <v>418</v>
      </c>
      <c r="S6540">
        <v>1241</v>
      </c>
    </row>
    <row r="6541" spans="1:19">
      <c r="A6541" t="s">
        <v>28</v>
      </c>
      <c r="B6541" t="s">
        <v>148</v>
      </c>
      <c r="C6541" t="s">
        <v>160</v>
      </c>
      <c r="D6541" t="s">
        <v>289</v>
      </c>
      <c r="E6541" t="s">
        <v>418</v>
      </c>
      <c r="F6541">
        <f>HYPERLINK("https://www.wikidata.org/wiki/Q33755445", "Q33755445")</f>
        <v>0</v>
      </c>
      <c r="G6541" t="s">
        <v>659</v>
      </c>
      <c r="H6541" t="s">
        <v>5418</v>
      </c>
      <c r="I6541" t="s">
        <v>9473</v>
      </c>
      <c r="J6541" t="s">
        <v>11409</v>
      </c>
      <c r="K6541" t="s">
        <v>15811</v>
      </c>
      <c r="L6541">
        <f>HYPERLINK("https://www2.assemblee-nationale.fr/sycomore/fiche/(num_dept)/3364", "3364")</f>
        <v>0</v>
      </c>
      <c r="N6541">
        <f>HYPERLINK("https://www.wikidata.org/wiki/Q2835289", "Q2835289")</f>
        <v>0</v>
      </c>
      <c r="O6541" t="s">
        <v>19969</v>
      </c>
      <c r="Q6541" t="s">
        <v>20801</v>
      </c>
      <c r="R6541" t="s">
        <v>418</v>
      </c>
      <c r="S6541">
        <v>1241</v>
      </c>
    </row>
    <row r="6542" spans="1:19">
      <c r="A6542" t="s">
        <v>28</v>
      </c>
      <c r="B6542" t="s">
        <v>148</v>
      </c>
      <c r="C6542" t="s">
        <v>160</v>
      </c>
      <c r="D6542" t="s">
        <v>289</v>
      </c>
      <c r="E6542" t="s">
        <v>418</v>
      </c>
      <c r="F6542">
        <f>HYPERLINK("https://www.wikidata.org/wiki/Q33755445", "Q33755445")</f>
        <v>0</v>
      </c>
      <c r="G6542" t="s">
        <v>3834</v>
      </c>
      <c r="H6542" t="s">
        <v>5397</v>
      </c>
      <c r="I6542" t="s">
        <v>9458</v>
      </c>
      <c r="J6542" t="s">
        <v>14396</v>
      </c>
      <c r="K6542" t="s">
        <v>18750</v>
      </c>
      <c r="L6542">
        <f>HYPERLINK("https://www2.assemblee-nationale.fr/sycomore/fiche/(num_dept)/2921", "2921")</f>
        <v>0</v>
      </c>
      <c r="N6542">
        <f>HYPERLINK("https://www.wikidata.org/wiki/Q10645182", "Q10645182")</f>
        <v>0</v>
      </c>
      <c r="O6542" t="s">
        <v>19965</v>
      </c>
      <c r="Q6542" t="s">
        <v>20802</v>
      </c>
      <c r="R6542" t="s">
        <v>418</v>
      </c>
      <c r="S6542">
        <v>1198</v>
      </c>
    </row>
    <row r="6543" spans="1:19">
      <c r="A6543" t="s">
        <v>28</v>
      </c>
      <c r="B6543" t="s">
        <v>148</v>
      </c>
      <c r="C6543" t="s">
        <v>160</v>
      </c>
      <c r="D6543" t="s">
        <v>289</v>
      </c>
      <c r="E6543" t="s">
        <v>418</v>
      </c>
      <c r="F6543">
        <f>HYPERLINK("https://www.wikidata.org/wiki/Q33755445", "Q33755445")</f>
        <v>0</v>
      </c>
      <c r="G6543" t="s">
        <v>3835</v>
      </c>
      <c r="H6543" t="s">
        <v>8113</v>
      </c>
      <c r="I6543" t="s">
        <v>10995</v>
      </c>
      <c r="J6543" t="s">
        <v>14397</v>
      </c>
      <c r="K6543" t="s">
        <v>18751</v>
      </c>
      <c r="L6543">
        <f>HYPERLINK("https://www2.assemblee-nationale.fr/sycomore/fiche/(num_dept)/1760", "1760")</f>
        <v>0</v>
      </c>
      <c r="N6543">
        <f>HYPERLINK("https://www.wikidata.org/wiki/Q7121784", "Q7121784")</f>
        <v>0</v>
      </c>
      <c r="O6543" t="s">
        <v>20006</v>
      </c>
      <c r="P6543" t="s">
        <v>20471</v>
      </c>
      <c r="Q6543" t="s">
        <v>20803</v>
      </c>
      <c r="R6543" t="s">
        <v>418</v>
      </c>
      <c r="S6543">
        <v>1185</v>
      </c>
    </row>
    <row r="6544" spans="1:19">
      <c r="A6544" t="s">
        <v>28</v>
      </c>
      <c r="B6544" t="s">
        <v>148</v>
      </c>
      <c r="C6544" t="s">
        <v>160</v>
      </c>
      <c r="D6544" t="s">
        <v>289</v>
      </c>
      <c r="E6544" t="s">
        <v>418</v>
      </c>
      <c r="F6544">
        <f>HYPERLINK("https://www.wikidata.org/wiki/Q33755445", "Q33755445")</f>
        <v>0</v>
      </c>
      <c r="G6544" t="s">
        <v>3836</v>
      </c>
      <c r="H6544" t="s">
        <v>8114</v>
      </c>
      <c r="I6544" t="s">
        <v>9465</v>
      </c>
      <c r="J6544" t="s">
        <v>14398</v>
      </c>
      <c r="K6544" t="s">
        <v>18752</v>
      </c>
      <c r="L6544">
        <f>HYPERLINK("https://www2.assemblee-nationale.fr/sycomore/fiche/(num_dept)/7431", "7431")</f>
        <v>0</v>
      </c>
      <c r="N6544">
        <f>HYPERLINK("https://www.wikidata.org/wiki/Q16026607", "Q16026607")</f>
        <v>0</v>
      </c>
      <c r="O6544" t="s">
        <v>20034</v>
      </c>
      <c r="Q6544" t="s">
        <v>20803</v>
      </c>
      <c r="R6544" t="s">
        <v>418</v>
      </c>
      <c r="S6544">
        <v>1185</v>
      </c>
    </row>
    <row r="6545" spans="1:19">
      <c r="A6545" t="s">
        <v>28</v>
      </c>
      <c r="B6545" t="s">
        <v>148</v>
      </c>
      <c r="C6545" t="s">
        <v>160</v>
      </c>
      <c r="D6545" t="s">
        <v>289</v>
      </c>
      <c r="E6545" t="s">
        <v>418</v>
      </c>
      <c r="F6545">
        <f>HYPERLINK("https://www.wikidata.org/wiki/Q33755445", "Q33755445")</f>
        <v>0</v>
      </c>
      <c r="G6545" t="s">
        <v>890</v>
      </c>
      <c r="H6545" t="s">
        <v>5646</v>
      </c>
      <c r="I6545" t="s">
        <v>9577</v>
      </c>
      <c r="J6545" t="s">
        <v>11636</v>
      </c>
      <c r="K6545" t="s">
        <v>16036</v>
      </c>
      <c r="L6545">
        <f>HYPERLINK("https://www2.assemblee-nationale.fr/sycomore/fiche/(num_dept)/1234", "1234")</f>
        <v>0</v>
      </c>
      <c r="M6545">
        <f>HYPERLINK("https://www.senat.fr/senateur-3eme-republique/brindeau_louis1617r3.html", "brindeau_louis1617r3")</f>
        <v>0</v>
      </c>
      <c r="N6545">
        <f>HYPERLINK("https://www.wikidata.org/wiki/Q3261358", "Q3261358")</f>
        <v>0</v>
      </c>
      <c r="O6545" t="s">
        <v>19978</v>
      </c>
      <c r="P6545" t="s">
        <v>20479</v>
      </c>
      <c r="Q6545" t="s">
        <v>20804</v>
      </c>
      <c r="R6545" t="s">
        <v>418</v>
      </c>
      <c r="S6545">
        <v>1178</v>
      </c>
    </row>
    <row r="6546" spans="1:19">
      <c r="A6546" t="s">
        <v>28</v>
      </c>
      <c r="B6546" t="s">
        <v>148</v>
      </c>
      <c r="C6546" t="s">
        <v>160</v>
      </c>
      <c r="D6546" t="s">
        <v>289</v>
      </c>
      <c r="E6546" t="s">
        <v>418</v>
      </c>
      <c r="F6546">
        <f>HYPERLINK("https://www.wikidata.org/wiki/Q33755445", "Q33755445")</f>
        <v>0</v>
      </c>
      <c r="G6546" t="s">
        <v>3837</v>
      </c>
      <c r="H6546" t="s">
        <v>8115</v>
      </c>
      <c r="I6546" t="s">
        <v>9442</v>
      </c>
      <c r="J6546" t="s">
        <v>14399</v>
      </c>
      <c r="K6546" t="s">
        <v>18753</v>
      </c>
      <c r="L6546">
        <f>HYPERLINK("https://www2.assemblee-nationale.fr/sycomore/fiche/(num_dept)/3330", "3330")</f>
        <v>0</v>
      </c>
      <c r="N6546">
        <f>HYPERLINK("https://www.wikidata.org/wiki/Q16025759", "Q16025759")</f>
        <v>0</v>
      </c>
      <c r="O6546" t="s">
        <v>20012</v>
      </c>
      <c r="P6546" t="s">
        <v>20479</v>
      </c>
      <c r="Q6546" t="s">
        <v>20805</v>
      </c>
      <c r="R6546" t="s">
        <v>418</v>
      </c>
      <c r="S6546">
        <v>1171</v>
      </c>
    </row>
    <row r="6547" spans="1:19">
      <c r="A6547" t="s">
        <v>28</v>
      </c>
      <c r="B6547" t="s">
        <v>148</v>
      </c>
      <c r="C6547" t="s">
        <v>160</v>
      </c>
      <c r="D6547" t="s">
        <v>289</v>
      </c>
      <c r="E6547" t="s">
        <v>418</v>
      </c>
      <c r="F6547">
        <f>HYPERLINK("https://www.wikidata.org/wiki/Q33755445", "Q33755445")</f>
        <v>0</v>
      </c>
      <c r="G6547" t="s">
        <v>3838</v>
      </c>
      <c r="H6547" t="s">
        <v>8116</v>
      </c>
      <c r="I6547" t="s">
        <v>10996</v>
      </c>
      <c r="J6547" t="s">
        <v>11776</v>
      </c>
      <c r="K6547" t="s">
        <v>18754</v>
      </c>
      <c r="L6547">
        <f>HYPERLINK("https://www2.assemblee-nationale.fr/sycomore/fiche/(num_dept)/3312", "3312")</f>
        <v>0</v>
      </c>
      <c r="M6547">
        <f>HYPERLINK("https://www.senat.fr/senateur-3eme-republique/gauvin_eusebe0384r3.html", "gauvin_eusebe0384r3")</f>
        <v>0</v>
      </c>
      <c r="N6547">
        <f>HYPERLINK("https://www.wikidata.org/wiki/Q3061098", "Q3061098")</f>
        <v>0</v>
      </c>
      <c r="O6547" t="s">
        <v>20039</v>
      </c>
      <c r="P6547" t="s">
        <v>20482</v>
      </c>
      <c r="Q6547" t="s">
        <v>20806</v>
      </c>
      <c r="R6547" t="s">
        <v>418</v>
      </c>
      <c r="S6547">
        <v>1157</v>
      </c>
    </row>
    <row r="6548" spans="1:19">
      <c r="A6548" t="s">
        <v>28</v>
      </c>
      <c r="B6548" t="s">
        <v>148</v>
      </c>
      <c r="C6548" t="s">
        <v>160</v>
      </c>
      <c r="D6548" t="s">
        <v>289</v>
      </c>
      <c r="E6548" t="s">
        <v>418</v>
      </c>
      <c r="F6548">
        <f>HYPERLINK("https://www.wikidata.org/wiki/Q33755445", "Q33755445")</f>
        <v>0</v>
      </c>
      <c r="G6548" t="s">
        <v>3839</v>
      </c>
      <c r="H6548" t="s">
        <v>7232</v>
      </c>
      <c r="I6548" t="s">
        <v>6195</v>
      </c>
      <c r="J6548" t="s">
        <v>14400</v>
      </c>
      <c r="K6548" t="s">
        <v>18526</v>
      </c>
      <c r="L6548">
        <f>HYPERLINK("https://www2.assemblee-nationale.fr/sycomore/fiche/(num_dept)/7448", "7448")</f>
        <v>0</v>
      </c>
      <c r="N6548">
        <f>HYPERLINK("https://www.wikidata.org/wiki/Q3154781", "Q3154781")</f>
        <v>0</v>
      </c>
      <c r="O6548" t="s">
        <v>19959</v>
      </c>
      <c r="Q6548" t="s">
        <v>19380</v>
      </c>
      <c r="R6548" t="s">
        <v>418</v>
      </c>
      <c r="S6548">
        <v>1150</v>
      </c>
    </row>
    <row r="6549" spans="1:19">
      <c r="A6549" t="s">
        <v>28</v>
      </c>
      <c r="B6549" t="s">
        <v>148</v>
      </c>
      <c r="C6549" t="s">
        <v>160</v>
      </c>
      <c r="D6549" t="s">
        <v>289</v>
      </c>
      <c r="E6549" t="s">
        <v>418</v>
      </c>
      <c r="F6549">
        <f>HYPERLINK("https://www.wikidata.org/wiki/Q33755445", "Q33755445")</f>
        <v>0</v>
      </c>
      <c r="G6549" t="s">
        <v>3840</v>
      </c>
      <c r="H6549" t="s">
        <v>7705</v>
      </c>
      <c r="I6549" t="s">
        <v>10997</v>
      </c>
      <c r="J6549" t="s">
        <v>14401</v>
      </c>
      <c r="K6549" t="s">
        <v>13110</v>
      </c>
      <c r="L6549">
        <f>HYPERLINK("https://www2.assemblee-nationale.fr/sycomore/fiche/(num_dept)/7808", "7808")</f>
        <v>0</v>
      </c>
      <c r="N6549">
        <f>HYPERLINK("https://www.wikidata.org/wiki/Q8301660", "Q8301660")</f>
        <v>0</v>
      </c>
      <c r="O6549" t="s">
        <v>19989</v>
      </c>
      <c r="Q6549" t="s">
        <v>19380</v>
      </c>
      <c r="R6549" t="s">
        <v>13110</v>
      </c>
      <c r="S6549">
        <v>657</v>
      </c>
    </row>
    <row r="6550" spans="1:19">
      <c r="A6550" t="s">
        <v>28</v>
      </c>
      <c r="B6550" t="s">
        <v>148</v>
      </c>
      <c r="C6550" t="s">
        <v>160</v>
      </c>
      <c r="D6550" t="s">
        <v>289</v>
      </c>
      <c r="E6550" t="s">
        <v>418</v>
      </c>
      <c r="F6550">
        <f>HYPERLINK("https://www.wikidata.org/wiki/Q33755445", "Q33755445")</f>
        <v>0</v>
      </c>
      <c r="G6550" t="s">
        <v>3841</v>
      </c>
      <c r="H6550" t="s">
        <v>8117</v>
      </c>
      <c r="I6550" t="s">
        <v>6495</v>
      </c>
      <c r="J6550" t="s">
        <v>14402</v>
      </c>
      <c r="K6550" t="s">
        <v>18755</v>
      </c>
      <c r="L6550">
        <f>HYPERLINK("https://www2.assemblee-nationale.fr/sycomore/fiche/(num_dept)/4978", "4978")</f>
        <v>0</v>
      </c>
      <c r="N6550">
        <f>HYPERLINK("https://www.wikidata.org/wiki/Q2913632", "Q2913632")</f>
        <v>0</v>
      </c>
      <c r="O6550" t="s">
        <v>19972</v>
      </c>
      <c r="Q6550" t="s">
        <v>20807</v>
      </c>
      <c r="R6550" t="s">
        <v>418</v>
      </c>
      <c r="S6550">
        <v>1129</v>
      </c>
    </row>
    <row r="6551" spans="1:19">
      <c r="A6551" t="s">
        <v>28</v>
      </c>
      <c r="B6551" t="s">
        <v>148</v>
      </c>
      <c r="C6551" t="s">
        <v>160</v>
      </c>
      <c r="D6551" t="s">
        <v>289</v>
      </c>
      <c r="E6551" t="s">
        <v>418</v>
      </c>
      <c r="F6551">
        <f>HYPERLINK("https://www.wikidata.org/wiki/Q33755445", "Q33755445")</f>
        <v>0</v>
      </c>
      <c r="G6551" t="s">
        <v>566</v>
      </c>
      <c r="H6551" t="s">
        <v>5329</v>
      </c>
      <c r="I6551" t="s">
        <v>9419</v>
      </c>
      <c r="J6551" t="s">
        <v>11317</v>
      </c>
      <c r="K6551" t="s">
        <v>15718</v>
      </c>
      <c r="L6551">
        <f>HYPERLINK("https://www2.assemblee-nationale.fr/sycomore/fiche/(num_dept)/1624", "1624")</f>
        <v>0</v>
      </c>
      <c r="N6551">
        <f>HYPERLINK("https://www.wikidata.org/wiki/Q3345786", "Q3345786")</f>
        <v>0</v>
      </c>
      <c r="O6551" t="s">
        <v>20005</v>
      </c>
      <c r="P6551" t="s">
        <v>20477</v>
      </c>
      <c r="Q6551" t="s">
        <v>20808</v>
      </c>
      <c r="R6551" t="s">
        <v>418</v>
      </c>
      <c r="S6551">
        <v>1122</v>
      </c>
    </row>
    <row r="6552" spans="1:19">
      <c r="A6552" t="s">
        <v>28</v>
      </c>
      <c r="B6552" t="s">
        <v>148</v>
      </c>
      <c r="C6552" t="s">
        <v>160</v>
      </c>
      <c r="D6552" t="s">
        <v>289</v>
      </c>
      <c r="E6552" t="s">
        <v>418</v>
      </c>
      <c r="F6552">
        <f>HYPERLINK("https://www.wikidata.org/wiki/Q33755445", "Q33755445")</f>
        <v>0</v>
      </c>
      <c r="G6552" t="s">
        <v>677</v>
      </c>
      <c r="H6552" t="s">
        <v>5436</v>
      </c>
      <c r="I6552" t="s">
        <v>9477</v>
      </c>
      <c r="J6552" t="s">
        <v>11427</v>
      </c>
      <c r="K6552" t="s">
        <v>15828</v>
      </c>
      <c r="L6552">
        <f>HYPERLINK("https://www2.assemblee-nationale.fr/sycomore/fiche/(num_dept)/3731", "3731")</f>
        <v>0</v>
      </c>
      <c r="N6552">
        <f>HYPERLINK("https://www.wikidata.org/wiki/Q3301571", "Q3301571")</f>
        <v>0</v>
      </c>
      <c r="O6552" t="s">
        <v>19998</v>
      </c>
      <c r="Q6552" t="s">
        <v>20808</v>
      </c>
      <c r="R6552" t="s">
        <v>418</v>
      </c>
      <c r="S6552">
        <v>1122</v>
      </c>
    </row>
    <row r="6553" spans="1:19">
      <c r="A6553" t="s">
        <v>28</v>
      </c>
      <c r="B6553" t="s">
        <v>148</v>
      </c>
      <c r="C6553" t="s">
        <v>160</v>
      </c>
      <c r="D6553" t="s">
        <v>289</v>
      </c>
      <c r="E6553" t="s">
        <v>418</v>
      </c>
      <c r="F6553">
        <f>HYPERLINK("https://www.wikidata.org/wiki/Q33755445", "Q33755445")</f>
        <v>0</v>
      </c>
      <c r="G6553" t="s">
        <v>3842</v>
      </c>
      <c r="H6553" t="s">
        <v>8118</v>
      </c>
      <c r="I6553" t="s">
        <v>9388</v>
      </c>
      <c r="J6553" t="s">
        <v>13983</v>
      </c>
      <c r="K6553" t="s">
        <v>18756</v>
      </c>
      <c r="L6553">
        <f>HYPERLINK("https://www2.assemblee-nationale.fr/sycomore/fiche/(num_dept)/2856", "2856")</f>
        <v>0</v>
      </c>
      <c r="M6553">
        <f>HYPERLINK("https://www.senat.fr/senateur-3eme-republique/d_estournelles_de_constant_paul1252r3.html", "d_estournelles_de_constant_paul1252r3")</f>
        <v>0</v>
      </c>
      <c r="N6553">
        <f>HYPERLINK("https://www.wikidata.org/wiki/Q238731", "Q238731")</f>
        <v>0</v>
      </c>
      <c r="O6553" t="s">
        <v>19956</v>
      </c>
      <c r="Q6553" t="s">
        <v>20809</v>
      </c>
      <c r="R6553" t="s">
        <v>418</v>
      </c>
      <c r="S6553">
        <v>1108</v>
      </c>
    </row>
    <row r="6554" spans="1:19">
      <c r="A6554" t="s">
        <v>28</v>
      </c>
      <c r="B6554" t="s">
        <v>148</v>
      </c>
      <c r="C6554" t="s">
        <v>160</v>
      </c>
      <c r="D6554" t="s">
        <v>289</v>
      </c>
      <c r="E6554" t="s">
        <v>418</v>
      </c>
      <c r="F6554">
        <f>HYPERLINK("https://www.wikidata.org/wiki/Q33755445", "Q33755445")</f>
        <v>0</v>
      </c>
      <c r="G6554" t="s">
        <v>598</v>
      </c>
      <c r="H6554" t="s">
        <v>5359</v>
      </c>
      <c r="I6554" t="s">
        <v>9444</v>
      </c>
      <c r="J6554" t="s">
        <v>11349</v>
      </c>
      <c r="K6554" t="s">
        <v>15750</v>
      </c>
      <c r="L6554">
        <f>HYPERLINK("https://www2.assemblee-nationale.fr/sycomore/fiche/(num_dept)/2127", "2127")</f>
        <v>0</v>
      </c>
      <c r="N6554">
        <f>HYPERLINK("https://www.wikidata.org/wiki/Q16025516", "Q16025516")</f>
        <v>0</v>
      </c>
      <c r="O6554" t="s">
        <v>20013</v>
      </c>
      <c r="Q6554" t="s">
        <v>20810</v>
      </c>
      <c r="R6554" t="s">
        <v>418</v>
      </c>
      <c r="S6554">
        <v>1101</v>
      </c>
    </row>
    <row r="6555" spans="1:19">
      <c r="A6555" t="s">
        <v>28</v>
      </c>
      <c r="B6555" t="s">
        <v>148</v>
      </c>
      <c r="C6555" t="s">
        <v>160</v>
      </c>
      <c r="D6555" t="s">
        <v>289</v>
      </c>
      <c r="E6555" t="s">
        <v>418</v>
      </c>
      <c r="F6555">
        <f>HYPERLINK("https://www.wikidata.org/wiki/Q33755445", "Q33755445")</f>
        <v>0</v>
      </c>
      <c r="G6555" t="s">
        <v>3843</v>
      </c>
      <c r="H6555" t="s">
        <v>8119</v>
      </c>
      <c r="I6555" t="s">
        <v>7419</v>
      </c>
      <c r="J6555" t="s">
        <v>14403</v>
      </c>
      <c r="K6555" t="s">
        <v>18757</v>
      </c>
      <c r="L6555">
        <f>HYPERLINK("https://www2.assemblee-nationale.fr/sycomore/fiche/(num_dept)/6814", "6814")</f>
        <v>0</v>
      </c>
      <c r="N6555">
        <f>HYPERLINK("https://www.wikidata.org/wiki/Q16026500", "Q16026500")</f>
        <v>0</v>
      </c>
      <c r="O6555" t="s">
        <v>20013</v>
      </c>
      <c r="Q6555" t="s">
        <v>20811</v>
      </c>
      <c r="R6555" t="s">
        <v>418</v>
      </c>
      <c r="S6555">
        <v>1024</v>
      </c>
    </row>
    <row r="6556" spans="1:19">
      <c r="A6556" t="s">
        <v>28</v>
      </c>
      <c r="B6556" t="s">
        <v>148</v>
      </c>
      <c r="C6556" t="s">
        <v>160</v>
      </c>
      <c r="D6556" t="s">
        <v>289</v>
      </c>
      <c r="E6556" t="s">
        <v>418</v>
      </c>
      <c r="F6556">
        <f>HYPERLINK("https://www.wikidata.org/wiki/Q33755445", "Q33755445")</f>
        <v>0</v>
      </c>
      <c r="G6556" t="s">
        <v>3844</v>
      </c>
      <c r="H6556" t="s">
        <v>8120</v>
      </c>
      <c r="I6556" t="s">
        <v>10998</v>
      </c>
      <c r="J6556" t="s">
        <v>14404</v>
      </c>
      <c r="L6556">
        <f>HYPERLINK("https://www2.assemblee-nationale.fr/sycomore/fiche/(num_dept)/926", "926")</f>
        <v>0</v>
      </c>
      <c r="N6556">
        <f>HYPERLINK("https://www.wikidata.org/wiki/Q15973809", "Q15973809")</f>
        <v>0</v>
      </c>
      <c r="O6556" t="s">
        <v>19965</v>
      </c>
      <c r="P6556" t="s">
        <v>20420</v>
      </c>
      <c r="Q6556" t="s">
        <v>20812</v>
      </c>
      <c r="R6556" t="s">
        <v>418</v>
      </c>
      <c r="S6556">
        <v>975</v>
      </c>
    </row>
    <row r="6557" spans="1:19">
      <c r="A6557" t="s">
        <v>28</v>
      </c>
      <c r="B6557" t="s">
        <v>148</v>
      </c>
      <c r="C6557" t="s">
        <v>160</v>
      </c>
      <c r="D6557" t="s">
        <v>289</v>
      </c>
      <c r="E6557" t="s">
        <v>418</v>
      </c>
      <c r="F6557">
        <f>HYPERLINK("https://www.wikidata.org/wiki/Q33755445", "Q33755445")</f>
        <v>0</v>
      </c>
      <c r="G6557" t="s">
        <v>3845</v>
      </c>
      <c r="H6557" t="s">
        <v>8121</v>
      </c>
      <c r="I6557" t="s">
        <v>9385</v>
      </c>
      <c r="J6557" t="s">
        <v>14405</v>
      </c>
      <c r="K6557" t="s">
        <v>18590</v>
      </c>
      <c r="L6557">
        <f>HYPERLINK("https://www2.assemblee-nationale.fr/sycomore/fiche/(num_dept)/4056", "4056")</f>
        <v>0</v>
      </c>
      <c r="N6557">
        <f>HYPERLINK("https://www.wikidata.org/wiki/Q16025877", "Q16025877")</f>
        <v>0</v>
      </c>
      <c r="O6557" t="s">
        <v>19988</v>
      </c>
      <c r="Q6557" t="s">
        <v>20813</v>
      </c>
      <c r="R6557" t="s">
        <v>418</v>
      </c>
      <c r="S6557">
        <v>957</v>
      </c>
    </row>
    <row r="6558" spans="1:19">
      <c r="A6558" t="s">
        <v>28</v>
      </c>
      <c r="B6558" t="s">
        <v>148</v>
      </c>
      <c r="C6558" t="s">
        <v>160</v>
      </c>
      <c r="D6558" t="s">
        <v>289</v>
      </c>
      <c r="E6558" t="s">
        <v>418</v>
      </c>
      <c r="F6558">
        <f>HYPERLINK("https://www.wikidata.org/wiki/Q33755445", "Q33755445")</f>
        <v>0</v>
      </c>
      <c r="G6558" t="s">
        <v>3846</v>
      </c>
      <c r="H6558" t="s">
        <v>7225</v>
      </c>
      <c r="I6558" t="s">
        <v>9523</v>
      </c>
      <c r="J6558" t="s">
        <v>14406</v>
      </c>
      <c r="K6558" t="s">
        <v>18758</v>
      </c>
      <c r="L6558">
        <f>HYPERLINK("https://www2.assemblee-nationale.fr/sycomore/fiche/(num_dept)/7192", "7192")</f>
        <v>0</v>
      </c>
      <c r="N6558">
        <f>HYPERLINK("https://www.wikidata.org/wiki/Q8317389", "Q8317389")</f>
        <v>0</v>
      </c>
      <c r="O6558" t="s">
        <v>19999</v>
      </c>
      <c r="P6558" t="s">
        <v>20479</v>
      </c>
      <c r="Q6558" t="s">
        <v>20814</v>
      </c>
      <c r="R6558" t="s">
        <v>418</v>
      </c>
      <c r="S6558">
        <v>947</v>
      </c>
    </row>
    <row r="6559" spans="1:19">
      <c r="A6559" t="s">
        <v>28</v>
      </c>
      <c r="B6559" t="s">
        <v>148</v>
      </c>
      <c r="C6559" t="s">
        <v>160</v>
      </c>
      <c r="D6559" t="s">
        <v>289</v>
      </c>
      <c r="E6559" t="s">
        <v>418</v>
      </c>
      <c r="F6559">
        <f>HYPERLINK("https://www.wikidata.org/wiki/Q33755445", "Q33755445")</f>
        <v>0</v>
      </c>
      <c r="G6559" t="s">
        <v>3847</v>
      </c>
      <c r="H6559" t="s">
        <v>5695</v>
      </c>
      <c r="I6559" t="s">
        <v>10039</v>
      </c>
      <c r="J6559" t="s">
        <v>14407</v>
      </c>
      <c r="K6559" t="s">
        <v>18759</v>
      </c>
      <c r="L6559">
        <f>HYPERLINK("https://www2.assemblee-nationale.fr/sycomore/fiche/(num_dept)/2623", "2623")</f>
        <v>0</v>
      </c>
      <c r="N6559">
        <f>HYPERLINK("https://www.wikidata.org/wiki/Q8308820", "Q8308820")</f>
        <v>0</v>
      </c>
      <c r="O6559" t="s">
        <v>19971</v>
      </c>
      <c r="Q6559" t="s">
        <v>20815</v>
      </c>
      <c r="R6559" t="s">
        <v>418</v>
      </c>
      <c r="S6559">
        <v>940</v>
      </c>
    </row>
    <row r="6560" spans="1:19">
      <c r="A6560" t="s">
        <v>28</v>
      </c>
      <c r="B6560" t="s">
        <v>148</v>
      </c>
      <c r="C6560" t="s">
        <v>160</v>
      </c>
      <c r="D6560" t="s">
        <v>289</v>
      </c>
      <c r="E6560" t="s">
        <v>418</v>
      </c>
      <c r="F6560">
        <f>HYPERLINK("https://www.wikidata.org/wiki/Q33755445", "Q33755445")</f>
        <v>0</v>
      </c>
      <c r="G6560" t="s">
        <v>581</v>
      </c>
      <c r="H6560" t="s">
        <v>5343</v>
      </c>
      <c r="I6560" t="s">
        <v>9431</v>
      </c>
      <c r="J6560" t="s">
        <v>11332</v>
      </c>
      <c r="K6560" t="s">
        <v>15733</v>
      </c>
      <c r="L6560">
        <f>HYPERLINK("https://www2.assemblee-nationale.fr/sycomore/fiche/(num_dept)/1865", "1865")</f>
        <v>0</v>
      </c>
      <c r="N6560">
        <f>HYPERLINK("https://www.wikidata.org/wiki/Q16025465", "Q16025465")</f>
        <v>0</v>
      </c>
      <c r="O6560" t="s">
        <v>20012</v>
      </c>
      <c r="P6560" t="s">
        <v>20409</v>
      </c>
      <c r="Q6560" t="s">
        <v>19195</v>
      </c>
      <c r="R6560" t="s">
        <v>418</v>
      </c>
      <c r="S6560">
        <v>919</v>
      </c>
    </row>
    <row r="6561" spans="1:19">
      <c r="A6561" t="s">
        <v>28</v>
      </c>
      <c r="B6561" t="s">
        <v>148</v>
      </c>
      <c r="C6561" t="s">
        <v>160</v>
      </c>
      <c r="D6561" t="s">
        <v>289</v>
      </c>
      <c r="E6561" t="s">
        <v>418</v>
      </c>
      <c r="F6561">
        <f>HYPERLINK("https://www.wikidata.org/wiki/Q33755445", "Q33755445")</f>
        <v>0</v>
      </c>
      <c r="G6561" t="s">
        <v>1657</v>
      </c>
      <c r="H6561" t="s">
        <v>6340</v>
      </c>
      <c r="I6561" t="s">
        <v>9875</v>
      </c>
      <c r="J6561" t="s">
        <v>12364</v>
      </c>
      <c r="K6561" t="s">
        <v>16771</v>
      </c>
      <c r="L6561">
        <f>HYPERLINK("https://www2.assemblee-nationale.fr/sycomore/fiche/(num_dept)/7602", "7602")</f>
        <v>0</v>
      </c>
      <c r="N6561">
        <f>HYPERLINK("https://www.wikidata.org/wiki/Q2831324", "Q2831324")</f>
        <v>0</v>
      </c>
      <c r="O6561" t="s">
        <v>19985</v>
      </c>
      <c r="Q6561" t="s">
        <v>12608</v>
      </c>
      <c r="R6561" t="s">
        <v>418</v>
      </c>
      <c r="S6561">
        <v>912</v>
      </c>
    </row>
    <row r="6562" spans="1:19">
      <c r="A6562" t="s">
        <v>28</v>
      </c>
      <c r="B6562" t="s">
        <v>148</v>
      </c>
      <c r="C6562" t="s">
        <v>160</v>
      </c>
      <c r="D6562" t="s">
        <v>289</v>
      </c>
      <c r="E6562" t="s">
        <v>418</v>
      </c>
      <c r="F6562">
        <f>HYPERLINK("https://www.wikidata.org/wiki/Q33755445", "Q33755445")</f>
        <v>0</v>
      </c>
      <c r="G6562" t="s">
        <v>3848</v>
      </c>
      <c r="H6562" t="s">
        <v>8122</v>
      </c>
      <c r="I6562" t="s">
        <v>10931</v>
      </c>
      <c r="J6562" t="s">
        <v>14408</v>
      </c>
      <c r="K6562" t="s">
        <v>18760</v>
      </c>
      <c r="L6562">
        <f>HYPERLINK("https://www2.assemblee-nationale.fr/sycomore/fiche/(num_dept)/6825", "6825")</f>
        <v>0</v>
      </c>
      <c r="N6562">
        <f>HYPERLINK("https://www.wikidata.org/wiki/Q8308227", "Q8308227")</f>
        <v>0</v>
      </c>
      <c r="O6562" t="s">
        <v>20033</v>
      </c>
      <c r="P6562" t="s">
        <v>20479</v>
      </c>
      <c r="Q6562" t="s">
        <v>18607</v>
      </c>
      <c r="R6562" t="s">
        <v>418</v>
      </c>
      <c r="S6562">
        <v>905</v>
      </c>
    </row>
    <row r="6563" spans="1:19">
      <c r="A6563" t="s">
        <v>28</v>
      </c>
      <c r="B6563" t="s">
        <v>148</v>
      </c>
      <c r="C6563" t="s">
        <v>160</v>
      </c>
      <c r="D6563" t="s">
        <v>289</v>
      </c>
      <c r="E6563" t="s">
        <v>418</v>
      </c>
      <c r="F6563">
        <f>HYPERLINK("https://www.wikidata.org/wiki/Q33755445", "Q33755445")</f>
        <v>0</v>
      </c>
      <c r="G6563" t="s">
        <v>3849</v>
      </c>
      <c r="H6563" t="s">
        <v>8123</v>
      </c>
      <c r="I6563" t="s">
        <v>10999</v>
      </c>
      <c r="J6563" t="s">
        <v>14409</v>
      </c>
      <c r="K6563" t="s">
        <v>18761</v>
      </c>
      <c r="L6563">
        <f>HYPERLINK("https://www2.assemblee-nationale.fr/sycomore/fiche/(num_dept)/1103", "1103")</f>
        <v>0</v>
      </c>
      <c r="N6563">
        <f>HYPERLINK("https://www.wikidata.org/wiki/Q14240790", "Q14240790")</f>
        <v>0</v>
      </c>
      <c r="O6563" t="s">
        <v>20001</v>
      </c>
      <c r="P6563" t="s">
        <v>20477</v>
      </c>
      <c r="Q6563" t="s">
        <v>18672</v>
      </c>
      <c r="R6563" t="s">
        <v>418</v>
      </c>
      <c r="S6563">
        <v>870</v>
      </c>
    </row>
    <row r="6564" spans="1:19">
      <c r="A6564" t="s">
        <v>28</v>
      </c>
      <c r="B6564" t="s">
        <v>148</v>
      </c>
      <c r="C6564" t="s">
        <v>160</v>
      </c>
      <c r="D6564" t="s">
        <v>289</v>
      </c>
      <c r="E6564" t="s">
        <v>418</v>
      </c>
      <c r="F6564">
        <f>HYPERLINK("https://www.wikidata.org/wiki/Q33755445", "Q33755445")</f>
        <v>0</v>
      </c>
      <c r="G6564" t="s">
        <v>709</v>
      </c>
      <c r="H6564" t="s">
        <v>5467</v>
      </c>
      <c r="I6564" t="s">
        <v>9457</v>
      </c>
      <c r="J6564" t="s">
        <v>11267</v>
      </c>
      <c r="K6564" t="s">
        <v>15860</v>
      </c>
      <c r="L6564">
        <f>HYPERLINK("https://www2.assemblee-nationale.fr/sycomore/fiche/(num_dept)/4337", "4337")</f>
        <v>0</v>
      </c>
      <c r="N6564">
        <f>HYPERLINK("https://www.wikidata.org/wiki/Q3131419", "Q3131419")</f>
        <v>0</v>
      </c>
      <c r="O6564" t="s">
        <v>20009</v>
      </c>
      <c r="Q6564" t="s">
        <v>20816</v>
      </c>
      <c r="R6564" t="s">
        <v>418</v>
      </c>
      <c r="S6564">
        <v>866</v>
      </c>
    </row>
    <row r="6565" spans="1:19">
      <c r="A6565" t="s">
        <v>28</v>
      </c>
      <c r="B6565" t="s">
        <v>148</v>
      </c>
      <c r="C6565" t="s">
        <v>160</v>
      </c>
      <c r="D6565" t="s">
        <v>289</v>
      </c>
      <c r="E6565" t="s">
        <v>418</v>
      </c>
      <c r="F6565">
        <f>HYPERLINK("https://www.wikidata.org/wiki/Q33755445", "Q33755445")</f>
        <v>0</v>
      </c>
      <c r="G6565" t="s">
        <v>3850</v>
      </c>
      <c r="H6565" t="s">
        <v>8124</v>
      </c>
      <c r="I6565" t="s">
        <v>9457</v>
      </c>
      <c r="J6565" t="s">
        <v>11782</v>
      </c>
      <c r="K6565" t="s">
        <v>18762</v>
      </c>
      <c r="L6565">
        <f>HYPERLINK("https://www2.assemblee-nationale.fr/sycomore/fiche/(num_dept)/3792", "3792")</f>
        <v>0</v>
      </c>
      <c r="N6565">
        <f>HYPERLINK("https://www.wikidata.org/wiki/Q16025841", "Q16025841")</f>
        <v>0</v>
      </c>
      <c r="O6565" t="s">
        <v>20012</v>
      </c>
      <c r="P6565" t="s">
        <v>20471</v>
      </c>
      <c r="Q6565" t="s">
        <v>20817</v>
      </c>
      <c r="R6565" t="s">
        <v>418</v>
      </c>
      <c r="S6565">
        <v>847</v>
      </c>
    </row>
    <row r="6566" spans="1:19">
      <c r="A6566" t="s">
        <v>28</v>
      </c>
      <c r="B6566" t="s">
        <v>148</v>
      </c>
      <c r="C6566" t="s">
        <v>160</v>
      </c>
      <c r="D6566" t="s">
        <v>289</v>
      </c>
      <c r="E6566" t="s">
        <v>418</v>
      </c>
      <c r="F6566">
        <f>HYPERLINK("https://www.wikidata.org/wiki/Q33755445", "Q33755445")</f>
        <v>0</v>
      </c>
      <c r="G6566" t="s">
        <v>3851</v>
      </c>
      <c r="H6566" t="s">
        <v>8125</v>
      </c>
      <c r="I6566" t="s">
        <v>9449</v>
      </c>
      <c r="J6566" t="s">
        <v>14410</v>
      </c>
      <c r="K6566" t="s">
        <v>18763</v>
      </c>
      <c r="L6566">
        <f>HYPERLINK("https://www2.assemblee-nationale.fr/sycomore/fiche/(num_dept)/2803", "2803")</f>
        <v>0</v>
      </c>
      <c r="N6566">
        <f>HYPERLINK("https://www.wikidata.org/wiki/Q16025663", "Q16025663")</f>
        <v>0</v>
      </c>
      <c r="O6566" t="s">
        <v>19982</v>
      </c>
      <c r="P6566" t="s">
        <v>20479</v>
      </c>
      <c r="Q6566" t="s">
        <v>20818</v>
      </c>
      <c r="R6566" t="s">
        <v>418</v>
      </c>
      <c r="S6566">
        <v>842</v>
      </c>
    </row>
    <row r="6567" spans="1:19">
      <c r="A6567" t="s">
        <v>28</v>
      </c>
      <c r="B6567" t="s">
        <v>148</v>
      </c>
      <c r="C6567" t="s">
        <v>160</v>
      </c>
      <c r="D6567" t="s">
        <v>289</v>
      </c>
      <c r="E6567" t="s">
        <v>418</v>
      </c>
      <c r="F6567">
        <f>HYPERLINK("https://www.wikidata.org/wiki/Q33755445", "Q33755445")</f>
        <v>0</v>
      </c>
      <c r="G6567" t="s">
        <v>3852</v>
      </c>
      <c r="H6567" t="s">
        <v>8126</v>
      </c>
      <c r="I6567" t="s">
        <v>11000</v>
      </c>
      <c r="J6567" t="s">
        <v>14411</v>
      </c>
      <c r="K6567" t="s">
        <v>18764</v>
      </c>
      <c r="L6567">
        <f>HYPERLINK("https://www2.assemblee-nationale.fr/sycomore/fiche/(num_dept)/5430", "5430")</f>
        <v>0</v>
      </c>
      <c r="N6567">
        <f>HYPERLINK("https://www.wikidata.org/wiki/Q3260940", "Q3260940")</f>
        <v>0</v>
      </c>
      <c r="O6567" t="s">
        <v>20015</v>
      </c>
      <c r="P6567" t="s">
        <v>20471</v>
      </c>
      <c r="Q6567" t="s">
        <v>19535</v>
      </c>
      <c r="R6567" t="s">
        <v>418</v>
      </c>
      <c r="S6567">
        <v>828</v>
      </c>
    </row>
    <row r="6568" spans="1:19">
      <c r="A6568" t="s">
        <v>28</v>
      </c>
      <c r="B6568" t="s">
        <v>148</v>
      </c>
      <c r="C6568" t="s">
        <v>160</v>
      </c>
      <c r="D6568" t="s">
        <v>289</v>
      </c>
      <c r="E6568" t="s">
        <v>418</v>
      </c>
      <c r="F6568">
        <f>HYPERLINK("https://www.wikidata.org/wiki/Q33755445", "Q33755445")</f>
        <v>0</v>
      </c>
      <c r="G6568" t="s">
        <v>3853</v>
      </c>
      <c r="H6568" t="s">
        <v>8127</v>
      </c>
      <c r="I6568" t="s">
        <v>9447</v>
      </c>
      <c r="J6568" t="s">
        <v>14412</v>
      </c>
      <c r="K6568" t="s">
        <v>18765</v>
      </c>
      <c r="L6568">
        <f>HYPERLINK("https://www2.assemblee-nationale.fr/sycomore/fiche/(num_dept)/6682", "6682")</f>
        <v>0</v>
      </c>
      <c r="N6568">
        <f>HYPERLINK("https://www.wikidata.org/wiki/Q13091118", "Q13091118")</f>
        <v>0</v>
      </c>
      <c r="O6568" t="s">
        <v>19969</v>
      </c>
      <c r="P6568" t="s">
        <v>20501</v>
      </c>
      <c r="Q6568" t="s">
        <v>19535</v>
      </c>
      <c r="R6568" t="s">
        <v>418</v>
      </c>
      <c r="S6568">
        <v>828</v>
      </c>
    </row>
    <row r="6569" spans="1:19">
      <c r="A6569" t="s">
        <v>28</v>
      </c>
      <c r="B6569" t="s">
        <v>148</v>
      </c>
      <c r="C6569" t="s">
        <v>160</v>
      </c>
      <c r="D6569" t="s">
        <v>289</v>
      </c>
      <c r="E6569" t="s">
        <v>418</v>
      </c>
      <c r="F6569">
        <f>HYPERLINK("https://www.wikidata.org/wiki/Q33755445", "Q33755445")</f>
        <v>0</v>
      </c>
      <c r="G6569" t="s">
        <v>3854</v>
      </c>
      <c r="H6569" t="s">
        <v>8128</v>
      </c>
      <c r="I6569" t="s">
        <v>11001</v>
      </c>
      <c r="J6569" t="s">
        <v>14413</v>
      </c>
      <c r="K6569" t="s">
        <v>18766</v>
      </c>
      <c r="L6569">
        <f>HYPERLINK("https://www2.assemblee-nationale.fr/sycomore/fiche/(num_dept)/6311", "6311")</f>
        <v>0</v>
      </c>
      <c r="N6569">
        <f>HYPERLINK("https://www.wikidata.org/wiki/Q13080937", "Q13080937")</f>
        <v>0</v>
      </c>
      <c r="O6569" t="s">
        <v>19969</v>
      </c>
      <c r="Q6569" t="s">
        <v>13057</v>
      </c>
      <c r="R6569" t="s">
        <v>18766</v>
      </c>
      <c r="S6569">
        <v>248</v>
      </c>
    </row>
    <row r="6570" spans="1:19">
      <c r="A6570" t="s">
        <v>28</v>
      </c>
      <c r="B6570" t="s">
        <v>148</v>
      </c>
      <c r="C6570" t="s">
        <v>160</v>
      </c>
      <c r="D6570" t="s">
        <v>289</v>
      </c>
      <c r="E6570" t="s">
        <v>418</v>
      </c>
      <c r="F6570">
        <f>HYPERLINK("https://www.wikidata.org/wiki/Q33755445", "Q33755445")</f>
        <v>0</v>
      </c>
      <c r="G6570" t="s">
        <v>3855</v>
      </c>
      <c r="H6570" t="s">
        <v>6075</v>
      </c>
      <c r="I6570" t="s">
        <v>9449</v>
      </c>
      <c r="J6570" t="s">
        <v>14414</v>
      </c>
      <c r="K6570" t="s">
        <v>18767</v>
      </c>
      <c r="L6570">
        <f>HYPERLINK("https://www2.assemblee-nationale.fr/sycomore/fiche/(num_dept)/425", "425")</f>
        <v>0</v>
      </c>
      <c r="N6570">
        <f>HYPERLINK("https://www.wikidata.org/wiki/Q8307049", "Q8307049")</f>
        <v>0</v>
      </c>
      <c r="O6570" t="s">
        <v>19980</v>
      </c>
      <c r="Q6570" t="s">
        <v>20819</v>
      </c>
      <c r="R6570" t="s">
        <v>418</v>
      </c>
      <c r="S6570">
        <v>730</v>
      </c>
    </row>
    <row r="6571" spans="1:19">
      <c r="A6571" t="s">
        <v>28</v>
      </c>
      <c r="B6571" t="s">
        <v>148</v>
      </c>
      <c r="C6571" t="s">
        <v>160</v>
      </c>
      <c r="D6571" t="s">
        <v>289</v>
      </c>
      <c r="E6571" t="s">
        <v>418</v>
      </c>
      <c r="F6571">
        <f>HYPERLINK("https://www.wikidata.org/wiki/Q33755445", "Q33755445")</f>
        <v>0</v>
      </c>
      <c r="G6571" t="s">
        <v>646</v>
      </c>
      <c r="H6571" t="s">
        <v>5405</v>
      </c>
      <c r="I6571" t="s">
        <v>9467</v>
      </c>
      <c r="J6571" t="s">
        <v>11396</v>
      </c>
      <c r="K6571" t="s">
        <v>15798</v>
      </c>
      <c r="L6571">
        <f>HYPERLINK("https://www2.assemblee-nationale.fr/sycomore/fiche/(num_dept)/3039", "3039")</f>
        <v>0</v>
      </c>
      <c r="N6571">
        <f>HYPERLINK("https://www.wikidata.org/wiki/Q3014859", "Q3014859")</f>
        <v>0</v>
      </c>
      <c r="O6571" t="s">
        <v>19978</v>
      </c>
      <c r="Q6571" t="s">
        <v>20819</v>
      </c>
      <c r="R6571" t="s">
        <v>418</v>
      </c>
      <c r="S6571">
        <v>730</v>
      </c>
    </row>
    <row r="6572" spans="1:19">
      <c r="A6572" t="s">
        <v>28</v>
      </c>
      <c r="B6572" t="s">
        <v>148</v>
      </c>
      <c r="C6572" t="s">
        <v>160</v>
      </c>
      <c r="D6572" t="s">
        <v>289</v>
      </c>
      <c r="E6572" t="s">
        <v>418</v>
      </c>
      <c r="F6572">
        <f>HYPERLINK("https://www.wikidata.org/wiki/Q33755445", "Q33755445")</f>
        <v>0</v>
      </c>
      <c r="G6572" t="s">
        <v>2531</v>
      </c>
      <c r="H6572" t="s">
        <v>7091</v>
      </c>
      <c r="I6572" t="s">
        <v>10270</v>
      </c>
      <c r="J6572" t="s">
        <v>13175</v>
      </c>
      <c r="K6572" t="s">
        <v>17581</v>
      </c>
      <c r="L6572">
        <f>HYPERLINK("https://www2.assemblee-nationale.fr/sycomore/fiche/(num_dept)/1494", "1494")</f>
        <v>0</v>
      </c>
      <c r="M6572">
        <f>HYPERLINK("https://www.senat.fr/senateur-3eme-republique/cassou_jean1049r3.html", "cassou_jean1049r3")</f>
        <v>0</v>
      </c>
      <c r="N6572">
        <f>HYPERLINK("https://www.wikidata.org/wiki/Q3171155", "Q3171155")</f>
        <v>0</v>
      </c>
      <c r="O6572" t="s">
        <v>19970</v>
      </c>
      <c r="Q6572" t="s">
        <v>19278</v>
      </c>
      <c r="R6572" t="s">
        <v>418</v>
      </c>
      <c r="S6572">
        <v>723</v>
      </c>
    </row>
    <row r="6573" spans="1:19">
      <c r="A6573" t="s">
        <v>28</v>
      </c>
      <c r="B6573" t="s">
        <v>148</v>
      </c>
      <c r="C6573" t="s">
        <v>160</v>
      </c>
      <c r="D6573" t="s">
        <v>289</v>
      </c>
      <c r="E6573" t="s">
        <v>418</v>
      </c>
      <c r="F6573">
        <f>HYPERLINK("https://www.wikidata.org/wiki/Q33755445", "Q33755445")</f>
        <v>0</v>
      </c>
      <c r="G6573" t="s">
        <v>3856</v>
      </c>
      <c r="H6573" t="s">
        <v>6753</v>
      </c>
      <c r="I6573" t="s">
        <v>11002</v>
      </c>
      <c r="J6573" t="s">
        <v>14415</v>
      </c>
      <c r="K6573" t="s">
        <v>18768</v>
      </c>
      <c r="L6573">
        <f>HYPERLINK("https://www2.assemblee-nationale.fr/sycomore/fiche/(num_dept)/5815", "5815")</f>
        <v>0</v>
      </c>
      <c r="N6573">
        <f>HYPERLINK("https://www.wikidata.org/wiki/Q16026317", "Q16026317")</f>
        <v>0</v>
      </c>
      <c r="O6573" t="s">
        <v>19991</v>
      </c>
      <c r="Q6573" t="s">
        <v>19278</v>
      </c>
      <c r="R6573" t="s">
        <v>418</v>
      </c>
      <c r="S6573">
        <v>723</v>
      </c>
    </row>
    <row r="6574" spans="1:19">
      <c r="A6574" t="s">
        <v>28</v>
      </c>
      <c r="B6574" t="s">
        <v>148</v>
      </c>
      <c r="C6574" t="s">
        <v>160</v>
      </c>
      <c r="D6574" t="s">
        <v>289</v>
      </c>
      <c r="E6574" t="s">
        <v>418</v>
      </c>
      <c r="F6574">
        <f>HYPERLINK("https://www.wikidata.org/wiki/Q33755445", "Q33755445")</f>
        <v>0</v>
      </c>
      <c r="G6574" t="s">
        <v>3857</v>
      </c>
      <c r="H6574" t="s">
        <v>5610</v>
      </c>
      <c r="I6574" t="s">
        <v>9449</v>
      </c>
      <c r="J6574" t="s">
        <v>14416</v>
      </c>
      <c r="K6574" t="s">
        <v>18769</v>
      </c>
      <c r="L6574">
        <f>HYPERLINK("https://www2.assemblee-nationale.fr/sycomore/fiche/(num_dept)/7725", "7725")</f>
        <v>0</v>
      </c>
      <c r="N6574">
        <f>HYPERLINK("https://www.wikidata.org/wiki/Q3188725", "Q3188725")</f>
        <v>0</v>
      </c>
      <c r="O6574" t="s">
        <v>19970</v>
      </c>
      <c r="Q6574" t="s">
        <v>19278</v>
      </c>
      <c r="R6574" t="s">
        <v>418</v>
      </c>
      <c r="S6574">
        <v>723</v>
      </c>
    </row>
    <row r="6575" spans="1:19">
      <c r="A6575" t="s">
        <v>28</v>
      </c>
      <c r="B6575" t="s">
        <v>148</v>
      </c>
      <c r="C6575" t="s">
        <v>160</v>
      </c>
      <c r="D6575" t="s">
        <v>289</v>
      </c>
      <c r="E6575" t="s">
        <v>418</v>
      </c>
      <c r="F6575">
        <f>HYPERLINK("https://www.wikidata.org/wiki/Q33755445", "Q33755445")</f>
        <v>0</v>
      </c>
      <c r="G6575" t="s">
        <v>3858</v>
      </c>
      <c r="H6575" t="s">
        <v>7908</v>
      </c>
      <c r="I6575" t="s">
        <v>7911</v>
      </c>
      <c r="J6575" t="s">
        <v>14417</v>
      </c>
      <c r="K6575" t="s">
        <v>18770</v>
      </c>
      <c r="L6575">
        <f>HYPERLINK("https://www2.assemblee-nationale.fr/sycomore/fiche/(num_dept)/2480", "2480")</f>
        <v>0</v>
      </c>
      <c r="N6575">
        <f>HYPERLINK("https://www.wikidata.org/wiki/Q1489558", "Q1489558")</f>
        <v>0</v>
      </c>
      <c r="O6575" t="s">
        <v>19969</v>
      </c>
      <c r="Q6575" t="s">
        <v>20820</v>
      </c>
      <c r="R6575" t="s">
        <v>418</v>
      </c>
      <c r="S6575">
        <v>709</v>
      </c>
    </row>
    <row r="6576" spans="1:19">
      <c r="A6576" t="s">
        <v>28</v>
      </c>
      <c r="B6576" t="s">
        <v>148</v>
      </c>
      <c r="C6576" t="s">
        <v>160</v>
      </c>
      <c r="D6576" t="s">
        <v>289</v>
      </c>
      <c r="E6576" t="s">
        <v>418</v>
      </c>
      <c r="F6576">
        <f>HYPERLINK("https://www.wikidata.org/wiki/Q33755445", "Q33755445")</f>
        <v>0</v>
      </c>
      <c r="G6576" t="s">
        <v>3859</v>
      </c>
      <c r="H6576" t="s">
        <v>8129</v>
      </c>
      <c r="I6576" t="s">
        <v>10677</v>
      </c>
      <c r="J6576" t="s">
        <v>14418</v>
      </c>
      <c r="K6576" t="s">
        <v>18771</v>
      </c>
      <c r="L6576">
        <f>HYPERLINK("https://www2.assemblee-nationale.fr/sycomore/fiche/(num_dept)/726", "726")</f>
        <v>0</v>
      </c>
      <c r="N6576">
        <f>HYPERLINK("https://www.wikidata.org/wiki/Q15973671", "Q15973671")</f>
        <v>0</v>
      </c>
      <c r="O6576" t="s">
        <v>19988</v>
      </c>
      <c r="P6576" t="s">
        <v>20479</v>
      </c>
      <c r="Q6576" t="s">
        <v>20821</v>
      </c>
      <c r="R6576" t="s">
        <v>18771</v>
      </c>
      <c r="S6576">
        <v>167</v>
      </c>
    </row>
    <row r="6577" spans="1:19">
      <c r="A6577" t="s">
        <v>28</v>
      </c>
      <c r="B6577" t="s">
        <v>148</v>
      </c>
      <c r="C6577" t="s">
        <v>160</v>
      </c>
      <c r="D6577" t="s">
        <v>289</v>
      </c>
      <c r="E6577" t="s">
        <v>418</v>
      </c>
      <c r="F6577">
        <f>HYPERLINK("https://www.wikidata.org/wiki/Q33755445", "Q33755445")</f>
        <v>0</v>
      </c>
      <c r="G6577" t="s">
        <v>1035</v>
      </c>
      <c r="H6577" t="s">
        <v>5784</v>
      </c>
      <c r="I6577" t="s">
        <v>6860</v>
      </c>
      <c r="J6577" t="s">
        <v>11772</v>
      </c>
      <c r="K6577" t="s">
        <v>16173</v>
      </c>
      <c r="L6577">
        <f>HYPERLINK("https://www2.assemblee-nationale.fr/sycomore/fiche/(num_dept)/6294", "6294")</f>
        <v>0</v>
      </c>
      <c r="N6577">
        <f>HYPERLINK("https://www.wikidata.org/wiki/Q3386933", "Q3386933")</f>
        <v>0</v>
      </c>
      <c r="O6577" t="s">
        <v>20010</v>
      </c>
      <c r="Q6577" t="s">
        <v>20821</v>
      </c>
      <c r="R6577" t="s">
        <v>418</v>
      </c>
      <c r="S6577">
        <v>702</v>
      </c>
    </row>
    <row r="6578" spans="1:19">
      <c r="A6578" t="s">
        <v>28</v>
      </c>
      <c r="B6578" t="s">
        <v>148</v>
      </c>
      <c r="C6578" t="s">
        <v>160</v>
      </c>
      <c r="D6578" t="s">
        <v>289</v>
      </c>
      <c r="E6578" t="s">
        <v>418</v>
      </c>
      <c r="F6578">
        <f>HYPERLINK("https://www.wikidata.org/wiki/Q33755445", "Q33755445")</f>
        <v>0</v>
      </c>
      <c r="G6578" t="s">
        <v>3860</v>
      </c>
      <c r="H6578" t="s">
        <v>8130</v>
      </c>
      <c r="I6578" t="s">
        <v>11003</v>
      </c>
      <c r="J6578" t="s">
        <v>14419</v>
      </c>
      <c r="K6578" t="s">
        <v>18772</v>
      </c>
      <c r="L6578">
        <f>HYPERLINK("https://www2.assemblee-nationale.fr/sycomore/fiche/(num_dept)/7439", "7439")</f>
        <v>0</v>
      </c>
      <c r="M6578">
        <f>HYPERLINK("https://www.senat.fr/senateur-3eme-republique/vidal_de_saint_urbain_gabriel0294r3.html", "vidal_de_saint_urbain_gabriel0294r3")</f>
        <v>0</v>
      </c>
      <c r="N6578">
        <f>HYPERLINK("https://www.wikidata.org/wiki/Q3093994", "Q3093994")</f>
        <v>0</v>
      </c>
      <c r="O6578" t="s">
        <v>19967</v>
      </c>
      <c r="Q6578" t="s">
        <v>20822</v>
      </c>
      <c r="R6578" t="s">
        <v>418</v>
      </c>
      <c r="S6578">
        <v>597</v>
      </c>
    </row>
    <row r="6579" spans="1:19">
      <c r="A6579" t="s">
        <v>28</v>
      </c>
      <c r="B6579" t="s">
        <v>148</v>
      </c>
      <c r="C6579" t="s">
        <v>160</v>
      </c>
      <c r="D6579" t="s">
        <v>289</v>
      </c>
      <c r="E6579" t="s">
        <v>418</v>
      </c>
      <c r="F6579">
        <f>HYPERLINK("https://www.wikidata.org/wiki/Q33755445", "Q33755445")</f>
        <v>0</v>
      </c>
      <c r="G6579" t="s">
        <v>2501</v>
      </c>
      <c r="H6579" t="s">
        <v>7071</v>
      </c>
      <c r="I6579" t="s">
        <v>10249</v>
      </c>
      <c r="J6579" t="s">
        <v>13145</v>
      </c>
      <c r="K6579" t="s">
        <v>17553</v>
      </c>
      <c r="L6579">
        <f>HYPERLINK("https://www2.assemblee-nationale.fr/sycomore/fiche/(num_dept)/803", "803")</f>
        <v>0</v>
      </c>
      <c r="N6579">
        <f>HYPERLINK("https://www.wikidata.org/wiki/Q3131443", "Q3131443")</f>
        <v>0</v>
      </c>
      <c r="O6579" t="s">
        <v>20023</v>
      </c>
      <c r="Q6579" t="s">
        <v>20823</v>
      </c>
      <c r="R6579" t="s">
        <v>418</v>
      </c>
      <c r="S6579">
        <v>569</v>
      </c>
    </row>
    <row r="6580" spans="1:19">
      <c r="A6580" t="s">
        <v>28</v>
      </c>
      <c r="B6580" t="s">
        <v>148</v>
      </c>
      <c r="C6580" t="s">
        <v>160</v>
      </c>
      <c r="D6580" t="s">
        <v>289</v>
      </c>
      <c r="E6580" t="s">
        <v>418</v>
      </c>
      <c r="F6580">
        <f>HYPERLINK("https://www.wikidata.org/wiki/Q33755445", "Q33755445")</f>
        <v>0</v>
      </c>
      <c r="G6580" t="s">
        <v>3861</v>
      </c>
      <c r="H6580" t="s">
        <v>8131</v>
      </c>
      <c r="I6580" t="s">
        <v>9552</v>
      </c>
      <c r="J6580" t="s">
        <v>14420</v>
      </c>
      <c r="K6580" t="s">
        <v>18773</v>
      </c>
      <c r="L6580">
        <f>HYPERLINK("https://www2.assemblee-nationale.fr/sycomore/fiche/(num_dept)/2975", "2975")</f>
        <v>0</v>
      </c>
      <c r="N6580">
        <f>HYPERLINK("https://www.wikidata.org/wiki/Q16025694", "Q16025694")</f>
        <v>0</v>
      </c>
      <c r="O6580" t="s">
        <v>19987</v>
      </c>
      <c r="Q6580" t="s">
        <v>18773</v>
      </c>
      <c r="R6580" t="s">
        <v>18773</v>
      </c>
      <c r="S6580">
        <v>0</v>
      </c>
    </row>
    <row r="6581" spans="1:19">
      <c r="A6581" t="s">
        <v>28</v>
      </c>
      <c r="B6581" t="s">
        <v>148</v>
      </c>
      <c r="C6581" t="s">
        <v>160</v>
      </c>
      <c r="D6581" t="s">
        <v>289</v>
      </c>
      <c r="E6581" t="s">
        <v>418</v>
      </c>
      <c r="F6581">
        <f>HYPERLINK("https://www.wikidata.org/wiki/Q33755445", "Q33755445")</f>
        <v>0</v>
      </c>
      <c r="G6581" t="s">
        <v>3862</v>
      </c>
      <c r="H6581" t="s">
        <v>8132</v>
      </c>
      <c r="I6581" t="s">
        <v>9401</v>
      </c>
      <c r="J6581" t="s">
        <v>14421</v>
      </c>
      <c r="K6581" t="s">
        <v>18774</v>
      </c>
      <c r="L6581">
        <f>HYPERLINK("https://www2.assemblee-nationale.fr/sycomore/fiche/(num_dept)/3668", "3668")</f>
        <v>0</v>
      </c>
      <c r="N6581">
        <f>HYPERLINK("https://www.wikidata.org/wiki/Q3074087", "Q3074087")</f>
        <v>0</v>
      </c>
      <c r="O6581" t="s">
        <v>20013</v>
      </c>
      <c r="Q6581" t="s">
        <v>20824</v>
      </c>
      <c r="R6581" t="s">
        <v>418</v>
      </c>
      <c r="S6581">
        <v>534</v>
      </c>
    </row>
    <row r="6582" spans="1:19">
      <c r="A6582" t="s">
        <v>28</v>
      </c>
      <c r="B6582" t="s">
        <v>148</v>
      </c>
      <c r="C6582" t="s">
        <v>160</v>
      </c>
      <c r="D6582" t="s">
        <v>289</v>
      </c>
      <c r="E6582" t="s">
        <v>418</v>
      </c>
      <c r="F6582">
        <f>HYPERLINK("https://www.wikidata.org/wiki/Q33755445", "Q33755445")</f>
        <v>0</v>
      </c>
      <c r="G6582" t="s">
        <v>3863</v>
      </c>
      <c r="H6582" t="s">
        <v>8133</v>
      </c>
      <c r="I6582" t="s">
        <v>9455</v>
      </c>
      <c r="J6582" t="s">
        <v>14422</v>
      </c>
      <c r="K6582" t="s">
        <v>18775</v>
      </c>
      <c r="L6582">
        <f>HYPERLINK("https://www2.assemblee-nationale.fr/sycomore/fiche/(num_dept)/1969", "1969")</f>
        <v>0</v>
      </c>
      <c r="M6582">
        <f>HYPERLINK("https://www.senat.fr/senateur-3eme-republique/cornet_lucien1850r3.html", "cornet_lucien1850r3")</f>
        <v>0</v>
      </c>
      <c r="N6582">
        <f>HYPERLINK("https://www.wikidata.org/wiki/Q3265439", "Q3265439")</f>
        <v>0</v>
      </c>
      <c r="O6582" t="s">
        <v>20034</v>
      </c>
      <c r="P6582" t="s">
        <v>20477</v>
      </c>
      <c r="Q6582" t="s">
        <v>17648</v>
      </c>
      <c r="R6582" t="s">
        <v>418</v>
      </c>
      <c r="S6582">
        <v>527</v>
      </c>
    </row>
    <row r="6583" spans="1:19">
      <c r="A6583" t="s">
        <v>28</v>
      </c>
      <c r="B6583" t="s">
        <v>148</v>
      </c>
      <c r="C6583" t="s">
        <v>160</v>
      </c>
      <c r="D6583" t="s">
        <v>289</v>
      </c>
      <c r="E6583" t="s">
        <v>418</v>
      </c>
      <c r="F6583">
        <f>HYPERLINK("https://www.wikidata.org/wiki/Q33755445", "Q33755445")</f>
        <v>0</v>
      </c>
      <c r="G6583" t="s">
        <v>3864</v>
      </c>
      <c r="H6583" t="s">
        <v>8134</v>
      </c>
      <c r="I6583" t="s">
        <v>7265</v>
      </c>
      <c r="J6583" t="s">
        <v>14423</v>
      </c>
      <c r="K6583" t="s">
        <v>18776</v>
      </c>
      <c r="L6583">
        <f>HYPERLINK("https://www2.assemblee-nationale.fr/sycomore/fiche/(num_dept)/3573", "3573")</f>
        <v>0</v>
      </c>
      <c r="N6583">
        <f>HYPERLINK("https://www.wikidata.org/wiki/Q979149", "Q979149")</f>
        <v>0</v>
      </c>
      <c r="O6583" t="s">
        <v>19973</v>
      </c>
      <c r="P6583" t="s">
        <v>20401</v>
      </c>
      <c r="Q6583" t="s">
        <v>17648</v>
      </c>
      <c r="R6583" t="s">
        <v>418</v>
      </c>
      <c r="S6583">
        <v>527</v>
      </c>
    </row>
    <row r="6584" spans="1:19">
      <c r="A6584" t="s">
        <v>28</v>
      </c>
      <c r="B6584" t="s">
        <v>148</v>
      </c>
      <c r="C6584" t="s">
        <v>160</v>
      </c>
      <c r="D6584" t="s">
        <v>289</v>
      </c>
      <c r="E6584" t="s">
        <v>418</v>
      </c>
      <c r="F6584">
        <f>HYPERLINK("https://www.wikidata.org/wiki/Q33755445", "Q33755445")</f>
        <v>0</v>
      </c>
      <c r="G6584" t="s">
        <v>3865</v>
      </c>
      <c r="H6584" t="s">
        <v>7295</v>
      </c>
      <c r="I6584" t="s">
        <v>9553</v>
      </c>
      <c r="J6584" t="s">
        <v>14424</v>
      </c>
      <c r="K6584" t="s">
        <v>18777</v>
      </c>
      <c r="L6584">
        <f>HYPERLINK("https://www2.assemblee-nationale.fr/sycomore/fiche/(num_dept)/3440", "3440")</f>
        <v>0</v>
      </c>
      <c r="N6584">
        <f>HYPERLINK("https://www.wikidata.org/wiki/Q13077222", "Q13077222")</f>
        <v>0</v>
      </c>
      <c r="O6584" t="s">
        <v>19969</v>
      </c>
      <c r="Q6584" t="s">
        <v>19200</v>
      </c>
      <c r="R6584" t="s">
        <v>418</v>
      </c>
      <c r="S6584">
        <v>519</v>
      </c>
    </row>
    <row r="6585" spans="1:19">
      <c r="A6585" t="s">
        <v>28</v>
      </c>
      <c r="B6585" t="s">
        <v>148</v>
      </c>
      <c r="C6585" t="s">
        <v>160</v>
      </c>
      <c r="D6585" t="s">
        <v>289</v>
      </c>
      <c r="E6585" t="s">
        <v>418</v>
      </c>
      <c r="F6585">
        <f>HYPERLINK("https://www.wikidata.org/wiki/Q33755445", "Q33755445")</f>
        <v>0</v>
      </c>
      <c r="G6585" t="s">
        <v>3866</v>
      </c>
      <c r="H6585" t="s">
        <v>8135</v>
      </c>
      <c r="I6585" t="s">
        <v>11004</v>
      </c>
      <c r="J6585" t="s">
        <v>14425</v>
      </c>
      <c r="K6585" t="s">
        <v>18778</v>
      </c>
      <c r="L6585">
        <f>HYPERLINK("https://www2.assemblee-nationale.fr/sycomore/fiche/(num_dept)/6766", "6766")</f>
        <v>0</v>
      </c>
      <c r="N6585">
        <f>HYPERLINK("https://www.wikidata.org/wiki/Q16025786", "Q16025786")</f>
        <v>0</v>
      </c>
      <c r="O6585" t="s">
        <v>19969</v>
      </c>
      <c r="Q6585" t="s">
        <v>19200</v>
      </c>
      <c r="R6585" t="s">
        <v>418</v>
      </c>
      <c r="S6585">
        <v>519</v>
      </c>
    </row>
    <row r="6586" spans="1:19">
      <c r="A6586" t="s">
        <v>28</v>
      </c>
      <c r="B6586" t="s">
        <v>148</v>
      </c>
      <c r="C6586" t="s">
        <v>160</v>
      </c>
      <c r="D6586" t="s">
        <v>289</v>
      </c>
      <c r="E6586" t="s">
        <v>418</v>
      </c>
      <c r="F6586">
        <f>HYPERLINK("https://www.wikidata.org/wiki/Q33755445", "Q33755445")</f>
        <v>0</v>
      </c>
      <c r="G6586" t="s">
        <v>3867</v>
      </c>
      <c r="H6586" t="s">
        <v>8136</v>
      </c>
      <c r="I6586" t="s">
        <v>11005</v>
      </c>
      <c r="J6586" t="s">
        <v>14426</v>
      </c>
      <c r="K6586" t="s">
        <v>18779</v>
      </c>
      <c r="L6586">
        <f>HYPERLINK("https://www2.assemblee-nationale.fr/sycomore/fiche/(num_dept)/6408", "6408")</f>
        <v>0</v>
      </c>
      <c r="N6586">
        <f>HYPERLINK("https://www.wikidata.org/wiki/Q16026351", "Q16026351")</f>
        <v>0</v>
      </c>
      <c r="O6586" t="s">
        <v>20037</v>
      </c>
      <c r="P6586" t="s">
        <v>20479</v>
      </c>
      <c r="Q6586" t="s">
        <v>20825</v>
      </c>
      <c r="R6586" t="s">
        <v>418</v>
      </c>
      <c r="S6586">
        <v>515</v>
      </c>
    </row>
    <row r="6587" spans="1:19">
      <c r="A6587" t="s">
        <v>28</v>
      </c>
      <c r="B6587" t="s">
        <v>148</v>
      </c>
      <c r="C6587" t="s">
        <v>160</v>
      </c>
      <c r="D6587" t="s">
        <v>289</v>
      </c>
      <c r="E6587" t="s">
        <v>418</v>
      </c>
      <c r="F6587">
        <f>HYPERLINK("https://www.wikidata.org/wiki/Q33755445", "Q33755445")</f>
        <v>0</v>
      </c>
      <c r="G6587" t="s">
        <v>3868</v>
      </c>
      <c r="H6587" t="s">
        <v>8137</v>
      </c>
      <c r="I6587" t="s">
        <v>9449</v>
      </c>
      <c r="J6587" t="s">
        <v>14427</v>
      </c>
      <c r="K6587" t="s">
        <v>18780</v>
      </c>
      <c r="L6587">
        <f>HYPERLINK("https://www2.assemblee-nationale.fr/sycomore/fiche/(num_dept)/3061", "3061")</f>
        <v>0</v>
      </c>
      <c r="N6587">
        <f>HYPERLINK("https://www.wikidata.org/wiki/Q1592182", "Q1592182")</f>
        <v>0</v>
      </c>
      <c r="O6587" t="s">
        <v>19988</v>
      </c>
      <c r="P6587" t="s">
        <v>20493</v>
      </c>
      <c r="Q6587" t="s">
        <v>20826</v>
      </c>
      <c r="R6587" t="s">
        <v>418</v>
      </c>
      <c r="S6587">
        <v>492</v>
      </c>
    </row>
    <row r="6588" spans="1:19">
      <c r="A6588" t="s">
        <v>28</v>
      </c>
      <c r="B6588" t="s">
        <v>148</v>
      </c>
      <c r="C6588" t="s">
        <v>160</v>
      </c>
      <c r="D6588" t="s">
        <v>289</v>
      </c>
      <c r="E6588" t="s">
        <v>418</v>
      </c>
      <c r="F6588">
        <f>HYPERLINK("https://www.wikidata.org/wiki/Q33755445", "Q33755445")</f>
        <v>0</v>
      </c>
      <c r="G6588" t="s">
        <v>3869</v>
      </c>
      <c r="H6588" t="s">
        <v>5282</v>
      </c>
      <c r="I6588" t="s">
        <v>9864</v>
      </c>
      <c r="J6588" t="s">
        <v>14428</v>
      </c>
      <c r="K6588" t="s">
        <v>18781</v>
      </c>
      <c r="L6588">
        <f>HYPERLINK("https://www2.assemblee-nationale.fr/sycomore/fiche/(num_dept)/541", "541")</f>
        <v>0</v>
      </c>
      <c r="N6588">
        <f>HYPERLINK("https://www.wikidata.org/wiki/Q16798433", "Q16798433")</f>
        <v>0</v>
      </c>
      <c r="O6588" t="s">
        <v>19975</v>
      </c>
      <c r="P6588" t="s">
        <v>20460</v>
      </c>
      <c r="Q6588" t="s">
        <v>20827</v>
      </c>
      <c r="R6588" t="s">
        <v>418</v>
      </c>
      <c r="S6588">
        <v>464</v>
      </c>
    </row>
    <row r="6589" spans="1:19">
      <c r="A6589" t="s">
        <v>28</v>
      </c>
      <c r="B6589" t="s">
        <v>148</v>
      </c>
      <c r="C6589" t="s">
        <v>160</v>
      </c>
      <c r="D6589" t="s">
        <v>289</v>
      </c>
      <c r="E6589" t="s">
        <v>418</v>
      </c>
      <c r="F6589">
        <f>HYPERLINK("https://www.wikidata.org/wiki/Q33755445", "Q33755445")</f>
        <v>0</v>
      </c>
      <c r="G6589" t="s">
        <v>570</v>
      </c>
      <c r="H6589" t="s">
        <v>5333</v>
      </c>
      <c r="I6589" t="s">
        <v>9423</v>
      </c>
      <c r="J6589" t="s">
        <v>11321</v>
      </c>
      <c r="K6589" t="s">
        <v>15722</v>
      </c>
      <c r="L6589">
        <f>HYPERLINK("https://www2.assemblee-nationale.fr/sycomore/fiche/(num_dept)/1701", "1701")</f>
        <v>0</v>
      </c>
      <c r="M6589">
        <f>HYPERLINK("https://www.senat.fr/senateur-3eme-republique/chastenet_de_castaing_guillaume0201r3.html", "chastenet_de_castaing_guillaume0201r3")</f>
        <v>0</v>
      </c>
      <c r="N6589">
        <f>HYPERLINK("https://www.wikidata.org/wiki/Q3119745", "Q3119745")</f>
        <v>0</v>
      </c>
      <c r="O6589" t="s">
        <v>19987</v>
      </c>
      <c r="Q6589" t="s">
        <v>20827</v>
      </c>
      <c r="R6589" t="s">
        <v>418</v>
      </c>
      <c r="S6589">
        <v>464</v>
      </c>
    </row>
    <row r="6590" spans="1:19">
      <c r="A6590" t="s">
        <v>28</v>
      </c>
      <c r="B6590" t="s">
        <v>148</v>
      </c>
      <c r="C6590" t="s">
        <v>160</v>
      </c>
      <c r="D6590" t="s">
        <v>289</v>
      </c>
      <c r="E6590" t="s">
        <v>418</v>
      </c>
      <c r="F6590">
        <f>HYPERLINK("https://www.wikidata.org/wiki/Q33755445", "Q33755445")</f>
        <v>0</v>
      </c>
      <c r="G6590" t="s">
        <v>3542</v>
      </c>
      <c r="H6590" t="s">
        <v>7902</v>
      </c>
      <c r="I6590" t="s">
        <v>6584</v>
      </c>
      <c r="J6590" t="s">
        <v>14133</v>
      </c>
      <c r="K6590" t="s">
        <v>18498</v>
      </c>
      <c r="L6590">
        <f>HYPERLINK("https://www2.assemblee-nationale.fr/sycomore/fiche/(num_dept)/1794", "1794")</f>
        <v>0</v>
      </c>
      <c r="N6590">
        <f>HYPERLINK("https://www.wikidata.org/wiki/Q16025446", "Q16025446")</f>
        <v>0</v>
      </c>
      <c r="O6590" t="s">
        <v>19987</v>
      </c>
      <c r="Q6590" t="s">
        <v>20827</v>
      </c>
      <c r="R6590" t="s">
        <v>418</v>
      </c>
      <c r="S6590">
        <v>464</v>
      </c>
    </row>
    <row r="6591" spans="1:19">
      <c r="A6591" t="s">
        <v>28</v>
      </c>
      <c r="B6591" t="s">
        <v>148</v>
      </c>
      <c r="C6591" t="s">
        <v>160</v>
      </c>
      <c r="D6591" t="s">
        <v>289</v>
      </c>
      <c r="E6591" t="s">
        <v>418</v>
      </c>
      <c r="F6591">
        <f>HYPERLINK("https://www.wikidata.org/wiki/Q33755445", "Q33755445")</f>
        <v>0</v>
      </c>
      <c r="G6591" t="s">
        <v>3870</v>
      </c>
      <c r="H6591" t="s">
        <v>8138</v>
      </c>
      <c r="I6591" t="s">
        <v>6584</v>
      </c>
      <c r="J6591" t="s">
        <v>14429</v>
      </c>
      <c r="K6591" t="s">
        <v>18300</v>
      </c>
      <c r="L6591">
        <f>HYPERLINK("https://www2.assemblee-nationale.fr/sycomore/fiche/(num_dept)/2211", "2211")</f>
        <v>0</v>
      </c>
      <c r="M6591">
        <f>HYPERLINK("https://www.senat.fr/senateur-3eme-republique/decrais_albert0207r3.html", "decrais_albert0207r3")</f>
        <v>0</v>
      </c>
      <c r="N6591">
        <f>HYPERLINK("https://www.wikidata.org/wiki/Q2831089", "Q2831089")</f>
        <v>0</v>
      </c>
      <c r="O6591" t="s">
        <v>19987</v>
      </c>
      <c r="Q6591" t="s">
        <v>20827</v>
      </c>
      <c r="R6591" t="s">
        <v>418</v>
      </c>
      <c r="S6591">
        <v>464</v>
      </c>
    </row>
    <row r="6592" spans="1:19">
      <c r="A6592" t="s">
        <v>28</v>
      </c>
      <c r="B6592" t="s">
        <v>148</v>
      </c>
      <c r="C6592" t="s">
        <v>160</v>
      </c>
      <c r="D6592" t="s">
        <v>289</v>
      </c>
      <c r="E6592" t="s">
        <v>418</v>
      </c>
      <c r="F6592">
        <f>HYPERLINK("https://www.wikidata.org/wiki/Q33755445", "Q33755445")</f>
        <v>0</v>
      </c>
      <c r="G6592" t="s">
        <v>3871</v>
      </c>
      <c r="H6592" t="s">
        <v>8139</v>
      </c>
      <c r="I6592" t="s">
        <v>6175</v>
      </c>
      <c r="J6592" t="s">
        <v>14430</v>
      </c>
      <c r="K6592" t="s">
        <v>18782</v>
      </c>
      <c r="L6592">
        <f>HYPERLINK("https://www2.assemblee-nationale.fr/sycomore/fiche/(num_dept)/2833", "2833")</f>
        <v>0</v>
      </c>
      <c r="M6592">
        <f>HYPERLINK("https://www.senat.fr/senateur-3eme-republique/ermant_georges0030r3.html", "ermant_georges0030r3")</f>
        <v>0</v>
      </c>
      <c r="N6592">
        <f>HYPERLINK("https://www.wikidata.org/wiki/Q3102677", "Q3102677")</f>
        <v>0</v>
      </c>
      <c r="O6592" t="s">
        <v>20015</v>
      </c>
      <c r="P6592" t="s">
        <v>20411</v>
      </c>
      <c r="Q6592" t="s">
        <v>20827</v>
      </c>
      <c r="R6592" t="s">
        <v>418</v>
      </c>
      <c r="S6592">
        <v>464</v>
      </c>
    </row>
    <row r="6593" spans="1:19">
      <c r="A6593" t="s">
        <v>28</v>
      </c>
      <c r="B6593" t="s">
        <v>148</v>
      </c>
      <c r="C6593" t="s">
        <v>160</v>
      </c>
      <c r="D6593" t="s">
        <v>289</v>
      </c>
      <c r="E6593" t="s">
        <v>418</v>
      </c>
      <c r="F6593">
        <f>HYPERLINK("https://www.wikidata.org/wiki/Q33755445", "Q33755445")</f>
        <v>0</v>
      </c>
      <c r="G6593" t="s">
        <v>3872</v>
      </c>
      <c r="H6593" t="s">
        <v>8140</v>
      </c>
      <c r="I6593" t="s">
        <v>6200</v>
      </c>
      <c r="J6593" t="s">
        <v>14431</v>
      </c>
      <c r="K6593" t="s">
        <v>18783</v>
      </c>
      <c r="L6593">
        <f>HYPERLINK("https://www2.assemblee-nationale.fr/sycomore/fiche/(num_dept)/790", "790")</f>
        <v>0</v>
      </c>
      <c r="M6593">
        <f>HYPERLINK("https://www.senat.fr/senateur-3eme-republique/bienvenu_martin_jean_baptiste1840r3.html", "bienvenu_martin_jean_baptiste1840r3")</f>
        <v>0</v>
      </c>
      <c r="N6593">
        <f>HYPERLINK("https://www.wikidata.org/wiki/Q325552", "Q325552")</f>
        <v>0</v>
      </c>
      <c r="O6593" t="s">
        <v>20034</v>
      </c>
      <c r="P6593" t="s">
        <v>20401</v>
      </c>
      <c r="Q6593" t="s">
        <v>20828</v>
      </c>
      <c r="R6593" t="s">
        <v>418</v>
      </c>
      <c r="S6593">
        <v>457</v>
      </c>
    </row>
    <row r="6594" spans="1:19">
      <c r="A6594" t="s">
        <v>28</v>
      </c>
      <c r="B6594" t="s">
        <v>148</v>
      </c>
      <c r="C6594" t="s">
        <v>160</v>
      </c>
      <c r="D6594" t="s">
        <v>289</v>
      </c>
      <c r="E6594" t="s">
        <v>418</v>
      </c>
      <c r="F6594">
        <f>HYPERLINK("https://www.wikidata.org/wiki/Q33755445", "Q33755445")</f>
        <v>0</v>
      </c>
      <c r="G6594" t="s">
        <v>3873</v>
      </c>
      <c r="H6594" t="s">
        <v>8141</v>
      </c>
      <c r="I6594" t="s">
        <v>7642</v>
      </c>
      <c r="J6594" t="s">
        <v>12605</v>
      </c>
      <c r="K6594" t="s">
        <v>18784</v>
      </c>
      <c r="L6594">
        <f>HYPERLINK("https://www2.assemblee-nationale.fr/sycomore/fiche/(num_dept)/2057", "2057")</f>
        <v>0</v>
      </c>
      <c r="M6594">
        <f>HYPERLINK("https://www.senat.fr/senateur-3eme-republique/couyba_charles1178r3.html", "couyba_charles1178r3")</f>
        <v>0</v>
      </c>
      <c r="N6594">
        <f>HYPERLINK("https://www.wikidata.org/wiki/Q1750410", "Q1750410")</f>
        <v>0</v>
      </c>
      <c r="O6594" t="s">
        <v>20036</v>
      </c>
      <c r="P6594" t="s">
        <v>20471</v>
      </c>
      <c r="Q6594" t="s">
        <v>20828</v>
      </c>
      <c r="R6594" t="s">
        <v>418</v>
      </c>
      <c r="S6594">
        <v>457</v>
      </c>
    </row>
    <row r="6595" spans="1:19">
      <c r="A6595" t="s">
        <v>28</v>
      </c>
      <c r="B6595" t="s">
        <v>148</v>
      </c>
      <c r="C6595" t="s">
        <v>160</v>
      </c>
      <c r="D6595" t="s">
        <v>289</v>
      </c>
      <c r="E6595" t="s">
        <v>418</v>
      </c>
      <c r="F6595">
        <f>HYPERLINK("https://www.wikidata.org/wiki/Q33755445", "Q33755445")</f>
        <v>0</v>
      </c>
      <c r="G6595" t="s">
        <v>3874</v>
      </c>
      <c r="H6595" t="s">
        <v>8142</v>
      </c>
      <c r="I6595" t="s">
        <v>9442</v>
      </c>
      <c r="J6595" t="s">
        <v>14432</v>
      </c>
      <c r="K6595" t="s">
        <v>18612</v>
      </c>
      <c r="L6595">
        <f>HYPERLINK("https://www2.assemblee-nationale.fr/sycomore/fiche/(num_dept)/5484", "5484")</f>
        <v>0</v>
      </c>
      <c r="N6595">
        <f>HYPERLINK("https://www.wikidata.org/wiki/Q16026173", "Q16026173")</f>
        <v>0</v>
      </c>
      <c r="O6595" t="s">
        <v>19974</v>
      </c>
      <c r="P6595" t="s">
        <v>20479</v>
      </c>
      <c r="Q6595" t="s">
        <v>20828</v>
      </c>
      <c r="R6595" t="s">
        <v>418</v>
      </c>
      <c r="S6595">
        <v>457</v>
      </c>
    </row>
    <row r="6596" spans="1:19">
      <c r="A6596" t="s">
        <v>28</v>
      </c>
      <c r="B6596" t="s">
        <v>148</v>
      </c>
      <c r="C6596" t="s">
        <v>160</v>
      </c>
      <c r="D6596" t="s">
        <v>289</v>
      </c>
      <c r="E6596" t="s">
        <v>418</v>
      </c>
      <c r="F6596">
        <f>HYPERLINK("https://www.wikidata.org/wiki/Q33755445", "Q33755445")</f>
        <v>0</v>
      </c>
      <c r="G6596" t="s">
        <v>3875</v>
      </c>
      <c r="H6596" t="s">
        <v>7190</v>
      </c>
      <c r="I6596" t="s">
        <v>11006</v>
      </c>
      <c r="J6596" t="s">
        <v>14433</v>
      </c>
      <c r="K6596" t="s">
        <v>18785</v>
      </c>
      <c r="L6596">
        <f>HYPERLINK("https://www2.assemblee-nationale.fr/sycomore/fiche/(num_dept)/6105", "6105")</f>
        <v>0</v>
      </c>
      <c r="N6596">
        <f>HYPERLINK("https://www.wikidata.org/wiki/Q3419169", "Q3419169")</f>
        <v>0</v>
      </c>
      <c r="O6596" t="s">
        <v>20013</v>
      </c>
      <c r="P6596" t="s">
        <v>20410</v>
      </c>
      <c r="Q6596" t="s">
        <v>20828</v>
      </c>
      <c r="R6596" t="s">
        <v>418</v>
      </c>
      <c r="S6596">
        <v>457</v>
      </c>
    </row>
    <row r="6597" spans="1:19">
      <c r="A6597" t="s">
        <v>28</v>
      </c>
      <c r="B6597" t="s">
        <v>148</v>
      </c>
      <c r="C6597" t="s">
        <v>160</v>
      </c>
      <c r="D6597" t="s">
        <v>289</v>
      </c>
      <c r="E6597" t="s">
        <v>418</v>
      </c>
      <c r="F6597">
        <f>HYPERLINK("https://www.wikidata.org/wiki/Q33755445", "Q33755445")</f>
        <v>0</v>
      </c>
      <c r="G6597" t="s">
        <v>1305</v>
      </c>
      <c r="H6597" t="s">
        <v>6026</v>
      </c>
      <c r="I6597" t="s">
        <v>9741</v>
      </c>
      <c r="J6597" t="s">
        <v>12035</v>
      </c>
      <c r="K6597" t="s">
        <v>16436</v>
      </c>
      <c r="L6597">
        <f>HYPERLINK("https://www2.assemblee-nationale.fr/sycomore/fiche/(num_dept)/6585", "6585")</f>
        <v>0</v>
      </c>
      <c r="M6597">
        <f>HYPERLINK("https://www.senat.fr/senateur-3eme-republique/rajon_claude1188r3.html", "rajon_claude1188r3")</f>
        <v>0</v>
      </c>
      <c r="N6597">
        <f>HYPERLINK("https://www.wikidata.org/wiki/Q2978029", "Q2978029")</f>
        <v>0</v>
      </c>
      <c r="O6597" t="s">
        <v>20006</v>
      </c>
      <c r="Q6597" t="s">
        <v>20829</v>
      </c>
      <c r="R6597" t="s">
        <v>418</v>
      </c>
      <c r="S6597">
        <v>450</v>
      </c>
    </row>
    <row r="6598" spans="1:19">
      <c r="A6598" t="s">
        <v>28</v>
      </c>
      <c r="B6598" t="s">
        <v>148</v>
      </c>
      <c r="C6598" t="s">
        <v>160</v>
      </c>
      <c r="D6598" t="s">
        <v>289</v>
      </c>
      <c r="E6598" t="s">
        <v>418</v>
      </c>
      <c r="F6598">
        <f>HYPERLINK("https://www.wikidata.org/wiki/Q33755445", "Q33755445")</f>
        <v>0</v>
      </c>
      <c r="G6598" t="s">
        <v>3876</v>
      </c>
      <c r="H6598" t="s">
        <v>5844</v>
      </c>
      <c r="I6598" t="s">
        <v>11007</v>
      </c>
      <c r="J6598" t="s">
        <v>14434</v>
      </c>
      <c r="K6598" t="s">
        <v>18786</v>
      </c>
      <c r="L6598">
        <f>HYPERLINK("https://www2.assemblee-nationale.fr/sycomore/fiche/(num_dept)/267", "267")</f>
        <v>0</v>
      </c>
      <c r="N6598">
        <f>HYPERLINK("https://www.wikidata.org/wiki/Q15973403", "Q15973403")</f>
        <v>0</v>
      </c>
      <c r="O6598" t="s">
        <v>7411</v>
      </c>
      <c r="P6598" t="s">
        <v>20477</v>
      </c>
      <c r="Q6598" t="s">
        <v>20830</v>
      </c>
      <c r="R6598" t="s">
        <v>418</v>
      </c>
      <c r="S6598">
        <v>443</v>
      </c>
    </row>
    <row r="6599" spans="1:19">
      <c r="A6599" t="s">
        <v>28</v>
      </c>
      <c r="B6599" t="s">
        <v>148</v>
      </c>
      <c r="C6599" t="s">
        <v>160</v>
      </c>
      <c r="D6599" t="s">
        <v>289</v>
      </c>
      <c r="E6599" t="s">
        <v>418</v>
      </c>
      <c r="F6599">
        <f>HYPERLINK("https://www.wikidata.org/wiki/Q33755445", "Q33755445")</f>
        <v>0</v>
      </c>
      <c r="G6599" t="s">
        <v>3877</v>
      </c>
      <c r="H6599" t="s">
        <v>6075</v>
      </c>
      <c r="I6599" t="s">
        <v>11008</v>
      </c>
      <c r="J6599" t="s">
        <v>14435</v>
      </c>
      <c r="K6599" t="s">
        <v>18787</v>
      </c>
      <c r="L6599">
        <f>HYPERLINK("https://www2.assemblee-nationale.fr/sycomore/fiche/(num_dept)/424", "424")</f>
        <v>0</v>
      </c>
      <c r="N6599">
        <f>HYPERLINK("https://www.wikidata.org/wiki/Q15465747", "Q15465747")</f>
        <v>0</v>
      </c>
      <c r="O6599" t="s">
        <v>19990</v>
      </c>
      <c r="Q6599" t="s">
        <v>20830</v>
      </c>
      <c r="R6599" t="s">
        <v>418</v>
      </c>
      <c r="S6599">
        <v>443</v>
      </c>
    </row>
    <row r="6600" spans="1:19">
      <c r="A6600" t="s">
        <v>28</v>
      </c>
      <c r="B6600" t="s">
        <v>148</v>
      </c>
      <c r="C6600" t="s">
        <v>160</v>
      </c>
      <c r="D6600" t="s">
        <v>289</v>
      </c>
      <c r="E6600" t="s">
        <v>418</v>
      </c>
      <c r="F6600">
        <f>HYPERLINK("https://www.wikidata.org/wiki/Q33755445", "Q33755445")</f>
        <v>0</v>
      </c>
      <c r="G6600" t="s">
        <v>3878</v>
      </c>
      <c r="H6600" t="s">
        <v>7025</v>
      </c>
      <c r="I6600" t="s">
        <v>6166</v>
      </c>
      <c r="J6600" t="s">
        <v>14436</v>
      </c>
      <c r="K6600" t="s">
        <v>18788</v>
      </c>
      <c r="L6600">
        <f>HYPERLINK("https://www2.assemblee-nationale.fr/sycomore/fiche/(num_dept)/52", "52")</f>
        <v>0</v>
      </c>
      <c r="N6600">
        <f>HYPERLINK("https://www.wikidata.org/wiki/Q11984924", "Q11984924")</f>
        <v>0</v>
      </c>
      <c r="O6600" t="s">
        <v>19956</v>
      </c>
      <c r="Q6600" t="s">
        <v>20831</v>
      </c>
      <c r="R6600" t="s">
        <v>418</v>
      </c>
      <c r="S6600">
        <v>415</v>
      </c>
    </row>
    <row r="6601" spans="1:19">
      <c r="A6601" t="s">
        <v>28</v>
      </c>
      <c r="B6601" t="s">
        <v>148</v>
      </c>
      <c r="C6601" t="s">
        <v>160</v>
      </c>
      <c r="D6601" t="s">
        <v>289</v>
      </c>
      <c r="E6601" t="s">
        <v>418</v>
      </c>
      <c r="F6601">
        <f>HYPERLINK("https://www.wikidata.org/wiki/Q33755445", "Q33755445")</f>
        <v>0</v>
      </c>
      <c r="G6601" t="s">
        <v>687</v>
      </c>
      <c r="H6601" t="s">
        <v>5445</v>
      </c>
      <c r="I6601" t="s">
        <v>9455</v>
      </c>
      <c r="J6601" t="s">
        <v>11437</v>
      </c>
      <c r="K6601" t="s">
        <v>15838</v>
      </c>
      <c r="L6601">
        <f>HYPERLINK("https://www2.assemblee-nationale.fr/sycomore/fiche/(num_dept)/3885", "3885")</f>
        <v>0</v>
      </c>
      <c r="M6601">
        <f>HYPERLINK("https://www.senat.fr/senateur-3eme-republique/hubert_lucien0176r3.html", "hubert_lucien0176r3")</f>
        <v>0</v>
      </c>
      <c r="N6601">
        <f>HYPERLINK("https://www.wikidata.org/wiki/Q2117075", "Q2117075")</f>
        <v>0</v>
      </c>
      <c r="O6601" t="s">
        <v>19959</v>
      </c>
      <c r="P6601" t="s">
        <v>20401</v>
      </c>
      <c r="Q6601" t="s">
        <v>20831</v>
      </c>
      <c r="R6601" t="s">
        <v>418</v>
      </c>
      <c r="S6601">
        <v>415</v>
      </c>
    </row>
    <row r="6602" spans="1:19">
      <c r="A6602" t="s">
        <v>28</v>
      </c>
      <c r="B6602" t="s">
        <v>148</v>
      </c>
      <c r="C6602" t="s">
        <v>160</v>
      </c>
      <c r="D6602" t="s">
        <v>289</v>
      </c>
      <c r="E6602" t="s">
        <v>418</v>
      </c>
      <c r="F6602">
        <f>HYPERLINK("https://www.wikidata.org/wiki/Q33755445", "Q33755445")</f>
        <v>0</v>
      </c>
      <c r="G6602" t="s">
        <v>3879</v>
      </c>
      <c r="H6602" t="s">
        <v>7691</v>
      </c>
      <c r="I6602" t="s">
        <v>10592</v>
      </c>
      <c r="J6602" t="s">
        <v>14437</v>
      </c>
      <c r="K6602" t="s">
        <v>15669</v>
      </c>
      <c r="L6602">
        <f>HYPERLINK("https://www2.assemblee-nationale.fr/sycomore/fiche/(num_dept)/5904", "5904")</f>
        <v>0</v>
      </c>
      <c r="M6602">
        <f>HYPERLINK("https://www.senat.fr/senateur-3eme-republique/pichon_louis0791r3.html", "pichon_louis0791r3")</f>
        <v>0</v>
      </c>
      <c r="N6602">
        <f>HYPERLINK("https://www.wikidata.org/wiki/Q3262900", "Q3262900")</f>
        <v>0</v>
      </c>
      <c r="O6602" t="s">
        <v>20011</v>
      </c>
      <c r="P6602" t="s">
        <v>20461</v>
      </c>
      <c r="Q6602" t="s">
        <v>20832</v>
      </c>
      <c r="R6602" t="s">
        <v>21568</v>
      </c>
      <c r="S6602">
        <v>981</v>
      </c>
    </row>
    <row r="6603" spans="1:19">
      <c r="A6603" t="s">
        <v>28</v>
      </c>
      <c r="B6603" t="s">
        <v>148</v>
      </c>
      <c r="C6603" t="s">
        <v>160</v>
      </c>
      <c r="D6603" t="s">
        <v>289</v>
      </c>
      <c r="E6603" t="s">
        <v>418</v>
      </c>
      <c r="F6603">
        <f>HYPERLINK("https://www.wikidata.org/wiki/Q33755445", "Q33755445")</f>
        <v>0</v>
      </c>
      <c r="G6603" t="s">
        <v>3880</v>
      </c>
      <c r="H6603" t="s">
        <v>8143</v>
      </c>
      <c r="I6603" t="s">
        <v>9457</v>
      </c>
      <c r="J6603" t="s">
        <v>14438</v>
      </c>
      <c r="K6603" t="s">
        <v>18789</v>
      </c>
      <c r="L6603">
        <f>HYPERLINK("https://www2.assemblee-nationale.fr/sycomore/fiche/(num_dept)/2410", "2410")</f>
        <v>0</v>
      </c>
      <c r="N6603">
        <f>HYPERLINK("https://www.wikidata.org/wiki/Q3130959", "Q3130959")</f>
        <v>0</v>
      </c>
      <c r="O6603" t="s">
        <v>19964</v>
      </c>
      <c r="P6603" t="s">
        <v>20502</v>
      </c>
      <c r="Q6603" t="s">
        <v>20833</v>
      </c>
      <c r="R6603" t="s">
        <v>418</v>
      </c>
      <c r="S6603">
        <v>366</v>
      </c>
    </row>
    <row r="6604" spans="1:19">
      <c r="A6604" t="s">
        <v>28</v>
      </c>
      <c r="B6604" t="s">
        <v>148</v>
      </c>
      <c r="C6604" t="s">
        <v>160</v>
      </c>
      <c r="D6604" t="s">
        <v>289</v>
      </c>
      <c r="E6604" t="s">
        <v>418</v>
      </c>
      <c r="F6604">
        <f>HYPERLINK("https://www.wikidata.org/wiki/Q33755445", "Q33755445")</f>
        <v>0</v>
      </c>
      <c r="G6604" t="s">
        <v>776</v>
      </c>
      <c r="H6604" t="s">
        <v>5534</v>
      </c>
      <c r="I6604" t="s">
        <v>9407</v>
      </c>
      <c r="J6604" t="s">
        <v>11523</v>
      </c>
      <c r="K6604" t="s">
        <v>15927</v>
      </c>
      <c r="L6604">
        <f>HYPERLINK("https://www2.assemblee-nationale.fr/sycomore/fiche/(num_dept)/6182", "6182")</f>
        <v>0</v>
      </c>
      <c r="N6604">
        <f>HYPERLINK("https://www.wikidata.org/wiki/Q3185595", "Q3185595")</f>
        <v>0</v>
      </c>
      <c r="O6604" t="s">
        <v>20016</v>
      </c>
      <c r="Q6604" t="s">
        <v>20834</v>
      </c>
      <c r="R6604" t="s">
        <v>418</v>
      </c>
      <c r="S6604">
        <v>352</v>
      </c>
    </row>
    <row r="6605" spans="1:19">
      <c r="A6605" t="s">
        <v>28</v>
      </c>
      <c r="B6605" t="s">
        <v>148</v>
      </c>
      <c r="C6605" t="s">
        <v>160</v>
      </c>
      <c r="D6605" t="s">
        <v>289</v>
      </c>
      <c r="E6605" t="s">
        <v>418</v>
      </c>
      <c r="F6605">
        <f>HYPERLINK("https://www.wikidata.org/wiki/Q33755445", "Q33755445")</f>
        <v>0</v>
      </c>
      <c r="G6605" t="s">
        <v>3881</v>
      </c>
      <c r="H6605" t="s">
        <v>8144</v>
      </c>
      <c r="I6605" t="s">
        <v>11009</v>
      </c>
      <c r="J6605" t="s">
        <v>14439</v>
      </c>
      <c r="K6605" t="s">
        <v>18790</v>
      </c>
      <c r="L6605">
        <f>HYPERLINK("https://www2.assemblee-nationale.fr/sycomore/fiche/(num_dept)/4034", "4034")</f>
        <v>0</v>
      </c>
      <c r="N6605">
        <f>HYPERLINK("https://www.wikidata.org/wiki/Q3131341", "Q3131341")</f>
        <v>0</v>
      </c>
      <c r="O6605" t="s">
        <v>20041</v>
      </c>
      <c r="Q6605" t="s">
        <v>20835</v>
      </c>
      <c r="R6605" t="s">
        <v>418</v>
      </c>
      <c r="S6605">
        <v>303</v>
      </c>
    </row>
    <row r="6606" spans="1:19">
      <c r="A6606" t="s">
        <v>28</v>
      </c>
      <c r="B6606" t="s">
        <v>148</v>
      </c>
      <c r="C6606" t="s">
        <v>160</v>
      </c>
      <c r="D6606" t="s">
        <v>289</v>
      </c>
      <c r="E6606" t="s">
        <v>418</v>
      </c>
      <c r="F6606">
        <f>HYPERLINK("https://www.wikidata.org/wiki/Q33755445", "Q33755445")</f>
        <v>0</v>
      </c>
      <c r="G6606" t="s">
        <v>657</v>
      </c>
      <c r="H6606" t="s">
        <v>5416</v>
      </c>
      <c r="I6606" t="s">
        <v>9472</v>
      </c>
      <c r="J6606" t="s">
        <v>11407</v>
      </c>
      <c r="K6606" t="s">
        <v>15809</v>
      </c>
      <c r="L6606">
        <f>HYPERLINK("https://www2.assemblee-nationale.fr/sycomore/fiche/(num_dept)/3325", "3325")</f>
        <v>0</v>
      </c>
      <c r="N6606">
        <f>HYPERLINK("https://www.wikidata.org/wiki/Q2820867", "Q2820867")</f>
        <v>0</v>
      </c>
      <c r="O6606" t="s">
        <v>20011</v>
      </c>
      <c r="P6606" t="s">
        <v>11123</v>
      </c>
      <c r="Q6606" t="s">
        <v>20836</v>
      </c>
      <c r="R6606" t="s">
        <v>418</v>
      </c>
      <c r="S6606">
        <v>275</v>
      </c>
    </row>
    <row r="6607" spans="1:19">
      <c r="A6607" t="s">
        <v>28</v>
      </c>
      <c r="B6607" t="s">
        <v>148</v>
      </c>
      <c r="C6607" t="s">
        <v>160</v>
      </c>
      <c r="D6607" t="s">
        <v>289</v>
      </c>
      <c r="E6607" t="s">
        <v>418</v>
      </c>
      <c r="F6607">
        <f>HYPERLINK("https://www.wikidata.org/wiki/Q33755445", "Q33755445")</f>
        <v>0</v>
      </c>
      <c r="G6607" t="s">
        <v>782</v>
      </c>
      <c r="H6607" t="s">
        <v>5282</v>
      </c>
      <c r="I6607" t="s">
        <v>9521</v>
      </c>
      <c r="J6607" t="s">
        <v>11529</v>
      </c>
      <c r="K6607" t="s">
        <v>15933</v>
      </c>
      <c r="L6607">
        <f>HYPERLINK("https://www2.assemblee-nationale.fr/sycomore/fiche/(num_dept)/6324", "6324")</f>
        <v>0</v>
      </c>
      <c r="N6607">
        <f>HYPERLINK("https://www.wikidata.org/wiki/Q3133056", "Q3133056")</f>
        <v>0</v>
      </c>
      <c r="O6607" t="s">
        <v>20021</v>
      </c>
      <c r="P6607" t="s">
        <v>20410</v>
      </c>
      <c r="Q6607" t="s">
        <v>20837</v>
      </c>
      <c r="R6607" t="s">
        <v>418</v>
      </c>
      <c r="S6607">
        <v>233</v>
      </c>
    </row>
    <row r="6608" spans="1:19">
      <c r="A6608" t="s">
        <v>28</v>
      </c>
      <c r="B6608" t="s">
        <v>148</v>
      </c>
      <c r="C6608" t="s">
        <v>160</v>
      </c>
      <c r="D6608" t="s">
        <v>289</v>
      </c>
      <c r="E6608" t="s">
        <v>418</v>
      </c>
      <c r="F6608">
        <f>HYPERLINK("https://www.wikidata.org/wiki/Q33755445", "Q33755445")</f>
        <v>0</v>
      </c>
      <c r="G6608" t="s">
        <v>3882</v>
      </c>
      <c r="H6608" t="s">
        <v>8145</v>
      </c>
      <c r="I6608" t="s">
        <v>11010</v>
      </c>
      <c r="J6608" t="s">
        <v>14440</v>
      </c>
      <c r="K6608" t="s">
        <v>18791</v>
      </c>
      <c r="L6608">
        <f>HYPERLINK("https://www2.assemblee-nationale.fr/sycomore/fiche/(num_dept)/961", "961")</f>
        <v>0</v>
      </c>
      <c r="M6608">
        <f>HYPERLINK("https://www.senat.fr/senateur-3eme-republique/bontemps_charles1170r3.html", "bontemps_charles1170r3")</f>
        <v>0</v>
      </c>
      <c r="N6608">
        <f>HYPERLINK("https://www.wikidata.org/wiki/Q2958577", "Q2958577")</f>
        <v>0</v>
      </c>
      <c r="O6608" t="s">
        <v>20036</v>
      </c>
      <c r="P6608" t="s">
        <v>20471</v>
      </c>
      <c r="Q6608" t="s">
        <v>20838</v>
      </c>
      <c r="R6608" t="s">
        <v>418</v>
      </c>
      <c r="S6608">
        <v>226</v>
      </c>
    </row>
    <row r="6609" spans="1:19">
      <c r="A6609" t="s">
        <v>28</v>
      </c>
      <c r="B6609" t="s">
        <v>148</v>
      </c>
      <c r="C6609" t="s">
        <v>160</v>
      </c>
      <c r="D6609" t="s">
        <v>289</v>
      </c>
      <c r="E6609" t="s">
        <v>418</v>
      </c>
      <c r="F6609">
        <f>HYPERLINK("https://www.wikidata.org/wiki/Q33755445", "Q33755445")</f>
        <v>0</v>
      </c>
      <c r="G6609" t="s">
        <v>3883</v>
      </c>
      <c r="H6609" t="s">
        <v>8146</v>
      </c>
      <c r="I6609" t="s">
        <v>9552</v>
      </c>
      <c r="J6609" t="s">
        <v>14441</v>
      </c>
      <c r="K6609" t="s">
        <v>18792</v>
      </c>
      <c r="L6609">
        <f>HYPERLINK("https://www2.assemblee-nationale.fr/sycomore/fiche/(num_dept)/6790", "6790")</f>
        <v>0</v>
      </c>
      <c r="M6609">
        <f>HYPERLINK("https://www.senat.fr/senateur-3eme-republique/rispal_auguste1614r3.html", "rispal_auguste1614r3")</f>
        <v>0</v>
      </c>
      <c r="N6609">
        <f>HYPERLINK("https://www.wikidata.org/wiki/Q2871383", "Q2871383")</f>
        <v>0</v>
      </c>
      <c r="O6609" t="s">
        <v>19978</v>
      </c>
      <c r="Q6609" t="s">
        <v>12977</v>
      </c>
      <c r="R6609" t="s">
        <v>418</v>
      </c>
      <c r="S6609">
        <v>198</v>
      </c>
    </row>
    <row r="6610" spans="1:19">
      <c r="A6610" t="s">
        <v>28</v>
      </c>
      <c r="B6610" t="s">
        <v>148</v>
      </c>
      <c r="C6610" t="s">
        <v>160</v>
      </c>
      <c r="D6610" t="s">
        <v>289</v>
      </c>
      <c r="E6610" t="s">
        <v>418</v>
      </c>
      <c r="F6610">
        <f>HYPERLINK("https://www.wikidata.org/wiki/Q33755445", "Q33755445")</f>
        <v>0</v>
      </c>
      <c r="G6610" t="s">
        <v>3884</v>
      </c>
      <c r="H6610" t="s">
        <v>8147</v>
      </c>
      <c r="I6610" t="s">
        <v>9426</v>
      </c>
      <c r="J6610" t="s">
        <v>14442</v>
      </c>
      <c r="K6610" t="s">
        <v>18793</v>
      </c>
      <c r="L6610">
        <f>HYPERLINK("https://www2.assemblee-nationale.fr/sycomore/fiche/(num_dept)/3829", "3829")</f>
        <v>0</v>
      </c>
      <c r="N6610">
        <f>HYPERLINK("https://www.wikidata.org/wiki/Q16025849", "Q16025849")</f>
        <v>0</v>
      </c>
      <c r="O6610" t="s">
        <v>19998</v>
      </c>
      <c r="P6610" t="s">
        <v>11123</v>
      </c>
      <c r="Q6610" t="s">
        <v>18479</v>
      </c>
      <c r="R6610" t="s">
        <v>418</v>
      </c>
      <c r="S6610">
        <v>156</v>
      </c>
    </row>
    <row r="6611" spans="1:19">
      <c r="A6611" t="s">
        <v>28</v>
      </c>
      <c r="B6611" t="s">
        <v>148</v>
      </c>
      <c r="C6611" t="s">
        <v>160</v>
      </c>
      <c r="D6611" t="s">
        <v>289</v>
      </c>
      <c r="E6611" t="s">
        <v>418</v>
      </c>
      <c r="F6611">
        <f>HYPERLINK("https://www.wikidata.org/wiki/Q33755445", "Q33755445")</f>
        <v>0</v>
      </c>
      <c r="G6611" t="s">
        <v>697</v>
      </c>
      <c r="H6611" t="s">
        <v>5455</v>
      </c>
      <c r="I6611" t="s">
        <v>9485</v>
      </c>
      <c r="J6611" t="s">
        <v>11447</v>
      </c>
      <c r="K6611" t="s">
        <v>15848</v>
      </c>
      <c r="L6611">
        <f>HYPERLINK("https://www2.assemblee-nationale.fr/sycomore/fiche/(num_dept)/4166", "4166")</f>
        <v>0</v>
      </c>
      <c r="N6611">
        <f>HYPERLINK("https://www.wikidata.org/wiki/Q3455687", "Q3455687")</f>
        <v>0</v>
      </c>
      <c r="O6611" t="s">
        <v>19961</v>
      </c>
      <c r="Q6611" t="s">
        <v>20839</v>
      </c>
      <c r="R6611" t="s">
        <v>418</v>
      </c>
      <c r="S6611">
        <v>135</v>
      </c>
    </row>
    <row r="6612" spans="1:19">
      <c r="A6612" t="s">
        <v>29</v>
      </c>
      <c r="B6612" t="s">
        <v>148</v>
      </c>
      <c r="C6612" t="s">
        <v>161</v>
      </c>
      <c r="D6612" t="s">
        <v>290</v>
      </c>
      <c r="E6612" t="s">
        <v>419</v>
      </c>
      <c r="F6612">
        <f>HYPERLINK("https://www.wikidata.org/wiki/Q33322771", "Q33322771")</f>
        <v>0</v>
      </c>
      <c r="G6612" t="s">
        <v>3520</v>
      </c>
      <c r="H6612" t="s">
        <v>6371</v>
      </c>
      <c r="I6612" t="s">
        <v>10861</v>
      </c>
      <c r="J6612" t="s">
        <v>14115</v>
      </c>
      <c r="K6612" t="s">
        <v>18482</v>
      </c>
      <c r="L6612">
        <f>HYPERLINK("https://www2.assemblee-nationale.fr/sycomore/fiche/(num_dept)/32", "32")</f>
        <v>0</v>
      </c>
      <c r="N6612">
        <f>HYPERLINK("https://www.wikidata.org/wiki/Q2823029", "Q2823029")</f>
        <v>0</v>
      </c>
      <c r="O6612" t="s">
        <v>19968</v>
      </c>
      <c r="P6612" t="s">
        <v>20483</v>
      </c>
      <c r="Q6612" t="s">
        <v>20840</v>
      </c>
      <c r="R6612" t="s">
        <v>419</v>
      </c>
      <c r="S6612">
        <v>1483</v>
      </c>
    </row>
    <row r="6613" spans="1:19">
      <c r="A6613" t="s">
        <v>29</v>
      </c>
      <c r="B6613" t="s">
        <v>148</v>
      </c>
      <c r="C6613" t="s">
        <v>161</v>
      </c>
      <c r="D6613" t="s">
        <v>290</v>
      </c>
      <c r="E6613" t="s">
        <v>419</v>
      </c>
      <c r="F6613">
        <f>HYPERLINK("https://www.wikidata.org/wiki/Q33322771", "Q33322771")</f>
        <v>0</v>
      </c>
      <c r="G6613" t="s">
        <v>3885</v>
      </c>
      <c r="H6613" t="s">
        <v>8148</v>
      </c>
      <c r="I6613" t="s">
        <v>11011</v>
      </c>
      <c r="J6613" t="s">
        <v>14443</v>
      </c>
      <c r="K6613" t="s">
        <v>18794</v>
      </c>
      <c r="L6613">
        <f>HYPERLINK("https://www2.assemblee-nationale.fr/sycomore/fiche/(num_dept)/44", "44")</f>
        <v>0</v>
      </c>
      <c r="N6613">
        <f>HYPERLINK("https://www.wikidata.org/wiki/Q3129288", "Q3129288")</f>
        <v>0</v>
      </c>
      <c r="O6613" t="s">
        <v>20046</v>
      </c>
      <c r="P6613" t="s">
        <v>20479</v>
      </c>
      <c r="Q6613" t="s">
        <v>20840</v>
      </c>
      <c r="R6613" t="s">
        <v>419</v>
      </c>
      <c r="S6613">
        <v>1483</v>
      </c>
    </row>
    <row r="6614" spans="1:19">
      <c r="A6614" t="s">
        <v>29</v>
      </c>
      <c r="B6614" t="s">
        <v>148</v>
      </c>
      <c r="C6614" t="s">
        <v>161</v>
      </c>
      <c r="D6614" t="s">
        <v>290</v>
      </c>
      <c r="E6614" t="s">
        <v>419</v>
      </c>
      <c r="F6614">
        <f>HYPERLINK("https://www.wikidata.org/wiki/Q33322771", "Q33322771")</f>
        <v>0</v>
      </c>
      <c r="G6614" t="s">
        <v>3886</v>
      </c>
      <c r="H6614" t="s">
        <v>6058</v>
      </c>
      <c r="I6614" t="s">
        <v>11012</v>
      </c>
      <c r="J6614" t="s">
        <v>14444</v>
      </c>
      <c r="K6614" t="s">
        <v>18795</v>
      </c>
      <c r="L6614">
        <f>HYPERLINK("https://www2.assemblee-nationale.fr/sycomore/fiche/(num_dept)/56", "56")</f>
        <v>0</v>
      </c>
      <c r="M6614">
        <f>HYPERLINK("https://www.senat.fr/senateur-3eme-republique/aimond_emile1666r3.html", "aimond_emile1666r3")</f>
        <v>0</v>
      </c>
      <c r="N6614">
        <f>HYPERLINK("https://www.wikidata.org/wiki/Q3588304", "Q3588304")</f>
        <v>0</v>
      </c>
      <c r="O6614" t="s">
        <v>19976</v>
      </c>
      <c r="P6614" t="s">
        <v>20402</v>
      </c>
      <c r="Q6614" t="s">
        <v>20840</v>
      </c>
      <c r="R6614" t="s">
        <v>419</v>
      </c>
      <c r="S6614">
        <v>1483</v>
      </c>
    </row>
    <row r="6615" spans="1:19">
      <c r="A6615" t="s">
        <v>29</v>
      </c>
      <c r="B6615" t="s">
        <v>148</v>
      </c>
      <c r="C6615" t="s">
        <v>161</v>
      </c>
      <c r="D6615" t="s">
        <v>290</v>
      </c>
      <c r="E6615" t="s">
        <v>419</v>
      </c>
      <c r="F6615">
        <f>HYPERLINK("https://www.wikidata.org/wiki/Q33322771", "Q33322771")</f>
        <v>0</v>
      </c>
      <c r="G6615" t="s">
        <v>2485</v>
      </c>
      <c r="H6615" t="s">
        <v>7058</v>
      </c>
      <c r="I6615" t="s">
        <v>10238</v>
      </c>
      <c r="J6615" t="s">
        <v>13129</v>
      </c>
      <c r="K6615" t="s">
        <v>17539</v>
      </c>
      <c r="L6615">
        <f>HYPERLINK("https://www2.assemblee-nationale.fr/sycomore/fiche/(num_dept)/85", "85")</f>
        <v>0</v>
      </c>
      <c r="N6615">
        <f>HYPERLINK("https://www.wikidata.org/wiki/Q15973226", "Q15973226")</f>
        <v>0</v>
      </c>
      <c r="O6615" t="s">
        <v>20027</v>
      </c>
      <c r="P6615" t="s">
        <v>20484</v>
      </c>
      <c r="Q6615" t="s">
        <v>20840</v>
      </c>
      <c r="R6615" t="s">
        <v>419</v>
      </c>
      <c r="S6615">
        <v>1483</v>
      </c>
    </row>
    <row r="6616" spans="1:19">
      <c r="A6616" t="s">
        <v>29</v>
      </c>
      <c r="B6616" t="s">
        <v>148</v>
      </c>
      <c r="C6616" t="s">
        <v>161</v>
      </c>
      <c r="D6616" t="s">
        <v>290</v>
      </c>
      <c r="E6616" t="s">
        <v>419</v>
      </c>
      <c r="F6616">
        <f>HYPERLINK("https://www.wikidata.org/wiki/Q33322771", "Q33322771")</f>
        <v>0</v>
      </c>
      <c r="G6616" t="s">
        <v>3829</v>
      </c>
      <c r="H6616" t="s">
        <v>8109</v>
      </c>
      <c r="I6616" t="s">
        <v>10992</v>
      </c>
      <c r="J6616" t="s">
        <v>14393</v>
      </c>
      <c r="K6616" t="s">
        <v>18746</v>
      </c>
      <c r="L6616">
        <f>HYPERLINK("https://www2.assemblee-nationale.fr/sycomore/fiche/(num_dept)/103", "103")</f>
        <v>0</v>
      </c>
      <c r="M6616">
        <f>HYPERLINK("https://www.senat.fr/senateur-3eme-republique/comte_d_alsace_thierry1812r3.html", "comte_d_alsace_thierry1812r3")</f>
        <v>0</v>
      </c>
      <c r="N6616">
        <f>HYPERLINK("https://www.wikidata.org/wiki/Q3524185", "Q3524185")</f>
        <v>0</v>
      </c>
      <c r="O6616" t="s">
        <v>20017</v>
      </c>
      <c r="P6616" t="s">
        <v>20411</v>
      </c>
      <c r="Q6616" t="s">
        <v>20840</v>
      </c>
      <c r="R6616" t="s">
        <v>419</v>
      </c>
      <c r="S6616">
        <v>1483</v>
      </c>
    </row>
    <row r="6617" spans="1:19">
      <c r="A6617" t="s">
        <v>29</v>
      </c>
      <c r="B6617" t="s">
        <v>148</v>
      </c>
      <c r="C6617" t="s">
        <v>161</v>
      </c>
      <c r="D6617" t="s">
        <v>290</v>
      </c>
      <c r="E6617" t="s">
        <v>419</v>
      </c>
      <c r="F6617">
        <f>HYPERLINK("https://www.wikidata.org/wiki/Q33322771", "Q33322771")</f>
        <v>0</v>
      </c>
      <c r="G6617" t="s">
        <v>1146</v>
      </c>
      <c r="H6617" t="s">
        <v>5881</v>
      </c>
      <c r="I6617" t="s">
        <v>5592</v>
      </c>
      <c r="J6617" t="s">
        <v>11880</v>
      </c>
      <c r="K6617" t="s">
        <v>16282</v>
      </c>
      <c r="L6617">
        <f>HYPERLINK("https://www2.assemblee-nationale.fr/sycomore/fiche/(num_dept)/116", "116")</f>
        <v>0</v>
      </c>
      <c r="N6617">
        <f>HYPERLINK("https://www.wikidata.org/wiki/Q2380639", "Q2380639")</f>
        <v>0</v>
      </c>
      <c r="O6617" t="s">
        <v>19976</v>
      </c>
      <c r="Q6617" t="s">
        <v>20840</v>
      </c>
      <c r="R6617" t="s">
        <v>419</v>
      </c>
      <c r="S6617">
        <v>1483</v>
      </c>
    </row>
    <row r="6618" spans="1:19">
      <c r="A6618" t="s">
        <v>29</v>
      </c>
      <c r="B6618" t="s">
        <v>148</v>
      </c>
      <c r="C6618" t="s">
        <v>161</v>
      </c>
      <c r="D6618" t="s">
        <v>290</v>
      </c>
      <c r="E6618" t="s">
        <v>419</v>
      </c>
      <c r="F6618">
        <f>HYPERLINK("https://www.wikidata.org/wiki/Q33322771", "Q33322771")</f>
        <v>0</v>
      </c>
      <c r="G6618" t="s">
        <v>501</v>
      </c>
      <c r="H6618" t="s">
        <v>5266</v>
      </c>
      <c r="I6618" t="s">
        <v>9372</v>
      </c>
      <c r="J6618" t="s">
        <v>11253</v>
      </c>
      <c r="K6618" t="s">
        <v>15653</v>
      </c>
      <c r="L6618">
        <f>HYPERLINK("https://www2.assemblee-nationale.fr/sycomore/fiche/(num_dept)/137", "137")</f>
        <v>0</v>
      </c>
      <c r="M6618">
        <f>HYPERLINK("https://www.senat.fr/senateur-3eme-republique/andrieu_edouard1688r3.html", "andrieu_edouard1688r3")</f>
        <v>0</v>
      </c>
      <c r="N6618">
        <f>HYPERLINK("https://www.wikidata.org/wiki/Q3579721", "Q3579721")</f>
        <v>0</v>
      </c>
      <c r="O6618" t="s">
        <v>19962</v>
      </c>
      <c r="Q6618" t="s">
        <v>20840</v>
      </c>
      <c r="R6618" t="s">
        <v>419</v>
      </c>
      <c r="S6618">
        <v>1483</v>
      </c>
    </row>
    <row r="6619" spans="1:19">
      <c r="A6619" t="s">
        <v>29</v>
      </c>
      <c r="B6619" t="s">
        <v>148</v>
      </c>
      <c r="C6619" t="s">
        <v>161</v>
      </c>
      <c r="D6619" t="s">
        <v>290</v>
      </c>
      <c r="E6619" t="s">
        <v>419</v>
      </c>
      <c r="F6619">
        <f>HYPERLINK("https://www.wikidata.org/wiki/Q33322771", "Q33322771")</f>
        <v>0</v>
      </c>
      <c r="G6619" t="s">
        <v>3006</v>
      </c>
      <c r="H6619" t="s">
        <v>7468</v>
      </c>
      <c r="I6619" t="s">
        <v>9414</v>
      </c>
      <c r="J6619" t="s">
        <v>12227</v>
      </c>
      <c r="K6619" t="s">
        <v>18020</v>
      </c>
      <c r="L6619">
        <f>HYPERLINK("https://www2.assemblee-nationale.fr/sycomore/fiche/(num_dept)/188", "188")</f>
        <v>0</v>
      </c>
      <c r="M6619">
        <f>HYPERLINK("https://www.senat.fr/senateur-3eme-republique/arene_emmanuel0489r3.html", "arene_emmanuel0489r3")</f>
        <v>0</v>
      </c>
      <c r="N6619">
        <f>HYPERLINK("https://www.wikidata.org/wiki/Q3052547", "Q3052547")</f>
        <v>0</v>
      </c>
      <c r="O6619" t="s">
        <v>19955</v>
      </c>
      <c r="Q6619" t="s">
        <v>20840</v>
      </c>
      <c r="R6619" t="s">
        <v>419</v>
      </c>
      <c r="S6619">
        <v>1483</v>
      </c>
    </row>
    <row r="6620" spans="1:19">
      <c r="A6620" t="s">
        <v>29</v>
      </c>
      <c r="B6620" t="s">
        <v>148</v>
      </c>
      <c r="C6620" t="s">
        <v>161</v>
      </c>
      <c r="D6620" t="s">
        <v>290</v>
      </c>
      <c r="E6620" t="s">
        <v>419</v>
      </c>
      <c r="F6620">
        <f>HYPERLINK("https://www.wikidata.org/wiki/Q33322771", "Q33322771")</f>
        <v>0</v>
      </c>
      <c r="G6620" t="s">
        <v>3522</v>
      </c>
      <c r="H6620" t="s">
        <v>7886</v>
      </c>
      <c r="I6620" t="s">
        <v>10862</v>
      </c>
      <c r="J6620" t="s">
        <v>14117</v>
      </c>
      <c r="K6620" t="s">
        <v>18484</v>
      </c>
      <c r="L6620">
        <f>HYPERLINK("https://www2.assemblee-nationale.fr/sycomore/fiche/(num_dept)/190", "190")</f>
        <v>0</v>
      </c>
      <c r="N6620">
        <f>HYPERLINK("https://www.wikidata.org/wiki/Q3170409", "Q3170409")</f>
        <v>0</v>
      </c>
      <c r="O6620" t="s">
        <v>19976</v>
      </c>
      <c r="P6620" t="s">
        <v>20459</v>
      </c>
      <c r="Q6620" t="s">
        <v>20840</v>
      </c>
      <c r="R6620" t="s">
        <v>419</v>
      </c>
      <c r="S6620">
        <v>1483</v>
      </c>
    </row>
    <row r="6621" spans="1:19">
      <c r="A6621" t="s">
        <v>29</v>
      </c>
      <c r="B6621" t="s">
        <v>148</v>
      </c>
      <c r="C6621" t="s">
        <v>161</v>
      </c>
      <c r="D6621" t="s">
        <v>290</v>
      </c>
      <c r="E6621" t="s">
        <v>419</v>
      </c>
      <c r="F6621">
        <f>HYPERLINK("https://www.wikidata.org/wiki/Q33322771", "Q33322771")</f>
        <v>0</v>
      </c>
      <c r="G6621" t="s">
        <v>503</v>
      </c>
      <c r="H6621" t="s">
        <v>5268</v>
      </c>
      <c r="I6621" t="s">
        <v>6495</v>
      </c>
      <c r="J6621" t="s">
        <v>11255</v>
      </c>
      <c r="K6621" t="s">
        <v>15655</v>
      </c>
      <c r="L6621">
        <f>HYPERLINK("https://www2.assemblee-nationale.fr/sycomore/fiche/(num_dept)/195", "195")</f>
        <v>0</v>
      </c>
      <c r="N6621">
        <f>HYPERLINK("https://www.wikidata.org/wiki/Q3261103", "Q3261103")</f>
        <v>0</v>
      </c>
      <c r="O6621" t="s">
        <v>19964</v>
      </c>
      <c r="P6621" t="s">
        <v>20457</v>
      </c>
      <c r="Q6621" t="s">
        <v>20840</v>
      </c>
      <c r="R6621" t="s">
        <v>419</v>
      </c>
      <c r="S6621">
        <v>1483</v>
      </c>
    </row>
    <row r="6622" spans="1:19">
      <c r="A6622" t="s">
        <v>29</v>
      </c>
      <c r="B6622" t="s">
        <v>148</v>
      </c>
      <c r="C6622" t="s">
        <v>161</v>
      </c>
      <c r="D6622" t="s">
        <v>290</v>
      </c>
      <c r="E6622" t="s">
        <v>419</v>
      </c>
      <c r="F6622">
        <f>HYPERLINK("https://www.wikidata.org/wiki/Q33322771", "Q33322771")</f>
        <v>0</v>
      </c>
      <c r="G6622" t="s">
        <v>3064</v>
      </c>
      <c r="H6622" t="s">
        <v>7517</v>
      </c>
      <c r="I6622" t="s">
        <v>10604</v>
      </c>
      <c r="J6622" t="s">
        <v>13688</v>
      </c>
      <c r="K6622" t="s">
        <v>18071</v>
      </c>
      <c r="L6622">
        <f>HYPERLINK("https://www2.assemblee-nationale.fr/sycomore/fiche/(num_dept)/205", "205")</f>
        <v>0</v>
      </c>
      <c r="N6622">
        <f>HYPERLINK("https://www.wikidata.org/wiki/Q15973359", "Q15973359")</f>
        <v>0</v>
      </c>
      <c r="O6622" t="s">
        <v>20031</v>
      </c>
      <c r="Q6622" t="s">
        <v>20840</v>
      </c>
      <c r="R6622" t="s">
        <v>18071</v>
      </c>
      <c r="S6622">
        <v>1221</v>
      </c>
    </row>
    <row r="6623" spans="1:19">
      <c r="A6623" t="s">
        <v>29</v>
      </c>
      <c r="B6623" t="s">
        <v>148</v>
      </c>
      <c r="C6623" t="s">
        <v>161</v>
      </c>
      <c r="D6623" t="s">
        <v>290</v>
      </c>
      <c r="E6623" t="s">
        <v>419</v>
      </c>
      <c r="F6623">
        <f>HYPERLINK("https://www.wikidata.org/wiki/Q33322771", "Q33322771")</f>
        <v>0</v>
      </c>
      <c r="G6623" t="s">
        <v>864</v>
      </c>
      <c r="H6623" t="s">
        <v>5620</v>
      </c>
      <c r="I6623" t="s">
        <v>9562</v>
      </c>
      <c r="J6623" t="s">
        <v>11610</v>
      </c>
      <c r="K6623" t="s">
        <v>16012</v>
      </c>
      <c r="L6623">
        <f>HYPERLINK("https://www2.assemblee-nationale.fr/sycomore/fiche/(num_dept)/222", "222")</f>
        <v>0</v>
      </c>
      <c r="M6623">
        <f>HYPERLINK("https://www.senat.fr/senateur-3eme-republique/astier_placide0139r3.html", "astier_placide0139r3")</f>
        <v>0</v>
      </c>
      <c r="N6623">
        <f>HYPERLINK("https://www.wikidata.org/wiki/Q3390780", "Q3390780")</f>
        <v>0</v>
      </c>
      <c r="O6623" t="s">
        <v>19991</v>
      </c>
      <c r="Q6623" t="s">
        <v>20840</v>
      </c>
      <c r="R6623" t="s">
        <v>419</v>
      </c>
      <c r="S6623">
        <v>1483</v>
      </c>
    </row>
    <row r="6624" spans="1:19">
      <c r="A6624" t="s">
        <v>29</v>
      </c>
      <c r="B6624" t="s">
        <v>148</v>
      </c>
      <c r="C6624" t="s">
        <v>161</v>
      </c>
      <c r="D6624" t="s">
        <v>290</v>
      </c>
      <c r="E6624" t="s">
        <v>419</v>
      </c>
      <c r="F6624">
        <f>HYPERLINK("https://www.wikidata.org/wiki/Q33322771", "Q33322771")</f>
        <v>0</v>
      </c>
      <c r="G6624" t="s">
        <v>3347</v>
      </c>
      <c r="H6624" t="s">
        <v>7748</v>
      </c>
      <c r="I6624" t="s">
        <v>10783</v>
      </c>
      <c r="J6624" t="s">
        <v>13960</v>
      </c>
      <c r="K6624" t="s">
        <v>18329</v>
      </c>
      <c r="L6624">
        <f>HYPERLINK("https://www2.assemblee-nationale.fr/sycomore/fiche/(num_dept)/224", "224")</f>
        <v>0</v>
      </c>
      <c r="N6624">
        <f>HYPERLINK("https://www.wikidata.org/wiki/Q15973329", "Q15973329")</f>
        <v>0</v>
      </c>
      <c r="O6624" t="s">
        <v>19955</v>
      </c>
      <c r="Q6624" t="s">
        <v>20840</v>
      </c>
      <c r="R6624" t="s">
        <v>21569</v>
      </c>
      <c r="S6624">
        <v>66</v>
      </c>
    </row>
    <row r="6625" spans="1:19">
      <c r="A6625" t="s">
        <v>29</v>
      </c>
      <c r="B6625" t="s">
        <v>148</v>
      </c>
      <c r="C6625" t="s">
        <v>161</v>
      </c>
      <c r="D6625" t="s">
        <v>290</v>
      </c>
      <c r="E6625" t="s">
        <v>419</v>
      </c>
      <c r="F6625">
        <f>HYPERLINK("https://www.wikidata.org/wiki/Q33322771", "Q33322771")</f>
        <v>0</v>
      </c>
      <c r="G6625" t="s">
        <v>3887</v>
      </c>
      <c r="H6625" t="s">
        <v>8149</v>
      </c>
      <c r="I6625" t="s">
        <v>11013</v>
      </c>
      <c r="J6625" t="s">
        <v>14445</v>
      </c>
      <c r="K6625" t="s">
        <v>18796</v>
      </c>
      <c r="L6625">
        <f>HYPERLINK("https://www2.assemblee-nationale.fr/sycomore/fiche/(num_dept)/248", "248")</f>
        <v>0</v>
      </c>
      <c r="N6625">
        <f>HYPERLINK("https://www.wikidata.org/wiki/Q15973370", "Q15973370")</f>
        <v>0</v>
      </c>
      <c r="O6625" t="s">
        <v>19979</v>
      </c>
      <c r="P6625" t="s">
        <v>20489</v>
      </c>
      <c r="Q6625" t="s">
        <v>20840</v>
      </c>
      <c r="R6625" t="s">
        <v>18796</v>
      </c>
      <c r="S6625">
        <v>1333</v>
      </c>
    </row>
    <row r="6626" spans="1:19">
      <c r="A6626" t="s">
        <v>29</v>
      </c>
      <c r="B6626" t="s">
        <v>148</v>
      </c>
      <c r="C6626" t="s">
        <v>161</v>
      </c>
      <c r="D6626" t="s">
        <v>290</v>
      </c>
      <c r="E6626" t="s">
        <v>419</v>
      </c>
      <c r="F6626">
        <f>HYPERLINK("https://www.wikidata.org/wiki/Q33322771", "Q33322771")</f>
        <v>0</v>
      </c>
      <c r="G6626" t="s">
        <v>2488</v>
      </c>
      <c r="H6626" t="s">
        <v>7061</v>
      </c>
      <c r="I6626" t="s">
        <v>10240</v>
      </c>
      <c r="J6626" t="s">
        <v>13132</v>
      </c>
      <c r="K6626" t="s">
        <v>17541</v>
      </c>
      <c r="L6626">
        <f>HYPERLINK("https://www2.assemblee-nationale.fr/sycomore/fiche/(num_dept)/251", "251")</f>
        <v>0</v>
      </c>
      <c r="M6626">
        <f>HYPERLINK("https://www.senat.fr/senateur-3eme-republique/audiffred_jean_honore1321r3.html", "audiffred_jean_honore1321r3")</f>
        <v>0</v>
      </c>
      <c r="N6626">
        <f>HYPERLINK("https://www.wikidata.org/wiki/Q3166130", "Q3166130")</f>
        <v>0</v>
      </c>
      <c r="O6626" t="s">
        <v>19997</v>
      </c>
      <c r="Q6626" t="s">
        <v>20840</v>
      </c>
      <c r="R6626" t="s">
        <v>419</v>
      </c>
      <c r="S6626">
        <v>1483</v>
      </c>
    </row>
    <row r="6627" spans="1:19">
      <c r="A6627" t="s">
        <v>29</v>
      </c>
      <c r="B6627" t="s">
        <v>148</v>
      </c>
      <c r="C6627" t="s">
        <v>161</v>
      </c>
      <c r="D6627" t="s">
        <v>290</v>
      </c>
      <c r="E6627" t="s">
        <v>419</v>
      </c>
      <c r="F6627">
        <f>HYPERLINK("https://www.wikidata.org/wiki/Q33322771", "Q33322771")</f>
        <v>0</v>
      </c>
      <c r="G6627" t="s">
        <v>3888</v>
      </c>
      <c r="H6627" t="s">
        <v>8150</v>
      </c>
      <c r="I6627" t="s">
        <v>11014</v>
      </c>
      <c r="J6627" t="s">
        <v>14446</v>
      </c>
      <c r="K6627" t="s">
        <v>18797</v>
      </c>
      <c r="L6627">
        <f>HYPERLINK("https://www2.assemblee-nationale.fr/sycomore/fiche/(num_dept)/302", "302")</f>
        <v>0</v>
      </c>
      <c r="N6627">
        <f>HYPERLINK("https://www.wikidata.org/wiki/Q16025418", "Q16025418")</f>
        <v>0</v>
      </c>
      <c r="O6627" t="s">
        <v>20021</v>
      </c>
      <c r="P6627" t="s">
        <v>20479</v>
      </c>
      <c r="Q6627" t="s">
        <v>20840</v>
      </c>
      <c r="R6627" t="s">
        <v>419</v>
      </c>
      <c r="S6627">
        <v>1483</v>
      </c>
    </row>
    <row r="6628" spans="1:19">
      <c r="A6628" t="s">
        <v>29</v>
      </c>
      <c r="B6628" t="s">
        <v>148</v>
      </c>
      <c r="C6628" t="s">
        <v>161</v>
      </c>
      <c r="D6628" t="s">
        <v>290</v>
      </c>
      <c r="E6628" t="s">
        <v>419</v>
      </c>
      <c r="F6628">
        <f>HYPERLINK("https://www.wikidata.org/wiki/Q33322771", "Q33322771")</f>
        <v>0</v>
      </c>
      <c r="G6628" t="s">
        <v>505</v>
      </c>
      <c r="H6628" t="s">
        <v>5270</v>
      </c>
      <c r="I6628" t="s">
        <v>9375</v>
      </c>
      <c r="J6628" t="s">
        <v>11257</v>
      </c>
      <c r="K6628" t="s">
        <v>15657</v>
      </c>
      <c r="L6628">
        <f>HYPERLINK("https://www2.assemblee-nationale.fr/sycomore/fiche/(num_dept)/305", "305")</f>
        <v>0</v>
      </c>
      <c r="N6628">
        <f>HYPERLINK("https://www.wikidata.org/wiki/Q3579728", "Q3579728")</f>
        <v>0</v>
      </c>
      <c r="O6628" t="s">
        <v>19965</v>
      </c>
      <c r="P6628" t="s">
        <v>20479</v>
      </c>
      <c r="Q6628" t="s">
        <v>20840</v>
      </c>
      <c r="R6628" t="s">
        <v>419</v>
      </c>
      <c r="S6628">
        <v>1483</v>
      </c>
    </row>
    <row r="6629" spans="1:19">
      <c r="A6629" t="s">
        <v>29</v>
      </c>
      <c r="B6629" t="s">
        <v>148</v>
      </c>
      <c r="C6629" t="s">
        <v>161</v>
      </c>
      <c r="D6629" t="s">
        <v>290</v>
      </c>
      <c r="E6629" t="s">
        <v>419</v>
      </c>
      <c r="F6629">
        <f>HYPERLINK("https://www.wikidata.org/wiki/Q33322771", "Q33322771")</f>
        <v>0</v>
      </c>
      <c r="G6629" t="s">
        <v>867</v>
      </c>
      <c r="H6629" t="s">
        <v>5623</v>
      </c>
      <c r="I6629" t="s">
        <v>9565</v>
      </c>
      <c r="J6629" t="s">
        <v>11613</v>
      </c>
      <c r="K6629" t="s">
        <v>16015</v>
      </c>
      <c r="L6629">
        <f>HYPERLINK("https://www2.assemblee-nationale.fr/sycomore/fiche/(num_dept)/310", "310")</f>
        <v>0</v>
      </c>
      <c r="N6629">
        <f>HYPERLINK("https://www.wikidata.org/wiki/Q2853627", "Q2853627")</f>
        <v>0</v>
      </c>
      <c r="O6629" t="s">
        <v>20031</v>
      </c>
      <c r="P6629" t="s">
        <v>20493</v>
      </c>
      <c r="Q6629" t="s">
        <v>20840</v>
      </c>
      <c r="R6629" t="s">
        <v>419</v>
      </c>
      <c r="S6629">
        <v>1483</v>
      </c>
    </row>
    <row r="6630" spans="1:19">
      <c r="A6630" t="s">
        <v>29</v>
      </c>
      <c r="B6630" t="s">
        <v>148</v>
      </c>
      <c r="C6630" t="s">
        <v>161</v>
      </c>
      <c r="D6630" t="s">
        <v>290</v>
      </c>
      <c r="E6630" t="s">
        <v>419</v>
      </c>
      <c r="F6630">
        <f>HYPERLINK("https://www.wikidata.org/wiki/Q33322771", "Q33322771")</f>
        <v>0</v>
      </c>
      <c r="G6630" t="s">
        <v>3675</v>
      </c>
      <c r="H6630" t="s">
        <v>8002</v>
      </c>
      <c r="I6630" t="s">
        <v>10928</v>
      </c>
      <c r="J6630" t="s">
        <v>14202</v>
      </c>
      <c r="K6630" t="s">
        <v>18613</v>
      </c>
      <c r="L6630">
        <f>HYPERLINK("https://www2.assemblee-nationale.fr/sycomore/fiche/(num_dept)/344", "344")</f>
        <v>0</v>
      </c>
      <c r="N6630">
        <f>HYPERLINK("https://www.wikidata.org/wiki/Q3287690", "Q3287690")</f>
        <v>0</v>
      </c>
      <c r="O6630" t="s">
        <v>20026</v>
      </c>
      <c r="P6630" t="s">
        <v>20474</v>
      </c>
      <c r="Q6630" t="s">
        <v>20840</v>
      </c>
      <c r="R6630" t="s">
        <v>419</v>
      </c>
      <c r="S6630">
        <v>1483</v>
      </c>
    </row>
    <row r="6631" spans="1:19">
      <c r="A6631" t="s">
        <v>29</v>
      </c>
      <c r="B6631" t="s">
        <v>148</v>
      </c>
      <c r="C6631" t="s">
        <v>161</v>
      </c>
      <c r="D6631" t="s">
        <v>290</v>
      </c>
      <c r="E6631" t="s">
        <v>419</v>
      </c>
      <c r="F6631">
        <f>HYPERLINK("https://www.wikidata.org/wiki/Q33322771", "Q33322771")</f>
        <v>0</v>
      </c>
      <c r="G6631" t="s">
        <v>3525</v>
      </c>
      <c r="H6631" t="s">
        <v>7889</v>
      </c>
      <c r="I6631" t="s">
        <v>9385</v>
      </c>
      <c r="J6631" t="s">
        <v>14120</v>
      </c>
      <c r="K6631" t="s">
        <v>16163</v>
      </c>
      <c r="L6631">
        <f>HYPERLINK("https://www2.assemblee-nationale.fr/sycomore/fiche/(num_dept)/358", "358")</f>
        <v>0</v>
      </c>
      <c r="N6631">
        <f>HYPERLINK("https://www.wikidata.org/wiki/Q2958464", "Q2958464")</f>
        <v>0</v>
      </c>
      <c r="O6631" t="s">
        <v>19975</v>
      </c>
      <c r="Q6631" t="s">
        <v>20840</v>
      </c>
      <c r="R6631" t="s">
        <v>419</v>
      </c>
      <c r="S6631">
        <v>1483</v>
      </c>
    </row>
    <row r="6632" spans="1:19">
      <c r="A6632" t="s">
        <v>29</v>
      </c>
      <c r="B6632" t="s">
        <v>148</v>
      </c>
      <c r="C6632" t="s">
        <v>161</v>
      </c>
      <c r="D6632" t="s">
        <v>290</v>
      </c>
      <c r="E6632" t="s">
        <v>419</v>
      </c>
      <c r="F6632">
        <f>HYPERLINK("https://www.wikidata.org/wiki/Q33322771", "Q33322771")</f>
        <v>0</v>
      </c>
      <c r="G6632" t="s">
        <v>508</v>
      </c>
      <c r="H6632" t="s">
        <v>5273</v>
      </c>
      <c r="I6632" t="s">
        <v>9378</v>
      </c>
      <c r="J6632" t="s">
        <v>11260</v>
      </c>
      <c r="K6632" t="s">
        <v>15660</v>
      </c>
      <c r="L6632">
        <f>HYPERLINK("https://www2.assemblee-nationale.fr/sycomore/fiche/(num_dept)/362", "362")</f>
        <v>0</v>
      </c>
      <c r="N6632">
        <f>HYPERLINK("https://www.wikidata.org/wiki/Q2834951", "Q2834951")</f>
        <v>0</v>
      </c>
      <c r="O6632" t="s">
        <v>19957</v>
      </c>
      <c r="P6632" t="s">
        <v>20459</v>
      </c>
      <c r="Q6632" t="s">
        <v>20840</v>
      </c>
      <c r="R6632" t="s">
        <v>419</v>
      </c>
      <c r="S6632">
        <v>1483</v>
      </c>
    </row>
    <row r="6633" spans="1:19">
      <c r="A6633" t="s">
        <v>29</v>
      </c>
      <c r="B6633" t="s">
        <v>148</v>
      </c>
      <c r="C6633" t="s">
        <v>161</v>
      </c>
      <c r="D6633" t="s">
        <v>290</v>
      </c>
      <c r="E6633" t="s">
        <v>419</v>
      </c>
      <c r="F6633">
        <f>HYPERLINK("https://www.wikidata.org/wiki/Q33322771", "Q33322771")</f>
        <v>0</v>
      </c>
      <c r="G6633" t="s">
        <v>3855</v>
      </c>
      <c r="H6633" t="s">
        <v>6075</v>
      </c>
      <c r="I6633" t="s">
        <v>9449</v>
      </c>
      <c r="J6633" t="s">
        <v>14414</v>
      </c>
      <c r="K6633" t="s">
        <v>18767</v>
      </c>
      <c r="L6633">
        <f>HYPERLINK("https://www2.assemblee-nationale.fr/sycomore/fiche/(num_dept)/425", "425")</f>
        <v>0</v>
      </c>
      <c r="N6633">
        <f>HYPERLINK("https://www.wikidata.org/wiki/Q8307049", "Q8307049")</f>
        <v>0</v>
      </c>
      <c r="O6633" t="s">
        <v>19980</v>
      </c>
      <c r="Q6633" t="s">
        <v>20840</v>
      </c>
      <c r="R6633" t="s">
        <v>419</v>
      </c>
      <c r="S6633">
        <v>1483</v>
      </c>
    </row>
    <row r="6634" spans="1:19">
      <c r="A6634" t="s">
        <v>29</v>
      </c>
      <c r="B6634" t="s">
        <v>148</v>
      </c>
      <c r="C6634" t="s">
        <v>161</v>
      </c>
      <c r="D6634" t="s">
        <v>290</v>
      </c>
      <c r="E6634" t="s">
        <v>419</v>
      </c>
      <c r="F6634">
        <f>HYPERLINK("https://www.wikidata.org/wiki/Q33322771", "Q33322771")</f>
        <v>0</v>
      </c>
      <c r="G6634" t="s">
        <v>3889</v>
      </c>
      <c r="H6634" t="s">
        <v>8151</v>
      </c>
      <c r="I6634" t="s">
        <v>11015</v>
      </c>
      <c r="J6634" t="s">
        <v>14447</v>
      </c>
      <c r="K6634" t="s">
        <v>16006</v>
      </c>
      <c r="L6634">
        <f>HYPERLINK("https://www2.assemblee-nationale.fr/sycomore/fiche/(num_dept)/438", "438")</f>
        <v>0</v>
      </c>
      <c r="N6634">
        <f>HYPERLINK("https://www.wikidata.org/wiki/Q15973548", "Q15973548")</f>
        <v>0</v>
      </c>
      <c r="O6634" t="s">
        <v>20013</v>
      </c>
      <c r="Q6634" t="s">
        <v>20840</v>
      </c>
      <c r="R6634" t="s">
        <v>419</v>
      </c>
      <c r="S6634">
        <v>1483</v>
      </c>
    </row>
    <row r="6635" spans="1:19">
      <c r="A6635" t="s">
        <v>29</v>
      </c>
      <c r="B6635" t="s">
        <v>148</v>
      </c>
      <c r="C6635" t="s">
        <v>161</v>
      </c>
      <c r="D6635" t="s">
        <v>290</v>
      </c>
      <c r="E6635" t="s">
        <v>419</v>
      </c>
      <c r="F6635">
        <f>HYPERLINK("https://www.wikidata.org/wiki/Q33322771", "Q33322771")</f>
        <v>0</v>
      </c>
      <c r="G6635" t="s">
        <v>512</v>
      </c>
      <c r="H6635" t="s">
        <v>5277</v>
      </c>
      <c r="I6635" t="s">
        <v>6495</v>
      </c>
      <c r="J6635" t="s">
        <v>11264</v>
      </c>
      <c r="K6635" t="s">
        <v>15664</v>
      </c>
      <c r="L6635">
        <f>HYPERLINK("https://www2.assemblee-nationale.fr/sycomore/fiche/(num_dept)/451", "451")</f>
        <v>0</v>
      </c>
      <c r="M6635">
        <f>HYPERLINK("https://www.senat.fr/senateur-3eme-republique/barthou_louis1071r3.html", "barthou_louis1071r3")</f>
        <v>0</v>
      </c>
      <c r="N6635">
        <f>HYPERLINK("https://www.wikidata.org/wiki/Q271887", "Q271887")</f>
        <v>0</v>
      </c>
      <c r="O6635" t="s">
        <v>19970</v>
      </c>
      <c r="Q6635" t="s">
        <v>20840</v>
      </c>
      <c r="R6635" t="s">
        <v>419</v>
      </c>
      <c r="S6635">
        <v>1483</v>
      </c>
    </row>
    <row r="6636" spans="1:19">
      <c r="A6636" t="s">
        <v>29</v>
      </c>
      <c r="B6636" t="s">
        <v>148</v>
      </c>
      <c r="C6636" t="s">
        <v>161</v>
      </c>
      <c r="D6636" t="s">
        <v>290</v>
      </c>
      <c r="E6636" t="s">
        <v>419</v>
      </c>
      <c r="F6636">
        <f>HYPERLINK("https://www.wikidata.org/wiki/Q33322771", "Q33322771")</f>
        <v>0</v>
      </c>
      <c r="G6636" t="s">
        <v>513</v>
      </c>
      <c r="H6636" t="s">
        <v>5278</v>
      </c>
      <c r="I6636" t="s">
        <v>9381</v>
      </c>
      <c r="J6636" t="s">
        <v>11265</v>
      </c>
      <c r="K6636" t="s">
        <v>15665</v>
      </c>
      <c r="L6636">
        <f>HYPERLINK("https://www2.assemblee-nationale.fr/sycomore/fiche/(num_dept)/462", "462")</f>
        <v>0</v>
      </c>
      <c r="N6636">
        <f>HYPERLINK("https://www.wikidata.org/wiki/Q3588329", "Q3588329")</f>
        <v>0</v>
      </c>
      <c r="O6636" t="s">
        <v>19968</v>
      </c>
      <c r="Q6636" t="s">
        <v>20840</v>
      </c>
      <c r="R6636" t="s">
        <v>419</v>
      </c>
      <c r="S6636">
        <v>1483</v>
      </c>
    </row>
    <row r="6637" spans="1:19">
      <c r="A6637" t="s">
        <v>29</v>
      </c>
      <c r="B6637" t="s">
        <v>148</v>
      </c>
      <c r="C6637" t="s">
        <v>161</v>
      </c>
      <c r="D6637" t="s">
        <v>290</v>
      </c>
      <c r="E6637" t="s">
        <v>419</v>
      </c>
      <c r="F6637">
        <f>HYPERLINK("https://www.wikidata.org/wiki/Q33322771", "Q33322771")</f>
        <v>0</v>
      </c>
      <c r="G6637" t="s">
        <v>516</v>
      </c>
      <c r="H6637" t="s">
        <v>5280</v>
      </c>
      <c r="I6637" t="s">
        <v>9384</v>
      </c>
      <c r="J6637" t="s">
        <v>11268</v>
      </c>
      <c r="K6637" t="s">
        <v>15668</v>
      </c>
      <c r="L6637">
        <f>HYPERLINK("https://www2.assemblee-nationale.fr/sycomore/fiche/(num_dept)/501", "501")</f>
        <v>0</v>
      </c>
      <c r="N6637">
        <f>HYPERLINK("https://www.wikidata.org/wiki/Q2861911", "Q2861911")</f>
        <v>0</v>
      </c>
      <c r="O6637" t="s">
        <v>19972</v>
      </c>
      <c r="Q6637" t="s">
        <v>20840</v>
      </c>
      <c r="R6637" t="s">
        <v>419</v>
      </c>
      <c r="S6637">
        <v>1483</v>
      </c>
    </row>
    <row r="6638" spans="1:19">
      <c r="A6638" t="s">
        <v>29</v>
      </c>
      <c r="B6638" t="s">
        <v>148</v>
      </c>
      <c r="C6638" t="s">
        <v>161</v>
      </c>
      <c r="D6638" t="s">
        <v>290</v>
      </c>
      <c r="E6638" t="s">
        <v>419</v>
      </c>
      <c r="F6638">
        <f>HYPERLINK("https://www.wikidata.org/wiki/Q33322771", "Q33322771")</f>
        <v>0</v>
      </c>
      <c r="G6638" t="s">
        <v>3405</v>
      </c>
      <c r="H6638" t="s">
        <v>7793</v>
      </c>
      <c r="I6638" t="s">
        <v>10814</v>
      </c>
      <c r="J6638" t="s">
        <v>13459</v>
      </c>
      <c r="K6638" t="s">
        <v>18380</v>
      </c>
      <c r="L6638">
        <f>HYPERLINK("https://www2.assemblee-nationale.fr/sycomore/fiche/(num_dept)/502", "502")</f>
        <v>0</v>
      </c>
      <c r="N6638">
        <f>HYPERLINK("https://www.wikidata.org/wiki/Q3188340", "Q3188340")</f>
        <v>0</v>
      </c>
      <c r="O6638" t="s">
        <v>19969</v>
      </c>
      <c r="Q6638" t="s">
        <v>20840</v>
      </c>
      <c r="R6638" t="s">
        <v>419</v>
      </c>
      <c r="S6638">
        <v>1483</v>
      </c>
    </row>
    <row r="6639" spans="1:19">
      <c r="A6639" t="s">
        <v>29</v>
      </c>
      <c r="B6639" t="s">
        <v>148</v>
      </c>
      <c r="C6639" t="s">
        <v>161</v>
      </c>
      <c r="D6639" t="s">
        <v>290</v>
      </c>
      <c r="E6639" t="s">
        <v>419</v>
      </c>
      <c r="F6639">
        <f>HYPERLINK("https://www.wikidata.org/wiki/Q33322771", "Q33322771")</f>
        <v>0</v>
      </c>
      <c r="G6639" t="s">
        <v>3890</v>
      </c>
      <c r="H6639" t="s">
        <v>8152</v>
      </c>
      <c r="I6639" t="s">
        <v>11016</v>
      </c>
      <c r="J6639" t="s">
        <v>14448</v>
      </c>
      <c r="K6639" t="s">
        <v>18798</v>
      </c>
      <c r="L6639">
        <f>HYPERLINK("https://www2.assemblee-nationale.fr/sycomore/fiche/(num_dept)/522", "522")</f>
        <v>0</v>
      </c>
      <c r="N6639">
        <f>HYPERLINK("https://www.wikidata.org/wiki/Q15973551", "Q15973551")</f>
        <v>0</v>
      </c>
      <c r="O6639" t="s">
        <v>19998</v>
      </c>
      <c r="P6639" t="s">
        <v>20479</v>
      </c>
      <c r="Q6639" t="s">
        <v>20840</v>
      </c>
      <c r="R6639" t="s">
        <v>419</v>
      </c>
      <c r="S6639">
        <v>1483</v>
      </c>
    </row>
    <row r="6640" spans="1:19">
      <c r="A6640" t="s">
        <v>29</v>
      </c>
      <c r="B6640" t="s">
        <v>148</v>
      </c>
      <c r="C6640" t="s">
        <v>161</v>
      </c>
      <c r="D6640" t="s">
        <v>290</v>
      </c>
      <c r="E6640" t="s">
        <v>419</v>
      </c>
      <c r="F6640">
        <f>HYPERLINK("https://www.wikidata.org/wiki/Q33322771", "Q33322771")</f>
        <v>0</v>
      </c>
      <c r="G6640" t="s">
        <v>517</v>
      </c>
      <c r="H6640" t="s">
        <v>5281</v>
      </c>
      <c r="I6640" t="s">
        <v>9385</v>
      </c>
      <c r="J6640" t="s">
        <v>11269</v>
      </c>
      <c r="K6640" t="s">
        <v>15669</v>
      </c>
      <c r="L6640">
        <f>HYPERLINK("https://www2.assemblee-nationale.fr/sycomore/fiche/(num_dept)/538", "538")</f>
        <v>0</v>
      </c>
      <c r="N6640">
        <f>HYPERLINK("https://www.wikidata.org/wiki/Q2958509", "Q2958509")</f>
        <v>0</v>
      </c>
      <c r="O6640" t="s">
        <v>19973</v>
      </c>
      <c r="Q6640" t="s">
        <v>20840</v>
      </c>
      <c r="R6640" t="s">
        <v>419</v>
      </c>
      <c r="S6640">
        <v>1483</v>
      </c>
    </row>
    <row r="6641" spans="1:19">
      <c r="A6641" t="s">
        <v>29</v>
      </c>
      <c r="B6641" t="s">
        <v>148</v>
      </c>
      <c r="C6641" t="s">
        <v>161</v>
      </c>
      <c r="D6641" t="s">
        <v>290</v>
      </c>
      <c r="E6641" t="s">
        <v>419</v>
      </c>
      <c r="F6641">
        <f>HYPERLINK("https://www.wikidata.org/wiki/Q33322771", "Q33322771")</f>
        <v>0</v>
      </c>
      <c r="G6641" t="s">
        <v>3678</v>
      </c>
      <c r="H6641" t="s">
        <v>5286</v>
      </c>
      <c r="I6641" t="s">
        <v>9553</v>
      </c>
      <c r="J6641" t="s">
        <v>14255</v>
      </c>
      <c r="K6641" t="s">
        <v>18616</v>
      </c>
      <c r="L6641">
        <f>HYPERLINK("https://www2.assemblee-nationale.fr/sycomore/fiche/(num_dept)/647", "647")</f>
        <v>0</v>
      </c>
      <c r="M6641">
        <f>HYPERLINK("https://www.senat.fr/senateur-3eme-republique/berard_alexandre0019r3.html", "berard_alexandre0019r3")</f>
        <v>0</v>
      </c>
      <c r="N6641">
        <f>HYPERLINK("https://www.wikidata.org/wiki/Q2833511", "Q2833511")</f>
        <v>0</v>
      </c>
      <c r="O6641" t="s">
        <v>19986</v>
      </c>
      <c r="P6641" t="s">
        <v>20479</v>
      </c>
      <c r="Q6641" t="s">
        <v>20840</v>
      </c>
      <c r="R6641" t="s">
        <v>419</v>
      </c>
      <c r="S6641">
        <v>1483</v>
      </c>
    </row>
    <row r="6642" spans="1:19">
      <c r="A6642" t="s">
        <v>29</v>
      </c>
      <c r="B6642" t="s">
        <v>148</v>
      </c>
      <c r="C6642" t="s">
        <v>161</v>
      </c>
      <c r="D6642" t="s">
        <v>290</v>
      </c>
      <c r="E6642" t="s">
        <v>419</v>
      </c>
      <c r="F6642">
        <f>HYPERLINK("https://www.wikidata.org/wiki/Q33322771", "Q33322771")</f>
        <v>0</v>
      </c>
      <c r="G6642" t="s">
        <v>3679</v>
      </c>
      <c r="H6642" t="s">
        <v>8004</v>
      </c>
      <c r="I6642" t="s">
        <v>10931</v>
      </c>
      <c r="J6642" t="s">
        <v>14087</v>
      </c>
      <c r="K6642" t="s">
        <v>18617</v>
      </c>
      <c r="L6642">
        <f>HYPERLINK("https://www2.assemblee-nationale.fr/sycomore/fiche/(num_dept)/654", "654")</f>
        <v>0</v>
      </c>
      <c r="M6642">
        <f>HYPERLINK("https://www.senat.fr/senateur-3eme-republique/berdoly_martial1057r3.html", "berdoly_martial1057r3")</f>
        <v>0</v>
      </c>
      <c r="N6642">
        <f>HYPERLINK("https://www.wikidata.org/wiki/Q733735", "Q733735")</f>
        <v>0</v>
      </c>
      <c r="O6642" t="s">
        <v>19970</v>
      </c>
      <c r="P6642" t="s">
        <v>20459</v>
      </c>
      <c r="Q6642" t="s">
        <v>20840</v>
      </c>
      <c r="R6642" t="s">
        <v>21570</v>
      </c>
      <c r="S6642">
        <v>645</v>
      </c>
    </row>
    <row r="6643" spans="1:19">
      <c r="A6643" t="s">
        <v>29</v>
      </c>
      <c r="B6643" t="s">
        <v>148</v>
      </c>
      <c r="C6643" t="s">
        <v>161</v>
      </c>
      <c r="D6643" t="s">
        <v>290</v>
      </c>
      <c r="E6643" t="s">
        <v>419</v>
      </c>
      <c r="F6643">
        <f>HYPERLINK("https://www.wikidata.org/wiki/Q33322771", "Q33322771")</f>
        <v>0</v>
      </c>
      <c r="G6643" t="s">
        <v>3530</v>
      </c>
      <c r="H6643" t="s">
        <v>5946</v>
      </c>
      <c r="I6643" t="s">
        <v>10866</v>
      </c>
      <c r="J6643" t="s">
        <v>14124</v>
      </c>
      <c r="K6643" t="s">
        <v>18490</v>
      </c>
      <c r="L6643">
        <f>HYPERLINK("https://www2.assemblee-nationale.fr/sycomore/fiche/(num_dept)/664", "664")</f>
        <v>0</v>
      </c>
      <c r="N6643">
        <f>HYPERLINK("https://www.wikidata.org/wiki/Q13080880", "Q13080880")</f>
        <v>0</v>
      </c>
      <c r="O6643" t="s">
        <v>19969</v>
      </c>
      <c r="P6643" t="s">
        <v>20479</v>
      </c>
      <c r="Q6643" t="s">
        <v>20840</v>
      </c>
      <c r="R6643" t="s">
        <v>419</v>
      </c>
      <c r="S6643">
        <v>1483</v>
      </c>
    </row>
    <row r="6644" spans="1:19">
      <c r="A6644" t="s">
        <v>29</v>
      </c>
      <c r="B6644" t="s">
        <v>148</v>
      </c>
      <c r="C6644" t="s">
        <v>161</v>
      </c>
      <c r="D6644" t="s">
        <v>290</v>
      </c>
      <c r="E6644" t="s">
        <v>419</v>
      </c>
      <c r="F6644">
        <f>HYPERLINK("https://www.wikidata.org/wiki/Q33322771", "Q33322771")</f>
        <v>0</v>
      </c>
      <c r="G6644" t="s">
        <v>3891</v>
      </c>
      <c r="H6644" t="s">
        <v>5948</v>
      </c>
      <c r="I6644" t="s">
        <v>9386</v>
      </c>
      <c r="J6644" t="s">
        <v>14449</v>
      </c>
      <c r="K6644" t="s">
        <v>18799</v>
      </c>
      <c r="L6644">
        <f>HYPERLINK("https://www2.assemblee-nationale.fr/sycomore/fiche/(num_dept)/693", "693")</f>
        <v>0</v>
      </c>
      <c r="N6644">
        <f>HYPERLINK("https://www.wikidata.org/wiki/Q28120688", "Q28120688")</f>
        <v>0</v>
      </c>
      <c r="O6644" t="s">
        <v>19969</v>
      </c>
      <c r="P6644" t="s">
        <v>20485</v>
      </c>
      <c r="Q6644" t="s">
        <v>20840</v>
      </c>
      <c r="R6644" t="s">
        <v>419</v>
      </c>
      <c r="S6644">
        <v>1483</v>
      </c>
    </row>
    <row r="6645" spans="1:19">
      <c r="A6645" t="s">
        <v>29</v>
      </c>
      <c r="B6645" t="s">
        <v>148</v>
      </c>
      <c r="C6645" t="s">
        <v>161</v>
      </c>
      <c r="D6645" t="s">
        <v>290</v>
      </c>
      <c r="E6645" t="s">
        <v>419</v>
      </c>
      <c r="F6645">
        <f>HYPERLINK("https://www.wikidata.org/wiki/Q33322771", "Q33322771")</f>
        <v>0</v>
      </c>
      <c r="G6645" t="s">
        <v>524</v>
      </c>
      <c r="H6645" t="s">
        <v>5288</v>
      </c>
      <c r="I6645" t="s">
        <v>9392</v>
      </c>
      <c r="J6645" t="s">
        <v>11276</v>
      </c>
      <c r="K6645" t="s">
        <v>15676</v>
      </c>
      <c r="L6645">
        <f>HYPERLINK("https://www2.assemblee-nationale.fr/sycomore/fiche/(num_dept)/715", "715")</f>
        <v>0</v>
      </c>
      <c r="N6645">
        <f>HYPERLINK("https://www.wikidata.org/wiki/Q3102282", "Q3102282")</f>
        <v>0</v>
      </c>
      <c r="O6645" t="s">
        <v>19969</v>
      </c>
      <c r="P6645" t="s">
        <v>20460</v>
      </c>
      <c r="Q6645" t="s">
        <v>20840</v>
      </c>
      <c r="R6645" t="s">
        <v>419</v>
      </c>
      <c r="S6645">
        <v>1483</v>
      </c>
    </row>
    <row r="6646" spans="1:19">
      <c r="A6646" t="s">
        <v>29</v>
      </c>
      <c r="B6646" t="s">
        <v>148</v>
      </c>
      <c r="C6646" t="s">
        <v>161</v>
      </c>
      <c r="D6646" t="s">
        <v>290</v>
      </c>
      <c r="E6646" t="s">
        <v>419</v>
      </c>
      <c r="F6646">
        <f>HYPERLINK("https://www.wikidata.org/wiki/Q33322771", "Q33322771")</f>
        <v>0</v>
      </c>
      <c r="G6646" t="s">
        <v>3892</v>
      </c>
      <c r="H6646" t="s">
        <v>8153</v>
      </c>
      <c r="I6646" t="s">
        <v>9388</v>
      </c>
      <c r="J6646" t="s">
        <v>14450</v>
      </c>
      <c r="K6646" t="s">
        <v>18800</v>
      </c>
      <c r="L6646">
        <f>HYPERLINK("https://www2.assemblee-nationale.fr/sycomore/fiche/(num_dept)/716", "716")</f>
        <v>0</v>
      </c>
      <c r="M6646">
        <f>HYPERLINK("https://www.senat.fr/senateur-3eme-republique/bersez_paul1400r3.html", "bersez_paul1400r3")</f>
        <v>0</v>
      </c>
      <c r="N6646">
        <f>HYPERLINK("https://www.wikidata.org/wiki/Q3370626", "Q3370626")</f>
        <v>0</v>
      </c>
      <c r="O6646" t="s">
        <v>20013</v>
      </c>
      <c r="Q6646" t="s">
        <v>20840</v>
      </c>
      <c r="R6646" t="s">
        <v>419</v>
      </c>
      <c r="S6646">
        <v>1483</v>
      </c>
    </row>
    <row r="6647" spans="1:19">
      <c r="A6647" t="s">
        <v>29</v>
      </c>
      <c r="B6647" t="s">
        <v>148</v>
      </c>
      <c r="C6647" t="s">
        <v>161</v>
      </c>
      <c r="D6647" t="s">
        <v>290</v>
      </c>
      <c r="E6647" t="s">
        <v>419</v>
      </c>
      <c r="F6647">
        <f>HYPERLINK("https://www.wikidata.org/wiki/Q33322771", "Q33322771")</f>
        <v>0</v>
      </c>
      <c r="G6647" t="s">
        <v>525</v>
      </c>
      <c r="H6647" t="s">
        <v>5289</v>
      </c>
      <c r="I6647" t="s">
        <v>7642</v>
      </c>
      <c r="J6647" t="s">
        <v>11277</v>
      </c>
      <c r="K6647" t="s">
        <v>15677</v>
      </c>
      <c r="L6647">
        <f>HYPERLINK("https://www2.assemblee-nationale.fr/sycomore/fiche/(num_dept)/720", "720")</f>
        <v>0</v>
      </c>
      <c r="N6647">
        <f>HYPERLINK("https://www.wikidata.org/wiki/Q3300415", "Q3300415")</f>
        <v>0</v>
      </c>
      <c r="O6647" t="s">
        <v>19976</v>
      </c>
      <c r="P6647" t="s">
        <v>20477</v>
      </c>
      <c r="Q6647" t="s">
        <v>20840</v>
      </c>
      <c r="R6647" t="s">
        <v>419</v>
      </c>
      <c r="S6647">
        <v>1483</v>
      </c>
    </row>
    <row r="6648" spans="1:19">
      <c r="A6648" t="s">
        <v>29</v>
      </c>
      <c r="B6648" t="s">
        <v>148</v>
      </c>
      <c r="C6648" t="s">
        <v>161</v>
      </c>
      <c r="D6648" t="s">
        <v>290</v>
      </c>
      <c r="E6648" t="s">
        <v>419</v>
      </c>
      <c r="F6648">
        <f>HYPERLINK("https://www.wikidata.org/wiki/Q33322771", "Q33322771")</f>
        <v>0</v>
      </c>
      <c r="G6648" t="s">
        <v>3893</v>
      </c>
      <c r="H6648" t="s">
        <v>8129</v>
      </c>
      <c r="I6648" t="s">
        <v>5528</v>
      </c>
      <c r="J6648" t="s">
        <v>11853</v>
      </c>
      <c r="K6648" t="s">
        <v>18801</v>
      </c>
      <c r="L6648">
        <f>HYPERLINK("https://www2.assemblee-nationale.fr/sycomore/fiche/(num_dept)/725", "725")</f>
        <v>0</v>
      </c>
      <c r="N6648">
        <f>HYPERLINK("https://www.wikidata.org/wiki/Q3270733", "Q3270733")</f>
        <v>0</v>
      </c>
      <c r="O6648" t="s">
        <v>20018</v>
      </c>
      <c r="Q6648" t="s">
        <v>20840</v>
      </c>
      <c r="R6648" t="s">
        <v>419</v>
      </c>
      <c r="S6648">
        <v>1483</v>
      </c>
    </row>
    <row r="6649" spans="1:19">
      <c r="A6649" t="s">
        <v>29</v>
      </c>
      <c r="B6649" t="s">
        <v>148</v>
      </c>
      <c r="C6649" t="s">
        <v>161</v>
      </c>
      <c r="D6649" t="s">
        <v>290</v>
      </c>
      <c r="E6649" t="s">
        <v>419</v>
      </c>
      <c r="F6649">
        <f>HYPERLINK("https://www.wikidata.org/wiki/Q33322771", "Q33322771")</f>
        <v>0</v>
      </c>
      <c r="G6649" t="s">
        <v>3406</v>
      </c>
      <c r="H6649" t="s">
        <v>5630</v>
      </c>
      <c r="I6649" t="s">
        <v>10815</v>
      </c>
      <c r="J6649" t="s">
        <v>11427</v>
      </c>
      <c r="K6649" t="s">
        <v>18381</v>
      </c>
      <c r="L6649">
        <f>HYPERLINK("https://www2.assemblee-nationale.fr/sycomore/fiche/(num_dept)/747", "747")</f>
        <v>0</v>
      </c>
      <c r="N6649">
        <f>HYPERLINK("https://www.wikidata.org/wiki/Q16011065", "Q16011065")</f>
        <v>0</v>
      </c>
      <c r="O6649" t="s">
        <v>20025</v>
      </c>
      <c r="Q6649" t="s">
        <v>20840</v>
      </c>
      <c r="R6649" t="s">
        <v>419</v>
      </c>
      <c r="S6649">
        <v>1483</v>
      </c>
    </row>
    <row r="6650" spans="1:19">
      <c r="A6650" t="s">
        <v>29</v>
      </c>
      <c r="B6650" t="s">
        <v>148</v>
      </c>
      <c r="C6650" t="s">
        <v>161</v>
      </c>
      <c r="D6650" t="s">
        <v>290</v>
      </c>
      <c r="E6650" t="s">
        <v>419</v>
      </c>
      <c r="F6650">
        <f>HYPERLINK("https://www.wikidata.org/wiki/Q33322771", "Q33322771")</f>
        <v>0</v>
      </c>
      <c r="G6650" t="s">
        <v>3872</v>
      </c>
      <c r="H6650" t="s">
        <v>8140</v>
      </c>
      <c r="I6650" t="s">
        <v>6200</v>
      </c>
      <c r="J6650" t="s">
        <v>14431</v>
      </c>
      <c r="K6650" t="s">
        <v>18783</v>
      </c>
      <c r="L6650">
        <f>HYPERLINK("https://www2.assemblee-nationale.fr/sycomore/fiche/(num_dept)/790", "790")</f>
        <v>0</v>
      </c>
      <c r="M6650">
        <f>HYPERLINK("https://www.senat.fr/senateur-3eme-republique/bienvenu_martin_jean_baptiste1840r3.html", "bienvenu_martin_jean_baptiste1840r3")</f>
        <v>0</v>
      </c>
      <c r="N6650">
        <f>HYPERLINK("https://www.wikidata.org/wiki/Q325552", "Q325552")</f>
        <v>0</v>
      </c>
      <c r="O6650" t="s">
        <v>20034</v>
      </c>
      <c r="P6650" t="s">
        <v>20401</v>
      </c>
      <c r="Q6650" t="s">
        <v>20840</v>
      </c>
      <c r="R6650" t="s">
        <v>419</v>
      </c>
      <c r="S6650">
        <v>1483</v>
      </c>
    </row>
    <row r="6651" spans="1:19">
      <c r="A6651" t="s">
        <v>29</v>
      </c>
      <c r="B6651" t="s">
        <v>148</v>
      </c>
      <c r="C6651" t="s">
        <v>161</v>
      </c>
      <c r="D6651" t="s">
        <v>290</v>
      </c>
      <c r="E6651" t="s">
        <v>419</v>
      </c>
      <c r="F6651">
        <f>HYPERLINK("https://www.wikidata.org/wiki/Q33322771", "Q33322771")</f>
        <v>0</v>
      </c>
      <c r="G6651" t="s">
        <v>529</v>
      </c>
      <c r="H6651" t="s">
        <v>5293</v>
      </c>
      <c r="I6651" t="s">
        <v>9394</v>
      </c>
      <c r="J6651" t="s">
        <v>11281</v>
      </c>
      <c r="K6651" t="s">
        <v>15681</v>
      </c>
      <c r="L6651">
        <f>HYPERLINK("https://www2.assemblee-nationale.fr/sycomore/fiche/(num_dept)/817", "817")</f>
        <v>0</v>
      </c>
      <c r="N6651">
        <f>HYPERLINK("https://www.wikidata.org/wiki/Q3300423", "Q3300423")</f>
        <v>0</v>
      </c>
      <c r="O6651" t="s">
        <v>19969</v>
      </c>
      <c r="Q6651" t="s">
        <v>20840</v>
      </c>
      <c r="R6651" t="s">
        <v>419</v>
      </c>
      <c r="S6651">
        <v>1483</v>
      </c>
    </row>
    <row r="6652" spans="1:19">
      <c r="A6652" t="s">
        <v>29</v>
      </c>
      <c r="B6652" t="s">
        <v>148</v>
      </c>
      <c r="C6652" t="s">
        <v>161</v>
      </c>
      <c r="D6652" t="s">
        <v>290</v>
      </c>
      <c r="E6652" t="s">
        <v>419</v>
      </c>
      <c r="F6652">
        <f>HYPERLINK("https://www.wikidata.org/wiki/Q33322771", "Q33322771")</f>
        <v>0</v>
      </c>
      <c r="G6652" t="s">
        <v>2502</v>
      </c>
      <c r="H6652" t="s">
        <v>7072</v>
      </c>
      <c r="I6652" t="s">
        <v>10250</v>
      </c>
      <c r="J6652" t="s">
        <v>13146</v>
      </c>
      <c r="K6652" t="s">
        <v>17554</v>
      </c>
      <c r="L6652">
        <f>HYPERLINK("https://www2.assemblee-nationale.fr/sycomore/fiche/(num_dept)/827", "827")</f>
        <v>0</v>
      </c>
      <c r="N6652">
        <f>HYPERLINK("https://www.wikidata.org/wiki/Q3419404", "Q3419404")</f>
        <v>0</v>
      </c>
      <c r="O6652" t="s">
        <v>20024</v>
      </c>
      <c r="P6652" t="s">
        <v>20409</v>
      </c>
      <c r="Q6652" t="s">
        <v>20840</v>
      </c>
      <c r="R6652" t="s">
        <v>419</v>
      </c>
      <c r="S6652">
        <v>1483</v>
      </c>
    </row>
    <row r="6653" spans="1:19">
      <c r="A6653" t="s">
        <v>29</v>
      </c>
      <c r="B6653" t="s">
        <v>148</v>
      </c>
      <c r="C6653" t="s">
        <v>161</v>
      </c>
      <c r="D6653" t="s">
        <v>290</v>
      </c>
      <c r="E6653" t="s">
        <v>419</v>
      </c>
      <c r="F6653">
        <f>HYPERLINK("https://www.wikidata.org/wiki/Q33322771", "Q33322771")</f>
        <v>0</v>
      </c>
      <c r="G6653" t="s">
        <v>2503</v>
      </c>
      <c r="H6653" t="s">
        <v>7073</v>
      </c>
      <c r="I6653" t="s">
        <v>6495</v>
      </c>
      <c r="J6653" t="s">
        <v>13147</v>
      </c>
      <c r="K6653" t="s">
        <v>17555</v>
      </c>
      <c r="L6653">
        <f>HYPERLINK("https://www2.assemblee-nationale.fr/sycomore/fiche/(num_dept)/831", "831")</f>
        <v>0</v>
      </c>
      <c r="M6653">
        <f>HYPERLINK("https://www.senat.fr/senateur-3eme-republique/bizarelli_louis0715r3.html", "bizarelli_louis0715r3")</f>
        <v>0</v>
      </c>
      <c r="N6653">
        <f>HYPERLINK("https://www.wikidata.org/wiki/Q3261277", "Q3261277")</f>
        <v>0</v>
      </c>
      <c r="O6653" t="s">
        <v>20044</v>
      </c>
      <c r="Q6653" t="s">
        <v>20840</v>
      </c>
      <c r="R6653" t="s">
        <v>21571</v>
      </c>
      <c r="S6653">
        <v>372</v>
      </c>
    </row>
    <row r="6654" spans="1:19">
      <c r="A6654" t="s">
        <v>29</v>
      </c>
      <c r="B6654" t="s">
        <v>148</v>
      </c>
      <c r="C6654" t="s">
        <v>161</v>
      </c>
      <c r="D6654" t="s">
        <v>290</v>
      </c>
      <c r="E6654" t="s">
        <v>419</v>
      </c>
      <c r="F6654">
        <f>HYPERLINK("https://www.wikidata.org/wiki/Q33322771", "Q33322771")</f>
        <v>0</v>
      </c>
      <c r="G6654" t="s">
        <v>3533</v>
      </c>
      <c r="H6654" t="s">
        <v>7894</v>
      </c>
      <c r="I6654" t="s">
        <v>10868</v>
      </c>
      <c r="J6654" t="s">
        <v>14127</v>
      </c>
      <c r="K6654" t="s">
        <v>18452</v>
      </c>
      <c r="L6654">
        <f>HYPERLINK("https://www2.assemblee-nationale.fr/sycomore/fiche/(num_dept)/834", "834")</f>
        <v>0</v>
      </c>
      <c r="N6654">
        <f>HYPERLINK("https://www.wikidata.org/wiki/Q3059731", "Q3059731")</f>
        <v>0</v>
      </c>
      <c r="O6654" t="s">
        <v>19986</v>
      </c>
      <c r="P6654" t="s">
        <v>20401</v>
      </c>
      <c r="Q6654" t="s">
        <v>20840</v>
      </c>
      <c r="R6654" t="s">
        <v>419</v>
      </c>
      <c r="S6654">
        <v>1483</v>
      </c>
    </row>
    <row r="6655" spans="1:19">
      <c r="A6655" t="s">
        <v>29</v>
      </c>
      <c r="B6655" t="s">
        <v>148</v>
      </c>
      <c r="C6655" t="s">
        <v>161</v>
      </c>
      <c r="D6655" t="s">
        <v>290</v>
      </c>
      <c r="E6655" t="s">
        <v>419</v>
      </c>
      <c r="F6655">
        <f>HYPERLINK("https://www.wikidata.org/wiki/Q33322771", "Q33322771")</f>
        <v>0</v>
      </c>
      <c r="G6655" t="s">
        <v>3747</v>
      </c>
      <c r="H6655" t="s">
        <v>5296</v>
      </c>
      <c r="I6655" t="s">
        <v>9602</v>
      </c>
      <c r="J6655" t="s">
        <v>14321</v>
      </c>
      <c r="K6655" t="s">
        <v>18673</v>
      </c>
      <c r="L6655">
        <f>HYPERLINK("https://www2.assemblee-nationale.fr/sycomore/fiche/(num_dept)/846", "846")</f>
        <v>0</v>
      </c>
      <c r="N6655">
        <f>HYPERLINK("https://www.wikidata.org/wiki/Q3047749", "Q3047749")</f>
        <v>0</v>
      </c>
      <c r="O6655" t="s">
        <v>20027</v>
      </c>
      <c r="P6655" t="s">
        <v>20411</v>
      </c>
      <c r="Q6655" t="s">
        <v>20840</v>
      </c>
      <c r="R6655" t="s">
        <v>419</v>
      </c>
      <c r="S6655">
        <v>1483</v>
      </c>
    </row>
    <row r="6656" spans="1:19">
      <c r="A6656" t="s">
        <v>29</v>
      </c>
      <c r="B6656" t="s">
        <v>148</v>
      </c>
      <c r="C6656" t="s">
        <v>161</v>
      </c>
      <c r="D6656" t="s">
        <v>290</v>
      </c>
      <c r="E6656" t="s">
        <v>419</v>
      </c>
      <c r="F6656">
        <f>HYPERLINK("https://www.wikidata.org/wiki/Q33322771", "Q33322771")</f>
        <v>0</v>
      </c>
      <c r="G6656" t="s">
        <v>3681</v>
      </c>
      <c r="H6656" t="s">
        <v>5296</v>
      </c>
      <c r="I6656" t="s">
        <v>9457</v>
      </c>
      <c r="J6656" t="s">
        <v>14257</v>
      </c>
      <c r="K6656" t="s">
        <v>18619</v>
      </c>
      <c r="L6656">
        <f>HYPERLINK("https://www2.assemblee-nationale.fr/sycomore/fiche/(num_dept)/847", "847")</f>
        <v>0</v>
      </c>
      <c r="N6656">
        <f>HYPERLINK("https://www.wikidata.org/wiki/Q3132638", "Q3132638")</f>
        <v>0</v>
      </c>
      <c r="O6656" t="s">
        <v>19993</v>
      </c>
      <c r="P6656" t="s">
        <v>20411</v>
      </c>
      <c r="Q6656" t="s">
        <v>20840</v>
      </c>
      <c r="R6656" t="s">
        <v>419</v>
      </c>
      <c r="S6656">
        <v>1483</v>
      </c>
    </row>
    <row r="6657" spans="1:19">
      <c r="A6657" t="s">
        <v>29</v>
      </c>
      <c r="B6657" t="s">
        <v>148</v>
      </c>
      <c r="C6657" t="s">
        <v>161</v>
      </c>
      <c r="D6657" t="s">
        <v>290</v>
      </c>
      <c r="E6657" t="s">
        <v>419</v>
      </c>
      <c r="F6657">
        <f>HYPERLINK("https://www.wikidata.org/wiki/Q33322771", "Q33322771")</f>
        <v>0</v>
      </c>
      <c r="G6657" t="s">
        <v>3667</v>
      </c>
      <c r="H6657" t="s">
        <v>5296</v>
      </c>
      <c r="I6657" t="s">
        <v>10925</v>
      </c>
      <c r="J6657" t="s">
        <v>14246</v>
      </c>
      <c r="K6657" t="s">
        <v>16434</v>
      </c>
      <c r="L6657">
        <f>HYPERLINK("https://www2.assemblee-nationale.fr/sycomore/fiche/(num_dept)/849", "849")</f>
        <v>0</v>
      </c>
      <c r="M6657">
        <f>HYPERLINK("https://www.senat.fr/senateur-3eme-republique/blanc_louis0729r3.html", "blanc_louis0729r3")</f>
        <v>0</v>
      </c>
      <c r="N6657">
        <f>HYPERLINK("https://www.wikidata.org/wiki/Q3261279", "Q3261279")</f>
        <v>0</v>
      </c>
      <c r="O6657" t="s">
        <v>20044</v>
      </c>
      <c r="P6657" t="s">
        <v>20477</v>
      </c>
      <c r="Q6657" t="s">
        <v>20840</v>
      </c>
      <c r="R6657" t="s">
        <v>21161</v>
      </c>
      <c r="S6657">
        <v>1379</v>
      </c>
    </row>
    <row r="6658" spans="1:19">
      <c r="A6658" t="s">
        <v>29</v>
      </c>
      <c r="B6658" t="s">
        <v>148</v>
      </c>
      <c r="C6658" t="s">
        <v>161</v>
      </c>
      <c r="D6658" t="s">
        <v>290</v>
      </c>
      <c r="E6658" t="s">
        <v>419</v>
      </c>
      <c r="F6658">
        <f>HYPERLINK("https://www.wikidata.org/wiki/Q33322771", "Q33322771")</f>
        <v>0</v>
      </c>
      <c r="G6658" t="s">
        <v>3882</v>
      </c>
      <c r="H6658" t="s">
        <v>8145</v>
      </c>
      <c r="I6658" t="s">
        <v>11010</v>
      </c>
      <c r="J6658" t="s">
        <v>14440</v>
      </c>
      <c r="K6658" t="s">
        <v>18791</v>
      </c>
      <c r="L6658">
        <f>HYPERLINK("https://www2.assemblee-nationale.fr/sycomore/fiche/(num_dept)/961", "961")</f>
        <v>0</v>
      </c>
      <c r="M6658">
        <f>HYPERLINK("https://www.senat.fr/senateur-3eme-republique/bontemps_charles1170r3.html", "bontemps_charles1170r3")</f>
        <v>0</v>
      </c>
      <c r="N6658">
        <f>HYPERLINK("https://www.wikidata.org/wiki/Q2958577", "Q2958577")</f>
        <v>0</v>
      </c>
      <c r="O6658" t="s">
        <v>20036</v>
      </c>
      <c r="P6658" t="s">
        <v>20471</v>
      </c>
      <c r="Q6658" t="s">
        <v>20840</v>
      </c>
      <c r="R6658" t="s">
        <v>21572</v>
      </c>
      <c r="S6658">
        <v>639</v>
      </c>
    </row>
    <row r="6659" spans="1:19">
      <c r="A6659" t="s">
        <v>29</v>
      </c>
      <c r="B6659" t="s">
        <v>148</v>
      </c>
      <c r="C6659" t="s">
        <v>161</v>
      </c>
      <c r="D6659" t="s">
        <v>290</v>
      </c>
      <c r="E6659" t="s">
        <v>419</v>
      </c>
      <c r="F6659">
        <f>HYPERLINK("https://www.wikidata.org/wiki/Q33322771", "Q33322771")</f>
        <v>0</v>
      </c>
      <c r="G6659" t="s">
        <v>3409</v>
      </c>
      <c r="H6659" t="s">
        <v>7796</v>
      </c>
      <c r="I6659" t="s">
        <v>9401</v>
      </c>
      <c r="J6659" t="s">
        <v>14015</v>
      </c>
      <c r="K6659" t="s">
        <v>18383</v>
      </c>
      <c r="L6659">
        <f>HYPERLINK("https://www2.assemblee-nationale.fr/sycomore/fiche/(num_dept)/965", "965")</f>
        <v>0</v>
      </c>
      <c r="M6659">
        <f>HYPERLINK("https://www.senat.fr/senateur-3eme-republique/bony_cisternes_antoine0999r3.html", "bony_cisternes_antoine0999r3")</f>
        <v>0</v>
      </c>
      <c r="N6659">
        <f>HYPERLINK("https://www.wikidata.org/wiki/Q2853703", "Q2853703")</f>
        <v>0</v>
      </c>
      <c r="O6659" t="s">
        <v>20005</v>
      </c>
      <c r="P6659" t="s">
        <v>20411</v>
      </c>
      <c r="Q6659" t="s">
        <v>20840</v>
      </c>
      <c r="R6659" t="s">
        <v>419</v>
      </c>
      <c r="S6659">
        <v>1483</v>
      </c>
    </row>
    <row r="6660" spans="1:19">
      <c r="A6660" t="s">
        <v>29</v>
      </c>
      <c r="B6660" t="s">
        <v>148</v>
      </c>
      <c r="C6660" t="s">
        <v>161</v>
      </c>
      <c r="D6660" t="s">
        <v>290</v>
      </c>
      <c r="E6660" t="s">
        <v>419</v>
      </c>
      <c r="F6660">
        <f>HYPERLINK("https://www.wikidata.org/wiki/Q33322771", "Q33322771")</f>
        <v>0</v>
      </c>
      <c r="G6660" t="s">
        <v>3894</v>
      </c>
      <c r="H6660" t="s">
        <v>8154</v>
      </c>
      <c r="I6660" t="s">
        <v>11017</v>
      </c>
      <c r="J6660" t="s">
        <v>14451</v>
      </c>
      <c r="K6660" t="s">
        <v>18802</v>
      </c>
      <c r="L6660">
        <f>HYPERLINK("https://www2.assemblee-nationale.fr/sycomore/fiche/(num_dept)/971", "971")</f>
        <v>0</v>
      </c>
      <c r="N6660">
        <f>HYPERLINK("https://www.wikidata.org/wiki/Q15973808", "Q15973808")</f>
        <v>0</v>
      </c>
      <c r="O6660" t="s">
        <v>19971</v>
      </c>
      <c r="P6660" t="s">
        <v>20402</v>
      </c>
      <c r="Q6660" t="s">
        <v>20840</v>
      </c>
      <c r="R6660" t="s">
        <v>419</v>
      </c>
      <c r="S6660">
        <v>1483</v>
      </c>
    </row>
    <row r="6661" spans="1:19">
      <c r="A6661" t="s">
        <v>29</v>
      </c>
      <c r="B6661" t="s">
        <v>148</v>
      </c>
      <c r="C6661" t="s">
        <v>161</v>
      </c>
      <c r="D6661" t="s">
        <v>290</v>
      </c>
      <c r="E6661" t="s">
        <v>419</v>
      </c>
      <c r="F6661">
        <f>HYPERLINK("https://www.wikidata.org/wiki/Q33322771", "Q33322771")</f>
        <v>0</v>
      </c>
      <c r="G6661" t="s">
        <v>3895</v>
      </c>
      <c r="H6661" t="s">
        <v>8155</v>
      </c>
      <c r="I6661" t="s">
        <v>11018</v>
      </c>
      <c r="J6661" t="s">
        <v>14452</v>
      </c>
      <c r="K6661" t="s">
        <v>18803</v>
      </c>
      <c r="L6661">
        <f>HYPERLINK("https://www2.assemblee-nationale.fr/sycomore/fiche/(num_dept)/981", "981")</f>
        <v>0</v>
      </c>
      <c r="M6661">
        <f>HYPERLINK("https://www.senat.fr/senateur-3eme-republique/borne_charles0678r3.html", "borne_charles0678r3")</f>
        <v>0</v>
      </c>
      <c r="N6661">
        <f>HYPERLINK("https://www.wikidata.org/wiki/Q2958581", "Q2958581")</f>
        <v>0</v>
      </c>
      <c r="O6661" t="s">
        <v>19973</v>
      </c>
      <c r="P6661" t="s">
        <v>20471</v>
      </c>
      <c r="Q6661" t="s">
        <v>20840</v>
      </c>
      <c r="R6661" t="s">
        <v>419</v>
      </c>
      <c r="S6661">
        <v>1483</v>
      </c>
    </row>
    <row r="6662" spans="1:19">
      <c r="A6662" t="s">
        <v>29</v>
      </c>
      <c r="B6662" t="s">
        <v>148</v>
      </c>
      <c r="C6662" t="s">
        <v>161</v>
      </c>
      <c r="D6662" t="s">
        <v>290</v>
      </c>
      <c r="E6662" t="s">
        <v>419</v>
      </c>
      <c r="F6662">
        <f>HYPERLINK("https://www.wikidata.org/wiki/Q33322771", "Q33322771")</f>
        <v>0</v>
      </c>
      <c r="G6662" t="s">
        <v>3410</v>
      </c>
      <c r="H6662" t="s">
        <v>7544</v>
      </c>
      <c r="I6662" t="s">
        <v>6478</v>
      </c>
      <c r="J6662" t="s">
        <v>14016</v>
      </c>
      <c r="K6662" t="s">
        <v>18384</v>
      </c>
      <c r="L6662">
        <f>HYPERLINK("https://www2.assemblee-nationale.fr/sycomore/fiche/(num_dept)/1008", "1008")</f>
        <v>0</v>
      </c>
      <c r="M6662">
        <f>HYPERLINK("https://www.senat.fr/senateur-3eme-republique/boucher_henry1805r3.html", "boucher_henry1805r3")</f>
        <v>0</v>
      </c>
      <c r="N6662">
        <f>HYPERLINK("https://www.wikidata.org/wiki/Q3132647", "Q3132647")</f>
        <v>0</v>
      </c>
      <c r="O6662" t="s">
        <v>20017</v>
      </c>
      <c r="Q6662" t="s">
        <v>20840</v>
      </c>
      <c r="R6662" t="s">
        <v>419</v>
      </c>
      <c r="S6662">
        <v>1483</v>
      </c>
    </row>
    <row r="6663" spans="1:19">
      <c r="A6663" t="s">
        <v>29</v>
      </c>
      <c r="B6663" t="s">
        <v>148</v>
      </c>
      <c r="C6663" t="s">
        <v>161</v>
      </c>
      <c r="D6663" t="s">
        <v>290</v>
      </c>
      <c r="E6663" t="s">
        <v>419</v>
      </c>
      <c r="F6663">
        <f>HYPERLINK("https://www.wikidata.org/wiki/Q33322771", "Q33322771")</f>
        <v>0</v>
      </c>
      <c r="G6663" t="s">
        <v>3411</v>
      </c>
      <c r="H6663" t="s">
        <v>7797</v>
      </c>
      <c r="I6663" t="s">
        <v>10816</v>
      </c>
      <c r="J6663" t="s">
        <v>14017</v>
      </c>
      <c r="K6663" t="s">
        <v>18385</v>
      </c>
      <c r="L6663">
        <f>HYPERLINK("https://www2.assemblee-nationale.fr/sycomore/fiche/(num_dept)/1018", "1018")</f>
        <v>0</v>
      </c>
      <c r="M6663">
        <f>HYPERLINK("https://www.senat.fr/senateur-3eme-republique/boudenoot_louis0930r3.html", "boudenoot_louis0930r3")</f>
        <v>0</v>
      </c>
      <c r="N6663">
        <f>HYPERLINK("https://www.wikidata.org/wiki/Q3261324", "Q3261324")</f>
        <v>0</v>
      </c>
      <c r="O6663" t="s">
        <v>19968</v>
      </c>
      <c r="P6663" t="s">
        <v>20411</v>
      </c>
      <c r="Q6663" t="s">
        <v>20840</v>
      </c>
      <c r="R6663" t="s">
        <v>21573</v>
      </c>
      <c r="S6663">
        <v>1303</v>
      </c>
    </row>
    <row r="6664" spans="1:19">
      <c r="A6664" t="s">
        <v>29</v>
      </c>
      <c r="B6664" t="s">
        <v>148</v>
      </c>
      <c r="C6664" t="s">
        <v>161</v>
      </c>
      <c r="D6664" t="s">
        <v>290</v>
      </c>
      <c r="E6664" t="s">
        <v>419</v>
      </c>
      <c r="F6664">
        <f>HYPERLINK("https://www.wikidata.org/wiki/Q33322771", "Q33322771")</f>
        <v>0</v>
      </c>
      <c r="G6664" t="s">
        <v>544</v>
      </c>
      <c r="H6664" t="s">
        <v>5308</v>
      </c>
      <c r="I6664" t="s">
        <v>9376</v>
      </c>
      <c r="J6664" t="s">
        <v>11296</v>
      </c>
      <c r="K6664" t="s">
        <v>15696</v>
      </c>
      <c r="L6664">
        <f>HYPERLINK("https://www2.assemblee-nationale.fr/sycomore/fiche/(num_dept)/1030", "1030")</f>
        <v>0</v>
      </c>
      <c r="M6664">
        <f>HYPERLINK("https://www.senat.fr/senateur-3eme-republique/bougere_ferdinand1163r3.html", "bougere_ferdinand1163r3")</f>
        <v>0</v>
      </c>
      <c r="N6664">
        <f>HYPERLINK("https://www.wikidata.org/wiki/Q8299130", "Q8299130")</f>
        <v>0</v>
      </c>
      <c r="O6664" t="s">
        <v>19980</v>
      </c>
      <c r="Q6664" t="s">
        <v>20840</v>
      </c>
      <c r="R6664" t="s">
        <v>419</v>
      </c>
      <c r="S6664">
        <v>1483</v>
      </c>
    </row>
    <row r="6665" spans="1:19">
      <c r="A6665" t="s">
        <v>29</v>
      </c>
      <c r="B6665" t="s">
        <v>148</v>
      </c>
      <c r="C6665" t="s">
        <v>161</v>
      </c>
      <c r="D6665" t="s">
        <v>290</v>
      </c>
      <c r="E6665" t="s">
        <v>419</v>
      </c>
      <c r="F6665">
        <f>HYPERLINK("https://www.wikidata.org/wiki/Q33322771", "Q33322771")</f>
        <v>0</v>
      </c>
      <c r="G6665" t="s">
        <v>545</v>
      </c>
      <c r="H6665" t="s">
        <v>5308</v>
      </c>
      <c r="I6665" t="s">
        <v>5592</v>
      </c>
      <c r="J6665" t="s">
        <v>11297</v>
      </c>
      <c r="K6665" t="s">
        <v>15697</v>
      </c>
      <c r="L6665">
        <f>HYPERLINK("https://www2.assemblee-nationale.fr/sycomore/fiche/(num_dept)/1031", "1031")</f>
        <v>0</v>
      </c>
      <c r="N6665">
        <f>HYPERLINK("https://www.wikidata.org/wiki/Q8299131", "Q8299131")</f>
        <v>0</v>
      </c>
      <c r="O6665" t="s">
        <v>19980</v>
      </c>
      <c r="P6665" t="s">
        <v>20460</v>
      </c>
      <c r="Q6665" t="s">
        <v>20840</v>
      </c>
      <c r="R6665" t="s">
        <v>419</v>
      </c>
      <c r="S6665">
        <v>1483</v>
      </c>
    </row>
    <row r="6666" spans="1:19">
      <c r="A6666" t="s">
        <v>29</v>
      </c>
      <c r="B6666" t="s">
        <v>148</v>
      </c>
      <c r="C6666" t="s">
        <v>161</v>
      </c>
      <c r="D6666" t="s">
        <v>290</v>
      </c>
      <c r="E6666" t="s">
        <v>419</v>
      </c>
      <c r="F6666">
        <f>HYPERLINK("https://www.wikidata.org/wiki/Q33322771", "Q33322771")</f>
        <v>0</v>
      </c>
      <c r="G6666" t="s">
        <v>3373</v>
      </c>
      <c r="H6666" t="s">
        <v>7083</v>
      </c>
      <c r="I6666" t="s">
        <v>5528</v>
      </c>
      <c r="J6666" t="s">
        <v>13985</v>
      </c>
      <c r="K6666" t="s">
        <v>18353</v>
      </c>
      <c r="L6666">
        <f>HYPERLINK("https://www2.assemblee-nationale.fr/sycomore/fiche/(num_dept)/1083", "1083")</f>
        <v>0</v>
      </c>
      <c r="M6666">
        <f>HYPERLINK("https://www.senat.fr/senateur-3eme-republique/bourgeois_leon0647r3.html", "bourgeois_leon0647r3")</f>
        <v>0</v>
      </c>
      <c r="N6666">
        <f>HYPERLINK("https://www.wikidata.org/wiki/Q217706", "Q217706")</f>
        <v>0</v>
      </c>
      <c r="O6666" t="s">
        <v>20025</v>
      </c>
      <c r="P6666" t="s">
        <v>20477</v>
      </c>
      <c r="Q6666" t="s">
        <v>20840</v>
      </c>
      <c r="R6666" t="s">
        <v>419</v>
      </c>
      <c r="S6666">
        <v>1483</v>
      </c>
    </row>
    <row r="6667" spans="1:19">
      <c r="A6667" t="s">
        <v>29</v>
      </c>
      <c r="B6667" t="s">
        <v>148</v>
      </c>
      <c r="C6667" t="s">
        <v>161</v>
      </c>
      <c r="D6667" t="s">
        <v>290</v>
      </c>
      <c r="E6667" t="s">
        <v>419</v>
      </c>
      <c r="F6667">
        <f>HYPERLINK("https://www.wikidata.org/wiki/Q33322771", "Q33322771")</f>
        <v>0</v>
      </c>
      <c r="G6667" t="s">
        <v>2515</v>
      </c>
      <c r="H6667" t="s">
        <v>7083</v>
      </c>
      <c r="I6667" t="s">
        <v>10259</v>
      </c>
      <c r="J6667" t="s">
        <v>13159</v>
      </c>
      <c r="K6667" t="s">
        <v>17566</v>
      </c>
      <c r="L6667">
        <f>HYPERLINK("https://www2.assemblee-nationale.fr/sycomore/fiche/(num_dept)/1085", "1085")</f>
        <v>0</v>
      </c>
      <c r="N6667">
        <f>HYPERLINK("https://www.wikidata.org/wiki/Q15973888", "Q15973888")</f>
        <v>0</v>
      </c>
      <c r="O6667" t="s">
        <v>19972</v>
      </c>
      <c r="Q6667" t="s">
        <v>20840</v>
      </c>
      <c r="R6667" t="s">
        <v>419</v>
      </c>
      <c r="S6667">
        <v>1483</v>
      </c>
    </row>
    <row r="6668" spans="1:19">
      <c r="A6668" t="s">
        <v>29</v>
      </c>
      <c r="B6668" t="s">
        <v>148</v>
      </c>
      <c r="C6668" t="s">
        <v>161</v>
      </c>
      <c r="D6668" t="s">
        <v>290</v>
      </c>
      <c r="E6668" t="s">
        <v>419</v>
      </c>
      <c r="F6668">
        <f>HYPERLINK("https://www.wikidata.org/wiki/Q33322771", "Q33322771")</f>
        <v>0</v>
      </c>
      <c r="G6668" t="s">
        <v>3099</v>
      </c>
      <c r="H6668" t="s">
        <v>7545</v>
      </c>
      <c r="I6668" t="s">
        <v>10631</v>
      </c>
      <c r="J6668" t="s">
        <v>13721</v>
      </c>
      <c r="K6668" t="s">
        <v>18103</v>
      </c>
      <c r="L6668">
        <f>HYPERLINK("https://www2.assemblee-nationale.fr/sycomore/fiche/(num_dept)/1087", "1087")</f>
        <v>0</v>
      </c>
      <c r="M6668">
        <f>HYPERLINK("https://www.senat.fr/senateur-3eme-republique/bourgeois_jean0438r3.html", "bourgeois_jean0438r3")</f>
        <v>0</v>
      </c>
      <c r="N6668">
        <f>HYPERLINK("https://www.wikidata.org/wiki/Q3163901", "Q3163901")</f>
        <v>0</v>
      </c>
      <c r="O6668" t="s">
        <v>20041</v>
      </c>
      <c r="P6668" t="s">
        <v>20401</v>
      </c>
      <c r="Q6668" t="s">
        <v>20840</v>
      </c>
      <c r="R6668" t="s">
        <v>18103</v>
      </c>
      <c r="S6668">
        <v>656</v>
      </c>
    </row>
    <row r="6669" spans="1:19">
      <c r="A6669" t="s">
        <v>29</v>
      </c>
      <c r="B6669" t="s">
        <v>148</v>
      </c>
      <c r="C6669" t="s">
        <v>161</v>
      </c>
      <c r="D6669" t="s">
        <v>290</v>
      </c>
      <c r="E6669" t="s">
        <v>419</v>
      </c>
      <c r="F6669">
        <f>HYPERLINK("https://www.wikidata.org/wiki/Q33322771", "Q33322771")</f>
        <v>0</v>
      </c>
      <c r="G6669" t="s">
        <v>3849</v>
      </c>
      <c r="H6669" t="s">
        <v>8123</v>
      </c>
      <c r="I6669" t="s">
        <v>10999</v>
      </c>
      <c r="J6669" t="s">
        <v>14409</v>
      </c>
      <c r="K6669" t="s">
        <v>18761</v>
      </c>
      <c r="L6669">
        <f>HYPERLINK("https://www2.assemblee-nationale.fr/sycomore/fiche/(num_dept)/1103", "1103")</f>
        <v>0</v>
      </c>
      <c r="N6669">
        <f>HYPERLINK("https://www.wikidata.org/wiki/Q14240790", "Q14240790")</f>
        <v>0</v>
      </c>
      <c r="O6669" t="s">
        <v>20001</v>
      </c>
      <c r="P6669" t="s">
        <v>20477</v>
      </c>
      <c r="Q6669" t="s">
        <v>20840</v>
      </c>
      <c r="R6669" t="s">
        <v>419</v>
      </c>
      <c r="S6669">
        <v>1483</v>
      </c>
    </row>
    <row r="6670" spans="1:19">
      <c r="A6670" t="s">
        <v>29</v>
      </c>
      <c r="B6670" t="s">
        <v>148</v>
      </c>
      <c r="C6670" t="s">
        <v>161</v>
      </c>
      <c r="D6670" t="s">
        <v>290</v>
      </c>
      <c r="E6670" t="s">
        <v>419</v>
      </c>
      <c r="F6670">
        <f>HYPERLINK("https://www.wikidata.org/wiki/Q33322771", "Q33322771")</f>
        <v>0</v>
      </c>
      <c r="G6670" t="s">
        <v>3896</v>
      </c>
      <c r="H6670" t="s">
        <v>8156</v>
      </c>
      <c r="I6670" t="s">
        <v>10808</v>
      </c>
      <c r="J6670" t="s">
        <v>14453</v>
      </c>
      <c r="K6670" t="s">
        <v>18804</v>
      </c>
      <c r="L6670">
        <f>HYPERLINK("https://www2.assemblee-nationale.fr/sycomore/fiche/(num_dept)/1120", "1120")</f>
        <v>0</v>
      </c>
      <c r="N6670">
        <f>HYPERLINK("https://www.wikidata.org/wiki/Q15973923", "Q15973923")</f>
        <v>0</v>
      </c>
      <c r="O6670" t="s">
        <v>19977</v>
      </c>
      <c r="P6670" t="s">
        <v>20409</v>
      </c>
      <c r="Q6670" t="s">
        <v>20840</v>
      </c>
      <c r="R6670" t="s">
        <v>419</v>
      </c>
      <c r="S6670">
        <v>1483</v>
      </c>
    </row>
    <row r="6671" spans="1:19">
      <c r="A6671" t="s">
        <v>29</v>
      </c>
      <c r="B6671" t="s">
        <v>148</v>
      </c>
      <c r="C6671" t="s">
        <v>161</v>
      </c>
      <c r="D6671" t="s">
        <v>290</v>
      </c>
      <c r="E6671" t="s">
        <v>419</v>
      </c>
      <c r="F6671">
        <f>HYPERLINK("https://www.wikidata.org/wiki/Q33322771", "Q33322771")</f>
        <v>0</v>
      </c>
      <c r="G6671" t="s">
        <v>2519</v>
      </c>
      <c r="H6671" t="s">
        <v>6100</v>
      </c>
      <c r="I6671" t="s">
        <v>10262</v>
      </c>
      <c r="J6671" t="s">
        <v>13163</v>
      </c>
      <c r="K6671" t="s">
        <v>17570</v>
      </c>
      <c r="L6671">
        <f>HYPERLINK("https://www2.assemblee-nationale.fr/sycomore/fiche/(num_dept)/1148", "1148")</f>
        <v>0</v>
      </c>
      <c r="N6671">
        <f>HYPERLINK("https://www.wikidata.org/wiki/Q8309995", "Q8309995")</f>
        <v>0</v>
      </c>
      <c r="O6671" t="s">
        <v>20006</v>
      </c>
      <c r="P6671" t="s">
        <v>20401</v>
      </c>
      <c r="Q6671" t="s">
        <v>20840</v>
      </c>
      <c r="R6671" t="s">
        <v>17570</v>
      </c>
      <c r="S6671">
        <v>596</v>
      </c>
    </row>
    <row r="6672" spans="1:19">
      <c r="A6672" t="s">
        <v>29</v>
      </c>
      <c r="B6672" t="s">
        <v>148</v>
      </c>
      <c r="C6672" t="s">
        <v>161</v>
      </c>
      <c r="D6672" t="s">
        <v>290</v>
      </c>
      <c r="E6672" t="s">
        <v>419</v>
      </c>
      <c r="F6672">
        <f>HYPERLINK("https://www.wikidata.org/wiki/Q33322771", "Q33322771")</f>
        <v>0</v>
      </c>
      <c r="G6672" t="s">
        <v>3235</v>
      </c>
      <c r="H6672" t="s">
        <v>6405</v>
      </c>
      <c r="I6672" t="s">
        <v>10722</v>
      </c>
      <c r="J6672" t="s">
        <v>13853</v>
      </c>
      <c r="K6672" t="s">
        <v>18225</v>
      </c>
      <c r="L6672">
        <f>HYPERLINK("https://www2.assemblee-nationale.fr/sycomore/fiche/(num_dept)/1150", "1150")</f>
        <v>0</v>
      </c>
      <c r="M6672">
        <f>HYPERLINK("https://www.senat.fr/senateur-3eme-republique/boyer_antide0317r3.html", "boyer_antide0317r3")</f>
        <v>0</v>
      </c>
      <c r="N6672">
        <f>HYPERLINK("https://www.wikidata.org/wiki/Q575028", "Q575028")</f>
        <v>0</v>
      </c>
      <c r="O6672" t="s">
        <v>19990</v>
      </c>
      <c r="Q6672" t="s">
        <v>20840</v>
      </c>
      <c r="R6672" t="s">
        <v>419</v>
      </c>
      <c r="S6672">
        <v>1483</v>
      </c>
    </row>
    <row r="6673" spans="1:19">
      <c r="A6673" t="s">
        <v>29</v>
      </c>
      <c r="B6673" t="s">
        <v>148</v>
      </c>
      <c r="C6673" t="s">
        <v>161</v>
      </c>
      <c r="D6673" t="s">
        <v>290</v>
      </c>
      <c r="E6673" t="s">
        <v>419</v>
      </c>
      <c r="F6673">
        <f>HYPERLINK("https://www.wikidata.org/wiki/Q33322771", "Q33322771")</f>
        <v>0</v>
      </c>
      <c r="G6673" t="s">
        <v>2521</v>
      </c>
      <c r="H6673" t="s">
        <v>7085</v>
      </c>
      <c r="I6673" t="s">
        <v>10264</v>
      </c>
      <c r="J6673" t="s">
        <v>13165</v>
      </c>
      <c r="K6673" t="s">
        <v>17571</v>
      </c>
      <c r="L6673">
        <f>HYPERLINK("https://www2.assemblee-nationale.fr/sycomore/fiche/(num_dept)/1158", "1158")</f>
        <v>0</v>
      </c>
      <c r="N6673">
        <f>HYPERLINK("https://www.wikidata.org/wiki/Q8305634", "Q8305634")</f>
        <v>0</v>
      </c>
      <c r="O6673" t="s">
        <v>19994</v>
      </c>
      <c r="P6673" t="s">
        <v>20401</v>
      </c>
      <c r="Q6673" t="s">
        <v>20840</v>
      </c>
      <c r="R6673" t="s">
        <v>17571</v>
      </c>
      <c r="S6673">
        <v>1109</v>
      </c>
    </row>
    <row r="6674" spans="1:19">
      <c r="A6674" t="s">
        <v>29</v>
      </c>
      <c r="B6674" t="s">
        <v>148</v>
      </c>
      <c r="C6674" t="s">
        <v>161</v>
      </c>
      <c r="D6674" t="s">
        <v>290</v>
      </c>
      <c r="E6674" t="s">
        <v>419</v>
      </c>
      <c r="F6674">
        <f>HYPERLINK("https://www.wikidata.org/wiki/Q33322771", "Q33322771")</f>
        <v>0</v>
      </c>
      <c r="G6674" t="s">
        <v>3749</v>
      </c>
      <c r="H6674" t="s">
        <v>5317</v>
      </c>
      <c r="I6674" t="s">
        <v>10960</v>
      </c>
      <c r="J6674" t="s">
        <v>14323</v>
      </c>
      <c r="K6674" t="s">
        <v>18675</v>
      </c>
      <c r="L6674">
        <f>HYPERLINK("https://www2.assemblee-nationale.fr/sycomore/fiche/(num_dept)/1218", "1218")</f>
        <v>0</v>
      </c>
      <c r="N6674">
        <f>HYPERLINK("https://www.wikidata.org/wiki/Q15973935", "Q15973935")</f>
        <v>0</v>
      </c>
      <c r="O6674" t="s">
        <v>20007</v>
      </c>
      <c r="P6674" t="s">
        <v>20495</v>
      </c>
      <c r="Q6674" t="s">
        <v>20840</v>
      </c>
      <c r="R6674" t="s">
        <v>419</v>
      </c>
      <c r="S6674">
        <v>1483</v>
      </c>
    </row>
    <row r="6675" spans="1:19">
      <c r="A6675" t="s">
        <v>29</v>
      </c>
      <c r="B6675" t="s">
        <v>148</v>
      </c>
      <c r="C6675" t="s">
        <v>161</v>
      </c>
      <c r="D6675" t="s">
        <v>290</v>
      </c>
      <c r="E6675" t="s">
        <v>419</v>
      </c>
      <c r="F6675">
        <f>HYPERLINK("https://www.wikidata.org/wiki/Q33322771", "Q33322771")</f>
        <v>0</v>
      </c>
      <c r="G6675" t="s">
        <v>554</v>
      </c>
      <c r="H6675" t="s">
        <v>5317</v>
      </c>
      <c r="I6675" t="s">
        <v>9412</v>
      </c>
      <c r="J6675" t="s">
        <v>11305</v>
      </c>
      <c r="K6675" t="s">
        <v>15706</v>
      </c>
      <c r="L6675">
        <f>HYPERLINK("https://www2.assemblee-nationale.fr/sycomore/fiche/(num_dept)/1220", "1220")</f>
        <v>0</v>
      </c>
      <c r="N6675">
        <f>HYPERLINK("https://www.wikidata.org/wiki/Q3426418", "Q3426418")</f>
        <v>0</v>
      </c>
      <c r="O6675" t="s">
        <v>19998</v>
      </c>
      <c r="P6675" t="s">
        <v>20479</v>
      </c>
      <c r="Q6675" t="s">
        <v>20840</v>
      </c>
      <c r="R6675" t="s">
        <v>419</v>
      </c>
      <c r="S6675">
        <v>1483</v>
      </c>
    </row>
    <row r="6676" spans="1:19">
      <c r="A6676" t="s">
        <v>29</v>
      </c>
      <c r="B6676" t="s">
        <v>148</v>
      </c>
      <c r="C6676" t="s">
        <v>161</v>
      </c>
      <c r="D6676" t="s">
        <v>290</v>
      </c>
      <c r="E6676" t="s">
        <v>419</v>
      </c>
      <c r="F6676">
        <f>HYPERLINK("https://www.wikidata.org/wiki/Q33322771", "Q33322771")</f>
        <v>0</v>
      </c>
      <c r="G6676" t="s">
        <v>892</v>
      </c>
      <c r="H6676" t="s">
        <v>5648</v>
      </c>
      <c r="I6676" t="s">
        <v>9457</v>
      </c>
      <c r="J6676" t="s">
        <v>11638</v>
      </c>
      <c r="K6676" t="s">
        <v>16038</v>
      </c>
      <c r="L6676">
        <f>HYPERLINK("https://www2.assemblee-nationale.fr/sycomore/fiche/(num_dept)/1240", "1240")</f>
        <v>0</v>
      </c>
      <c r="N6676">
        <f>HYPERLINK("https://www.wikidata.org/wiki/Q669725", "Q669725")</f>
        <v>0</v>
      </c>
      <c r="O6676" t="s">
        <v>19969</v>
      </c>
      <c r="P6676" t="s">
        <v>20401</v>
      </c>
      <c r="Q6676" t="s">
        <v>20840</v>
      </c>
      <c r="R6676" t="s">
        <v>419</v>
      </c>
      <c r="S6676">
        <v>1483</v>
      </c>
    </row>
    <row r="6677" spans="1:19">
      <c r="A6677" t="s">
        <v>29</v>
      </c>
      <c r="B6677" t="s">
        <v>148</v>
      </c>
      <c r="C6677" t="s">
        <v>161</v>
      </c>
      <c r="D6677" t="s">
        <v>290</v>
      </c>
      <c r="E6677" t="s">
        <v>419</v>
      </c>
      <c r="F6677">
        <f>HYPERLINK("https://www.wikidata.org/wiki/Q33322771", "Q33322771")</f>
        <v>0</v>
      </c>
      <c r="G6677" t="s">
        <v>3685</v>
      </c>
      <c r="H6677" t="s">
        <v>8008</v>
      </c>
      <c r="I6677" t="s">
        <v>10936</v>
      </c>
      <c r="J6677" t="s">
        <v>14261</v>
      </c>
      <c r="K6677" t="s">
        <v>18622</v>
      </c>
      <c r="L6677">
        <f>HYPERLINK("https://www2.assemblee-nationale.fr/sycomore/fiche/(num_dept)/1251", "1251")</f>
        <v>0</v>
      </c>
      <c r="N6677">
        <f>HYPERLINK("https://www.wikidata.org/wiki/Q1871376", "Q1871376")</f>
        <v>0</v>
      </c>
      <c r="O6677" t="s">
        <v>19984</v>
      </c>
      <c r="P6677" t="s">
        <v>20460</v>
      </c>
      <c r="Q6677" t="s">
        <v>20840</v>
      </c>
      <c r="R6677" t="s">
        <v>419</v>
      </c>
      <c r="S6677">
        <v>1483</v>
      </c>
    </row>
    <row r="6678" spans="1:19">
      <c r="A6678" t="s">
        <v>29</v>
      </c>
      <c r="B6678" t="s">
        <v>148</v>
      </c>
      <c r="C6678" t="s">
        <v>161</v>
      </c>
      <c r="D6678" t="s">
        <v>290</v>
      </c>
      <c r="E6678" t="s">
        <v>419</v>
      </c>
      <c r="F6678">
        <f>HYPERLINK("https://www.wikidata.org/wiki/Q33322771", "Q33322771")</f>
        <v>0</v>
      </c>
      <c r="G6678" t="s">
        <v>893</v>
      </c>
      <c r="H6678" t="s">
        <v>5649</v>
      </c>
      <c r="I6678" t="s">
        <v>9578</v>
      </c>
      <c r="J6678" t="s">
        <v>11639</v>
      </c>
      <c r="K6678" t="s">
        <v>15822</v>
      </c>
      <c r="L6678">
        <f>HYPERLINK("https://www2.assemblee-nationale.fr/sycomore/fiche/(num_dept)/1275", "1275")</f>
        <v>0</v>
      </c>
      <c r="N6678">
        <f>HYPERLINK("https://www.wikidata.org/wiki/Q15973958", "Q15973958")</f>
        <v>0</v>
      </c>
      <c r="O6678" t="s">
        <v>19966</v>
      </c>
      <c r="Q6678" t="s">
        <v>20840</v>
      </c>
      <c r="R6678" t="s">
        <v>419</v>
      </c>
      <c r="S6678">
        <v>1483</v>
      </c>
    </row>
    <row r="6679" spans="1:19">
      <c r="A6679" t="s">
        <v>29</v>
      </c>
      <c r="B6679" t="s">
        <v>148</v>
      </c>
      <c r="C6679" t="s">
        <v>161</v>
      </c>
      <c r="D6679" t="s">
        <v>290</v>
      </c>
      <c r="E6679" t="s">
        <v>419</v>
      </c>
      <c r="F6679">
        <f>HYPERLINK("https://www.wikidata.org/wiki/Q33322771", "Q33322771")</f>
        <v>0</v>
      </c>
      <c r="G6679" t="s">
        <v>3686</v>
      </c>
      <c r="H6679" t="s">
        <v>8009</v>
      </c>
      <c r="I6679" t="s">
        <v>6166</v>
      </c>
      <c r="J6679" t="s">
        <v>14262</v>
      </c>
      <c r="K6679" t="s">
        <v>18623</v>
      </c>
      <c r="L6679">
        <f>HYPERLINK("https://www2.assemblee-nationale.fr/sycomore/fiche/(num_dept)/1280", "1280")</f>
        <v>0</v>
      </c>
      <c r="N6679">
        <f>HYPERLINK("https://www.wikidata.org/wiki/Q3084116", "Q3084116")</f>
        <v>0</v>
      </c>
      <c r="O6679" t="s">
        <v>19998</v>
      </c>
      <c r="P6679" t="s">
        <v>20411</v>
      </c>
      <c r="Q6679" t="s">
        <v>20840</v>
      </c>
      <c r="R6679" t="s">
        <v>419</v>
      </c>
      <c r="S6679">
        <v>1483</v>
      </c>
    </row>
    <row r="6680" spans="1:19">
      <c r="A6680" t="s">
        <v>29</v>
      </c>
      <c r="B6680" t="s">
        <v>148</v>
      </c>
      <c r="C6680" t="s">
        <v>161</v>
      </c>
      <c r="D6680" t="s">
        <v>290</v>
      </c>
      <c r="E6680" t="s">
        <v>419</v>
      </c>
      <c r="F6680">
        <f>HYPERLINK("https://www.wikidata.org/wiki/Q33322771", "Q33322771")</f>
        <v>0</v>
      </c>
      <c r="G6680" t="s">
        <v>3687</v>
      </c>
      <c r="H6680" t="s">
        <v>5650</v>
      </c>
      <c r="I6680" t="s">
        <v>6495</v>
      </c>
      <c r="J6680" t="s">
        <v>14263</v>
      </c>
      <c r="K6680" t="s">
        <v>18624</v>
      </c>
      <c r="L6680">
        <f>HYPERLINK("https://www2.assemblee-nationale.fr/sycomore/fiche/(num_dept)/1289", "1289")</f>
        <v>0</v>
      </c>
      <c r="N6680">
        <f>HYPERLINK("https://www.wikidata.org/wiki/Q3261371", "Q3261371")</f>
        <v>0</v>
      </c>
      <c r="O6680" t="s">
        <v>19963</v>
      </c>
      <c r="P6680" t="s">
        <v>20471</v>
      </c>
      <c r="Q6680" t="s">
        <v>20840</v>
      </c>
      <c r="R6680" t="s">
        <v>419</v>
      </c>
      <c r="S6680">
        <v>1483</v>
      </c>
    </row>
    <row r="6681" spans="1:19">
      <c r="A6681" t="s">
        <v>29</v>
      </c>
      <c r="B6681" t="s">
        <v>148</v>
      </c>
      <c r="C6681" t="s">
        <v>161</v>
      </c>
      <c r="D6681" t="s">
        <v>290</v>
      </c>
      <c r="E6681" t="s">
        <v>419</v>
      </c>
      <c r="F6681">
        <f>HYPERLINK("https://www.wikidata.org/wiki/Q33322771", "Q33322771")</f>
        <v>0</v>
      </c>
      <c r="G6681" t="s">
        <v>3897</v>
      </c>
      <c r="H6681" t="s">
        <v>8157</v>
      </c>
      <c r="I6681" t="s">
        <v>11019</v>
      </c>
      <c r="J6681" t="s">
        <v>14454</v>
      </c>
      <c r="K6681" t="s">
        <v>16205</v>
      </c>
      <c r="L6681">
        <f>HYPERLINK("https://www2.assemblee-nationale.fr/sycomore/fiche/(num_dept)/1327", "1327")</f>
        <v>0</v>
      </c>
      <c r="M6681">
        <f>HYPERLINK("https://www.senat.fr/senateur-3eme-republique/bussiere_etienne0457r3.html", "bussiere_etienne0457r3")</f>
        <v>0</v>
      </c>
      <c r="N6681">
        <f>HYPERLINK("https://www.wikidata.org/wiki/Q3592092", "Q3592092")</f>
        <v>0</v>
      </c>
      <c r="O6681" t="s">
        <v>20020</v>
      </c>
      <c r="Q6681" t="s">
        <v>20840</v>
      </c>
      <c r="R6681" t="s">
        <v>419</v>
      </c>
      <c r="S6681">
        <v>1483</v>
      </c>
    </row>
    <row r="6682" spans="1:19">
      <c r="A6682" t="s">
        <v>29</v>
      </c>
      <c r="B6682" t="s">
        <v>148</v>
      </c>
      <c r="C6682" t="s">
        <v>161</v>
      </c>
      <c r="D6682" t="s">
        <v>290</v>
      </c>
      <c r="E6682" t="s">
        <v>419</v>
      </c>
      <c r="F6682">
        <f>HYPERLINK("https://www.wikidata.org/wiki/Q33322771", "Q33322771")</f>
        <v>0</v>
      </c>
      <c r="G6682" t="s">
        <v>560</v>
      </c>
      <c r="H6682" t="s">
        <v>5323</v>
      </c>
      <c r="I6682" t="s">
        <v>9407</v>
      </c>
      <c r="J6682" t="s">
        <v>11311</v>
      </c>
      <c r="K6682" t="s">
        <v>15712</v>
      </c>
      <c r="L6682">
        <f>HYPERLINK("https://www2.assemblee-nationale.fr/sycomore/fiche/(num_dept)/1366", "1366")</f>
        <v>0</v>
      </c>
      <c r="M6682">
        <f>HYPERLINK("https://www.senat.fr/senateur-3eme-republique/caillaux_joseph1254r3.html", "caillaux_joseph1254r3")</f>
        <v>0</v>
      </c>
      <c r="N6682">
        <f>HYPERLINK("https://www.wikidata.org/wiki/Q450463", "Q450463")</f>
        <v>0</v>
      </c>
      <c r="O6682" t="s">
        <v>19956</v>
      </c>
      <c r="Q6682" t="s">
        <v>20840</v>
      </c>
      <c r="R6682" t="s">
        <v>419</v>
      </c>
      <c r="S6682">
        <v>1483</v>
      </c>
    </row>
    <row r="6683" spans="1:19">
      <c r="A6683" t="s">
        <v>29</v>
      </c>
      <c r="B6683" t="s">
        <v>148</v>
      </c>
      <c r="C6683" t="s">
        <v>161</v>
      </c>
      <c r="D6683" t="s">
        <v>290</v>
      </c>
      <c r="E6683" t="s">
        <v>419</v>
      </c>
      <c r="F6683">
        <f>HYPERLINK("https://www.wikidata.org/wiki/Q33322771", "Q33322771")</f>
        <v>0</v>
      </c>
      <c r="G6683" t="s">
        <v>3898</v>
      </c>
      <c r="H6683" t="s">
        <v>8158</v>
      </c>
      <c r="I6683" t="s">
        <v>6158</v>
      </c>
      <c r="J6683" t="s">
        <v>14455</v>
      </c>
      <c r="K6683" t="s">
        <v>18805</v>
      </c>
      <c r="L6683">
        <f>HYPERLINK("https://www2.assemblee-nationale.fr/sycomore/fiche/(num_dept)/1416", "1416")</f>
        <v>0</v>
      </c>
      <c r="N6683">
        <f>HYPERLINK("https://www.wikidata.org/wiki/Q3092397", "Q3092397")</f>
        <v>0</v>
      </c>
      <c r="O6683" t="s">
        <v>19988</v>
      </c>
      <c r="P6683" t="s">
        <v>20479</v>
      </c>
      <c r="Q6683" t="s">
        <v>20840</v>
      </c>
      <c r="R6683" t="s">
        <v>419</v>
      </c>
      <c r="S6683">
        <v>1483</v>
      </c>
    </row>
    <row r="6684" spans="1:19">
      <c r="A6684" t="s">
        <v>29</v>
      </c>
      <c r="B6684" t="s">
        <v>148</v>
      </c>
      <c r="C6684" t="s">
        <v>161</v>
      </c>
      <c r="D6684" t="s">
        <v>290</v>
      </c>
      <c r="E6684" t="s">
        <v>419</v>
      </c>
      <c r="F6684">
        <f>HYPERLINK("https://www.wikidata.org/wiki/Q33322771", "Q33322771")</f>
        <v>0</v>
      </c>
      <c r="G6684" t="s">
        <v>3416</v>
      </c>
      <c r="H6684" t="s">
        <v>7801</v>
      </c>
      <c r="I6684" t="s">
        <v>9601</v>
      </c>
      <c r="J6684" t="s">
        <v>14021</v>
      </c>
      <c r="K6684" t="s">
        <v>18390</v>
      </c>
      <c r="L6684">
        <f>HYPERLINK("https://www2.assemblee-nationale.fr/sycomore/fiche/(num_dept)/1462", "1462")</f>
        <v>0</v>
      </c>
      <c r="N6684">
        <f>HYPERLINK("https://www.wikidata.org/wiki/Q38118958", "Q38118958")</f>
        <v>0</v>
      </c>
      <c r="O6684" t="s">
        <v>19988</v>
      </c>
      <c r="P6684" t="s">
        <v>20411</v>
      </c>
      <c r="Q6684" t="s">
        <v>20840</v>
      </c>
      <c r="R6684" t="s">
        <v>21574</v>
      </c>
      <c r="S6684">
        <v>443</v>
      </c>
    </row>
    <row r="6685" spans="1:19">
      <c r="A6685" t="s">
        <v>29</v>
      </c>
      <c r="B6685" t="s">
        <v>148</v>
      </c>
      <c r="C6685" t="s">
        <v>161</v>
      </c>
      <c r="D6685" t="s">
        <v>290</v>
      </c>
      <c r="E6685" t="s">
        <v>419</v>
      </c>
      <c r="F6685">
        <f>HYPERLINK("https://www.wikidata.org/wiki/Q33322771", "Q33322771")</f>
        <v>0</v>
      </c>
      <c r="G6685" t="s">
        <v>3899</v>
      </c>
      <c r="H6685" t="s">
        <v>8159</v>
      </c>
      <c r="I6685" t="s">
        <v>6200</v>
      </c>
      <c r="J6685" t="s">
        <v>14456</v>
      </c>
      <c r="K6685" t="s">
        <v>18806</v>
      </c>
      <c r="L6685">
        <f>HYPERLINK("https://www2.assemblee-nationale.fr/sycomore/fiche/(num_dept)/1467", "1467")</f>
        <v>0</v>
      </c>
      <c r="N6685">
        <f>HYPERLINK("https://www.wikidata.org/wiki/Q8318532", "Q8318532")</f>
        <v>0</v>
      </c>
      <c r="O6685" t="s">
        <v>19986</v>
      </c>
      <c r="Q6685" t="s">
        <v>20840</v>
      </c>
      <c r="R6685" t="s">
        <v>21575</v>
      </c>
      <c r="S6685">
        <v>121</v>
      </c>
    </row>
    <row r="6686" spans="1:19">
      <c r="A6686" t="s">
        <v>29</v>
      </c>
      <c r="B6686" t="s">
        <v>148</v>
      </c>
      <c r="C6686" t="s">
        <v>161</v>
      </c>
      <c r="D6686" t="s">
        <v>290</v>
      </c>
      <c r="E6686" t="s">
        <v>419</v>
      </c>
      <c r="F6686">
        <f>HYPERLINK("https://www.wikidata.org/wiki/Q33322771", "Q33322771")</f>
        <v>0</v>
      </c>
      <c r="G6686" t="s">
        <v>2531</v>
      </c>
      <c r="H6686" t="s">
        <v>7091</v>
      </c>
      <c r="I6686" t="s">
        <v>10270</v>
      </c>
      <c r="J6686" t="s">
        <v>13175</v>
      </c>
      <c r="K6686" t="s">
        <v>17581</v>
      </c>
      <c r="L6686">
        <f>HYPERLINK("https://www2.assemblee-nationale.fr/sycomore/fiche/(num_dept)/1494", "1494")</f>
        <v>0</v>
      </c>
      <c r="M6686">
        <f>HYPERLINK("https://www.senat.fr/senateur-3eme-republique/cassou_jean1049r3.html", "cassou_jean1049r3")</f>
        <v>0</v>
      </c>
      <c r="N6686">
        <f>HYPERLINK("https://www.wikidata.org/wiki/Q3171155", "Q3171155")</f>
        <v>0</v>
      </c>
      <c r="O6686" t="s">
        <v>19970</v>
      </c>
      <c r="Q6686" t="s">
        <v>20840</v>
      </c>
      <c r="R6686" t="s">
        <v>21576</v>
      </c>
      <c r="S6686">
        <v>921</v>
      </c>
    </row>
    <row r="6687" spans="1:19">
      <c r="A6687" t="s">
        <v>29</v>
      </c>
      <c r="B6687" t="s">
        <v>148</v>
      </c>
      <c r="C6687" t="s">
        <v>161</v>
      </c>
      <c r="D6687" t="s">
        <v>290</v>
      </c>
      <c r="E6687" t="s">
        <v>419</v>
      </c>
      <c r="F6687">
        <f>HYPERLINK("https://www.wikidata.org/wiki/Q33322771", "Q33322771")</f>
        <v>0</v>
      </c>
      <c r="G6687" t="s">
        <v>901</v>
      </c>
      <c r="H6687" t="s">
        <v>5657</v>
      </c>
      <c r="I6687" t="s">
        <v>6585</v>
      </c>
      <c r="J6687" t="s">
        <v>11321</v>
      </c>
      <c r="K6687" t="s">
        <v>16045</v>
      </c>
      <c r="L6687">
        <f>HYPERLINK("https://www2.assemblee-nationale.fr/sycomore/fiche/(num_dept)/1501", "1501")</f>
        <v>0</v>
      </c>
      <c r="N6687">
        <f>HYPERLINK("https://www.wikidata.org/wiki/Q8322845", "Q8322845")</f>
        <v>0</v>
      </c>
      <c r="O6687" t="s">
        <v>20015</v>
      </c>
      <c r="Q6687" t="s">
        <v>20840</v>
      </c>
      <c r="R6687" t="s">
        <v>419</v>
      </c>
      <c r="S6687">
        <v>1483</v>
      </c>
    </row>
    <row r="6688" spans="1:19">
      <c r="A6688" t="s">
        <v>29</v>
      </c>
      <c r="B6688" t="s">
        <v>148</v>
      </c>
      <c r="C6688" t="s">
        <v>161</v>
      </c>
      <c r="D6688" t="s">
        <v>290</v>
      </c>
      <c r="E6688" t="s">
        <v>419</v>
      </c>
      <c r="F6688">
        <f>HYPERLINK("https://www.wikidata.org/wiki/Q33322771", "Q33322771")</f>
        <v>0</v>
      </c>
      <c r="G6688" t="s">
        <v>3900</v>
      </c>
      <c r="H6688" t="s">
        <v>8160</v>
      </c>
      <c r="I6688" t="s">
        <v>11020</v>
      </c>
      <c r="J6688" t="s">
        <v>14457</v>
      </c>
      <c r="K6688" t="s">
        <v>18807</v>
      </c>
      <c r="L6688">
        <f>HYPERLINK("https://www2.assemblee-nationale.fr/sycomore/fiche/(num_dept)/1502", "1502")</f>
        <v>0</v>
      </c>
      <c r="N6688">
        <f>HYPERLINK("https://www.wikidata.org/wiki/Q2910117", "Q2910117")</f>
        <v>0</v>
      </c>
      <c r="O6688" t="s">
        <v>20033</v>
      </c>
      <c r="Q6688" t="s">
        <v>20840</v>
      </c>
      <c r="R6688" t="s">
        <v>419</v>
      </c>
      <c r="S6688">
        <v>1483</v>
      </c>
    </row>
    <row r="6689" spans="1:19">
      <c r="A6689" t="s">
        <v>29</v>
      </c>
      <c r="B6689" t="s">
        <v>148</v>
      </c>
      <c r="C6689" t="s">
        <v>161</v>
      </c>
      <c r="D6689" t="s">
        <v>290</v>
      </c>
      <c r="E6689" t="s">
        <v>419</v>
      </c>
      <c r="F6689">
        <f>HYPERLINK("https://www.wikidata.org/wiki/Q33322771", "Q33322771")</f>
        <v>0</v>
      </c>
      <c r="G6689" t="s">
        <v>3019</v>
      </c>
      <c r="H6689" t="s">
        <v>7476</v>
      </c>
      <c r="I6689" t="s">
        <v>10580</v>
      </c>
      <c r="J6689" t="s">
        <v>13647</v>
      </c>
      <c r="K6689" t="s">
        <v>18031</v>
      </c>
      <c r="L6689">
        <f>HYPERLINK("https://www2.assemblee-nationale.fr/sycomore/fiche/(num_dept)/1539", "1539")</f>
        <v>0</v>
      </c>
      <c r="N6689">
        <f>HYPERLINK("https://www.wikidata.org/wiki/Q573739", "Q573739")</f>
        <v>0</v>
      </c>
      <c r="O6689" t="s">
        <v>19956</v>
      </c>
      <c r="Q6689" t="s">
        <v>20840</v>
      </c>
      <c r="R6689" t="s">
        <v>419</v>
      </c>
      <c r="S6689">
        <v>1483</v>
      </c>
    </row>
    <row r="6690" spans="1:19">
      <c r="A6690" t="s">
        <v>29</v>
      </c>
      <c r="B6690" t="s">
        <v>148</v>
      </c>
      <c r="C6690" t="s">
        <v>161</v>
      </c>
      <c r="D6690" t="s">
        <v>290</v>
      </c>
      <c r="E6690" t="s">
        <v>419</v>
      </c>
      <c r="F6690">
        <f>HYPERLINK("https://www.wikidata.org/wiki/Q33322771", "Q33322771")</f>
        <v>0</v>
      </c>
      <c r="G6690" t="s">
        <v>3901</v>
      </c>
      <c r="H6690" t="s">
        <v>6116</v>
      </c>
      <c r="I6690" t="s">
        <v>5504</v>
      </c>
      <c r="J6690" t="s">
        <v>14458</v>
      </c>
      <c r="K6690" t="s">
        <v>18808</v>
      </c>
      <c r="L6690">
        <f>HYPERLINK("https://www2.assemblee-nationale.fr/sycomore/fiche/(num_dept)/1550", "1550")</f>
        <v>0</v>
      </c>
      <c r="M6690">
        <f>HYPERLINK("https://www.senat.fr/senateur-3eme-republique/cazals_noel0372r3.html", "cazals_noel0372r3")</f>
        <v>0</v>
      </c>
      <c r="N6690">
        <f>HYPERLINK("https://www.wikidata.org/wiki/Q3345784", "Q3345784")</f>
        <v>0</v>
      </c>
      <c r="O6690" t="s">
        <v>19966</v>
      </c>
      <c r="P6690" t="s">
        <v>20402</v>
      </c>
      <c r="Q6690" t="s">
        <v>20840</v>
      </c>
      <c r="R6690" t="s">
        <v>419</v>
      </c>
      <c r="S6690">
        <v>1483</v>
      </c>
    </row>
    <row r="6691" spans="1:19">
      <c r="A6691" t="s">
        <v>29</v>
      </c>
      <c r="B6691" t="s">
        <v>148</v>
      </c>
      <c r="C6691" t="s">
        <v>161</v>
      </c>
      <c r="D6691" t="s">
        <v>290</v>
      </c>
      <c r="E6691" t="s">
        <v>419</v>
      </c>
      <c r="F6691">
        <f>HYPERLINK("https://www.wikidata.org/wiki/Q33322771", "Q33322771")</f>
        <v>0</v>
      </c>
      <c r="G6691" t="s">
        <v>563</v>
      </c>
      <c r="H6691" t="s">
        <v>5326</v>
      </c>
      <c r="I6691" t="s">
        <v>9418</v>
      </c>
      <c r="J6691" t="s">
        <v>11314</v>
      </c>
      <c r="K6691" t="s">
        <v>15715</v>
      </c>
      <c r="L6691">
        <f>HYPERLINK("https://www2.assemblee-nationale.fr/sycomore/fiche/(num_dept)/1555", "1555")</f>
        <v>0</v>
      </c>
      <c r="N6691">
        <f>HYPERLINK("https://www.wikidata.org/wiki/Q15974261", "Q15974261")</f>
        <v>0</v>
      </c>
      <c r="O6691" t="s">
        <v>19987</v>
      </c>
      <c r="Q6691" t="s">
        <v>20840</v>
      </c>
      <c r="R6691" t="s">
        <v>419</v>
      </c>
      <c r="S6691">
        <v>1483</v>
      </c>
    </row>
    <row r="6692" spans="1:19">
      <c r="A6692" t="s">
        <v>29</v>
      </c>
      <c r="B6692" t="s">
        <v>148</v>
      </c>
      <c r="C6692" t="s">
        <v>161</v>
      </c>
      <c r="D6692" t="s">
        <v>290</v>
      </c>
      <c r="E6692" t="s">
        <v>419</v>
      </c>
      <c r="F6692">
        <f>HYPERLINK("https://www.wikidata.org/wiki/Q33322771", "Q33322771")</f>
        <v>0</v>
      </c>
      <c r="G6692" t="s">
        <v>2533</v>
      </c>
      <c r="H6692" t="s">
        <v>7093</v>
      </c>
      <c r="I6692" t="s">
        <v>9602</v>
      </c>
      <c r="J6692" t="s">
        <v>13177</v>
      </c>
      <c r="K6692" t="s">
        <v>17583</v>
      </c>
      <c r="L6692">
        <f>HYPERLINK("https://www2.assemblee-nationale.fr/sycomore/fiche/(num_dept)/1556", "1556")</f>
        <v>0</v>
      </c>
      <c r="M6692">
        <f>HYPERLINK("https://www.senat.fr/senateur-3eme-republique/caze_edmond0102r3.html", "caze_edmond0102r3")</f>
        <v>0</v>
      </c>
      <c r="N6692">
        <f>HYPERLINK("https://www.wikidata.org/wiki/Q3047779", "Q3047779")</f>
        <v>0</v>
      </c>
      <c r="O6692" t="s">
        <v>20016</v>
      </c>
      <c r="Q6692" t="s">
        <v>20840</v>
      </c>
      <c r="R6692" t="s">
        <v>419</v>
      </c>
      <c r="S6692">
        <v>1483</v>
      </c>
    </row>
    <row r="6693" spans="1:19">
      <c r="A6693" t="s">
        <v>29</v>
      </c>
      <c r="B6693" t="s">
        <v>148</v>
      </c>
      <c r="C6693" t="s">
        <v>161</v>
      </c>
      <c r="D6693" t="s">
        <v>290</v>
      </c>
      <c r="E6693" t="s">
        <v>419</v>
      </c>
      <c r="F6693">
        <f>HYPERLINK("https://www.wikidata.org/wiki/Q33322771", "Q33322771")</f>
        <v>0</v>
      </c>
      <c r="G6693" t="s">
        <v>565</v>
      </c>
      <c r="H6693" t="s">
        <v>5328</v>
      </c>
      <c r="I6693" t="s">
        <v>6860</v>
      </c>
      <c r="J6693" t="s">
        <v>11316</v>
      </c>
      <c r="K6693" t="s">
        <v>15717</v>
      </c>
      <c r="L6693">
        <f>HYPERLINK("https://www2.assemblee-nationale.fr/sycomore/fiche/(num_dept)/1623", "1623")</f>
        <v>0</v>
      </c>
      <c r="M6693">
        <f>HYPERLINK("https://www.senat.fr/senateur-3eme-republique/de_chambrun_pierre0856r3.html", "de_chambrun_pierre0856r3")</f>
        <v>0</v>
      </c>
      <c r="N6693">
        <f>HYPERLINK("https://www.wikidata.org/wiki/Q3042196", "Q3042196")</f>
        <v>0</v>
      </c>
      <c r="O6693" t="s">
        <v>20004</v>
      </c>
      <c r="Q6693" t="s">
        <v>20840</v>
      </c>
      <c r="R6693" t="s">
        <v>419</v>
      </c>
      <c r="S6693">
        <v>1483</v>
      </c>
    </row>
    <row r="6694" spans="1:19">
      <c r="A6694" t="s">
        <v>29</v>
      </c>
      <c r="B6694" t="s">
        <v>148</v>
      </c>
      <c r="C6694" t="s">
        <v>161</v>
      </c>
      <c r="D6694" t="s">
        <v>290</v>
      </c>
      <c r="E6694" t="s">
        <v>419</v>
      </c>
      <c r="F6694">
        <f>HYPERLINK("https://www.wikidata.org/wiki/Q33322771", "Q33322771")</f>
        <v>0</v>
      </c>
      <c r="G6694" t="s">
        <v>566</v>
      </c>
      <c r="H6694" t="s">
        <v>5329</v>
      </c>
      <c r="I6694" t="s">
        <v>9419</v>
      </c>
      <c r="J6694" t="s">
        <v>11317</v>
      </c>
      <c r="K6694" t="s">
        <v>15718</v>
      </c>
      <c r="L6694">
        <f>HYPERLINK("https://www2.assemblee-nationale.fr/sycomore/fiche/(num_dept)/1624", "1624")</f>
        <v>0</v>
      </c>
      <c r="N6694">
        <f>HYPERLINK("https://www.wikidata.org/wiki/Q3345786", "Q3345786")</f>
        <v>0</v>
      </c>
      <c r="O6694" t="s">
        <v>20005</v>
      </c>
      <c r="P6694" t="s">
        <v>20477</v>
      </c>
      <c r="Q6694" t="s">
        <v>20840</v>
      </c>
      <c r="R6694" t="s">
        <v>419</v>
      </c>
      <c r="S6694">
        <v>1483</v>
      </c>
    </row>
    <row r="6695" spans="1:19">
      <c r="A6695" t="s">
        <v>29</v>
      </c>
      <c r="B6695" t="s">
        <v>148</v>
      </c>
      <c r="C6695" t="s">
        <v>161</v>
      </c>
      <c r="D6695" t="s">
        <v>290</v>
      </c>
      <c r="E6695" t="s">
        <v>419</v>
      </c>
      <c r="F6695">
        <f>HYPERLINK("https://www.wikidata.org/wiki/Q33322771", "Q33322771")</f>
        <v>0</v>
      </c>
      <c r="G6695" t="s">
        <v>3689</v>
      </c>
      <c r="H6695" t="s">
        <v>8011</v>
      </c>
      <c r="I6695" t="s">
        <v>10937</v>
      </c>
      <c r="J6695" t="s">
        <v>13857</v>
      </c>
      <c r="K6695" t="s">
        <v>17751</v>
      </c>
      <c r="L6695">
        <f>HYPERLINK("https://www2.assemblee-nationale.fr/sycomore/fiche/(num_dept)/1637", "1637")</f>
        <v>0</v>
      </c>
      <c r="N6695">
        <f>HYPERLINK("https://www.wikidata.org/wiki/Q7122126", "Q7122126")</f>
        <v>0</v>
      </c>
      <c r="O6695" t="s">
        <v>20032</v>
      </c>
      <c r="Q6695" t="s">
        <v>20840</v>
      </c>
      <c r="R6695" t="s">
        <v>419</v>
      </c>
      <c r="S6695">
        <v>1483</v>
      </c>
    </row>
    <row r="6696" spans="1:19">
      <c r="A6696" t="s">
        <v>29</v>
      </c>
      <c r="B6696" t="s">
        <v>148</v>
      </c>
      <c r="C6696" t="s">
        <v>161</v>
      </c>
      <c r="D6696" t="s">
        <v>290</v>
      </c>
      <c r="E6696" t="s">
        <v>419</v>
      </c>
      <c r="F6696">
        <f>HYPERLINK("https://www.wikidata.org/wiki/Q33322771", "Q33322771")</f>
        <v>0</v>
      </c>
      <c r="G6696" t="s">
        <v>570</v>
      </c>
      <c r="H6696" t="s">
        <v>5333</v>
      </c>
      <c r="I6696" t="s">
        <v>9423</v>
      </c>
      <c r="J6696" t="s">
        <v>11321</v>
      </c>
      <c r="K6696" t="s">
        <v>15722</v>
      </c>
      <c r="L6696">
        <f>HYPERLINK("https://www2.assemblee-nationale.fr/sycomore/fiche/(num_dept)/1701", "1701")</f>
        <v>0</v>
      </c>
      <c r="M6696">
        <f>HYPERLINK("https://www.senat.fr/senateur-3eme-republique/chastenet_de_castaing_guillaume0201r3.html", "chastenet_de_castaing_guillaume0201r3")</f>
        <v>0</v>
      </c>
      <c r="N6696">
        <f>HYPERLINK("https://www.wikidata.org/wiki/Q3119745", "Q3119745")</f>
        <v>0</v>
      </c>
      <c r="O6696" t="s">
        <v>19987</v>
      </c>
      <c r="Q6696" t="s">
        <v>20840</v>
      </c>
      <c r="R6696" t="s">
        <v>419</v>
      </c>
      <c r="S6696">
        <v>1483</v>
      </c>
    </row>
    <row r="6697" spans="1:19">
      <c r="A6697" t="s">
        <v>29</v>
      </c>
      <c r="B6697" t="s">
        <v>148</v>
      </c>
      <c r="C6697" t="s">
        <v>161</v>
      </c>
      <c r="D6697" t="s">
        <v>290</v>
      </c>
      <c r="E6697" t="s">
        <v>419</v>
      </c>
      <c r="F6697">
        <f>HYPERLINK("https://www.wikidata.org/wiki/Q33322771", "Q33322771")</f>
        <v>0</v>
      </c>
      <c r="G6697" t="s">
        <v>3418</v>
      </c>
      <c r="H6697" t="s">
        <v>5335</v>
      </c>
      <c r="I6697" t="s">
        <v>9455</v>
      </c>
      <c r="J6697" t="s">
        <v>14023</v>
      </c>
      <c r="K6697" t="s">
        <v>18392</v>
      </c>
      <c r="L6697">
        <f>HYPERLINK("https://www2.assemblee-nationale.fr/sycomore/fiche/(num_dept)/1712", "1712")</f>
        <v>0</v>
      </c>
      <c r="N6697">
        <f>HYPERLINK("https://www.wikidata.org/wiki/Q3265425", "Q3265425")</f>
        <v>0</v>
      </c>
      <c r="O6697" t="s">
        <v>19984</v>
      </c>
      <c r="P6697" t="s">
        <v>20479</v>
      </c>
      <c r="Q6697" t="s">
        <v>20840</v>
      </c>
      <c r="R6697" t="s">
        <v>18392</v>
      </c>
      <c r="S6697">
        <v>79</v>
      </c>
    </row>
    <row r="6698" spans="1:19">
      <c r="A6698" t="s">
        <v>29</v>
      </c>
      <c r="B6698" t="s">
        <v>148</v>
      </c>
      <c r="C6698" t="s">
        <v>161</v>
      </c>
      <c r="D6698" t="s">
        <v>290</v>
      </c>
      <c r="E6698" t="s">
        <v>419</v>
      </c>
      <c r="F6698">
        <f>HYPERLINK("https://www.wikidata.org/wiki/Q33322771", "Q33322771")</f>
        <v>0</v>
      </c>
      <c r="G6698" t="s">
        <v>3541</v>
      </c>
      <c r="H6698" t="s">
        <v>5337</v>
      </c>
      <c r="I6698" t="s">
        <v>9437</v>
      </c>
      <c r="J6698" t="s">
        <v>14132</v>
      </c>
      <c r="K6698" t="s">
        <v>18497</v>
      </c>
      <c r="L6698">
        <f>HYPERLINK("https://www2.assemblee-nationale.fr/sycomore/fiche/(num_dept)/1727", "1727")</f>
        <v>0</v>
      </c>
      <c r="M6698">
        <f>HYPERLINK("https://www.senat.fr/senateur-3eme-republique/chautemps_emile1313r3.html", "chautemps_emile1313r3")</f>
        <v>0</v>
      </c>
      <c r="N6698">
        <f>HYPERLINK("https://www.wikidata.org/wiki/Q3588410", "Q3588410")</f>
        <v>0</v>
      </c>
      <c r="O6698" t="s">
        <v>20018</v>
      </c>
      <c r="P6698" t="s">
        <v>20477</v>
      </c>
      <c r="Q6698" t="s">
        <v>20840</v>
      </c>
      <c r="R6698" t="s">
        <v>419</v>
      </c>
      <c r="S6698">
        <v>1483</v>
      </c>
    </row>
    <row r="6699" spans="1:19">
      <c r="A6699" t="s">
        <v>29</v>
      </c>
      <c r="B6699" t="s">
        <v>148</v>
      </c>
      <c r="C6699" t="s">
        <v>161</v>
      </c>
      <c r="D6699" t="s">
        <v>290</v>
      </c>
      <c r="E6699" t="s">
        <v>419</v>
      </c>
      <c r="F6699">
        <f>HYPERLINK("https://www.wikidata.org/wiki/Q33322771", "Q33322771")</f>
        <v>0</v>
      </c>
      <c r="G6699" t="s">
        <v>909</v>
      </c>
      <c r="H6699" t="s">
        <v>5665</v>
      </c>
      <c r="I6699" t="s">
        <v>9586</v>
      </c>
      <c r="J6699" t="s">
        <v>11653</v>
      </c>
      <c r="K6699" t="s">
        <v>16052</v>
      </c>
      <c r="L6699">
        <f>HYPERLINK("https://www2.assemblee-nationale.fr/sycomore/fiche/(num_dept)/1743", "1743")</f>
        <v>0</v>
      </c>
      <c r="N6699">
        <f>HYPERLINK("https://www.wikidata.org/wiki/Q8312689", "Q8312689")</f>
        <v>0</v>
      </c>
      <c r="O6699" t="s">
        <v>19994</v>
      </c>
      <c r="P6699" t="s">
        <v>20503</v>
      </c>
      <c r="Q6699" t="s">
        <v>20840</v>
      </c>
      <c r="R6699" t="s">
        <v>419</v>
      </c>
      <c r="S6699">
        <v>1483</v>
      </c>
    </row>
    <row r="6700" spans="1:19">
      <c r="A6700" t="s">
        <v>29</v>
      </c>
      <c r="B6700" t="s">
        <v>148</v>
      </c>
      <c r="C6700" t="s">
        <v>161</v>
      </c>
      <c r="D6700" t="s">
        <v>290</v>
      </c>
      <c r="E6700" t="s">
        <v>419</v>
      </c>
      <c r="F6700">
        <f>HYPERLINK("https://www.wikidata.org/wiki/Q33322771", "Q33322771")</f>
        <v>0</v>
      </c>
      <c r="G6700" t="s">
        <v>3902</v>
      </c>
      <c r="H6700" t="s">
        <v>8161</v>
      </c>
      <c r="I6700" t="s">
        <v>11021</v>
      </c>
      <c r="J6700" t="s">
        <v>14459</v>
      </c>
      <c r="K6700" t="s">
        <v>18809</v>
      </c>
      <c r="L6700">
        <f>HYPERLINK("https://www2.assemblee-nationale.fr/sycomore/fiche/(num_dept)/1762", "1762")</f>
        <v>0</v>
      </c>
      <c r="N6700">
        <f>HYPERLINK("https://www.wikidata.org/wiki/Q3588406", "Q3588406")</f>
        <v>0</v>
      </c>
      <c r="O6700" t="s">
        <v>20009</v>
      </c>
      <c r="Q6700" t="s">
        <v>20840</v>
      </c>
      <c r="R6700" t="s">
        <v>419</v>
      </c>
      <c r="S6700">
        <v>1483</v>
      </c>
    </row>
    <row r="6701" spans="1:19">
      <c r="A6701" t="s">
        <v>29</v>
      </c>
      <c r="B6701" t="s">
        <v>148</v>
      </c>
      <c r="C6701" t="s">
        <v>161</v>
      </c>
      <c r="D6701" t="s">
        <v>290</v>
      </c>
      <c r="E6701" t="s">
        <v>419</v>
      </c>
      <c r="F6701">
        <f>HYPERLINK("https://www.wikidata.org/wiki/Q33322771", "Q33322771")</f>
        <v>0</v>
      </c>
      <c r="G6701" t="s">
        <v>3690</v>
      </c>
      <c r="H6701" t="s">
        <v>8012</v>
      </c>
      <c r="I6701" t="s">
        <v>10938</v>
      </c>
      <c r="J6701" t="s">
        <v>14265</v>
      </c>
      <c r="K6701" t="s">
        <v>18626</v>
      </c>
      <c r="L6701">
        <f>HYPERLINK("https://www2.assemblee-nationale.fr/sycomore/fiche/(num_dept)/1774", "1774")</f>
        <v>0</v>
      </c>
      <c r="N6701">
        <f>HYPERLINK("https://www.wikidata.org/wiki/Q3588407", "Q3588407")</f>
        <v>0</v>
      </c>
      <c r="O6701" t="s">
        <v>19989</v>
      </c>
      <c r="P6701" t="s">
        <v>20479</v>
      </c>
      <c r="Q6701" t="s">
        <v>20840</v>
      </c>
      <c r="R6701" t="s">
        <v>18626</v>
      </c>
      <c r="S6701">
        <v>1364</v>
      </c>
    </row>
    <row r="6702" spans="1:19">
      <c r="A6702" t="s">
        <v>29</v>
      </c>
      <c r="B6702" t="s">
        <v>148</v>
      </c>
      <c r="C6702" t="s">
        <v>161</v>
      </c>
      <c r="D6702" t="s">
        <v>290</v>
      </c>
      <c r="E6702" t="s">
        <v>419</v>
      </c>
      <c r="F6702">
        <f>HYPERLINK("https://www.wikidata.org/wiki/Q33322771", "Q33322771")</f>
        <v>0</v>
      </c>
      <c r="G6702" t="s">
        <v>912</v>
      </c>
      <c r="H6702" t="s">
        <v>5668</v>
      </c>
      <c r="I6702" t="s">
        <v>9421</v>
      </c>
      <c r="J6702" t="s">
        <v>11656</v>
      </c>
      <c r="K6702" t="s">
        <v>16055</v>
      </c>
      <c r="L6702">
        <f>HYPERLINK("https://www2.assemblee-nationale.fr/sycomore/fiche/(num_dept)/1811", "1811")</f>
        <v>0</v>
      </c>
      <c r="N6702">
        <f>HYPERLINK("https://www.wikidata.org/wiki/Q3121138", "Q3121138")</f>
        <v>0</v>
      </c>
      <c r="O6702" t="s">
        <v>19989</v>
      </c>
      <c r="Q6702" t="s">
        <v>20840</v>
      </c>
      <c r="R6702" t="s">
        <v>419</v>
      </c>
      <c r="S6702">
        <v>1483</v>
      </c>
    </row>
    <row r="6703" spans="1:19">
      <c r="A6703" t="s">
        <v>29</v>
      </c>
      <c r="B6703" t="s">
        <v>148</v>
      </c>
      <c r="C6703" t="s">
        <v>161</v>
      </c>
      <c r="D6703" t="s">
        <v>290</v>
      </c>
      <c r="E6703" t="s">
        <v>419</v>
      </c>
      <c r="F6703">
        <f>HYPERLINK("https://www.wikidata.org/wiki/Q33322771", "Q33322771")</f>
        <v>0</v>
      </c>
      <c r="G6703" t="s">
        <v>2538</v>
      </c>
      <c r="H6703" t="s">
        <v>7098</v>
      </c>
      <c r="I6703" t="s">
        <v>10275</v>
      </c>
      <c r="J6703" t="s">
        <v>13182</v>
      </c>
      <c r="K6703" t="s">
        <v>17587</v>
      </c>
      <c r="L6703">
        <f>HYPERLINK("https://www2.assemblee-nationale.fr/sycomore/fiche/(num_dept)/1818", "1818")</f>
        <v>0</v>
      </c>
      <c r="N6703">
        <f>HYPERLINK("https://www.wikidata.org/wiki/Q2190717", "Q2190717")</f>
        <v>0</v>
      </c>
      <c r="O6703" t="s">
        <v>19957</v>
      </c>
      <c r="Q6703" t="s">
        <v>20840</v>
      </c>
      <c r="R6703" t="s">
        <v>419</v>
      </c>
      <c r="S6703">
        <v>1483</v>
      </c>
    </row>
    <row r="6704" spans="1:19">
      <c r="A6704" t="s">
        <v>29</v>
      </c>
      <c r="B6704" t="s">
        <v>148</v>
      </c>
      <c r="C6704" t="s">
        <v>161</v>
      </c>
      <c r="D6704" t="s">
        <v>290</v>
      </c>
      <c r="E6704" t="s">
        <v>419</v>
      </c>
      <c r="F6704">
        <f>HYPERLINK("https://www.wikidata.org/wiki/Q33322771", "Q33322771")</f>
        <v>0</v>
      </c>
      <c r="G6704" t="s">
        <v>3903</v>
      </c>
      <c r="H6704" t="s">
        <v>7098</v>
      </c>
      <c r="I6704" t="s">
        <v>11022</v>
      </c>
      <c r="J6704" t="s">
        <v>14460</v>
      </c>
      <c r="K6704" t="s">
        <v>18810</v>
      </c>
      <c r="L6704">
        <f>HYPERLINK("https://www2.assemblee-nationale.fr/sycomore/fiche/(num_dept)/1819", "1819")</f>
        <v>0</v>
      </c>
      <c r="N6704">
        <f>HYPERLINK("https://www.wikidata.org/wiki/Q16025452", "Q16025452")</f>
        <v>0</v>
      </c>
      <c r="O6704" t="s">
        <v>20006</v>
      </c>
      <c r="P6704" t="s">
        <v>20479</v>
      </c>
      <c r="Q6704" t="s">
        <v>20840</v>
      </c>
      <c r="R6704" t="s">
        <v>419</v>
      </c>
      <c r="S6704">
        <v>1483</v>
      </c>
    </row>
    <row r="6705" spans="1:19">
      <c r="A6705" t="s">
        <v>29</v>
      </c>
      <c r="B6705" t="s">
        <v>148</v>
      </c>
      <c r="C6705" t="s">
        <v>161</v>
      </c>
      <c r="D6705" t="s">
        <v>290</v>
      </c>
      <c r="E6705" t="s">
        <v>419</v>
      </c>
      <c r="F6705">
        <f>HYPERLINK("https://www.wikidata.org/wiki/Q33322771", "Q33322771")</f>
        <v>0</v>
      </c>
      <c r="G6705" t="s">
        <v>577</v>
      </c>
      <c r="H6705" t="s">
        <v>5339</v>
      </c>
      <c r="I6705" t="s">
        <v>9428</v>
      </c>
      <c r="J6705" t="s">
        <v>11328</v>
      </c>
      <c r="K6705" t="s">
        <v>15729</v>
      </c>
      <c r="L6705">
        <f>HYPERLINK("https://www2.assemblee-nationale.fr/sycomore/fiche/(num_dept)/1822", "1822")</f>
        <v>0</v>
      </c>
      <c r="N6705">
        <f>HYPERLINK("https://www.wikidata.org/wiki/Q2835023", "Q2835023")</f>
        <v>0</v>
      </c>
      <c r="O6705" t="s">
        <v>19967</v>
      </c>
      <c r="Q6705" t="s">
        <v>20840</v>
      </c>
      <c r="R6705" t="s">
        <v>419</v>
      </c>
      <c r="S6705">
        <v>1483</v>
      </c>
    </row>
    <row r="6706" spans="1:19">
      <c r="A6706" t="s">
        <v>29</v>
      </c>
      <c r="B6706" t="s">
        <v>148</v>
      </c>
      <c r="C6706" t="s">
        <v>161</v>
      </c>
      <c r="D6706" t="s">
        <v>290</v>
      </c>
      <c r="E6706" t="s">
        <v>419</v>
      </c>
      <c r="F6706">
        <f>HYPERLINK("https://www.wikidata.org/wiki/Q33322771", "Q33322771")</f>
        <v>0</v>
      </c>
      <c r="G6706" t="s">
        <v>578</v>
      </c>
      <c r="H6706" t="s">
        <v>5340</v>
      </c>
      <c r="I6706" t="s">
        <v>9429</v>
      </c>
      <c r="J6706" t="s">
        <v>11329</v>
      </c>
      <c r="K6706" t="s">
        <v>15730</v>
      </c>
      <c r="L6706">
        <f>HYPERLINK("https://www2.assemblee-nationale.fr/sycomore/fiche/(num_dept)/1831", "1831")</f>
        <v>0</v>
      </c>
      <c r="N6706">
        <f>HYPERLINK("https://www.wikidata.org/wiki/Q16025454", "Q16025454")</f>
        <v>0</v>
      </c>
      <c r="O6706" t="s">
        <v>20010</v>
      </c>
      <c r="Q6706" t="s">
        <v>20840</v>
      </c>
      <c r="R6706" t="s">
        <v>419</v>
      </c>
      <c r="S6706">
        <v>1483</v>
      </c>
    </row>
    <row r="6707" spans="1:19">
      <c r="A6707" t="s">
        <v>29</v>
      </c>
      <c r="B6707" t="s">
        <v>148</v>
      </c>
      <c r="C6707" t="s">
        <v>161</v>
      </c>
      <c r="D6707" t="s">
        <v>290</v>
      </c>
      <c r="E6707" t="s">
        <v>419</v>
      </c>
      <c r="F6707">
        <f>HYPERLINK("https://www.wikidata.org/wiki/Q33322771", "Q33322771")</f>
        <v>0</v>
      </c>
      <c r="G6707" t="s">
        <v>3904</v>
      </c>
      <c r="H6707" t="s">
        <v>8162</v>
      </c>
      <c r="I6707" t="s">
        <v>6175</v>
      </c>
      <c r="J6707" t="s">
        <v>14461</v>
      </c>
      <c r="K6707" t="s">
        <v>18811</v>
      </c>
      <c r="L6707">
        <f>HYPERLINK("https://www2.assemblee-nationale.fr/sycomore/fiche/(num_dept)/1836", "1836")</f>
        <v>0</v>
      </c>
      <c r="N6707">
        <f>HYPERLINK("https://www.wikidata.org/wiki/Q16025457", "Q16025457")</f>
        <v>0</v>
      </c>
      <c r="O6707" t="s">
        <v>19997</v>
      </c>
      <c r="P6707" t="s">
        <v>20479</v>
      </c>
      <c r="Q6707" t="s">
        <v>20840</v>
      </c>
      <c r="R6707" t="s">
        <v>419</v>
      </c>
      <c r="S6707">
        <v>1483</v>
      </c>
    </row>
    <row r="6708" spans="1:19">
      <c r="A6708" t="s">
        <v>29</v>
      </c>
      <c r="B6708" t="s">
        <v>148</v>
      </c>
      <c r="C6708" t="s">
        <v>161</v>
      </c>
      <c r="D6708" t="s">
        <v>290</v>
      </c>
      <c r="E6708" t="s">
        <v>419</v>
      </c>
      <c r="F6708">
        <f>HYPERLINK("https://www.wikidata.org/wiki/Q33322771", "Q33322771")</f>
        <v>0</v>
      </c>
      <c r="G6708" t="s">
        <v>3635</v>
      </c>
      <c r="H6708" t="s">
        <v>7968</v>
      </c>
      <c r="I6708" t="s">
        <v>6200</v>
      </c>
      <c r="J6708" t="s">
        <v>14215</v>
      </c>
      <c r="K6708" t="s">
        <v>18495</v>
      </c>
      <c r="L6708">
        <f>HYPERLINK("https://www2.assemblee-nationale.fr/sycomore/fiche/(num_dept)/1843", "1843")</f>
        <v>0</v>
      </c>
      <c r="N6708">
        <f>HYPERLINK("https://www.wikidata.org/wiki/Q16025826", "Q16025826")</f>
        <v>0</v>
      </c>
      <c r="O6708" t="s">
        <v>19970</v>
      </c>
      <c r="P6708" t="s">
        <v>20479</v>
      </c>
      <c r="Q6708" t="s">
        <v>20840</v>
      </c>
      <c r="R6708" t="s">
        <v>419</v>
      </c>
      <c r="S6708">
        <v>1483</v>
      </c>
    </row>
    <row r="6709" spans="1:19">
      <c r="A6709" t="s">
        <v>29</v>
      </c>
      <c r="B6709" t="s">
        <v>148</v>
      </c>
      <c r="C6709" t="s">
        <v>161</v>
      </c>
      <c r="D6709" t="s">
        <v>290</v>
      </c>
      <c r="E6709" t="s">
        <v>419</v>
      </c>
      <c r="F6709">
        <f>HYPERLINK("https://www.wikidata.org/wiki/Q33322771", "Q33322771")</f>
        <v>0</v>
      </c>
      <c r="G6709" t="s">
        <v>581</v>
      </c>
      <c r="H6709" t="s">
        <v>5343</v>
      </c>
      <c r="I6709" t="s">
        <v>9431</v>
      </c>
      <c r="J6709" t="s">
        <v>11332</v>
      </c>
      <c r="K6709" t="s">
        <v>15733</v>
      </c>
      <c r="L6709">
        <f>HYPERLINK("https://www2.assemblee-nationale.fr/sycomore/fiche/(num_dept)/1865", "1865")</f>
        <v>0</v>
      </c>
      <c r="N6709">
        <f>HYPERLINK("https://www.wikidata.org/wiki/Q16025465", "Q16025465")</f>
        <v>0</v>
      </c>
      <c r="O6709" t="s">
        <v>20012</v>
      </c>
      <c r="P6709" t="s">
        <v>20409</v>
      </c>
      <c r="Q6709" t="s">
        <v>20840</v>
      </c>
      <c r="R6709" t="s">
        <v>419</v>
      </c>
      <c r="S6709">
        <v>1483</v>
      </c>
    </row>
    <row r="6710" spans="1:19">
      <c r="A6710" t="s">
        <v>29</v>
      </c>
      <c r="B6710" t="s">
        <v>148</v>
      </c>
      <c r="C6710" t="s">
        <v>161</v>
      </c>
      <c r="D6710" t="s">
        <v>290</v>
      </c>
      <c r="E6710" t="s">
        <v>419</v>
      </c>
      <c r="F6710">
        <f>HYPERLINK("https://www.wikidata.org/wiki/Q33322771", "Q33322771")</f>
        <v>0</v>
      </c>
      <c r="G6710" t="s">
        <v>582</v>
      </c>
      <c r="H6710" t="s">
        <v>5344</v>
      </c>
      <c r="I6710" t="s">
        <v>6175</v>
      </c>
      <c r="J6710" t="s">
        <v>11333</v>
      </c>
      <c r="K6710" t="s">
        <v>15734</v>
      </c>
      <c r="L6710">
        <f>HYPERLINK("https://www2.assemblee-nationale.fr/sycomore/fiche/(num_dept)/1869", "1869")</f>
        <v>0</v>
      </c>
      <c r="N6710">
        <f>HYPERLINK("https://www.wikidata.org/wiki/Q2599226", "Q2599226")</f>
        <v>0</v>
      </c>
      <c r="O6710" t="s">
        <v>19958</v>
      </c>
      <c r="P6710" t="s">
        <v>20461</v>
      </c>
      <c r="Q6710" t="s">
        <v>20840</v>
      </c>
      <c r="R6710" t="s">
        <v>419</v>
      </c>
      <c r="S6710">
        <v>1483</v>
      </c>
    </row>
    <row r="6711" spans="1:19">
      <c r="A6711" t="s">
        <v>29</v>
      </c>
      <c r="B6711" t="s">
        <v>148</v>
      </c>
      <c r="C6711" t="s">
        <v>161</v>
      </c>
      <c r="D6711" t="s">
        <v>290</v>
      </c>
      <c r="E6711" t="s">
        <v>419</v>
      </c>
      <c r="F6711">
        <f>HYPERLINK("https://www.wikidata.org/wiki/Q33322771", "Q33322771")</f>
        <v>0</v>
      </c>
      <c r="G6711" t="s">
        <v>583</v>
      </c>
      <c r="H6711" t="s">
        <v>5345</v>
      </c>
      <c r="I6711" t="s">
        <v>9432</v>
      </c>
      <c r="J6711" t="s">
        <v>11334</v>
      </c>
      <c r="K6711" t="s">
        <v>15735</v>
      </c>
      <c r="L6711">
        <f>HYPERLINK("https://www2.assemblee-nationale.fr/sycomore/fiche/(num_dept)/1874", "1874")</f>
        <v>0</v>
      </c>
      <c r="N6711">
        <f>HYPERLINK("https://www.wikidata.org/wiki/Q3023401", "Q3023401")</f>
        <v>0</v>
      </c>
      <c r="O6711" t="s">
        <v>19969</v>
      </c>
      <c r="Q6711" t="s">
        <v>20840</v>
      </c>
      <c r="R6711" t="s">
        <v>419</v>
      </c>
      <c r="S6711">
        <v>1483</v>
      </c>
    </row>
    <row r="6712" spans="1:19">
      <c r="A6712" t="s">
        <v>29</v>
      </c>
      <c r="B6712" t="s">
        <v>148</v>
      </c>
      <c r="C6712" t="s">
        <v>161</v>
      </c>
      <c r="D6712" t="s">
        <v>290</v>
      </c>
      <c r="E6712" t="s">
        <v>419</v>
      </c>
      <c r="F6712">
        <f>HYPERLINK("https://www.wikidata.org/wiki/Q33322771", "Q33322771")</f>
        <v>0</v>
      </c>
      <c r="G6712" t="s">
        <v>584</v>
      </c>
      <c r="H6712" t="s">
        <v>5345</v>
      </c>
      <c r="I6712" t="s">
        <v>9433</v>
      </c>
      <c r="J6712" t="s">
        <v>11335</v>
      </c>
      <c r="K6712" t="s">
        <v>15736</v>
      </c>
      <c r="L6712">
        <f>HYPERLINK("https://www2.assemblee-nationale.fr/sycomore/fiche/(num_dept)/1875", "1875")</f>
        <v>0</v>
      </c>
      <c r="N6712">
        <f>HYPERLINK("https://www.wikidata.org/wiki/Q3132702", "Q3132702")</f>
        <v>0</v>
      </c>
      <c r="O6712" t="s">
        <v>20013</v>
      </c>
      <c r="Q6712" t="s">
        <v>20840</v>
      </c>
      <c r="R6712" t="s">
        <v>419</v>
      </c>
      <c r="S6712">
        <v>1483</v>
      </c>
    </row>
    <row r="6713" spans="1:19">
      <c r="A6713" t="s">
        <v>29</v>
      </c>
      <c r="B6713" t="s">
        <v>148</v>
      </c>
      <c r="C6713" t="s">
        <v>161</v>
      </c>
      <c r="D6713" t="s">
        <v>290</v>
      </c>
      <c r="E6713" t="s">
        <v>419</v>
      </c>
      <c r="F6713">
        <f>HYPERLINK("https://www.wikidata.org/wiki/Q33322771", "Q33322771")</f>
        <v>0</v>
      </c>
      <c r="G6713" t="s">
        <v>2540</v>
      </c>
      <c r="H6713" t="s">
        <v>7100</v>
      </c>
      <c r="I6713" t="s">
        <v>10276</v>
      </c>
      <c r="J6713" t="s">
        <v>13184</v>
      </c>
      <c r="K6713" t="s">
        <v>17589</v>
      </c>
      <c r="L6713">
        <f>HYPERLINK("https://www2.assemblee-nationale.fr/sycomore/fiche/(num_dept)/1878", "1878")</f>
        <v>0</v>
      </c>
      <c r="M6713">
        <f>HYPERLINK("https://www.senat.fr/senateur-3eme-republique/codet_jean1786r3.html", "codet_jean1786r3")</f>
        <v>0</v>
      </c>
      <c r="N6713">
        <f>HYPERLINK("https://www.wikidata.org/wiki/Q3171361", "Q3171361")</f>
        <v>0</v>
      </c>
      <c r="O6713" t="s">
        <v>19977</v>
      </c>
      <c r="Q6713" t="s">
        <v>20840</v>
      </c>
      <c r="R6713" t="s">
        <v>419</v>
      </c>
      <c r="S6713">
        <v>1483</v>
      </c>
    </row>
    <row r="6714" spans="1:19">
      <c r="A6714" t="s">
        <v>29</v>
      </c>
      <c r="B6714" t="s">
        <v>148</v>
      </c>
      <c r="C6714" t="s">
        <v>161</v>
      </c>
      <c r="D6714" t="s">
        <v>290</v>
      </c>
      <c r="E6714" t="s">
        <v>419</v>
      </c>
      <c r="F6714">
        <f>HYPERLINK("https://www.wikidata.org/wiki/Q33322771", "Q33322771")</f>
        <v>0</v>
      </c>
      <c r="G6714" t="s">
        <v>3905</v>
      </c>
      <c r="H6714" t="s">
        <v>8163</v>
      </c>
      <c r="I6714" t="s">
        <v>10329</v>
      </c>
      <c r="J6714" t="s">
        <v>14462</v>
      </c>
      <c r="K6714" t="s">
        <v>18812</v>
      </c>
      <c r="L6714">
        <f>HYPERLINK("https://www2.assemblee-nationale.fr/sycomore/fiche/(num_dept)/1903", "1903")</f>
        <v>0</v>
      </c>
      <c r="N6714">
        <f>HYPERLINK("https://www.wikidata.org/wiki/Q16025474", "Q16025474")</f>
        <v>0</v>
      </c>
      <c r="O6714" t="s">
        <v>20036</v>
      </c>
      <c r="P6714" t="s">
        <v>20479</v>
      </c>
      <c r="Q6714" t="s">
        <v>20840</v>
      </c>
      <c r="R6714" t="s">
        <v>419</v>
      </c>
      <c r="S6714">
        <v>1483</v>
      </c>
    </row>
    <row r="6715" spans="1:19">
      <c r="A6715" t="s">
        <v>29</v>
      </c>
      <c r="B6715" t="s">
        <v>148</v>
      </c>
      <c r="C6715" t="s">
        <v>161</v>
      </c>
      <c r="D6715" t="s">
        <v>290</v>
      </c>
      <c r="E6715" t="s">
        <v>419</v>
      </c>
      <c r="F6715">
        <f>HYPERLINK("https://www.wikidata.org/wiki/Q33322771", "Q33322771")</f>
        <v>0</v>
      </c>
      <c r="G6715" t="s">
        <v>3863</v>
      </c>
      <c r="H6715" t="s">
        <v>8133</v>
      </c>
      <c r="I6715" t="s">
        <v>9455</v>
      </c>
      <c r="J6715" t="s">
        <v>14422</v>
      </c>
      <c r="K6715" t="s">
        <v>18775</v>
      </c>
      <c r="L6715">
        <f>HYPERLINK("https://www2.assemblee-nationale.fr/sycomore/fiche/(num_dept)/1969", "1969")</f>
        <v>0</v>
      </c>
      <c r="M6715">
        <f>HYPERLINK("https://www.senat.fr/senateur-3eme-republique/cornet_lucien1850r3.html", "cornet_lucien1850r3")</f>
        <v>0</v>
      </c>
      <c r="N6715">
        <f>HYPERLINK("https://www.wikidata.org/wiki/Q3265439", "Q3265439")</f>
        <v>0</v>
      </c>
      <c r="O6715" t="s">
        <v>20034</v>
      </c>
      <c r="P6715" t="s">
        <v>20477</v>
      </c>
      <c r="Q6715" t="s">
        <v>20840</v>
      </c>
      <c r="R6715" t="s">
        <v>419</v>
      </c>
      <c r="S6715">
        <v>1483</v>
      </c>
    </row>
    <row r="6716" spans="1:19">
      <c r="A6716" t="s">
        <v>29</v>
      </c>
      <c r="B6716" t="s">
        <v>148</v>
      </c>
      <c r="C6716" t="s">
        <v>161</v>
      </c>
      <c r="D6716" t="s">
        <v>290</v>
      </c>
      <c r="E6716" t="s">
        <v>419</v>
      </c>
      <c r="F6716">
        <f>HYPERLINK("https://www.wikidata.org/wiki/Q33322771", "Q33322771")</f>
        <v>0</v>
      </c>
      <c r="G6716" t="s">
        <v>3018</v>
      </c>
      <c r="H6716" t="s">
        <v>7475</v>
      </c>
      <c r="I6716" t="s">
        <v>10579</v>
      </c>
      <c r="J6716" t="s">
        <v>13646</v>
      </c>
      <c r="K6716" t="s">
        <v>18030</v>
      </c>
      <c r="L6716">
        <f>HYPERLINK("https://www2.assemblee-nationale.fr/sycomore/fiche/(num_dept)/1978", "1978")</f>
        <v>0</v>
      </c>
      <c r="N6716">
        <f>HYPERLINK("https://www.wikidata.org/wiki/Q3588430", "Q3588430")</f>
        <v>0</v>
      </c>
      <c r="O6716" t="s">
        <v>19979</v>
      </c>
      <c r="Q6716" t="s">
        <v>20840</v>
      </c>
      <c r="R6716" t="s">
        <v>419</v>
      </c>
      <c r="S6716">
        <v>1483</v>
      </c>
    </row>
    <row r="6717" spans="1:19">
      <c r="A6717" t="s">
        <v>29</v>
      </c>
      <c r="B6717" t="s">
        <v>148</v>
      </c>
      <c r="C6717" t="s">
        <v>161</v>
      </c>
      <c r="D6717" t="s">
        <v>290</v>
      </c>
      <c r="E6717" t="s">
        <v>419</v>
      </c>
      <c r="F6717">
        <f>HYPERLINK("https://www.wikidata.org/wiki/Q33322771", "Q33322771")</f>
        <v>0</v>
      </c>
      <c r="G6717" t="s">
        <v>589</v>
      </c>
      <c r="H6717" t="s">
        <v>5350</v>
      </c>
      <c r="I6717" t="s">
        <v>9438</v>
      </c>
      <c r="J6717" t="s">
        <v>11340</v>
      </c>
      <c r="K6717" t="s">
        <v>15741</v>
      </c>
      <c r="L6717">
        <f>HYPERLINK("https://www2.assemblee-nationale.fr/sycomore/fiche/(num_dept)/1979", "1979")</f>
        <v>0</v>
      </c>
      <c r="M6717">
        <f>HYPERLINK("https://www.senat.fr/senateur-3eme-republique/cornudet_des_chaumettes_honore1635r3.html", "cornudet_des_chaumettes_honore1635r3")</f>
        <v>0</v>
      </c>
      <c r="N6717">
        <f>HYPERLINK("https://www.wikidata.org/wiki/Q3140215", "Q3140215")</f>
        <v>0</v>
      </c>
      <c r="O6717" t="s">
        <v>19976</v>
      </c>
      <c r="Q6717" t="s">
        <v>20840</v>
      </c>
      <c r="R6717" t="s">
        <v>419</v>
      </c>
      <c r="S6717">
        <v>1483</v>
      </c>
    </row>
    <row r="6718" spans="1:19">
      <c r="A6718" t="s">
        <v>29</v>
      </c>
      <c r="B6718" t="s">
        <v>148</v>
      </c>
      <c r="C6718" t="s">
        <v>161</v>
      </c>
      <c r="D6718" t="s">
        <v>290</v>
      </c>
      <c r="E6718" t="s">
        <v>419</v>
      </c>
      <c r="F6718">
        <f>HYPERLINK("https://www.wikidata.org/wiki/Q33322771", "Q33322771")</f>
        <v>0</v>
      </c>
      <c r="G6718" t="s">
        <v>3544</v>
      </c>
      <c r="H6718" t="s">
        <v>7904</v>
      </c>
      <c r="I6718" t="s">
        <v>10875</v>
      </c>
      <c r="J6718" t="s">
        <v>14135</v>
      </c>
      <c r="K6718" t="s">
        <v>18500</v>
      </c>
      <c r="L6718">
        <f>HYPERLINK("https://www2.assemblee-nationale.fr/sycomore/fiche/(num_dept)/1987", "1987")</f>
        <v>0</v>
      </c>
      <c r="N6718">
        <f>HYPERLINK("https://www.wikidata.org/wiki/Q3510668", "Q3510668")</f>
        <v>0</v>
      </c>
      <c r="O6718" t="s">
        <v>20011</v>
      </c>
      <c r="Q6718" t="s">
        <v>20840</v>
      </c>
      <c r="R6718" t="s">
        <v>419</v>
      </c>
      <c r="S6718">
        <v>1483</v>
      </c>
    </row>
    <row r="6719" spans="1:19">
      <c r="A6719" t="s">
        <v>29</v>
      </c>
      <c r="B6719" t="s">
        <v>148</v>
      </c>
      <c r="C6719" t="s">
        <v>161</v>
      </c>
      <c r="D6719" t="s">
        <v>290</v>
      </c>
      <c r="E6719" t="s">
        <v>419</v>
      </c>
      <c r="F6719">
        <f>HYPERLINK("https://www.wikidata.org/wiki/Q33322771", "Q33322771")</f>
        <v>0</v>
      </c>
      <c r="G6719" t="s">
        <v>3651</v>
      </c>
      <c r="H6719" t="s">
        <v>7982</v>
      </c>
      <c r="I6719" t="s">
        <v>9535</v>
      </c>
      <c r="J6719" t="s">
        <v>14231</v>
      </c>
      <c r="K6719" t="s">
        <v>18592</v>
      </c>
      <c r="L6719">
        <f>HYPERLINK("https://www2.assemblee-nationale.fr/sycomore/fiche/(num_dept)/2011", "2011")</f>
        <v>0</v>
      </c>
      <c r="N6719">
        <f>HYPERLINK("https://www.wikidata.org/wiki/Q16025492", "Q16025492")</f>
        <v>0</v>
      </c>
      <c r="O6719" t="s">
        <v>19980</v>
      </c>
      <c r="Q6719" t="s">
        <v>20840</v>
      </c>
      <c r="R6719" t="s">
        <v>18592</v>
      </c>
      <c r="S6719">
        <v>203</v>
      </c>
    </row>
    <row r="6720" spans="1:19">
      <c r="A6720" t="s">
        <v>29</v>
      </c>
      <c r="B6720" t="s">
        <v>148</v>
      </c>
      <c r="C6720" t="s">
        <v>161</v>
      </c>
      <c r="D6720" t="s">
        <v>290</v>
      </c>
      <c r="E6720" t="s">
        <v>419</v>
      </c>
      <c r="F6720">
        <f>HYPERLINK("https://www.wikidata.org/wiki/Q33322771", "Q33322771")</f>
        <v>0</v>
      </c>
      <c r="G6720" t="s">
        <v>592</v>
      </c>
      <c r="H6720" t="s">
        <v>5353</v>
      </c>
      <c r="I6720" t="s">
        <v>9441</v>
      </c>
      <c r="J6720" t="s">
        <v>11343</v>
      </c>
      <c r="K6720" t="s">
        <v>15744</v>
      </c>
      <c r="L6720">
        <f>HYPERLINK("https://www2.assemblee-nationale.fr/sycomore/fiche/(num_dept)/2048", "2048")</f>
        <v>0</v>
      </c>
      <c r="N6720">
        <f>HYPERLINK("https://www.wikidata.org/wiki/Q16025498", "Q16025498")</f>
        <v>0</v>
      </c>
      <c r="O6720" t="s">
        <v>19969</v>
      </c>
      <c r="P6720" t="s">
        <v>20446</v>
      </c>
      <c r="Q6720" t="s">
        <v>20840</v>
      </c>
      <c r="R6720" t="s">
        <v>419</v>
      </c>
      <c r="S6720">
        <v>1483</v>
      </c>
    </row>
    <row r="6721" spans="1:19">
      <c r="A6721" t="s">
        <v>29</v>
      </c>
      <c r="B6721" t="s">
        <v>148</v>
      </c>
      <c r="C6721" t="s">
        <v>161</v>
      </c>
      <c r="D6721" t="s">
        <v>290</v>
      </c>
      <c r="E6721" t="s">
        <v>419</v>
      </c>
      <c r="F6721">
        <f>HYPERLINK("https://www.wikidata.org/wiki/Q33322771", "Q33322771")</f>
        <v>0</v>
      </c>
      <c r="G6721" t="s">
        <v>594</v>
      </c>
      <c r="H6721" t="s">
        <v>5355</v>
      </c>
      <c r="I6721" t="s">
        <v>6200</v>
      </c>
      <c r="J6721" t="s">
        <v>11345</v>
      </c>
      <c r="K6721" t="s">
        <v>15746</v>
      </c>
      <c r="L6721">
        <f>HYPERLINK("https://www2.assemblee-nationale.fr/sycomore/fiche/(num_dept)/2080", "2080")</f>
        <v>0</v>
      </c>
      <c r="M6721">
        <f>HYPERLINK("https://www.senat.fr/senateur-3eme-republique/cruppi_jean0109r3.html", "cruppi_jean0109r3")</f>
        <v>0</v>
      </c>
      <c r="N6721">
        <f>HYPERLINK("https://www.wikidata.org/wiki/Q730383", "Q730383")</f>
        <v>0</v>
      </c>
      <c r="O6721" t="s">
        <v>20016</v>
      </c>
      <c r="Q6721" t="s">
        <v>20840</v>
      </c>
      <c r="R6721" t="s">
        <v>419</v>
      </c>
      <c r="S6721">
        <v>1483</v>
      </c>
    </row>
    <row r="6722" spans="1:19">
      <c r="A6722" t="s">
        <v>29</v>
      </c>
      <c r="B6722" t="s">
        <v>148</v>
      </c>
      <c r="C6722" t="s">
        <v>161</v>
      </c>
      <c r="D6722" t="s">
        <v>290</v>
      </c>
      <c r="E6722" t="s">
        <v>419</v>
      </c>
      <c r="F6722">
        <f>HYPERLINK("https://www.wikidata.org/wiki/Q33322771", "Q33322771")</f>
        <v>0</v>
      </c>
      <c r="G6722" t="s">
        <v>598</v>
      </c>
      <c r="H6722" t="s">
        <v>5359</v>
      </c>
      <c r="I6722" t="s">
        <v>9444</v>
      </c>
      <c r="J6722" t="s">
        <v>11349</v>
      </c>
      <c r="K6722" t="s">
        <v>15750</v>
      </c>
      <c r="L6722">
        <f>HYPERLINK("https://www2.assemblee-nationale.fr/sycomore/fiche/(num_dept)/2127", "2127")</f>
        <v>0</v>
      </c>
      <c r="N6722">
        <f>HYPERLINK("https://www.wikidata.org/wiki/Q16025516", "Q16025516")</f>
        <v>0</v>
      </c>
      <c r="O6722" t="s">
        <v>20013</v>
      </c>
      <c r="Q6722" t="s">
        <v>20840</v>
      </c>
      <c r="R6722" t="s">
        <v>419</v>
      </c>
      <c r="S6722">
        <v>1483</v>
      </c>
    </row>
    <row r="6723" spans="1:19">
      <c r="A6723" t="s">
        <v>29</v>
      </c>
      <c r="B6723" t="s">
        <v>148</v>
      </c>
      <c r="C6723" t="s">
        <v>161</v>
      </c>
      <c r="D6723" t="s">
        <v>290</v>
      </c>
      <c r="E6723" t="s">
        <v>419</v>
      </c>
      <c r="F6723">
        <f>HYPERLINK("https://www.wikidata.org/wiki/Q33322771", "Q33322771")</f>
        <v>0</v>
      </c>
      <c r="G6723" t="s">
        <v>3760</v>
      </c>
      <c r="H6723" t="s">
        <v>8058</v>
      </c>
      <c r="I6723" t="s">
        <v>10965</v>
      </c>
      <c r="J6723" t="s">
        <v>14332</v>
      </c>
      <c r="K6723" t="s">
        <v>18685</v>
      </c>
      <c r="L6723">
        <f>HYPERLINK("https://www2.assemblee-nationale.fr/sycomore/fiche/(num_dept)/2166", "2166")</f>
        <v>0</v>
      </c>
      <c r="N6723">
        <f>HYPERLINK("https://www.wikidata.org/wiki/Q3379684", "Q3379684")</f>
        <v>0</v>
      </c>
      <c r="O6723" t="s">
        <v>20043</v>
      </c>
      <c r="P6723" t="s">
        <v>20498</v>
      </c>
      <c r="Q6723" t="s">
        <v>20840</v>
      </c>
      <c r="R6723" t="s">
        <v>419</v>
      </c>
      <c r="S6723">
        <v>1483</v>
      </c>
    </row>
    <row r="6724" spans="1:19">
      <c r="A6724" t="s">
        <v>29</v>
      </c>
      <c r="B6724" t="s">
        <v>148</v>
      </c>
      <c r="C6724" t="s">
        <v>161</v>
      </c>
      <c r="D6724" t="s">
        <v>290</v>
      </c>
      <c r="E6724" t="s">
        <v>419</v>
      </c>
      <c r="F6724">
        <f>HYPERLINK("https://www.wikidata.org/wiki/Q33322771", "Q33322771")</f>
        <v>0</v>
      </c>
      <c r="G6724" t="s">
        <v>600</v>
      </c>
      <c r="H6724" t="s">
        <v>5361</v>
      </c>
      <c r="I6724" t="s">
        <v>9446</v>
      </c>
      <c r="J6724" t="s">
        <v>11351</v>
      </c>
      <c r="K6724" t="s">
        <v>15752</v>
      </c>
      <c r="L6724">
        <f>HYPERLINK("https://www2.assemblee-nationale.fr/sycomore/fiche/(num_dept)/2171", "2171")</f>
        <v>0</v>
      </c>
      <c r="M6724">
        <f>HYPERLINK("https://www.senat.fr/senateur-3eme-republique/david_fernand1309r3.html", "david_fernand1309r3")</f>
        <v>0</v>
      </c>
      <c r="N6724">
        <f>HYPERLINK("https://www.wikidata.org/wiki/Q3069115", "Q3069115")</f>
        <v>0</v>
      </c>
      <c r="O6724" t="s">
        <v>20018</v>
      </c>
      <c r="Q6724" t="s">
        <v>20840</v>
      </c>
      <c r="R6724" t="s">
        <v>419</v>
      </c>
      <c r="S6724">
        <v>1483</v>
      </c>
    </row>
    <row r="6725" spans="1:19">
      <c r="A6725" t="s">
        <v>29</v>
      </c>
      <c r="B6725" t="s">
        <v>148</v>
      </c>
      <c r="C6725" t="s">
        <v>161</v>
      </c>
      <c r="D6725" t="s">
        <v>290</v>
      </c>
      <c r="E6725" t="s">
        <v>419</v>
      </c>
      <c r="F6725">
        <f>HYPERLINK("https://www.wikidata.org/wiki/Q33322771", "Q33322771")</f>
        <v>0</v>
      </c>
      <c r="G6725" t="s">
        <v>3870</v>
      </c>
      <c r="H6725" t="s">
        <v>8138</v>
      </c>
      <c r="I6725" t="s">
        <v>6584</v>
      </c>
      <c r="J6725" t="s">
        <v>14429</v>
      </c>
      <c r="K6725" t="s">
        <v>18300</v>
      </c>
      <c r="L6725">
        <f>HYPERLINK("https://www2.assemblee-nationale.fr/sycomore/fiche/(num_dept)/2211", "2211")</f>
        <v>0</v>
      </c>
      <c r="M6725">
        <f>HYPERLINK("https://www.senat.fr/senateur-3eme-republique/decrais_albert0207r3.html", "decrais_albert0207r3")</f>
        <v>0</v>
      </c>
      <c r="N6725">
        <f>HYPERLINK("https://www.wikidata.org/wiki/Q2831089", "Q2831089")</f>
        <v>0</v>
      </c>
      <c r="O6725" t="s">
        <v>19987</v>
      </c>
      <c r="Q6725" t="s">
        <v>20840</v>
      </c>
      <c r="R6725" t="s">
        <v>419</v>
      </c>
      <c r="S6725">
        <v>1483</v>
      </c>
    </row>
    <row r="6726" spans="1:19">
      <c r="A6726" t="s">
        <v>29</v>
      </c>
      <c r="B6726" t="s">
        <v>148</v>
      </c>
      <c r="C6726" t="s">
        <v>161</v>
      </c>
      <c r="D6726" t="s">
        <v>290</v>
      </c>
      <c r="E6726" t="s">
        <v>419</v>
      </c>
      <c r="F6726">
        <f>HYPERLINK("https://www.wikidata.org/wiki/Q33322771", "Q33322771")</f>
        <v>0</v>
      </c>
      <c r="G6726" t="s">
        <v>602</v>
      </c>
      <c r="H6726" t="s">
        <v>5362</v>
      </c>
      <c r="I6726" t="s">
        <v>6158</v>
      </c>
      <c r="J6726" t="s">
        <v>11353</v>
      </c>
      <c r="K6726" t="s">
        <v>15754</v>
      </c>
      <c r="L6726">
        <f>HYPERLINK("https://www2.assemblee-nationale.fr/sycomore/fiche/(num_dept)/2217", "2217")</f>
        <v>0</v>
      </c>
      <c r="N6726">
        <f>HYPERLINK("https://www.wikidata.org/wiki/Q16025535", "Q16025535")</f>
        <v>0</v>
      </c>
      <c r="O6726" t="s">
        <v>20013</v>
      </c>
      <c r="Q6726" t="s">
        <v>20840</v>
      </c>
      <c r="R6726" t="s">
        <v>419</v>
      </c>
      <c r="S6726">
        <v>1483</v>
      </c>
    </row>
    <row r="6727" spans="1:19">
      <c r="A6727" t="s">
        <v>29</v>
      </c>
      <c r="B6727" t="s">
        <v>148</v>
      </c>
      <c r="C6727" t="s">
        <v>161</v>
      </c>
      <c r="D6727" t="s">
        <v>290</v>
      </c>
      <c r="E6727" t="s">
        <v>419</v>
      </c>
      <c r="F6727">
        <f>HYPERLINK("https://www.wikidata.org/wiki/Q33322771", "Q33322771")</f>
        <v>0</v>
      </c>
      <c r="G6727" t="s">
        <v>603</v>
      </c>
      <c r="H6727" t="s">
        <v>5363</v>
      </c>
      <c r="I6727" t="s">
        <v>9447</v>
      </c>
      <c r="J6727" t="s">
        <v>11354</v>
      </c>
      <c r="K6727" t="s">
        <v>15755</v>
      </c>
      <c r="L6727">
        <f>HYPERLINK("https://www2.assemblee-nationale.fr/sycomore/fiche/(num_dept)/2240", "2240")</f>
        <v>0</v>
      </c>
      <c r="N6727">
        <f>HYPERLINK("https://www.wikidata.org/wiki/Q11954687", "Q11954687")</f>
        <v>0</v>
      </c>
      <c r="O6727" t="s">
        <v>19969</v>
      </c>
      <c r="Q6727" t="s">
        <v>20840</v>
      </c>
      <c r="R6727" t="s">
        <v>419</v>
      </c>
      <c r="S6727">
        <v>1483</v>
      </c>
    </row>
    <row r="6728" spans="1:19">
      <c r="A6728" t="s">
        <v>29</v>
      </c>
      <c r="B6728" t="s">
        <v>148</v>
      </c>
      <c r="C6728" t="s">
        <v>161</v>
      </c>
      <c r="D6728" t="s">
        <v>290</v>
      </c>
      <c r="E6728" t="s">
        <v>419</v>
      </c>
      <c r="F6728">
        <f>HYPERLINK("https://www.wikidata.org/wiki/Q33322771", "Q33322771")</f>
        <v>0</v>
      </c>
      <c r="G6728" t="s">
        <v>607</v>
      </c>
      <c r="H6728" t="s">
        <v>5367</v>
      </c>
      <c r="I6728" t="s">
        <v>9450</v>
      </c>
      <c r="J6728" t="s">
        <v>11358</v>
      </c>
      <c r="K6728" t="s">
        <v>15759</v>
      </c>
      <c r="L6728">
        <f>HYPERLINK("https://www2.assemblee-nationale.fr/sycomore/fiche/(num_dept)/2261", "2261")</f>
        <v>0</v>
      </c>
      <c r="N6728">
        <f>HYPERLINK("https://www.wikidata.org/wiki/Q8323934", "Q8323934")</f>
        <v>0</v>
      </c>
      <c r="O6728" t="s">
        <v>8449</v>
      </c>
      <c r="Q6728" t="s">
        <v>20840</v>
      </c>
      <c r="R6728" t="s">
        <v>419</v>
      </c>
      <c r="S6728">
        <v>1483</v>
      </c>
    </row>
    <row r="6729" spans="1:19">
      <c r="A6729" t="s">
        <v>29</v>
      </c>
      <c r="B6729" t="s">
        <v>148</v>
      </c>
      <c r="C6729" t="s">
        <v>161</v>
      </c>
      <c r="D6729" t="s">
        <v>290</v>
      </c>
      <c r="E6729" t="s">
        <v>419</v>
      </c>
      <c r="F6729">
        <f>HYPERLINK("https://www.wikidata.org/wiki/Q33322771", "Q33322771")</f>
        <v>0</v>
      </c>
      <c r="G6729" t="s">
        <v>3762</v>
      </c>
      <c r="H6729" t="s">
        <v>8060</v>
      </c>
      <c r="I6729" t="s">
        <v>9895</v>
      </c>
      <c r="J6729" t="s">
        <v>14333</v>
      </c>
      <c r="K6729" t="s">
        <v>18624</v>
      </c>
      <c r="L6729">
        <f>HYPERLINK("https://www2.assemblee-nationale.fr/sycomore/fiche/(num_dept)/2267", "2267")</f>
        <v>0</v>
      </c>
      <c r="N6729">
        <f>HYPERLINK("https://www.wikidata.org/wiki/Q16025545", "Q16025545")</f>
        <v>0</v>
      </c>
      <c r="O6729" t="s">
        <v>19999</v>
      </c>
      <c r="P6729" t="s">
        <v>20401</v>
      </c>
      <c r="Q6729" t="s">
        <v>20840</v>
      </c>
      <c r="R6729" t="s">
        <v>419</v>
      </c>
      <c r="S6729">
        <v>1483</v>
      </c>
    </row>
    <row r="6730" spans="1:19">
      <c r="A6730" t="s">
        <v>29</v>
      </c>
      <c r="B6730" t="s">
        <v>148</v>
      </c>
      <c r="C6730" t="s">
        <v>161</v>
      </c>
      <c r="D6730" t="s">
        <v>290</v>
      </c>
      <c r="E6730" t="s">
        <v>419</v>
      </c>
      <c r="F6730">
        <f>HYPERLINK("https://www.wikidata.org/wiki/Q33322771", "Q33322771")</f>
        <v>0</v>
      </c>
      <c r="G6730" t="s">
        <v>3906</v>
      </c>
      <c r="H6730" t="s">
        <v>8164</v>
      </c>
      <c r="I6730" t="s">
        <v>9523</v>
      </c>
      <c r="J6730" t="s">
        <v>14463</v>
      </c>
      <c r="K6730" t="s">
        <v>16468</v>
      </c>
      <c r="L6730">
        <f>HYPERLINK("https://www2.assemblee-nationale.fr/sycomore/fiche/(num_dept)/2277", "2277")</f>
        <v>0</v>
      </c>
      <c r="N6730">
        <f>HYPERLINK("https://www.wikidata.org/wiki/Q16011118", "Q16011118")</f>
        <v>0</v>
      </c>
      <c r="O6730" t="s">
        <v>20013</v>
      </c>
      <c r="P6730" t="s">
        <v>20457</v>
      </c>
      <c r="Q6730" t="s">
        <v>20840</v>
      </c>
      <c r="R6730" t="s">
        <v>419</v>
      </c>
      <c r="S6730">
        <v>1483</v>
      </c>
    </row>
    <row r="6731" spans="1:19">
      <c r="A6731" t="s">
        <v>29</v>
      </c>
      <c r="B6731" t="s">
        <v>148</v>
      </c>
      <c r="C6731" t="s">
        <v>161</v>
      </c>
      <c r="D6731" t="s">
        <v>290</v>
      </c>
      <c r="E6731" t="s">
        <v>419</v>
      </c>
      <c r="F6731">
        <f>HYPERLINK("https://www.wikidata.org/wiki/Q33322771", "Q33322771")</f>
        <v>0</v>
      </c>
      <c r="G6731" t="s">
        <v>3763</v>
      </c>
      <c r="H6731" t="s">
        <v>8061</v>
      </c>
      <c r="I6731" t="s">
        <v>10967</v>
      </c>
      <c r="J6731" t="s">
        <v>14334</v>
      </c>
      <c r="K6731" t="s">
        <v>18687</v>
      </c>
      <c r="L6731">
        <f>HYPERLINK("https://www2.assemblee-nationale.fr/sycomore/fiche/(num_dept)/2280", "2280")</f>
        <v>0</v>
      </c>
      <c r="N6731">
        <f>HYPERLINK("https://www.wikidata.org/wiki/Q3056919", "Q3056919")</f>
        <v>0</v>
      </c>
      <c r="O6731" t="s">
        <v>20026</v>
      </c>
      <c r="P6731" t="s">
        <v>20402</v>
      </c>
      <c r="Q6731" t="s">
        <v>20840</v>
      </c>
      <c r="R6731" t="s">
        <v>419</v>
      </c>
      <c r="S6731">
        <v>1483</v>
      </c>
    </row>
    <row r="6732" spans="1:19">
      <c r="A6732" t="s">
        <v>29</v>
      </c>
      <c r="B6732" t="s">
        <v>148</v>
      </c>
      <c r="C6732" t="s">
        <v>161</v>
      </c>
      <c r="D6732" t="s">
        <v>290</v>
      </c>
      <c r="E6732" t="s">
        <v>419</v>
      </c>
      <c r="F6732">
        <f>HYPERLINK("https://www.wikidata.org/wiki/Q33322771", "Q33322771")</f>
        <v>0</v>
      </c>
      <c r="G6732" t="s">
        <v>608</v>
      </c>
      <c r="H6732" t="s">
        <v>5368</v>
      </c>
      <c r="I6732" t="s">
        <v>9451</v>
      </c>
      <c r="J6732" t="s">
        <v>11359</v>
      </c>
      <c r="K6732" t="s">
        <v>15760</v>
      </c>
      <c r="L6732">
        <f>HYPERLINK("https://www2.assemblee-nationale.fr/sycomore/fiche/(num_dept)/2283", "2283")</f>
        <v>0</v>
      </c>
      <c r="N6732">
        <f>HYPERLINK("https://www.wikidata.org/wiki/Q503827", "Q503827")</f>
        <v>0</v>
      </c>
      <c r="O6732" t="s">
        <v>20019</v>
      </c>
      <c r="P6732" t="s">
        <v>20401</v>
      </c>
      <c r="Q6732" t="s">
        <v>20840</v>
      </c>
      <c r="R6732" t="s">
        <v>419</v>
      </c>
      <c r="S6732">
        <v>1483</v>
      </c>
    </row>
    <row r="6733" spans="1:19">
      <c r="A6733" t="s">
        <v>29</v>
      </c>
      <c r="B6733" t="s">
        <v>148</v>
      </c>
      <c r="C6733" t="s">
        <v>161</v>
      </c>
      <c r="D6733" t="s">
        <v>290</v>
      </c>
      <c r="E6733" t="s">
        <v>419</v>
      </c>
      <c r="F6733">
        <f>HYPERLINK("https://www.wikidata.org/wiki/Q33322771", "Q33322771")</f>
        <v>0</v>
      </c>
      <c r="G6733" t="s">
        <v>611</v>
      </c>
      <c r="H6733" t="s">
        <v>5371</v>
      </c>
      <c r="I6733" t="s">
        <v>9452</v>
      </c>
      <c r="J6733" t="s">
        <v>11362</v>
      </c>
      <c r="K6733" t="s">
        <v>15763</v>
      </c>
      <c r="L6733">
        <f>HYPERLINK("https://www2.assemblee-nationale.fr/sycomore/fiche/(num_dept)/2311", "2311")</f>
        <v>0</v>
      </c>
      <c r="N6733">
        <f>HYPERLINK("https://www.wikidata.org/wiki/Q16025554", "Q16025554")</f>
        <v>0</v>
      </c>
      <c r="O6733" t="s">
        <v>20020</v>
      </c>
      <c r="Q6733" t="s">
        <v>20840</v>
      </c>
      <c r="R6733" t="s">
        <v>419</v>
      </c>
      <c r="S6733">
        <v>1483</v>
      </c>
    </row>
    <row r="6734" spans="1:19">
      <c r="A6734" t="s">
        <v>29</v>
      </c>
      <c r="B6734" t="s">
        <v>148</v>
      </c>
      <c r="C6734" t="s">
        <v>161</v>
      </c>
      <c r="D6734" t="s">
        <v>290</v>
      </c>
      <c r="E6734" t="s">
        <v>419</v>
      </c>
      <c r="F6734">
        <f>HYPERLINK("https://www.wikidata.org/wiki/Q33322771", "Q33322771")</f>
        <v>0</v>
      </c>
      <c r="G6734" t="s">
        <v>3764</v>
      </c>
      <c r="H6734" t="s">
        <v>8062</v>
      </c>
      <c r="I6734" t="s">
        <v>9388</v>
      </c>
      <c r="J6734" t="s">
        <v>14335</v>
      </c>
      <c r="K6734" t="s">
        <v>18688</v>
      </c>
      <c r="L6734">
        <f>HYPERLINK("https://www2.assemblee-nationale.fr/sycomore/fiche/(num_dept)/2325", "2325")</f>
        <v>0</v>
      </c>
      <c r="N6734">
        <f>HYPERLINK("https://www.wikidata.org/wiki/Q3371024", "Q3371024")</f>
        <v>0</v>
      </c>
      <c r="O6734" t="s">
        <v>20033</v>
      </c>
      <c r="P6734" t="s">
        <v>20479</v>
      </c>
      <c r="Q6734" t="s">
        <v>20840</v>
      </c>
      <c r="R6734" t="s">
        <v>419</v>
      </c>
      <c r="S6734">
        <v>1483</v>
      </c>
    </row>
    <row r="6735" spans="1:19">
      <c r="A6735" t="s">
        <v>29</v>
      </c>
      <c r="B6735" t="s">
        <v>148</v>
      </c>
      <c r="C6735" t="s">
        <v>161</v>
      </c>
      <c r="D6735" t="s">
        <v>290</v>
      </c>
      <c r="E6735" t="s">
        <v>419</v>
      </c>
      <c r="F6735">
        <f>HYPERLINK("https://www.wikidata.org/wiki/Q33322771", "Q33322771")</f>
        <v>0</v>
      </c>
      <c r="G6735" t="s">
        <v>2550</v>
      </c>
      <c r="H6735" t="s">
        <v>7109</v>
      </c>
      <c r="I6735" t="s">
        <v>10282</v>
      </c>
      <c r="J6735" t="s">
        <v>13194</v>
      </c>
      <c r="K6735" t="s">
        <v>17599</v>
      </c>
      <c r="L6735">
        <f>HYPERLINK("https://www2.assemblee-nationale.fr/sycomore/fiche/(num_dept)/2359", "2359")</f>
        <v>0</v>
      </c>
      <c r="M6735">
        <f>HYPERLINK("https://www.senat.fr/senateur-3eme-republique/demarcay_maurice1771r3.html", "demarcay_maurice1771r3")</f>
        <v>0</v>
      </c>
      <c r="N6735">
        <f>HYPERLINK("https://www.wikidata.org/wiki/Q3300667", "Q3300667")</f>
        <v>0</v>
      </c>
      <c r="O6735" t="s">
        <v>19982</v>
      </c>
      <c r="Q6735" t="s">
        <v>20840</v>
      </c>
      <c r="R6735" t="s">
        <v>18842</v>
      </c>
      <c r="S6735">
        <v>918</v>
      </c>
    </row>
    <row r="6736" spans="1:19">
      <c r="A6736" t="s">
        <v>29</v>
      </c>
      <c r="B6736" t="s">
        <v>148</v>
      </c>
      <c r="C6736" t="s">
        <v>161</v>
      </c>
      <c r="D6736" t="s">
        <v>290</v>
      </c>
      <c r="E6736" t="s">
        <v>419</v>
      </c>
      <c r="F6736">
        <f>HYPERLINK("https://www.wikidata.org/wiki/Q33322771", "Q33322771")</f>
        <v>0</v>
      </c>
      <c r="G6736" t="s">
        <v>3673</v>
      </c>
      <c r="H6736" t="s">
        <v>8000</v>
      </c>
      <c r="I6736" t="s">
        <v>7642</v>
      </c>
      <c r="J6736" t="s">
        <v>14252</v>
      </c>
      <c r="K6736" t="s">
        <v>18611</v>
      </c>
      <c r="L6736">
        <f>HYPERLINK("https://www2.assemblee-nationale.fr/sycomore/fiche/(num_dept)/2367", "2367")</f>
        <v>0</v>
      </c>
      <c r="N6736">
        <f>HYPERLINK("https://www.wikidata.org/wiki/Q8334443", "Q8334443")</f>
        <v>0</v>
      </c>
      <c r="O6736" t="s">
        <v>20015</v>
      </c>
      <c r="P6736" t="s">
        <v>20471</v>
      </c>
      <c r="Q6736" t="s">
        <v>20840</v>
      </c>
      <c r="R6736" t="s">
        <v>419</v>
      </c>
      <c r="S6736">
        <v>1483</v>
      </c>
    </row>
    <row r="6737" spans="1:19">
      <c r="A6737" t="s">
        <v>29</v>
      </c>
      <c r="B6737" t="s">
        <v>148</v>
      </c>
      <c r="C6737" t="s">
        <v>161</v>
      </c>
      <c r="D6737" t="s">
        <v>290</v>
      </c>
      <c r="E6737" t="s">
        <v>419</v>
      </c>
      <c r="F6737">
        <f>HYPERLINK("https://www.wikidata.org/wiki/Q33322771", "Q33322771")</f>
        <v>0</v>
      </c>
      <c r="G6737" t="s">
        <v>3697</v>
      </c>
      <c r="H6737" t="s">
        <v>5834</v>
      </c>
      <c r="I6737" t="s">
        <v>9533</v>
      </c>
      <c r="J6737" t="s">
        <v>14272</v>
      </c>
      <c r="K6737" t="s">
        <v>18631</v>
      </c>
      <c r="L6737">
        <f>HYPERLINK("https://www2.assemblee-nationale.fr/sycomore/fiche/(num_dept)/2382", "2382")</f>
        <v>0</v>
      </c>
      <c r="N6737">
        <f>HYPERLINK("https://www.wikidata.org/wiki/Q3526409", "Q3526409")</f>
        <v>0</v>
      </c>
      <c r="O6737" t="s">
        <v>19995</v>
      </c>
      <c r="P6737" t="s">
        <v>20471</v>
      </c>
      <c r="Q6737" t="s">
        <v>20840</v>
      </c>
      <c r="R6737" t="s">
        <v>419</v>
      </c>
      <c r="S6737">
        <v>1483</v>
      </c>
    </row>
    <row r="6738" spans="1:19">
      <c r="A6738" t="s">
        <v>29</v>
      </c>
      <c r="B6738" t="s">
        <v>148</v>
      </c>
      <c r="C6738" t="s">
        <v>161</v>
      </c>
      <c r="D6738" t="s">
        <v>290</v>
      </c>
      <c r="E6738" t="s">
        <v>419</v>
      </c>
      <c r="F6738">
        <f>HYPERLINK("https://www.wikidata.org/wiki/Q33322771", "Q33322771")</f>
        <v>0</v>
      </c>
      <c r="G6738" t="s">
        <v>3426</v>
      </c>
      <c r="H6738" t="s">
        <v>7807</v>
      </c>
      <c r="I6738" t="s">
        <v>9388</v>
      </c>
      <c r="J6738" t="s">
        <v>14031</v>
      </c>
      <c r="K6738" t="s">
        <v>18399</v>
      </c>
      <c r="L6738">
        <f>HYPERLINK("https://www2.assemblee-nationale.fr/sycomore/fiche/(num_dept)/2409", "2409")</f>
        <v>0</v>
      </c>
      <c r="N6738">
        <f>HYPERLINK("https://www.wikidata.org/wiki/Q1094964", "Q1094964")</f>
        <v>0</v>
      </c>
      <c r="O6738" t="s">
        <v>20031</v>
      </c>
      <c r="Q6738" t="s">
        <v>20840</v>
      </c>
      <c r="R6738" t="s">
        <v>13061</v>
      </c>
      <c r="S6738">
        <v>1030</v>
      </c>
    </row>
    <row r="6739" spans="1:19">
      <c r="A6739" t="s">
        <v>29</v>
      </c>
      <c r="B6739" t="s">
        <v>148</v>
      </c>
      <c r="C6739" t="s">
        <v>161</v>
      </c>
      <c r="D6739" t="s">
        <v>290</v>
      </c>
      <c r="E6739" t="s">
        <v>419</v>
      </c>
      <c r="F6739">
        <f>HYPERLINK("https://www.wikidata.org/wiki/Q33322771", "Q33322771")</f>
        <v>0</v>
      </c>
      <c r="G6739" t="s">
        <v>3880</v>
      </c>
      <c r="H6739" t="s">
        <v>8143</v>
      </c>
      <c r="I6739" t="s">
        <v>9457</v>
      </c>
      <c r="J6739" t="s">
        <v>14438</v>
      </c>
      <c r="K6739" t="s">
        <v>18789</v>
      </c>
      <c r="L6739">
        <f>HYPERLINK("https://www2.assemblee-nationale.fr/sycomore/fiche/(num_dept)/2410", "2410")</f>
        <v>0</v>
      </c>
      <c r="N6739">
        <f>HYPERLINK("https://www.wikidata.org/wiki/Q3130959", "Q3130959")</f>
        <v>0</v>
      </c>
      <c r="O6739" t="s">
        <v>19964</v>
      </c>
      <c r="P6739" t="s">
        <v>20502</v>
      </c>
      <c r="Q6739" t="s">
        <v>20840</v>
      </c>
      <c r="R6739" t="s">
        <v>419</v>
      </c>
      <c r="S6739">
        <v>1483</v>
      </c>
    </row>
    <row r="6740" spans="1:19">
      <c r="A6740" t="s">
        <v>29</v>
      </c>
      <c r="B6740" t="s">
        <v>148</v>
      </c>
      <c r="C6740" t="s">
        <v>161</v>
      </c>
      <c r="D6740" t="s">
        <v>290</v>
      </c>
      <c r="E6740" t="s">
        <v>419</v>
      </c>
      <c r="F6740">
        <f>HYPERLINK("https://www.wikidata.org/wiki/Q33322771", "Q33322771")</f>
        <v>0</v>
      </c>
      <c r="G6740" t="s">
        <v>613</v>
      </c>
      <c r="H6740" t="s">
        <v>5373</v>
      </c>
      <c r="I6740" t="s">
        <v>9388</v>
      </c>
      <c r="J6740" t="s">
        <v>11364</v>
      </c>
      <c r="K6740" t="s">
        <v>15765</v>
      </c>
      <c r="L6740">
        <f>HYPERLINK("https://www2.assemblee-nationale.fr/sycomore/fiche/(num_dept)/2425", "2425")</f>
        <v>0</v>
      </c>
      <c r="M6740">
        <f>HYPERLINK("https://www.senat.fr/senateur-3eme-republique/deschanel_paul0768r3.html", "deschanel_paul0768r3")</f>
        <v>0</v>
      </c>
      <c r="N6740">
        <f>HYPERLINK("https://www.wikidata.org/wiki/Q309995", "Q309995")</f>
        <v>0</v>
      </c>
      <c r="O6740" t="s">
        <v>19971</v>
      </c>
      <c r="Q6740" t="s">
        <v>20840</v>
      </c>
      <c r="R6740" t="s">
        <v>419</v>
      </c>
      <c r="S6740">
        <v>1483</v>
      </c>
    </row>
    <row r="6741" spans="1:19">
      <c r="A6741" t="s">
        <v>29</v>
      </c>
      <c r="B6741" t="s">
        <v>148</v>
      </c>
      <c r="C6741" t="s">
        <v>161</v>
      </c>
      <c r="D6741" t="s">
        <v>290</v>
      </c>
      <c r="E6741" t="s">
        <v>419</v>
      </c>
      <c r="F6741">
        <f>HYPERLINK("https://www.wikidata.org/wiki/Q33322771", "Q33322771")</f>
        <v>0</v>
      </c>
      <c r="G6741" t="s">
        <v>3766</v>
      </c>
      <c r="H6741" t="s">
        <v>8064</v>
      </c>
      <c r="I6741" t="s">
        <v>10017</v>
      </c>
      <c r="J6741" t="s">
        <v>14337</v>
      </c>
      <c r="K6741" t="s">
        <v>16165</v>
      </c>
      <c r="L6741">
        <f>HYPERLINK("https://www2.assemblee-nationale.fr/sycomore/fiche/(num_dept)/2431", "2431")</f>
        <v>0</v>
      </c>
      <c r="N6741">
        <f>HYPERLINK("https://www.wikidata.org/wiki/Q2857112", "Q2857112")</f>
        <v>0</v>
      </c>
      <c r="O6741" t="s">
        <v>19979</v>
      </c>
      <c r="P6741" t="s">
        <v>20406</v>
      </c>
      <c r="Q6741" t="s">
        <v>20840</v>
      </c>
      <c r="R6741" t="s">
        <v>419</v>
      </c>
      <c r="S6741">
        <v>1483</v>
      </c>
    </row>
    <row r="6742" spans="1:19">
      <c r="A6742" t="s">
        <v>29</v>
      </c>
      <c r="B6742" t="s">
        <v>148</v>
      </c>
      <c r="C6742" t="s">
        <v>161</v>
      </c>
      <c r="D6742" t="s">
        <v>290</v>
      </c>
      <c r="E6742" t="s">
        <v>419</v>
      </c>
      <c r="F6742">
        <f>HYPERLINK("https://www.wikidata.org/wiki/Q33322771", "Q33322771")</f>
        <v>0</v>
      </c>
      <c r="G6742" t="s">
        <v>3699</v>
      </c>
      <c r="H6742" t="s">
        <v>5973</v>
      </c>
      <c r="I6742" t="s">
        <v>9507</v>
      </c>
      <c r="J6742" t="s">
        <v>14274</v>
      </c>
      <c r="K6742" t="s">
        <v>18633</v>
      </c>
      <c r="L6742">
        <f>HYPERLINK("https://www2.assemblee-nationale.fr/sycomore/fiche/(num_dept)/2439", "2439")</f>
        <v>0</v>
      </c>
      <c r="N6742">
        <f>HYPERLINK("https://www.wikidata.org/wiki/Q3407773", "Q3407773")</f>
        <v>0</v>
      </c>
      <c r="O6742" t="s">
        <v>19972</v>
      </c>
      <c r="Q6742" t="s">
        <v>20840</v>
      </c>
      <c r="R6742" t="s">
        <v>419</v>
      </c>
      <c r="S6742">
        <v>1483</v>
      </c>
    </row>
    <row r="6743" spans="1:19">
      <c r="A6743" t="s">
        <v>29</v>
      </c>
      <c r="B6743" t="s">
        <v>148</v>
      </c>
      <c r="C6743" t="s">
        <v>161</v>
      </c>
      <c r="D6743" t="s">
        <v>290</v>
      </c>
      <c r="E6743" t="s">
        <v>419</v>
      </c>
      <c r="F6743">
        <f>HYPERLINK("https://www.wikidata.org/wiki/Q33322771", "Q33322771")</f>
        <v>0</v>
      </c>
      <c r="G6743" t="s">
        <v>930</v>
      </c>
      <c r="H6743" t="s">
        <v>5686</v>
      </c>
      <c r="I6743" t="s">
        <v>9449</v>
      </c>
      <c r="J6743" t="s">
        <v>11672</v>
      </c>
      <c r="K6743" t="s">
        <v>371</v>
      </c>
      <c r="L6743">
        <f>HYPERLINK("https://www2.assemblee-nationale.fr/sycomore/fiche/(num_dept)/2443", "2443")</f>
        <v>0</v>
      </c>
      <c r="N6743">
        <f>HYPERLINK("https://www.wikidata.org/wiki/Q3188533", "Q3188533")</f>
        <v>0</v>
      </c>
      <c r="O6743" t="s">
        <v>20015</v>
      </c>
      <c r="Q6743" t="s">
        <v>20840</v>
      </c>
      <c r="R6743" t="s">
        <v>419</v>
      </c>
      <c r="S6743">
        <v>1483</v>
      </c>
    </row>
    <row r="6744" spans="1:19">
      <c r="A6744" t="s">
        <v>29</v>
      </c>
      <c r="B6744" t="s">
        <v>148</v>
      </c>
      <c r="C6744" t="s">
        <v>161</v>
      </c>
      <c r="D6744" t="s">
        <v>290</v>
      </c>
      <c r="E6744" t="s">
        <v>419</v>
      </c>
      <c r="F6744">
        <f>HYPERLINK("https://www.wikidata.org/wiki/Q33322771", "Q33322771")</f>
        <v>0</v>
      </c>
      <c r="G6744" t="s">
        <v>615</v>
      </c>
      <c r="H6744" t="s">
        <v>5375</v>
      </c>
      <c r="I6744" t="s">
        <v>9454</v>
      </c>
      <c r="J6744" t="s">
        <v>11354</v>
      </c>
      <c r="K6744" t="s">
        <v>15767</v>
      </c>
      <c r="L6744">
        <f>HYPERLINK("https://www2.assemblee-nationale.fr/sycomore/fiche/(num_dept)/2482", "2482")</f>
        <v>0</v>
      </c>
      <c r="M6744">
        <f>HYPERLINK("https://www.senat.fr/senateur-3eme-republique/devins_louis0521r3.html", "devins_louis0521r3")</f>
        <v>0</v>
      </c>
      <c r="N6744">
        <f>HYPERLINK("https://www.wikidata.org/wiki/Q3261724", "Q3261724")</f>
        <v>0</v>
      </c>
      <c r="O6744" t="s">
        <v>19993</v>
      </c>
      <c r="Q6744" t="s">
        <v>20840</v>
      </c>
      <c r="R6744" t="s">
        <v>419</v>
      </c>
      <c r="S6744">
        <v>1483</v>
      </c>
    </row>
    <row r="6745" spans="1:19">
      <c r="A6745" t="s">
        <v>29</v>
      </c>
      <c r="B6745" t="s">
        <v>148</v>
      </c>
      <c r="C6745" t="s">
        <v>161</v>
      </c>
      <c r="D6745" t="s">
        <v>290</v>
      </c>
      <c r="E6745" t="s">
        <v>419</v>
      </c>
      <c r="F6745">
        <f>HYPERLINK("https://www.wikidata.org/wiki/Q33322771", "Q33322771")</f>
        <v>0</v>
      </c>
      <c r="G6745" t="s">
        <v>3819</v>
      </c>
      <c r="H6745" t="s">
        <v>8103</v>
      </c>
      <c r="I6745" t="s">
        <v>9470</v>
      </c>
      <c r="J6745" t="s">
        <v>14385</v>
      </c>
      <c r="K6745" t="s">
        <v>18737</v>
      </c>
      <c r="L6745">
        <f>HYPERLINK("https://www2.assemblee-nationale.fr/sycomore/fiche/(num_dept)/2570", "2570")</f>
        <v>0</v>
      </c>
      <c r="M6745">
        <f>HYPERLINK("https://www.senat.fr/senateur-3eme-republique/doumergue_gaston0833r3.html", "doumergue_gaston0833r3")</f>
        <v>0</v>
      </c>
      <c r="N6745">
        <f>HYPERLINK("https://www.wikidata.org/wiki/Q296064", "Q296064")</f>
        <v>0</v>
      </c>
      <c r="O6745" t="s">
        <v>20014</v>
      </c>
      <c r="P6745" t="s">
        <v>20477</v>
      </c>
      <c r="Q6745" t="s">
        <v>20840</v>
      </c>
      <c r="R6745" t="s">
        <v>419</v>
      </c>
      <c r="S6745">
        <v>1483</v>
      </c>
    </row>
    <row r="6746" spans="1:19">
      <c r="A6746" t="s">
        <v>29</v>
      </c>
      <c r="B6746" t="s">
        <v>148</v>
      </c>
      <c r="C6746" t="s">
        <v>161</v>
      </c>
      <c r="D6746" t="s">
        <v>290</v>
      </c>
      <c r="E6746" t="s">
        <v>419</v>
      </c>
      <c r="F6746">
        <f>HYPERLINK("https://www.wikidata.org/wiki/Q33322771", "Q33322771")</f>
        <v>0</v>
      </c>
      <c r="G6746" t="s">
        <v>3907</v>
      </c>
      <c r="H6746" t="s">
        <v>8165</v>
      </c>
      <c r="I6746" t="s">
        <v>9375</v>
      </c>
      <c r="J6746" t="s">
        <v>14464</v>
      </c>
      <c r="K6746" t="s">
        <v>18813</v>
      </c>
      <c r="L6746">
        <f>HYPERLINK("https://www2.assemblee-nationale.fr/sycomore/fiche/(num_dept)/2602", "2602")</f>
        <v>0</v>
      </c>
      <c r="N6746">
        <f>HYPERLINK("https://www.wikidata.org/wiki/Q274297", "Q274297")</f>
        <v>0</v>
      </c>
      <c r="O6746" t="s">
        <v>20000</v>
      </c>
      <c r="Q6746" t="s">
        <v>20840</v>
      </c>
      <c r="R6746" t="s">
        <v>419</v>
      </c>
      <c r="S6746">
        <v>1483</v>
      </c>
    </row>
    <row r="6747" spans="1:19">
      <c r="A6747" t="s">
        <v>29</v>
      </c>
      <c r="B6747" t="s">
        <v>148</v>
      </c>
      <c r="C6747" t="s">
        <v>161</v>
      </c>
      <c r="D6747" t="s">
        <v>290</v>
      </c>
      <c r="E6747" t="s">
        <v>419</v>
      </c>
      <c r="F6747">
        <f>HYPERLINK("https://www.wikidata.org/wiki/Q33322771", "Q33322771")</f>
        <v>0</v>
      </c>
      <c r="G6747" t="s">
        <v>1165</v>
      </c>
      <c r="H6747" t="s">
        <v>5897</v>
      </c>
      <c r="I6747" t="s">
        <v>9446</v>
      </c>
      <c r="J6747" t="s">
        <v>11898</v>
      </c>
      <c r="K6747" t="s">
        <v>16300</v>
      </c>
      <c r="L6747">
        <f>HYPERLINK("https://www2.assemblee-nationale.fr/sycomore/fiche/(num_dept)/2610", "2610")</f>
        <v>0</v>
      </c>
      <c r="N6747">
        <f>HYPERLINK("https://www.wikidata.org/wiki/Q2646670", "Q2646670")</f>
        <v>0</v>
      </c>
      <c r="O6747" t="s">
        <v>19994</v>
      </c>
      <c r="P6747" t="s">
        <v>20477</v>
      </c>
      <c r="Q6747" t="s">
        <v>20840</v>
      </c>
      <c r="R6747" t="s">
        <v>419</v>
      </c>
      <c r="S6747">
        <v>1483</v>
      </c>
    </row>
    <row r="6748" spans="1:19">
      <c r="A6748" t="s">
        <v>29</v>
      </c>
      <c r="B6748" t="s">
        <v>148</v>
      </c>
      <c r="C6748" t="s">
        <v>161</v>
      </c>
      <c r="D6748" t="s">
        <v>290</v>
      </c>
      <c r="E6748" t="s">
        <v>419</v>
      </c>
      <c r="F6748">
        <f>HYPERLINK("https://www.wikidata.org/wiki/Q33322771", "Q33322771")</f>
        <v>0</v>
      </c>
      <c r="G6748" t="s">
        <v>3908</v>
      </c>
      <c r="H6748" t="s">
        <v>8166</v>
      </c>
      <c r="I6748" t="s">
        <v>11023</v>
      </c>
      <c r="J6748" t="s">
        <v>14465</v>
      </c>
      <c r="K6748" t="s">
        <v>18814</v>
      </c>
      <c r="L6748">
        <f>HYPERLINK("https://www2.assemblee-nationale.fr/sycomore/fiche/(num_dept)/2613", "2613")</f>
        <v>0</v>
      </c>
      <c r="N6748">
        <f>HYPERLINK("https://www.wikidata.org/wiki/Q8318184", "Q8318184")</f>
        <v>0</v>
      </c>
      <c r="O6748" t="s">
        <v>20023</v>
      </c>
      <c r="Q6748" t="s">
        <v>20840</v>
      </c>
      <c r="R6748" t="s">
        <v>419</v>
      </c>
      <c r="S6748">
        <v>1483</v>
      </c>
    </row>
    <row r="6749" spans="1:19">
      <c r="A6749" t="s">
        <v>29</v>
      </c>
      <c r="B6749" t="s">
        <v>148</v>
      </c>
      <c r="C6749" t="s">
        <v>161</v>
      </c>
      <c r="D6749" t="s">
        <v>290</v>
      </c>
      <c r="E6749" t="s">
        <v>419</v>
      </c>
      <c r="F6749">
        <f>HYPERLINK("https://www.wikidata.org/wiki/Q33322771", "Q33322771")</f>
        <v>0</v>
      </c>
      <c r="G6749" t="s">
        <v>3847</v>
      </c>
      <c r="H6749" t="s">
        <v>5695</v>
      </c>
      <c r="I6749" t="s">
        <v>10039</v>
      </c>
      <c r="J6749" t="s">
        <v>14407</v>
      </c>
      <c r="K6749" t="s">
        <v>18759</v>
      </c>
      <c r="L6749">
        <f>HYPERLINK("https://www2.assemblee-nationale.fr/sycomore/fiche/(num_dept)/2623", "2623")</f>
        <v>0</v>
      </c>
      <c r="N6749">
        <f>HYPERLINK("https://www.wikidata.org/wiki/Q8308820", "Q8308820")</f>
        <v>0</v>
      </c>
      <c r="O6749" t="s">
        <v>19971</v>
      </c>
      <c r="Q6749" t="s">
        <v>20840</v>
      </c>
      <c r="R6749" t="s">
        <v>419</v>
      </c>
      <c r="S6749">
        <v>1483</v>
      </c>
    </row>
    <row r="6750" spans="1:19">
      <c r="A6750" t="s">
        <v>29</v>
      </c>
      <c r="B6750" t="s">
        <v>148</v>
      </c>
      <c r="C6750" t="s">
        <v>161</v>
      </c>
      <c r="D6750" t="s">
        <v>290</v>
      </c>
      <c r="E6750" t="s">
        <v>419</v>
      </c>
      <c r="F6750">
        <f>HYPERLINK("https://www.wikidata.org/wiki/Q33322771", "Q33322771")</f>
        <v>0</v>
      </c>
      <c r="G6750" t="s">
        <v>940</v>
      </c>
      <c r="H6750" t="s">
        <v>5696</v>
      </c>
      <c r="I6750" t="s">
        <v>6495</v>
      </c>
      <c r="J6750" t="s">
        <v>11681</v>
      </c>
      <c r="K6750" t="s">
        <v>16082</v>
      </c>
      <c r="L6750">
        <f>HYPERLINK("https://www2.assemblee-nationale.fr/sycomore/fiche/(num_dept)/2638", "2638")</f>
        <v>0</v>
      </c>
      <c r="N6750">
        <f>HYPERLINK("https://www.wikidata.org/wiki/Q3260420", "Q3260420")</f>
        <v>0</v>
      </c>
      <c r="O6750" t="s">
        <v>20011</v>
      </c>
      <c r="P6750" t="s">
        <v>20401</v>
      </c>
      <c r="Q6750" t="s">
        <v>20840</v>
      </c>
      <c r="R6750" t="s">
        <v>419</v>
      </c>
      <c r="S6750">
        <v>1483</v>
      </c>
    </row>
    <row r="6751" spans="1:19">
      <c r="A6751" t="s">
        <v>29</v>
      </c>
      <c r="B6751" t="s">
        <v>148</v>
      </c>
      <c r="C6751" t="s">
        <v>161</v>
      </c>
      <c r="D6751" t="s">
        <v>290</v>
      </c>
      <c r="E6751" t="s">
        <v>419</v>
      </c>
      <c r="F6751">
        <f>HYPERLINK("https://www.wikidata.org/wiki/Q33322771", "Q33322771")</f>
        <v>0</v>
      </c>
      <c r="G6751" t="s">
        <v>944</v>
      </c>
      <c r="H6751" t="s">
        <v>5700</v>
      </c>
      <c r="I6751" t="s">
        <v>7419</v>
      </c>
      <c r="J6751" t="s">
        <v>11685</v>
      </c>
      <c r="K6751" t="s">
        <v>16086</v>
      </c>
      <c r="L6751">
        <f>HYPERLINK("https://www2.assemblee-nationale.fr/sycomore/fiche/(num_dept)/2675", "2675")</f>
        <v>0</v>
      </c>
      <c r="N6751">
        <f>HYPERLINK("https://www.wikidata.org/wiki/Q16025627", "Q16025627")</f>
        <v>0</v>
      </c>
      <c r="O6751" t="s">
        <v>19975</v>
      </c>
      <c r="P6751" t="s">
        <v>20446</v>
      </c>
      <c r="Q6751" t="s">
        <v>20840</v>
      </c>
      <c r="R6751" t="s">
        <v>419</v>
      </c>
      <c r="S6751">
        <v>1483</v>
      </c>
    </row>
    <row r="6752" spans="1:19">
      <c r="A6752" t="s">
        <v>29</v>
      </c>
      <c r="B6752" t="s">
        <v>148</v>
      </c>
      <c r="C6752" t="s">
        <v>161</v>
      </c>
      <c r="D6752" t="s">
        <v>290</v>
      </c>
      <c r="E6752" t="s">
        <v>419</v>
      </c>
      <c r="F6752">
        <f>HYPERLINK("https://www.wikidata.org/wiki/Q33322771", "Q33322771")</f>
        <v>0</v>
      </c>
      <c r="G6752" t="s">
        <v>623</v>
      </c>
      <c r="H6752" t="s">
        <v>5383</v>
      </c>
      <c r="I6752" t="s">
        <v>5394</v>
      </c>
      <c r="J6752" t="s">
        <v>11373</v>
      </c>
      <c r="K6752" t="s">
        <v>15775</v>
      </c>
      <c r="L6752">
        <f>HYPERLINK("https://www2.assemblee-nationale.fr/sycomore/fiche/(num_dept)/2685", "2685")</f>
        <v>0</v>
      </c>
      <c r="M6752">
        <f>HYPERLINK("https://www.senat.fr/senateur-3eme-republique/dujardin_beaumetz_henri0274r3.html", "dujardin_beaumetz_henri0274r3")</f>
        <v>0</v>
      </c>
      <c r="N6752">
        <f>HYPERLINK("https://www.wikidata.org/wiki/Q289596", "Q289596")</f>
        <v>0</v>
      </c>
      <c r="O6752" t="s">
        <v>19960</v>
      </c>
      <c r="Q6752" t="s">
        <v>20840</v>
      </c>
      <c r="R6752" t="s">
        <v>419</v>
      </c>
      <c r="S6752">
        <v>1483</v>
      </c>
    </row>
    <row r="6753" spans="1:19">
      <c r="A6753" t="s">
        <v>29</v>
      </c>
      <c r="B6753" t="s">
        <v>148</v>
      </c>
      <c r="C6753" t="s">
        <v>161</v>
      </c>
      <c r="D6753" t="s">
        <v>290</v>
      </c>
      <c r="E6753" t="s">
        <v>419</v>
      </c>
      <c r="F6753">
        <f>HYPERLINK("https://www.wikidata.org/wiki/Q33322771", "Q33322771")</f>
        <v>0</v>
      </c>
      <c r="G6753" t="s">
        <v>624</v>
      </c>
      <c r="H6753" t="s">
        <v>5384</v>
      </c>
      <c r="I6753" t="s">
        <v>5349</v>
      </c>
      <c r="J6753" t="s">
        <v>11374</v>
      </c>
      <c r="K6753" t="s">
        <v>15776</v>
      </c>
      <c r="L6753">
        <f>HYPERLINK("https://www2.assemblee-nationale.fr/sycomore/fiche/(num_dept)/2686", "2686")</f>
        <v>0</v>
      </c>
      <c r="N6753">
        <f>HYPERLINK("https://www.wikidata.org/wiki/Q16025633", "Q16025633")</f>
        <v>0</v>
      </c>
      <c r="O6753" t="s">
        <v>19995</v>
      </c>
      <c r="Q6753" t="s">
        <v>20840</v>
      </c>
      <c r="R6753" t="s">
        <v>419</v>
      </c>
      <c r="S6753">
        <v>1483</v>
      </c>
    </row>
    <row r="6754" spans="1:19">
      <c r="A6754" t="s">
        <v>29</v>
      </c>
      <c r="B6754" t="s">
        <v>148</v>
      </c>
      <c r="C6754" t="s">
        <v>161</v>
      </c>
      <c r="D6754" t="s">
        <v>290</v>
      </c>
      <c r="E6754" t="s">
        <v>419</v>
      </c>
      <c r="F6754">
        <f>HYPERLINK("https://www.wikidata.org/wiki/Q33322771", "Q33322771")</f>
        <v>0</v>
      </c>
      <c r="G6754" t="s">
        <v>3770</v>
      </c>
      <c r="H6754" t="s">
        <v>5702</v>
      </c>
      <c r="I6754" t="s">
        <v>10970</v>
      </c>
      <c r="J6754" t="s">
        <v>12190</v>
      </c>
      <c r="K6754" t="s">
        <v>18062</v>
      </c>
      <c r="L6754">
        <f>HYPERLINK("https://www2.assemblee-nationale.fr/sycomore/fiche/(num_dept)/2692", "2692")</f>
        <v>0</v>
      </c>
      <c r="N6754">
        <f>HYPERLINK("https://www.wikidata.org/wiki/Q16025637", "Q16025637")</f>
        <v>0</v>
      </c>
      <c r="O6754" t="s">
        <v>20019</v>
      </c>
      <c r="Q6754" t="s">
        <v>20840</v>
      </c>
      <c r="R6754" t="s">
        <v>419</v>
      </c>
      <c r="S6754">
        <v>1483</v>
      </c>
    </row>
    <row r="6755" spans="1:19">
      <c r="A6755" t="s">
        <v>29</v>
      </c>
      <c r="B6755" t="s">
        <v>148</v>
      </c>
      <c r="C6755" t="s">
        <v>161</v>
      </c>
      <c r="D6755" t="s">
        <v>290</v>
      </c>
      <c r="E6755" t="s">
        <v>419</v>
      </c>
      <c r="F6755">
        <f>HYPERLINK("https://www.wikidata.org/wiki/Q33322771", "Q33322771")</f>
        <v>0</v>
      </c>
      <c r="G6755" t="s">
        <v>3432</v>
      </c>
      <c r="H6755" t="s">
        <v>7811</v>
      </c>
      <c r="I6755" t="s">
        <v>9692</v>
      </c>
      <c r="J6755" t="s">
        <v>14037</v>
      </c>
      <c r="K6755" t="s">
        <v>18404</v>
      </c>
      <c r="L6755">
        <f>HYPERLINK("https://www2.assemblee-nationale.fr/sycomore/fiche/(num_dept)/2745", "2745")</f>
        <v>0</v>
      </c>
      <c r="N6755">
        <f>HYPERLINK("https://www.wikidata.org/wiki/Q3420824", "Q3420824")</f>
        <v>0</v>
      </c>
      <c r="O6755" t="s">
        <v>19982</v>
      </c>
      <c r="Q6755" t="s">
        <v>20840</v>
      </c>
      <c r="R6755" t="s">
        <v>419</v>
      </c>
      <c r="S6755">
        <v>1483</v>
      </c>
    </row>
    <row r="6756" spans="1:19">
      <c r="A6756" t="s">
        <v>29</v>
      </c>
      <c r="B6756" t="s">
        <v>148</v>
      </c>
      <c r="C6756" t="s">
        <v>161</v>
      </c>
      <c r="D6756" t="s">
        <v>290</v>
      </c>
      <c r="E6756" t="s">
        <v>419</v>
      </c>
      <c r="F6756">
        <f>HYPERLINK("https://www.wikidata.org/wiki/Q33322771", "Q33322771")</f>
        <v>0</v>
      </c>
      <c r="G6756" t="s">
        <v>2953</v>
      </c>
      <c r="H6756" t="s">
        <v>7427</v>
      </c>
      <c r="I6756" t="s">
        <v>9421</v>
      </c>
      <c r="J6756" t="s">
        <v>13586</v>
      </c>
      <c r="K6756" t="s">
        <v>17971</v>
      </c>
      <c r="L6756">
        <f>HYPERLINK("https://www2.assemblee-nationale.fr/sycomore/fiche/(num_dept)/2788", "2788")</f>
        <v>0</v>
      </c>
      <c r="N6756">
        <f>HYPERLINK("https://www.wikidata.org/wiki/Q3121176", "Q3121176")</f>
        <v>0</v>
      </c>
      <c r="O6756" t="s">
        <v>20022</v>
      </c>
      <c r="P6756" t="s">
        <v>20402</v>
      </c>
      <c r="Q6756" t="s">
        <v>20840</v>
      </c>
      <c r="R6756" t="s">
        <v>419</v>
      </c>
      <c r="S6756">
        <v>1483</v>
      </c>
    </row>
    <row r="6757" spans="1:19">
      <c r="A6757" t="s">
        <v>29</v>
      </c>
      <c r="B6757" t="s">
        <v>148</v>
      </c>
      <c r="C6757" t="s">
        <v>161</v>
      </c>
      <c r="D6757" t="s">
        <v>290</v>
      </c>
      <c r="E6757" t="s">
        <v>419</v>
      </c>
      <c r="F6757">
        <f>HYPERLINK("https://www.wikidata.org/wiki/Q33322771", "Q33322771")</f>
        <v>0</v>
      </c>
      <c r="G6757" t="s">
        <v>3773</v>
      </c>
      <c r="H6757" t="s">
        <v>8067</v>
      </c>
      <c r="I6757" t="s">
        <v>9385</v>
      </c>
      <c r="J6757" t="s">
        <v>14343</v>
      </c>
      <c r="K6757" t="s">
        <v>18695</v>
      </c>
      <c r="L6757">
        <f>HYPERLINK("https://www2.assemblee-nationale.fr/sycomore/fiche/(num_dept)/2797", "2797")</f>
        <v>0</v>
      </c>
      <c r="N6757">
        <f>HYPERLINK("https://www.wikidata.org/wiki/Q16025662", "Q16025662")</f>
        <v>0</v>
      </c>
      <c r="O6757" t="s">
        <v>8449</v>
      </c>
      <c r="P6757" t="s">
        <v>20477</v>
      </c>
      <c r="Q6757" t="s">
        <v>20840</v>
      </c>
      <c r="R6757" t="s">
        <v>18695</v>
      </c>
      <c r="S6757">
        <v>569</v>
      </c>
    </row>
    <row r="6758" spans="1:19">
      <c r="A6758" t="s">
        <v>29</v>
      </c>
      <c r="B6758" t="s">
        <v>148</v>
      </c>
      <c r="C6758" t="s">
        <v>161</v>
      </c>
      <c r="D6758" t="s">
        <v>290</v>
      </c>
      <c r="E6758" t="s">
        <v>419</v>
      </c>
      <c r="F6758">
        <f>HYPERLINK("https://www.wikidata.org/wiki/Q33322771", "Q33322771")</f>
        <v>0</v>
      </c>
      <c r="G6758" t="s">
        <v>3851</v>
      </c>
      <c r="H6758" t="s">
        <v>8125</v>
      </c>
      <c r="I6758" t="s">
        <v>9449</v>
      </c>
      <c r="J6758" t="s">
        <v>14410</v>
      </c>
      <c r="K6758" t="s">
        <v>18763</v>
      </c>
      <c r="L6758">
        <f>HYPERLINK("https://www2.assemblee-nationale.fr/sycomore/fiche/(num_dept)/2803", "2803")</f>
        <v>0</v>
      </c>
      <c r="N6758">
        <f>HYPERLINK("https://www.wikidata.org/wiki/Q16025663", "Q16025663")</f>
        <v>0</v>
      </c>
      <c r="O6758" t="s">
        <v>19982</v>
      </c>
      <c r="P6758" t="s">
        <v>20479</v>
      </c>
      <c r="Q6758" t="s">
        <v>20840</v>
      </c>
      <c r="R6758" t="s">
        <v>419</v>
      </c>
      <c r="S6758">
        <v>1483</v>
      </c>
    </row>
    <row r="6759" spans="1:19">
      <c r="A6759" t="s">
        <v>29</v>
      </c>
      <c r="B6759" t="s">
        <v>148</v>
      </c>
      <c r="C6759" t="s">
        <v>161</v>
      </c>
      <c r="D6759" t="s">
        <v>290</v>
      </c>
      <c r="E6759" t="s">
        <v>419</v>
      </c>
      <c r="F6759">
        <f>HYPERLINK("https://www.wikidata.org/wiki/Q33322771", "Q33322771")</f>
        <v>0</v>
      </c>
      <c r="G6759" t="s">
        <v>3434</v>
      </c>
      <c r="H6759" t="s">
        <v>7812</v>
      </c>
      <c r="I6759" t="s">
        <v>6154</v>
      </c>
      <c r="J6759" t="s">
        <v>14039</v>
      </c>
      <c r="K6759" t="s">
        <v>18406</v>
      </c>
      <c r="L6759">
        <f>HYPERLINK("https://www2.assemblee-nationale.fr/sycomore/fiche/(num_dept)/2818", "2818")</f>
        <v>0</v>
      </c>
      <c r="M6759">
        <f>HYPERLINK("https://www.senat.fr/senateur-3eme-republique/eliez_evrard_evrard1386r3.html", "eliez_evrard_evrard1386r3")</f>
        <v>0</v>
      </c>
      <c r="N6759">
        <f>HYPERLINK("https://www.wikidata.org/wiki/Q3061659", "Q3061659")</f>
        <v>0</v>
      </c>
      <c r="O6759" t="s">
        <v>20013</v>
      </c>
      <c r="P6759" t="s">
        <v>20457</v>
      </c>
      <c r="Q6759" t="s">
        <v>20840</v>
      </c>
      <c r="R6759" t="s">
        <v>419</v>
      </c>
      <c r="S6759">
        <v>1483</v>
      </c>
    </row>
    <row r="6760" spans="1:19">
      <c r="A6760" t="s">
        <v>29</v>
      </c>
      <c r="B6760" t="s">
        <v>148</v>
      </c>
      <c r="C6760" t="s">
        <v>161</v>
      </c>
      <c r="D6760" t="s">
        <v>290</v>
      </c>
      <c r="E6760" t="s">
        <v>419</v>
      </c>
      <c r="F6760">
        <f>HYPERLINK("https://www.wikidata.org/wiki/Q33322771", "Q33322771")</f>
        <v>0</v>
      </c>
      <c r="G6760" t="s">
        <v>3435</v>
      </c>
      <c r="H6760" t="s">
        <v>7813</v>
      </c>
      <c r="I6760" t="s">
        <v>10827</v>
      </c>
      <c r="J6760" t="s">
        <v>11615</v>
      </c>
      <c r="K6760" t="s">
        <v>18407</v>
      </c>
      <c r="L6760">
        <f>HYPERLINK("https://www2.assemblee-nationale.fr/sycomore/fiche/(num_dept)/2823", "2823")</f>
        <v>0</v>
      </c>
      <c r="M6760">
        <f>HYPERLINK("https://www.senat.fr/senateur-3eme-republique/elva_christian0958r3.html", "elva_christian0958r3")</f>
        <v>0</v>
      </c>
      <c r="N6760">
        <f>HYPERLINK("https://www.wikidata.org/wiki/Q2965715", "Q2965715")</f>
        <v>0</v>
      </c>
      <c r="O6760" t="s">
        <v>19984</v>
      </c>
      <c r="Q6760" t="s">
        <v>20840</v>
      </c>
      <c r="R6760" t="s">
        <v>419</v>
      </c>
      <c r="S6760">
        <v>1483</v>
      </c>
    </row>
    <row r="6761" spans="1:19">
      <c r="A6761" t="s">
        <v>29</v>
      </c>
      <c r="B6761" t="s">
        <v>148</v>
      </c>
      <c r="C6761" t="s">
        <v>161</v>
      </c>
      <c r="D6761" t="s">
        <v>290</v>
      </c>
      <c r="E6761" t="s">
        <v>419</v>
      </c>
      <c r="F6761">
        <f>HYPERLINK("https://www.wikidata.org/wiki/Q33322771", "Q33322771")</f>
        <v>0</v>
      </c>
      <c r="G6761" t="s">
        <v>2567</v>
      </c>
      <c r="H6761" t="s">
        <v>7124</v>
      </c>
      <c r="I6761" t="s">
        <v>9612</v>
      </c>
      <c r="J6761" t="s">
        <v>13211</v>
      </c>
      <c r="K6761" t="s">
        <v>17614</v>
      </c>
      <c r="L6761">
        <f>HYPERLINK("https://www2.assemblee-nationale.fr/sycomore/fiche/(num_dept)/2837", "2837")</f>
        <v>0</v>
      </c>
      <c r="N6761">
        <f>HYPERLINK("https://www.wikidata.org/wiki/Q16011198", "Q16011198")</f>
        <v>0</v>
      </c>
      <c r="O6761" t="s">
        <v>20001</v>
      </c>
      <c r="Q6761" t="s">
        <v>20840</v>
      </c>
      <c r="R6761" t="s">
        <v>419</v>
      </c>
      <c r="S6761">
        <v>1483</v>
      </c>
    </row>
    <row r="6762" spans="1:19">
      <c r="A6762" t="s">
        <v>29</v>
      </c>
      <c r="B6762" t="s">
        <v>148</v>
      </c>
      <c r="C6762" t="s">
        <v>161</v>
      </c>
      <c r="D6762" t="s">
        <v>290</v>
      </c>
      <c r="E6762" t="s">
        <v>419</v>
      </c>
      <c r="F6762">
        <f>HYPERLINK("https://www.wikidata.org/wiki/Q33322771", "Q33322771")</f>
        <v>0</v>
      </c>
      <c r="G6762" t="s">
        <v>3842</v>
      </c>
      <c r="H6762" t="s">
        <v>8118</v>
      </c>
      <c r="I6762" t="s">
        <v>9388</v>
      </c>
      <c r="J6762" t="s">
        <v>13983</v>
      </c>
      <c r="K6762" t="s">
        <v>18756</v>
      </c>
      <c r="L6762">
        <f>HYPERLINK("https://www2.assemblee-nationale.fr/sycomore/fiche/(num_dept)/2856", "2856")</f>
        <v>0</v>
      </c>
      <c r="M6762">
        <f>HYPERLINK("https://www.senat.fr/senateur-3eme-republique/d_estournelles_de_constant_paul1252r3.html", "d_estournelles_de_constant_paul1252r3")</f>
        <v>0</v>
      </c>
      <c r="N6762">
        <f>HYPERLINK("https://www.wikidata.org/wiki/Q238731", "Q238731")</f>
        <v>0</v>
      </c>
      <c r="O6762" t="s">
        <v>19956</v>
      </c>
      <c r="Q6762" t="s">
        <v>20840</v>
      </c>
      <c r="R6762" t="s">
        <v>419</v>
      </c>
      <c r="S6762">
        <v>1483</v>
      </c>
    </row>
    <row r="6763" spans="1:19">
      <c r="A6763" t="s">
        <v>29</v>
      </c>
      <c r="B6763" t="s">
        <v>148</v>
      </c>
      <c r="C6763" t="s">
        <v>161</v>
      </c>
      <c r="D6763" t="s">
        <v>290</v>
      </c>
      <c r="E6763" t="s">
        <v>419</v>
      </c>
      <c r="F6763">
        <f>HYPERLINK("https://www.wikidata.org/wiki/Q33322771", "Q33322771")</f>
        <v>0</v>
      </c>
      <c r="G6763" t="s">
        <v>635</v>
      </c>
      <c r="H6763" t="s">
        <v>5394</v>
      </c>
      <c r="I6763" t="s">
        <v>9465</v>
      </c>
      <c r="J6763" t="s">
        <v>11385</v>
      </c>
      <c r="K6763" t="s">
        <v>15787</v>
      </c>
      <c r="L6763">
        <f>HYPERLINK("https://www2.assemblee-nationale.fr/sycomore/fiche/(num_dept)/2861", "2861")</f>
        <v>0</v>
      </c>
      <c r="M6763">
        <f>HYPERLINK("https://www.senat.fr/senateur-3eme-republique/etienne_eugene1824r3.html", "etienne_eugene1824r3")</f>
        <v>0</v>
      </c>
      <c r="N6763">
        <f>HYPERLINK("https://www.wikidata.org/wiki/Q2612305", "Q2612305")</f>
        <v>0</v>
      </c>
      <c r="O6763" t="s">
        <v>20000</v>
      </c>
      <c r="Q6763" t="s">
        <v>20840</v>
      </c>
      <c r="R6763" t="s">
        <v>419</v>
      </c>
      <c r="S6763">
        <v>1483</v>
      </c>
    </row>
    <row r="6764" spans="1:19">
      <c r="A6764" t="s">
        <v>29</v>
      </c>
      <c r="B6764" t="s">
        <v>148</v>
      </c>
      <c r="C6764" t="s">
        <v>161</v>
      </c>
      <c r="D6764" t="s">
        <v>290</v>
      </c>
      <c r="E6764" t="s">
        <v>419</v>
      </c>
      <c r="F6764">
        <f>HYPERLINK("https://www.wikidata.org/wiki/Q33322771", "Q33322771")</f>
        <v>0</v>
      </c>
      <c r="G6764" t="s">
        <v>3437</v>
      </c>
      <c r="H6764" t="s">
        <v>7815</v>
      </c>
      <c r="I6764" t="s">
        <v>9612</v>
      </c>
      <c r="J6764" t="s">
        <v>14041</v>
      </c>
      <c r="K6764" t="s">
        <v>18409</v>
      </c>
      <c r="L6764">
        <f>HYPERLINK("https://www2.assemblee-nationale.fr/sycomore/fiche/(num_dept)/2864", "2864")</f>
        <v>0</v>
      </c>
      <c r="N6764">
        <f>HYPERLINK("https://www.wikidata.org/wiki/Q16025675", "Q16025675")</f>
        <v>0</v>
      </c>
      <c r="O6764" t="s">
        <v>19981</v>
      </c>
      <c r="Q6764" t="s">
        <v>20840</v>
      </c>
      <c r="R6764" t="s">
        <v>419</v>
      </c>
      <c r="S6764">
        <v>1483</v>
      </c>
    </row>
    <row r="6765" spans="1:19">
      <c r="A6765" t="s">
        <v>29</v>
      </c>
      <c r="B6765" t="s">
        <v>148</v>
      </c>
      <c r="C6765" t="s">
        <v>161</v>
      </c>
      <c r="D6765" t="s">
        <v>290</v>
      </c>
      <c r="E6765" t="s">
        <v>419</v>
      </c>
      <c r="F6765">
        <f>HYPERLINK("https://www.wikidata.org/wiki/Q33322771", "Q33322771")</f>
        <v>0</v>
      </c>
      <c r="G6765" t="s">
        <v>2571</v>
      </c>
      <c r="H6765" t="s">
        <v>7127</v>
      </c>
      <c r="I6765" t="s">
        <v>9681</v>
      </c>
      <c r="J6765" t="s">
        <v>13215</v>
      </c>
      <c r="K6765" t="s">
        <v>17618</v>
      </c>
      <c r="L6765">
        <f>HYPERLINK("https://www2.assemblee-nationale.fr/sycomore/fiche/(num_dept)/2903", "2903")</f>
        <v>0</v>
      </c>
      <c r="N6765">
        <f>HYPERLINK("https://www.wikidata.org/wiki/Q16025681", "Q16025681")</f>
        <v>0</v>
      </c>
      <c r="O6765" t="s">
        <v>19968</v>
      </c>
      <c r="Q6765" t="s">
        <v>20840</v>
      </c>
      <c r="R6765" t="s">
        <v>419</v>
      </c>
      <c r="S6765">
        <v>1483</v>
      </c>
    </row>
    <row r="6766" spans="1:19">
      <c r="A6766" t="s">
        <v>29</v>
      </c>
      <c r="B6766" t="s">
        <v>148</v>
      </c>
      <c r="C6766" t="s">
        <v>161</v>
      </c>
      <c r="D6766" t="s">
        <v>290</v>
      </c>
      <c r="E6766" t="s">
        <v>419</v>
      </c>
      <c r="F6766">
        <f>HYPERLINK("https://www.wikidata.org/wiki/Q33322771", "Q33322771")</f>
        <v>0</v>
      </c>
      <c r="G6766" t="s">
        <v>3438</v>
      </c>
      <c r="H6766" t="s">
        <v>7816</v>
      </c>
      <c r="I6766" t="s">
        <v>10829</v>
      </c>
      <c r="J6766" t="s">
        <v>14042</v>
      </c>
      <c r="K6766" t="s">
        <v>18410</v>
      </c>
      <c r="L6766">
        <f>HYPERLINK("https://www2.assemblee-nationale.fr/sycomore/fiche/(num_dept)/2911", "2911")</f>
        <v>0</v>
      </c>
      <c r="N6766">
        <f>HYPERLINK("https://www.wikidata.org/wiki/Q10644147", "Q10644147")</f>
        <v>0</v>
      </c>
      <c r="O6766" t="s">
        <v>20005</v>
      </c>
      <c r="P6766" t="s">
        <v>20479</v>
      </c>
      <c r="Q6766" t="s">
        <v>20840</v>
      </c>
      <c r="R6766" t="s">
        <v>419</v>
      </c>
      <c r="S6766">
        <v>1483</v>
      </c>
    </row>
    <row r="6767" spans="1:19">
      <c r="A6767" t="s">
        <v>29</v>
      </c>
      <c r="B6767" t="s">
        <v>148</v>
      </c>
      <c r="C6767" t="s">
        <v>161</v>
      </c>
      <c r="D6767" t="s">
        <v>290</v>
      </c>
      <c r="E6767" t="s">
        <v>419</v>
      </c>
      <c r="F6767">
        <f>HYPERLINK("https://www.wikidata.org/wiki/Q33322771", "Q33322771")</f>
        <v>0</v>
      </c>
      <c r="G6767" t="s">
        <v>3121</v>
      </c>
      <c r="H6767" t="s">
        <v>5397</v>
      </c>
      <c r="I6767" t="s">
        <v>9651</v>
      </c>
      <c r="J6767" t="s">
        <v>13743</v>
      </c>
      <c r="K6767" t="s">
        <v>282</v>
      </c>
      <c r="L6767">
        <f>HYPERLINK("https://www2.assemblee-nationale.fr/sycomore/fiche/(num_dept)/2933", "2933")</f>
        <v>0</v>
      </c>
      <c r="N6767">
        <f>HYPERLINK("https://www.wikidata.org/wiki/Q3300286", "Q3300286")</f>
        <v>0</v>
      </c>
      <c r="O6767" t="s">
        <v>20044</v>
      </c>
      <c r="Q6767" t="s">
        <v>20840</v>
      </c>
      <c r="R6767" t="s">
        <v>419</v>
      </c>
      <c r="S6767">
        <v>1483</v>
      </c>
    </row>
    <row r="6768" spans="1:19">
      <c r="A6768" t="s">
        <v>29</v>
      </c>
      <c r="B6768" t="s">
        <v>148</v>
      </c>
      <c r="C6768" t="s">
        <v>161</v>
      </c>
      <c r="D6768" t="s">
        <v>290</v>
      </c>
      <c r="E6768" t="s">
        <v>419</v>
      </c>
      <c r="F6768">
        <f>HYPERLINK("https://www.wikidata.org/wiki/Q33322771", "Q33322771")</f>
        <v>0</v>
      </c>
      <c r="G6768" t="s">
        <v>3909</v>
      </c>
      <c r="H6768" t="s">
        <v>8167</v>
      </c>
      <c r="I6768" t="s">
        <v>5765</v>
      </c>
      <c r="J6768" t="s">
        <v>14466</v>
      </c>
      <c r="K6768" t="s">
        <v>18815</v>
      </c>
      <c r="L6768">
        <f>HYPERLINK("https://www2.assemblee-nationale.fr/sycomore/fiche/(num_dept)/2957", "2957")</f>
        <v>0</v>
      </c>
      <c r="N6768">
        <f>HYPERLINK("https://www.wikidata.org/wiki/Q16025687", "Q16025687")</f>
        <v>0</v>
      </c>
      <c r="O6768" t="s">
        <v>20007</v>
      </c>
      <c r="P6768" t="s">
        <v>20479</v>
      </c>
      <c r="Q6768" t="s">
        <v>20840</v>
      </c>
      <c r="R6768" t="s">
        <v>419</v>
      </c>
      <c r="S6768">
        <v>1483</v>
      </c>
    </row>
    <row r="6769" spans="1:19">
      <c r="A6769" t="s">
        <v>29</v>
      </c>
      <c r="B6769" t="s">
        <v>148</v>
      </c>
      <c r="C6769" t="s">
        <v>161</v>
      </c>
      <c r="D6769" t="s">
        <v>290</v>
      </c>
      <c r="E6769" t="s">
        <v>419</v>
      </c>
      <c r="F6769">
        <f>HYPERLINK("https://www.wikidata.org/wiki/Q33322771", "Q33322771")</f>
        <v>0</v>
      </c>
      <c r="G6769" t="s">
        <v>2577</v>
      </c>
      <c r="H6769" t="s">
        <v>5400</v>
      </c>
      <c r="I6769" t="s">
        <v>9385</v>
      </c>
      <c r="J6769" t="s">
        <v>13221</v>
      </c>
      <c r="K6769" t="s">
        <v>17624</v>
      </c>
      <c r="L6769">
        <f>HYPERLINK("https://www2.assemblee-nationale.fr/sycomore/fiche/(num_dept)/2986", "2986")</f>
        <v>0</v>
      </c>
      <c r="M6769">
        <f>HYPERLINK("https://www.senat.fr/senateur-3eme-republique/ferry_charles1797r3.html", "ferry_charles1797r3")</f>
        <v>0</v>
      </c>
      <c r="N6769">
        <f>HYPERLINK("https://www.wikidata.org/wiki/Q2959061", "Q2959061")</f>
        <v>0</v>
      </c>
      <c r="O6769" t="s">
        <v>20017</v>
      </c>
      <c r="P6769" t="s">
        <v>20479</v>
      </c>
      <c r="Q6769" t="s">
        <v>20840</v>
      </c>
      <c r="R6769" t="s">
        <v>419</v>
      </c>
      <c r="S6769">
        <v>1483</v>
      </c>
    </row>
    <row r="6770" spans="1:19">
      <c r="A6770" t="s">
        <v>29</v>
      </c>
      <c r="B6770" t="s">
        <v>148</v>
      </c>
      <c r="C6770" t="s">
        <v>161</v>
      </c>
      <c r="D6770" t="s">
        <v>290</v>
      </c>
      <c r="E6770" t="s">
        <v>419</v>
      </c>
      <c r="F6770">
        <f>HYPERLINK("https://www.wikidata.org/wiki/Q33322771", "Q33322771")</f>
        <v>0</v>
      </c>
      <c r="G6770" t="s">
        <v>3701</v>
      </c>
      <c r="H6770" t="s">
        <v>8021</v>
      </c>
      <c r="I6770" t="s">
        <v>9426</v>
      </c>
      <c r="J6770" t="s">
        <v>14276</v>
      </c>
      <c r="K6770" t="s">
        <v>18635</v>
      </c>
      <c r="L6770">
        <f>HYPERLINK("https://www2.assemblee-nationale.fr/sycomore/fiche/(num_dept)/3013", "3013")</f>
        <v>0</v>
      </c>
      <c r="M6770">
        <f>HYPERLINK("https://www.senat.fr/senateur-3eme-republique/fiquet_alphonse1691r3.html", "fiquet_alphonse1691r3")</f>
        <v>0</v>
      </c>
      <c r="N6770">
        <f>HYPERLINK("https://www.wikidata.org/wiki/Q2839795", "Q2839795")</f>
        <v>0</v>
      </c>
      <c r="O6770" t="s">
        <v>20012</v>
      </c>
      <c r="P6770" t="s">
        <v>20471</v>
      </c>
      <c r="Q6770" t="s">
        <v>20840</v>
      </c>
      <c r="R6770" t="s">
        <v>419</v>
      </c>
      <c r="S6770">
        <v>1483</v>
      </c>
    </row>
    <row r="6771" spans="1:19">
      <c r="A6771" t="s">
        <v>29</v>
      </c>
      <c r="B6771" t="s">
        <v>148</v>
      </c>
      <c r="C6771" t="s">
        <v>161</v>
      </c>
      <c r="D6771" t="s">
        <v>290</v>
      </c>
      <c r="E6771" t="s">
        <v>419</v>
      </c>
      <c r="F6771">
        <f>HYPERLINK("https://www.wikidata.org/wiki/Q33322771", "Q33322771")</f>
        <v>0</v>
      </c>
      <c r="G6771" t="s">
        <v>645</v>
      </c>
      <c r="H6771" t="s">
        <v>5404</v>
      </c>
      <c r="I6771" t="s">
        <v>6478</v>
      </c>
      <c r="J6771" t="s">
        <v>11395</v>
      </c>
      <c r="K6771" t="s">
        <v>15797</v>
      </c>
      <c r="L6771">
        <f>HYPERLINK("https://www2.assemblee-nationale.fr/sycomore/fiche/(num_dept)/3030", "3030")</f>
        <v>0</v>
      </c>
      <c r="M6771">
        <f>HYPERLINK("https://www.senat.fr/senateur-3eme-republique/fleury_ravarin_henry1128r3.html", "fleury_ravarin_henry1128r3")</f>
        <v>0</v>
      </c>
      <c r="N6771">
        <f>HYPERLINK("https://www.wikidata.org/wiki/Q3132778", "Q3132778")</f>
        <v>0</v>
      </c>
      <c r="O6771" t="s">
        <v>19965</v>
      </c>
      <c r="P6771" t="s">
        <v>20459</v>
      </c>
      <c r="Q6771" t="s">
        <v>20840</v>
      </c>
      <c r="R6771" t="s">
        <v>419</v>
      </c>
      <c r="S6771">
        <v>1483</v>
      </c>
    </row>
    <row r="6772" spans="1:19">
      <c r="A6772" t="s">
        <v>29</v>
      </c>
      <c r="B6772" t="s">
        <v>148</v>
      </c>
      <c r="C6772" t="s">
        <v>161</v>
      </c>
      <c r="D6772" t="s">
        <v>290</v>
      </c>
      <c r="E6772" t="s">
        <v>419</v>
      </c>
      <c r="F6772">
        <f>HYPERLINK("https://www.wikidata.org/wiki/Q33322771", "Q33322771")</f>
        <v>0</v>
      </c>
      <c r="G6772" t="s">
        <v>647</v>
      </c>
      <c r="H6772" t="s">
        <v>5406</v>
      </c>
      <c r="I6772" t="s">
        <v>6166</v>
      </c>
      <c r="J6772" t="s">
        <v>11397</v>
      </c>
      <c r="K6772" t="s">
        <v>15799</v>
      </c>
      <c r="L6772">
        <f>HYPERLINK("https://www2.assemblee-nationale.fr/sycomore/fiche/(num_dept)/3054", "3054")</f>
        <v>0</v>
      </c>
      <c r="N6772">
        <f>HYPERLINK("https://www.wikidata.org/wiki/Q3084624", "Q3084624")</f>
        <v>0</v>
      </c>
      <c r="O6772" t="s">
        <v>19961</v>
      </c>
      <c r="Q6772" t="s">
        <v>20840</v>
      </c>
      <c r="R6772" t="s">
        <v>419</v>
      </c>
      <c r="S6772">
        <v>1483</v>
      </c>
    </row>
    <row r="6773" spans="1:19">
      <c r="A6773" t="s">
        <v>29</v>
      </c>
      <c r="B6773" t="s">
        <v>148</v>
      </c>
      <c r="C6773" t="s">
        <v>161</v>
      </c>
      <c r="D6773" t="s">
        <v>290</v>
      </c>
      <c r="E6773" t="s">
        <v>419</v>
      </c>
      <c r="F6773">
        <f>HYPERLINK("https://www.wikidata.org/wiki/Q33322771", "Q33322771")</f>
        <v>0</v>
      </c>
      <c r="G6773" t="s">
        <v>3868</v>
      </c>
      <c r="H6773" t="s">
        <v>8137</v>
      </c>
      <c r="I6773" t="s">
        <v>9449</v>
      </c>
      <c r="J6773" t="s">
        <v>14427</v>
      </c>
      <c r="K6773" t="s">
        <v>18780</v>
      </c>
      <c r="L6773">
        <f>HYPERLINK("https://www2.assemblee-nationale.fr/sycomore/fiche/(num_dept)/3061", "3061")</f>
        <v>0</v>
      </c>
      <c r="N6773">
        <f>HYPERLINK("https://www.wikidata.org/wiki/Q1592182", "Q1592182")</f>
        <v>0</v>
      </c>
      <c r="O6773" t="s">
        <v>19988</v>
      </c>
      <c r="P6773" t="s">
        <v>20411</v>
      </c>
      <c r="Q6773" t="s">
        <v>20840</v>
      </c>
      <c r="R6773" t="s">
        <v>18780</v>
      </c>
      <c r="S6773">
        <v>1068</v>
      </c>
    </row>
    <row r="6774" spans="1:19">
      <c r="A6774" t="s">
        <v>29</v>
      </c>
      <c r="B6774" t="s">
        <v>148</v>
      </c>
      <c r="C6774" t="s">
        <v>161</v>
      </c>
      <c r="D6774" t="s">
        <v>290</v>
      </c>
      <c r="E6774" t="s">
        <v>419</v>
      </c>
      <c r="F6774">
        <f>HYPERLINK("https://www.wikidata.org/wiki/Q33322771", "Q33322771")</f>
        <v>0</v>
      </c>
      <c r="G6774" t="s">
        <v>650</v>
      </c>
      <c r="H6774" t="s">
        <v>5409</v>
      </c>
      <c r="I6774" t="s">
        <v>9469</v>
      </c>
      <c r="J6774" t="s">
        <v>11400</v>
      </c>
      <c r="K6774" t="s">
        <v>15802</v>
      </c>
      <c r="L6774">
        <f>HYPERLINK("https://www2.assemblee-nationale.fr/sycomore/fiche/(num_dept)/3084", "3084")</f>
        <v>0</v>
      </c>
      <c r="N6774">
        <f>HYPERLINK("https://www.wikidata.org/wiki/Q3261915", "Q3261915")</f>
        <v>0</v>
      </c>
      <c r="O6774" t="s">
        <v>19992</v>
      </c>
      <c r="P6774" t="s">
        <v>20460</v>
      </c>
      <c r="Q6774" t="s">
        <v>20840</v>
      </c>
      <c r="R6774" t="s">
        <v>419</v>
      </c>
      <c r="S6774">
        <v>1483</v>
      </c>
    </row>
    <row r="6775" spans="1:19">
      <c r="A6775" t="s">
        <v>29</v>
      </c>
      <c r="B6775" t="s">
        <v>148</v>
      </c>
      <c r="C6775" t="s">
        <v>161</v>
      </c>
      <c r="D6775" t="s">
        <v>290</v>
      </c>
      <c r="E6775" t="s">
        <v>419</v>
      </c>
      <c r="F6775">
        <f>HYPERLINK("https://www.wikidata.org/wiki/Q33322771", "Q33322771")</f>
        <v>0</v>
      </c>
      <c r="G6775" t="s">
        <v>3910</v>
      </c>
      <c r="H6775" t="s">
        <v>8168</v>
      </c>
      <c r="I6775" t="s">
        <v>9465</v>
      </c>
      <c r="J6775" t="s">
        <v>14467</v>
      </c>
      <c r="K6775" t="s">
        <v>15921</v>
      </c>
      <c r="L6775">
        <f>HYPERLINK("https://www2.assemblee-nationale.fr/sycomore/fiche/(num_dept)/3099", "3099")</f>
        <v>0</v>
      </c>
      <c r="N6775">
        <f>HYPERLINK("https://www.wikidata.org/wiki/Q3059874", "Q3059874")</f>
        <v>0</v>
      </c>
      <c r="O6775" t="s">
        <v>20015</v>
      </c>
      <c r="Q6775" t="s">
        <v>20840</v>
      </c>
      <c r="R6775" t="s">
        <v>419</v>
      </c>
      <c r="S6775">
        <v>1483</v>
      </c>
    </row>
    <row r="6776" spans="1:19">
      <c r="A6776" t="s">
        <v>29</v>
      </c>
      <c r="B6776" t="s">
        <v>148</v>
      </c>
      <c r="C6776" t="s">
        <v>161</v>
      </c>
      <c r="D6776" t="s">
        <v>290</v>
      </c>
      <c r="E6776" t="s">
        <v>419</v>
      </c>
      <c r="F6776">
        <f>HYPERLINK("https://www.wikidata.org/wiki/Q33322771", "Q33322771")</f>
        <v>0</v>
      </c>
      <c r="G6776" t="s">
        <v>3702</v>
      </c>
      <c r="H6776" t="s">
        <v>5710</v>
      </c>
      <c r="I6776" t="s">
        <v>9388</v>
      </c>
      <c r="J6776" t="s">
        <v>14277</v>
      </c>
      <c r="K6776" t="s">
        <v>18636</v>
      </c>
      <c r="L6776">
        <f>HYPERLINK("https://www2.assemblee-nationale.fr/sycomore/fiche/(num_dept)/3101", "3101")</f>
        <v>0</v>
      </c>
      <c r="N6776">
        <f>HYPERLINK("https://www.wikidata.org/wiki/Q16025726", "Q16025726")</f>
        <v>0</v>
      </c>
      <c r="O6776" t="s">
        <v>19967</v>
      </c>
      <c r="Q6776" t="s">
        <v>20840</v>
      </c>
      <c r="R6776" t="s">
        <v>419</v>
      </c>
      <c r="S6776">
        <v>1483</v>
      </c>
    </row>
    <row r="6777" spans="1:19">
      <c r="A6777" t="s">
        <v>29</v>
      </c>
      <c r="B6777" t="s">
        <v>148</v>
      </c>
      <c r="C6777" t="s">
        <v>161</v>
      </c>
      <c r="D6777" t="s">
        <v>290</v>
      </c>
      <c r="E6777" t="s">
        <v>419</v>
      </c>
      <c r="F6777">
        <f>HYPERLINK("https://www.wikidata.org/wiki/Q33322771", "Q33322771")</f>
        <v>0</v>
      </c>
      <c r="G6777" t="s">
        <v>3703</v>
      </c>
      <c r="H6777" t="s">
        <v>6166</v>
      </c>
      <c r="I6777" t="s">
        <v>9465</v>
      </c>
      <c r="J6777" t="s">
        <v>14278</v>
      </c>
      <c r="K6777" t="s">
        <v>18637</v>
      </c>
      <c r="L6777">
        <f>HYPERLINK("https://www2.assemblee-nationale.fr/sycomore/fiche/(num_dept)/3127", "3127")</f>
        <v>0</v>
      </c>
      <c r="N6777">
        <f>HYPERLINK("https://www.wikidata.org/wiki/Q16025732", "Q16025732")</f>
        <v>0</v>
      </c>
      <c r="O6777" t="s">
        <v>20012</v>
      </c>
      <c r="Q6777" t="s">
        <v>20840</v>
      </c>
      <c r="R6777" t="s">
        <v>419</v>
      </c>
      <c r="S6777">
        <v>1483</v>
      </c>
    </row>
    <row r="6778" spans="1:19">
      <c r="A6778" t="s">
        <v>29</v>
      </c>
      <c r="B6778" t="s">
        <v>148</v>
      </c>
      <c r="C6778" t="s">
        <v>161</v>
      </c>
      <c r="D6778" t="s">
        <v>290</v>
      </c>
      <c r="E6778" t="s">
        <v>419</v>
      </c>
      <c r="F6778">
        <f>HYPERLINK("https://www.wikidata.org/wiki/Q33322771", "Q33322771")</f>
        <v>0</v>
      </c>
      <c r="G6778" t="s">
        <v>3911</v>
      </c>
      <c r="H6778" t="s">
        <v>8169</v>
      </c>
      <c r="I6778" t="s">
        <v>9506</v>
      </c>
      <c r="J6778" t="s">
        <v>14468</v>
      </c>
      <c r="K6778" t="s">
        <v>18816</v>
      </c>
      <c r="L6778">
        <f>HYPERLINK("https://www2.assemblee-nationale.fr/sycomore/fiche/(num_dept)/3183", "3183")</f>
        <v>0</v>
      </c>
      <c r="N6778">
        <f>HYPERLINK("https://www.wikidata.org/wiki/Q13077254", "Q13077254")</f>
        <v>0</v>
      </c>
      <c r="O6778" t="s">
        <v>19977</v>
      </c>
      <c r="P6778" t="s">
        <v>20479</v>
      </c>
      <c r="Q6778" t="s">
        <v>20840</v>
      </c>
      <c r="R6778" t="s">
        <v>419</v>
      </c>
      <c r="S6778">
        <v>1483</v>
      </c>
    </row>
    <row r="6779" spans="1:19">
      <c r="A6779" t="s">
        <v>29</v>
      </c>
      <c r="B6779" t="s">
        <v>148</v>
      </c>
      <c r="C6779" t="s">
        <v>161</v>
      </c>
      <c r="D6779" t="s">
        <v>290</v>
      </c>
      <c r="E6779" t="s">
        <v>419</v>
      </c>
      <c r="F6779">
        <f>HYPERLINK("https://www.wikidata.org/wiki/Q33322771", "Q33322771")</f>
        <v>0</v>
      </c>
      <c r="G6779" t="s">
        <v>3558</v>
      </c>
      <c r="H6779" t="s">
        <v>7912</v>
      </c>
      <c r="I6779" t="s">
        <v>10881</v>
      </c>
      <c r="J6779" t="s">
        <v>14147</v>
      </c>
      <c r="K6779" t="s">
        <v>18514</v>
      </c>
      <c r="L6779">
        <f>HYPERLINK("https://www2.assemblee-nationale.fr/sycomore/fiche/(num_dept)/3191", "3191")</f>
        <v>0</v>
      </c>
      <c r="M6779">
        <f>HYPERLINK("https://www.senat.fr/senateur-3eme-republique/gacon_jules0043r3.html", "gacon_jules0043r3")</f>
        <v>0</v>
      </c>
      <c r="N6779">
        <f>HYPERLINK("https://www.wikidata.org/wiki/Q3188598", "Q3188598")</f>
        <v>0</v>
      </c>
      <c r="O6779" t="s">
        <v>19999</v>
      </c>
      <c r="P6779" t="s">
        <v>20402</v>
      </c>
      <c r="Q6779" t="s">
        <v>20840</v>
      </c>
      <c r="R6779" t="s">
        <v>419</v>
      </c>
      <c r="S6779">
        <v>1483</v>
      </c>
    </row>
    <row r="6780" spans="1:19">
      <c r="A6780" t="s">
        <v>29</v>
      </c>
      <c r="B6780" t="s">
        <v>148</v>
      </c>
      <c r="C6780" t="s">
        <v>161</v>
      </c>
      <c r="D6780" t="s">
        <v>290</v>
      </c>
      <c r="E6780" t="s">
        <v>419</v>
      </c>
      <c r="F6780">
        <f>HYPERLINK("https://www.wikidata.org/wiki/Q33322771", "Q33322771")</f>
        <v>0</v>
      </c>
      <c r="G6780" t="s">
        <v>652</v>
      </c>
      <c r="H6780" t="s">
        <v>5411</v>
      </c>
      <c r="I6780" t="s">
        <v>9375</v>
      </c>
      <c r="J6780" t="s">
        <v>11402</v>
      </c>
      <c r="K6780" t="s">
        <v>15804</v>
      </c>
      <c r="L6780">
        <f>HYPERLINK("https://www2.assemblee-nationale.fr/sycomore/fiche/(num_dept)/3194", "3194")</f>
        <v>0</v>
      </c>
      <c r="N6780">
        <f>HYPERLINK("https://www.wikidata.org/wiki/Q16025739", "Q16025739")</f>
        <v>0</v>
      </c>
      <c r="O6780" t="s">
        <v>19967</v>
      </c>
      <c r="Q6780" t="s">
        <v>20840</v>
      </c>
      <c r="R6780" t="s">
        <v>419</v>
      </c>
      <c r="S6780">
        <v>1483</v>
      </c>
    </row>
    <row r="6781" spans="1:19">
      <c r="A6781" t="s">
        <v>29</v>
      </c>
      <c r="B6781" t="s">
        <v>148</v>
      </c>
      <c r="C6781" t="s">
        <v>161</v>
      </c>
      <c r="D6781" t="s">
        <v>290</v>
      </c>
      <c r="E6781" t="s">
        <v>419</v>
      </c>
      <c r="F6781">
        <f>HYPERLINK("https://www.wikidata.org/wiki/Q33322771", "Q33322771")</f>
        <v>0</v>
      </c>
      <c r="G6781" t="s">
        <v>3559</v>
      </c>
      <c r="H6781" t="s">
        <v>7477</v>
      </c>
      <c r="I6781" t="s">
        <v>9449</v>
      </c>
      <c r="J6781" t="s">
        <v>14148</v>
      </c>
      <c r="K6781" t="s">
        <v>18515</v>
      </c>
      <c r="L6781">
        <f>HYPERLINK("https://www2.assemblee-nationale.fr/sycomore/fiche/(num_dept)/3202", "3202")</f>
        <v>0</v>
      </c>
      <c r="N6781">
        <f>HYPERLINK("https://www.wikidata.org/wiki/Q3188600", "Q3188600")</f>
        <v>0</v>
      </c>
      <c r="O6781" t="s">
        <v>19989</v>
      </c>
      <c r="P6781" t="s">
        <v>20410</v>
      </c>
      <c r="Q6781" t="s">
        <v>20840</v>
      </c>
      <c r="R6781" t="s">
        <v>419</v>
      </c>
      <c r="S6781">
        <v>1483</v>
      </c>
    </row>
    <row r="6782" spans="1:19">
      <c r="A6782" t="s">
        <v>29</v>
      </c>
      <c r="B6782" t="s">
        <v>148</v>
      </c>
      <c r="C6782" t="s">
        <v>161</v>
      </c>
      <c r="D6782" t="s">
        <v>290</v>
      </c>
      <c r="E6782" t="s">
        <v>419</v>
      </c>
      <c r="F6782">
        <f>HYPERLINK("https://www.wikidata.org/wiki/Q33322771", "Q33322771")</f>
        <v>0</v>
      </c>
      <c r="G6782" t="s">
        <v>963</v>
      </c>
      <c r="H6782" t="s">
        <v>5715</v>
      </c>
      <c r="I6782" t="s">
        <v>6584</v>
      </c>
      <c r="J6782" t="s">
        <v>11702</v>
      </c>
      <c r="K6782" t="s">
        <v>16105</v>
      </c>
      <c r="L6782">
        <f>HYPERLINK("https://www2.assemblee-nationale.fr/sycomore/fiche/(num_dept)/3225", "3225")</f>
        <v>0</v>
      </c>
      <c r="N6782">
        <f>HYPERLINK("https://www.wikidata.org/wiki/Q8339302", "Q8339302")</f>
        <v>0</v>
      </c>
      <c r="O6782" t="s">
        <v>20034</v>
      </c>
      <c r="Q6782" t="s">
        <v>20840</v>
      </c>
      <c r="R6782" t="s">
        <v>419</v>
      </c>
      <c r="S6782">
        <v>1483</v>
      </c>
    </row>
    <row r="6783" spans="1:19">
      <c r="A6783" t="s">
        <v>29</v>
      </c>
      <c r="B6783" t="s">
        <v>148</v>
      </c>
      <c r="C6783" t="s">
        <v>161</v>
      </c>
      <c r="D6783" t="s">
        <v>290</v>
      </c>
      <c r="E6783" t="s">
        <v>419</v>
      </c>
      <c r="F6783">
        <f>HYPERLINK("https://www.wikidata.org/wiki/Q33322771", "Q33322771")</f>
        <v>0</v>
      </c>
      <c r="G6783" t="s">
        <v>3912</v>
      </c>
      <c r="H6783" t="s">
        <v>8170</v>
      </c>
      <c r="I6783" t="s">
        <v>9449</v>
      </c>
      <c r="J6783" t="s">
        <v>14469</v>
      </c>
      <c r="K6783" t="s">
        <v>18817</v>
      </c>
      <c r="L6783">
        <f>HYPERLINK("https://www2.assemblee-nationale.fr/sycomore/fiche/(num_dept)/3228", "3228")</f>
        <v>0</v>
      </c>
      <c r="N6783">
        <f>HYPERLINK("https://www.wikidata.org/wiki/Q3188603", "Q3188603")</f>
        <v>0</v>
      </c>
      <c r="O6783" t="s">
        <v>20023</v>
      </c>
      <c r="P6783" t="s">
        <v>20410</v>
      </c>
      <c r="Q6783" t="s">
        <v>20840</v>
      </c>
      <c r="R6783" t="s">
        <v>419</v>
      </c>
      <c r="S6783">
        <v>1483</v>
      </c>
    </row>
    <row r="6784" spans="1:19">
      <c r="A6784" t="s">
        <v>29</v>
      </c>
      <c r="B6784" t="s">
        <v>148</v>
      </c>
      <c r="C6784" t="s">
        <v>161</v>
      </c>
      <c r="D6784" t="s">
        <v>290</v>
      </c>
      <c r="E6784" t="s">
        <v>419</v>
      </c>
      <c r="F6784">
        <f>HYPERLINK("https://www.wikidata.org/wiki/Q33322771", "Q33322771")</f>
        <v>0</v>
      </c>
      <c r="G6784" t="s">
        <v>653</v>
      </c>
      <c r="H6784" t="s">
        <v>5412</v>
      </c>
      <c r="I6784" t="s">
        <v>9470</v>
      </c>
      <c r="J6784" t="s">
        <v>11403</v>
      </c>
      <c r="K6784" t="s">
        <v>15805</v>
      </c>
      <c r="L6784">
        <f>HYPERLINK("https://www2.assemblee-nationale.fr/sycomore/fiche/(num_dept)/3229", "3229")</f>
        <v>0</v>
      </c>
      <c r="N6784">
        <f>HYPERLINK("https://www.wikidata.org/wiki/Q8298734", "Q8298734")</f>
        <v>0</v>
      </c>
      <c r="O6784" t="s">
        <v>19956</v>
      </c>
      <c r="P6784" t="s">
        <v>20409</v>
      </c>
      <c r="Q6784" t="s">
        <v>20840</v>
      </c>
      <c r="R6784" t="s">
        <v>419</v>
      </c>
      <c r="S6784">
        <v>1483</v>
      </c>
    </row>
    <row r="6785" spans="1:19">
      <c r="A6785" t="s">
        <v>29</v>
      </c>
      <c r="B6785" t="s">
        <v>148</v>
      </c>
      <c r="C6785" t="s">
        <v>161</v>
      </c>
      <c r="D6785" t="s">
        <v>290</v>
      </c>
      <c r="E6785" t="s">
        <v>419</v>
      </c>
      <c r="F6785">
        <f>HYPERLINK("https://www.wikidata.org/wiki/Q33322771", "Q33322771")</f>
        <v>0</v>
      </c>
      <c r="G6785" t="s">
        <v>3444</v>
      </c>
      <c r="H6785" t="s">
        <v>7529</v>
      </c>
      <c r="I6785" t="s">
        <v>10830</v>
      </c>
      <c r="J6785" t="s">
        <v>14048</v>
      </c>
      <c r="K6785" t="s">
        <v>18416</v>
      </c>
      <c r="L6785">
        <f>HYPERLINK("https://www2.assemblee-nationale.fr/sycomore/fiche/(num_dept)/3261", "3261")</f>
        <v>0</v>
      </c>
      <c r="M6785">
        <f>HYPERLINK("https://www.senat.fr/senateur-3eme-republique/garnier_frederic0419r3.html", "garnier_frederic0419r3")</f>
        <v>0</v>
      </c>
      <c r="N6785">
        <f>HYPERLINK("https://www.wikidata.org/wiki/Q3089831", "Q3089831")</f>
        <v>0</v>
      </c>
      <c r="O6785" t="s">
        <v>20037</v>
      </c>
      <c r="P6785" t="s">
        <v>20479</v>
      </c>
      <c r="Q6785" t="s">
        <v>20840</v>
      </c>
      <c r="R6785" t="s">
        <v>419</v>
      </c>
      <c r="S6785">
        <v>1483</v>
      </c>
    </row>
    <row r="6786" spans="1:19">
      <c r="A6786" t="s">
        <v>29</v>
      </c>
      <c r="B6786" t="s">
        <v>148</v>
      </c>
      <c r="C6786" t="s">
        <v>161</v>
      </c>
      <c r="D6786" t="s">
        <v>290</v>
      </c>
      <c r="E6786" t="s">
        <v>419</v>
      </c>
      <c r="F6786">
        <f>HYPERLINK("https://www.wikidata.org/wiki/Q33322771", "Q33322771")</f>
        <v>0</v>
      </c>
      <c r="G6786" t="s">
        <v>3446</v>
      </c>
      <c r="H6786" t="s">
        <v>7820</v>
      </c>
      <c r="I6786" t="s">
        <v>10831</v>
      </c>
      <c r="J6786" t="s">
        <v>14050</v>
      </c>
      <c r="K6786" t="s">
        <v>18418</v>
      </c>
      <c r="L6786">
        <f>HYPERLINK("https://www2.assemblee-nationale.fr/sycomore/fiche/(num_dept)/3305", "3305")</f>
        <v>0</v>
      </c>
      <c r="N6786">
        <f>HYPERLINK("https://www.wikidata.org/wiki/Q8343994", "Q8343994")</f>
        <v>0</v>
      </c>
      <c r="O6786" t="s">
        <v>19976</v>
      </c>
      <c r="P6786" t="s">
        <v>20409</v>
      </c>
      <c r="Q6786" t="s">
        <v>20840</v>
      </c>
      <c r="R6786" t="s">
        <v>419</v>
      </c>
      <c r="S6786">
        <v>1483</v>
      </c>
    </row>
    <row r="6787" spans="1:19">
      <c r="A6787" t="s">
        <v>29</v>
      </c>
      <c r="B6787" t="s">
        <v>148</v>
      </c>
      <c r="C6787" t="s">
        <v>161</v>
      </c>
      <c r="D6787" t="s">
        <v>290</v>
      </c>
      <c r="E6787" t="s">
        <v>419</v>
      </c>
      <c r="F6787">
        <f>HYPERLINK("https://www.wikidata.org/wiki/Q33322771", "Q33322771")</f>
        <v>0</v>
      </c>
      <c r="G6787" t="s">
        <v>3913</v>
      </c>
      <c r="H6787" t="s">
        <v>8171</v>
      </c>
      <c r="I6787" t="s">
        <v>11024</v>
      </c>
      <c r="J6787" t="s">
        <v>12567</v>
      </c>
      <c r="K6787" t="s">
        <v>18818</v>
      </c>
      <c r="L6787">
        <f>HYPERLINK("https://www2.assemblee-nationale.fr/sycomore/fiche/(num_dept)/3311", "3311")</f>
        <v>0</v>
      </c>
      <c r="N6787">
        <f>HYPERLINK("https://www.wikidata.org/wiki/Q3069166", "Q3069166")</f>
        <v>0</v>
      </c>
      <c r="O6787" t="s">
        <v>19972</v>
      </c>
      <c r="Q6787" t="s">
        <v>20840</v>
      </c>
      <c r="R6787" t="s">
        <v>419</v>
      </c>
      <c r="S6787">
        <v>1483</v>
      </c>
    </row>
    <row r="6788" spans="1:19">
      <c r="A6788" t="s">
        <v>29</v>
      </c>
      <c r="B6788" t="s">
        <v>148</v>
      </c>
      <c r="C6788" t="s">
        <v>161</v>
      </c>
      <c r="D6788" t="s">
        <v>290</v>
      </c>
      <c r="E6788" t="s">
        <v>419</v>
      </c>
      <c r="F6788">
        <f>HYPERLINK("https://www.wikidata.org/wiki/Q33322771", "Q33322771")</f>
        <v>0</v>
      </c>
      <c r="G6788" t="s">
        <v>657</v>
      </c>
      <c r="H6788" t="s">
        <v>5416</v>
      </c>
      <c r="I6788" t="s">
        <v>9472</v>
      </c>
      <c r="J6788" t="s">
        <v>11407</v>
      </c>
      <c r="K6788" t="s">
        <v>15809</v>
      </c>
      <c r="L6788">
        <f>HYPERLINK("https://www2.assemblee-nationale.fr/sycomore/fiche/(num_dept)/3325", "3325")</f>
        <v>0</v>
      </c>
      <c r="N6788">
        <f>HYPERLINK("https://www.wikidata.org/wiki/Q2820867", "Q2820867")</f>
        <v>0</v>
      </c>
      <c r="O6788" t="s">
        <v>20011</v>
      </c>
      <c r="Q6788" t="s">
        <v>20840</v>
      </c>
      <c r="R6788" t="s">
        <v>419</v>
      </c>
      <c r="S6788">
        <v>1483</v>
      </c>
    </row>
    <row r="6789" spans="1:19">
      <c r="A6789" t="s">
        <v>29</v>
      </c>
      <c r="B6789" t="s">
        <v>148</v>
      </c>
      <c r="C6789" t="s">
        <v>161</v>
      </c>
      <c r="D6789" t="s">
        <v>290</v>
      </c>
      <c r="E6789" t="s">
        <v>419</v>
      </c>
      <c r="F6789">
        <f>HYPERLINK("https://www.wikidata.org/wiki/Q33322771", "Q33322771")</f>
        <v>0</v>
      </c>
      <c r="G6789" t="s">
        <v>3837</v>
      </c>
      <c r="H6789" t="s">
        <v>8115</v>
      </c>
      <c r="I6789" t="s">
        <v>9442</v>
      </c>
      <c r="J6789" t="s">
        <v>14399</v>
      </c>
      <c r="K6789" t="s">
        <v>18753</v>
      </c>
      <c r="L6789">
        <f>HYPERLINK("https://www2.assemblee-nationale.fr/sycomore/fiche/(num_dept)/3330", "3330")</f>
        <v>0</v>
      </c>
      <c r="N6789">
        <f>HYPERLINK("https://www.wikidata.org/wiki/Q16025759", "Q16025759")</f>
        <v>0</v>
      </c>
      <c r="O6789" t="s">
        <v>20012</v>
      </c>
      <c r="P6789" t="s">
        <v>20479</v>
      </c>
      <c r="Q6789" t="s">
        <v>20840</v>
      </c>
      <c r="R6789" t="s">
        <v>419</v>
      </c>
      <c r="S6789">
        <v>1483</v>
      </c>
    </row>
    <row r="6790" spans="1:19">
      <c r="A6790" t="s">
        <v>29</v>
      </c>
      <c r="B6790" t="s">
        <v>148</v>
      </c>
      <c r="C6790" t="s">
        <v>161</v>
      </c>
      <c r="D6790" t="s">
        <v>290</v>
      </c>
      <c r="E6790" t="s">
        <v>419</v>
      </c>
      <c r="F6790">
        <f>HYPERLINK("https://www.wikidata.org/wiki/Q33322771", "Q33322771")</f>
        <v>0</v>
      </c>
      <c r="G6790" t="s">
        <v>2956</v>
      </c>
      <c r="H6790" t="s">
        <v>5417</v>
      </c>
      <c r="I6790" t="s">
        <v>10542</v>
      </c>
      <c r="J6790" t="s">
        <v>13589</v>
      </c>
      <c r="K6790" t="s">
        <v>17974</v>
      </c>
      <c r="L6790">
        <f>HYPERLINK("https://www2.assemblee-nationale.fr/sycomore/fiche/(num_dept)/3361", "3361")</f>
        <v>0</v>
      </c>
      <c r="N6790">
        <f>HYPERLINK("https://www.wikidata.org/wiki/Q3131251", "Q3131251")</f>
        <v>0</v>
      </c>
      <c r="O6790" t="s">
        <v>20009</v>
      </c>
      <c r="Q6790" t="s">
        <v>20840</v>
      </c>
      <c r="R6790" t="s">
        <v>419</v>
      </c>
      <c r="S6790">
        <v>1483</v>
      </c>
    </row>
    <row r="6791" spans="1:19">
      <c r="A6791" t="s">
        <v>29</v>
      </c>
      <c r="B6791" t="s">
        <v>148</v>
      </c>
      <c r="C6791" t="s">
        <v>161</v>
      </c>
      <c r="D6791" t="s">
        <v>290</v>
      </c>
      <c r="E6791" t="s">
        <v>419</v>
      </c>
      <c r="F6791">
        <f>HYPERLINK("https://www.wikidata.org/wiki/Q33322771", "Q33322771")</f>
        <v>0</v>
      </c>
      <c r="G6791" t="s">
        <v>2957</v>
      </c>
      <c r="H6791" t="s">
        <v>7429</v>
      </c>
      <c r="I6791" t="s">
        <v>10543</v>
      </c>
      <c r="J6791" t="s">
        <v>11365</v>
      </c>
      <c r="K6791" t="s">
        <v>17975</v>
      </c>
      <c r="L6791">
        <f>HYPERLINK("https://www2.assemblee-nationale.fr/sycomore/fiche/(num_dept)/3387", "3387")</f>
        <v>0</v>
      </c>
      <c r="N6791">
        <f>HYPERLINK("https://www.wikidata.org/wiki/Q3099023", "Q3099023")</f>
        <v>0</v>
      </c>
      <c r="O6791" t="s">
        <v>20028</v>
      </c>
      <c r="Q6791" t="s">
        <v>20840</v>
      </c>
      <c r="R6791" t="s">
        <v>419</v>
      </c>
      <c r="S6791">
        <v>1483</v>
      </c>
    </row>
    <row r="6792" spans="1:19">
      <c r="A6792" t="s">
        <v>29</v>
      </c>
      <c r="B6792" t="s">
        <v>148</v>
      </c>
      <c r="C6792" t="s">
        <v>161</v>
      </c>
      <c r="D6792" t="s">
        <v>290</v>
      </c>
      <c r="E6792" t="s">
        <v>419</v>
      </c>
      <c r="F6792">
        <f>HYPERLINK("https://www.wikidata.org/wiki/Q33322771", "Q33322771")</f>
        <v>0</v>
      </c>
      <c r="G6792" t="s">
        <v>2592</v>
      </c>
      <c r="H6792" t="s">
        <v>7141</v>
      </c>
      <c r="I6792" t="s">
        <v>10301</v>
      </c>
      <c r="J6792" t="s">
        <v>13235</v>
      </c>
      <c r="K6792" t="s">
        <v>17639</v>
      </c>
      <c r="L6792">
        <f>HYPERLINK("https://www2.assemblee-nationale.fr/sycomore/fiche/(num_dept)/3392", "3392")</f>
        <v>0</v>
      </c>
      <c r="N6792">
        <f>HYPERLINK("https://www.wikidata.org/wiki/Q3188644", "Q3188644")</f>
        <v>0</v>
      </c>
      <c r="O6792" t="s">
        <v>19957</v>
      </c>
      <c r="P6792" t="s">
        <v>20479</v>
      </c>
      <c r="Q6792" t="s">
        <v>20840</v>
      </c>
      <c r="R6792" t="s">
        <v>419</v>
      </c>
      <c r="S6792">
        <v>1483</v>
      </c>
    </row>
    <row r="6793" spans="1:19">
      <c r="A6793" t="s">
        <v>29</v>
      </c>
      <c r="B6793" t="s">
        <v>148</v>
      </c>
      <c r="C6793" t="s">
        <v>161</v>
      </c>
      <c r="D6793" t="s">
        <v>290</v>
      </c>
      <c r="E6793" t="s">
        <v>419</v>
      </c>
      <c r="F6793">
        <f>HYPERLINK("https://www.wikidata.org/wiki/Q33322771", "Q33322771")</f>
        <v>0</v>
      </c>
      <c r="G6793" t="s">
        <v>1257</v>
      </c>
      <c r="H6793" t="s">
        <v>5981</v>
      </c>
      <c r="I6793" t="s">
        <v>9593</v>
      </c>
      <c r="J6793" t="s">
        <v>11987</v>
      </c>
      <c r="K6793" t="s">
        <v>16390</v>
      </c>
      <c r="L6793">
        <f>HYPERLINK("https://www2.assemblee-nationale.fr/sycomore/fiche/(num_dept)/3398", "3398")</f>
        <v>0</v>
      </c>
      <c r="M6793">
        <f>HYPERLINK("https://www.senat.fr/senateur-3eme-republique/giaccobi_jules0472r3.html", "giaccobi_jules0472r3")</f>
        <v>0</v>
      </c>
      <c r="N6793">
        <f>HYPERLINK("https://www.wikidata.org/wiki/Q3293802", "Q3293802")</f>
        <v>0</v>
      </c>
      <c r="O6793" t="s">
        <v>19955</v>
      </c>
      <c r="Q6793" t="s">
        <v>20840</v>
      </c>
      <c r="R6793" t="s">
        <v>419</v>
      </c>
      <c r="S6793">
        <v>1483</v>
      </c>
    </row>
    <row r="6794" spans="1:19">
      <c r="A6794" t="s">
        <v>29</v>
      </c>
      <c r="B6794" t="s">
        <v>148</v>
      </c>
      <c r="C6794" t="s">
        <v>161</v>
      </c>
      <c r="D6794" t="s">
        <v>290</v>
      </c>
      <c r="E6794" t="s">
        <v>419</v>
      </c>
      <c r="F6794">
        <f>HYPERLINK("https://www.wikidata.org/wiki/Q33322771", "Q33322771")</f>
        <v>0</v>
      </c>
      <c r="G6794" t="s">
        <v>3063</v>
      </c>
      <c r="H6794" t="s">
        <v>7516</v>
      </c>
      <c r="I6794" t="s">
        <v>9438</v>
      </c>
      <c r="J6794" t="s">
        <v>13687</v>
      </c>
      <c r="K6794" t="s">
        <v>18070</v>
      </c>
      <c r="L6794">
        <f>HYPERLINK("https://www2.assemblee-nationale.fr/sycomore/fiche/(num_dept)/3405", "3405")</f>
        <v>0</v>
      </c>
      <c r="M6794">
        <f>HYPERLINK("https://www.senat.fr/senateur-3eme-republique/giguet_honore0009r3.html", "giguet_honore0009r3")</f>
        <v>0</v>
      </c>
      <c r="N6794">
        <f>HYPERLINK("https://www.wikidata.org/wiki/Q3140225", "Q3140225")</f>
        <v>0</v>
      </c>
      <c r="O6794" t="s">
        <v>19986</v>
      </c>
      <c r="Q6794" t="s">
        <v>20840</v>
      </c>
      <c r="R6794" t="s">
        <v>19249</v>
      </c>
      <c r="S6794">
        <v>694</v>
      </c>
    </row>
    <row r="6795" spans="1:19">
      <c r="A6795" t="s">
        <v>29</v>
      </c>
      <c r="B6795" t="s">
        <v>148</v>
      </c>
      <c r="C6795" t="s">
        <v>161</v>
      </c>
      <c r="D6795" t="s">
        <v>290</v>
      </c>
      <c r="E6795" t="s">
        <v>419</v>
      </c>
      <c r="F6795">
        <f>HYPERLINK("https://www.wikidata.org/wiki/Q33322771", "Q33322771")</f>
        <v>0</v>
      </c>
      <c r="G6795" t="s">
        <v>3449</v>
      </c>
      <c r="H6795" t="s">
        <v>7823</v>
      </c>
      <c r="I6795" t="s">
        <v>5528</v>
      </c>
      <c r="J6795" t="s">
        <v>13985</v>
      </c>
      <c r="K6795" t="s">
        <v>18421</v>
      </c>
      <c r="L6795">
        <f>HYPERLINK("https://www2.assemblee-nationale.fr/sycomore/fiche/(num_dept)/3411", "3411")</f>
        <v>0</v>
      </c>
      <c r="M6795">
        <f>HYPERLINK("https://www.senat.fr/senateur-3eme-republique/gillot_leon1209r3.html", "gillot_leon1209r3")</f>
        <v>0</v>
      </c>
      <c r="N6795">
        <f>HYPERLINK("https://www.wikidata.org/wiki/Q3270992", "Q3270992")</f>
        <v>0</v>
      </c>
      <c r="O6795" t="s">
        <v>19994</v>
      </c>
      <c r="P6795" t="s">
        <v>20402</v>
      </c>
      <c r="Q6795" t="s">
        <v>20840</v>
      </c>
      <c r="R6795" t="s">
        <v>21572</v>
      </c>
      <c r="S6795">
        <v>639</v>
      </c>
    </row>
    <row r="6796" spans="1:19">
      <c r="A6796" t="s">
        <v>29</v>
      </c>
      <c r="B6796" t="s">
        <v>148</v>
      </c>
      <c r="C6796" t="s">
        <v>161</v>
      </c>
      <c r="D6796" t="s">
        <v>290</v>
      </c>
      <c r="E6796" t="s">
        <v>419</v>
      </c>
      <c r="F6796">
        <f>HYPERLINK("https://www.wikidata.org/wiki/Q33322771", "Q33322771")</f>
        <v>0</v>
      </c>
      <c r="G6796" t="s">
        <v>3705</v>
      </c>
      <c r="H6796" t="s">
        <v>5856</v>
      </c>
      <c r="I6796" t="s">
        <v>9440</v>
      </c>
      <c r="J6796" t="s">
        <v>14280</v>
      </c>
      <c r="K6796" t="s">
        <v>18638</v>
      </c>
      <c r="L6796">
        <f>HYPERLINK("https://www2.assemblee-nationale.fr/sycomore/fiche/(num_dept)/3426", "3426")</f>
        <v>0</v>
      </c>
      <c r="N6796">
        <f>HYPERLINK("https://www.wikidata.org/wiki/Q16025774", "Q16025774")</f>
        <v>0</v>
      </c>
      <c r="O6796" t="s">
        <v>20005</v>
      </c>
      <c r="P6796" t="s">
        <v>20402</v>
      </c>
      <c r="Q6796" t="s">
        <v>20840</v>
      </c>
      <c r="R6796" t="s">
        <v>18638</v>
      </c>
      <c r="S6796">
        <v>809</v>
      </c>
    </row>
    <row r="6797" spans="1:19">
      <c r="A6797" t="s">
        <v>29</v>
      </c>
      <c r="B6797" t="s">
        <v>148</v>
      </c>
      <c r="C6797" t="s">
        <v>161</v>
      </c>
      <c r="D6797" t="s">
        <v>290</v>
      </c>
      <c r="E6797" t="s">
        <v>419</v>
      </c>
      <c r="F6797">
        <f>HYPERLINK("https://www.wikidata.org/wiki/Q33322771", "Q33322771")</f>
        <v>0</v>
      </c>
      <c r="G6797" t="s">
        <v>3781</v>
      </c>
      <c r="H6797" t="s">
        <v>8074</v>
      </c>
      <c r="I6797" t="s">
        <v>9391</v>
      </c>
      <c r="J6797" t="s">
        <v>14351</v>
      </c>
      <c r="K6797" t="s">
        <v>18703</v>
      </c>
      <c r="L6797">
        <f>HYPERLINK("https://www2.assemblee-nationale.fr/sycomore/fiche/(num_dept)/3497", "3497")</f>
        <v>0</v>
      </c>
      <c r="N6797">
        <f>HYPERLINK("https://www.wikidata.org/wiki/Q7124392", "Q7124392")</f>
        <v>0</v>
      </c>
      <c r="O6797" t="s">
        <v>20032</v>
      </c>
      <c r="P6797" t="s">
        <v>20477</v>
      </c>
      <c r="Q6797" t="s">
        <v>20840</v>
      </c>
      <c r="R6797" t="s">
        <v>419</v>
      </c>
      <c r="S6797">
        <v>1483</v>
      </c>
    </row>
    <row r="6798" spans="1:19">
      <c r="A6798" t="s">
        <v>29</v>
      </c>
      <c r="B6798" t="s">
        <v>148</v>
      </c>
      <c r="C6798" t="s">
        <v>161</v>
      </c>
      <c r="D6798" t="s">
        <v>290</v>
      </c>
      <c r="E6798" t="s">
        <v>419</v>
      </c>
      <c r="F6798">
        <f>HYPERLINK("https://www.wikidata.org/wiki/Q33322771", "Q33322771")</f>
        <v>0</v>
      </c>
      <c r="G6798" t="s">
        <v>3782</v>
      </c>
      <c r="H6798" t="s">
        <v>5424</v>
      </c>
      <c r="I6798" t="s">
        <v>10973</v>
      </c>
      <c r="J6798" t="s">
        <v>14352</v>
      </c>
      <c r="K6798" t="s">
        <v>18704</v>
      </c>
      <c r="L6798">
        <f>HYPERLINK("https://www2.assemblee-nationale.fr/sycomore/fiche/(num_dept)/3502", "3502")</f>
        <v>0</v>
      </c>
      <c r="N6798">
        <f>HYPERLINK("https://www.wikidata.org/wiki/Q3526657", "Q3526657")</f>
        <v>0</v>
      </c>
      <c r="O6798" t="s">
        <v>19987</v>
      </c>
      <c r="P6798" t="s">
        <v>20479</v>
      </c>
      <c r="Q6798" t="s">
        <v>20840</v>
      </c>
      <c r="R6798" t="s">
        <v>18704</v>
      </c>
      <c r="S6798">
        <v>1424</v>
      </c>
    </row>
    <row r="6799" spans="1:19">
      <c r="A6799" t="s">
        <v>29</v>
      </c>
      <c r="B6799" t="s">
        <v>148</v>
      </c>
      <c r="C6799" t="s">
        <v>161</v>
      </c>
      <c r="D6799" t="s">
        <v>290</v>
      </c>
      <c r="E6799" t="s">
        <v>419</v>
      </c>
      <c r="F6799">
        <f>HYPERLINK("https://www.wikidata.org/wiki/Q33322771", "Q33322771")</f>
        <v>0</v>
      </c>
      <c r="G6799" t="s">
        <v>666</v>
      </c>
      <c r="H6799" t="s">
        <v>5425</v>
      </c>
      <c r="I6799" t="s">
        <v>9426</v>
      </c>
      <c r="J6799" t="s">
        <v>11416</v>
      </c>
      <c r="K6799" t="s">
        <v>15818</v>
      </c>
      <c r="L6799">
        <f>HYPERLINK("https://www2.assemblee-nationale.fr/sycomore/fiche/(num_dept)/3508", "3508")</f>
        <v>0</v>
      </c>
      <c r="N6799">
        <f>HYPERLINK("https://www.wikidata.org/wiki/Q13626920", "Q13626920")</f>
        <v>0</v>
      </c>
      <c r="O6799" t="s">
        <v>19965</v>
      </c>
      <c r="Q6799" t="s">
        <v>20840</v>
      </c>
      <c r="R6799" t="s">
        <v>419</v>
      </c>
      <c r="S6799">
        <v>1483</v>
      </c>
    </row>
    <row r="6800" spans="1:19">
      <c r="A6800" t="s">
        <v>29</v>
      </c>
      <c r="B6800" t="s">
        <v>148</v>
      </c>
      <c r="C6800" t="s">
        <v>161</v>
      </c>
      <c r="D6800" t="s">
        <v>290</v>
      </c>
      <c r="E6800" t="s">
        <v>419</v>
      </c>
      <c r="F6800">
        <f>HYPERLINK("https://www.wikidata.org/wiki/Q33322771", "Q33322771")</f>
        <v>0</v>
      </c>
      <c r="G6800" t="s">
        <v>668</v>
      </c>
      <c r="H6800" t="s">
        <v>5427</v>
      </c>
      <c r="I6800" t="s">
        <v>6175</v>
      </c>
      <c r="J6800" t="s">
        <v>11418</v>
      </c>
      <c r="K6800" t="s">
        <v>15820</v>
      </c>
      <c r="L6800">
        <f>HYPERLINK("https://www2.assemblee-nationale.fr/sycomore/fiche/(num_dept)/3542", "3542")</f>
        <v>0</v>
      </c>
      <c r="M6800">
        <f>HYPERLINK("https://www.senat.fr/senateur-3eme-republique/de_grandmaison_georges1070r3.html", "de_grandmaison_georges1070r3")</f>
        <v>0</v>
      </c>
      <c r="N6800">
        <f>HYPERLINK("https://www.wikidata.org/wiki/Q3103201", "Q3103201")</f>
        <v>0</v>
      </c>
      <c r="O6800" t="s">
        <v>19980</v>
      </c>
      <c r="Q6800" t="s">
        <v>20840</v>
      </c>
      <c r="R6800" t="s">
        <v>419</v>
      </c>
      <c r="S6800">
        <v>1483</v>
      </c>
    </row>
    <row r="6801" spans="1:19">
      <c r="A6801" t="s">
        <v>29</v>
      </c>
      <c r="B6801" t="s">
        <v>148</v>
      </c>
      <c r="C6801" t="s">
        <v>161</v>
      </c>
      <c r="D6801" t="s">
        <v>290</v>
      </c>
      <c r="E6801" t="s">
        <v>419</v>
      </c>
      <c r="F6801">
        <f>HYPERLINK("https://www.wikidata.org/wiki/Q33322771", "Q33322771")</f>
        <v>0</v>
      </c>
      <c r="G6801" t="s">
        <v>2484</v>
      </c>
      <c r="H6801" t="s">
        <v>7057</v>
      </c>
      <c r="I6801" t="s">
        <v>10237</v>
      </c>
      <c r="J6801" t="s">
        <v>13128</v>
      </c>
      <c r="K6801" t="s">
        <v>17538</v>
      </c>
      <c r="L6801">
        <f>HYPERLINK("https://www2.assemblee-nationale.fr/sycomore/fiche/(num_dept)/3559", "3559")</f>
        <v>0</v>
      </c>
      <c r="N6801">
        <f>HYPERLINK("https://www.wikidata.org/wiki/Q16025808", "Q16025808")</f>
        <v>0</v>
      </c>
      <c r="O6801" t="s">
        <v>19968</v>
      </c>
      <c r="P6801" t="s">
        <v>20401</v>
      </c>
      <c r="Q6801" t="s">
        <v>20840</v>
      </c>
      <c r="R6801" t="s">
        <v>17538</v>
      </c>
      <c r="S6801">
        <v>878</v>
      </c>
    </row>
    <row r="6802" spans="1:19">
      <c r="A6802" t="s">
        <v>29</v>
      </c>
      <c r="B6802" t="s">
        <v>148</v>
      </c>
      <c r="C6802" t="s">
        <v>161</v>
      </c>
      <c r="D6802" t="s">
        <v>290</v>
      </c>
      <c r="E6802" t="s">
        <v>419</v>
      </c>
      <c r="F6802">
        <f>HYPERLINK("https://www.wikidata.org/wiki/Q33322771", "Q33322771")</f>
        <v>0</v>
      </c>
      <c r="G6802" t="s">
        <v>3784</v>
      </c>
      <c r="H6802" t="s">
        <v>7829</v>
      </c>
      <c r="I6802" t="s">
        <v>10974</v>
      </c>
      <c r="J6802" t="s">
        <v>14354</v>
      </c>
      <c r="K6802" t="s">
        <v>18706</v>
      </c>
      <c r="L6802">
        <f>HYPERLINK("https://www2.assemblee-nationale.fr/sycomore/fiche/(num_dept)/3608", "3608")</f>
        <v>0</v>
      </c>
      <c r="N6802">
        <f>HYPERLINK("https://www.wikidata.org/wiki/Q1118848", "Q1118848")</f>
        <v>0</v>
      </c>
      <c r="O6802" t="s">
        <v>19969</v>
      </c>
      <c r="P6802" t="s">
        <v>20477</v>
      </c>
      <c r="Q6802" t="s">
        <v>20840</v>
      </c>
      <c r="R6802" t="s">
        <v>419</v>
      </c>
      <c r="S6802">
        <v>1483</v>
      </c>
    </row>
    <row r="6803" spans="1:19">
      <c r="A6803" t="s">
        <v>29</v>
      </c>
      <c r="B6803" t="s">
        <v>148</v>
      </c>
      <c r="C6803" t="s">
        <v>161</v>
      </c>
      <c r="D6803" t="s">
        <v>290</v>
      </c>
      <c r="E6803" t="s">
        <v>419</v>
      </c>
      <c r="F6803">
        <f>HYPERLINK("https://www.wikidata.org/wiki/Q33322771", "Q33322771")</f>
        <v>0</v>
      </c>
      <c r="G6803" t="s">
        <v>969</v>
      </c>
      <c r="H6803" t="s">
        <v>5721</v>
      </c>
      <c r="I6803" t="s">
        <v>9453</v>
      </c>
      <c r="J6803" t="s">
        <v>11590</v>
      </c>
      <c r="K6803" t="s">
        <v>16111</v>
      </c>
      <c r="L6803">
        <f>HYPERLINK("https://www2.assemblee-nationale.fr/sycomore/fiche/(num_dept)/3609", "3609")</f>
        <v>0</v>
      </c>
      <c r="N6803">
        <f>HYPERLINK("https://www.wikidata.org/wiki/Q2865129", "Q2865129")</f>
        <v>0</v>
      </c>
      <c r="O6803" t="s">
        <v>19969</v>
      </c>
      <c r="Q6803" t="s">
        <v>20840</v>
      </c>
      <c r="R6803" t="s">
        <v>419</v>
      </c>
      <c r="S6803">
        <v>1483</v>
      </c>
    </row>
    <row r="6804" spans="1:19">
      <c r="A6804" t="s">
        <v>29</v>
      </c>
      <c r="B6804" t="s">
        <v>148</v>
      </c>
      <c r="C6804" t="s">
        <v>161</v>
      </c>
      <c r="D6804" t="s">
        <v>290</v>
      </c>
      <c r="E6804" t="s">
        <v>419</v>
      </c>
      <c r="F6804">
        <f>HYPERLINK("https://www.wikidata.org/wiki/Q33322771", "Q33322771")</f>
        <v>0</v>
      </c>
      <c r="G6804" t="s">
        <v>3706</v>
      </c>
      <c r="H6804" t="s">
        <v>6183</v>
      </c>
      <c r="I6804" t="s">
        <v>5528</v>
      </c>
      <c r="J6804" t="s">
        <v>14281</v>
      </c>
      <c r="K6804" t="s">
        <v>18639</v>
      </c>
      <c r="L6804">
        <f>HYPERLINK("https://www2.assemblee-nationale.fr/sycomore/fiche/(num_dept)/3628", "3628")</f>
        <v>0</v>
      </c>
      <c r="N6804">
        <f>HYPERLINK("https://www.wikidata.org/wiki/Q3271033", "Q3271033")</f>
        <v>0</v>
      </c>
      <c r="O6804" t="s">
        <v>19985</v>
      </c>
      <c r="P6804" t="s">
        <v>20401</v>
      </c>
      <c r="Q6804" t="s">
        <v>20840</v>
      </c>
      <c r="R6804" t="s">
        <v>18639</v>
      </c>
      <c r="S6804">
        <v>1261</v>
      </c>
    </row>
    <row r="6805" spans="1:19">
      <c r="A6805" t="s">
        <v>29</v>
      </c>
      <c r="B6805" t="s">
        <v>148</v>
      </c>
      <c r="C6805" t="s">
        <v>161</v>
      </c>
      <c r="D6805" t="s">
        <v>290</v>
      </c>
      <c r="E6805" t="s">
        <v>419</v>
      </c>
      <c r="F6805">
        <f>HYPERLINK("https://www.wikidata.org/wiki/Q33322771", "Q33322771")</f>
        <v>0</v>
      </c>
      <c r="G6805" t="s">
        <v>3914</v>
      </c>
      <c r="H6805" t="s">
        <v>8172</v>
      </c>
      <c r="I6805" t="s">
        <v>11025</v>
      </c>
      <c r="J6805" t="s">
        <v>14470</v>
      </c>
      <c r="K6805" t="s">
        <v>18819</v>
      </c>
      <c r="L6805">
        <f>HYPERLINK("https://www2.assemblee-nationale.fr/sycomore/fiche/(num_dept)/3646", "3646")</f>
        <v>0</v>
      </c>
      <c r="N6805">
        <f>HYPERLINK("https://www.wikidata.org/wiki/Q3165321", "Q3165321")</f>
        <v>0</v>
      </c>
      <c r="O6805" t="s">
        <v>20035</v>
      </c>
      <c r="P6805" t="s">
        <v>20479</v>
      </c>
      <c r="Q6805" t="s">
        <v>20840</v>
      </c>
      <c r="R6805" t="s">
        <v>419</v>
      </c>
      <c r="S6805">
        <v>1483</v>
      </c>
    </row>
    <row r="6806" spans="1:19">
      <c r="A6806" t="s">
        <v>29</v>
      </c>
      <c r="B6806" t="s">
        <v>148</v>
      </c>
      <c r="C6806" t="s">
        <v>161</v>
      </c>
      <c r="D6806" t="s">
        <v>290</v>
      </c>
      <c r="E6806" t="s">
        <v>419</v>
      </c>
      <c r="F6806">
        <f>HYPERLINK("https://www.wikidata.org/wiki/Q33322771", "Q33322771")</f>
        <v>0</v>
      </c>
      <c r="G6806" t="s">
        <v>3617</v>
      </c>
      <c r="H6806" t="s">
        <v>7959</v>
      </c>
      <c r="I6806" t="s">
        <v>9508</v>
      </c>
      <c r="J6806" t="s">
        <v>11328</v>
      </c>
      <c r="K6806" t="s">
        <v>18567</v>
      </c>
      <c r="L6806">
        <f>HYPERLINK("https://www2.assemblee-nationale.fr/sycomore/fiche/(num_dept)/3659", "3659")</f>
        <v>0</v>
      </c>
      <c r="N6806">
        <f>HYPERLINK("https://www.wikidata.org/wiki/Q3383454", "Q3383454")</f>
        <v>0</v>
      </c>
      <c r="O6806" t="s">
        <v>19961</v>
      </c>
      <c r="Q6806" t="s">
        <v>20840</v>
      </c>
      <c r="R6806" t="s">
        <v>419</v>
      </c>
      <c r="S6806">
        <v>1483</v>
      </c>
    </row>
    <row r="6807" spans="1:19">
      <c r="A6807" t="s">
        <v>29</v>
      </c>
      <c r="B6807" t="s">
        <v>148</v>
      </c>
      <c r="C6807" t="s">
        <v>161</v>
      </c>
      <c r="D6807" t="s">
        <v>290</v>
      </c>
      <c r="E6807" t="s">
        <v>419</v>
      </c>
      <c r="F6807">
        <f>HYPERLINK("https://www.wikidata.org/wiki/Q33322771", "Q33322771")</f>
        <v>0</v>
      </c>
      <c r="G6807" t="s">
        <v>3862</v>
      </c>
      <c r="H6807" t="s">
        <v>8132</v>
      </c>
      <c r="I6807" t="s">
        <v>9401</v>
      </c>
      <c r="J6807" t="s">
        <v>14421</v>
      </c>
      <c r="K6807" t="s">
        <v>18774</v>
      </c>
      <c r="L6807">
        <f>HYPERLINK("https://www2.assemblee-nationale.fr/sycomore/fiche/(num_dept)/3668", "3668")</f>
        <v>0</v>
      </c>
      <c r="N6807">
        <f>HYPERLINK("https://www.wikidata.org/wiki/Q3074087", "Q3074087")</f>
        <v>0</v>
      </c>
      <c r="O6807" t="s">
        <v>20013</v>
      </c>
      <c r="Q6807" t="s">
        <v>20840</v>
      </c>
      <c r="R6807" t="s">
        <v>419</v>
      </c>
      <c r="S6807">
        <v>1483</v>
      </c>
    </row>
    <row r="6808" spans="1:19">
      <c r="A6808" t="s">
        <v>29</v>
      </c>
      <c r="B6808" t="s">
        <v>148</v>
      </c>
      <c r="C6808" t="s">
        <v>161</v>
      </c>
      <c r="D6808" t="s">
        <v>290</v>
      </c>
      <c r="E6808" t="s">
        <v>419</v>
      </c>
      <c r="F6808">
        <f>HYPERLINK("https://www.wikidata.org/wiki/Q33322771", "Q33322771")</f>
        <v>0</v>
      </c>
      <c r="G6808" t="s">
        <v>3619</v>
      </c>
      <c r="H6808" t="s">
        <v>7960</v>
      </c>
      <c r="I6808" t="s">
        <v>9470</v>
      </c>
      <c r="J6808" t="s">
        <v>14201</v>
      </c>
      <c r="K6808" t="s">
        <v>18568</v>
      </c>
      <c r="L6808">
        <f>HYPERLINK("https://www2.assemblee-nationale.fr/sycomore/fiche/(num_dept)/3675", "3675")</f>
        <v>0</v>
      </c>
      <c r="N6808">
        <f>HYPERLINK("https://www.wikidata.org/wiki/Q16025829", "Q16025829")</f>
        <v>0</v>
      </c>
      <c r="O6808" t="s">
        <v>19972</v>
      </c>
      <c r="P6808" t="s">
        <v>20402</v>
      </c>
      <c r="Q6808" t="s">
        <v>20840</v>
      </c>
      <c r="R6808" t="s">
        <v>419</v>
      </c>
      <c r="S6808">
        <v>1483</v>
      </c>
    </row>
    <row r="6809" spans="1:19">
      <c r="A6809" t="s">
        <v>29</v>
      </c>
      <c r="B6809" t="s">
        <v>148</v>
      </c>
      <c r="C6809" t="s">
        <v>161</v>
      </c>
      <c r="D6809" t="s">
        <v>290</v>
      </c>
      <c r="E6809" t="s">
        <v>419</v>
      </c>
      <c r="F6809">
        <f>HYPERLINK("https://www.wikidata.org/wiki/Q33322771", "Q33322771")</f>
        <v>0</v>
      </c>
      <c r="G6809" t="s">
        <v>3255</v>
      </c>
      <c r="H6809" t="s">
        <v>7675</v>
      </c>
      <c r="I6809" t="s">
        <v>6200</v>
      </c>
      <c r="J6809" t="s">
        <v>13872</v>
      </c>
      <c r="K6809" t="s">
        <v>18243</v>
      </c>
      <c r="L6809">
        <f>HYPERLINK("https://www2.assemblee-nationale.fr/sycomore/fiche/(num_dept)/3714", "3714")</f>
        <v>0</v>
      </c>
      <c r="N6809">
        <f>HYPERLINK("https://www.wikidata.org/wiki/Q3172111", "Q3172111")</f>
        <v>0</v>
      </c>
      <c r="O6809" t="s">
        <v>20005</v>
      </c>
      <c r="Q6809" t="s">
        <v>20840</v>
      </c>
      <c r="R6809" t="s">
        <v>419</v>
      </c>
      <c r="S6809">
        <v>1483</v>
      </c>
    </row>
    <row r="6810" spans="1:19">
      <c r="A6810" t="s">
        <v>29</v>
      </c>
      <c r="B6810" t="s">
        <v>148</v>
      </c>
      <c r="C6810" t="s">
        <v>161</v>
      </c>
      <c r="D6810" t="s">
        <v>290</v>
      </c>
      <c r="E6810" t="s">
        <v>419</v>
      </c>
      <c r="F6810">
        <f>HYPERLINK("https://www.wikidata.org/wiki/Q33322771", "Q33322771")</f>
        <v>0</v>
      </c>
      <c r="G6810" t="s">
        <v>1488</v>
      </c>
      <c r="H6810" t="s">
        <v>6186</v>
      </c>
      <c r="I6810" t="s">
        <v>9523</v>
      </c>
      <c r="J6810" t="s">
        <v>12207</v>
      </c>
      <c r="K6810" t="s">
        <v>16612</v>
      </c>
      <c r="L6810">
        <f>HYPERLINK("https://www2.assemblee-nationale.fr/sycomore/fiche/(num_dept)/3716", "3716")</f>
        <v>0</v>
      </c>
      <c r="N6810">
        <f>HYPERLINK("https://www.wikidata.org/wiki/Q3289018", "Q3289018")</f>
        <v>0</v>
      </c>
      <c r="O6810" t="s">
        <v>19976</v>
      </c>
      <c r="Q6810" t="s">
        <v>20840</v>
      </c>
      <c r="R6810" t="s">
        <v>13061</v>
      </c>
      <c r="S6810">
        <v>1030</v>
      </c>
    </row>
    <row r="6811" spans="1:19">
      <c r="A6811" t="s">
        <v>29</v>
      </c>
      <c r="B6811" t="s">
        <v>148</v>
      </c>
      <c r="C6811" t="s">
        <v>161</v>
      </c>
      <c r="D6811" t="s">
        <v>290</v>
      </c>
      <c r="E6811" t="s">
        <v>419</v>
      </c>
      <c r="F6811">
        <f>HYPERLINK("https://www.wikidata.org/wiki/Q33322771", "Q33322771")</f>
        <v>0</v>
      </c>
      <c r="G6811" t="s">
        <v>677</v>
      </c>
      <c r="H6811" t="s">
        <v>5436</v>
      </c>
      <c r="I6811" t="s">
        <v>9477</v>
      </c>
      <c r="J6811" t="s">
        <v>11427</v>
      </c>
      <c r="K6811" t="s">
        <v>15828</v>
      </c>
      <c r="L6811">
        <f>HYPERLINK("https://www2.assemblee-nationale.fr/sycomore/fiche/(num_dept)/3731", "3731")</f>
        <v>0</v>
      </c>
      <c r="N6811">
        <f>HYPERLINK("https://www.wikidata.org/wiki/Q3301571", "Q3301571")</f>
        <v>0</v>
      </c>
      <c r="O6811" t="s">
        <v>19998</v>
      </c>
      <c r="Q6811" t="s">
        <v>20840</v>
      </c>
      <c r="R6811" t="s">
        <v>419</v>
      </c>
      <c r="S6811">
        <v>1483</v>
      </c>
    </row>
    <row r="6812" spans="1:19">
      <c r="A6812" t="s">
        <v>29</v>
      </c>
      <c r="B6812" t="s">
        <v>148</v>
      </c>
      <c r="C6812" t="s">
        <v>161</v>
      </c>
      <c r="D6812" t="s">
        <v>290</v>
      </c>
      <c r="E6812" t="s">
        <v>419</v>
      </c>
      <c r="F6812">
        <f>HYPERLINK("https://www.wikidata.org/wiki/Q33322771", "Q33322771")</f>
        <v>0</v>
      </c>
      <c r="G6812" t="s">
        <v>3707</v>
      </c>
      <c r="H6812" t="s">
        <v>8022</v>
      </c>
      <c r="I6812" t="s">
        <v>10943</v>
      </c>
      <c r="J6812" t="s">
        <v>14282</v>
      </c>
      <c r="K6812" t="s">
        <v>18640</v>
      </c>
      <c r="L6812">
        <f>HYPERLINK("https://www2.assemblee-nationale.fr/sycomore/fiche/(num_dept)/3754", "3754")</f>
        <v>0</v>
      </c>
      <c r="N6812">
        <f>HYPERLINK("https://www.wikidata.org/wiki/Q15263187", "Q15263187")</f>
        <v>0</v>
      </c>
      <c r="O6812" t="s">
        <v>19970</v>
      </c>
      <c r="P6812" t="s">
        <v>20479</v>
      </c>
      <c r="Q6812" t="s">
        <v>20840</v>
      </c>
      <c r="R6812" t="s">
        <v>419</v>
      </c>
      <c r="S6812">
        <v>1483</v>
      </c>
    </row>
    <row r="6813" spans="1:19">
      <c r="A6813" t="s">
        <v>29</v>
      </c>
      <c r="B6813" t="s">
        <v>148</v>
      </c>
      <c r="C6813" t="s">
        <v>161</v>
      </c>
      <c r="D6813" t="s">
        <v>290</v>
      </c>
      <c r="E6813" t="s">
        <v>419</v>
      </c>
      <c r="F6813">
        <f>HYPERLINK("https://www.wikidata.org/wiki/Q33322771", "Q33322771")</f>
        <v>0</v>
      </c>
      <c r="G6813" t="s">
        <v>680</v>
      </c>
      <c r="H6813" t="s">
        <v>5439</v>
      </c>
      <c r="I6813" t="s">
        <v>6495</v>
      </c>
      <c r="J6813" t="s">
        <v>11430</v>
      </c>
      <c r="K6813" t="s">
        <v>15831</v>
      </c>
      <c r="L6813">
        <f>HYPERLINK("https://www2.assemblee-nationale.fr/sycomore/fiche/(num_dept)/3790", "3790")</f>
        <v>0</v>
      </c>
      <c r="M6813">
        <f>HYPERLINK("https://www.senat.fr/senateur-3eme-republique/hemon_louis0801r3.html", "hemon_louis0801r3")</f>
        <v>0</v>
      </c>
      <c r="N6813">
        <f>HYPERLINK("https://www.wikidata.org/wiki/Q3262222", "Q3262222")</f>
        <v>0</v>
      </c>
      <c r="O6813" t="s">
        <v>20011</v>
      </c>
      <c r="Q6813" t="s">
        <v>20840</v>
      </c>
      <c r="R6813" t="s">
        <v>419</v>
      </c>
      <c r="S6813">
        <v>1483</v>
      </c>
    </row>
    <row r="6814" spans="1:19">
      <c r="A6814" t="s">
        <v>29</v>
      </c>
      <c r="B6814" t="s">
        <v>148</v>
      </c>
      <c r="C6814" t="s">
        <v>161</v>
      </c>
      <c r="D6814" t="s">
        <v>290</v>
      </c>
      <c r="E6814" t="s">
        <v>419</v>
      </c>
      <c r="F6814">
        <f>HYPERLINK("https://www.wikidata.org/wiki/Q33322771", "Q33322771")</f>
        <v>0</v>
      </c>
      <c r="G6814" t="s">
        <v>3915</v>
      </c>
      <c r="H6814" t="s">
        <v>8173</v>
      </c>
      <c r="I6814" t="s">
        <v>6495</v>
      </c>
      <c r="J6814" t="s">
        <v>14471</v>
      </c>
      <c r="K6814" t="s">
        <v>18820</v>
      </c>
      <c r="L6814">
        <f>HYPERLINK("https://www2.assemblee-nationale.fr/sycomore/fiche/(num_dept)/3799", "3799")</f>
        <v>0</v>
      </c>
      <c r="N6814">
        <f>HYPERLINK("https://www.wikidata.org/wiki/Q3262172", "Q3262172")</f>
        <v>0</v>
      </c>
      <c r="O6814" t="s">
        <v>19983</v>
      </c>
      <c r="P6814" t="s">
        <v>20401</v>
      </c>
      <c r="Q6814" t="s">
        <v>20840</v>
      </c>
      <c r="R6814" t="s">
        <v>419</v>
      </c>
      <c r="S6814">
        <v>1483</v>
      </c>
    </row>
    <row r="6815" spans="1:19">
      <c r="A6815" t="s">
        <v>29</v>
      </c>
      <c r="B6815" t="s">
        <v>148</v>
      </c>
      <c r="C6815" t="s">
        <v>161</v>
      </c>
      <c r="D6815" t="s">
        <v>290</v>
      </c>
      <c r="E6815" t="s">
        <v>419</v>
      </c>
      <c r="F6815">
        <f>HYPERLINK("https://www.wikidata.org/wiki/Q33322771", "Q33322771")</f>
        <v>0</v>
      </c>
      <c r="G6815" t="s">
        <v>3461</v>
      </c>
      <c r="H6815" t="s">
        <v>7834</v>
      </c>
      <c r="I6815" t="s">
        <v>9472</v>
      </c>
      <c r="J6815" t="s">
        <v>14063</v>
      </c>
      <c r="K6815" t="s">
        <v>18431</v>
      </c>
      <c r="L6815">
        <f>HYPERLINK("https://www2.assemblee-nationale.fr/sycomore/fiche/(num_dept)/3807", "3807")</f>
        <v>0</v>
      </c>
      <c r="N6815">
        <f>HYPERLINK("https://www.wikidata.org/wiki/Q7124799", "Q7124799")</f>
        <v>0</v>
      </c>
      <c r="O6815" t="s">
        <v>19986</v>
      </c>
      <c r="P6815" t="s">
        <v>20457</v>
      </c>
      <c r="Q6815" t="s">
        <v>20840</v>
      </c>
      <c r="R6815" t="s">
        <v>419</v>
      </c>
      <c r="S6815">
        <v>1483</v>
      </c>
    </row>
    <row r="6816" spans="1:19">
      <c r="A6816" t="s">
        <v>29</v>
      </c>
      <c r="B6816" t="s">
        <v>148</v>
      </c>
      <c r="C6816" t="s">
        <v>161</v>
      </c>
      <c r="D6816" t="s">
        <v>290</v>
      </c>
      <c r="E6816" t="s">
        <v>419</v>
      </c>
      <c r="F6816">
        <f>HYPERLINK("https://www.wikidata.org/wiki/Q33322771", "Q33322771")</f>
        <v>0</v>
      </c>
      <c r="G6816" t="s">
        <v>3916</v>
      </c>
      <c r="H6816" t="s">
        <v>5443</v>
      </c>
      <c r="I6816" t="s">
        <v>6495</v>
      </c>
      <c r="J6816" t="s">
        <v>14472</v>
      </c>
      <c r="K6816" t="s">
        <v>18821</v>
      </c>
      <c r="L6816">
        <f>HYPERLINK("https://www2.assemblee-nationale.fr/sycomore/fiche/(num_dept)/3839", "3839")</f>
        <v>0</v>
      </c>
      <c r="N6816">
        <f>HYPERLINK("https://www.wikidata.org/wiki/Q3262189", "Q3262189")</f>
        <v>0</v>
      </c>
      <c r="O6816" t="s">
        <v>19984</v>
      </c>
      <c r="P6816" t="s">
        <v>20479</v>
      </c>
      <c r="Q6816" t="s">
        <v>20840</v>
      </c>
      <c r="R6816" t="s">
        <v>18821</v>
      </c>
      <c r="S6816">
        <v>1137</v>
      </c>
    </row>
    <row r="6817" spans="1:19">
      <c r="A6817" t="s">
        <v>29</v>
      </c>
      <c r="B6817" t="s">
        <v>148</v>
      </c>
      <c r="C6817" t="s">
        <v>161</v>
      </c>
      <c r="D6817" t="s">
        <v>290</v>
      </c>
      <c r="E6817" t="s">
        <v>419</v>
      </c>
      <c r="F6817">
        <f>HYPERLINK("https://www.wikidata.org/wiki/Q33322771", "Q33322771")</f>
        <v>0</v>
      </c>
      <c r="G6817" t="s">
        <v>687</v>
      </c>
      <c r="H6817" t="s">
        <v>5445</v>
      </c>
      <c r="I6817" t="s">
        <v>9455</v>
      </c>
      <c r="J6817" t="s">
        <v>11437</v>
      </c>
      <c r="K6817" t="s">
        <v>15838</v>
      </c>
      <c r="L6817">
        <f>HYPERLINK("https://www2.assemblee-nationale.fr/sycomore/fiche/(num_dept)/3885", "3885")</f>
        <v>0</v>
      </c>
      <c r="M6817">
        <f>HYPERLINK("https://www.senat.fr/senateur-3eme-republique/hubert_lucien0176r3.html", "hubert_lucien0176r3")</f>
        <v>0</v>
      </c>
      <c r="N6817">
        <f>HYPERLINK("https://www.wikidata.org/wiki/Q2117075", "Q2117075")</f>
        <v>0</v>
      </c>
      <c r="O6817" t="s">
        <v>19959</v>
      </c>
      <c r="P6817" t="s">
        <v>20401</v>
      </c>
      <c r="Q6817" t="s">
        <v>20840</v>
      </c>
      <c r="R6817" t="s">
        <v>419</v>
      </c>
      <c r="S6817">
        <v>1483</v>
      </c>
    </row>
    <row r="6818" spans="1:19">
      <c r="A6818" t="s">
        <v>29</v>
      </c>
      <c r="B6818" t="s">
        <v>148</v>
      </c>
      <c r="C6818" t="s">
        <v>161</v>
      </c>
      <c r="D6818" t="s">
        <v>290</v>
      </c>
      <c r="E6818" t="s">
        <v>419</v>
      </c>
      <c r="F6818">
        <f>HYPERLINK("https://www.wikidata.org/wiki/Q33322771", "Q33322771")</f>
        <v>0</v>
      </c>
      <c r="G6818" t="s">
        <v>1181</v>
      </c>
      <c r="H6818" t="s">
        <v>5912</v>
      </c>
      <c r="I6818" t="s">
        <v>6860</v>
      </c>
      <c r="J6818" t="s">
        <v>11914</v>
      </c>
      <c r="K6818" t="s">
        <v>314</v>
      </c>
      <c r="L6818">
        <f>HYPERLINK("https://www2.assemblee-nationale.fr/sycomore/fiche/(num_dept)/3891", "3891")</f>
        <v>0</v>
      </c>
      <c r="N6818">
        <f>HYPERLINK("https://www.wikidata.org/wiki/Q16025855", "Q16025855")</f>
        <v>0</v>
      </c>
      <c r="O6818" t="s">
        <v>19966</v>
      </c>
      <c r="Q6818" t="s">
        <v>20840</v>
      </c>
      <c r="R6818" t="s">
        <v>419</v>
      </c>
      <c r="S6818">
        <v>1483</v>
      </c>
    </row>
    <row r="6819" spans="1:19">
      <c r="A6819" t="s">
        <v>29</v>
      </c>
      <c r="B6819" t="s">
        <v>148</v>
      </c>
      <c r="C6819" t="s">
        <v>161</v>
      </c>
      <c r="D6819" t="s">
        <v>290</v>
      </c>
      <c r="E6819" t="s">
        <v>419</v>
      </c>
      <c r="F6819">
        <f>HYPERLINK("https://www.wikidata.org/wiki/Q33322771", "Q33322771")</f>
        <v>0</v>
      </c>
      <c r="G6819" t="s">
        <v>3628</v>
      </c>
      <c r="H6819" t="s">
        <v>7965</v>
      </c>
      <c r="I6819" t="s">
        <v>9989</v>
      </c>
      <c r="J6819" t="s">
        <v>14209</v>
      </c>
      <c r="K6819" t="s">
        <v>18575</v>
      </c>
      <c r="L6819">
        <f>HYPERLINK("https://www2.assemblee-nationale.fr/sycomore/fiche/(num_dept)/3940", "3940")</f>
        <v>0</v>
      </c>
      <c r="N6819">
        <f>HYPERLINK("https://www.wikidata.org/wiki/Q3579900", "Q3579900")</f>
        <v>0</v>
      </c>
      <c r="O6819" t="s">
        <v>19992</v>
      </c>
      <c r="Q6819" t="s">
        <v>20840</v>
      </c>
      <c r="R6819" t="s">
        <v>419</v>
      </c>
      <c r="S6819">
        <v>1483</v>
      </c>
    </row>
    <row r="6820" spans="1:19">
      <c r="A6820" t="s">
        <v>29</v>
      </c>
      <c r="B6820" t="s">
        <v>148</v>
      </c>
      <c r="C6820" t="s">
        <v>161</v>
      </c>
      <c r="D6820" t="s">
        <v>290</v>
      </c>
      <c r="E6820" t="s">
        <v>419</v>
      </c>
      <c r="F6820">
        <f>HYPERLINK("https://www.wikidata.org/wiki/Q33322771", "Q33322771")</f>
        <v>0</v>
      </c>
      <c r="G6820" t="s">
        <v>3566</v>
      </c>
      <c r="H6820" t="s">
        <v>7919</v>
      </c>
      <c r="I6820" t="s">
        <v>9421</v>
      </c>
      <c r="J6820" t="s">
        <v>14155</v>
      </c>
      <c r="K6820" t="s">
        <v>18522</v>
      </c>
      <c r="L6820">
        <f>HYPERLINK("https://www2.assemblee-nationale.fr/sycomore/fiche/(num_dept)/3941", "3941")</f>
        <v>0</v>
      </c>
      <c r="N6820">
        <f>HYPERLINK("https://www.wikidata.org/wiki/Q3121216", "Q3121216")</f>
        <v>0</v>
      </c>
      <c r="O6820" t="s">
        <v>19971</v>
      </c>
      <c r="Q6820" t="s">
        <v>20840</v>
      </c>
      <c r="R6820" t="s">
        <v>18522</v>
      </c>
      <c r="S6820">
        <v>1436</v>
      </c>
    </row>
    <row r="6821" spans="1:19">
      <c r="A6821" t="s">
        <v>29</v>
      </c>
      <c r="B6821" t="s">
        <v>148</v>
      </c>
      <c r="C6821" t="s">
        <v>161</v>
      </c>
      <c r="D6821" t="s">
        <v>290</v>
      </c>
      <c r="E6821" t="s">
        <v>419</v>
      </c>
      <c r="F6821">
        <f>HYPERLINK("https://www.wikidata.org/wiki/Q33322771", "Q33322771")</f>
        <v>0</v>
      </c>
      <c r="G6821" t="s">
        <v>3917</v>
      </c>
      <c r="H6821" t="s">
        <v>8174</v>
      </c>
      <c r="I6821" t="s">
        <v>9407</v>
      </c>
      <c r="J6821" t="s">
        <v>14473</v>
      </c>
      <c r="K6821" t="s">
        <v>18822</v>
      </c>
      <c r="L6821">
        <f>HYPERLINK("https://www2.assemblee-nationale.fr/sycomore/fiche/(num_dept)/3954", "3954")</f>
        <v>0</v>
      </c>
      <c r="N6821">
        <f>HYPERLINK("https://www.wikidata.org/wiki/Q2365307", "Q2365307")</f>
        <v>0</v>
      </c>
      <c r="O6821" t="s">
        <v>19961</v>
      </c>
      <c r="P6821" t="s">
        <v>20402</v>
      </c>
      <c r="Q6821" t="s">
        <v>20840</v>
      </c>
      <c r="R6821" t="s">
        <v>419</v>
      </c>
      <c r="S6821">
        <v>1483</v>
      </c>
    </row>
    <row r="6822" spans="1:19">
      <c r="A6822" t="s">
        <v>29</v>
      </c>
      <c r="B6822" t="s">
        <v>148</v>
      </c>
      <c r="C6822" t="s">
        <v>161</v>
      </c>
      <c r="D6822" t="s">
        <v>290</v>
      </c>
      <c r="E6822" t="s">
        <v>419</v>
      </c>
      <c r="F6822">
        <f>HYPERLINK("https://www.wikidata.org/wiki/Q33322771", "Q33322771")</f>
        <v>0</v>
      </c>
      <c r="G6822" t="s">
        <v>3463</v>
      </c>
      <c r="H6822" t="s">
        <v>7836</v>
      </c>
      <c r="I6822" t="s">
        <v>6584</v>
      </c>
      <c r="J6822" t="s">
        <v>14065</v>
      </c>
      <c r="K6822" t="s">
        <v>18009</v>
      </c>
      <c r="L6822">
        <f>HYPERLINK("https://www2.assemblee-nationale.fr/sycomore/fiche/(num_dept)/3963", "3963")</f>
        <v>0</v>
      </c>
      <c r="N6822">
        <f>HYPERLINK("https://www.wikidata.org/wiki/Q2831269", "Q2831269")</f>
        <v>0</v>
      </c>
      <c r="O6822" t="s">
        <v>19964</v>
      </c>
      <c r="Q6822" t="s">
        <v>20840</v>
      </c>
      <c r="R6822" t="s">
        <v>419</v>
      </c>
      <c r="S6822">
        <v>1483</v>
      </c>
    </row>
    <row r="6823" spans="1:19">
      <c r="A6823" t="s">
        <v>29</v>
      </c>
      <c r="B6823" t="s">
        <v>148</v>
      </c>
      <c r="C6823" t="s">
        <v>161</v>
      </c>
      <c r="D6823" t="s">
        <v>290</v>
      </c>
      <c r="E6823" t="s">
        <v>419</v>
      </c>
      <c r="F6823">
        <f>HYPERLINK("https://www.wikidata.org/wiki/Q33322771", "Q33322771")</f>
        <v>0</v>
      </c>
      <c r="G6823" t="s">
        <v>3918</v>
      </c>
      <c r="H6823" t="s">
        <v>8175</v>
      </c>
      <c r="I6823" t="s">
        <v>7790</v>
      </c>
      <c r="J6823" t="s">
        <v>14474</v>
      </c>
      <c r="K6823" t="s">
        <v>18823</v>
      </c>
      <c r="L6823">
        <f>HYPERLINK("https://www2.assemblee-nationale.fr/sycomore/fiche/(num_dept)/3969", "3969")</f>
        <v>0</v>
      </c>
      <c r="N6823">
        <f>HYPERLINK("https://www.wikidata.org/wiki/Q2861874", "Q2861874")</f>
        <v>0</v>
      </c>
      <c r="O6823" t="s">
        <v>19995</v>
      </c>
      <c r="P6823" t="s">
        <v>20495</v>
      </c>
      <c r="Q6823" t="s">
        <v>20840</v>
      </c>
      <c r="R6823" t="s">
        <v>419</v>
      </c>
      <c r="S6823">
        <v>1483</v>
      </c>
    </row>
    <row r="6824" spans="1:19">
      <c r="A6824" t="s">
        <v>29</v>
      </c>
      <c r="B6824" t="s">
        <v>148</v>
      </c>
      <c r="C6824" t="s">
        <v>161</v>
      </c>
      <c r="D6824" t="s">
        <v>290</v>
      </c>
      <c r="E6824" t="s">
        <v>419</v>
      </c>
      <c r="F6824">
        <f>HYPERLINK("https://www.wikidata.org/wiki/Q33322771", "Q33322771")</f>
        <v>0</v>
      </c>
      <c r="G6824" t="s">
        <v>3464</v>
      </c>
      <c r="H6824" t="s">
        <v>7837</v>
      </c>
      <c r="I6824" t="s">
        <v>9449</v>
      </c>
      <c r="J6824" t="s">
        <v>13900</v>
      </c>
      <c r="K6824" t="s">
        <v>18433</v>
      </c>
      <c r="L6824">
        <f>HYPERLINK("https://www2.assemblee-nationale.fr/sycomore/fiche/(num_dept)/3984", "3984")</f>
        <v>0</v>
      </c>
      <c r="N6824">
        <f>HYPERLINK("https://www.wikidata.org/wiki/Q1266110", "Q1266110")</f>
        <v>0</v>
      </c>
      <c r="O6824" t="s">
        <v>20032</v>
      </c>
      <c r="P6824" t="s">
        <v>20479</v>
      </c>
      <c r="Q6824" t="s">
        <v>20840</v>
      </c>
      <c r="R6824" t="s">
        <v>419</v>
      </c>
      <c r="S6824">
        <v>1483</v>
      </c>
    </row>
    <row r="6825" spans="1:19">
      <c r="A6825" t="s">
        <v>29</v>
      </c>
      <c r="B6825" t="s">
        <v>148</v>
      </c>
      <c r="C6825" t="s">
        <v>161</v>
      </c>
      <c r="D6825" t="s">
        <v>290</v>
      </c>
      <c r="E6825" t="s">
        <v>419</v>
      </c>
      <c r="F6825">
        <f>HYPERLINK("https://www.wikidata.org/wiki/Q33322771", "Q33322771")</f>
        <v>0</v>
      </c>
      <c r="G6825" t="s">
        <v>3657</v>
      </c>
      <c r="H6825" t="s">
        <v>7987</v>
      </c>
      <c r="I6825" t="s">
        <v>7790</v>
      </c>
      <c r="J6825" t="s">
        <v>14237</v>
      </c>
      <c r="K6825" t="s">
        <v>18597</v>
      </c>
      <c r="L6825">
        <f>HYPERLINK("https://www2.assemblee-nationale.fr/sycomore/fiche/(num_dept)/3998", "3998")</f>
        <v>0</v>
      </c>
      <c r="N6825">
        <f>HYPERLINK("https://www.wikidata.org/wiki/Q2861876", "Q2861876")</f>
        <v>0</v>
      </c>
      <c r="O6825" t="s">
        <v>20011</v>
      </c>
      <c r="Q6825" t="s">
        <v>20840</v>
      </c>
      <c r="R6825" t="s">
        <v>18597</v>
      </c>
      <c r="S6825">
        <v>1195</v>
      </c>
    </row>
    <row r="6826" spans="1:19">
      <c r="A6826" t="s">
        <v>29</v>
      </c>
      <c r="B6826" t="s">
        <v>148</v>
      </c>
      <c r="C6826" t="s">
        <v>161</v>
      </c>
      <c r="D6826" t="s">
        <v>290</v>
      </c>
      <c r="E6826" t="s">
        <v>419</v>
      </c>
      <c r="F6826">
        <f>HYPERLINK("https://www.wikidata.org/wiki/Q33322771", "Q33322771")</f>
        <v>0</v>
      </c>
      <c r="G6826" t="s">
        <v>692</v>
      </c>
      <c r="H6826" t="s">
        <v>5450</v>
      </c>
      <c r="I6826" t="s">
        <v>9385</v>
      </c>
      <c r="J6826" t="s">
        <v>11442</v>
      </c>
      <c r="K6826" t="s">
        <v>15843</v>
      </c>
      <c r="L6826">
        <f>HYPERLINK("https://www2.assemblee-nationale.fr/sycomore/fiche/(num_dept)/4047", "4047")</f>
        <v>0</v>
      </c>
      <c r="M6826">
        <f>HYPERLINK("https://www.senat.fr/senateur-3eme-republique/jonnart_celestin0975r3.html", "jonnart_celestin0975r3")</f>
        <v>0</v>
      </c>
      <c r="N6826">
        <f>HYPERLINK("https://www.wikidata.org/wiki/Q212634", "Q212634")</f>
        <v>0</v>
      </c>
      <c r="O6826" t="s">
        <v>19968</v>
      </c>
      <c r="Q6826" t="s">
        <v>20840</v>
      </c>
      <c r="R6826" t="s">
        <v>419</v>
      </c>
      <c r="S6826">
        <v>1483</v>
      </c>
    </row>
    <row r="6827" spans="1:19">
      <c r="A6827" t="s">
        <v>29</v>
      </c>
      <c r="B6827" t="s">
        <v>148</v>
      </c>
      <c r="C6827" t="s">
        <v>161</v>
      </c>
      <c r="D6827" t="s">
        <v>290</v>
      </c>
      <c r="E6827" t="s">
        <v>419</v>
      </c>
      <c r="F6827">
        <f>HYPERLINK("https://www.wikidata.org/wiki/Q33322771", "Q33322771")</f>
        <v>0</v>
      </c>
      <c r="G6827" t="s">
        <v>3845</v>
      </c>
      <c r="H6827" t="s">
        <v>8121</v>
      </c>
      <c r="I6827" t="s">
        <v>9385</v>
      </c>
      <c r="J6827" t="s">
        <v>14405</v>
      </c>
      <c r="K6827" t="s">
        <v>18590</v>
      </c>
      <c r="L6827">
        <f>HYPERLINK("https://www2.assemblee-nationale.fr/sycomore/fiche/(num_dept)/4056", "4056")</f>
        <v>0</v>
      </c>
      <c r="N6827">
        <f>HYPERLINK("https://www.wikidata.org/wiki/Q16025877", "Q16025877")</f>
        <v>0</v>
      </c>
      <c r="O6827" t="s">
        <v>19988</v>
      </c>
      <c r="Q6827" t="s">
        <v>20840</v>
      </c>
      <c r="R6827" t="s">
        <v>419</v>
      </c>
      <c r="S6827">
        <v>1483</v>
      </c>
    </row>
    <row r="6828" spans="1:19">
      <c r="A6828" t="s">
        <v>29</v>
      </c>
      <c r="B6828" t="s">
        <v>148</v>
      </c>
      <c r="C6828" t="s">
        <v>161</v>
      </c>
      <c r="D6828" t="s">
        <v>290</v>
      </c>
      <c r="E6828" t="s">
        <v>419</v>
      </c>
      <c r="F6828">
        <f>HYPERLINK("https://www.wikidata.org/wiki/Q33322771", "Q33322771")</f>
        <v>0</v>
      </c>
      <c r="G6828" t="s">
        <v>3351</v>
      </c>
      <c r="H6828" t="s">
        <v>7751</v>
      </c>
      <c r="I6828" t="s">
        <v>6495</v>
      </c>
      <c r="J6828" t="s">
        <v>13963</v>
      </c>
      <c r="K6828" t="s">
        <v>18333</v>
      </c>
      <c r="L6828">
        <f>HYPERLINK("https://www2.assemblee-nationale.fr/sycomore/fiche/(num_dept)/4072", "4072")</f>
        <v>0</v>
      </c>
      <c r="N6828">
        <f>HYPERLINK("https://www.wikidata.org/wiki/Q3262379", "Q3262379")</f>
        <v>0</v>
      </c>
      <c r="O6828" t="s">
        <v>20004</v>
      </c>
      <c r="Q6828" t="s">
        <v>20840</v>
      </c>
      <c r="R6828" t="s">
        <v>419</v>
      </c>
      <c r="S6828">
        <v>1483</v>
      </c>
    </row>
    <row r="6829" spans="1:19">
      <c r="A6829" t="s">
        <v>29</v>
      </c>
      <c r="B6829" t="s">
        <v>148</v>
      </c>
      <c r="C6829" t="s">
        <v>161</v>
      </c>
      <c r="D6829" t="s">
        <v>290</v>
      </c>
      <c r="E6829" t="s">
        <v>419</v>
      </c>
      <c r="F6829">
        <f>HYPERLINK("https://www.wikidata.org/wiki/Q33322771", "Q33322771")</f>
        <v>0</v>
      </c>
      <c r="G6829" t="s">
        <v>3569</v>
      </c>
      <c r="H6829" t="s">
        <v>7921</v>
      </c>
      <c r="I6829" t="s">
        <v>9401</v>
      </c>
      <c r="J6829" t="s">
        <v>14158</v>
      </c>
      <c r="K6829" t="s">
        <v>18525</v>
      </c>
      <c r="L6829">
        <f>HYPERLINK("https://www2.assemblee-nationale.fr/sycomore/fiche/(num_dept)/4073", "4073")</f>
        <v>0</v>
      </c>
      <c r="N6829">
        <f>HYPERLINK("https://www.wikidata.org/wiki/Q16025881", "Q16025881")</f>
        <v>0</v>
      </c>
      <c r="O6829" t="s">
        <v>19987</v>
      </c>
      <c r="Q6829" t="s">
        <v>20840</v>
      </c>
      <c r="R6829" t="s">
        <v>419</v>
      </c>
      <c r="S6829">
        <v>1483</v>
      </c>
    </row>
    <row r="6830" spans="1:19">
      <c r="A6830" t="s">
        <v>29</v>
      </c>
      <c r="B6830" t="s">
        <v>148</v>
      </c>
      <c r="C6830" t="s">
        <v>161</v>
      </c>
      <c r="D6830" t="s">
        <v>290</v>
      </c>
      <c r="E6830" t="s">
        <v>419</v>
      </c>
      <c r="F6830">
        <f>HYPERLINK("https://www.wikidata.org/wiki/Q33322771", "Q33322771")</f>
        <v>0</v>
      </c>
      <c r="G6830" t="s">
        <v>3352</v>
      </c>
      <c r="H6830" t="s">
        <v>7752</v>
      </c>
      <c r="I6830" t="s">
        <v>10787</v>
      </c>
      <c r="J6830" t="s">
        <v>13964</v>
      </c>
      <c r="K6830" t="s">
        <v>18334</v>
      </c>
      <c r="L6830">
        <f>HYPERLINK("https://www2.assemblee-nationale.fr/sycomore/fiche/(num_dept)/4101", "4101")</f>
        <v>0</v>
      </c>
      <c r="N6830">
        <f>HYPERLINK("https://www.wikidata.org/wiki/Q16025888", "Q16025888")</f>
        <v>0</v>
      </c>
      <c r="O6830" t="s">
        <v>19995</v>
      </c>
      <c r="Q6830" t="s">
        <v>20840</v>
      </c>
      <c r="R6830" t="s">
        <v>419</v>
      </c>
      <c r="S6830">
        <v>1483</v>
      </c>
    </row>
    <row r="6831" spans="1:19">
      <c r="A6831" t="s">
        <v>29</v>
      </c>
      <c r="B6831" t="s">
        <v>148</v>
      </c>
      <c r="C6831" t="s">
        <v>161</v>
      </c>
      <c r="D6831" t="s">
        <v>290</v>
      </c>
      <c r="E6831" t="s">
        <v>419</v>
      </c>
      <c r="F6831">
        <f>HYPERLINK("https://www.wikidata.org/wiki/Q33322771", "Q33322771")</f>
        <v>0</v>
      </c>
      <c r="G6831" t="s">
        <v>3919</v>
      </c>
      <c r="H6831" t="s">
        <v>8176</v>
      </c>
      <c r="I6831" t="s">
        <v>10997</v>
      </c>
      <c r="J6831" t="s">
        <v>14475</v>
      </c>
      <c r="K6831" t="s">
        <v>18824</v>
      </c>
      <c r="L6831">
        <f>HYPERLINK("https://www2.assemblee-nationale.fr/sycomore/fiche/(num_dept)/4121", "4121")</f>
        <v>0</v>
      </c>
      <c r="N6831">
        <f>HYPERLINK("https://www.wikidata.org/wiki/Q16025889", "Q16025889")</f>
        <v>0</v>
      </c>
      <c r="O6831" t="s">
        <v>20017</v>
      </c>
      <c r="Q6831" t="s">
        <v>20840</v>
      </c>
      <c r="R6831" t="s">
        <v>419</v>
      </c>
      <c r="S6831">
        <v>1483</v>
      </c>
    </row>
    <row r="6832" spans="1:19">
      <c r="A6832" t="s">
        <v>29</v>
      </c>
      <c r="B6832" t="s">
        <v>148</v>
      </c>
      <c r="C6832" t="s">
        <v>161</v>
      </c>
      <c r="D6832" t="s">
        <v>290</v>
      </c>
      <c r="E6832" t="s">
        <v>419</v>
      </c>
      <c r="F6832">
        <f>HYPERLINK("https://www.wikidata.org/wiki/Q33322771", "Q33322771")</f>
        <v>0</v>
      </c>
      <c r="G6832" t="s">
        <v>3467</v>
      </c>
      <c r="H6832" t="s">
        <v>7840</v>
      </c>
      <c r="I6832" t="s">
        <v>10838</v>
      </c>
      <c r="J6832" t="s">
        <v>14068</v>
      </c>
      <c r="K6832" t="s">
        <v>18436</v>
      </c>
      <c r="L6832">
        <f>HYPERLINK("https://www2.assemblee-nationale.fr/sycomore/fiche/(num_dept)/4130", "4130")</f>
        <v>0</v>
      </c>
      <c r="N6832">
        <f>HYPERLINK("https://www.wikidata.org/wiki/Q3161253", "Q3161253")</f>
        <v>0</v>
      </c>
      <c r="O6832" t="s">
        <v>20011</v>
      </c>
      <c r="Q6832" t="s">
        <v>20840</v>
      </c>
      <c r="R6832" t="s">
        <v>419</v>
      </c>
      <c r="S6832">
        <v>1483</v>
      </c>
    </row>
    <row r="6833" spans="1:19">
      <c r="A6833" t="s">
        <v>29</v>
      </c>
      <c r="B6833" t="s">
        <v>148</v>
      </c>
      <c r="C6833" t="s">
        <v>161</v>
      </c>
      <c r="D6833" t="s">
        <v>290</v>
      </c>
      <c r="E6833" t="s">
        <v>419</v>
      </c>
      <c r="F6833">
        <f>HYPERLINK("https://www.wikidata.org/wiki/Q33322771", "Q33322771")</f>
        <v>0</v>
      </c>
      <c r="G6833" t="s">
        <v>3920</v>
      </c>
      <c r="H6833" t="s">
        <v>8177</v>
      </c>
      <c r="I6833" t="s">
        <v>9612</v>
      </c>
      <c r="J6833" t="s">
        <v>14476</v>
      </c>
      <c r="K6833" t="s">
        <v>18825</v>
      </c>
      <c r="L6833">
        <f>HYPERLINK("https://www2.assemblee-nationale.fr/sycomore/fiche/(num_dept)/4133", "4133")</f>
        <v>0</v>
      </c>
      <c r="M6833">
        <f>HYPERLINK("https://www.senat.fr/senateur-3eme-republique/de_kerouartz_frederic0577r3.html", "de_kerouartz_frederic0577r3")</f>
        <v>0</v>
      </c>
      <c r="N6833">
        <f>HYPERLINK("https://www.wikidata.org/wiki/Q3090311", "Q3090311")</f>
        <v>0</v>
      </c>
      <c r="O6833" t="s">
        <v>19964</v>
      </c>
      <c r="Q6833" t="s">
        <v>20840</v>
      </c>
      <c r="R6833" t="s">
        <v>419</v>
      </c>
      <c r="S6833">
        <v>1483</v>
      </c>
    </row>
    <row r="6834" spans="1:19">
      <c r="A6834" t="s">
        <v>29</v>
      </c>
      <c r="B6834" t="s">
        <v>148</v>
      </c>
      <c r="C6834" t="s">
        <v>161</v>
      </c>
      <c r="D6834" t="s">
        <v>290</v>
      </c>
      <c r="E6834" t="s">
        <v>419</v>
      </c>
      <c r="F6834">
        <f>HYPERLINK("https://www.wikidata.org/wiki/Q33322771", "Q33322771")</f>
        <v>0</v>
      </c>
      <c r="G6834" t="s">
        <v>696</v>
      </c>
      <c r="H6834" t="s">
        <v>5454</v>
      </c>
      <c r="I6834" t="s">
        <v>9484</v>
      </c>
      <c r="J6834" t="s">
        <v>11446</v>
      </c>
      <c r="K6834" t="s">
        <v>15847</v>
      </c>
      <c r="L6834">
        <f>HYPERLINK("https://www2.assemblee-nationale.fr/sycomore/fiche/(num_dept)/4148", "4148")</f>
        <v>0</v>
      </c>
      <c r="M6834">
        <f>HYPERLINK("https://www.senat.fr/senateur-3eme-republique/klotz_louis1683r3.html", "klotz_louis1683r3")</f>
        <v>0</v>
      </c>
      <c r="N6834">
        <f>HYPERLINK("https://www.wikidata.org/wiki/Q179586", "Q179586")</f>
        <v>0</v>
      </c>
      <c r="O6834" t="s">
        <v>20012</v>
      </c>
      <c r="Q6834" t="s">
        <v>20840</v>
      </c>
      <c r="R6834" t="s">
        <v>419</v>
      </c>
      <c r="S6834">
        <v>1483</v>
      </c>
    </row>
    <row r="6835" spans="1:19">
      <c r="A6835" t="s">
        <v>29</v>
      </c>
      <c r="B6835" t="s">
        <v>148</v>
      </c>
      <c r="C6835" t="s">
        <v>161</v>
      </c>
      <c r="D6835" t="s">
        <v>290</v>
      </c>
      <c r="E6835" t="s">
        <v>419</v>
      </c>
      <c r="F6835">
        <f>HYPERLINK("https://www.wikidata.org/wiki/Q33322771", "Q33322771")</f>
        <v>0</v>
      </c>
      <c r="G6835" t="s">
        <v>3637</v>
      </c>
      <c r="H6835" t="s">
        <v>7970</v>
      </c>
      <c r="I6835" t="s">
        <v>9506</v>
      </c>
      <c r="J6835" t="s">
        <v>14217</v>
      </c>
      <c r="K6835" t="s">
        <v>18581</v>
      </c>
      <c r="L6835">
        <f>HYPERLINK("https://www2.assemblee-nationale.fr/sycomore/fiche/(num_dept)/4153", "4153")</f>
        <v>0</v>
      </c>
      <c r="N6835">
        <f>HYPERLINK("https://www.wikidata.org/wiki/Q2934973", "Q2934973")</f>
        <v>0</v>
      </c>
      <c r="O6835" t="s">
        <v>20017</v>
      </c>
      <c r="P6835" t="s">
        <v>20479</v>
      </c>
      <c r="Q6835" t="s">
        <v>20840</v>
      </c>
      <c r="R6835" t="s">
        <v>419</v>
      </c>
      <c r="S6835">
        <v>1483</v>
      </c>
    </row>
    <row r="6836" spans="1:19">
      <c r="A6836" t="s">
        <v>29</v>
      </c>
      <c r="B6836" t="s">
        <v>148</v>
      </c>
      <c r="C6836" t="s">
        <v>161</v>
      </c>
      <c r="D6836" t="s">
        <v>290</v>
      </c>
      <c r="E6836" t="s">
        <v>419</v>
      </c>
      <c r="F6836">
        <f>HYPERLINK("https://www.wikidata.org/wiki/Q33322771", "Q33322771")</f>
        <v>0</v>
      </c>
      <c r="G6836" t="s">
        <v>697</v>
      </c>
      <c r="H6836" t="s">
        <v>5455</v>
      </c>
      <c r="I6836" t="s">
        <v>9485</v>
      </c>
      <c r="J6836" t="s">
        <v>11447</v>
      </c>
      <c r="K6836" t="s">
        <v>15848</v>
      </c>
      <c r="L6836">
        <f>HYPERLINK("https://www2.assemblee-nationale.fr/sycomore/fiche/(num_dept)/4166", "4166")</f>
        <v>0</v>
      </c>
      <c r="N6836">
        <f>HYPERLINK("https://www.wikidata.org/wiki/Q3455687", "Q3455687")</f>
        <v>0</v>
      </c>
      <c r="O6836" t="s">
        <v>19961</v>
      </c>
      <c r="Q6836" t="s">
        <v>20840</v>
      </c>
      <c r="R6836" t="s">
        <v>419</v>
      </c>
      <c r="S6836">
        <v>1483</v>
      </c>
    </row>
    <row r="6837" spans="1:19">
      <c r="A6837" t="s">
        <v>29</v>
      </c>
      <c r="B6837" t="s">
        <v>148</v>
      </c>
      <c r="C6837" t="s">
        <v>161</v>
      </c>
      <c r="D6837" t="s">
        <v>290</v>
      </c>
      <c r="E6837" t="s">
        <v>419</v>
      </c>
      <c r="F6837">
        <f>HYPERLINK("https://www.wikidata.org/wiki/Q33322771", "Q33322771")</f>
        <v>0</v>
      </c>
      <c r="G6837" t="s">
        <v>698</v>
      </c>
      <c r="H6837" t="s">
        <v>5456</v>
      </c>
      <c r="I6837" t="s">
        <v>9421</v>
      </c>
      <c r="J6837" t="s">
        <v>11448</v>
      </c>
      <c r="K6837" t="s">
        <v>15849</v>
      </c>
      <c r="L6837">
        <f>HYPERLINK("https://www2.assemblee-nationale.fr/sycomore/fiche/(num_dept)/4168", "4168")</f>
        <v>0</v>
      </c>
      <c r="M6837">
        <f>HYPERLINK("https://www.senat.fr/senateur-3eme-republique/lhopiteau_gustave0772r3.html", "lhopiteau_gustave0772r3")</f>
        <v>0</v>
      </c>
      <c r="N6837">
        <f>HYPERLINK("https://www.wikidata.org/wiki/Q3121244", "Q3121244")</f>
        <v>0</v>
      </c>
      <c r="O6837" t="s">
        <v>19971</v>
      </c>
      <c r="Q6837" t="s">
        <v>20840</v>
      </c>
      <c r="R6837" t="s">
        <v>419</v>
      </c>
      <c r="S6837">
        <v>1483</v>
      </c>
    </row>
    <row r="6838" spans="1:19">
      <c r="A6838" t="s">
        <v>29</v>
      </c>
      <c r="B6838" t="s">
        <v>148</v>
      </c>
      <c r="C6838" t="s">
        <v>161</v>
      </c>
      <c r="D6838" t="s">
        <v>290</v>
      </c>
      <c r="E6838" t="s">
        <v>419</v>
      </c>
      <c r="F6838">
        <f>HYPERLINK("https://www.wikidata.org/wiki/Q33322771", "Q33322771")</f>
        <v>0</v>
      </c>
      <c r="G6838" t="s">
        <v>699</v>
      </c>
      <c r="H6838" t="s">
        <v>5457</v>
      </c>
      <c r="I6838" t="s">
        <v>9376</v>
      </c>
      <c r="J6838" t="s">
        <v>11449</v>
      </c>
      <c r="K6838" t="s">
        <v>15850</v>
      </c>
      <c r="L6838">
        <f>HYPERLINK("https://www2.assemblee-nationale.fr/sycomore/fiche/(num_dept)/4171", "4171")</f>
        <v>0</v>
      </c>
      <c r="M6838">
        <f>HYPERLINK("https://www.senat.fr/senateur-3eme-republique/de_la_batut_ferdinand0668r3.html", "de_la_batut_ferdinand0668r3")</f>
        <v>0</v>
      </c>
      <c r="N6838">
        <f>HYPERLINK("https://www.wikidata.org/wiki/Q3068680", "Q3068680")</f>
        <v>0</v>
      </c>
      <c r="O6838" t="s">
        <v>20010</v>
      </c>
      <c r="Q6838" t="s">
        <v>20840</v>
      </c>
      <c r="R6838" t="s">
        <v>419</v>
      </c>
      <c r="S6838">
        <v>1483</v>
      </c>
    </row>
    <row r="6839" spans="1:19">
      <c r="A6839" t="s">
        <v>29</v>
      </c>
      <c r="B6839" t="s">
        <v>148</v>
      </c>
      <c r="C6839" t="s">
        <v>161</v>
      </c>
      <c r="D6839" t="s">
        <v>290</v>
      </c>
      <c r="E6839" t="s">
        <v>419</v>
      </c>
      <c r="F6839">
        <f>HYPERLINK("https://www.wikidata.org/wiki/Q33322771", "Q33322771")</f>
        <v>0</v>
      </c>
      <c r="G6839" t="s">
        <v>3071</v>
      </c>
      <c r="H6839" t="s">
        <v>7522</v>
      </c>
      <c r="I6839" t="s">
        <v>9500</v>
      </c>
      <c r="J6839" t="s">
        <v>13695</v>
      </c>
      <c r="K6839" t="s">
        <v>18078</v>
      </c>
      <c r="L6839">
        <f>HYPERLINK("https://www2.assemblee-nationale.fr/sycomore/fiche/(num_dept)/4172", "4172")</f>
        <v>0</v>
      </c>
      <c r="M6839">
        <f>HYPERLINK("https://www.senat.fr/senateur-3eme-republique/de_la_bourdonnaye_raoul1062r3.html", "de_la_bourdonnaye_raoul1062r3")</f>
        <v>0</v>
      </c>
      <c r="N6839">
        <f>HYPERLINK("https://www.wikidata.org/wiki/Q3292518", "Q3292518")</f>
        <v>0</v>
      </c>
      <c r="O6839" t="s">
        <v>19980</v>
      </c>
      <c r="Q6839" t="s">
        <v>20840</v>
      </c>
      <c r="R6839" t="s">
        <v>419</v>
      </c>
      <c r="S6839">
        <v>1483</v>
      </c>
    </row>
    <row r="6840" spans="1:19">
      <c r="A6840" t="s">
        <v>29</v>
      </c>
      <c r="B6840" t="s">
        <v>148</v>
      </c>
      <c r="C6840" t="s">
        <v>161</v>
      </c>
      <c r="D6840" t="s">
        <v>290</v>
      </c>
      <c r="E6840" t="s">
        <v>419</v>
      </c>
      <c r="F6840">
        <f>HYPERLINK("https://www.wikidata.org/wiki/Q33322771", "Q33322771")</f>
        <v>0</v>
      </c>
      <c r="G6840" t="s">
        <v>3138</v>
      </c>
      <c r="H6840" t="s">
        <v>5458</v>
      </c>
      <c r="I6840" t="s">
        <v>10654</v>
      </c>
      <c r="J6840" t="s">
        <v>13760</v>
      </c>
      <c r="K6840" t="s">
        <v>18137</v>
      </c>
      <c r="L6840">
        <f>HYPERLINK("https://www2.assemblee-nationale.fr/sycomore/fiche/(num_dept)/4178", "4178")</f>
        <v>0</v>
      </c>
      <c r="N6840">
        <f>HYPERLINK("https://www.wikidata.org/wiki/Q3131569", "Q3131569")</f>
        <v>0</v>
      </c>
      <c r="O6840" t="s">
        <v>20023</v>
      </c>
      <c r="Q6840" t="s">
        <v>20840</v>
      </c>
      <c r="R6840" t="s">
        <v>419</v>
      </c>
      <c r="S6840">
        <v>1483</v>
      </c>
    </row>
    <row r="6841" spans="1:19">
      <c r="A6841" t="s">
        <v>29</v>
      </c>
      <c r="B6841" t="s">
        <v>148</v>
      </c>
      <c r="C6841" t="s">
        <v>161</v>
      </c>
      <c r="D6841" t="s">
        <v>290</v>
      </c>
      <c r="E6841" t="s">
        <v>419</v>
      </c>
      <c r="F6841">
        <f>HYPERLINK("https://www.wikidata.org/wiki/Q33322771", "Q33322771")</f>
        <v>0</v>
      </c>
      <c r="G6841" t="s">
        <v>2606</v>
      </c>
      <c r="H6841" t="s">
        <v>7155</v>
      </c>
      <c r="I6841" t="s">
        <v>9440</v>
      </c>
      <c r="J6841" t="s">
        <v>13249</v>
      </c>
      <c r="K6841" t="s">
        <v>17651</v>
      </c>
      <c r="L6841">
        <f>HYPERLINK("https://www2.assemblee-nationale.fr/sycomore/fiche/(num_dept)/4183", "4183")</f>
        <v>0</v>
      </c>
      <c r="N6841">
        <f>HYPERLINK("https://www.wikidata.org/wiki/Q2844734", "Q2844734")</f>
        <v>0</v>
      </c>
      <c r="O6841" t="s">
        <v>20021</v>
      </c>
      <c r="P6841" t="s">
        <v>20402</v>
      </c>
      <c r="Q6841" t="s">
        <v>20840</v>
      </c>
      <c r="R6841" t="s">
        <v>17651</v>
      </c>
      <c r="S6841">
        <v>763</v>
      </c>
    </row>
    <row r="6842" spans="1:19">
      <c r="A6842" t="s">
        <v>29</v>
      </c>
      <c r="B6842" t="s">
        <v>148</v>
      </c>
      <c r="C6842" t="s">
        <v>161</v>
      </c>
      <c r="D6842" t="s">
        <v>290</v>
      </c>
      <c r="E6842" t="s">
        <v>419</v>
      </c>
      <c r="F6842">
        <f>HYPERLINK("https://www.wikidata.org/wiki/Q33322771", "Q33322771")</f>
        <v>0</v>
      </c>
      <c r="G6842" t="s">
        <v>3793</v>
      </c>
      <c r="H6842" t="s">
        <v>7159</v>
      </c>
      <c r="I6842" t="s">
        <v>9389</v>
      </c>
      <c r="J6842" t="s">
        <v>14362</v>
      </c>
      <c r="K6842" t="s">
        <v>18712</v>
      </c>
      <c r="L6842">
        <f>HYPERLINK("https://www2.assemblee-nationale.fr/sycomore/fiche/(num_dept)/4211", "4211")</f>
        <v>0</v>
      </c>
      <c r="N6842">
        <f>HYPERLINK("https://www.wikidata.org/wiki/Q3588594", "Q3588594")</f>
        <v>0</v>
      </c>
      <c r="O6842" t="s">
        <v>19977</v>
      </c>
      <c r="Q6842" t="s">
        <v>20840</v>
      </c>
      <c r="R6842" t="s">
        <v>419</v>
      </c>
      <c r="S6842">
        <v>1483</v>
      </c>
    </row>
    <row r="6843" spans="1:19">
      <c r="A6843" t="s">
        <v>29</v>
      </c>
      <c r="B6843" t="s">
        <v>148</v>
      </c>
      <c r="C6843" t="s">
        <v>161</v>
      </c>
      <c r="D6843" t="s">
        <v>290</v>
      </c>
      <c r="E6843" t="s">
        <v>419</v>
      </c>
      <c r="F6843">
        <f>HYPERLINK("https://www.wikidata.org/wiki/Q33322771", "Q33322771")</f>
        <v>0</v>
      </c>
      <c r="G6843" t="s">
        <v>703</v>
      </c>
      <c r="H6843" t="s">
        <v>5461</v>
      </c>
      <c r="I6843" t="s">
        <v>9375</v>
      </c>
      <c r="J6843" t="s">
        <v>11453</v>
      </c>
      <c r="K6843" t="s">
        <v>15854</v>
      </c>
      <c r="L6843">
        <f>HYPERLINK("https://www2.assemblee-nationale.fr/sycomore/fiche/(num_dept)/4220", "4220")</f>
        <v>0</v>
      </c>
      <c r="N6843">
        <f>HYPERLINK("https://www.wikidata.org/wiki/Q16025910", "Q16025910")</f>
        <v>0</v>
      </c>
      <c r="O6843" t="s">
        <v>20020</v>
      </c>
      <c r="Q6843" t="s">
        <v>20840</v>
      </c>
      <c r="R6843" t="s">
        <v>419</v>
      </c>
      <c r="S6843">
        <v>1483</v>
      </c>
    </row>
    <row r="6844" spans="1:19">
      <c r="A6844" t="s">
        <v>29</v>
      </c>
      <c r="B6844" t="s">
        <v>148</v>
      </c>
      <c r="C6844" t="s">
        <v>161</v>
      </c>
      <c r="D6844" t="s">
        <v>290</v>
      </c>
      <c r="E6844" t="s">
        <v>419</v>
      </c>
      <c r="F6844">
        <f>HYPERLINK("https://www.wikidata.org/wiki/Q33322771", "Q33322771")</f>
        <v>0</v>
      </c>
      <c r="G6844" t="s">
        <v>707</v>
      </c>
      <c r="H6844" t="s">
        <v>5465</v>
      </c>
      <c r="I6844" t="s">
        <v>9453</v>
      </c>
      <c r="J6844" t="s">
        <v>11457</v>
      </c>
      <c r="K6844" t="s">
        <v>15858</v>
      </c>
      <c r="L6844">
        <f>HYPERLINK("https://www2.assemblee-nationale.fr/sycomore/fiche/(num_dept)/4312", "4312")</f>
        <v>0</v>
      </c>
      <c r="N6844">
        <f>HYPERLINK("https://www.wikidata.org/wiki/Q2865188", "Q2865188")</f>
        <v>0</v>
      </c>
      <c r="O6844" t="s">
        <v>19968</v>
      </c>
      <c r="Q6844" t="s">
        <v>20840</v>
      </c>
      <c r="R6844" t="s">
        <v>419</v>
      </c>
      <c r="S6844">
        <v>1483</v>
      </c>
    </row>
    <row r="6845" spans="1:19">
      <c r="A6845" t="s">
        <v>29</v>
      </c>
      <c r="B6845" t="s">
        <v>148</v>
      </c>
      <c r="C6845" t="s">
        <v>161</v>
      </c>
      <c r="D6845" t="s">
        <v>290</v>
      </c>
      <c r="E6845" t="s">
        <v>419</v>
      </c>
      <c r="F6845">
        <f>HYPERLINK("https://www.wikidata.org/wiki/Q33322771", "Q33322771")</f>
        <v>0</v>
      </c>
      <c r="G6845" t="s">
        <v>3921</v>
      </c>
      <c r="H6845" t="s">
        <v>8178</v>
      </c>
      <c r="I6845" t="s">
        <v>6860</v>
      </c>
      <c r="J6845" t="s">
        <v>14477</v>
      </c>
      <c r="K6845" t="s">
        <v>18826</v>
      </c>
      <c r="L6845">
        <f>HYPERLINK("https://www2.assemblee-nationale.fr/sycomore/fiche/(num_dept)/4334", "4334")</f>
        <v>0</v>
      </c>
      <c r="N6845">
        <f>HYPERLINK("https://www.wikidata.org/wiki/Q3382923", "Q3382923")</f>
        <v>0</v>
      </c>
      <c r="O6845" t="s">
        <v>19961</v>
      </c>
      <c r="Q6845" t="s">
        <v>20840</v>
      </c>
      <c r="R6845" t="s">
        <v>21577</v>
      </c>
      <c r="S6845">
        <v>211</v>
      </c>
    </row>
    <row r="6846" spans="1:19">
      <c r="A6846" t="s">
        <v>29</v>
      </c>
      <c r="B6846" t="s">
        <v>148</v>
      </c>
      <c r="C6846" t="s">
        <v>161</v>
      </c>
      <c r="D6846" t="s">
        <v>290</v>
      </c>
      <c r="E6846" t="s">
        <v>419</v>
      </c>
      <c r="F6846">
        <f>HYPERLINK("https://www.wikidata.org/wiki/Q33322771", "Q33322771")</f>
        <v>0</v>
      </c>
      <c r="G6846" t="s">
        <v>709</v>
      </c>
      <c r="H6846" t="s">
        <v>5467</v>
      </c>
      <c r="I6846" t="s">
        <v>9457</v>
      </c>
      <c r="J6846" t="s">
        <v>11267</v>
      </c>
      <c r="K6846" t="s">
        <v>15860</v>
      </c>
      <c r="L6846">
        <f>HYPERLINK("https://www2.assemblee-nationale.fr/sycomore/fiche/(num_dept)/4337", "4337")</f>
        <v>0</v>
      </c>
      <c r="N6846">
        <f>HYPERLINK("https://www.wikidata.org/wiki/Q3131419", "Q3131419")</f>
        <v>0</v>
      </c>
      <c r="O6846" t="s">
        <v>20009</v>
      </c>
      <c r="Q6846" t="s">
        <v>20840</v>
      </c>
      <c r="R6846" t="s">
        <v>419</v>
      </c>
      <c r="S6846">
        <v>1483</v>
      </c>
    </row>
    <row r="6847" spans="1:19">
      <c r="A6847" t="s">
        <v>29</v>
      </c>
      <c r="B6847" t="s">
        <v>148</v>
      </c>
      <c r="C6847" t="s">
        <v>161</v>
      </c>
      <c r="D6847" t="s">
        <v>290</v>
      </c>
      <c r="E6847" t="s">
        <v>419</v>
      </c>
      <c r="F6847">
        <f>HYPERLINK("https://www.wikidata.org/wiki/Q33322771", "Q33322771")</f>
        <v>0</v>
      </c>
      <c r="G6847" t="s">
        <v>711</v>
      </c>
      <c r="H6847" t="s">
        <v>5469</v>
      </c>
      <c r="I6847" t="s">
        <v>9492</v>
      </c>
      <c r="J6847" t="s">
        <v>11460</v>
      </c>
      <c r="K6847" t="s">
        <v>15862</v>
      </c>
      <c r="L6847">
        <f>HYPERLINK("https://www2.assemblee-nationale.fr/sycomore/fiche/(num_dept)/4341", "4341")</f>
        <v>0</v>
      </c>
      <c r="N6847">
        <f>HYPERLINK("https://www.wikidata.org/wiki/Q2825199", "Q2825199")</f>
        <v>0</v>
      </c>
      <c r="O6847" t="s">
        <v>20025</v>
      </c>
      <c r="Q6847" t="s">
        <v>20840</v>
      </c>
      <c r="R6847" t="s">
        <v>419</v>
      </c>
      <c r="S6847">
        <v>1483</v>
      </c>
    </row>
    <row r="6848" spans="1:19">
      <c r="A6848" t="s">
        <v>29</v>
      </c>
      <c r="B6848" t="s">
        <v>148</v>
      </c>
      <c r="C6848" t="s">
        <v>161</v>
      </c>
      <c r="D6848" t="s">
        <v>290</v>
      </c>
      <c r="E6848" t="s">
        <v>419</v>
      </c>
      <c r="F6848">
        <f>HYPERLINK("https://www.wikidata.org/wiki/Q33322771", "Q33322771")</f>
        <v>0</v>
      </c>
      <c r="G6848" t="s">
        <v>3080</v>
      </c>
      <c r="H6848" t="s">
        <v>6493</v>
      </c>
      <c r="I6848" t="s">
        <v>10616</v>
      </c>
      <c r="J6848" t="s">
        <v>13703</v>
      </c>
      <c r="K6848" t="s">
        <v>18086</v>
      </c>
      <c r="L6848">
        <f>HYPERLINK("https://www2.assemblee-nationale.fr/sycomore/fiche/(num_dept)/4363", "4363")</f>
        <v>0</v>
      </c>
      <c r="N6848">
        <f>HYPERLINK("https://www.wikidata.org/wiki/Q3047523", "Q3047523")</f>
        <v>0</v>
      </c>
      <c r="O6848" t="s">
        <v>20031</v>
      </c>
      <c r="Q6848" t="s">
        <v>20840</v>
      </c>
      <c r="R6848" t="s">
        <v>419</v>
      </c>
      <c r="S6848">
        <v>1483</v>
      </c>
    </row>
    <row r="6849" spans="1:19">
      <c r="A6849" t="s">
        <v>29</v>
      </c>
      <c r="B6849" t="s">
        <v>148</v>
      </c>
      <c r="C6849" t="s">
        <v>161</v>
      </c>
      <c r="D6849" t="s">
        <v>290</v>
      </c>
      <c r="E6849" t="s">
        <v>419</v>
      </c>
      <c r="F6849">
        <f>HYPERLINK("https://www.wikidata.org/wiki/Q33322771", "Q33322771")</f>
        <v>0</v>
      </c>
      <c r="G6849" t="s">
        <v>3714</v>
      </c>
      <c r="H6849" t="s">
        <v>7433</v>
      </c>
      <c r="I6849" t="s">
        <v>6860</v>
      </c>
      <c r="J6849" t="s">
        <v>14289</v>
      </c>
      <c r="K6849" t="s">
        <v>18646</v>
      </c>
      <c r="L6849">
        <f>HYPERLINK("https://www2.assemblee-nationale.fr/sycomore/fiche/(num_dept)/4367", "4367")</f>
        <v>0</v>
      </c>
      <c r="N6849">
        <f>HYPERLINK("https://www.wikidata.org/wiki/Q16025942", "Q16025942")</f>
        <v>0</v>
      </c>
      <c r="O6849" t="s">
        <v>19987</v>
      </c>
      <c r="P6849" t="s">
        <v>20479</v>
      </c>
      <c r="Q6849" t="s">
        <v>20840</v>
      </c>
      <c r="R6849" t="s">
        <v>419</v>
      </c>
      <c r="S6849">
        <v>1483</v>
      </c>
    </row>
    <row r="6850" spans="1:19">
      <c r="A6850" t="s">
        <v>29</v>
      </c>
      <c r="B6850" t="s">
        <v>148</v>
      </c>
      <c r="C6850" t="s">
        <v>161</v>
      </c>
      <c r="D6850" t="s">
        <v>290</v>
      </c>
      <c r="E6850" t="s">
        <v>419</v>
      </c>
      <c r="F6850">
        <f>HYPERLINK("https://www.wikidata.org/wiki/Q33322771", "Q33322771")</f>
        <v>0</v>
      </c>
      <c r="G6850" t="s">
        <v>3922</v>
      </c>
      <c r="H6850" t="s">
        <v>6494</v>
      </c>
      <c r="I6850" t="s">
        <v>9821</v>
      </c>
      <c r="J6850" t="s">
        <v>14478</v>
      </c>
      <c r="K6850" t="s">
        <v>18827</v>
      </c>
      <c r="L6850">
        <f>HYPERLINK("https://www2.assemblee-nationale.fr/sycomore/fiche/(num_dept)/4379", "4379")</f>
        <v>0</v>
      </c>
      <c r="N6850">
        <f>HYPERLINK("https://www.wikidata.org/wiki/Q16011445", "Q16011445")</f>
        <v>0</v>
      </c>
      <c r="O6850" t="s">
        <v>19959</v>
      </c>
      <c r="P6850" t="s">
        <v>20485</v>
      </c>
      <c r="Q6850" t="s">
        <v>20840</v>
      </c>
      <c r="R6850" t="s">
        <v>419</v>
      </c>
      <c r="S6850">
        <v>1483</v>
      </c>
    </row>
    <row r="6851" spans="1:19">
      <c r="A6851" t="s">
        <v>29</v>
      </c>
      <c r="B6851" t="s">
        <v>148</v>
      </c>
      <c r="C6851" t="s">
        <v>161</v>
      </c>
      <c r="D6851" t="s">
        <v>290</v>
      </c>
      <c r="E6851" t="s">
        <v>419</v>
      </c>
      <c r="F6851">
        <f>HYPERLINK("https://www.wikidata.org/wiki/Q33322771", "Q33322771")</f>
        <v>0</v>
      </c>
      <c r="G6851" t="s">
        <v>3613</v>
      </c>
      <c r="H6851" t="s">
        <v>6928</v>
      </c>
      <c r="I6851" t="s">
        <v>7642</v>
      </c>
      <c r="J6851" t="s">
        <v>14197</v>
      </c>
      <c r="K6851" t="s">
        <v>18563</v>
      </c>
      <c r="L6851">
        <f>HYPERLINK("https://www2.assemblee-nationale.fr/sycomore/fiche/(num_dept)/4384", "4384")</f>
        <v>0</v>
      </c>
      <c r="N6851">
        <f>HYPERLINK("https://www.wikidata.org/wiki/Q16025947", "Q16025947")</f>
        <v>0</v>
      </c>
      <c r="O6851" t="s">
        <v>20045</v>
      </c>
      <c r="Q6851" t="s">
        <v>20840</v>
      </c>
      <c r="R6851" t="s">
        <v>419</v>
      </c>
      <c r="S6851">
        <v>1483</v>
      </c>
    </row>
    <row r="6852" spans="1:19">
      <c r="A6852" t="s">
        <v>29</v>
      </c>
      <c r="B6852" t="s">
        <v>148</v>
      </c>
      <c r="C6852" t="s">
        <v>161</v>
      </c>
      <c r="D6852" t="s">
        <v>290</v>
      </c>
      <c r="E6852" t="s">
        <v>419</v>
      </c>
      <c r="F6852">
        <f>HYPERLINK("https://www.wikidata.org/wiki/Q33322771", "Q33322771")</f>
        <v>0</v>
      </c>
      <c r="G6852" t="s">
        <v>1095</v>
      </c>
      <c r="H6852" t="s">
        <v>5837</v>
      </c>
      <c r="I6852" t="s">
        <v>9385</v>
      </c>
      <c r="J6852" t="s">
        <v>11831</v>
      </c>
      <c r="K6852" t="s">
        <v>16231</v>
      </c>
      <c r="L6852">
        <f>HYPERLINK("https://www2.assemblee-nationale.fr/sycomore/fiche/(num_dept)/4812", "4812")</f>
        <v>0</v>
      </c>
      <c r="N6852">
        <f>HYPERLINK("https://www.wikidata.org/wiki/Q2959663", "Q2959663")</f>
        <v>0</v>
      </c>
      <c r="O6852" t="s">
        <v>19992</v>
      </c>
      <c r="Q6852" t="s">
        <v>20840</v>
      </c>
      <c r="R6852" t="s">
        <v>419</v>
      </c>
      <c r="S6852">
        <v>1483</v>
      </c>
    </row>
    <row r="6853" spans="1:19">
      <c r="A6853" t="s">
        <v>29</v>
      </c>
      <c r="B6853" t="s">
        <v>148</v>
      </c>
      <c r="C6853" t="s">
        <v>161</v>
      </c>
      <c r="D6853" t="s">
        <v>290</v>
      </c>
      <c r="E6853" t="s">
        <v>419</v>
      </c>
      <c r="F6853">
        <f>HYPERLINK("https://www.wikidata.org/wiki/Q33322771", "Q33322771")</f>
        <v>0</v>
      </c>
      <c r="G6853" t="s">
        <v>988</v>
      </c>
      <c r="H6853" t="s">
        <v>5740</v>
      </c>
      <c r="I6853" t="s">
        <v>9457</v>
      </c>
      <c r="J6853" t="s">
        <v>11726</v>
      </c>
      <c r="K6853" t="s">
        <v>16130</v>
      </c>
      <c r="L6853">
        <f>HYPERLINK("https://www2.assemblee-nationale.fr/sycomore/fiche/(num_dept)/4828", "4828")</f>
        <v>0</v>
      </c>
      <c r="N6853">
        <f>HYPERLINK("https://www.wikidata.org/wiki/Q16026012", "Q16026012")</f>
        <v>0</v>
      </c>
      <c r="O6853" t="s">
        <v>20034</v>
      </c>
      <c r="Q6853" t="s">
        <v>20840</v>
      </c>
      <c r="R6853" t="s">
        <v>419</v>
      </c>
      <c r="S6853">
        <v>1483</v>
      </c>
    </row>
    <row r="6854" spans="1:19">
      <c r="A6854" t="s">
        <v>29</v>
      </c>
      <c r="B6854" t="s">
        <v>148</v>
      </c>
      <c r="C6854" t="s">
        <v>161</v>
      </c>
      <c r="D6854" t="s">
        <v>290</v>
      </c>
      <c r="E6854" t="s">
        <v>419</v>
      </c>
      <c r="F6854">
        <f>HYPERLINK("https://www.wikidata.org/wiki/Q33322771", "Q33322771")</f>
        <v>0</v>
      </c>
      <c r="G6854" t="s">
        <v>716</v>
      </c>
      <c r="H6854" t="s">
        <v>5474</v>
      </c>
      <c r="I6854" t="s">
        <v>9495</v>
      </c>
      <c r="J6854" t="s">
        <v>11465</v>
      </c>
      <c r="K6854" t="s">
        <v>15867</v>
      </c>
      <c r="L6854">
        <f>HYPERLINK("https://www2.assemblee-nationale.fr/sycomore/fiche/(num_dept)/4868", "4868")</f>
        <v>0</v>
      </c>
      <c r="N6854">
        <f>HYPERLINK("https://www.wikidata.org/wiki/Q2862011", "Q2862011")</f>
        <v>0</v>
      </c>
      <c r="O6854" t="s">
        <v>19957</v>
      </c>
      <c r="P6854" t="s">
        <v>20460</v>
      </c>
      <c r="Q6854" t="s">
        <v>20840</v>
      </c>
      <c r="R6854" t="s">
        <v>419</v>
      </c>
      <c r="S6854">
        <v>1483</v>
      </c>
    </row>
    <row r="6855" spans="1:19">
      <c r="A6855" t="s">
        <v>29</v>
      </c>
      <c r="B6855" t="s">
        <v>148</v>
      </c>
      <c r="C6855" t="s">
        <v>161</v>
      </c>
      <c r="D6855" t="s">
        <v>290</v>
      </c>
      <c r="E6855" t="s">
        <v>419</v>
      </c>
      <c r="F6855">
        <f>HYPERLINK("https://www.wikidata.org/wiki/Q33322771", "Q33322771")</f>
        <v>0</v>
      </c>
      <c r="G6855" t="s">
        <v>2964</v>
      </c>
      <c r="H6855" t="s">
        <v>7434</v>
      </c>
      <c r="I6855" t="s">
        <v>6166</v>
      </c>
      <c r="J6855" t="s">
        <v>13596</v>
      </c>
      <c r="K6855" t="s">
        <v>17982</v>
      </c>
      <c r="L6855">
        <f>HYPERLINK("https://www2.assemblee-nationale.fr/sycomore/fiche/(num_dept)/4897", "4897")</f>
        <v>0</v>
      </c>
      <c r="N6855">
        <f>HYPERLINK("https://www.wikidata.org/wiki/Q962478", "Q962478")</f>
        <v>0</v>
      </c>
      <c r="O6855" t="s">
        <v>19963</v>
      </c>
      <c r="Q6855" t="s">
        <v>20840</v>
      </c>
      <c r="R6855" t="s">
        <v>419</v>
      </c>
      <c r="S6855">
        <v>1483</v>
      </c>
    </row>
    <row r="6856" spans="1:19">
      <c r="A6856" t="s">
        <v>29</v>
      </c>
      <c r="B6856" t="s">
        <v>148</v>
      </c>
      <c r="C6856" t="s">
        <v>161</v>
      </c>
      <c r="D6856" t="s">
        <v>290</v>
      </c>
      <c r="E6856" t="s">
        <v>419</v>
      </c>
      <c r="F6856">
        <f>HYPERLINK("https://www.wikidata.org/wiki/Q33322771", "Q33322771")</f>
        <v>0</v>
      </c>
      <c r="G6856" t="s">
        <v>3923</v>
      </c>
      <c r="H6856" t="s">
        <v>8179</v>
      </c>
      <c r="I6856" t="s">
        <v>11026</v>
      </c>
      <c r="J6856" t="s">
        <v>14479</v>
      </c>
      <c r="K6856" t="s">
        <v>18828</v>
      </c>
      <c r="L6856">
        <f>HYPERLINK("https://www2.assemblee-nationale.fr/sycomore/fiche/(num_dept)/4917", "4917")</f>
        <v>0</v>
      </c>
      <c r="N6856">
        <f>HYPERLINK("https://www.wikidata.org/wiki/Q16026030", "Q16026030")</f>
        <v>0</v>
      </c>
      <c r="O6856" t="s">
        <v>19955</v>
      </c>
      <c r="P6856" t="s">
        <v>20402</v>
      </c>
      <c r="Q6856" t="s">
        <v>20840</v>
      </c>
      <c r="R6856" t="s">
        <v>419</v>
      </c>
      <c r="S6856">
        <v>1483</v>
      </c>
    </row>
    <row r="6857" spans="1:19">
      <c r="A6857" t="s">
        <v>29</v>
      </c>
      <c r="B6857" t="s">
        <v>148</v>
      </c>
      <c r="C6857" t="s">
        <v>161</v>
      </c>
      <c r="D6857" t="s">
        <v>290</v>
      </c>
      <c r="E6857" t="s">
        <v>419</v>
      </c>
      <c r="F6857">
        <f>HYPERLINK("https://www.wikidata.org/wiki/Q33322771", "Q33322771")</f>
        <v>0</v>
      </c>
      <c r="G6857" t="s">
        <v>722</v>
      </c>
      <c r="H6857" t="s">
        <v>5480</v>
      </c>
      <c r="I6857" t="s">
        <v>9465</v>
      </c>
      <c r="J6857" t="s">
        <v>11471</v>
      </c>
      <c r="K6857" t="s">
        <v>15873</v>
      </c>
      <c r="L6857">
        <f>HYPERLINK("https://www2.assemblee-nationale.fr/sycomore/fiche/(num_dept)/4954", "4954")</f>
        <v>0</v>
      </c>
      <c r="M6857">
        <f>HYPERLINK("https://www.senat.fr/senateur-3eme-republique/mando_eugene0573r3.html", "mando_eugene0573r3")</f>
        <v>0</v>
      </c>
      <c r="N6857">
        <f>HYPERLINK("https://www.wikidata.org/wiki/Q3060013", "Q3060013")</f>
        <v>0</v>
      </c>
      <c r="O6857" t="s">
        <v>19964</v>
      </c>
      <c r="Q6857" t="s">
        <v>20840</v>
      </c>
      <c r="R6857" t="s">
        <v>419</v>
      </c>
      <c r="S6857">
        <v>1483</v>
      </c>
    </row>
    <row r="6858" spans="1:19">
      <c r="A6858" t="s">
        <v>29</v>
      </c>
      <c r="B6858" t="s">
        <v>148</v>
      </c>
      <c r="C6858" t="s">
        <v>161</v>
      </c>
      <c r="D6858" t="s">
        <v>290</v>
      </c>
      <c r="E6858" t="s">
        <v>419</v>
      </c>
      <c r="F6858">
        <f>HYPERLINK("https://www.wikidata.org/wiki/Q33322771", "Q33322771")</f>
        <v>0</v>
      </c>
      <c r="G6858" t="s">
        <v>3924</v>
      </c>
      <c r="H6858" t="s">
        <v>8180</v>
      </c>
      <c r="I6858" t="s">
        <v>10477</v>
      </c>
      <c r="J6858" t="s">
        <v>14219</v>
      </c>
      <c r="K6858" t="s">
        <v>18829</v>
      </c>
      <c r="L6858">
        <f>HYPERLINK("https://www2.assemblee-nationale.fr/sycomore/fiche/(num_dept)/4972", "4972")</f>
        <v>0</v>
      </c>
      <c r="N6858">
        <f>HYPERLINK("https://www.wikidata.org/wiki/Q19631250", "Q19631250")</f>
        <v>0</v>
      </c>
      <c r="O6858" t="s">
        <v>20000</v>
      </c>
      <c r="Q6858" t="s">
        <v>20840</v>
      </c>
      <c r="R6858" t="s">
        <v>419</v>
      </c>
      <c r="S6858">
        <v>1483</v>
      </c>
    </row>
    <row r="6859" spans="1:19">
      <c r="A6859" t="s">
        <v>29</v>
      </c>
      <c r="B6859" t="s">
        <v>148</v>
      </c>
      <c r="C6859" t="s">
        <v>161</v>
      </c>
      <c r="D6859" t="s">
        <v>290</v>
      </c>
      <c r="E6859" t="s">
        <v>419</v>
      </c>
      <c r="F6859">
        <f>HYPERLINK("https://www.wikidata.org/wiki/Q33322771", "Q33322771")</f>
        <v>0</v>
      </c>
      <c r="G6859" t="s">
        <v>2624</v>
      </c>
      <c r="H6859" t="s">
        <v>7171</v>
      </c>
      <c r="I6859" t="s">
        <v>6478</v>
      </c>
      <c r="J6859" t="s">
        <v>13267</v>
      </c>
      <c r="K6859" t="s">
        <v>17668</v>
      </c>
      <c r="L6859">
        <f>HYPERLINK("https://www2.assemblee-nationale.fr/sycomore/fiche/(num_dept)/4988", "4988")</f>
        <v>0</v>
      </c>
      <c r="N6859">
        <f>HYPERLINK("https://www.wikidata.org/wiki/Q3131564", "Q3131564")</f>
        <v>0</v>
      </c>
      <c r="O6859" t="s">
        <v>19996</v>
      </c>
      <c r="Q6859" t="s">
        <v>20840</v>
      </c>
      <c r="R6859" t="s">
        <v>419</v>
      </c>
      <c r="S6859">
        <v>1483</v>
      </c>
    </row>
    <row r="6860" spans="1:19">
      <c r="A6860" t="s">
        <v>29</v>
      </c>
      <c r="B6860" t="s">
        <v>148</v>
      </c>
      <c r="C6860" t="s">
        <v>161</v>
      </c>
      <c r="D6860" t="s">
        <v>290</v>
      </c>
      <c r="E6860" t="s">
        <v>419</v>
      </c>
      <c r="F6860">
        <f>HYPERLINK("https://www.wikidata.org/wiki/Q33322771", "Q33322771")</f>
        <v>0</v>
      </c>
      <c r="G6860" t="s">
        <v>3476</v>
      </c>
      <c r="H6860" t="s">
        <v>7849</v>
      </c>
      <c r="I6860" t="s">
        <v>9437</v>
      </c>
      <c r="J6860" t="s">
        <v>14076</v>
      </c>
      <c r="K6860" t="s">
        <v>18023</v>
      </c>
      <c r="L6860">
        <f>HYPERLINK("https://www2.assemblee-nationale.fr/sycomore/fiche/(num_dept)/5059", "5059")</f>
        <v>0</v>
      </c>
      <c r="N6860">
        <f>HYPERLINK("https://www.wikidata.org/wiki/Q3588648", "Q3588648")</f>
        <v>0</v>
      </c>
      <c r="O6860" t="s">
        <v>19967</v>
      </c>
      <c r="Q6860" t="s">
        <v>20840</v>
      </c>
      <c r="R6860" t="s">
        <v>419</v>
      </c>
      <c r="S6860">
        <v>1483</v>
      </c>
    </row>
    <row r="6861" spans="1:19">
      <c r="A6861" t="s">
        <v>29</v>
      </c>
      <c r="B6861" t="s">
        <v>148</v>
      </c>
      <c r="C6861" t="s">
        <v>161</v>
      </c>
      <c r="D6861" t="s">
        <v>290</v>
      </c>
      <c r="E6861" t="s">
        <v>419</v>
      </c>
      <c r="F6861">
        <f>HYPERLINK("https://www.wikidata.org/wiki/Q33322771", "Q33322771")</f>
        <v>0</v>
      </c>
      <c r="G6861" t="s">
        <v>3925</v>
      </c>
      <c r="H6861" t="s">
        <v>8181</v>
      </c>
      <c r="I6861" t="s">
        <v>6495</v>
      </c>
      <c r="J6861" t="s">
        <v>13542</v>
      </c>
      <c r="K6861" t="s">
        <v>18830</v>
      </c>
      <c r="L6861">
        <f>HYPERLINK("https://www2.assemblee-nationale.fr/sycomore/fiche/(num_dept)/5096", "5096")</f>
        <v>0</v>
      </c>
      <c r="N6861">
        <f>HYPERLINK("https://www.wikidata.org/wiki/Q3262666", "Q3262666")</f>
        <v>0</v>
      </c>
      <c r="O6861" t="s">
        <v>19994</v>
      </c>
      <c r="P6861" t="s">
        <v>20402</v>
      </c>
      <c r="Q6861" t="s">
        <v>20840</v>
      </c>
      <c r="R6861" t="s">
        <v>419</v>
      </c>
      <c r="S6861">
        <v>1483</v>
      </c>
    </row>
    <row r="6862" spans="1:19">
      <c r="A6862" t="s">
        <v>29</v>
      </c>
      <c r="B6862" t="s">
        <v>148</v>
      </c>
      <c r="C6862" t="s">
        <v>161</v>
      </c>
      <c r="D6862" t="s">
        <v>290</v>
      </c>
      <c r="E6862" t="s">
        <v>419</v>
      </c>
      <c r="F6862">
        <f>HYPERLINK("https://www.wikidata.org/wiki/Q33322771", "Q33322771")</f>
        <v>0</v>
      </c>
      <c r="G6862" t="s">
        <v>3926</v>
      </c>
      <c r="H6862" t="s">
        <v>8182</v>
      </c>
      <c r="I6862" t="s">
        <v>11027</v>
      </c>
      <c r="J6862" t="s">
        <v>14480</v>
      </c>
      <c r="K6862" t="s">
        <v>18831</v>
      </c>
      <c r="L6862">
        <f>HYPERLINK("https://www2.assemblee-nationale.fr/sycomore/fiche/(num_dept)/5140", "5140")</f>
        <v>0</v>
      </c>
      <c r="N6862">
        <f>HYPERLINK("https://www.wikidata.org/wiki/Q16026075", "Q16026075")</f>
        <v>0</v>
      </c>
      <c r="O6862" t="s">
        <v>20039</v>
      </c>
      <c r="P6862" t="s">
        <v>20479</v>
      </c>
      <c r="Q6862" t="s">
        <v>20840</v>
      </c>
      <c r="R6862" t="s">
        <v>419</v>
      </c>
      <c r="S6862">
        <v>1483</v>
      </c>
    </row>
    <row r="6863" spans="1:19">
      <c r="A6863" t="s">
        <v>29</v>
      </c>
      <c r="B6863" t="s">
        <v>148</v>
      </c>
      <c r="C6863" t="s">
        <v>161</v>
      </c>
      <c r="D6863" t="s">
        <v>290</v>
      </c>
      <c r="E6863" t="s">
        <v>419</v>
      </c>
      <c r="F6863">
        <f>HYPERLINK("https://www.wikidata.org/wiki/Q33322771", "Q33322771")</f>
        <v>0</v>
      </c>
      <c r="G6863" t="s">
        <v>2629</v>
      </c>
      <c r="H6863" t="s">
        <v>7175</v>
      </c>
      <c r="I6863" t="s">
        <v>9449</v>
      </c>
      <c r="J6863" t="s">
        <v>13271</v>
      </c>
      <c r="K6863" t="s">
        <v>17673</v>
      </c>
      <c r="L6863">
        <f>HYPERLINK("https://www2.assemblee-nationale.fr/sycomore/fiche/(num_dept)/5168", "5168")</f>
        <v>0</v>
      </c>
      <c r="M6863">
        <f>HYPERLINK("https://www.senat.fr/senateur-3eme-republique/meline_jules1799r3.html", "meline_jules1799r3")</f>
        <v>0</v>
      </c>
      <c r="N6863">
        <f>HYPERLINK("https://www.wikidata.org/wiki/Q459914", "Q459914")</f>
        <v>0</v>
      </c>
      <c r="O6863" t="s">
        <v>20017</v>
      </c>
      <c r="Q6863" t="s">
        <v>20840</v>
      </c>
      <c r="R6863" t="s">
        <v>419</v>
      </c>
      <c r="S6863">
        <v>1483</v>
      </c>
    </row>
    <row r="6864" spans="1:19">
      <c r="A6864" t="s">
        <v>29</v>
      </c>
      <c r="B6864" t="s">
        <v>148</v>
      </c>
      <c r="C6864" t="s">
        <v>161</v>
      </c>
      <c r="D6864" t="s">
        <v>290</v>
      </c>
      <c r="E6864" t="s">
        <v>419</v>
      </c>
      <c r="F6864">
        <f>HYPERLINK("https://www.wikidata.org/wiki/Q33322771", "Q33322771")</f>
        <v>0</v>
      </c>
      <c r="G6864" t="s">
        <v>3821</v>
      </c>
      <c r="H6864" t="s">
        <v>6235</v>
      </c>
      <c r="I6864" t="s">
        <v>9449</v>
      </c>
      <c r="J6864" t="s">
        <v>14387</v>
      </c>
      <c r="K6864" t="s">
        <v>18739</v>
      </c>
      <c r="L6864">
        <f>HYPERLINK("https://www2.assemblee-nationale.fr/sycomore/fiche/(num_dept)/5196", "5196")</f>
        <v>0</v>
      </c>
      <c r="M6864">
        <f>HYPERLINK("https://www.senat.fr/senateur-3eme-republique/mercier_jules1308r3.html", "mercier_jules1308r3")</f>
        <v>0</v>
      </c>
      <c r="N6864">
        <f>HYPERLINK("https://www.wikidata.org/wiki/Q3188780", "Q3188780")</f>
        <v>0</v>
      </c>
      <c r="O6864" t="s">
        <v>20018</v>
      </c>
      <c r="P6864" t="s">
        <v>20457</v>
      </c>
      <c r="Q6864" t="s">
        <v>20840</v>
      </c>
      <c r="R6864" t="s">
        <v>419</v>
      </c>
      <c r="S6864">
        <v>1483</v>
      </c>
    </row>
    <row r="6865" spans="1:19">
      <c r="A6865" t="s">
        <v>29</v>
      </c>
      <c r="B6865" t="s">
        <v>148</v>
      </c>
      <c r="C6865" t="s">
        <v>161</v>
      </c>
      <c r="D6865" t="s">
        <v>290</v>
      </c>
      <c r="E6865" t="s">
        <v>419</v>
      </c>
      <c r="F6865">
        <f>HYPERLINK("https://www.wikidata.org/wiki/Q33322771", "Q33322771")</f>
        <v>0</v>
      </c>
      <c r="G6865" t="s">
        <v>3580</v>
      </c>
      <c r="H6865" t="s">
        <v>7930</v>
      </c>
      <c r="I6865" t="s">
        <v>6860</v>
      </c>
      <c r="J6865" t="s">
        <v>14167</v>
      </c>
      <c r="K6865" t="s">
        <v>18536</v>
      </c>
      <c r="L6865">
        <f>HYPERLINK("https://www2.assemblee-nationale.fr/sycomore/fiche/(num_dept)/5209", "5209")</f>
        <v>0</v>
      </c>
      <c r="N6865">
        <f>HYPERLINK("https://www.wikidata.org/wiki/Q3386255", "Q3386255")</f>
        <v>0</v>
      </c>
      <c r="O6865" t="s">
        <v>20034</v>
      </c>
      <c r="Q6865" t="s">
        <v>20840</v>
      </c>
      <c r="R6865" t="s">
        <v>419</v>
      </c>
      <c r="S6865">
        <v>1483</v>
      </c>
    </row>
    <row r="6866" spans="1:19">
      <c r="A6866" t="s">
        <v>29</v>
      </c>
      <c r="B6866" t="s">
        <v>148</v>
      </c>
      <c r="C6866" t="s">
        <v>161</v>
      </c>
      <c r="D6866" t="s">
        <v>290</v>
      </c>
      <c r="E6866" t="s">
        <v>419</v>
      </c>
      <c r="F6866">
        <f>HYPERLINK("https://www.wikidata.org/wiki/Q33322771", "Q33322771")</f>
        <v>0</v>
      </c>
      <c r="G6866" t="s">
        <v>3365</v>
      </c>
      <c r="H6866" t="s">
        <v>7762</v>
      </c>
      <c r="I6866" t="s">
        <v>9421</v>
      </c>
      <c r="J6866" t="s">
        <v>13977</v>
      </c>
      <c r="K6866" t="s">
        <v>18345</v>
      </c>
      <c r="L6866">
        <f>HYPERLINK("https://www2.assemblee-nationale.fr/sycomore/fiche/(num_dept)/5223", "5223")</f>
        <v>0</v>
      </c>
      <c r="N6866">
        <f>HYPERLINK("https://www.wikidata.org/wiki/Q3121269", "Q3121269")</f>
        <v>0</v>
      </c>
      <c r="O6866" t="s">
        <v>19969</v>
      </c>
      <c r="P6866" t="s">
        <v>20477</v>
      </c>
      <c r="Q6866" t="s">
        <v>20840</v>
      </c>
      <c r="R6866" t="s">
        <v>419</v>
      </c>
      <c r="S6866">
        <v>1483</v>
      </c>
    </row>
    <row r="6867" spans="1:19">
      <c r="A6867" t="s">
        <v>29</v>
      </c>
      <c r="B6867" t="s">
        <v>148</v>
      </c>
      <c r="C6867" t="s">
        <v>161</v>
      </c>
      <c r="D6867" t="s">
        <v>290</v>
      </c>
      <c r="E6867" t="s">
        <v>419</v>
      </c>
      <c r="F6867">
        <f>HYPERLINK("https://www.wikidata.org/wiki/Q33322771", "Q33322771")</f>
        <v>0</v>
      </c>
      <c r="G6867" t="s">
        <v>3927</v>
      </c>
      <c r="H6867" t="s">
        <v>6239</v>
      </c>
      <c r="I6867" t="s">
        <v>9457</v>
      </c>
      <c r="J6867" t="s">
        <v>14481</v>
      </c>
      <c r="K6867" t="s">
        <v>18832</v>
      </c>
      <c r="L6867">
        <f>HYPERLINK("https://www2.assemblee-nationale.fr/sycomore/fiche/(num_dept)/5240", "5240")</f>
        <v>0</v>
      </c>
      <c r="N6867">
        <f>HYPERLINK("https://www.wikidata.org/wiki/Q8313471", "Q8313471")</f>
        <v>0</v>
      </c>
      <c r="O6867" t="s">
        <v>20006</v>
      </c>
      <c r="P6867" t="s">
        <v>20479</v>
      </c>
      <c r="Q6867" t="s">
        <v>20840</v>
      </c>
      <c r="R6867" t="s">
        <v>419</v>
      </c>
      <c r="S6867">
        <v>1483</v>
      </c>
    </row>
    <row r="6868" spans="1:19">
      <c r="A6868" t="s">
        <v>29</v>
      </c>
      <c r="B6868" t="s">
        <v>148</v>
      </c>
      <c r="C6868" t="s">
        <v>161</v>
      </c>
      <c r="D6868" t="s">
        <v>290</v>
      </c>
      <c r="E6868" t="s">
        <v>419</v>
      </c>
      <c r="F6868">
        <f>HYPERLINK("https://www.wikidata.org/wiki/Q33322771", "Q33322771")</f>
        <v>0</v>
      </c>
      <c r="G6868" t="s">
        <v>2632</v>
      </c>
      <c r="H6868" t="s">
        <v>7177</v>
      </c>
      <c r="I6868" t="s">
        <v>10326</v>
      </c>
      <c r="J6868" t="s">
        <v>13274</v>
      </c>
      <c r="K6868" t="s">
        <v>17676</v>
      </c>
      <c r="L6868">
        <f>HYPERLINK("https://www2.assemblee-nationale.fr/sycomore/fiche/(num_dept)/5247", "5247")</f>
        <v>0</v>
      </c>
      <c r="M6868">
        <f>HYPERLINK("https://www.senat.fr/senateur-3eme-republique/mezieres_alfred0932r3.html", "mezieres_alfred0932r3")</f>
        <v>0</v>
      </c>
      <c r="N6868">
        <f>HYPERLINK("https://www.wikidata.org/wiki/Q2835365", "Q2835365")</f>
        <v>0</v>
      </c>
      <c r="O6868" t="s">
        <v>20007</v>
      </c>
      <c r="Q6868" t="s">
        <v>20840</v>
      </c>
      <c r="R6868" t="s">
        <v>18842</v>
      </c>
      <c r="S6868">
        <v>918</v>
      </c>
    </row>
    <row r="6869" spans="1:19">
      <c r="A6869" t="s">
        <v>29</v>
      </c>
      <c r="B6869" t="s">
        <v>148</v>
      </c>
      <c r="C6869" t="s">
        <v>161</v>
      </c>
      <c r="D6869" t="s">
        <v>290</v>
      </c>
      <c r="E6869" t="s">
        <v>419</v>
      </c>
      <c r="F6869">
        <f>HYPERLINK("https://www.wikidata.org/wiki/Q33322771", "Q33322771")</f>
        <v>0</v>
      </c>
      <c r="G6869" t="s">
        <v>1005</v>
      </c>
      <c r="H6869" t="s">
        <v>5756</v>
      </c>
      <c r="I6869" t="s">
        <v>9553</v>
      </c>
      <c r="J6869" t="s">
        <v>11742</v>
      </c>
      <c r="K6869" t="s">
        <v>16146</v>
      </c>
      <c r="L6869">
        <f>HYPERLINK("https://www2.assemblee-nationale.fr/sycomore/fiche/(num_dept)/5284", "5284")</f>
        <v>0</v>
      </c>
      <c r="M6869">
        <f>HYPERLINK("https://www.senat.fr/senateur-3eme-republique/millerand_alexandre0910r3.html", "millerand_alexandre0910r3")</f>
        <v>0</v>
      </c>
      <c r="N6869">
        <f>HYPERLINK("https://www.wikidata.org/wiki/Q274540", "Q274540")</f>
        <v>0</v>
      </c>
      <c r="O6869" t="s">
        <v>19969</v>
      </c>
      <c r="Q6869" t="s">
        <v>20840</v>
      </c>
      <c r="R6869" t="s">
        <v>419</v>
      </c>
      <c r="S6869">
        <v>1483</v>
      </c>
    </row>
    <row r="6870" spans="1:19">
      <c r="A6870" t="s">
        <v>29</v>
      </c>
      <c r="B6870" t="s">
        <v>148</v>
      </c>
      <c r="C6870" t="s">
        <v>161</v>
      </c>
      <c r="D6870" t="s">
        <v>290</v>
      </c>
      <c r="E6870" t="s">
        <v>419</v>
      </c>
      <c r="F6870">
        <f>HYPERLINK("https://www.wikidata.org/wiki/Q33322771", "Q33322771")</f>
        <v>0</v>
      </c>
      <c r="G6870" t="s">
        <v>3030</v>
      </c>
      <c r="H6870" t="s">
        <v>7487</v>
      </c>
      <c r="I6870" t="s">
        <v>6495</v>
      </c>
      <c r="J6870" t="s">
        <v>13658</v>
      </c>
      <c r="K6870" t="s">
        <v>18041</v>
      </c>
      <c r="L6870">
        <f>HYPERLINK("https://www2.assemblee-nationale.fr/sycomore/fiche/(num_dept)/5289", "5289")</f>
        <v>0</v>
      </c>
      <c r="M6870">
        <f>HYPERLINK("https://www.senat.fr/senateur-3eme-republique/million_louis1142r3.html", "million_louis1142r3")</f>
        <v>0</v>
      </c>
      <c r="N6870">
        <f>HYPERLINK("https://www.wikidata.org/wiki/Q3262708", "Q3262708")</f>
        <v>0</v>
      </c>
      <c r="O6870" t="s">
        <v>19965</v>
      </c>
      <c r="Q6870" t="s">
        <v>20840</v>
      </c>
      <c r="R6870" t="s">
        <v>21578</v>
      </c>
      <c r="S6870">
        <v>617</v>
      </c>
    </row>
    <row r="6871" spans="1:19">
      <c r="A6871" t="s">
        <v>29</v>
      </c>
      <c r="B6871" t="s">
        <v>148</v>
      </c>
      <c r="C6871" t="s">
        <v>161</v>
      </c>
      <c r="D6871" t="s">
        <v>290</v>
      </c>
      <c r="E6871" t="s">
        <v>419</v>
      </c>
      <c r="F6871">
        <f>HYPERLINK("https://www.wikidata.org/wiki/Q33322771", "Q33322771")</f>
        <v>0</v>
      </c>
      <c r="G6871" t="s">
        <v>3928</v>
      </c>
      <c r="H6871" t="s">
        <v>8183</v>
      </c>
      <c r="I6871" t="s">
        <v>11028</v>
      </c>
      <c r="J6871" t="s">
        <v>14482</v>
      </c>
      <c r="K6871" t="s">
        <v>18833</v>
      </c>
      <c r="L6871">
        <f>HYPERLINK("https://www2.assemblee-nationale.fr/sycomore/fiche/(num_dept)/5300", "5300")</f>
        <v>0</v>
      </c>
      <c r="N6871">
        <f>HYPERLINK("https://www.wikidata.org/wiki/Q3573408", "Q3573408")</f>
        <v>0</v>
      </c>
      <c r="O6871" t="s">
        <v>20011</v>
      </c>
      <c r="P6871" t="s">
        <v>20479</v>
      </c>
      <c r="Q6871" t="s">
        <v>20840</v>
      </c>
      <c r="R6871" t="s">
        <v>18833</v>
      </c>
      <c r="S6871">
        <v>681</v>
      </c>
    </row>
    <row r="6872" spans="1:19">
      <c r="A6872" t="s">
        <v>29</v>
      </c>
      <c r="B6872" t="s">
        <v>148</v>
      </c>
      <c r="C6872" t="s">
        <v>161</v>
      </c>
      <c r="D6872" t="s">
        <v>290</v>
      </c>
      <c r="E6872" t="s">
        <v>419</v>
      </c>
      <c r="F6872">
        <f>HYPERLINK("https://www.wikidata.org/wiki/Q33322771", "Q33322771")</f>
        <v>0</v>
      </c>
      <c r="G6872" t="s">
        <v>3797</v>
      </c>
      <c r="H6872" t="s">
        <v>8082</v>
      </c>
      <c r="I6872" t="s">
        <v>5528</v>
      </c>
      <c r="J6872" t="s">
        <v>14366</v>
      </c>
      <c r="K6872" t="s">
        <v>18716</v>
      </c>
      <c r="L6872">
        <f>HYPERLINK("https://www2.assemblee-nationale.fr/sycomore/fiche/(num_dept)/5305", "5305")</f>
        <v>0</v>
      </c>
      <c r="N6872">
        <f>HYPERLINK("https://www.wikidata.org/wiki/Q14218268", "Q14218268")</f>
        <v>0</v>
      </c>
      <c r="O6872" t="s">
        <v>20025</v>
      </c>
      <c r="Q6872" t="s">
        <v>20840</v>
      </c>
      <c r="R6872" t="s">
        <v>419</v>
      </c>
      <c r="S6872">
        <v>1483</v>
      </c>
    </row>
    <row r="6873" spans="1:19">
      <c r="A6873" t="s">
        <v>29</v>
      </c>
      <c r="B6873" t="s">
        <v>148</v>
      </c>
      <c r="C6873" t="s">
        <v>161</v>
      </c>
      <c r="D6873" t="s">
        <v>290</v>
      </c>
      <c r="E6873" t="s">
        <v>419</v>
      </c>
      <c r="F6873">
        <f>HYPERLINK("https://www.wikidata.org/wiki/Q33322771", "Q33322771")</f>
        <v>0</v>
      </c>
      <c r="G6873" t="s">
        <v>1008</v>
      </c>
      <c r="H6873" t="s">
        <v>5759</v>
      </c>
      <c r="I6873" t="s">
        <v>9619</v>
      </c>
      <c r="J6873" t="s">
        <v>11745</v>
      </c>
      <c r="K6873" t="s">
        <v>16148</v>
      </c>
      <c r="L6873">
        <f>HYPERLINK("https://www2.assemblee-nationale.fr/sycomore/fiche/(num_dept)/5357", "5357")</f>
        <v>0</v>
      </c>
      <c r="M6873">
        <f>HYPERLINK("https://www.senat.fr/senateur-3eme-republique/monsservin_joseph0284r3.html", "monsservin_joseph0284r3")</f>
        <v>0</v>
      </c>
      <c r="N6873">
        <f>HYPERLINK("https://www.wikidata.org/wiki/Q3185378", "Q3185378")</f>
        <v>0</v>
      </c>
      <c r="O6873" t="s">
        <v>19967</v>
      </c>
      <c r="P6873" t="s">
        <v>20479</v>
      </c>
      <c r="Q6873" t="s">
        <v>20840</v>
      </c>
      <c r="R6873" t="s">
        <v>419</v>
      </c>
      <c r="S6873">
        <v>1483</v>
      </c>
    </row>
    <row r="6874" spans="1:19">
      <c r="A6874" t="s">
        <v>29</v>
      </c>
      <c r="B6874" t="s">
        <v>148</v>
      </c>
      <c r="C6874" t="s">
        <v>161</v>
      </c>
      <c r="D6874" t="s">
        <v>290</v>
      </c>
      <c r="E6874" t="s">
        <v>419</v>
      </c>
      <c r="F6874">
        <f>HYPERLINK("https://www.wikidata.org/wiki/Q33322771", "Q33322771")</f>
        <v>0</v>
      </c>
      <c r="G6874" t="s">
        <v>3929</v>
      </c>
      <c r="H6874" t="s">
        <v>8184</v>
      </c>
      <c r="I6874" t="s">
        <v>6860</v>
      </c>
      <c r="J6874" t="s">
        <v>14483</v>
      </c>
      <c r="K6874" t="s">
        <v>18834</v>
      </c>
      <c r="L6874">
        <f>HYPERLINK("https://www2.assemblee-nationale.fr/sycomore/fiche/(num_dept)/5364", "5364")</f>
        <v>0</v>
      </c>
      <c r="M6874">
        <f>HYPERLINK("https://www.senat.fr/senateur-3eme-republique/de_montaigu_pierre1277r3.html", "de_montaigu_pierre1277r3")</f>
        <v>0</v>
      </c>
      <c r="N6874">
        <f>HYPERLINK("https://www.wikidata.org/wiki/Q3387636", "Q3387636")</f>
        <v>0</v>
      </c>
      <c r="O6874" t="s">
        <v>20023</v>
      </c>
      <c r="Q6874" t="s">
        <v>20840</v>
      </c>
      <c r="R6874" t="s">
        <v>419</v>
      </c>
      <c r="S6874">
        <v>1483</v>
      </c>
    </row>
    <row r="6875" spans="1:19">
      <c r="A6875" t="s">
        <v>29</v>
      </c>
      <c r="B6875" t="s">
        <v>148</v>
      </c>
      <c r="C6875" t="s">
        <v>161</v>
      </c>
      <c r="D6875" t="s">
        <v>290</v>
      </c>
      <c r="E6875" t="s">
        <v>419</v>
      </c>
      <c r="F6875">
        <f>HYPERLINK("https://www.wikidata.org/wiki/Q33322771", "Q33322771")</f>
        <v>0</v>
      </c>
      <c r="G6875" t="s">
        <v>3479</v>
      </c>
      <c r="H6875" t="s">
        <v>7852</v>
      </c>
      <c r="I6875" t="s">
        <v>10843</v>
      </c>
      <c r="J6875" t="s">
        <v>14079</v>
      </c>
      <c r="K6875" t="s">
        <v>18446</v>
      </c>
      <c r="L6875">
        <f>HYPERLINK("https://www2.assemblee-nationale.fr/sycomore/fiche/(num_dept)/5367", "5367")</f>
        <v>0</v>
      </c>
      <c r="N6875">
        <f>HYPERLINK("https://www.wikidata.org/wiki/Q3188997", "Q3188997")</f>
        <v>0</v>
      </c>
      <c r="O6875" t="s">
        <v>20013</v>
      </c>
      <c r="Q6875" t="s">
        <v>20840</v>
      </c>
      <c r="R6875" t="s">
        <v>419</v>
      </c>
      <c r="S6875">
        <v>1483</v>
      </c>
    </row>
    <row r="6876" spans="1:19">
      <c r="A6876" t="s">
        <v>29</v>
      </c>
      <c r="B6876" t="s">
        <v>148</v>
      </c>
      <c r="C6876" t="s">
        <v>161</v>
      </c>
      <c r="D6876" t="s">
        <v>290</v>
      </c>
      <c r="E6876" t="s">
        <v>419</v>
      </c>
      <c r="F6876">
        <f>HYPERLINK("https://www.wikidata.org/wiki/Q33322771", "Q33322771")</f>
        <v>0</v>
      </c>
      <c r="G6876" t="s">
        <v>3149</v>
      </c>
      <c r="H6876" t="s">
        <v>7586</v>
      </c>
      <c r="I6876" t="s">
        <v>10661</v>
      </c>
      <c r="J6876" t="s">
        <v>13771</v>
      </c>
      <c r="K6876" t="s">
        <v>18146</v>
      </c>
      <c r="L6876">
        <f>HYPERLINK("https://www2.assemblee-nationale.fr/sycomore/fiche/(num_dept)/5370", "5370")</f>
        <v>0</v>
      </c>
      <c r="N6876">
        <f>HYPERLINK("https://www.wikidata.org/wiki/Q13077251", "Q13077251")</f>
        <v>0</v>
      </c>
      <c r="O6876" t="s">
        <v>20026</v>
      </c>
      <c r="Q6876" t="s">
        <v>20840</v>
      </c>
      <c r="R6876" t="s">
        <v>18146</v>
      </c>
      <c r="S6876">
        <v>280</v>
      </c>
    </row>
    <row r="6877" spans="1:19">
      <c r="A6877" t="s">
        <v>29</v>
      </c>
      <c r="B6877" t="s">
        <v>148</v>
      </c>
      <c r="C6877" t="s">
        <v>161</v>
      </c>
      <c r="D6877" t="s">
        <v>290</v>
      </c>
      <c r="E6877" t="s">
        <v>419</v>
      </c>
      <c r="F6877">
        <f>HYPERLINK("https://www.wikidata.org/wiki/Q33322771", "Q33322771")</f>
        <v>0</v>
      </c>
      <c r="G6877" t="s">
        <v>3581</v>
      </c>
      <c r="H6877" t="s">
        <v>7931</v>
      </c>
      <c r="I6877" t="s">
        <v>6495</v>
      </c>
      <c r="J6877" t="s">
        <v>14168</v>
      </c>
      <c r="K6877" t="s">
        <v>18537</v>
      </c>
      <c r="L6877">
        <f>HYPERLINK("https://www2.assemblee-nationale.fr/sycomore/fiche/(num_dept)/5384", "5384")</f>
        <v>0</v>
      </c>
      <c r="M6877">
        <f>HYPERLINK("https://www.senat.fr/senateur-3eme-republique/de_montfort_louis1574r3.html", "de_montfort_louis1574r3")</f>
        <v>0</v>
      </c>
      <c r="N6877">
        <f>HYPERLINK("https://www.wikidata.org/wiki/Q3263531", "Q3263531")</f>
        <v>0</v>
      </c>
      <c r="O6877" t="s">
        <v>19978</v>
      </c>
      <c r="Q6877" t="s">
        <v>20840</v>
      </c>
      <c r="R6877" t="s">
        <v>21579</v>
      </c>
      <c r="S6877">
        <v>635</v>
      </c>
    </row>
    <row r="6878" spans="1:19">
      <c r="A6878" t="s">
        <v>29</v>
      </c>
      <c r="B6878" t="s">
        <v>148</v>
      </c>
      <c r="C6878" t="s">
        <v>161</v>
      </c>
      <c r="D6878" t="s">
        <v>290</v>
      </c>
      <c r="E6878" t="s">
        <v>419</v>
      </c>
      <c r="F6878">
        <f>HYPERLINK("https://www.wikidata.org/wiki/Q33322771", "Q33322771")</f>
        <v>0</v>
      </c>
      <c r="G6878" t="s">
        <v>739</v>
      </c>
      <c r="H6878" t="s">
        <v>5497</v>
      </c>
      <c r="I6878" t="s">
        <v>9504</v>
      </c>
      <c r="J6878" t="s">
        <v>11488</v>
      </c>
      <c r="K6878" t="s">
        <v>15890</v>
      </c>
      <c r="L6878">
        <f>HYPERLINK("https://www2.assemblee-nationale.fr/sycomore/fiche/(num_dept)/5410", "5410")</f>
        <v>0</v>
      </c>
      <c r="M6878">
        <f>HYPERLINK("https://www.senat.fr/senateur-3eme-republique/morel_jean_baptiste1326r3.html", "morel_jean_baptiste1326r3")</f>
        <v>0</v>
      </c>
      <c r="N6878">
        <f>HYPERLINK("https://www.wikidata.org/wiki/Q2627978", "Q2627978")</f>
        <v>0</v>
      </c>
      <c r="O6878" t="s">
        <v>19997</v>
      </c>
      <c r="Q6878" t="s">
        <v>20840</v>
      </c>
      <c r="R6878" t="s">
        <v>419</v>
      </c>
      <c r="S6878">
        <v>1483</v>
      </c>
    </row>
    <row r="6879" spans="1:19">
      <c r="A6879" t="s">
        <v>29</v>
      </c>
      <c r="B6879" t="s">
        <v>148</v>
      </c>
      <c r="C6879" t="s">
        <v>161</v>
      </c>
      <c r="D6879" t="s">
        <v>290</v>
      </c>
      <c r="E6879" t="s">
        <v>419</v>
      </c>
      <c r="F6879">
        <f>HYPERLINK("https://www.wikidata.org/wiki/Q33322771", "Q33322771")</f>
        <v>0</v>
      </c>
      <c r="G6879" t="s">
        <v>1553</v>
      </c>
      <c r="H6879" t="s">
        <v>6244</v>
      </c>
      <c r="I6879" t="s">
        <v>9437</v>
      </c>
      <c r="J6879" t="s">
        <v>12267</v>
      </c>
      <c r="K6879" t="s">
        <v>16675</v>
      </c>
      <c r="L6879">
        <f>HYPERLINK("https://www2.assemblee-nationale.fr/sycomore/fiche/(num_dept)/5425", "5425")</f>
        <v>0</v>
      </c>
      <c r="N6879">
        <f>HYPERLINK("https://www.wikidata.org/wiki/Q3588669", "Q3588669")</f>
        <v>0</v>
      </c>
      <c r="O6879" t="s">
        <v>20000</v>
      </c>
      <c r="Q6879" t="s">
        <v>20840</v>
      </c>
      <c r="R6879" t="s">
        <v>419</v>
      </c>
      <c r="S6879">
        <v>1483</v>
      </c>
    </row>
    <row r="6880" spans="1:19">
      <c r="A6880" t="s">
        <v>29</v>
      </c>
      <c r="B6880" t="s">
        <v>148</v>
      </c>
      <c r="C6880" t="s">
        <v>161</v>
      </c>
      <c r="D6880" t="s">
        <v>290</v>
      </c>
      <c r="E6880" t="s">
        <v>419</v>
      </c>
      <c r="F6880">
        <f>HYPERLINK("https://www.wikidata.org/wiki/Q33322771", "Q33322771")</f>
        <v>0</v>
      </c>
      <c r="G6880" t="s">
        <v>3852</v>
      </c>
      <c r="H6880" t="s">
        <v>8126</v>
      </c>
      <c r="I6880" t="s">
        <v>11000</v>
      </c>
      <c r="J6880" t="s">
        <v>14411</v>
      </c>
      <c r="K6880" t="s">
        <v>18764</v>
      </c>
      <c r="L6880">
        <f>HYPERLINK("https://www2.assemblee-nationale.fr/sycomore/fiche/(num_dept)/5430", "5430")</f>
        <v>0</v>
      </c>
      <c r="N6880">
        <f>HYPERLINK("https://www.wikidata.org/wiki/Q3260940", "Q3260940")</f>
        <v>0</v>
      </c>
      <c r="O6880" t="s">
        <v>20015</v>
      </c>
      <c r="P6880" t="s">
        <v>20471</v>
      </c>
      <c r="Q6880" t="s">
        <v>20840</v>
      </c>
      <c r="R6880" t="s">
        <v>419</v>
      </c>
      <c r="S6880">
        <v>1483</v>
      </c>
    </row>
    <row r="6881" spans="1:19">
      <c r="A6881" t="s">
        <v>29</v>
      </c>
      <c r="B6881" t="s">
        <v>148</v>
      </c>
      <c r="C6881" t="s">
        <v>161</v>
      </c>
      <c r="D6881" t="s">
        <v>290</v>
      </c>
      <c r="E6881" t="s">
        <v>419</v>
      </c>
      <c r="F6881">
        <f>HYPERLINK("https://www.wikidata.org/wiki/Q33322771", "Q33322771")</f>
        <v>0</v>
      </c>
      <c r="G6881" t="s">
        <v>3930</v>
      </c>
      <c r="H6881" t="s">
        <v>7312</v>
      </c>
      <c r="I6881" t="s">
        <v>9465</v>
      </c>
      <c r="J6881" t="s">
        <v>14484</v>
      </c>
      <c r="K6881" t="s">
        <v>18835</v>
      </c>
      <c r="L6881">
        <f>HYPERLINK("https://www2.assemblee-nationale.fr/sycomore/fiche/(num_dept)/5441", "5441")</f>
        <v>0</v>
      </c>
      <c r="N6881">
        <f>HYPERLINK("https://www.wikidata.org/wiki/Q3060053", "Q3060053")</f>
        <v>0</v>
      </c>
      <c r="O6881" t="s">
        <v>20013</v>
      </c>
      <c r="P6881" t="s">
        <v>20479</v>
      </c>
      <c r="Q6881" t="s">
        <v>20840</v>
      </c>
      <c r="R6881" t="s">
        <v>419</v>
      </c>
      <c r="S6881">
        <v>1483</v>
      </c>
    </row>
    <row r="6882" spans="1:19">
      <c r="A6882" t="s">
        <v>29</v>
      </c>
      <c r="B6882" t="s">
        <v>148</v>
      </c>
      <c r="C6882" t="s">
        <v>161</v>
      </c>
      <c r="D6882" t="s">
        <v>290</v>
      </c>
      <c r="E6882" t="s">
        <v>419</v>
      </c>
      <c r="F6882">
        <f>HYPERLINK("https://www.wikidata.org/wiki/Q33322771", "Q33322771")</f>
        <v>0</v>
      </c>
      <c r="G6882" t="s">
        <v>3718</v>
      </c>
      <c r="H6882" t="s">
        <v>8028</v>
      </c>
      <c r="I6882" t="s">
        <v>5528</v>
      </c>
      <c r="J6882" t="s">
        <v>14293</v>
      </c>
      <c r="K6882" t="s">
        <v>18648</v>
      </c>
      <c r="L6882">
        <f>HYPERLINK("https://www2.assemblee-nationale.fr/sycomore/fiche/(num_dept)/5445", "5445")</f>
        <v>0</v>
      </c>
      <c r="M6882">
        <f>HYPERLINK("https://www.senat.fr/senateur-3eme-republique/mougeot_leon0865r3.html", "mougeot_leon0865r3")</f>
        <v>0</v>
      </c>
      <c r="N6882">
        <f>HYPERLINK("https://www.wikidata.org/wiki/Q3271218", "Q3271218")</f>
        <v>0</v>
      </c>
      <c r="O6882" t="s">
        <v>20022</v>
      </c>
      <c r="Q6882" t="s">
        <v>20840</v>
      </c>
      <c r="R6882" t="s">
        <v>419</v>
      </c>
      <c r="S6882">
        <v>1483</v>
      </c>
    </row>
    <row r="6883" spans="1:19">
      <c r="A6883" t="s">
        <v>29</v>
      </c>
      <c r="B6883" t="s">
        <v>148</v>
      </c>
      <c r="C6883" t="s">
        <v>161</v>
      </c>
      <c r="D6883" t="s">
        <v>290</v>
      </c>
      <c r="E6883" t="s">
        <v>419</v>
      </c>
      <c r="F6883">
        <f>HYPERLINK("https://www.wikidata.org/wiki/Q33322771", "Q33322771")</f>
        <v>0</v>
      </c>
      <c r="G6883" t="s">
        <v>3483</v>
      </c>
      <c r="H6883" t="s">
        <v>7856</v>
      </c>
      <c r="I6883" t="s">
        <v>9868</v>
      </c>
      <c r="J6883" t="s">
        <v>14083</v>
      </c>
      <c r="K6883" t="s">
        <v>18449</v>
      </c>
      <c r="L6883">
        <f>HYPERLINK("https://www2.assemblee-nationale.fr/sycomore/fiche/(num_dept)/5446", "5446")</f>
        <v>0</v>
      </c>
      <c r="N6883">
        <f>HYPERLINK("https://www.wikidata.org/wiki/Q15970080", "Q15970080")</f>
        <v>0</v>
      </c>
      <c r="O6883" t="s">
        <v>20017</v>
      </c>
      <c r="Q6883" t="s">
        <v>20840</v>
      </c>
      <c r="R6883" t="s">
        <v>419</v>
      </c>
      <c r="S6883">
        <v>1483</v>
      </c>
    </row>
    <row r="6884" spans="1:19">
      <c r="A6884" t="s">
        <v>29</v>
      </c>
      <c r="B6884" t="s">
        <v>148</v>
      </c>
      <c r="C6884" t="s">
        <v>161</v>
      </c>
      <c r="D6884" t="s">
        <v>290</v>
      </c>
      <c r="E6884" t="s">
        <v>419</v>
      </c>
      <c r="F6884">
        <f>HYPERLINK("https://www.wikidata.org/wiki/Q33322771", "Q33322771")</f>
        <v>0</v>
      </c>
      <c r="G6884" t="s">
        <v>741</v>
      </c>
      <c r="H6884" t="s">
        <v>5499</v>
      </c>
      <c r="I6884" t="s">
        <v>9476</v>
      </c>
      <c r="J6884" t="s">
        <v>11490</v>
      </c>
      <c r="K6884" t="s">
        <v>15892</v>
      </c>
      <c r="L6884">
        <f>HYPERLINK("https://www2.assemblee-nationale.fr/sycomore/fiche/(num_dept)/5463", "5463")</f>
        <v>0</v>
      </c>
      <c r="M6884">
        <f>HYPERLINK("https://www.senat.fr/senateur-3eme-republique/de_moustier_rene0688r3.html", "de_moustier_rene0688r3")</f>
        <v>0</v>
      </c>
      <c r="N6884">
        <f>HYPERLINK("https://www.wikidata.org/wiki/Q3427071", "Q3427071")</f>
        <v>0</v>
      </c>
      <c r="O6884" t="s">
        <v>19973</v>
      </c>
      <c r="Q6884" t="s">
        <v>20840</v>
      </c>
      <c r="R6884" t="s">
        <v>419</v>
      </c>
      <c r="S6884">
        <v>1483</v>
      </c>
    </row>
    <row r="6885" spans="1:19">
      <c r="A6885" t="s">
        <v>29</v>
      </c>
      <c r="B6885" t="s">
        <v>148</v>
      </c>
      <c r="C6885" t="s">
        <v>161</v>
      </c>
      <c r="D6885" t="s">
        <v>290</v>
      </c>
      <c r="E6885" t="s">
        <v>419</v>
      </c>
      <c r="F6885">
        <f>HYPERLINK("https://www.wikidata.org/wiki/Q33322771", "Q33322771")</f>
        <v>0</v>
      </c>
      <c r="G6885" t="s">
        <v>742</v>
      </c>
      <c r="H6885" t="s">
        <v>5500</v>
      </c>
      <c r="I6885" t="s">
        <v>9505</v>
      </c>
      <c r="J6885" t="s">
        <v>11491</v>
      </c>
      <c r="K6885" t="s">
        <v>15893</v>
      </c>
      <c r="L6885">
        <f>HYPERLINK("https://www2.assemblee-nationale.fr/sycomore/fiche/(num_dept)/5482", "5482")</f>
        <v>0</v>
      </c>
      <c r="N6885">
        <f>HYPERLINK("https://www.wikidata.org/wiki/Q2475967", "Q2475967")</f>
        <v>0</v>
      </c>
      <c r="O6885" t="s">
        <v>20011</v>
      </c>
      <c r="P6885" t="s">
        <v>20410</v>
      </c>
      <c r="Q6885" t="s">
        <v>20840</v>
      </c>
      <c r="R6885" t="s">
        <v>419</v>
      </c>
      <c r="S6885">
        <v>1483</v>
      </c>
    </row>
    <row r="6886" spans="1:19">
      <c r="A6886" t="s">
        <v>29</v>
      </c>
      <c r="B6886" t="s">
        <v>148</v>
      </c>
      <c r="C6886" t="s">
        <v>161</v>
      </c>
      <c r="D6886" t="s">
        <v>290</v>
      </c>
      <c r="E6886" t="s">
        <v>419</v>
      </c>
      <c r="F6886">
        <f>HYPERLINK("https://www.wikidata.org/wiki/Q33322771", "Q33322771")</f>
        <v>0</v>
      </c>
      <c r="G6886" t="s">
        <v>743</v>
      </c>
      <c r="H6886" t="s">
        <v>5501</v>
      </c>
      <c r="I6886" t="s">
        <v>9458</v>
      </c>
      <c r="J6886" t="s">
        <v>11492</v>
      </c>
      <c r="K6886" t="s">
        <v>15894</v>
      </c>
      <c r="L6886">
        <f>HYPERLINK("https://www2.assemblee-nationale.fr/sycomore/fiche/(num_dept)/5491", "5491")</f>
        <v>0</v>
      </c>
      <c r="N6886">
        <f>HYPERLINK("https://www.wikidata.org/wiki/Q8308367", "Q8308367")</f>
        <v>0</v>
      </c>
      <c r="O6886" t="s">
        <v>20002</v>
      </c>
      <c r="Q6886" t="s">
        <v>20840</v>
      </c>
      <c r="R6886" t="s">
        <v>419</v>
      </c>
      <c r="S6886">
        <v>1483</v>
      </c>
    </row>
    <row r="6887" spans="1:19">
      <c r="A6887" t="s">
        <v>29</v>
      </c>
      <c r="B6887" t="s">
        <v>148</v>
      </c>
      <c r="C6887" t="s">
        <v>161</v>
      </c>
      <c r="D6887" t="s">
        <v>290</v>
      </c>
      <c r="E6887" t="s">
        <v>419</v>
      </c>
      <c r="F6887">
        <f>HYPERLINK("https://www.wikidata.org/wiki/Q33322771", "Q33322771")</f>
        <v>0</v>
      </c>
      <c r="G6887" t="s">
        <v>3719</v>
      </c>
      <c r="H6887" t="s">
        <v>8029</v>
      </c>
      <c r="I6887" t="s">
        <v>9389</v>
      </c>
      <c r="J6887" t="s">
        <v>14294</v>
      </c>
      <c r="K6887" t="s">
        <v>18649</v>
      </c>
      <c r="L6887">
        <f>HYPERLINK("https://www2.assemblee-nationale.fr/sycomore/fiche/(num_dept)/5530", "5530")</f>
        <v>0</v>
      </c>
      <c r="N6887">
        <f>HYPERLINK("https://www.wikidata.org/wiki/Q16026186", "Q16026186")</f>
        <v>0</v>
      </c>
      <c r="O6887" t="s">
        <v>19993</v>
      </c>
      <c r="P6887" t="s">
        <v>20479</v>
      </c>
      <c r="Q6887" t="s">
        <v>20840</v>
      </c>
      <c r="R6887" t="s">
        <v>419</v>
      </c>
      <c r="S6887">
        <v>1483</v>
      </c>
    </row>
    <row r="6888" spans="1:19">
      <c r="A6888" t="s">
        <v>29</v>
      </c>
      <c r="B6888" t="s">
        <v>148</v>
      </c>
      <c r="C6888" t="s">
        <v>161</v>
      </c>
      <c r="D6888" t="s">
        <v>290</v>
      </c>
      <c r="E6888" t="s">
        <v>419</v>
      </c>
      <c r="F6888">
        <f>HYPERLINK("https://www.wikidata.org/wiki/Q33322771", "Q33322771")</f>
        <v>0</v>
      </c>
      <c r="G6888" t="s">
        <v>3720</v>
      </c>
      <c r="H6888" t="s">
        <v>5504</v>
      </c>
      <c r="I6888" t="s">
        <v>9442</v>
      </c>
      <c r="J6888" t="s">
        <v>14295</v>
      </c>
      <c r="K6888" t="s">
        <v>15930</v>
      </c>
      <c r="L6888">
        <f>HYPERLINK("https://www2.assemblee-nationale.fr/sycomore/fiche/(num_dept)/5564", "5564")</f>
        <v>0</v>
      </c>
      <c r="M6888">
        <f>HYPERLINK("https://www.senat.fr/senateur-3eme-republique/noel_charles0885r3.html", "noel_charles0885r3")</f>
        <v>0</v>
      </c>
      <c r="N6888">
        <f>HYPERLINK("https://www.wikidata.org/wiki/Q2959917", "Q2959917")</f>
        <v>0</v>
      </c>
      <c r="O6888" t="s">
        <v>19989</v>
      </c>
      <c r="Q6888" t="s">
        <v>20840</v>
      </c>
      <c r="R6888" t="s">
        <v>419</v>
      </c>
      <c r="S6888">
        <v>1483</v>
      </c>
    </row>
    <row r="6889" spans="1:19">
      <c r="A6889" t="s">
        <v>29</v>
      </c>
      <c r="B6889" t="s">
        <v>148</v>
      </c>
      <c r="C6889" t="s">
        <v>161</v>
      </c>
      <c r="D6889" t="s">
        <v>290</v>
      </c>
      <c r="E6889" t="s">
        <v>419</v>
      </c>
      <c r="F6889">
        <f>HYPERLINK("https://www.wikidata.org/wiki/Q33322771", "Q33322771")</f>
        <v>0</v>
      </c>
      <c r="G6889" t="s">
        <v>3798</v>
      </c>
      <c r="H6889" t="s">
        <v>8083</v>
      </c>
      <c r="I6889" t="s">
        <v>6200</v>
      </c>
      <c r="J6889" t="s">
        <v>14367</v>
      </c>
      <c r="K6889" t="s">
        <v>18717</v>
      </c>
      <c r="L6889">
        <f>HYPERLINK("https://www2.assemblee-nationale.fr/sycomore/fiche/(num_dept)/5592", "5592")</f>
        <v>0</v>
      </c>
      <c r="N6889">
        <f>HYPERLINK("https://www.wikidata.org/wiki/Q16026223", "Q16026223")</f>
        <v>0</v>
      </c>
      <c r="O6889" t="s">
        <v>19991</v>
      </c>
      <c r="P6889" t="s">
        <v>20409</v>
      </c>
      <c r="Q6889" t="s">
        <v>20840</v>
      </c>
      <c r="R6889" t="s">
        <v>419</v>
      </c>
      <c r="S6889">
        <v>1483</v>
      </c>
    </row>
    <row r="6890" spans="1:19">
      <c r="A6890" t="s">
        <v>29</v>
      </c>
      <c r="B6890" t="s">
        <v>148</v>
      </c>
      <c r="C6890" t="s">
        <v>161</v>
      </c>
      <c r="D6890" t="s">
        <v>290</v>
      </c>
      <c r="E6890" t="s">
        <v>419</v>
      </c>
      <c r="F6890">
        <f>HYPERLINK("https://www.wikidata.org/wiki/Q33322771", "Q33322771")</f>
        <v>0</v>
      </c>
      <c r="G6890" t="s">
        <v>3931</v>
      </c>
      <c r="H6890" t="s">
        <v>8185</v>
      </c>
      <c r="I6890" t="s">
        <v>9440</v>
      </c>
      <c r="J6890" t="s">
        <v>14485</v>
      </c>
      <c r="K6890" t="s">
        <v>18836</v>
      </c>
      <c r="L6890">
        <f>HYPERLINK("https://www2.assemblee-nationale.fr/sycomore/fiche/(num_dept)/5598", "5598")</f>
        <v>0</v>
      </c>
      <c r="N6890">
        <f>HYPERLINK("https://www.wikidata.org/wiki/Q16026228", "Q16026228")</f>
        <v>0</v>
      </c>
      <c r="O6890" t="s">
        <v>20012</v>
      </c>
      <c r="Q6890" t="s">
        <v>20840</v>
      </c>
      <c r="R6890" t="s">
        <v>419</v>
      </c>
      <c r="S6890">
        <v>1483</v>
      </c>
    </row>
    <row r="6891" spans="1:19">
      <c r="A6891" t="s">
        <v>29</v>
      </c>
      <c r="B6891" t="s">
        <v>148</v>
      </c>
      <c r="C6891" t="s">
        <v>161</v>
      </c>
      <c r="D6891" t="s">
        <v>290</v>
      </c>
      <c r="E6891" t="s">
        <v>419</v>
      </c>
      <c r="F6891">
        <f>HYPERLINK("https://www.wikidata.org/wiki/Q33322771", "Q33322771")</f>
        <v>0</v>
      </c>
      <c r="G6891" t="s">
        <v>2641</v>
      </c>
      <c r="H6891" t="s">
        <v>7186</v>
      </c>
      <c r="I6891" t="s">
        <v>10332</v>
      </c>
      <c r="J6891" t="s">
        <v>13283</v>
      </c>
      <c r="K6891" t="s">
        <v>17685</v>
      </c>
      <c r="L6891">
        <f>HYPERLINK("https://www2.assemblee-nationale.fr/sycomore/fiche/(num_dept)/5612", "5612")</f>
        <v>0</v>
      </c>
      <c r="N6891">
        <f>HYPERLINK("https://www.wikidata.org/wiki/Q16025508", "Q16025508")</f>
        <v>0</v>
      </c>
      <c r="O6891" t="s">
        <v>20031</v>
      </c>
      <c r="Q6891" t="s">
        <v>20840</v>
      </c>
      <c r="R6891" t="s">
        <v>419</v>
      </c>
      <c r="S6891">
        <v>1483</v>
      </c>
    </row>
    <row r="6892" spans="1:19">
      <c r="A6892" t="s">
        <v>29</v>
      </c>
      <c r="B6892" t="s">
        <v>148</v>
      </c>
      <c r="C6892" t="s">
        <v>161</v>
      </c>
      <c r="D6892" t="s">
        <v>290</v>
      </c>
      <c r="E6892" t="s">
        <v>419</v>
      </c>
      <c r="F6892">
        <f>HYPERLINK("https://www.wikidata.org/wiki/Q33322771", "Q33322771")</f>
        <v>0</v>
      </c>
      <c r="G6892" t="s">
        <v>3582</v>
      </c>
      <c r="H6892" t="s">
        <v>6255</v>
      </c>
      <c r="I6892" t="s">
        <v>6585</v>
      </c>
      <c r="J6892" t="s">
        <v>14169</v>
      </c>
      <c r="K6892" t="s">
        <v>18538</v>
      </c>
      <c r="L6892">
        <f>HYPERLINK("https://www2.assemblee-nationale.fr/sycomore/fiche/(num_dept)/5638", "5638")</f>
        <v>0</v>
      </c>
      <c r="N6892">
        <f>HYPERLINK("https://www.wikidata.org/wiki/Q27899334", "Q27899334")</f>
        <v>0</v>
      </c>
      <c r="O6892" t="s">
        <v>20026</v>
      </c>
      <c r="P6892" t="s">
        <v>20479</v>
      </c>
      <c r="Q6892" t="s">
        <v>20840</v>
      </c>
      <c r="R6892" t="s">
        <v>419</v>
      </c>
      <c r="S6892">
        <v>1483</v>
      </c>
    </row>
    <row r="6893" spans="1:19">
      <c r="A6893" t="s">
        <v>29</v>
      </c>
      <c r="B6893" t="s">
        <v>148</v>
      </c>
      <c r="C6893" t="s">
        <v>161</v>
      </c>
      <c r="D6893" t="s">
        <v>290</v>
      </c>
      <c r="E6893" t="s">
        <v>419</v>
      </c>
      <c r="F6893">
        <f>HYPERLINK("https://www.wikidata.org/wiki/Q33322771", "Q33322771")</f>
        <v>0</v>
      </c>
      <c r="G6893" t="s">
        <v>3272</v>
      </c>
      <c r="H6893" t="s">
        <v>7687</v>
      </c>
      <c r="I6893" t="s">
        <v>10739</v>
      </c>
      <c r="J6893" t="s">
        <v>13886</v>
      </c>
      <c r="K6893" t="s">
        <v>18259</v>
      </c>
      <c r="L6893">
        <f>HYPERLINK("https://www2.assemblee-nationale.fr/sycomore/fiche/(num_dept)/5657", "5657")</f>
        <v>0</v>
      </c>
      <c r="M6893">
        <f>HYPERLINK("https://www.senat.fr/senateur-3eme-republique/pajot_christophe0430r3.html", "pajot_christophe0430r3")</f>
        <v>0</v>
      </c>
      <c r="N6893">
        <f>HYPERLINK("https://www.wikidata.org/wiki/Q2966424", "Q2966424")</f>
        <v>0</v>
      </c>
      <c r="O6893" t="s">
        <v>19996</v>
      </c>
      <c r="Q6893" t="s">
        <v>20840</v>
      </c>
      <c r="R6893" t="s">
        <v>419</v>
      </c>
      <c r="S6893">
        <v>1483</v>
      </c>
    </row>
    <row r="6894" spans="1:19">
      <c r="A6894" t="s">
        <v>29</v>
      </c>
      <c r="B6894" t="s">
        <v>148</v>
      </c>
      <c r="C6894" t="s">
        <v>161</v>
      </c>
      <c r="D6894" t="s">
        <v>290</v>
      </c>
      <c r="E6894" t="s">
        <v>419</v>
      </c>
      <c r="F6894">
        <f>HYPERLINK("https://www.wikidata.org/wiki/Q33322771", "Q33322771")</f>
        <v>0</v>
      </c>
      <c r="G6894" t="s">
        <v>3932</v>
      </c>
      <c r="H6894" t="s">
        <v>8186</v>
      </c>
      <c r="I6894" t="s">
        <v>9457</v>
      </c>
      <c r="J6894" t="s">
        <v>14486</v>
      </c>
      <c r="K6894" t="s">
        <v>16897</v>
      </c>
      <c r="L6894">
        <f>HYPERLINK("https://www2.assemblee-nationale.fr/sycomore/fiche/(num_dept)/5660", "5660")</f>
        <v>0</v>
      </c>
      <c r="N6894">
        <f>HYPERLINK("https://www.wikidata.org/wiki/Q13635790", "Q13635790")</f>
        <v>0</v>
      </c>
      <c r="O6894" t="s">
        <v>19965</v>
      </c>
      <c r="P6894" t="s">
        <v>20485</v>
      </c>
      <c r="Q6894" t="s">
        <v>20840</v>
      </c>
      <c r="R6894" t="s">
        <v>419</v>
      </c>
      <c r="S6894">
        <v>1483</v>
      </c>
    </row>
    <row r="6895" spans="1:19">
      <c r="A6895" t="s">
        <v>29</v>
      </c>
      <c r="B6895" t="s">
        <v>148</v>
      </c>
      <c r="C6895" t="s">
        <v>161</v>
      </c>
      <c r="D6895" t="s">
        <v>290</v>
      </c>
      <c r="E6895" t="s">
        <v>419</v>
      </c>
      <c r="F6895">
        <f>HYPERLINK("https://www.wikidata.org/wiki/Q33322771", "Q33322771")</f>
        <v>0</v>
      </c>
      <c r="G6895" t="s">
        <v>3721</v>
      </c>
      <c r="H6895" t="s">
        <v>8030</v>
      </c>
      <c r="I6895" t="s">
        <v>9449</v>
      </c>
      <c r="J6895" t="s">
        <v>14296</v>
      </c>
      <c r="K6895" t="s">
        <v>18650</v>
      </c>
      <c r="L6895">
        <f>HYPERLINK("https://www2.assemblee-nationale.fr/sycomore/fiche/(num_dept)/5665", "5665")</f>
        <v>0</v>
      </c>
      <c r="M6895">
        <f>HYPERLINK("https://www.senat.fr/senateur-3eme-republique/pams_jules1089r3.html", "pams_jules1089r3")</f>
        <v>0</v>
      </c>
      <c r="N6895">
        <f>HYPERLINK("https://www.wikidata.org/wiki/Q3188830", "Q3188830")</f>
        <v>0</v>
      </c>
      <c r="O6895" t="s">
        <v>20001</v>
      </c>
      <c r="P6895" t="s">
        <v>20401</v>
      </c>
      <c r="Q6895" t="s">
        <v>20840</v>
      </c>
      <c r="R6895" t="s">
        <v>419</v>
      </c>
      <c r="S6895">
        <v>1483</v>
      </c>
    </row>
    <row r="6896" spans="1:19">
      <c r="A6896" t="s">
        <v>29</v>
      </c>
      <c r="B6896" t="s">
        <v>148</v>
      </c>
      <c r="C6896" t="s">
        <v>161</v>
      </c>
      <c r="D6896" t="s">
        <v>290</v>
      </c>
      <c r="E6896" t="s">
        <v>419</v>
      </c>
      <c r="F6896">
        <f>HYPERLINK("https://www.wikidata.org/wiki/Q33322771", "Q33322771")</f>
        <v>0</v>
      </c>
      <c r="G6896" t="s">
        <v>3583</v>
      </c>
      <c r="H6896" t="s">
        <v>7932</v>
      </c>
      <c r="I6896" t="s">
        <v>6584</v>
      </c>
      <c r="J6896" t="s">
        <v>14170</v>
      </c>
      <c r="K6896" t="s">
        <v>18539</v>
      </c>
      <c r="L6896">
        <f>HYPERLINK("https://www2.assemblee-nationale.fr/sycomore/fiche/(num_dept)/5670", "5670")</f>
        <v>0</v>
      </c>
      <c r="N6896">
        <f>HYPERLINK("https://www.wikidata.org/wiki/Q16026255", "Q16026255")</f>
        <v>0</v>
      </c>
      <c r="O6896" t="s">
        <v>20007</v>
      </c>
      <c r="P6896" t="s">
        <v>20409</v>
      </c>
      <c r="Q6896" t="s">
        <v>20840</v>
      </c>
      <c r="R6896" t="s">
        <v>419</v>
      </c>
      <c r="S6896">
        <v>1483</v>
      </c>
    </row>
    <row r="6897" spans="1:19">
      <c r="A6897" t="s">
        <v>29</v>
      </c>
      <c r="B6897" t="s">
        <v>148</v>
      </c>
      <c r="C6897" t="s">
        <v>161</v>
      </c>
      <c r="D6897" t="s">
        <v>290</v>
      </c>
      <c r="E6897" t="s">
        <v>419</v>
      </c>
      <c r="F6897">
        <f>HYPERLINK("https://www.wikidata.org/wiki/Q33322771", "Q33322771")</f>
        <v>0</v>
      </c>
      <c r="G6897" t="s">
        <v>751</v>
      </c>
      <c r="H6897" t="s">
        <v>5509</v>
      </c>
      <c r="I6897" t="s">
        <v>9509</v>
      </c>
      <c r="J6897" t="s">
        <v>11499</v>
      </c>
      <c r="K6897" t="s">
        <v>15902</v>
      </c>
      <c r="L6897">
        <f>HYPERLINK("https://www2.assemblee-nationale.fr/sycomore/fiche/(num_dept)/5702", "5702")</f>
        <v>0</v>
      </c>
      <c r="N6897">
        <f>HYPERLINK("https://www.wikidata.org/wiki/Q3262846", "Q3262846")</f>
        <v>0</v>
      </c>
      <c r="O6897" t="s">
        <v>19992</v>
      </c>
      <c r="Q6897" t="s">
        <v>20840</v>
      </c>
      <c r="R6897" t="s">
        <v>419</v>
      </c>
      <c r="S6897">
        <v>1483</v>
      </c>
    </row>
    <row r="6898" spans="1:19">
      <c r="A6898" t="s">
        <v>29</v>
      </c>
      <c r="B6898" t="s">
        <v>148</v>
      </c>
      <c r="C6898" t="s">
        <v>161</v>
      </c>
      <c r="D6898" t="s">
        <v>290</v>
      </c>
      <c r="E6898" t="s">
        <v>419</v>
      </c>
      <c r="F6898">
        <f>HYPERLINK("https://www.wikidata.org/wiki/Q33322771", "Q33322771")</f>
        <v>0</v>
      </c>
      <c r="G6898" t="s">
        <v>3584</v>
      </c>
      <c r="H6898" t="s">
        <v>7933</v>
      </c>
      <c r="I6898" t="s">
        <v>10888</v>
      </c>
      <c r="J6898" t="s">
        <v>14171</v>
      </c>
      <c r="K6898" t="s">
        <v>18540</v>
      </c>
      <c r="L6898">
        <f>HYPERLINK("https://www2.assemblee-nationale.fr/sycomore/fiche/(num_dept)/5728", "5728")</f>
        <v>0</v>
      </c>
      <c r="N6898">
        <f>HYPERLINK("https://www.wikidata.org/wiki/Q3372672", "Q3372672")</f>
        <v>0</v>
      </c>
      <c r="O6898" t="s">
        <v>19969</v>
      </c>
      <c r="P6898" t="s">
        <v>20504</v>
      </c>
      <c r="Q6898" t="s">
        <v>20840</v>
      </c>
      <c r="R6898" t="s">
        <v>419</v>
      </c>
      <c r="S6898">
        <v>1483</v>
      </c>
    </row>
    <row r="6899" spans="1:19">
      <c r="A6899" t="s">
        <v>29</v>
      </c>
      <c r="B6899" t="s">
        <v>148</v>
      </c>
      <c r="C6899" t="s">
        <v>161</v>
      </c>
      <c r="D6899" t="s">
        <v>290</v>
      </c>
      <c r="E6899" t="s">
        <v>419</v>
      </c>
      <c r="F6899">
        <f>HYPERLINK("https://www.wikidata.org/wiki/Q33322771", "Q33322771")</f>
        <v>0</v>
      </c>
      <c r="G6899" t="s">
        <v>3154</v>
      </c>
      <c r="H6899" t="s">
        <v>7590</v>
      </c>
      <c r="I6899" t="s">
        <v>10664</v>
      </c>
      <c r="J6899" t="s">
        <v>13776</v>
      </c>
      <c r="K6899" t="s">
        <v>18151</v>
      </c>
      <c r="L6899">
        <f>HYPERLINK("https://www2.assemblee-nationale.fr/sycomore/fiche/(num_dept)/5729", "5729")</f>
        <v>0</v>
      </c>
      <c r="N6899">
        <f>HYPERLINK("https://www.wikidata.org/wiki/Q17350275", "Q17350275")</f>
        <v>0</v>
      </c>
      <c r="O6899" t="s">
        <v>20009</v>
      </c>
      <c r="P6899" t="s">
        <v>20495</v>
      </c>
      <c r="Q6899" t="s">
        <v>20840</v>
      </c>
      <c r="R6899" t="s">
        <v>419</v>
      </c>
      <c r="S6899">
        <v>1483</v>
      </c>
    </row>
    <row r="6900" spans="1:19">
      <c r="A6900" t="s">
        <v>29</v>
      </c>
      <c r="B6900" t="s">
        <v>148</v>
      </c>
      <c r="C6900" t="s">
        <v>161</v>
      </c>
      <c r="D6900" t="s">
        <v>290</v>
      </c>
      <c r="E6900" t="s">
        <v>419</v>
      </c>
      <c r="F6900">
        <f>HYPERLINK("https://www.wikidata.org/wiki/Q33322771", "Q33322771")</f>
        <v>0</v>
      </c>
      <c r="G6900" t="s">
        <v>3933</v>
      </c>
      <c r="H6900" t="s">
        <v>8187</v>
      </c>
      <c r="I6900" t="s">
        <v>6166</v>
      </c>
      <c r="J6900" t="s">
        <v>14487</v>
      </c>
      <c r="K6900" t="s">
        <v>15950</v>
      </c>
      <c r="L6900">
        <f>HYPERLINK("https://www2.assemblee-nationale.fr/sycomore/fiche/(num_dept)/5731", "5731")</f>
        <v>0</v>
      </c>
      <c r="N6900">
        <f>HYPERLINK("https://www.wikidata.org/wiki/Q16026282", "Q16026282")</f>
        <v>0</v>
      </c>
      <c r="O6900" t="s">
        <v>19981</v>
      </c>
      <c r="P6900" t="s">
        <v>20401</v>
      </c>
      <c r="Q6900" t="s">
        <v>20840</v>
      </c>
      <c r="R6900" t="s">
        <v>419</v>
      </c>
      <c r="S6900">
        <v>1483</v>
      </c>
    </row>
    <row r="6901" spans="1:19">
      <c r="A6901" t="s">
        <v>29</v>
      </c>
      <c r="B6901" t="s">
        <v>148</v>
      </c>
      <c r="C6901" t="s">
        <v>161</v>
      </c>
      <c r="D6901" t="s">
        <v>290</v>
      </c>
      <c r="E6901" t="s">
        <v>419</v>
      </c>
      <c r="F6901">
        <f>HYPERLINK("https://www.wikidata.org/wiki/Q33322771", "Q33322771")</f>
        <v>0</v>
      </c>
      <c r="G6901" t="s">
        <v>3722</v>
      </c>
      <c r="H6901" t="s">
        <v>8031</v>
      </c>
      <c r="I6901" t="s">
        <v>10947</v>
      </c>
      <c r="J6901" t="s">
        <v>14297</v>
      </c>
      <c r="K6901" t="s">
        <v>18651</v>
      </c>
      <c r="L6901">
        <f>HYPERLINK("https://www2.assemblee-nationale.fr/sycomore/fiche/(num_dept)/5745", "5745")</f>
        <v>0</v>
      </c>
      <c r="M6901">
        <f>HYPERLINK("https://www.senat.fr/senateur-3eme-republique/pedebidou_adolphe1079r3.html", "pedebidou_adolphe1079r3")</f>
        <v>0</v>
      </c>
      <c r="N6901">
        <f>HYPERLINK("https://www.wikidata.org/wiki/Q2839931", "Q2839931")</f>
        <v>0</v>
      </c>
      <c r="O6901" t="s">
        <v>20027</v>
      </c>
      <c r="P6901" t="s">
        <v>20479</v>
      </c>
      <c r="Q6901" t="s">
        <v>20840</v>
      </c>
      <c r="R6901" t="s">
        <v>21570</v>
      </c>
      <c r="S6901">
        <v>645</v>
      </c>
    </row>
    <row r="6902" spans="1:19">
      <c r="A6902" t="s">
        <v>29</v>
      </c>
      <c r="B6902" t="s">
        <v>148</v>
      </c>
      <c r="C6902" t="s">
        <v>161</v>
      </c>
      <c r="D6902" t="s">
        <v>290</v>
      </c>
      <c r="E6902" t="s">
        <v>419</v>
      </c>
      <c r="F6902">
        <f>HYPERLINK("https://www.wikidata.org/wiki/Q33322771", "Q33322771")</f>
        <v>0</v>
      </c>
      <c r="G6902" t="s">
        <v>754</v>
      </c>
      <c r="H6902" t="s">
        <v>5512</v>
      </c>
      <c r="I6902" t="s">
        <v>9506</v>
      </c>
      <c r="J6902" t="s">
        <v>11502</v>
      </c>
      <c r="K6902" t="s">
        <v>15905</v>
      </c>
      <c r="L6902">
        <f>HYPERLINK("https://www2.assemblee-nationale.fr/sycomore/fiche/(num_dept)/5764", "5764")</f>
        <v>0</v>
      </c>
      <c r="M6902">
        <f>HYPERLINK("https://www.senat.fr/senateur-3eme-republique/pelletan_camille0312r3.html", "pelletan_camille0312r3")</f>
        <v>0</v>
      </c>
      <c r="N6902">
        <f>HYPERLINK("https://www.wikidata.org/wiki/Q2862434", "Q2862434")</f>
        <v>0</v>
      </c>
      <c r="O6902" t="s">
        <v>19990</v>
      </c>
      <c r="P6902" t="s">
        <v>20471</v>
      </c>
      <c r="Q6902" t="s">
        <v>20840</v>
      </c>
      <c r="R6902" t="s">
        <v>419</v>
      </c>
      <c r="S6902">
        <v>1483</v>
      </c>
    </row>
    <row r="6903" spans="1:19">
      <c r="A6903" t="s">
        <v>29</v>
      </c>
      <c r="B6903" t="s">
        <v>148</v>
      </c>
      <c r="C6903" t="s">
        <v>161</v>
      </c>
      <c r="D6903" t="s">
        <v>290</v>
      </c>
      <c r="E6903" t="s">
        <v>419</v>
      </c>
      <c r="F6903">
        <f>HYPERLINK("https://www.wikidata.org/wiki/Q33322771", "Q33322771")</f>
        <v>0</v>
      </c>
      <c r="G6903" t="s">
        <v>757</v>
      </c>
      <c r="H6903" t="s">
        <v>5515</v>
      </c>
      <c r="I6903" t="s">
        <v>7140</v>
      </c>
      <c r="J6903" t="s">
        <v>11505</v>
      </c>
      <c r="K6903" t="s">
        <v>15908</v>
      </c>
      <c r="L6903">
        <f>HYPERLINK("https://www2.assemblee-nationale.fr/sycomore/fiche/(num_dept)/5788", "5788")</f>
        <v>0</v>
      </c>
      <c r="N6903">
        <f>HYPERLINK("https://www.wikidata.org/wiki/Q8306474", "Q8306474")</f>
        <v>0</v>
      </c>
      <c r="O6903" t="s">
        <v>19994</v>
      </c>
      <c r="Q6903" t="s">
        <v>20840</v>
      </c>
      <c r="R6903" t="s">
        <v>419</v>
      </c>
      <c r="S6903">
        <v>1483</v>
      </c>
    </row>
    <row r="6904" spans="1:19">
      <c r="A6904" t="s">
        <v>29</v>
      </c>
      <c r="B6904" t="s">
        <v>148</v>
      </c>
      <c r="C6904" t="s">
        <v>161</v>
      </c>
      <c r="D6904" t="s">
        <v>290</v>
      </c>
      <c r="E6904" t="s">
        <v>419</v>
      </c>
      <c r="F6904">
        <f>HYPERLINK("https://www.wikidata.org/wiki/Q33322771", "Q33322771")</f>
        <v>0</v>
      </c>
      <c r="G6904" t="s">
        <v>3488</v>
      </c>
      <c r="H6904" t="s">
        <v>7861</v>
      </c>
      <c r="I6904" t="s">
        <v>10845</v>
      </c>
      <c r="J6904" t="s">
        <v>14087</v>
      </c>
      <c r="K6904" t="s">
        <v>18452</v>
      </c>
      <c r="L6904">
        <f>HYPERLINK("https://www2.assemblee-nationale.fr/sycomore/fiche/(num_dept)/5789", "5789")</f>
        <v>0</v>
      </c>
      <c r="N6904">
        <f>HYPERLINK("https://www.wikidata.org/wiki/Q16026302", "Q16026302")</f>
        <v>0</v>
      </c>
      <c r="O6904" t="s">
        <v>19987</v>
      </c>
      <c r="P6904" t="s">
        <v>20479</v>
      </c>
      <c r="Q6904" t="s">
        <v>20840</v>
      </c>
      <c r="R6904" t="s">
        <v>419</v>
      </c>
      <c r="S6904">
        <v>1483</v>
      </c>
    </row>
    <row r="6905" spans="1:19">
      <c r="A6905" t="s">
        <v>29</v>
      </c>
      <c r="B6905" t="s">
        <v>148</v>
      </c>
      <c r="C6905" t="s">
        <v>161</v>
      </c>
      <c r="D6905" t="s">
        <v>290</v>
      </c>
      <c r="E6905" t="s">
        <v>419</v>
      </c>
      <c r="F6905">
        <f>HYPERLINK("https://www.wikidata.org/wiki/Q33322771", "Q33322771")</f>
        <v>0</v>
      </c>
      <c r="G6905" t="s">
        <v>3934</v>
      </c>
      <c r="H6905" t="s">
        <v>8188</v>
      </c>
      <c r="I6905" t="s">
        <v>9457</v>
      </c>
      <c r="J6905" t="s">
        <v>14488</v>
      </c>
      <c r="K6905" t="s">
        <v>17869</v>
      </c>
      <c r="L6905">
        <f>HYPERLINK("https://www2.assemblee-nationale.fr/sycomore/fiche/(num_dept)/5803", "5803")</f>
        <v>0</v>
      </c>
      <c r="N6905">
        <f>HYPERLINK("https://www.wikidata.org/wiki/Q16026313", "Q16026313")</f>
        <v>0</v>
      </c>
      <c r="O6905" t="s">
        <v>19999</v>
      </c>
      <c r="Q6905" t="s">
        <v>20840</v>
      </c>
      <c r="R6905" t="s">
        <v>419</v>
      </c>
      <c r="S6905">
        <v>1483</v>
      </c>
    </row>
    <row r="6906" spans="1:19">
      <c r="A6906" t="s">
        <v>29</v>
      </c>
      <c r="B6906" t="s">
        <v>148</v>
      </c>
      <c r="C6906" t="s">
        <v>161</v>
      </c>
      <c r="D6906" t="s">
        <v>290</v>
      </c>
      <c r="E6906" t="s">
        <v>419</v>
      </c>
      <c r="F6906">
        <f>HYPERLINK("https://www.wikidata.org/wiki/Q33322771", "Q33322771")</f>
        <v>0</v>
      </c>
      <c r="G6906" t="s">
        <v>3489</v>
      </c>
      <c r="H6906" t="s">
        <v>5776</v>
      </c>
      <c r="I6906" t="s">
        <v>9401</v>
      </c>
      <c r="J6906" t="s">
        <v>14088</v>
      </c>
      <c r="K6906" t="s">
        <v>18453</v>
      </c>
      <c r="L6906">
        <f>HYPERLINK("https://www2.assemblee-nationale.fr/sycomore/fiche/(num_dept)/5810", "5810")</f>
        <v>0</v>
      </c>
      <c r="M6906">
        <f>HYPERLINK("https://www.senat.fr/senateur-3eme-republique/perrier_antoine1304r3.html", "perrier_antoine1304r3")</f>
        <v>0</v>
      </c>
      <c r="N6906">
        <f>HYPERLINK("https://www.wikidata.org/wiki/Q2856600", "Q2856600")</f>
        <v>0</v>
      </c>
      <c r="O6906" t="s">
        <v>19988</v>
      </c>
      <c r="P6906" t="s">
        <v>20479</v>
      </c>
      <c r="Q6906" t="s">
        <v>20840</v>
      </c>
      <c r="R6906" t="s">
        <v>21580</v>
      </c>
      <c r="S6906">
        <v>638</v>
      </c>
    </row>
    <row r="6907" spans="1:19">
      <c r="A6907" t="s">
        <v>29</v>
      </c>
      <c r="B6907" t="s">
        <v>148</v>
      </c>
      <c r="C6907" t="s">
        <v>161</v>
      </c>
      <c r="D6907" t="s">
        <v>290</v>
      </c>
      <c r="E6907" t="s">
        <v>419</v>
      </c>
      <c r="F6907">
        <f>HYPERLINK("https://www.wikidata.org/wiki/Q33322771", "Q33322771")</f>
        <v>0</v>
      </c>
      <c r="G6907" t="s">
        <v>3856</v>
      </c>
      <c r="H6907" t="s">
        <v>6753</v>
      </c>
      <c r="I6907" t="s">
        <v>11002</v>
      </c>
      <c r="J6907" t="s">
        <v>14415</v>
      </c>
      <c r="K6907" t="s">
        <v>18768</v>
      </c>
      <c r="L6907">
        <f>HYPERLINK("https://www2.assemblee-nationale.fr/sycomore/fiche/(num_dept)/5815", "5815")</f>
        <v>0</v>
      </c>
      <c r="N6907">
        <f>HYPERLINK("https://www.wikidata.org/wiki/Q16026317", "Q16026317")</f>
        <v>0</v>
      </c>
      <c r="O6907" t="s">
        <v>19991</v>
      </c>
      <c r="Q6907" t="s">
        <v>20840</v>
      </c>
      <c r="R6907" t="s">
        <v>419</v>
      </c>
      <c r="S6907">
        <v>1483</v>
      </c>
    </row>
    <row r="6908" spans="1:19">
      <c r="A6908" t="s">
        <v>29</v>
      </c>
      <c r="B6908" t="s">
        <v>148</v>
      </c>
      <c r="C6908" t="s">
        <v>161</v>
      </c>
      <c r="D6908" t="s">
        <v>290</v>
      </c>
      <c r="E6908" t="s">
        <v>419</v>
      </c>
      <c r="F6908">
        <f>HYPERLINK("https://www.wikidata.org/wiki/Q33322771", "Q33322771")</f>
        <v>0</v>
      </c>
      <c r="G6908" t="s">
        <v>3935</v>
      </c>
      <c r="H6908" t="s">
        <v>7265</v>
      </c>
      <c r="I6908" t="s">
        <v>9858</v>
      </c>
      <c r="J6908" t="s">
        <v>14489</v>
      </c>
      <c r="K6908" t="s">
        <v>18837</v>
      </c>
      <c r="L6908">
        <f>HYPERLINK("https://www2.assemblee-nationale.fr/sycomore/fiche/(num_dept)/5887", "5887")</f>
        <v>0</v>
      </c>
      <c r="N6908">
        <f>HYPERLINK("https://www.wikidata.org/wiki/Q2842400", "Q2842400")</f>
        <v>0</v>
      </c>
      <c r="O6908" t="s">
        <v>19964</v>
      </c>
      <c r="P6908" t="s">
        <v>20479</v>
      </c>
      <c r="Q6908" t="s">
        <v>20840</v>
      </c>
      <c r="R6908" t="s">
        <v>419</v>
      </c>
      <c r="S6908">
        <v>1483</v>
      </c>
    </row>
    <row r="6909" spans="1:19">
      <c r="A6909" t="s">
        <v>29</v>
      </c>
      <c r="B6909" t="s">
        <v>148</v>
      </c>
      <c r="C6909" t="s">
        <v>161</v>
      </c>
      <c r="D6909" t="s">
        <v>290</v>
      </c>
      <c r="E6909" t="s">
        <v>419</v>
      </c>
      <c r="F6909">
        <f>HYPERLINK("https://www.wikidata.org/wiki/Q33322771", "Q33322771")</f>
        <v>0</v>
      </c>
      <c r="G6909" t="s">
        <v>761</v>
      </c>
      <c r="H6909" t="s">
        <v>5519</v>
      </c>
      <c r="I6909" t="s">
        <v>9513</v>
      </c>
      <c r="J6909" t="s">
        <v>11509</v>
      </c>
      <c r="K6909" t="s">
        <v>15912</v>
      </c>
      <c r="L6909">
        <f>HYPERLINK("https://www2.assemblee-nationale.fr/sycomore/fiche/(num_dept)/5956", "5956")</f>
        <v>0</v>
      </c>
      <c r="N6909">
        <f>HYPERLINK("https://www.wikidata.org/wiki/Q3159775", "Q3159775")</f>
        <v>0</v>
      </c>
      <c r="O6909" t="s">
        <v>20016</v>
      </c>
      <c r="P6909" t="s">
        <v>20410</v>
      </c>
      <c r="Q6909" t="s">
        <v>20840</v>
      </c>
      <c r="R6909" t="s">
        <v>419</v>
      </c>
      <c r="S6909">
        <v>1483</v>
      </c>
    </row>
    <row r="6910" spans="1:19">
      <c r="A6910" t="s">
        <v>29</v>
      </c>
      <c r="B6910" t="s">
        <v>148</v>
      </c>
      <c r="C6910" t="s">
        <v>161</v>
      </c>
      <c r="D6910" t="s">
        <v>290</v>
      </c>
      <c r="E6910" t="s">
        <v>419</v>
      </c>
      <c r="F6910">
        <f>HYPERLINK("https://www.wikidata.org/wiki/Q33322771", "Q33322771")</f>
        <v>0</v>
      </c>
      <c r="G6910" t="s">
        <v>762</v>
      </c>
      <c r="H6910" t="s">
        <v>5520</v>
      </c>
      <c r="I6910" t="s">
        <v>9514</v>
      </c>
      <c r="J6910" t="s">
        <v>11507</v>
      </c>
      <c r="K6910" t="s">
        <v>15913</v>
      </c>
      <c r="L6910">
        <f>HYPERLINK("https://www2.assemblee-nationale.fr/sycomore/fiche/(num_dept)/5981", "5981")</f>
        <v>0</v>
      </c>
      <c r="M6910">
        <f>HYPERLINK("https://www.senat.fr/senateur-3eme-republique/plichon_jean1422r3.html", "plichon_jean1422r3")</f>
        <v>0</v>
      </c>
      <c r="N6910">
        <f>HYPERLINK("https://www.wikidata.org/wiki/Q3174051", "Q3174051")</f>
        <v>0</v>
      </c>
      <c r="O6910" t="s">
        <v>20013</v>
      </c>
      <c r="P6910" t="s">
        <v>20410</v>
      </c>
      <c r="Q6910" t="s">
        <v>20840</v>
      </c>
      <c r="R6910" t="s">
        <v>419</v>
      </c>
      <c r="S6910">
        <v>1483</v>
      </c>
    </row>
    <row r="6911" spans="1:19">
      <c r="A6911" t="s">
        <v>29</v>
      </c>
      <c r="B6911" t="s">
        <v>148</v>
      </c>
      <c r="C6911" t="s">
        <v>161</v>
      </c>
      <c r="D6911" t="s">
        <v>290</v>
      </c>
      <c r="E6911" t="s">
        <v>419</v>
      </c>
      <c r="F6911">
        <f>HYPERLINK("https://www.wikidata.org/wiki/Q33322771", "Q33322771")</f>
        <v>0</v>
      </c>
      <c r="G6911" t="s">
        <v>3052</v>
      </c>
      <c r="H6911" t="s">
        <v>7507</v>
      </c>
      <c r="I6911" t="s">
        <v>10601</v>
      </c>
      <c r="J6911" t="s">
        <v>13678</v>
      </c>
      <c r="K6911" t="s">
        <v>18059</v>
      </c>
      <c r="L6911">
        <f>HYPERLINK("https://www2.assemblee-nationale.fr/sycomore/fiche/(num_dept)/5987", "5987")</f>
        <v>0</v>
      </c>
      <c r="M6911">
        <f>HYPERLINK("https://www.senat.fr/senateur-3eme-republique/pochon_joseph0015r3.html", "pochon_joseph0015r3")</f>
        <v>0</v>
      </c>
      <c r="N6911">
        <f>HYPERLINK("https://www.wikidata.org/wiki/Q3185501", "Q3185501")</f>
        <v>0</v>
      </c>
      <c r="O6911" t="s">
        <v>19986</v>
      </c>
      <c r="P6911" t="s">
        <v>20456</v>
      </c>
      <c r="Q6911" t="s">
        <v>20840</v>
      </c>
      <c r="R6911" t="s">
        <v>21581</v>
      </c>
      <c r="S6911">
        <v>1002</v>
      </c>
    </row>
    <row r="6912" spans="1:19">
      <c r="A6912" t="s">
        <v>29</v>
      </c>
      <c r="B6912" t="s">
        <v>148</v>
      </c>
      <c r="C6912" t="s">
        <v>161</v>
      </c>
      <c r="D6912" t="s">
        <v>290</v>
      </c>
      <c r="E6912" t="s">
        <v>419</v>
      </c>
      <c r="F6912">
        <f>HYPERLINK("https://www.wikidata.org/wiki/Q33322771", "Q33322771")</f>
        <v>0</v>
      </c>
      <c r="G6912" t="s">
        <v>3369</v>
      </c>
      <c r="H6912" t="s">
        <v>7766</v>
      </c>
      <c r="I6912" t="s">
        <v>9692</v>
      </c>
      <c r="J6912" t="s">
        <v>13981</v>
      </c>
      <c r="K6912" t="s">
        <v>18349</v>
      </c>
      <c r="L6912">
        <f>HYPERLINK("https://www2.assemblee-nationale.fr/sycomore/fiche/(num_dept)/5994", "5994")</f>
        <v>0</v>
      </c>
      <c r="M6912">
        <f>HYPERLINK("https://www.senat.fr/senateur-3eme-republique/poincare_raymond1024r3.html", "poincare_raymond1024r3")</f>
        <v>0</v>
      </c>
      <c r="N6912">
        <f>HYPERLINK("https://www.wikidata.org/wiki/Q191974", "Q191974")</f>
        <v>0</v>
      </c>
      <c r="O6912" t="s">
        <v>20030</v>
      </c>
      <c r="Q6912" t="s">
        <v>20840</v>
      </c>
      <c r="R6912" t="s">
        <v>419</v>
      </c>
      <c r="S6912">
        <v>1483</v>
      </c>
    </row>
    <row r="6913" spans="1:19">
      <c r="A6913" t="s">
        <v>29</v>
      </c>
      <c r="B6913" t="s">
        <v>148</v>
      </c>
      <c r="C6913" t="s">
        <v>161</v>
      </c>
      <c r="D6913" t="s">
        <v>290</v>
      </c>
      <c r="E6913" t="s">
        <v>419</v>
      </c>
      <c r="F6913">
        <f>HYPERLINK("https://www.wikidata.org/wiki/Q33322771", "Q33322771")</f>
        <v>0</v>
      </c>
      <c r="G6913" t="s">
        <v>3047</v>
      </c>
      <c r="H6913" t="s">
        <v>7503</v>
      </c>
      <c r="I6913" t="s">
        <v>9421</v>
      </c>
      <c r="J6913" t="s">
        <v>13674</v>
      </c>
      <c r="K6913" t="s">
        <v>18055</v>
      </c>
      <c r="L6913">
        <f>HYPERLINK("https://www2.assemblee-nationale.fr/sycomore/fiche/(num_dept)/6001", "6001")</f>
        <v>0</v>
      </c>
      <c r="M6913">
        <f>HYPERLINK("https://www.senat.fr/senateur-3eme-republique/rivet_gustave1198r3.html", "rivet_gustave1198r3")</f>
        <v>0</v>
      </c>
      <c r="N6913">
        <f>HYPERLINK("https://www.wikidata.org/wiki/Q3121310", "Q3121310")</f>
        <v>0</v>
      </c>
      <c r="O6913" t="s">
        <v>20006</v>
      </c>
      <c r="P6913" t="s">
        <v>20401</v>
      </c>
      <c r="Q6913" t="s">
        <v>20840</v>
      </c>
      <c r="R6913" t="s">
        <v>419</v>
      </c>
      <c r="S6913">
        <v>1483</v>
      </c>
    </row>
    <row r="6914" spans="1:19">
      <c r="A6914" t="s">
        <v>29</v>
      </c>
      <c r="B6914" t="s">
        <v>148</v>
      </c>
      <c r="C6914" t="s">
        <v>161</v>
      </c>
      <c r="D6914" t="s">
        <v>290</v>
      </c>
      <c r="E6914" t="s">
        <v>419</v>
      </c>
      <c r="F6914">
        <f>HYPERLINK("https://www.wikidata.org/wiki/Q33322771", "Q33322771")</f>
        <v>0</v>
      </c>
      <c r="G6914" t="s">
        <v>1029</v>
      </c>
      <c r="H6914" t="s">
        <v>5525</v>
      </c>
      <c r="I6914" t="s">
        <v>9627</v>
      </c>
      <c r="J6914" t="s">
        <v>11766</v>
      </c>
      <c r="K6914" t="s">
        <v>16167</v>
      </c>
      <c r="L6914">
        <f>HYPERLINK("https://www2.assemblee-nationale.fr/sycomore/fiche/(num_dept)/6029", "6029")</f>
        <v>0</v>
      </c>
      <c r="N6914">
        <f>HYPERLINK("https://www.wikidata.org/wiki/Q3057161", "Q3057161")</f>
        <v>0</v>
      </c>
      <c r="O6914" t="s">
        <v>19969</v>
      </c>
      <c r="Q6914" t="s">
        <v>20840</v>
      </c>
      <c r="R6914" t="s">
        <v>419</v>
      </c>
      <c r="S6914">
        <v>1483</v>
      </c>
    </row>
    <row r="6915" spans="1:19">
      <c r="A6915" t="s">
        <v>29</v>
      </c>
      <c r="B6915" t="s">
        <v>148</v>
      </c>
      <c r="C6915" t="s">
        <v>161</v>
      </c>
      <c r="D6915" t="s">
        <v>290</v>
      </c>
      <c r="E6915" t="s">
        <v>419</v>
      </c>
      <c r="F6915">
        <f>HYPERLINK("https://www.wikidata.org/wiki/Q33322771", "Q33322771")</f>
        <v>0</v>
      </c>
      <c r="G6915" t="s">
        <v>767</v>
      </c>
      <c r="H6915" t="s">
        <v>5525</v>
      </c>
      <c r="I6915" t="s">
        <v>9449</v>
      </c>
      <c r="J6915" t="s">
        <v>11514</v>
      </c>
      <c r="K6915" t="s">
        <v>15918</v>
      </c>
      <c r="L6915">
        <f>HYPERLINK("https://www2.assemblee-nationale.fr/sycomore/fiche/(num_dept)/6031", "6031")</f>
        <v>0</v>
      </c>
      <c r="N6915">
        <f>HYPERLINK("https://www.wikidata.org/wiki/Q3188891", "Q3188891")</f>
        <v>0</v>
      </c>
      <c r="O6915" t="s">
        <v>19991</v>
      </c>
      <c r="Q6915" t="s">
        <v>20840</v>
      </c>
      <c r="R6915" t="s">
        <v>419</v>
      </c>
      <c r="S6915">
        <v>1483</v>
      </c>
    </row>
    <row r="6916" spans="1:19">
      <c r="A6916" t="s">
        <v>29</v>
      </c>
      <c r="B6916" t="s">
        <v>148</v>
      </c>
      <c r="C6916" t="s">
        <v>161</v>
      </c>
      <c r="D6916" t="s">
        <v>290</v>
      </c>
      <c r="E6916" t="s">
        <v>419</v>
      </c>
      <c r="F6916">
        <f>HYPERLINK("https://www.wikidata.org/wiki/Q33322771", "Q33322771")</f>
        <v>0</v>
      </c>
      <c r="G6916" t="s">
        <v>770</v>
      </c>
      <c r="H6916" t="s">
        <v>5528</v>
      </c>
      <c r="I6916" t="s">
        <v>9517</v>
      </c>
      <c r="J6916" t="s">
        <v>11517</v>
      </c>
      <c r="K6916" t="s">
        <v>15921</v>
      </c>
      <c r="L6916">
        <f>HYPERLINK("https://www2.assemblee-nationale.fr/sycomore/fiche/(num_dept)/6054", "6054")</f>
        <v>0</v>
      </c>
      <c r="N6916">
        <f>HYPERLINK("https://www.wikidata.org/wiki/Q2829651", "Q2829651")</f>
        <v>0</v>
      </c>
      <c r="O6916" t="s">
        <v>19961</v>
      </c>
      <c r="Q6916" t="s">
        <v>20840</v>
      </c>
      <c r="R6916" t="s">
        <v>419</v>
      </c>
      <c r="S6916">
        <v>1483</v>
      </c>
    </row>
    <row r="6917" spans="1:19">
      <c r="A6917" t="s">
        <v>29</v>
      </c>
      <c r="B6917" t="s">
        <v>148</v>
      </c>
      <c r="C6917" t="s">
        <v>161</v>
      </c>
      <c r="D6917" t="s">
        <v>290</v>
      </c>
      <c r="E6917" t="s">
        <v>419</v>
      </c>
      <c r="F6917">
        <f>HYPERLINK("https://www.wikidata.org/wiki/Q33322771", "Q33322771")</f>
        <v>0</v>
      </c>
      <c r="G6917" t="s">
        <v>3801</v>
      </c>
      <c r="H6917" t="s">
        <v>8086</v>
      </c>
      <c r="I6917" t="s">
        <v>10979</v>
      </c>
      <c r="J6917" t="s">
        <v>14370</v>
      </c>
      <c r="K6917" t="s">
        <v>17541</v>
      </c>
      <c r="L6917">
        <f>HYPERLINK("https://www2.assemblee-nationale.fr/sycomore/fiche/(num_dept)/6090", "6090")</f>
        <v>0</v>
      </c>
      <c r="N6917">
        <f>HYPERLINK("https://www.wikidata.org/wiki/Q16026449", "Q16026449")</f>
        <v>0</v>
      </c>
      <c r="O6917" t="s">
        <v>19968</v>
      </c>
      <c r="P6917" t="s">
        <v>20459</v>
      </c>
      <c r="Q6917" t="s">
        <v>20840</v>
      </c>
      <c r="R6917" t="s">
        <v>419</v>
      </c>
      <c r="S6917">
        <v>1483</v>
      </c>
    </row>
    <row r="6918" spans="1:19">
      <c r="A6918" t="s">
        <v>29</v>
      </c>
      <c r="B6918" t="s">
        <v>148</v>
      </c>
      <c r="C6918" t="s">
        <v>161</v>
      </c>
      <c r="D6918" t="s">
        <v>290</v>
      </c>
      <c r="E6918" t="s">
        <v>419</v>
      </c>
      <c r="F6918">
        <f>HYPERLINK("https://www.wikidata.org/wiki/Q33322771", "Q33322771")</f>
        <v>0</v>
      </c>
      <c r="G6918" t="s">
        <v>3875</v>
      </c>
      <c r="H6918" t="s">
        <v>7190</v>
      </c>
      <c r="I6918" t="s">
        <v>11006</v>
      </c>
      <c r="J6918" t="s">
        <v>14433</v>
      </c>
      <c r="K6918" t="s">
        <v>18785</v>
      </c>
      <c r="L6918">
        <f>HYPERLINK("https://www2.assemblee-nationale.fr/sycomore/fiche/(num_dept)/6105", "6105")</f>
        <v>0</v>
      </c>
      <c r="N6918">
        <f>HYPERLINK("https://www.wikidata.org/wiki/Q3419169", "Q3419169")</f>
        <v>0</v>
      </c>
      <c r="O6918" t="s">
        <v>20013</v>
      </c>
      <c r="P6918" t="s">
        <v>20410</v>
      </c>
      <c r="Q6918" t="s">
        <v>20840</v>
      </c>
      <c r="R6918" t="s">
        <v>18785</v>
      </c>
      <c r="S6918">
        <v>689</v>
      </c>
    </row>
    <row r="6919" spans="1:19">
      <c r="A6919" t="s">
        <v>29</v>
      </c>
      <c r="B6919" t="s">
        <v>148</v>
      </c>
      <c r="C6919" t="s">
        <v>161</v>
      </c>
      <c r="D6919" t="s">
        <v>290</v>
      </c>
      <c r="E6919" t="s">
        <v>419</v>
      </c>
      <c r="F6919">
        <f>HYPERLINK("https://www.wikidata.org/wiki/Q33322771", "Q33322771")</f>
        <v>0</v>
      </c>
      <c r="G6919" t="s">
        <v>1030</v>
      </c>
      <c r="H6919" t="s">
        <v>5779</v>
      </c>
      <c r="I6919" t="s">
        <v>9628</v>
      </c>
      <c r="J6919" t="s">
        <v>11767</v>
      </c>
      <c r="K6919" t="s">
        <v>16168</v>
      </c>
      <c r="L6919">
        <f>HYPERLINK("https://www2.assemblee-nationale.fr/sycomore/fiche/(num_dept)/6107", "6107")</f>
        <v>0</v>
      </c>
      <c r="N6919">
        <f>HYPERLINK("https://www.wikidata.org/wiki/Q2410604", "Q2410604")</f>
        <v>0</v>
      </c>
      <c r="O6919" t="s">
        <v>19969</v>
      </c>
      <c r="P6919" t="s">
        <v>20477</v>
      </c>
      <c r="Q6919" t="s">
        <v>20840</v>
      </c>
      <c r="R6919" t="s">
        <v>419</v>
      </c>
      <c r="S6919">
        <v>1483</v>
      </c>
    </row>
    <row r="6920" spans="1:19">
      <c r="A6920" t="s">
        <v>29</v>
      </c>
      <c r="B6920" t="s">
        <v>148</v>
      </c>
      <c r="C6920" t="s">
        <v>161</v>
      </c>
      <c r="D6920" t="s">
        <v>290</v>
      </c>
      <c r="E6920" t="s">
        <v>419</v>
      </c>
      <c r="F6920">
        <f>HYPERLINK("https://www.wikidata.org/wiki/Q33322771", "Q33322771")</f>
        <v>0</v>
      </c>
      <c r="G6920" t="s">
        <v>3936</v>
      </c>
      <c r="H6920" t="s">
        <v>8189</v>
      </c>
      <c r="I6920" t="s">
        <v>11029</v>
      </c>
      <c r="J6920" t="s">
        <v>14490</v>
      </c>
      <c r="K6920" t="s">
        <v>18838</v>
      </c>
      <c r="L6920">
        <f>HYPERLINK("https://www2.assemblee-nationale.fr/sycomore/fiche/(num_dept)/6121", "6121")</f>
        <v>0</v>
      </c>
      <c r="M6920">
        <f>HYPERLINK("https://www.senat.fr/senateur-3eme-republique/rouland_julien1587r3.html", "rouland_julien1587r3")</f>
        <v>0</v>
      </c>
      <c r="N6920">
        <f>HYPERLINK("https://www.wikidata.org/wiki/Q3189641", "Q3189641")</f>
        <v>0</v>
      </c>
      <c r="O6920" t="s">
        <v>19978</v>
      </c>
      <c r="P6920" t="s">
        <v>20479</v>
      </c>
      <c r="Q6920" t="s">
        <v>20840</v>
      </c>
      <c r="R6920" t="s">
        <v>419</v>
      </c>
      <c r="S6920">
        <v>1483</v>
      </c>
    </row>
    <row r="6921" spans="1:19">
      <c r="A6921" t="s">
        <v>29</v>
      </c>
      <c r="B6921" t="s">
        <v>148</v>
      </c>
      <c r="C6921" t="s">
        <v>161</v>
      </c>
      <c r="D6921" t="s">
        <v>290</v>
      </c>
      <c r="E6921" t="s">
        <v>419</v>
      </c>
      <c r="F6921">
        <f>HYPERLINK("https://www.wikidata.org/wiki/Q33322771", "Q33322771")</f>
        <v>0</v>
      </c>
      <c r="G6921" t="s">
        <v>2650</v>
      </c>
      <c r="H6921" t="s">
        <v>7191</v>
      </c>
      <c r="I6921" t="s">
        <v>7642</v>
      </c>
      <c r="J6921" t="s">
        <v>13292</v>
      </c>
      <c r="K6921" t="s">
        <v>17691</v>
      </c>
      <c r="L6921">
        <f>HYPERLINK("https://www2.assemblee-nationale.fr/sycomore/fiche/(num_dept)/6152", "6152")</f>
        <v>0</v>
      </c>
      <c r="M6921">
        <f>HYPERLINK("https://www.senat.fr/senateur-3eme-republique/rouvier_maurice0115r3.html", "rouvier_maurice0115r3")</f>
        <v>0</v>
      </c>
      <c r="N6921">
        <f>HYPERLINK("https://www.wikidata.org/wiki/Q471293", "Q471293")</f>
        <v>0</v>
      </c>
      <c r="O6921" t="s">
        <v>20024</v>
      </c>
      <c r="Q6921" t="s">
        <v>20840</v>
      </c>
      <c r="R6921" t="s">
        <v>419</v>
      </c>
      <c r="S6921">
        <v>1483</v>
      </c>
    </row>
    <row r="6922" spans="1:19">
      <c r="A6922" t="s">
        <v>29</v>
      </c>
      <c r="B6922" t="s">
        <v>148</v>
      </c>
      <c r="C6922" t="s">
        <v>161</v>
      </c>
      <c r="D6922" t="s">
        <v>290</v>
      </c>
      <c r="E6922" t="s">
        <v>419</v>
      </c>
      <c r="F6922">
        <f>HYPERLINK("https://www.wikidata.org/wiki/Q33322771", "Q33322771")</f>
        <v>0</v>
      </c>
      <c r="G6922" t="s">
        <v>1033</v>
      </c>
      <c r="H6922" t="s">
        <v>5782</v>
      </c>
      <c r="I6922" t="s">
        <v>9630</v>
      </c>
      <c r="J6922" t="s">
        <v>11770</v>
      </c>
      <c r="K6922" t="s">
        <v>16171</v>
      </c>
      <c r="L6922">
        <f>HYPERLINK("https://www2.assemblee-nationale.fr/sycomore/fiche/(num_dept)/6179", "6179")</f>
        <v>0</v>
      </c>
      <c r="N6922">
        <f>HYPERLINK("https://www.wikidata.org/wiki/Q13077219", "Q13077219")</f>
        <v>0</v>
      </c>
      <c r="O6922" t="s">
        <v>20022</v>
      </c>
      <c r="Q6922" t="s">
        <v>20840</v>
      </c>
      <c r="R6922" t="s">
        <v>419</v>
      </c>
      <c r="S6922">
        <v>1483</v>
      </c>
    </row>
    <row r="6923" spans="1:19">
      <c r="A6923" t="s">
        <v>29</v>
      </c>
      <c r="B6923" t="s">
        <v>148</v>
      </c>
      <c r="C6923" t="s">
        <v>161</v>
      </c>
      <c r="D6923" t="s">
        <v>290</v>
      </c>
      <c r="E6923" t="s">
        <v>419</v>
      </c>
      <c r="F6923">
        <f>HYPERLINK("https://www.wikidata.org/wiki/Q33322771", "Q33322771")</f>
        <v>0</v>
      </c>
      <c r="G6923" t="s">
        <v>776</v>
      </c>
      <c r="H6923" t="s">
        <v>5534</v>
      </c>
      <c r="I6923" t="s">
        <v>9407</v>
      </c>
      <c r="J6923" t="s">
        <v>11523</v>
      </c>
      <c r="K6923" t="s">
        <v>15927</v>
      </c>
      <c r="L6923">
        <f>HYPERLINK("https://www2.assemblee-nationale.fr/sycomore/fiche/(num_dept)/6182", "6182")</f>
        <v>0</v>
      </c>
      <c r="N6923">
        <f>HYPERLINK("https://www.wikidata.org/wiki/Q3185595", "Q3185595")</f>
        <v>0</v>
      </c>
      <c r="O6923" t="s">
        <v>20016</v>
      </c>
      <c r="Q6923" t="s">
        <v>20840</v>
      </c>
      <c r="R6923" t="s">
        <v>419</v>
      </c>
      <c r="S6923">
        <v>1483</v>
      </c>
    </row>
    <row r="6924" spans="1:19">
      <c r="A6924" t="s">
        <v>29</v>
      </c>
      <c r="B6924" t="s">
        <v>148</v>
      </c>
      <c r="C6924" t="s">
        <v>161</v>
      </c>
      <c r="D6924" t="s">
        <v>290</v>
      </c>
      <c r="E6924" t="s">
        <v>419</v>
      </c>
      <c r="F6924">
        <f>HYPERLINK("https://www.wikidata.org/wiki/Q33322771", "Q33322771")</f>
        <v>0</v>
      </c>
      <c r="G6924" t="s">
        <v>3825</v>
      </c>
      <c r="H6924" t="s">
        <v>8107</v>
      </c>
      <c r="I6924" t="s">
        <v>9385</v>
      </c>
      <c r="J6924" t="s">
        <v>14390</v>
      </c>
      <c r="K6924" t="s">
        <v>18742</v>
      </c>
      <c r="L6924">
        <f>HYPERLINK("https://www2.assemblee-nationale.fr/sycomore/fiche/(num_dept)/6212", "6212")</f>
        <v>0</v>
      </c>
      <c r="N6924">
        <f>HYPERLINK("https://www.wikidata.org/wiki/Q16026468", "Q16026468")</f>
        <v>0</v>
      </c>
      <c r="O6924" t="s">
        <v>20012</v>
      </c>
      <c r="P6924" t="s">
        <v>20479</v>
      </c>
      <c r="Q6924" t="s">
        <v>20840</v>
      </c>
      <c r="R6924" t="s">
        <v>18742</v>
      </c>
      <c r="S6924">
        <v>1360</v>
      </c>
    </row>
    <row r="6925" spans="1:19">
      <c r="A6925" t="s">
        <v>29</v>
      </c>
      <c r="B6925" t="s">
        <v>148</v>
      </c>
      <c r="C6925" t="s">
        <v>161</v>
      </c>
      <c r="D6925" t="s">
        <v>290</v>
      </c>
      <c r="E6925" t="s">
        <v>419</v>
      </c>
      <c r="F6925">
        <f>HYPERLINK("https://www.wikidata.org/wiki/Q33322771", "Q33322771")</f>
        <v>0</v>
      </c>
      <c r="G6925" t="s">
        <v>2656</v>
      </c>
      <c r="H6925" t="s">
        <v>7196</v>
      </c>
      <c r="I6925" t="s">
        <v>10343</v>
      </c>
      <c r="J6925" t="s">
        <v>13298</v>
      </c>
      <c r="K6925" t="s">
        <v>17697</v>
      </c>
      <c r="L6925">
        <f>HYPERLINK("https://www2.assemblee-nationale.fr/sycomore/fiche/(num_dept)/6222", "6222")</f>
        <v>0</v>
      </c>
      <c r="N6925">
        <f>HYPERLINK("https://www.wikidata.org/wiki/Q3592434", "Q3592434")</f>
        <v>0</v>
      </c>
      <c r="O6925" t="s">
        <v>19975</v>
      </c>
      <c r="Q6925" t="s">
        <v>20840</v>
      </c>
      <c r="R6925" t="s">
        <v>419</v>
      </c>
      <c r="S6925">
        <v>1483</v>
      </c>
    </row>
    <row r="6926" spans="1:19">
      <c r="A6926" t="s">
        <v>29</v>
      </c>
      <c r="B6926" t="s">
        <v>148</v>
      </c>
      <c r="C6926" t="s">
        <v>161</v>
      </c>
      <c r="D6926" t="s">
        <v>290</v>
      </c>
      <c r="E6926" t="s">
        <v>419</v>
      </c>
      <c r="F6926">
        <f>HYPERLINK("https://www.wikidata.org/wiki/Q33322771", "Q33322771")</f>
        <v>0</v>
      </c>
      <c r="G6926" t="s">
        <v>3832</v>
      </c>
      <c r="H6926" t="s">
        <v>8112</v>
      </c>
      <c r="I6926" t="s">
        <v>10993</v>
      </c>
      <c r="J6926" t="s">
        <v>11898</v>
      </c>
      <c r="K6926" t="s">
        <v>18135</v>
      </c>
      <c r="L6926">
        <f>HYPERLINK("https://www2.assemblee-nationale.fr/sycomore/fiche/(num_dept)/6229", "6229")</f>
        <v>0</v>
      </c>
      <c r="M6926">
        <f>HYPERLINK("https://www.senat.fr/senateur-3eme-republique/saint_quentin_louis0355r3.html", "saint_quentin_louis0355r3")</f>
        <v>0</v>
      </c>
      <c r="N6926">
        <f>HYPERLINK("https://www.wikidata.org/wiki/Q3261753", "Q3261753")</f>
        <v>0</v>
      </c>
      <c r="O6926" t="s">
        <v>20009</v>
      </c>
      <c r="Q6926" t="s">
        <v>20840</v>
      </c>
      <c r="R6926" t="s">
        <v>419</v>
      </c>
      <c r="S6926">
        <v>1483</v>
      </c>
    </row>
    <row r="6927" spans="1:19">
      <c r="A6927" t="s">
        <v>29</v>
      </c>
      <c r="B6927" t="s">
        <v>148</v>
      </c>
      <c r="C6927" t="s">
        <v>161</v>
      </c>
      <c r="D6927" t="s">
        <v>290</v>
      </c>
      <c r="E6927" t="s">
        <v>419</v>
      </c>
      <c r="F6927">
        <f>HYPERLINK("https://www.wikidata.org/wiki/Q33322771", "Q33322771")</f>
        <v>0</v>
      </c>
      <c r="G6927" t="s">
        <v>2658</v>
      </c>
      <c r="H6927" t="s">
        <v>7198</v>
      </c>
      <c r="I6927" t="s">
        <v>10345</v>
      </c>
      <c r="J6927" t="s">
        <v>13299</v>
      </c>
      <c r="K6927" t="s">
        <v>17699</v>
      </c>
      <c r="L6927">
        <f>HYPERLINK("https://www2.assemblee-nationale.fr/sycomore/fiche/(num_dept)/6250", "6250")</f>
        <v>0</v>
      </c>
      <c r="N6927">
        <f>HYPERLINK("https://www.wikidata.org/wiki/Q16026472", "Q16026472")</f>
        <v>0</v>
      </c>
      <c r="O6927" t="s">
        <v>7411</v>
      </c>
      <c r="P6927" t="s">
        <v>20401</v>
      </c>
      <c r="Q6927" t="s">
        <v>20840</v>
      </c>
      <c r="R6927" t="s">
        <v>419</v>
      </c>
      <c r="S6927">
        <v>1483</v>
      </c>
    </row>
    <row r="6928" spans="1:19">
      <c r="A6928" t="s">
        <v>29</v>
      </c>
      <c r="B6928" t="s">
        <v>148</v>
      </c>
      <c r="C6928" t="s">
        <v>161</v>
      </c>
      <c r="D6928" t="s">
        <v>290</v>
      </c>
      <c r="E6928" t="s">
        <v>419</v>
      </c>
      <c r="F6928">
        <f>HYPERLINK("https://www.wikidata.org/wiki/Q33322771", "Q33322771")</f>
        <v>0</v>
      </c>
      <c r="G6928" t="s">
        <v>2659</v>
      </c>
      <c r="H6928" t="s">
        <v>7199</v>
      </c>
      <c r="I6928" t="s">
        <v>9376</v>
      </c>
      <c r="J6928" t="s">
        <v>13300</v>
      </c>
      <c r="K6928" t="s">
        <v>17700</v>
      </c>
      <c r="L6928">
        <f>HYPERLINK("https://www2.assemblee-nationale.fr/sycomore/fiche/(num_dept)/6297", "6297")</f>
        <v>0</v>
      </c>
      <c r="M6928">
        <f>HYPERLINK("https://www.senat.fr/senateur-3eme-republique/sarrien_ferdinand1219r3.html", "sarrien_ferdinand1219r3")</f>
        <v>0</v>
      </c>
      <c r="N6928">
        <f>HYPERLINK("https://www.wikidata.org/wiki/Q718698", "Q718698")</f>
        <v>0</v>
      </c>
      <c r="O6928" t="s">
        <v>19994</v>
      </c>
      <c r="Q6928" t="s">
        <v>20840</v>
      </c>
      <c r="R6928" t="s">
        <v>419</v>
      </c>
      <c r="S6928">
        <v>1483</v>
      </c>
    </row>
    <row r="6929" spans="1:19">
      <c r="A6929" t="s">
        <v>29</v>
      </c>
      <c r="B6929" t="s">
        <v>148</v>
      </c>
      <c r="C6929" t="s">
        <v>161</v>
      </c>
      <c r="D6929" t="s">
        <v>290</v>
      </c>
      <c r="E6929" t="s">
        <v>419</v>
      </c>
      <c r="F6929">
        <f>HYPERLINK("https://www.wikidata.org/wiki/Q33322771", "Q33322771")</f>
        <v>0</v>
      </c>
      <c r="G6929" t="s">
        <v>779</v>
      </c>
      <c r="H6929" t="s">
        <v>5537</v>
      </c>
      <c r="I6929" t="s">
        <v>6175</v>
      </c>
      <c r="J6929" t="s">
        <v>11526</v>
      </c>
      <c r="K6929" t="s">
        <v>15930</v>
      </c>
      <c r="L6929">
        <f>HYPERLINK("https://www2.assemblee-nationale.fr/sycomore/fiche/(num_dept)/6306", "6306")</f>
        <v>0</v>
      </c>
      <c r="N6929">
        <f>HYPERLINK("https://www.wikidata.org/wiki/Q16026484", "Q16026484")</f>
        <v>0</v>
      </c>
      <c r="O6929" t="s">
        <v>20010</v>
      </c>
      <c r="Q6929" t="s">
        <v>20840</v>
      </c>
      <c r="R6929" t="s">
        <v>419</v>
      </c>
      <c r="S6929">
        <v>1483</v>
      </c>
    </row>
    <row r="6930" spans="1:19">
      <c r="A6930" t="s">
        <v>29</v>
      </c>
      <c r="B6930" t="s">
        <v>148</v>
      </c>
      <c r="C6930" t="s">
        <v>161</v>
      </c>
      <c r="D6930" t="s">
        <v>290</v>
      </c>
      <c r="E6930" t="s">
        <v>419</v>
      </c>
      <c r="F6930">
        <f>HYPERLINK("https://www.wikidata.org/wiki/Q33322771", "Q33322771")</f>
        <v>0</v>
      </c>
      <c r="G6930" t="s">
        <v>781</v>
      </c>
      <c r="H6930" t="s">
        <v>5539</v>
      </c>
      <c r="I6930" t="s">
        <v>9499</v>
      </c>
      <c r="J6930" t="s">
        <v>11528</v>
      </c>
      <c r="K6930" t="s">
        <v>15932</v>
      </c>
      <c r="L6930">
        <f>HYPERLINK("https://www2.assemblee-nationale.fr/sycomore/fiche/(num_dept)/6320", "6320")</f>
        <v>0</v>
      </c>
      <c r="N6930">
        <f>HYPERLINK("https://www.wikidata.org/wiki/Q16026489", "Q16026489")</f>
        <v>0</v>
      </c>
      <c r="O6930" t="s">
        <v>19991</v>
      </c>
      <c r="Q6930" t="s">
        <v>20840</v>
      </c>
      <c r="R6930" t="s">
        <v>21582</v>
      </c>
      <c r="S6930">
        <v>561</v>
      </c>
    </row>
    <row r="6931" spans="1:19">
      <c r="A6931" t="s">
        <v>29</v>
      </c>
      <c r="B6931" t="s">
        <v>148</v>
      </c>
      <c r="C6931" t="s">
        <v>161</v>
      </c>
      <c r="D6931" t="s">
        <v>290</v>
      </c>
      <c r="E6931" t="s">
        <v>419</v>
      </c>
      <c r="F6931">
        <f>HYPERLINK("https://www.wikidata.org/wiki/Q33322771", "Q33322771")</f>
        <v>0</v>
      </c>
      <c r="G6931" t="s">
        <v>782</v>
      </c>
      <c r="H6931" t="s">
        <v>5282</v>
      </c>
      <c r="I6931" t="s">
        <v>9521</v>
      </c>
      <c r="J6931" t="s">
        <v>11529</v>
      </c>
      <c r="K6931" t="s">
        <v>15933</v>
      </c>
      <c r="L6931">
        <f>HYPERLINK("https://www2.assemblee-nationale.fr/sycomore/fiche/(num_dept)/6324", "6324")</f>
        <v>0</v>
      </c>
      <c r="N6931">
        <f>HYPERLINK("https://www.wikidata.org/wiki/Q3133056", "Q3133056")</f>
        <v>0</v>
      </c>
      <c r="O6931" t="s">
        <v>20021</v>
      </c>
      <c r="P6931" t="s">
        <v>20410</v>
      </c>
      <c r="Q6931" t="s">
        <v>20840</v>
      </c>
      <c r="R6931" t="s">
        <v>419</v>
      </c>
      <c r="S6931">
        <v>1483</v>
      </c>
    </row>
    <row r="6932" spans="1:19">
      <c r="A6932" t="s">
        <v>29</v>
      </c>
      <c r="B6932" t="s">
        <v>148</v>
      </c>
      <c r="C6932" t="s">
        <v>161</v>
      </c>
      <c r="D6932" t="s">
        <v>290</v>
      </c>
      <c r="E6932" t="s">
        <v>419</v>
      </c>
      <c r="F6932">
        <f>HYPERLINK("https://www.wikidata.org/wiki/Q33322771", "Q33322771")</f>
        <v>0</v>
      </c>
      <c r="G6932" t="s">
        <v>3937</v>
      </c>
      <c r="H6932" t="s">
        <v>5540</v>
      </c>
      <c r="I6932" t="s">
        <v>9465</v>
      </c>
      <c r="J6932" t="s">
        <v>14491</v>
      </c>
      <c r="K6932" t="s">
        <v>18839</v>
      </c>
      <c r="L6932">
        <f>HYPERLINK("https://www2.assemblee-nationale.fr/sycomore/fiche/(num_dept)/6351", "6351")</f>
        <v>0</v>
      </c>
      <c r="N6932">
        <f>HYPERLINK("https://www.wikidata.org/wiki/Q3059938", "Q3059938")</f>
        <v>0</v>
      </c>
      <c r="O6932" t="s">
        <v>19994</v>
      </c>
      <c r="Q6932" t="s">
        <v>20840</v>
      </c>
      <c r="R6932" t="s">
        <v>419</v>
      </c>
      <c r="S6932">
        <v>1483</v>
      </c>
    </row>
    <row r="6933" spans="1:19">
      <c r="A6933" t="s">
        <v>29</v>
      </c>
      <c r="B6933" t="s">
        <v>148</v>
      </c>
      <c r="C6933" t="s">
        <v>161</v>
      </c>
      <c r="D6933" t="s">
        <v>290</v>
      </c>
      <c r="E6933" t="s">
        <v>419</v>
      </c>
      <c r="F6933">
        <f>HYPERLINK("https://www.wikidata.org/wiki/Q33322771", "Q33322771")</f>
        <v>0</v>
      </c>
      <c r="G6933" t="s">
        <v>3867</v>
      </c>
      <c r="H6933" t="s">
        <v>8136</v>
      </c>
      <c r="I6933" t="s">
        <v>11005</v>
      </c>
      <c r="J6933" t="s">
        <v>14426</v>
      </c>
      <c r="K6933" t="s">
        <v>18779</v>
      </c>
      <c r="L6933">
        <f>HYPERLINK("https://www2.assemblee-nationale.fr/sycomore/fiche/(num_dept)/6408", "6408")</f>
        <v>0</v>
      </c>
      <c r="N6933">
        <f>HYPERLINK("https://www.wikidata.org/wiki/Q16026351", "Q16026351")</f>
        <v>0</v>
      </c>
      <c r="O6933" t="s">
        <v>20037</v>
      </c>
      <c r="P6933" t="s">
        <v>20479</v>
      </c>
      <c r="Q6933" t="s">
        <v>20840</v>
      </c>
      <c r="R6933" t="s">
        <v>419</v>
      </c>
      <c r="S6933">
        <v>1483</v>
      </c>
    </row>
    <row r="6934" spans="1:19">
      <c r="A6934" t="s">
        <v>29</v>
      </c>
      <c r="B6934" t="s">
        <v>148</v>
      </c>
      <c r="C6934" t="s">
        <v>161</v>
      </c>
      <c r="D6934" t="s">
        <v>290</v>
      </c>
      <c r="E6934" t="s">
        <v>419</v>
      </c>
      <c r="F6934">
        <f>HYPERLINK("https://www.wikidata.org/wiki/Q33322771", "Q33322771")</f>
        <v>0</v>
      </c>
      <c r="G6934" t="s">
        <v>3495</v>
      </c>
      <c r="H6934" t="s">
        <v>7865</v>
      </c>
      <c r="I6934" t="s">
        <v>9446</v>
      </c>
      <c r="J6934" t="s">
        <v>14093</v>
      </c>
      <c r="K6934" t="s">
        <v>18181</v>
      </c>
      <c r="L6934">
        <f>HYPERLINK("https://www2.assemblee-nationale.fr/sycomore/fiche/(num_dept)/6424", "6424")</f>
        <v>0</v>
      </c>
      <c r="M6934">
        <f>HYPERLINK("https://www.senat.fr/senateur-3eme-republique/de_breil_de_pontbriand_fernand1284r3.html", "de_breil_de_pontbriand_fernand1284r3")</f>
        <v>0</v>
      </c>
      <c r="N6934">
        <f>HYPERLINK("https://www.wikidata.org/wiki/Q3069390", "Q3069390")</f>
        <v>0</v>
      </c>
      <c r="O6934" t="s">
        <v>20023</v>
      </c>
      <c r="Q6934" t="s">
        <v>20840</v>
      </c>
      <c r="R6934" t="s">
        <v>21583</v>
      </c>
      <c r="S6934">
        <v>988</v>
      </c>
    </row>
    <row r="6935" spans="1:19">
      <c r="A6935" t="s">
        <v>29</v>
      </c>
      <c r="B6935" t="s">
        <v>148</v>
      </c>
      <c r="C6935" t="s">
        <v>161</v>
      </c>
      <c r="D6935" t="s">
        <v>290</v>
      </c>
      <c r="E6935" t="s">
        <v>419</v>
      </c>
      <c r="F6935">
        <f>HYPERLINK("https://www.wikidata.org/wiki/Q33322771", "Q33322771")</f>
        <v>0</v>
      </c>
      <c r="G6935" t="s">
        <v>3496</v>
      </c>
      <c r="H6935" t="s">
        <v>5546</v>
      </c>
      <c r="I6935" t="s">
        <v>10847</v>
      </c>
      <c r="J6935" t="s">
        <v>14094</v>
      </c>
      <c r="K6935" t="s">
        <v>17718</v>
      </c>
      <c r="L6935">
        <f>HYPERLINK("https://www2.assemblee-nationale.fr/sycomore/fiche/(num_dept)/6434", "6434")</f>
        <v>0</v>
      </c>
      <c r="N6935">
        <f>HYPERLINK("https://www.wikidata.org/wiki/Q2861944", "Q2861944")</f>
        <v>0</v>
      </c>
      <c r="O6935" t="s">
        <v>19998</v>
      </c>
      <c r="Q6935" t="s">
        <v>20840</v>
      </c>
      <c r="R6935" t="s">
        <v>419</v>
      </c>
      <c r="S6935">
        <v>1483</v>
      </c>
    </row>
    <row r="6936" spans="1:19">
      <c r="A6936" t="s">
        <v>29</v>
      </c>
      <c r="B6936" t="s">
        <v>148</v>
      </c>
      <c r="C6936" t="s">
        <v>161</v>
      </c>
      <c r="D6936" t="s">
        <v>290</v>
      </c>
      <c r="E6936" t="s">
        <v>419</v>
      </c>
      <c r="F6936">
        <f>HYPERLINK("https://www.wikidata.org/wiki/Q33322771", "Q33322771")</f>
        <v>0</v>
      </c>
      <c r="G6936" t="s">
        <v>790</v>
      </c>
      <c r="H6936" t="s">
        <v>5547</v>
      </c>
      <c r="I6936" t="s">
        <v>6158</v>
      </c>
      <c r="J6936" t="s">
        <v>11537</v>
      </c>
      <c r="K6936" t="s">
        <v>15941</v>
      </c>
      <c r="L6936">
        <f>HYPERLINK("https://www2.assemblee-nationale.fr/sycomore/fiche/(num_dept)/6451", "6451")</f>
        <v>0</v>
      </c>
      <c r="N6936">
        <f>HYPERLINK("https://www.wikidata.org/wiki/Q3092579", "Q3092579")</f>
        <v>0</v>
      </c>
      <c r="O6936" t="s">
        <v>20024</v>
      </c>
      <c r="Q6936" t="s">
        <v>20840</v>
      </c>
      <c r="R6936" t="s">
        <v>419</v>
      </c>
      <c r="S6936">
        <v>1483</v>
      </c>
    </row>
    <row r="6937" spans="1:19">
      <c r="A6937" t="s">
        <v>29</v>
      </c>
      <c r="B6937" t="s">
        <v>148</v>
      </c>
      <c r="C6937" t="s">
        <v>161</v>
      </c>
      <c r="D6937" t="s">
        <v>290</v>
      </c>
      <c r="E6937" t="s">
        <v>419</v>
      </c>
      <c r="F6937">
        <f>HYPERLINK("https://www.wikidata.org/wiki/Q33322771", "Q33322771")</f>
        <v>0</v>
      </c>
      <c r="G6937" t="s">
        <v>3938</v>
      </c>
      <c r="H6937" t="s">
        <v>8190</v>
      </c>
      <c r="I6937" t="s">
        <v>11030</v>
      </c>
      <c r="J6937" t="s">
        <v>14492</v>
      </c>
      <c r="K6937" t="s">
        <v>18840</v>
      </c>
      <c r="L6937">
        <f>HYPERLINK("https://www2.assemblee-nationale.fr/sycomore/fiche/(num_dept)/6471", "6471")</f>
        <v>0</v>
      </c>
      <c r="N6937">
        <f>HYPERLINK("https://www.wikidata.org/wiki/Q16026364", "Q16026364")</f>
        <v>0</v>
      </c>
      <c r="O6937" t="s">
        <v>19955</v>
      </c>
      <c r="P6937" t="s">
        <v>20479</v>
      </c>
      <c r="Q6937" t="s">
        <v>20840</v>
      </c>
      <c r="R6937" t="s">
        <v>419</v>
      </c>
      <c r="S6937">
        <v>1483</v>
      </c>
    </row>
    <row r="6938" spans="1:19">
      <c r="A6938" t="s">
        <v>29</v>
      </c>
      <c r="B6938" t="s">
        <v>148</v>
      </c>
      <c r="C6938" t="s">
        <v>161</v>
      </c>
      <c r="D6938" t="s">
        <v>290</v>
      </c>
      <c r="E6938" t="s">
        <v>419</v>
      </c>
      <c r="F6938">
        <f>HYPERLINK("https://www.wikidata.org/wiki/Q33322771", "Q33322771")</f>
        <v>0</v>
      </c>
      <c r="G6938" t="s">
        <v>2663</v>
      </c>
      <c r="H6938" t="s">
        <v>7203</v>
      </c>
      <c r="I6938" t="s">
        <v>10348</v>
      </c>
      <c r="J6938" t="s">
        <v>13304</v>
      </c>
      <c r="K6938" t="s">
        <v>17704</v>
      </c>
      <c r="L6938">
        <f>HYPERLINK("https://www2.assemblee-nationale.fr/sycomore/fiche/(num_dept)/6484", "6484")</f>
        <v>0</v>
      </c>
      <c r="N6938">
        <f>HYPERLINK("https://www.wikidata.org/wiki/Q15969647", "Q15969647")</f>
        <v>0</v>
      </c>
      <c r="O6938" t="s">
        <v>20045</v>
      </c>
      <c r="Q6938" t="s">
        <v>20840</v>
      </c>
      <c r="R6938" t="s">
        <v>419</v>
      </c>
      <c r="S6938">
        <v>1483</v>
      </c>
    </row>
    <row r="6939" spans="1:19">
      <c r="A6939" t="s">
        <v>29</v>
      </c>
      <c r="B6939" t="s">
        <v>148</v>
      </c>
      <c r="C6939" t="s">
        <v>161</v>
      </c>
      <c r="D6939" t="s">
        <v>290</v>
      </c>
      <c r="E6939" t="s">
        <v>419</v>
      </c>
      <c r="F6939">
        <f>HYPERLINK("https://www.wikidata.org/wiki/Q33322771", "Q33322771")</f>
        <v>0</v>
      </c>
      <c r="G6939" t="s">
        <v>3830</v>
      </c>
      <c r="H6939" t="s">
        <v>8110</v>
      </c>
      <c r="I6939" t="s">
        <v>6495</v>
      </c>
      <c r="J6939" t="s">
        <v>14139</v>
      </c>
      <c r="K6939" t="s">
        <v>18747</v>
      </c>
      <c r="L6939">
        <f>HYPERLINK("https://www2.assemblee-nationale.fr/sycomore/fiche/(num_dept)/6526", "6526")</f>
        <v>0</v>
      </c>
      <c r="N6939">
        <f>HYPERLINK("https://www.wikidata.org/wiki/Q16026378", "Q16026378")</f>
        <v>0</v>
      </c>
      <c r="O6939" t="s">
        <v>20030</v>
      </c>
      <c r="P6939" t="s">
        <v>20479</v>
      </c>
      <c r="Q6939" t="s">
        <v>20840</v>
      </c>
      <c r="R6939" t="s">
        <v>419</v>
      </c>
      <c r="S6939">
        <v>1483</v>
      </c>
    </row>
    <row r="6940" spans="1:19">
      <c r="A6940" t="s">
        <v>29</v>
      </c>
      <c r="B6940" t="s">
        <v>148</v>
      </c>
      <c r="C6940" t="s">
        <v>161</v>
      </c>
      <c r="D6940" t="s">
        <v>290</v>
      </c>
      <c r="E6940" t="s">
        <v>419</v>
      </c>
      <c r="F6940">
        <f>HYPERLINK("https://www.wikidata.org/wiki/Q33322771", "Q33322771")</f>
        <v>0</v>
      </c>
      <c r="G6940" t="s">
        <v>792</v>
      </c>
      <c r="H6940" t="s">
        <v>5549</v>
      </c>
      <c r="I6940" t="s">
        <v>6495</v>
      </c>
      <c r="J6940" t="s">
        <v>11539</v>
      </c>
      <c r="K6940" t="s">
        <v>15943</v>
      </c>
      <c r="L6940">
        <f>HYPERLINK("https://www2.assemblee-nationale.fr/sycomore/fiche/(num_dept)/6531", "6531")</f>
        <v>0</v>
      </c>
      <c r="N6940">
        <f>HYPERLINK("https://www.wikidata.org/wiki/Q3262963", "Q3262963")</f>
        <v>0</v>
      </c>
      <c r="O6940" t="s">
        <v>19969</v>
      </c>
      <c r="P6940" t="s">
        <v>20477</v>
      </c>
      <c r="Q6940" t="s">
        <v>20840</v>
      </c>
      <c r="R6940" t="s">
        <v>419</v>
      </c>
      <c r="S6940">
        <v>1483</v>
      </c>
    </row>
    <row r="6941" spans="1:19">
      <c r="A6941" t="s">
        <v>29</v>
      </c>
      <c r="B6941" t="s">
        <v>148</v>
      </c>
      <c r="C6941" t="s">
        <v>161</v>
      </c>
      <c r="D6941" t="s">
        <v>290</v>
      </c>
      <c r="E6941" t="s">
        <v>419</v>
      </c>
      <c r="F6941">
        <f>HYPERLINK("https://www.wikidata.org/wiki/Q33322771", "Q33322771")</f>
        <v>0</v>
      </c>
      <c r="G6941" t="s">
        <v>795</v>
      </c>
      <c r="H6941" t="s">
        <v>5552</v>
      </c>
      <c r="I6941" t="s">
        <v>9421</v>
      </c>
      <c r="J6941" t="s">
        <v>11542</v>
      </c>
      <c r="K6941" t="s">
        <v>15946</v>
      </c>
      <c r="L6941">
        <f>HYPERLINK("https://www2.assemblee-nationale.fr/sycomore/fiche/(num_dept)/6556", "6556")</f>
        <v>0</v>
      </c>
      <c r="N6941">
        <f>HYPERLINK("https://www.wikidata.org/wiki/Q16026386", "Q16026386")</f>
        <v>0</v>
      </c>
      <c r="O6941" t="s">
        <v>19978</v>
      </c>
      <c r="P6941" t="s">
        <v>20479</v>
      </c>
      <c r="Q6941" t="s">
        <v>20840</v>
      </c>
      <c r="R6941" t="s">
        <v>419</v>
      </c>
      <c r="S6941">
        <v>1483</v>
      </c>
    </row>
    <row r="6942" spans="1:19">
      <c r="A6942" t="s">
        <v>29</v>
      </c>
      <c r="B6942" t="s">
        <v>148</v>
      </c>
      <c r="C6942" t="s">
        <v>161</v>
      </c>
      <c r="D6942" t="s">
        <v>290</v>
      </c>
      <c r="E6942" t="s">
        <v>419</v>
      </c>
      <c r="F6942">
        <f>HYPERLINK("https://www.wikidata.org/wiki/Q33322771", "Q33322771")</f>
        <v>0</v>
      </c>
      <c r="G6942" t="s">
        <v>3498</v>
      </c>
      <c r="H6942" t="s">
        <v>7867</v>
      </c>
      <c r="I6942" t="s">
        <v>9605</v>
      </c>
      <c r="J6942" t="s">
        <v>14096</v>
      </c>
      <c r="K6942" t="s">
        <v>18460</v>
      </c>
      <c r="L6942">
        <f>HYPERLINK("https://www2.assemblee-nationale.fr/sycomore/fiche/(num_dept)/6564", "6564")</f>
        <v>0</v>
      </c>
      <c r="M6942">
        <f>HYPERLINK("https://www.senat.fr/senateur-3eme-republique/quintaa_justin1048r3.html", "quintaa_justin1048r3")</f>
        <v>0</v>
      </c>
      <c r="N6942">
        <f>HYPERLINK("https://www.wikidata.org/wiki/Q3190491", "Q3190491")</f>
        <v>0</v>
      </c>
      <c r="O6942" t="s">
        <v>19970</v>
      </c>
      <c r="Q6942" t="s">
        <v>20840</v>
      </c>
      <c r="R6942" t="s">
        <v>17879</v>
      </c>
      <c r="S6942">
        <v>650</v>
      </c>
    </row>
    <row r="6943" spans="1:19">
      <c r="A6943" t="s">
        <v>29</v>
      </c>
      <c r="B6943" t="s">
        <v>148</v>
      </c>
      <c r="C6943" t="s">
        <v>161</v>
      </c>
      <c r="D6943" t="s">
        <v>290</v>
      </c>
      <c r="E6943" t="s">
        <v>419</v>
      </c>
      <c r="F6943">
        <f>HYPERLINK("https://www.wikidata.org/wiki/Q33322771", "Q33322771")</f>
        <v>0</v>
      </c>
      <c r="G6943" t="s">
        <v>3726</v>
      </c>
      <c r="H6943" t="s">
        <v>8035</v>
      </c>
      <c r="I6943" t="s">
        <v>10949</v>
      </c>
      <c r="J6943" t="s">
        <v>14301</v>
      </c>
      <c r="K6943" t="s">
        <v>18655</v>
      </c>
      <c r="L6943">
        <f>HYPERLINK("https://www2.assemblee-nationale.fr/sycomore/fiche/(num_dept)/6580", "6580")</f>
        <v>0</v>
      </c>
      <c r="N6943">
        <f>HYPERLINK("https://www.wikidata.org/wiki/Q16026390", "Q16026390")</f>
        <v>0</v>
      </c>
      <c r="O6943" t="s">
        <v>20039</v>
      </c>
      <c r="P6943" t="s">
        <v>20471</v>
      </c>
      <c r="Q6943" t="s">
        <v>20840</v>
      </c>
      <c r="R6943" t="s">
        <v>419</v>
      </c>
      <c r="S6943">
        <v>1483</v>
      </c>
    </row>
    <row r="6944" spans="1:19">
      <c r="A6944" t="s">
        <v>29</v>
      </c>
      <c r="B6944" t="s">
        <v>148</v>
      </c>
      <c r="C6944" t="s">
        <v>161</v>
      </c>
      <c r="D6944" t="s">
        <v>290</v>
      </c>
      <c r="E6944" t="s">
        <v>419</v>
      </c>
      <c r="F6944">
        <f>HYPERLINK("https://www.wikidata.org/wiki/Q33322771", "Q33322771")</f>
        <v>0</v>
      </c>
      <c r="G6944" t="s">
        <v>798</v>
      </c>
      <c r="H6944" t="s">
        <v>5555</v>
      </c>
      <c r="I6944" t="s">
        <v>9529</v>
      </c>
      <c r="J6944" t="s">
        <v>11545</v>
      </c>
      <c r="K6944" t="s">
        <v>15949</v>
      </c>
      <c r="L6944">
        <f>HYPERLINK("https://www2.assemblee-nationale.fr/sycomore/fiche/(num_dept)/6581", "6581")</f>
        <v>0</v>
      </c>
      <c r="M6944">
        <f>HYPERLINK("https://www.senat.fr/senateur-3eme-republique/raiberti_flaminius0124r3.html", "raiberti_flaminius0124r3")</f>
        <v>0</v>
      </c>
      <c r="N6944">
        <f>HYPERLINK("https://www.wikidata.org/wiki/Q3073302", "Q3073302")</f>
        <v>0</v>
      </c>
      <c r="O6944" t="s">
        <v>20024</v>
      </c>
      <c r="Q6944" t="s">
        <v>20840</v>
      </c>
      <c r="R6944" t="s">
        <v>419</v>
      </c>
      <c r="S6944">
        <v>1483</v>
      </c>
    </row>
    <row r="6945" spans="1:19">
      <c r="A6945" t="s">
        <v>29</v>
      </c>
      <c r="B6945" t="s">
        <v>148</v>
      </c>
      <c r="C6945" t="s">
        <v>161</v>
      </c>
      <c r="D6945" t="s">
        <v>290</v>
      </c>
      <c r="E6945" t="s">
        <v>419</v>
      </c>
      <c r="F6945">
        <f>HYPERLINK("https://www.wikidata.org/wiki/Q33322771", "Q33322771")</f>
        <v>0</v>
      </c>
      <c r="G6945" t="s">
        <v>1305</v>
      </c>
      <c r="H6945" t="s">
        <v>6026</v>
      </c>
      <c r="I6945" t="s">
        <v>9741</v>
      </c>
      <c r="J6945" t="s">
        <v>12035</v>
      </c>
      <c r="K6945" t="s">
        <v>16436</v>
      </c>
      <c r="L6945">
        <f>HYPERLINK("https://www2.assemblee-nationale.fr/sycomore/fiche/(num_dept)/6585", "6585")</f>
        <v>0</v>
      </c>
      <c r="M6945">
        <f>HYPERLINK("https://www.senat.fr/senateur-3eme-republique/rajon_claude1188r3.html", "rajon_claude1188r3")</f>
        <v>0</v>
      </c>
      <c r="N6945">
        <f>HYPERLINK("https://www.wikidata.org/wiki/Q2978029", "Q2978029")</f>
        <v>0</v>
      </c>
      <c r="O6945" t="s">
        <v>20006</v>
      </c>
      <c r="Q6945" t="s">
        <v>20840</v>
      </c>
      <c r="R6945" t="s">
        <v>419</v>
      </c>
      <c r="S6945">
        <v>1483</v>
      </c>
    </row>
    <row r="6946" spans="1:19">
      <c r="A6946" t="s">
        <v>29</v>
      </c>
      <c r="B6946" t="s">
        <v>148</v>
      </c>
      <c r="C6946" t="s">
        <v>161</v>
      </c>
      <c r="D6946" t="s">
        <v>290</v>
      </c>
      <c r="E6946" t="s">
        <v>419</v>
      </c>
      <c r="F6946">
        <f>HYPERLINK("https://www.wikidata.org/wiki/Q33322771", "Q33322771")</f>
        <v>0</v>
      </c>
      <c r="G6946" t="s">
        <v>2665</v>
      </c>
      <c r="H6946" t="s">
        <v>5556</v>
      </c>
      <c r="I6946" t="s">
        <v>10349</v>
      </c>
      <c r="J6946" t="s">
        <v>13306</v>
      </c>
      <c r="K6946" t="s">
        <v>17706</v>
      </c>
      <c r="L6946">
        <f>HYPERLINK("https://www2.assemblee-nationale.fr/sycomore/fiche/(num_dept)/6613", "6613")</f>
        <v>0</v>
      </c>
      <c r="N6946">
        <f>HYPERLINK("https://www.wikidata.org/wiki/Q3121306", "Q3121306")</f>
        <v>0</v>
      </c>
      <c r="O6946" t="s">
        <v>19985</v>
      </c>
      <c r="P6946" t="s">
        <v>20460</v>
      </c>
      <c r="Q6946" t="s">
        <v>20840</v>
      </c>
      <c r="R6946" t="s">
        <v>419</v>
      </c>
      <c r="S6946">
        <v>1483</v>
      </c>
    </row>
    <row r="6947" spans="1:19">
      <c r="A6947" t="s">
        <v>29</v>
      </c>
      <c r="B6947" t="s">
        <v>148</v>
      </c>
      <c r="C6947" t="s">
        <v>161</v>
      </c>
      <c r="D6947" t="s">
        <v>290</v>
      </c>
      <c r="E6947" t="s">
        <v>419</v>
      </c>
      <c r="F6947">
        <f>HYPERLINK("https://www.wikidata.org/wiki/Q33322771", "Q33322771")</f>
        <v>0</v>
      </c>
      <c r="G6947" t="s">
        <v>3165</v>
      </c>
      <c r="H6947" t="s">
        <v>5558</v>
      </c>
      <c r="I6947" t="s">
        <v>10675</v>
      </c>
      <c r="J6947" t="s">
        <v>13786</v>
      </c>
      <c r="K6947" t="s">
        <v>18161</v>
      </c>
      <c r="L6947">
        <f>HYPERLINK("https://www2.assemblee-nationale.fr/sycomore/fiche/(num_dept)/6636", "6636")</f>
        <v>0</v>
      </c>
      <c r="M6947">
        <f>HYPERLINK("https://www.senat.fr/senateur-3eme-republique/razimbaud_jules0239r3.html", "razimbaud_jules0239r3")</f>
        <v>0</v>
      </c>
      <c r="N6947">
        <f>HYPERLINK("https://www.wikidata.org/wiki/Q3188871", "Q3188871")</f>
        <v>0</v>
      </c>
      <c r="O6947" t="s">
        <v>7411</v>
      </c>
      <c r="Q6947" t="s">
        <v>20840</v>
      </c>
      <c r="R6947" t="s">
        <v>419</v>
      </c>
      <c r="S6947">
        <v>1483</v>
      </c>
    </row>
    <row r="6948" spans="1:19">
      <c r="A6948" t="s">
        <v>29</v>
      </c>
      <c r="B6948" t="s">
        <v>148</v>
      </c>
      <c r="C6948" t="s">
        <v>161</v>
      </c>
      <c r="D6948" t="s">
        <v>290</v>
      </c>
      <c r="E6948" t="s">
        <v>419</v>
      </c>
      <c r="F6948">
        <f>HYPERLINK("https://www.wikidata.org/wiki/Q33322771", "Q33322771")</f>
        <v>0</v>
      </c>
      <c r="G6948" t="s">
        <v>2968</v>
      </c>
      <c r="H6948" t="s">
        <v>7436</v>
      </c>
      <c r="I6948" t="s">
        <v>10548</v>
      </c>
      <c r="J6948" t="s">
        <v>13600</v>
      </c>
      <c r="K6948" t="s">
        <v>17986</v>
      </c>
      <c r="L6948">
        <f>HYPERLINK("https://www2.assemblee-nationale.fr/sycomore/fiche/(num_dept)/6651", "6651")</f>
        <v>0</v>
      </c>
      <c r="N6948">
        <f>HYPERLINK("https://www.wikidata.org/wiki/Q16026400", "Q16026400")</f>
        <v>0</v>
      </c>
      <c r="O6948" t="s">
        <v>19985</v>
      </c>
      <c r="P6948" t="s">
        <v>20479</v>
      </c>
      <c r="Q6948" t="s">
        <v>20840</v>
      </c>
      <c r="R6948" t="s">
        <v>419</v>
      </c>
      <c r="S6948">
        <v>1483</v>
      </c>
    </row>
    <row r="6949" spans="1:19">
      <c r="A6949" t="s">
        <v>29</v>
      </c>
      <c r="B6949" t="s">
        <v>148</v>
      </c>
      <c r="C6949" t="s">
        <v>161</v>
      </c>
      <c r="D6949" t="s">
        <v>290</v>
      </c>
      <c r="E6949" t="s">
        <v>419</v>
      </c>
      <c r="F6949">
        <f>HYPERLINK("https://www.wikidata.org/wiki/Q33322771", "Q33322771")</f>
        <v>0</v>
      </c>
      <c r="G6949" t="s">
        <v>2668</v>
      </c>
      <c r="H6949" t="s">
        <v>5559</v>
      </c>
      <c r="I6949" t="s">
        <v>10351</v>
      </c>
      <c r="J6949" t="s">
        <v>13309</v>
      </c>
      <c r="K6949" t="s">
        <v>17709</v>
      </c>
      <c r="L6949">
        <f>HYPERLINK("https://www2.assemblee-nationale.fr/sycomore/fiche/(num_dept)/6661", "6661")</f>
        <v>0</v>
      </c>
      <c r="N6949">
        <f>HYPERLINK("https://www.wikidata.org/wiki/Q3426803", "Q3426803")</f>
        <v>0</v>
      </c>
      <c r="O6949" t="s">
        <v>19962</v>
      </c>
      <c r="P6949" t="s">
        <v>20460</v>
      </c>
      <c r="Q6949" t="s">
        <v>20840</v>
      </c>
      <c r="R6949" t="s">
        <v>17709</v>
      </c>
      <c r="S6949">
        <v>197</v>
      </c>
    </row>
    <row r="6950" spans="1:19">
      <c r="A6950" t="s">
        <v>29</v>
      </c>
      <c r="B6950" t="s">
        <v>148</v>
      </c>
      <c r="C6950" t="s">
        <v>161</v>
      </c>
      <c r="D6950" t="s">
        <v>290</v>
      </c>
      <c r="E6950" t="s">
        <v>419</v>
      </c>
      <c r="F6950">
        <f>HYPERLINK("https://www.wikidata.org/wiki/Q33322771", "Q33322771")</f>
        <v>0</v>
      </c>
      <c r="G6950" t="s">
        <v>2669</v>
      </c>
      <c r="H6950" t="s">
        <v>7206</v>
      </c>
      <c r="I6950" t="s">
        <v>10352</v>
      </c>
      <c r="J6950" t="s">
        <v>13310</v>
      </c>
      <c r="K6950" t="s">
        <v>17710</v>
      </c>
      <c r="L6950">
        <f>HYPERLINK("https://www2.assemblee-nationale.fr/sycomore/fiche/(num_dept)/6678", "6678")</f>
        <v>0</v>
      </c>
      <c r="N6950">
        <f>HYPERLINK("https://www.wikidata.org/wiki/Q2844704", "Q2844704")</f>
        <v>0</v>
      </c>
      <c r="O6950" t="s">
        <v>19984</v>
      </c>
      <c r="Q6950" t="s">
        <v>20840</v>
      </c>
      <c r="R6950" t="s">
        <v>419</v>
      </c>
      <c r="S6950">
        <v>1483</v>
      </c>
    </row>
    <row r="6951" spans="1:19">
      <c r="A6951" t="s">
        <v>29</v>
      </c>
      <c r="B6951" t="s">
        <v>148</v>
      </c>
      <c r="C6951" t="s">
        <v>161</v>
      </c>
      <c r="D6951" t="s">
        <v>290</v>
      </c>
      <c r="E6951" t="s">
        <v>419</v>
      </c>
      <c r="F6951">
        <f>HYPERLINK("https://www.wikidata.org/wiki/Q33322771", "Q33322771")</f>
        <v>0</v>
      </c>
      <c r="G6951" t="s">
        <v>3500</v>
      </c>
      <c r="H6951" t="s">
        <v>7480</v>
      </c>
      <c r="I6951" t="s">
        <v>10849</v>
      </c>
      <c r="J6951" t="s">
        <v>14098</v>
      </c>
      <c r="K6951" t="s">
        <v>18462</v>
      </c>
      <c r="L6951">
        <f>HYPERLINK("https://www2.assemblee-nationale.fr/sycomore/fiche/(num_dept)/6701", "6701")</f>
        <v>0</v>
      </c>
      <c r="M6951">
        <f>HYPERLINK("https://www.senat.fr/senateur-3eme-republique/rey_emile0613r3.html", "rey_emile0613r3")</f>
        <v>0</v>
      </c>
      <c r="N6951">
        <f>HYPERLINK("https://www.wikidata.org/wiki/Q3588712", "Q3588712")</f>
        <v>0</v>
      </c>
      <c r="O6951" t="s">
        <v>19974</v>
      </c>
      <c r="P6951" t="s">
        <v>20459</v>
      </c>
      <c r="Q6951" t="s">
        <v>20840</v>
      </c>
      <c r="R6951" t="s">
        <v>419</v>
      </c>
      <c r="S6951">
        <v>1483</v>
      </c>
    </row>
    <row r="6952" spans="1:19">
      <c r="A6952" t="s">
        <v>29</v>
      </c>
      <c r="B6952" t="s">
        <v>148</v>
      </c>
      <c r="C6952" t="s">
        <v>161</v>
      </c>
      <c r="D6952" t="s">
        <v>290</v>
      </c>
      <c r="E6952" t="s">
        <v>419</v>
      </c>
      <c r="F6952">
        <f>HYPERLINK("https://www.wikidata.org/wiki/Q33322771", "Q33322771")</f>
        <v>0</v>
      </c>
      <c r="G6952" t="s">
        <v>2671</v>
      </c>
      <c r="H6952" t="s">
        <v>7208</v>
      </c>
      <c r="I6952" t="s">
        <v>9553</v>
      </c>
      <c r="J6952" t="s">
        <v>13312</v>
      </c>
      <c r="K6952" t="s">
        <v>17712</v>
      </c>
      <c r="L6952">
        <f>HYPERLINK("https://www2.assemblee-nationale.fr/sycomore/fiche/(num_dept)/6727", "6727")</f>
        <v>0</v>
      </c>
      <c r="M6952">
        <f>HYPERLINK("https://www.senat.fr/senateur-3eme-republique/ribot_alexandre0941r3.html", "ribot_alexandre0941r3")</f>
        <v>0</v>
      </c>
      <c r="N6952">
        <f>HYPERLINK("https://www.wikidata.org/wiki/Q358387", "Q358387")</f>
        <v>0</v>
      </c>
      <c r="O6952" t="s">
        <v>19968</v>
      </c>
      <c r="Q6952" t="s">
        <v>20840</v>
      </c>
      <c r="R6952" t="s">
        <v>419</v>
      </c>
      <c r="S6952">
        <v>1483</v>
      </c>
    </row>
    <row r="6953" spans="1:19">
      <c r="A6953" t="s">
        <v>29</v>
      </c>
      <c r="B6953" t="s">
        <v>148</v>
      </c>
      <c r="C6953" t="s">
        <v>161</v>
      </c>
      <c r="D6953" t="s">
        <v>290</v>
      </c>
      <c r="E6953" t="s">
        <v>419</v>
      </c>
      <c r="F6953">
        <f>HYPERLINK("https://www.wikidata.org/wiki/Q33322771", "Q33322771")</f>
        <v>0</v>
      </c>
      <c r="G6953" t="s">
        <v>3643</v>
      </c>
      <c r="H6953" t="s">
        <v>7600</v>
      </c>
      <c r="I6953" t="s">
        <v>10786</v>
      </c>
      <c r="J6953" t="s">
        <v>14223</v>
      </c>
      <c r="K6953" t="s">
        <v>18585</v>
      </c>
      <c r="L6953">
        <f>HYPERLINK("https://www2.assemblee-nationale.fr/sycomore/fiche/(num_dept)/6728", "6728")</f>
        <v>0</v>
      </c>
      <c r="M6953">
        <f>HYPERLINK("https://www.senat.fr/senateur-3eme-republique/ricard_henri0543r3.html", "ricard_henri0543r3")</f>
        <v>0</v>
      </c>
      <c r="N6953">
        <f>HYPERLINK("https://www.wikidata.org/wiki/Q3131907", "Q3131907")</f>
        <v>0</v>
      </c>
      <c r="O6953" t="s">
        <v>20002</v>
      </c>
      <c r="Q6953" t="s">
        <v>20840</v>
      </c>
      <c r="R6953" t="s">
        <v>419</v>
      </c>
      <c r="S6953">
        <v>1483</v>
      </c>
    </row>
    <row r="6954" spans="1:19">
      <c r="A6954" t="s">
        <v>29</v>
      </c>
      <c r="B6954" t="s">
        <v>148</v>
      </c>
      <c r="C6954" t="s">
        <v>161</v>
      </c>
      <c r="D6954" t="s">
        <v>290</v>
      </c>
      <c r="E6954" t="s">
        <v>419</v>
      </c>
      <c r="F6954">
        <f>HYPERLINK("https://www.wikidata.org/wiki/Q33322771", "Q33322771")</f>
        <v>0</v>
      </c>
      <c r="G6954" t="s">
        <v>3168</v>
      </c>
      <c r="H6954" t="s">
        <v>7600</v>
      </c>
      <c r="I6954" t="s">
        <v>6495</v>
      </c>
      <c r="J6954" t="s">
        <v>13789</v>
      </c>
      <c r="K6954" t="s">
        <v>18164</v>
      </c>
      <c r="L6954">
        <f>HYPERLINK("https://www2.assemblee-nationale.fr/sycomore/fiche/(num_dept)/6729", "6729")</f>
        <v>0</v>
      </c>
      <c r="N6954">
        <f>HYPERLINK("https://www.wikidata.org/wiki/Q3263005", "Q3263005")</f>
        <v>0</v>
      </c>
      <c r="O6954" t="s">
        <v>19978</v>
      </c>
      <c r="Q6954" t="s">
        <v>20840</v>
      </c>
      <c r="R6954" t="s">
        <v>419</v>
      </c>
      <c r="S6954">
        <v>1483</v>
      </c>
    </row>
    <row r="6955" spans="1:19">
      <c r="A6955" t="s">
        <v>29</v>
      </c>
      <c r="B6955" t="s">
        <v>148</v>
      </c>
      <c r="C6955" t="s">
        <v>161</v>
      </c>
      <c r="D6955" t="s">
        <v>290</v>
      </c>
      <c r="E6955" t="s">
        <v>419</v>
      </c>
      <c r="F6955">
        <f>HYPERLINK("https://www.wikidata.org/wiki/Q33322771", "Q33322771")</f>
        <v>0</v>
      </c>
      <c r="G6955" t="s">
        <v>3597</v>
      </c>
      <c r="H6955" t="s">
        <v>6303</v>
      </c>
      <c r="I6955" t="s">
        <v>10899</v>
      </c>
      <c r="J6955" t="s">
        <v>14183</v>
      </c>
      <c r="K6955" t="s">
        <v>18549</v>
      </c>
      <c r="L6955">
        <f>HYPERLINK("https://www2.assemblee-nationale.fr/sycomore/fiche/(num_dept)/6739", "6739")</f>
        <v>0</v>
      </c>
      <c r="N6955">
        <f>HYPERLINK("https://www.wikidata.org/wiki/Q16026419", "Q16026419")</f>
        <v>0</v>
      </c>
      <c r="O6955" t="s">
        <v>19969</v>
      </c>
      <c r="P6955" t="s">
        <v>20488</v>
      </c>
      <c r="Q6955" t="s">
        <v>20840</v>
      </c>
      <c r="R6955" t="s">
        <v>419</v>
      </c>
      <c r="S6955">
        <v>1483</v>
      </c>
    </row>
    <row r="6956" spans="1:19">
      <c r="A6956" t="s">
        <v>29</v>
      </c>
      <c r="B6956" t="s">
        <v>148</v>
      </c>
      <c r="C6956" t="s">
        <v>161</v>
      </c>
      <c r="D6956" t="s">
        <v>290</v>
      </c>
      <c r="E6956" t="s">
        <v>419</v>
      </c>
      <c r="F6956">
        <f>HYPERLINK("https://www.wikidata.org/wiki/Q33322771", "Q33322771")</f>
        <v>0</v>
      </c>
      <c r="G6956" t="s">
        <v>3939</v>
      </c>
      <c r="H6956" t="s">
        <v>8191</v>
      </c>
      <c r="I6956" t="s">
        <v>11031</v>
      </c>
      <c r="J6956" t="s">
        <v>12672</v>
      </c>
      <c r="K6956" t="s">
        <v>16308</v>
      </c>
      <c r="L6956">
        <f>HYPERLINK("https://www2.assemblee-nationale.fr/sycomore/fiche/(num_dept)/6754", "6754")</f>
        <v>0</v>
      </c>
      <c r="N6956">
        <f>HYPERLINK("https://www.wikidata.org/wiki/Q16026423", "Q16026423")</f>
        <v>0</v>
      </c>
      <c r="O6956" t="s">
        <v>19982</v>
      </c>
      <c r="Q6956" t="s">
        <v>20840</v>
      </c>
      <c r="R6956" t="s">
        <v>419</v>
      </c>
      <c r="S6956">
        <v>1483</v>
      </c>
    </row>
    <row r="6957" spans="1:19">
      <c r="A6957" t="s">
        <v>29</v>
      </c>
      <c r="B6957" t="s">
        <v>148</v>
      </c>
      <c r="C6957" t="s">
        <v>161</v>
      </c>
      <c r="D6957" t="s">
        <v>290</v>
      </c>
      <c r="E6957" t="s">
        <v>419</v>
      </c>
      <c r="F6957">
        <f>HYPERLINK("https://www.wikidata.org/wiki/Q33322771", "Q33322771")</f>
        <v>0</v>
      </c>
      <c r="G6957" t="s">
        <v>2674</v>
      </c>
      <c r="H6957" t="s">
        <v>7209</v>
      </c>
      <c r="I6957" t="s">
        <v>10355</v>
      </c>
      <c r="J6957" t="s">
        <v>13315</v>
      </c>
      <c r="K6957" t="s">
        <v>17715</v>
      </c>
      <c r="L6957">
        <f>HYPERLINK("https://www2.assemblee-nationale.fr/sycomore/fiche/(num_dept)/6782", "6782")</f>
        <v>0</v>
      </c>
      <c r="M6957">
        <f>HYPERLINK("https://www.senat.fr/senateur-3eme-republique/riotteau_emile1031r3.html", "riotteau_emile1031r3")</f>
        <v>0</v>
      </c>
      <c r="N6957">
        <f>HYPERLINK("https://www.wikidata.org/wiki/Q3588719", "Q3588719")</f>
        <v>0</v>
      </c>
      <c r="O6957" t="s">
        <v>19985</v>
      </c>
      <c r="Q6957" t="s">
        <v>20840</v>
      </c>
      <c r="R6957" t="s">
        <v>419</v>
      </c>
      <c r="S6957">
        <v>1483</v>
      </c>
    </row>
    <row r="6958" spans="1:19">
      <c r="A6958" t="s">
        <v>29</v>
      </c>
      <c r="B6958" t="s">
        <v>148</v>
      </c>
      <c r="C6958" t="s">
        <v>161</v>
      </c>
      <c r="D6958" t="s">
        <v>290</v>
      </c>
      <c r="E6958" t="s">
        <v>419</v>
      </c>
      <c r="F6958">
        <f>HYPERLINK("https://www.wikidata.org/wiki/Q33322771", "Q33322771")</f>
        <v>0</v>
      </c>
      <c r="G6958" t="s">
        <v>3940</v>
      </c>
      <c r="H6958" t="s">
        <v>8192</v>
      </c>
      <c r="I6958" t="s">
        <v>11032</v>
      </c>
      <c r="J6958" t="s">
        <v>14493</v>
      </c>
      <c r="K6958" t="s">
        <v>18841</v>
      </c>
      <c r="L6958">
        <f>HYPERLINK("https://www2.assemblee-nationale.fr/sycomore/fiche/(num_dept)/6784", "6784")</f>
        <v>0</v>
      </c>
      <c r="N6958">
        <f>HYPERLINK("https://www.wikidata.org/wiki/Q3573931", "Q3573931")</f>
        <v>0</v>
      </c>
      <c r="O6958" t="s">
        <v>19964</v>
      </c>
      <c r="P6958" t="s">
        <v>20479</v>
      </c>
      <c r="Q6958" t="s">
        <v>20840</v>
      </c>
      <c r="R6958" t="s">
        <v>419</v>
      </c>
      <c r="S6958">
        <v>1483</v>
      </c>
    </row>
    <row r="6959" spans="1:19">
      <c r="A6959" t="s">
        <v>29</v>
      </c>
      <c r="B6959" t="s">
        <v>148</v>
      </c>
      <c r="C6959" t="s">
        <v>161</v>
      </c>
      <c r="D6959" t="s">
        <v>290</v>
      </c>
      <c r="E6959" t="s">
        <v>419</v>
      </c>
      <c r="F6959">
        <f>HYPERLINK("https://www.wikidata.org/wiki/Q33322771", "Q33322771")</f>
        <v>0</v>
      </c>
      <c r="G6959" t="s">
        <v>3068</v>
      </c>
      <c r="H6959" t="s">
        <v>7303</v>
      </c>
      <c r="I6959" t="s">
        <v>10608</v>
      </c>
      <c r="J6959" t="s">
        <v>13692</v>
      </c>
      <c r="K6959" t="s">
        <v>18075</v>
      </c>
      <c r="L6959">
        <f>HYPERLINK("https://www2.assemblee-nationale.fr/sycomore/fiche/(num_dept)/6785", "6785")</f>
        <v>0</v>
      </c>
      <c r="N6959">
        <f>HYPERLINK("https://www.wikidata.org/wiki/Q3090160", "Q3090160")</f>
        <v>0</v>
      </c>
      <c r="O6959" t="s">
        <v>19964</v>
      </c>
      <c r="Q6959" t="s">
        <v>20840</v>
      </c>
      <c r="R6959" t="s">
        <v>419</v>
      </c>
      <c r="S6959">
        <v>1483</v>
      </c>
    </row>
    <row r="6960" spans="1:19">
      <c r="A6960" t="s">
        <v>29</v>
      </c>
      <c r="B6960" t="s">
        <v>148</v>
      </c>
      <c r="C6960" t="s">
        <v>161</v>
      </c>
      <c r="D6960" t="s">
        <v>290</v>
      </c>
      <c r="E6960" t="s">
        <v>419</v>
      </c>
      <c r="F6960">
        <f>HYPERLINK("https://www.wikidata.org/wiki/Q33322771", "Q33322771")</f>
        <v>0</v>
      </c>
      <c r="G6960" t="s">
        <v>3883</v>
      </c>
      <c r="H6960" t="s">
        <v>8146</v>
      </c>
      <c r="I6960" t="s">
        <v>9552</v>
      </c>
      <c r="J6960" t="s">
        <v>14441</v>
      </c>
      <c r="K6960" t="s">
        <v>18792</v>
      </c>
      <c r="L6960">
        <f>HYPERLINK("https://www2.assemblee-nationale.fr/sycomore/fiche/(num_dept)/6790", "6790")</f>
        <v>0</v>
      </c>
      <c r="M6960">
        <f>HYPERLINK("https://www.senat.fr/senateur-3eme-republique/rispal_auguste1614r3.html", "rispal_auguste1614r3")</f>
        <v>0</v>
      </c>
      <c r="N6960">
        <f>HYPERLINK("https://www.wikidata.org/wiki/Q2871383", "Q2871383")</f>
        <v>0</v>
      </c>
      <c r="O6960" t="s">
        <v>19978</v>
      </c>
      <c r="Q6960" t="s">
        <v>20840</v>
      </c>
      <c r="R6960" t="s">
        <v>419</v>
      </c>
      <c r="S6960">
        <v>1483</v>
      </c>
    </row>
    <row r="6961" spans="1:19">
      <c r="A6961" t="s">
        <v>29</v>
      </c>
      <c r="B6961" t="s">
        <v>148</v>
      </c>
      <c r="C6961" t="s">
        <v>161</v>
      </c>
      <c r="D6961" t="s">
        <v>290</v>
      </c>
      <c r="E6961" t="s">
        <v>419</v>
      </c>
      <c r="F6961">
        <f>HYPERLINK("https://www.wikidata.org/wiki/Q33322771", "Q33322771")</f>
        <v>0</v>
      </c>
      <c r="G6961" t="s">
        <v>3848</v>
      </c>
      <c r="H6961" t="s">
        <v>8122</v>
      </c>
      <c r="I6961" t="s">
        <v>10931</v>
      </c>
      <c r="J6961" t="s">
        <v>14408</v>
      </c>
      <c r="K6961" t="s">
        <v>18760</v>
      </c>
      <c r="L6961">
        <f>HYPERLINK("https://www2.assemblee-nationale.fr/sycomore/fiche/(num_dept)/6825", "6825")</f>
        <v>0</v>
      </c>
      <c r="N6961">
        <f>HYPERLINK("https://www.wikidata.org/wiki/Q8308227", "Q8308227")</f>
        <v>0</v>
      </c>
      <c r="O6961" t="s">
        <v>20033</v>
      </c>
      <c r="P6961" t="s">
        <v>20479</v>
      </c>
      <c r="Q6961" t="s">
        <v>20840</v>
      </c>
      <c r="R6961" t="s">
        <v>419</v>
      </c>
      <c r="S6961">
        <v>1483</v>
      </c>
    </row>
    <row r="6962" spans="1:19">
      <c r="A6962" t="s">
        <v>29</v>
      </c>
      <c r="B6962" t="s">
        <v>148</v>
      </c>
      <c r="C6962" t="s">
        <v>161</v>
      </c>
      <c r="D6962" t="s">
        <v>290</v>
      </c>
      <c r="E6962" t="s">
        <v>419</v>
      </c>
      <c r="F6962">
        <f>HYPERLINK("https://www.wikidata.org/wiki/Q33322771", "Q33322771")</f>
        <v>0</v>
      </c>
      <c r="G6962" t="s">
        <v>811</v>
      </c>
      <c r="H6962" t="s">
        <v>5568</v>
      </c>
      <c r="I6962" t="s">
        <v>9535</v>
      </c>
      <c r="J6962" t="s">
        <v>11558</v>
      </c>
      <c r="K6962" t="s">
        <v>15962</v>
      </c>
      <c r="L6962">
        <f>HYPERLINK("https://www2.assemblee-nationale.fr/sycomore/fiche/(num_dept)/6854", "6854")</f>
        <v>0</v>
      </c>
      <c r="M6962">
        <f>HYPERLINK("https://www.senat.fr/senateur-3eme-republique/simyan_julien1227r3.html", "simyan_julien1227r3")</f>
        <v>0</v>
      </c>
      <c r="N6962">
        <f>HYPERLINK("https://www.wikidata.org/wiki/Q3189661", "Q3189661")</f>
        <v>0</v>
      </c>
      <c r="O6962" t="s">
        <v>19994</v>
      </c>
      <c r="P6962" t="s">
        <v>20401</v>
      </c>
      <c r="Q6962" t="s">
        <v>20840</v>
      </c>
      <c r="R6962" t="s">
        <v>419</v>
      </c>
      <c r="S6962">
        <v>1483</v>
      </c>
    </row>
    <row r="6963" spans="1:19">
      <c r="A6963" t="s">
        <v>29</v>
      </c>
      <c r="B6963" t="s">
        <v>148</v>
      </c>
      <c r="C6963" t="s">
        <v>161</v>
      </c>
      <c r="D6963" t="s">
        <v>290</v>
      </c>
      <c r="E6963" t="s">
        <v>419</v>
      </c>
      <c r="F6963">
        <f>HYPERLINK("https://www.wikidata.org/wiki/Q33322771", "Q33322771")</f>
        <v>0</v>
      </c>
      <c r="G6963" t="s">
        <v>3502</v>
      </c>
      <c r="H6963" t="s">
        <v>7870</v>
      </c>
      <c r="I6963" t="s">
        <v>10850</v>
      </c>
      <c r="J6963" t="s">
        <v>14100</v>
      </c>
      <c r="K6963" t="s">
        <v>18464</v>
      </c>
      <c r="L6963">
        <f>HYPERLINK("https://www2.assemblee-nationale.fr/sycomore/fiche/(num_dept)/6867", "6867")</f>
        <v>0</v>
      </c>
      <c r="N6963">
        <f>HYPERLINK("https://www.wikidata.org/wiki/Q3190989", "Q3190989")</f>
        <v>0</v>
      </c>
      <c r="O6963" t="s">
        <v>19962</v>
      </c>
      <c r="P6963" t="s">
        <v>20492</v>
      </c>
      <c r="Q6963" t="s">
        <v>20840</v>
      </c>
      <c r="R6963" t="s">
        <v>419</v>
      </c>
      <c r="S6963">
        <v>1483</v>
      </c>
    </row>
    <row r="6964" spans="1:19">
      <c r="A6964" t="s">
        <v>29</v>
      </c>
      <c r="B6964" t="s">
        <v>148</v>
      </c>
      <c r="C6964" t="s">
        <v>161</v>
      </c>
      <c r="D6964" t="s">
        <v>290</v>
      </c>
      <c r="E6964" t="s">
        <v>419</v>
      </c>
      <c r="F6964">
        <f>HYPERLINK("https://www.wikidata.org/wiki/Q33322771", "Q33322771")</f>
        <v>0</v>
      </c>
      <c r="G6964" t="s">
        <v>3941</v>
      </c>
      <c r="H6964" t="s">
        <v>8193</v>
      </c>
      <c r="I6964" t="s">
        <v>9449</v>
      </c>
      <c r="J6964" t="s">
        <v>14494</v>
      </c>
      <c r="K6964" t="s">
        <v>18842</v>
      </c>
      <c r="L6964">
        <f>HYPERLINK("https://www2.assemblee-nationale.fr/sycomore/fiche/(num_dept)/6871", "6871")</f>
        <v>0</v>
      </c>
      <c r="N6964">
        <f>HYPERLINK("https://www.wikidata.org/wiki/Q16026513", "Q16026513")</f>
        <v>0</v>
      </c>
      <c r="O6964" t="s">
        <v>20030</v>
      </c>
      <c r="P6964" t="s">
        <v>20402</v>
      </c>
      <c r="Q6964" t="s">
        <v>20840</v>
      </c>
      <c r="R6964" t="s">
        <v>18842</v>
      </c>
      <c r="S6964">
        <v>918</v>
      </c>
    </row>
    <row r="6965" spans="1:19">
      <c r="A6965" t="s">
        <v>29</v>
      </c>
      <c r="B6965" t="s">
        <v>148</v>
      </c>
      <c r="C6965" t="s">
        <v>161</v>
      </c>
      <c r="D6965" t="s">
        <v>290</v>
      </c>
      <c r="E6965" t="s">
        <v>419</v>
      </c>
      <c r="F6965">
        <f>HYPERLINK("https://www.wikidata.org/wiki/Q33322771", "Q33322771")</f>
        <v>0</v>
      </c>
      <c r="G6965" t="s">
        <v>3942</v>
      </c>
      <c r="H6965" t="s">
        <v>8194</v>
      </c>
      <c r="I6965" t="s">
        <v>6585</v>
      </c>
      <c r="J6965" t="s">
        <v>14495</v>
      </c>
      <c r="K6965" t="s">
        <v>18843</v>
      </c>
      <c r="L6965">
        <f>HYPERLINK("https://www2.assemblee-nationale.fr/sycomore/fiche/(num_dept)/6916", "6916")</f>
        <v>0</v>
      </c>
      <c r="N6965">
        <f>HYPERLINK("https://www.wikidata.org/wiki/Q14623368", "Q14623368")</f>
        <v>0</v>
      </c>
      <c r="O6965" t="s">
        <v>19978</v>
      </c>
      <c r="P6965" t="s">
        <v>20410</v>
      </c>
      <c r="Q6965" t="s">
        <v>20840</v>
      </c>
      <c r="R6965" t="s">
        <v>419</v>
      </c>
      <c r="S6965">
        <v>1483</v>
      </c>
    </row>
    <row r="6966" spans="1:19">
      <c r="A6966" t="s">
        <v>29</v>
      </c>
      <c r="B6966" t="s">
        <v>148</v>
      </c>
      <c r="C6966" t="s">
        <v>161</v>
      </c>
      <c r="D6966" t="s">
        <v>290</v>
      </c>
      <c r="E6966" t="s">
        <v>419</v>
      </c>
      <c r="F6966">
        <f>HYPERLINK("https://www.wikidata.org/wiki/Q33322771", "Q33322771")</f>
        <v>0</v>
      </c>
      <c r="G6966" t="s">
        <v>3170</v>
      </c>
      <c r="H6966" t="s">
        <v>6034</v>
      </c>
      <c r="I6966" t="s">
        <v>10679</v>
      </c>
      <c r="J6966" t="s">
        <v>13791</v>
      </c>
      <c r="K6966" t="s">
        <v>18166</v>
      </c>
      <c r="L6966">
        <f>HYPERLINK("https://www2.assemblee-nationale.fr/sycomore/fiche/(num_dept)/6937", "6937")</f>
        <v>0</v>
      </c>
      <c r="N6966">
        <f>HYPERLINK("https://www.wikidata.org/wiki/Q16026528", "Q16026528")</f>
        <v>0</v>
      </c>
      <c r="O6966" t="s">
        <v>19968</v>
      </c>
      <c r="P6966" t="s">
        <v>20410</v>
      </c>
      <c r="Q6966" t="s">
        <v>20840</v>
      </c>
      <c r="R6966" t="s">
        <v>419</v>
      </c>
      <c r="S6966">
        <v>1483</v>
      </c>
    </row>
    <row r="6967" spans="1:19">
      <c r="A6967" t="s">
        <v>29</v>
      </c>
      <c r="B6967" t="s">
        <v>148</v>
      </c>
      <c r="C6967" t="s">
        <v>161</v>
      </c>
      <c r="D6967" t="s">
        <v>290</v>
      </c>
      <c r="E6967" t="s">
        <v>419</v>
      </c>
      <c r="F6967">
        <f>HYPERLINK("https://www.wikidata.org/wiki/Q33322771", "Q33322771")</f>
        <v>0</v>
      </c>
      <c r="G6967" t="s">
        <v>3943</v>
      </c>
      <c r="H6967" t="s">
        <v>8195</v>
      </c>
      <c r="I6967" t="s">
        <v>11033</v>
      </c>
      <c r="J6967" t="s">
        <v>14496</v>
      </c>
      <c r="K6967" t="s">
        <v>18844</v>
      </c>
      <c r="L6967">
        <f>HYPERLINK("https://www2.assemblee-nationale.fr/sycomore/fiche/(num_dept)/6986", "6986")</f>
        <v>0</v>
      </c>
      <c r="N6967">
        <f>HYPERLINK("https://www.wikidata.org/wiki/Q3301446", "Q3301446")</f>
        <v>0</v>
      </c>
      <c r="O6967" t="s">
        <v>19959</v>
      </c>
      <c r="P6967" t="s">
        <v>20479</v>
      </c>
      <c r="Q6967" t="s">
        <v>20840</v>
      </c>
      <c r="R6967" t="s">
        <v>419</v>
      </c>
      <c r="S6967">
        <v>1483</v>
      </c>
    </row>
    <row r="6968" spans="1:19">
      <c r="A6968" t="s">
        <v>29</v>
      </c>
      <c r="B6968" t="s">
        <v>148</v>
      </c>
      <c r="C6968" t="s">
        <v>161</v>
      </c>
      <c r="D6968" t="s">
        <v>290</v>
      </c>
      <c r="E6968" t="s">
        <v>419</v>
      </c>
      <c r="F6968">
        <f>HYPERLINK("https://www.wikidata.org/wiki/Q33322771", "Q33322771")</f>
        <v>0</v>
      </c>
      <c r="G6968" t="s">
        <v>3286</v>
      </c>
      <c r="H6968" t="s">
        <v>7698</v>
      </c>
      <c r="I6968" t="s">
        <v>9376</v>
      </c>
      <c r="J6968" t="s">
        <v>13900</v>
      </c>
      <c r="K6968" t="s">
        <v>18272</v>
      </c>
      <c r="L6968">
        <f>HYPERLINK("https://www2.assemblee-nationale.fr/sycomore/fiche/(num_dept)/7016", "7016")</f>
        <v>0</v>
      </c>
      <c r="N6968">
        <f>HYPERLINK("https://www.wikidata.org/wiki/Q3068657", "Q3068657")</f>
        <v>0</v>
      </c>
      <c r="O6968" t="s">
        <v>19960</v>
      </c>
      <c r="P6968" t="s">
        <v>20477</v>
      </c>
      <c r="Q6968" t="s">
        <v>20840</v>
      </c>
      <c r="R6968" t="s">
        <v>419</v>
      </c>
      <c r="S6968">
        <v>1483</v>
      </c>
    </row>
    <row r="6969" spans="1:19">
      <c r="A6969" t="s">
        <v>29</v>
      </c>
      <c r="B6969" t="s">
        <v>148</v>
      </c>
      <c r="C6969" t="s">
        <v>161</v>
      </c>
      <c r="D6969" t="s">
        <v>290</v>
      </c>
      <c r="E6969" t="s">
        <v>419</v>
      </c>
      <c r="F6969">
        <f>HYPERLINK("https://www.wikidata.org/wiki/Q33322771", "Q33322771")</f>
        <v>0</v>
      </c>
      <c r="G6969" t="s">
        <v>2686</v>
      </c>
      <c r="H6969" t="s">
        <v>7219</v>
      </c>
      <c r="I6969" t="s">
        <v>10364</v>
      </c>
      <c r="J6969" t="s">
        <v>13327</v>
      </c>
      <c r="K6969" t="s">
        <v>17727</v>
      </c>
      <c r="L6969">
        <f>HYPERLINK("https://www2.assemblee-nationale.fr/sycomore/fiche/(num_dept)/7017", "7017")</f>
        <v>0</v>
      </c>
      <c r="N6969">
        <f>HYPERLINK("https://www.wikidata.org/wiki/Q16026550", "Q16026550")</f>
        <v>0</v>
      </c>
      <c r="O6969" t="s">
        <v>20010</v>
      </c>
      <c r="P6969" t="s">
        <v>20401</v>
      </c>
      <c r="Q6969" t="s">
        <v>20840</v>
      </c>
      <c r="R6969" t="s">
        <v>419</v>
      </c>
      <c r="S6969">
        <v>1483</v>
      </c>
    </row>
    <row r="6970" spans="1:19">
      <c r="A6970" t="s">
        <v>29</v>
      </c>
      <c r="B6970" t="s">
        <v>148</v>
      </c>
      <c r="C6970" t="s">
        <v>161</v>
      </c>
      <c r="D6970" t="s">
        <v>290</v>
      </c>
      <c r="E6970" t="s">
        <v>419</v>
      </c>
      <c r="F6970">
        <f>HYPERLINK("https://www.wikidata.org/wiki/Q33322771", "Q33322771")</f>
        <v>0</v>
      </c>
      <c r="G6970" t="s">
        <v>818</v>
      </c>
      <c r="H6970" t="s">
        <v>5575</v>
      </c>
      <c r="I6970" t="s">
        <v>9470</v>
      </c>
      <c r="J6970" t="s">
        <v>11565</v>
      </c>
      <c r="K6970" t="s">
        <v>15969</v>
      </c>
      <c r="L6970">
        <f>HYPERLINK("https://www2.assemblee-nationale.fr/sycomore/fiche/(num_dept)/7055", "7055")</f>
        <v>0</v>
      </c>
      <c r="N6970">
        <f>HYPERLINK("https://www.wikidata.org/wiki/Q2246519", "Q2246519")</f>
        <v>0</v>
      </c>
      <c r="O6970" t="s">
        <v>20000</v>
      </c>
      <c r="Q6970" t="s">
        <v>20840</v>
      </c>
      <c r="R6970" t="s">
        <v>419</v>
      </c>
      <c r="S6970">
        <v>1483</v>
      </c>
    </row>
    <row r="6971" spans="1:19">
      <c r="A6971" t="s">
        <v>29</v>
      </c>
      <c r="B6971" t="s">
        <v>148</v>
      </c>
      <c r="C6971" t="s">
        <v>161</v>
      </c>
      <c r="D6971" t="s">
        <v>290</v>
      </c>
      <c r="E6971" t="s">
        <v>419</v>
      </c>
      <c r="F6971">
        <f>HYPERLINK("https://www.wikidata.org/wiki/Q33322771", "Q33322771")</f>
        <v>0</v>
      </c>
      <c r="G6971" t="s">
        <v>3506</v>
      </c>
      <c r="H6971" t="s">
        <v>7873</v>
      </c>
      <c r="I6971" t="s">
        <v>10854</v>
      </c>
      <c r="J6971" t="s">
        <v>14104</v>
      </c>
      <c r="K6971" t="s">
        <v>18468</v>
      </c>
      <c r="L6971">
        <f>HYPERLINK("https://www2.assemblee-nationale.fr/sycomore/fiche/(num_dept)/7062", "7062")</f>
        <v>0</v>
      </c>
      <c r="M6971">
        <f>HYPERLINK("https://www.senat.fr/senateur-3eme-republique/thorel_jules0739r3.html", "thorel_jules0739r3")</f>
        <v>0</v>
      </c>
      <c r="N6971">
        <f>HYPERLINK("https://www.wikidata.org/wiki/Q3188936", "Q3188936")</f>
        <v>0</v>
      </c>
      <c r="O6971" t="s">
        <v>19992</v>
      </c>
      <c r="Q6971" t="s">
        <v>20840</v>
      </c>
      <c r="R6971" t="s">
        <v>18375</v>
      </c>
      <c r="S6971">
        <v>256</v>
      </c>
    </row>
    <row r="6972" spans="1:19">
      <c r="A6972" t="s">
        <v>29</v>
      </c>
      <c r="B6972" t="s">
        <v>148</v>
      </c>
      <c r="C6972" t="s">
        <v>161</v>
      </c>
      <c r="D6972" t="s">
        <v>290</v>
      </c>
      <c r="E6972" t="s">
        <v>419</v>
      </c>
      <c r="F6972">
        <f>HYPERLINK("https://www.wikidata.org/wiki/Q33322771", "Q33322771")</f>
        <v>0</v>
      </c>
      <c r="G6972" t="s">
        <v>3641</v>
      </c>
      <c r="H6972" t="s">
        <v>7973</v>
      </c>
      <c r="I6972" t="s">
        <v>9458</v>
      </c>
      <c r="J6972" t="s">
        <v>14221</v>
      </c>
      <c r="K6972" t="s">
        <v>18584</v>
      </c>
      <c r="L6972">
        <f>HYPERLINK("https://www2.assemblee-nationale.fr/sycomore/fiche/(num_dept)/7082", "7082")</f>
        <v>0</v>
      </c>
      <c r="N6972">
        <f>HYPERLINK("https://www.wikidata.org/wiki/Q8337934", "Q8337934")</f>
        <v>0</v>
      </c>
      <c r="O6972" t="s">
        <v>20008</v>
      </c>
      <c r="P6972" t="s">
        <v>20401</v>
      </c>
      <c r="Q6972" t="s">
        <v>20840</v>
      </c>
      <c r="R6972" t="s">
        <v>419</v>
      </c>
      <c r="S6972">
        <v>1483</v>
      </c>
    </row>
    <row r="6973" spans="1:19">
      <c r="A6973" t="s">
        <v>29</v>
      </c>
      <c r="B6973" t="s">
        <v>148</v>
      </c>
      <c r="C6973" t="s">
        <v>161</v>
      </c>
      <c r="D6973" t="s">
        <v>290</v>
      </c>
      <c r="E6973" t="s">
        <v>419</v>
      </c>
      <c r="F6973">
        <f>HYPERLINK("https://www.wikidata.org/wiki/Q33322771", "Q33322771")</f>
        <v>0</v>
      </c>
      <c r="G6973" t="s">
        <v>3944</v>
      </c>
      <c r="H6973" t="s">
        <v>8196</v>
      </c>
      <c r="I6973" t="s">
        <v>11034</v>
      </c>
      <c r="J6973" t="s">
        <v>14497</v>
      </c>
      <c r="K6973" t="s">
        <v>18845</v>
      </c>
      <c r="L6973">
        <f>HYPERLINK("https://www2.assemblee-nationale.fr/sycomore/fiche/(num_dept)/7127", "7127")</f>
        <v>0</v>
      </c>
      <c r="N6973">
        <f>HYPERLINK("https://www.wikidata.org/wiki/Q16026566", "Q16026566")</f>
        <v>0</v>
      </c>
      <c r="O6973" t="s">
        <v>19973</v>
      </c>
      <c r="P6973" t="s">
        <v>20477</v>
      </c>
      <c r="Q6973" t="s">
        <v>20840</v>
      </c>
      <c r="R6973" t="s">
        <v>419</v>
      </c>
      <c r="S6973">
        <v>1483</v>
      </c>
    </row>
    <row r="6974" spans="1:19">
      <c r="A6974" t="s">
        <v>29</v>
      </c>
      <c r="B6974" t="s">
        <v>148</v>
      </c>
      <c r="C6974" t="s">
        <v>161</v>
      </c>
      <c r="D6974" t="s">
        <v>290</v>
      </c>
      <c r="E6974" t="s">
        <v>419</v>
      </c>
      <c r="F6974">
        <f>HYPERLINK("https://www.wikidata.org/wiki/Q33322771", "Q33322771")</f>
        <v>0</v>
      </c>
      <c r="G6974" t="s">
        <v>3731</v>
      </c>
      <c r="H6974" t="s">
        <v>8039</v>
      </c>
      <c r="I6974" t="s">
        <v>9421</v>
      </c>
      <c r="J6974" t="s">
        <v>14306</v>
      </c>
      <c r="K6974" t="s">
        <v>18660</v>
      </c>
      <c r="L6974">
        <f>HYPERLINK("https://www2.assemblee-nationale.fr/sycomore/fiche/(num_dept)/7131", "7131")</f>
        <v>0</v>
      </c>
      <c r="M6974">
        <f>HYPERLINK("https://www.senat.fr/senateur-3eme-republique/trannoy_gustave1655r3.html", "trannoy_gustave1655r3")</f>
        <v>0</v>
      </c>
      <c r="N6974">
        <f>HYPERLINK("https://www.wikidata.org/wiki/Q3121335", "Q3121335")</f>
        <v>0</v>
      </c>
      <c r="O6974" t="s">
        <v>20012</v>
      </c>
      <c r="Q6974" t="s">
        <v>20840</v>
      </c>
      <c r="R6974" t="s">
        <v>419</v>
      </c>
      <c r="S6974">
        <v>1483</v>
      </c>
    </row>
    <row r="6975" spans="1:19">
      <c r="A6975" t="s">
        <v>29</v>
      </c>
      <c r="B6975" t="s">
        <v>148</v>
      </c>
      <c r="C6975" t="s">
        <v>161</v>
      </c>
      <c r="D6975" t="s">
        <v>290</v>
      </c>
      <c r="E6975" t="s">
        <v>419</v>
      </c>
      <c r="F6975">
        <f>HYPERLINK("https://www.wikidata.org/wiki/Q33322771", "Q33322771")</f>
        <v>0</v>
      </c>
      <c r="G6975" t="s">
        <v>3603</v>
      </c>
      <c r="H6975" t="s">
        <v>7947</v>
      </c>
      <c r="I6975" t="s">
        <v>6175</v>
      </c>
      <c r="J6975" t="s">
        <v>14188</v>
      </c>
      <c r="K6975" t="s">
        <v>18554</v>
      </c>
      <c r="L6975">
        <f>HYPERLINK("https://www2.assemblee-nationale.fr/sycomore/fiche/(num_dept)/7163", "7163")</f>
        <v>0</v>
      </c>
      <c r="M6975">
        <f>HYPERLINK("https://www.senat.fr/senateur-3eme-republique/trouillot_georges0444r3.html", "trouillot_georges0444r3")</f>
        <v>0</v>
      </c>
      <c r="N6975">
        <f>HYPERLINK("https://www.wikidata.org/wiki/Q3103564", "Q3103564")</f>
        <v>0</v>
      </c>
      <c r="O6975" t="s">
        <v>20041</v>
      </c>
      <c r="P6975" t="s">
        <v>20401</v>
      </c>
      <c r="Q6975" t="s">
        <v>20840</v>
      </c>
      <c r="R6975" t="s">
        <v>419</v>
      </c>
      <c r="S6975">
        <v>1483</v>
      </c>
    </row>
    <row r="6976" spans="1:19">
      <c r="A6976" t="s">
        <v>29</v>
      </c>
      <c r="B6976" t="s">
        <v>148</v>
      </c>
      <c r="C6976" t="s">
        <v>161</v>
      </c>
      <c r="D6976" t="s">
        <v>290</v>
      </c>
      <c r="E6976" t="s">
        <v>419</v>
      </c>
      <c r="F6976">
        <f>HYPERLINK("https://www.wikidata.org/wiki/Q33322771", "Q33322771")</f>
        <v>0</v>
      </c>
      <c r="G6976" t="s">
        <v>2691</v>
      </c>
      <c r="H6976" t="s">
        <v>7223</v>
      </c>
      <c r="I6976" t="s">
        <v>10369</v>
      </c>
      <c r="J6976" t="s">
        <v>13332</v>
      </c>
      <c r="K6976" t="s">
        <v>17732</v>
      </c>
      <c r="L6976">
        <f>HYPERLINK("https://www2.assemblee-nationale.fr/sycomore/fiche/(num_dept)/7174", "7174")</f>
        <v>0</v>
      </c>
      <c r="N6976">
        <f>HYPERLINK("https://www.wikidata.org/wiki/Q3174122", "Q3174122")</f>
        <v>0</v>
      </c>
      <c r="O6976" t="s">
        <v>20032</v>
      </c>
      <c r="P6976" t="s">
        <v>20489</v>
      </c>
      <c r="Q6976" t="s">
        <v>20840</v>
      </c>
      <c r="R6976" t="s">
        <v>419</v>
      </c>
      <c r="S6976">
        <v>1483</v>
      </c>
    </row>
    <row r="6977" spans="1:19">
      <c r="A6977" t="s">
        <v>29</v>
      </c>
      <c r="B6977" t="s">
        <v>148</v>
      </c>
      <c r="C6977" t="s">
        <v>161</v>
      </c>
      <c r="D6977" t="s">
        <v>290</v>
      </c>
      <c r="E6977" t="s">
        <v>419</v>
      </c>
      <c r="F6977">
        <f>HYPERLINK("https://www.wikidata.org/wiki/Q33322771", "Q33322771")</f>
        <v>0</v>
      </c>
      <c r="G6977" t="s">
        <v>3289</v>
      </c>
      <c r="H6977" t="s">
        <v>7701</v>
      </c>
      <c r="I6977" t="s">
        <v>9534</v>
      </c>
      <c r="J6977" t="s">
        <v>13903</v>
      </c>
      <c r="K6977" t="s">
        <v>16613</v>
      </c>
      <c r="L6977">
        <f>HYPERLINK("https://www2.assemblee-nationale.fr/sycomore/fiche/(num_dept)/7179", "7179")</f>
        <v>0</v>
      </c>
      <c r="N6977">
        <f>HYPERLINK("https://www.wikidata.org/wiki/Q2824919", "Q2824919")</f>
        <v>0</v>
      </c>
      <c r="O6977" t="s">
        <v>19960</v>
      </c>
      <c r="Q6977" t="s">
        <v>20840</v>
      </c>
      <c r="R6977" t="s">
        <v>21584</v>
      </c>
      <c r="S6977">
        <v>62</v>
      </c>
    </row>
    <row r="6978" spans="1:19">
      <c r="A6978" t="s">
        <v>29</v>
      </c>
      <c r="B6978" t="s">
        <v>148</v>
      </c>
      <c r="C6978" t="s">
        <v>161</v>
      </c>
      <c r="D6978" t="s">
        <v>290</v>
      </c>
      <c r="E6978" t="s">
        <v>419</v>
      </c>
      <c r="F6978">
        <f>HYPERLINK("https://www.wikidata.org/wiki/Q33322771", "Q33322771")</f>
        <v>0</v>
      </c>
      <c r="G6978" t="s">
        <v>3945</v>
      </c>
      <c r="H6978" t="s">
        <v>8197</v>
      </c>
      <c r="I6978" t="s">
        <v>11035</v>
      </c>
      <c r="J6978" t="s">
        <v>14498</v>
      </c>
      <c r="K6978" t="s">
        <v>18846</v>
      </c>
      <c r="L6978">
        <f>HYPERLINK("https://www2.assemblee-nationale.fr/sycomore/fiche/(num_dept)/7189", "7189")</f>
        <v>0</v>
      </c>
      <c r="N6978">
        <f>HYPERLINK("https://www.wikidata.org/wiki/Q28467356", "Q28467356")</f>
        <v>0</v>
      </c>
      <c r="O6978" t="s">
        <v>20029</v>
      </c>
      <c r="P6978" t="s">
        <v>20477</v>
      </c>
      <c r="Q6978" t="s">
        <v>20840</v>
      </c>
      <c r="R6978" t="s">
        <v>419</v>
      </c>
      <c r="S6978">
        <v>1483</v>
      </c>
    </row>
    <row r="6979" spans="1:19">
      <c r="A6979" t="s">
        <v>29</v>
      </c>
      <c r="B6979" t="s">
        <v>148</v>
      </c>
      <c r="C6979" t="s">
        <v>161</v>
      </c>
      <c r="D6979" t="s">
        <v>290</v>
      </c>
      <c r="E6979" t="s">
        <v>419</v>
      </c>
      <c r="F6979">
        <f>HYPERLINK("https://www.wikidata.org/wiki/Q33322771", "Q33322771")</f>
        <v>0</v>
      </c>
      <c r="G6979" t="s">
        <v>827</v>
      </c>
      <c r="H6979" t="s">
        <v>5584</v>
      </c>
      <c r="I6979" t="s">
        <v>9476</v>
      </c>
      <c r="J6979" t="s">
        <v>11574</v>
      </c>
      <c r="K6979" t="s">
        <v>15976</v>
      </c>
      <c r="L6979">
        <f>HYPERLINK("https://www2.assemblee-nationale.fr/sycomore/fiche/(num_dept)/7368", "7368")</f>
        <v>0</v>
      </c>
      <c r="M6979">
        <f>HYPERLINK("https://www.senat.fr/senateur-3eme-republique/viviani_rene0627r3.html", "viviani_rene0627r3")</f>
        <v>0</v>
      </c>
      <c r="N6979">
        <f>HYPERLINK("https://www.wikidata.org/wiki/Q431074", "Q431074")</f>
        <v>0</v>
      </c>
      <c r="O6979" t="s">
        <v>19969</v>
      </c>
      <c r="Q6979" t="s">
        <v>20840</v>
      </c>
      <c r="R6979" t="s">
        <v>419</v>
      </c>
      <c r="S6979">
        <v>1483</v>
      </c>
    </row>
    <row r="6980" spans="1:19">
      <c r="A6980" t="s">
        <v>29</v>
      </c>
      <c r="B6980" t="s">
        <v>148</v>
      </c>
      <c r="C6980" t="s">
        <v>161</v>
      </c>
      <c r="D6980" t="s">
        <v>290</v>
      </c>
      <c r="E6980" t="s">
        <v>419</v>
      </c>
      <c r="F6980">
        <f>HYPERLINK("https://www.wikidata.org/wiki/Q33322771", "Q33322771")</f>
        <v>0</v>
      </c>
      <c r="G6980" t="s">
        <v>830</v>
      </c>
      <c r="H6980" t="s">
        <v>5587</v>
      </c>
      <c r="I6980" t="s">
        <v>9541</v>
      </c>
      <c r="J6980" t="s">
        <v>11577</v>
      </c>
      <c r="K6980" t="s">
        <v>15979</v>
      </c>
      <c r="L6980">
        <f>HYPERLINK("https://www2.assemblee-nationale.fr/sycomore/fiche/(num_dept)/7418", "7418")</f>
        <v>0</v>
      </c>
      <c r="M6980">
        <f>HYPERLINK("https://www.senat.fr/senateur-3eme-republique/villiers_emile0785r3.html", "villiers_emile0785r3")</f>
        <v>0</v>
      </c>
      <c r="N6980">
        <f>HYPERLINK("https://www.wikidata.org/wiki/Q3083748", "Q3083748")</f>
        <v>0</v>
      </c>
      <c r="O6980" t="s">
        <v>20011</v>
      </c>
      <c r="Q6980" t="s">
        <v>20840</v>
      </c>
      <c r="R6980" t="s">
        <v>419</v>
      </c>
      <c r="S6980">
        <v>1483</v>
      </c>
    </row>
    <row r="6981" spans="1:19">
      <c r="A6981" t="s">
        <v>29</v>
      </c>
      <c r="B6981" t="s">
        <v>148</v>
      </c>
      <c r="C6981" t="s">
        <v>161</v>
      </c>
      <c r="D6981" t="s">
        <v>290</v>
      </c>
      <c r="E6981" t="s">
        <v>419</v>
      </c>
      <c r="F6981">
        <f>HYPERLINK("https://www.wikidata.org/wiki/Q33322771", "Q33322771")</f>
        <v>0</v>
      </c>
      <c r="G6981" t="s">
        <v>3836</v>
      </c>
      <c r="H6981" t="s">
        <v>8114</v>
      </c>
      <c r="I6981" t="s">
        <v>9465</v>
      </c>
      <c r="J6981" t="s">
        <v>14398</v>
      </c>
      <c r="K6981" t="s">
        <v>18752</v>
      </c>
      <c r="L6981">
        <f>HYPERLINK("https://www2.assemblee-nationale.fr/sycomore/fiche/(num_dept)/7431", "7431")</f>
        <v>0</v>
      </c>
      <c r="N6981">
        <f>HYPERLINK("https://www.wikidata.org/wiki/Q16026607", "Q16026607")</f>
        <v>0</v>
      </c>
      <c r="O6981" t="s">
        <v>20034</v>
      </c>
      <c r="P6981" t="s">
        <v>20401</v>
      </c>
      <c r="Q6981" t="s">
        <v>20840</v>
      </c>
      <c r="R6981" t="s">
        <v>419</v>
      </c>
      <c r="S6981">
        <v>1483</v>
      </c>
    </row>
    <row r="6982" spans="1:19">
      <c r="A6982" t="s">
        <v>29</v>
      </c>
      <c r="B6982" t="s">
        <v>148</v>
      </c>
      <c r="C6982" t="s">
        <v>161</v>
      </c>
      <c r="D6982" t="s">
        <v>290</v>
      </c>
      <c r="E6982" t="s">
        <v>419</v>
      </c>
      <c r="F6982">
        <f>HYPERLINK("https://www.wikidata.org/wiki/Q33322771", "Q33322771")</f>
        <v>0</v>
      </c>
      <c r="G6982" t="s">
        <v>3508</v>
      </c>
      <c r="H6982" t="s">
        <v>7875</v>
      </c>
      <c r="I6982" t="s">
        <v>6495</v>
      </c>
      <c r="J6982" t="s">
        <v>11505</v>
      </c>
      <c r="K6982" t="s">
        <v>18470</v>
      </c>
      <c r="L6982">
        <f>HYPERLINK("https://www2.assemblee-nationale.fr/sycomore/fiche/(num_dept)/7433", "7433")</f>
        <v>0</v>
      </c>
      <c r="N6982">
        <f>HYPERLINK("https://www.wikidata.org/wiki/Q16026620", "Q16026620")</f>
        <v>0</v>
      </c>
      <c r="O6982" t="s">
        <v>19974</v>
      </c>
      <c r="P6982" t="s">
        <v>20401</v>
      </c>
      <c r="Q6982" t="s">
        <v>20840</v>
      </c>
      <c r="R6982" t="s">
        <v>419</v>
      </c>
      <c r="S6982">
        <v>1483</v>
      </c>
    </row>
    <row r="6983" spans="1:19">
      <c r="A6983" t="s">
        <v>29</v>
      </c>
      <c r="B6983" t="s">
        <v>148</v>
      </c>
      <c r="C6983" t="s">
        <v>161</v>
      </c>
      <c r="D6983" t="s">
        <v>290</v>
      </c>
      <c r="E6983" t="s">
        <v>419</v>
      </c>
      <c r="F6983">
        <f>HYPERLINK("https://www.wikidata.org/wiki/Q33322771", "Q33322771")</f>
        <v>0</v>
      </c>
      <c r="G6983" t="s">
        <v>3810</v>
      </c>
      <c r="H6983" t="s">
        <v>8094</v>
      </c>
      <c r="I6983" t="s">
        <v>10985</v>
      </c>
      <c r="J6983" t="s">
        <v>12627</v>
      </c>
      <c r="K6983" t="s">
        <v>18728</v>
      </c>
      <c r="L6983">
        <f>HYPERLINK("https://www2.assemblee-nationale.fr/sycomore/fiche/(num_dept)/7436", "7436")</f>
        <v>0</v>
      </c>
      <c r="N6983">
        <f>HYPERLINK("https://www.wikidata.org/wiki/Q12353689", "Q12353689")</f>
        <v>0</v>
      </c>
      <c r="O6983" t="s">
        <v>7411</v>
      </c>
      <c r="P6983" t="s">
        <v>20477</v>
      </c>
      <c r="Q6983" t="s">
        <v>20840</v>
      </c>
      <c r="R6983" t="s">
        <v>419</v>
      </c>
      <c r="S6983">
        <v>1483</v>
      </c>
    </row>
    <row r="6984" spans="1:19">
      <c r="A6984" t="s">
        <v>29</v>
      </c>
      <c r="B6984" t="s">
        <v>148</v>
      </c>
      <c r="C6984" t="s">
        <v>161</v>
      </c>
      <c r="D6984" t="s">
        <v>290</v>
      </c>
      <c r="E6984" t="s">
        <v>419</v>
      </c>
      <c r="F6984">
        <f>HYPERLINK("https://www.wikidata.org/wiki/Q33322771", "Q33322771")</f>
        <v>0</v>
      </c>
      <c r="G6984" t="s">
        <v>3860</v>
      </c>
      <c r="H6984" t="s">
        <v>8130</v>
      </c>
      <c r="I6984" t="s">
        <v>11003</v>
      </c>
      <c r="J6984" t="s">
        <v>14419</v>
      </c>
      <c r="K6984" t="s">
        <v>18772</v>
      </c>
      <c r="L6984">
        <f>HYPERLINK("https://www2.assemblee-nationale.fr/sycomore/fiche/(num_dept)/7439", "7439")</f>
        <v>0</v>
      </c>
      <c r="M6984">
        <f>HYPERLINK("https://www.senat.fr/senateur-3eme-republique/vidal_de_saint_urbain_gabriel0294r3.html", "vidal_de_saint_urbain_gabriel0294r3")</f>
        <v>0</v>
      </c>
      <c r="N6984">
        <f>HYPERLINK("https://www.wikidata.org/wiki/Q3093994", "Q3093994")</f>
        <v>0</v>
      </c>
      <c r="O6984" t="s">
        <v>19967</v>
      </c>
      <c r="Q6984" t="s">
        <v>20840</v>
      </c>
      <c r="R6984" t="s">
        <v>21585</v>
      </c>
      <c r="S6984">
        <v>1698</v>
      </c>
    </row>
    <row r="6985" spans="1:19">
      <c r="A6985" t="s">
        <v>29</v>
      </c>
      <c r="B6985" t="s">
        <v>148</v>
      </c>
      <c r="C6985" t="s">
        <v>161</v>
      </c>
      <c r="D6985" t="s">
        <v>290</v>
      </c>
      <c r="E6985" t="s">
        <v>419</v>
      </c>
      <c r="F6985">
        <f>HYPERLINK("https://www.wikidata.org/wiki/Q33322771", "Q33322771")</f>
        <v>0</v>
      </c>
      <c r="G6985" t="s">
        <v>3172</v>
      </c>
      <c r="H6985" t="s">
        <v>7603</v>
      </c>
      <c r="I6985" t="s">
        <v>10681</v>
      </c>
      <c r="J6985" t="s">
        <v>13793</v>
      </c>
      <c r="K6985" t="s">
        <v>18168</v>
      </c>
      <c r="L6985">
        <f>HYPERLINK("https://www2.assemblee-nationale.fr/sycomore/fiche/(num_dept)/7440", "7440")</f>
        <v>0</v>
      </c>
      <c r="N6985">
        <f>HYPERLINK("https://www.wikidata.org/wiki/Q2993635", "Q2993635")</f>
        <v>0</v>
      </c>
      <c r="O6985" t="s">
        <v>20009</v>
      </c>
      <c r="P6985" t="s">
        <v>20460</v>
      </c>
      <c r="Q6985" t="s">
        <v>20840</v>
      </c>
      <c r="R6985" t="s">
        <v>419</v>
      </c>
      <c r="S6985">
        <v>1483</v>
      </c>
    </row>
    <row r="6986" spans="1:19">
      <c r="A6986" t="s">
        <v>29</v>
      </c>
      <c r="B6986" t="s">
        <v>148</v>
      </c>
      <c r="C6986" t="s">
        <v>161</v>
      </c>
      <c r="D6986" t="s">
        <v>290</v>
      </c>
      <c r="E6986" t="s">
        <v>419</v>
      </c>
      <c r="F6986">
        <f>HYPERLINK("https://www.wikidata.org/wiki/Q33322771", "Q33322771")</f>
        <v>0</v>
      </c>
      <c r="G6986" t="s">
        <v>3290</v>
      </c>
      <c r="H6986" t="s">
        <v>7702</v>
      </c>
      <c r="I6986" t="s">
        <v>6584</v>
      </c>
      <c r="J6986" t="s">
        <v>13904</v>
      </c>
      <c r="K6986" t="s">
        <v>18275</v>
      </c>
      <c r="L6986">
        <f>HYPERLINK("https://www2.assemblee-nationale.fr/sycomore/fiche/(num_dept)/7443", "7443")</f>
        <v>0</v>
      </c>
      <c r="M6986">
        <f>HYPERLINK("https://www.senat.fr/senateur-3eme-republique/viger_albert0500r3.html", "viger_albert0500r3")</f>
        <v>0</v>
      </c>
      <c r="N6986">
        <f>HYPERLINK("https://www.wikidata.org/wiki/Q2153536", "Q2153536")</f>
        <v>0</v>
      </c>
      <c r="O6986" t="s">
        <v>19958</v>
      </c>
      <c r="P6986" t="s">
        <v>20401</v>
      </c>
      <c r="Q6986" t="s">
        <v>20840</v>
      </c>
      <c r="R6986" t="s">
        <v>419</v>
      </c>
      <c r="S6986">
        <v>1483</v>
      </c>
    </row>
    <row r="6987" spans="1:19">
      <c r="A6987" t="s">
        <v>29</v>
      </c>
      <c r="B6987" t="s">
        <v>148</v>
      </c>
      <c r="C6987" t="s">
        <v>161</v>
      </c>
      <c r="D6987" t="s">
        <v>290</v>
      </c>
      <c r="E6987" t="s">
        <v>419</v>
      </c>
      <c r="F6987">
        <f>HYPERLINK("https://www.wikidata.org/wiki/Q33322771", "Q33322771")</f>
        <v>0</v>
      </c>
      <c r="G6987" t="s">
        <v>3509</v>
      </c>
      <c r="H6987" t="s">
        <v>7876</v>
      </c>
      <c r="I6987" t="s">
        <v>9442</v>
      </c>
      <c r="J6987" t="s">
        <v>14106</v>
      </c>
      <c r="K6987" t="s">
        <v>18471</v>
      </c>
      <c r="L6987">
        <f>HYPERLINK("https://www2.assemblee-nationale.fr/sycomore/fiche/(num_dept)/7444", "7444")</f>
        <v>0</v>
      </c>
      <c r="M6987">
        <f>HYPERLINK("https://www.senat.fr/senateur-3eme-republique/valle_ernest0643r3.html", "valle_ernest0643r3")</f>
        <v>0</v>
      </c>
      <c r="N6987">
        <f>HYPERLINK("https://www.wikidata.org/wiki/Q3057194", "Q3057194")</f>
        <v>0</v>
      </c>
      <c r="O6987" t="s">
        <v>20025</v>
      </c>
      <c r="P6987" t="s">
        <v>20474</v>
      </c>
      <c r="Q6987" t="s">
        <v>20840</v>
      </c>
      <c r="R6987" t="s">
        <v>21586</v>
      </c>
      <c r="S6987">
        <v>212</v>
      </c>
    </row>
    <row r="6988" spans="1:19">
      <c r="A6988" t="s">
        <v>29</v>
      </c>
      <c r="B6988" t="s">
        <v>148</v>
      </c>
      <c r="C6988" t="s">
        <v>161</v>
      </c>
      <c r="D6988" t="s">
        <v>290</v>
      </c>
      <c r="E6988" t="s">
        <v>419</v>
      </c>
      <c r="F6988">
        <f>HYPERLINK("https://www.wikidata.org/wiki/Q33322771", "Q33322771")</f>
        <v>0</v>
      </c>
      <c r="G6988" t="s">
        <v>3173</v>
      </c>
      <c r="H6988" t="s">
        <v>7604</v>
      </c>
      <c r="I6988" t="s">
        <v>7790</v>
      </c>
      <c r="J6988" t="s">
        <v>13794</v>
      </c>
      <c r="K6988" t="s">
        <v>18169</v>
      </c>
      <c r="L6988">
        <f>HYPERLINK("https://www2.assemblee-nationale.fr/sycomore/fiche/(num_dept)/7446", "7446")</f>
        <v>0</v>
      </c>
      <c r="N6988">
        <f>HYPERLINK("https://www.wikidata.org/wiki/Q2861987", "Q2861987")</f>
        <v>0</v>
      </c>
      <c r="O6988" t="s">
        <v>20040</v>
      </c>
      <c r="P6988" t="s">
        <v>20410</v>
      </c>
      <c r="Q6988" t="s">
        <v>20840</v>
      </c>
      <c r="R6988" t="s">
        <v>419</v>
      </c>
      <c r="S6988">
        <v>1483</v>
      </c>
    </row>
    <row r="6989" spans="1:19">
      <c r="A6989" t="s">
        <v>29</v>
      </c>
      <c r="B6989" t="s">
        <v>148</v>
      </c>
      <c r="C6989" t="s">
        <v>161</v>
      </c>
      <c r="D6989" t="s">
        <v>290</v>
      </c>
      <c r="E6989" t="s">
        <v>419</v>
      </c>
      <c r="F6989">
        <f>HYPERLINK("https://www.wikidata.org/wiki/Q33322771", "Q33322771")</f>
        <v>0</v>
      </c>
      <c r="G6989" t="s">
        <v>834</v>
      </c>
      <c r="H6989" t="s">
        <v>5591</v>
      </c>
      <c r="I6989" t="s">
        <v>9544</v>
      </c>
      <c r="J6989" t="s">
        <v>11581</v>
      </c>
      <c r="K6989" t="s">
        <v>15983</v>
      </c>
      <c r="L6989">
        <f>HYPERLINK("https://www2.assemblee-nationale.fr/sycomore/fiche/(num_dept)/7493", "7493")</f>
        <v>0</v>
      </c>
      <c r="M6989">
        <f>HYPERLINK("https://www.senat.fr/senateur-3eme-republique/lauraine_jean_octave0422r3.html", "lauraine_jean_octave0422r3")</f>
        <v>0</v>
      </c>
      <c r="N6989">
        <f>HYPERLINK("https://www.wikidata.org/wiki/Q3168275", "Q3168275")</f>
        <v>0</v>
      </c>
      <c r="O6989" t="s">
        <v>20037</v>
      </c>
      <c r="Q6989" t="s">
        <v>20840</v>
      </c>
      <c r="R6989" t="s">
        <v>419</v>
      </c>
      <c r="S6989">
        <v>1483</v>
      </c>
    </row>
    <row r="6990" spans="1:19">
      <c r="A6990" t="s">
        <v>29</v>
      </c>
      <c r="B6990" t="s">
        <v>148</v>
      </c>
      <c r="C6990" t="s">
        <v>161</v>
      </c>
      <c r="D6990" t="s">
        <v>290</v>
      </c>
      <c r="E6990" t="s">
        <v>419</v>
      </c>
      <c r="F6990">
        <f>HYPERLINK("https://www.wikidata.org/wiki/Q33322771", "Q33322771")</f>
        <v>0</v>
      </c>
      <c r="G6990" t="s">
        <v>2703</v>
      </c>
      <c r="H6990" t="s">
        <v>7235</v>
      </c>
      <c r="I6990" t="s">
        <v>5528</v>
      </c>
      <c r="J6990" t="s">
        <v>13344</v>
      </c>
      <c r="K6990" t="s">
        <v>17744</v>
      </c>
      <c r="L6990">
        <f>HYPERLINK("https://www2.assemblee-nationale.fr/sycomore/fiche/(num_dept)/7496", "7496")</f>
        <v>0</v>
      </c>
      <c r="N6990">
        <f>HYPERLINK("https://www.wikidata.org/wiki/Q16025951", "Q16025951")</f>
        <v>0</v>
      </c>
      <c r="O6990" t="s">
        <v>19981</v>
      </c>
      <c r="Q6990" t="s">
        <v>20840</v>
      </c>
      <c r="R6990" t="s">
        <v>419</v>
      </c>
      <c r="S6990">
        <v>1483</v>
      </c>
    </row>
    <row r="6991" spans="1:19">
      <c r="A6991" t="s">
        <v>29</v>
      </c>
      <c r="B6991" t="s">
        <v>148</v>
      </c>
      <c r="C6991" t="s">
        <v>161</v>
      </c>
      <c r="D6991" t="s">
        <v>290</v>
      </c>
      <c r="E6991" t="s">
        <v>419</v>
      </c>
      <c r="F6991">
        <f>HYPERLINK("https://www.wikidata.org/wiki/Q33322771", "Q33322771")</f>
        <v>0</v>
      </c>
      <c r="G6991" t="s">
        <v>2704</v>
      </c>
      <c r="H6991" t="s">
        <v>6798</v>
      </c>
      <c r="I6991" t="s">
        <v>10375</v>
      </c>
      <c r="J6991" t="s">
        <v>13345</v>
      </c>
      <c r="K6991" t="s">
        <v>17745</v>
      </c>
      <c r="L6991">
        <f>HYPERLINK("https://www2.assemblee-nationale.fr/sycomore/fiche/(num_dept)/7528", "7528")</f>
        <v>0</v>
      </c>
      <c r="N6991">
        <f>HYPERLINK("https://www.wikidata.org/wiki/Q16025956", "Q16025956")</f>
        <v>0</v>
      </c>
      <c r="O6991" t="s">
        <v>20005</v>
      </c>
      <c r="P6991" t="s">
        <v>20459</v>
      </c>
      <c r="Q6991" t="s">
        <v>20840</v>
      </c>
      <c r="R6991" t="s">
        <v>419</v>
      </c>
      <c r="S6991">
        <v>1483</v>
      </c>
    </row>
    <row r="6992" spans="1:19">
      <c r="A6992" t="s">
        <v>29</v>
      </c>
      <c r="B6992" t="s">
        <v>148</v>
      </c>
      <c r="C6992" t="s">
        <v>161</v>
      </c>
      <c r="D6992" t="s">
        <v>290</v>
      </c>
      <c r="E6992" t="s">
        <v>419</v>
      </c>
      <c r="F6992">
        <f>HYPERLINK("https://www.wikidata.org/wiki/Q33322771", "Q33322771")</f>
        <v>0</v>
      </c>
      <c r="G6992" t="s">
        <v>2705</v>
      </c>
      <c r="H6992" t="s">
        <v>7236</v>
      </c>
      <c r="I6992" t="s">
        <v>9376</v>
      </c>
      <c r="J6992" t="s">
        <v>13346</v>
      </c>
      <c r="K6992" t="s">
        <v>17746</v>
      </c>
      <c r="L6992">
        <f>HYPERLINK("https://www2.assemblee-nationale.fr/sycomore/fiche/(num_dept)/7555", "7555")</f>
        <v>0</v>
      </c>
      <c r="N6992">
        <f>HYPERLINK("https://www.wikidata.org/wiki/Q13080871", "Q13080871")</f>
        <v>0</v>
      </c>
      <c r="O6992" t="s">
        <v>19978</v>
      </c>
      <c r="P6992" t="s">
        <v>20479</v>
      </c>
      <c r="Q6992" t="s">
        <v>20840</v>
      </c>
      <c r="R6992" t="s">
        <v>419</v>
      </c>
      <c r="S6992">
        <v>1483</v>
      </c>
    </row>
    <row r="6993" spans="1:19">
      <c r="A6993" t="s">
        <v>29</v>
      </c>
      <c r="B6993" t="s">
        <v>148</v>
      </c>
      <c r="C6993" t="s">
        <v>161</v>
      </c>
      <c r="D6993" t="s">
        <v>290</v>
      </c>
      <c r="E6993" t="s">
        <v>419</v>
      </c>
      <c r="F6993">
        <f>HYPERLINK("https://www.wikidata.org/wiki/Q33322771", "Q33322771")</f>
        <v>0</v>
      </c>
      <c r="G6993" t="s">
        <v>3736</v>
      </c>
      <c r="H6993" t="s">
        <v>8044</v>
      </c>
      <c r="I6993" t="s">
        <v>10954</v>
      </c>
      <c r="J6993" t="s">
        <v>14311</v>
      </c>
      <c r="L6993">
        <f>HYPERLINK("https://www2.assemblee-nationale.fr/sycomore/fiche/(num_dept)/7556", "7556")</f>
        <v>0</v>
      </c>
      <c r="N6993">
        <f>HYPERLINK("https://www.wikidata.org/wiki/Q2831322", "Q2831322")</f>
        <v>0</v>
      </c>
      <c r="O6993" t="s">
        <v>19961</v>
      </c>
      <c r="P6993" t="s">
        <v>20402</v>
      </c>
      <c r="Q6993" t="s">
        <v>20840</v>
      </c>
      <c r="R6993" t="s">
        <v>419</v>
      </c>
      <c r="S6993">
        <v>1483</v>
      </c>
    </row>
    <row r="6994" spans="1:19">
      <c r="A6994" t="s">
        <v>29</v>
      </c>
      <c r="B6994" t="s">
        <v>148</v>
      </c>
      <c r="C6994" t="s">
        <v>161</v>
      </c>
      <c r="D6994" t="s">
        <v>290</v>
      </c>
      <c r="E6994" t="s">
        <v>419</v>
      </c>
      <c r="F6994">
        <f>HYPERLINK("https://www.wikidata.org/wiki/Q33322771", "Q33322771")</f>
        <v>0</v>
      </c>
      <c r="G6994" t="s">
        <v>840</v>
      </c>
      <c r="H6994" t="s">
        <v>5597</v>
      </c>
      <c r="I6994" t="s">
        <v>9547</v>
      </c>
      <c r="J6994" t="s">
        <v>11587</v>
      </c>
      <c r="K6994" t="s">
        <v>15989</v>
      </c>
      <c r="L6994">
        <f>HYPERLINK("https://www2.assemblee-nationale.fr/sycomore/fiche/(num_dept)/7587", "7587")</f>
        <v>0</v>
      </c>
      <c r="N6994">
        <f>HYPERLINK("https://www.wikidata.org/wiki/Q3351149", "Q3351149")</f>
        <v>0</v>
      </c>
      <c r="O6994" t="s">
        <v>19998</v>
      </c>
      <c r="Q6994" t="s">
        <v>20840</v>
      </c>
      <c r="R6994" t="s">
        <v>419</v>
      </c>
      <c r="S6994">
        <v>1483</v>
      </c>
    </row>
    <row r="6995" spans="1:19">
      <c r="A6995" t="s">
        <v>29</v>
      </c>
      <c r="B6995" t="s">
        <v>148</v>
      </c>
      <c r="C6995" t="s">
        <v>161</v>
      </c>
      <c r="D6995" t="s">
        <v>290</v>
      </c>
      <c r="E6995" t="s">
        <v>419</v>
      </c>
      <c r="F6995">
        <f>HYPERLINK("https://www.wikidata.org/wiki/Q33322771", "Q33322771")</f>
        <v>0</v>
      </c>
      <c r="G6995" t="s">
        <v>841</v>
      </c>
      <c r="H6995" t="s">
        <v>5598</v>
      </c>
      <c r="I6995" t="s">
        <v>9548</v>
      </c>
      <c r="J6995" t="s">
        <v>11588</v>
      </c>
      <c r="K6995" t="s">
        <v>15990</v>
      </c>
      <c r="L6995">
        <f>HYPERLINK("https://www2.assemblee-nationale.fr/sycomore/fiche/(num_dept)/7591", "7591")</f>
        <v>0</v>
      </c>
      <c r="M6995">
        <f>HYPERLINK("https://www.senat.fr/senateur-3eme-republique/le_herisse_rene0541r3.html", "le_herisse_rene0541r3")</f>
        <v>0</v>
      </c>
      <c r="N6995">
        <f>HYPERLINK("https://www.wikidata.org/wiki/Q3426501", "Q3426501")</f>
        <v>0</v>
      </c>
      <c r="O6995" t="s">
        <v>19998</v>
      </c>
      <c r="Q6995" t="s">
        <v>20840</v>
      </c>
      <c r="R6995" t="s">
        <v>419</v>
      </c>
      <c r="S6995">
        <v>1483</v>
      </c>
    </row>
    <row r="6996" spans="1:19">
      <c r="A6996" t="s">
        <v>29</v>
      </c>
      <c r="B6996" t="s">
        <v>148</v>
      </c>
      <c r="C6996" t="s">
        <v>161</v>
      </c>
      <c r="D6996" t="s">
        <v>290</v>
      </c>
      <c r="E6996" t="s">
        <v>419</v>
      </c>
      <c r="F6996">
        <f>HYPERLINK("https://www.wikidata.org/wiki/Q33322771", "Q33322771")</f>
        <v>0</v>
      </c>
      <c r="G6996" t="s">
        <v>1657</v>
      </c>
      <c r="H6996" t="s">
        <v>6340</v>
      </c>
      <c r="I6996" t="s">
        <v>9875</v>
      </c>
      <c r="J6996" t="s">
        <v>12364</v>
      </c>
      <c r="K6996" t="s">
        <v>16771</v>
      </c>
      <c r="L6996">
        <f>HYPERLINK("https://www2.assemblee-nationale.fr/sycomore/fiche/(num_dept)/7602", "7602")</f>
        <v>0</v>
      </c>
      <c r="N6996">
        <f>HYPERLINK("https://www.wikidata.org/wiki/Q2831324", "Q2831324")</f>
        <v>0</v>
      </c>
      <c r="O6996" t="s">
        <v>19985</v>
      </c>
      <c r="P6996" t="s">
        <v>20479</v>
      </c>
      <c r="Q6996" t="s">
        <v>20840</v>
      </c>
      <c r="R6996" t="s">
        <v>419</v>
      </c>
      <c r="S6996">
        <v>1483</v>
      </c>
    </row>
    <row r="6997" spans="1:19">
      <c r="A6997" t="s">
        <v>29</v>
      </c>
      <c r="B6997" t="s">
        <v>148</v>
      </c>
      <c r="C6997" t="s">
        <v>161</v>
      </c>
      <c r="D6997" t="s">
        <v>290</v>
      </c>
      <c r="E6997" t="s">
        <v>419</v>
      </c>
      <c r="F6997">
        <f>HYPERLINK("https://www.wikidata.org/wiki/Q33322771", "Q33322771")</f>
        <v>0</v>
      </c>
      <c r="G6997" t="s">
        <v>3612</v>
      </c>
      <c r="H6997" t="s">
        <v>7955</v>
      </c>
      <c r="I6997" t="s">
        <v>10906</v>
      </c>
      <c r="J6997" t="s">
        <v>14196</v>
      </c>
      <c r="K6997" t="s">
        <v>18562</v>
      </c>
      <c r="L6997">
        <f>HYPERLINK("https://www2.assemblee-nationale.fr/sycomore/fiche/(num_dept)/7605", "7605")</f>
        <v>0</v>
      </c>
      <c r="N6997">
        <f>HYPERLINK("https://www.wikidata.org/wiki/Q2959611", "Q2959611")</f>
        <v>0</v>
      </c>
      <c r="O6997" t="s">
        <v>20038</v>
      </c>
      <c r="Q6997" t="s">
        <v>20840</v>
      </c>
      <c r="R6997" t="s">
        <v>419</v>
      </c>
      <c r="S6997">
        <v>1483</v>
      </c>
    </row>
    <row r="6998" spans="1:19">
      <c r="A6998" t="s">
        <v>29</v>
      </c>
      <c r="B6998" t="s">
        <v>148</v>
      </c>
      <c r="C6998" t="s">
        <v>161</v>
      </c>
      <c r="D6998" t="s">
        <v>290</v>
      </c>
      <c r="E6998" t="s">
        <v>419</v>
      </c>
      <c r="F6998">
        <f>HYPERLINK("https://www.wikidata.org/wiki/Q33322771", "Q33322771")</f>
        <v>0</v>
      </c>
      <c r="G6998" t="s">
        <v>844</v>
      </c>
      <c r="H6998" t="s">
        <v>5601</v>
      </c>
      <c r="I6998" t="s">
        <v>9551</v>
      </c>
      <c r="J6998" t="s">
        <v>11591</v>
      </c>
      <c r="K6998" t="s">
        <v>15993</v>
      </c>
      <c r="L6998">
        <f>HYPERLINK("https://www2.assemblee-nationale.fr/sycomore/fiche/(num_dept)/7628", "7628")</f>
        <v>0</v>
      </c>
      <c r="M6998">
        <f>HYPERLINK("https://www.senat.fr/senateur-3eme-republique/le_troadec_paul0586r3.html", "le_troadec_paul0586r3")</f>
        <v>0</v>
      </c>
      <c r="N6998">
        <f>HYPERLINK("https://www.wikidata.org/wiki/Q3371653", "Q3371653")</f>
        <v>0</v>
      </c>
      <c r="O6998" t="s">
        <v>19964</v>
      </c>
      <c r="P6998" t="s">
        <v>20401</v>
      </c>
      <c r="Q6998" t="s">
        <v>20840</v>
      </c>
      <c r="R6998" t="s">
        <v>419</v>
      </c>
      <c r="S6998">
        <v>1483</v>
      </c>
    </row>
    <row r="6999" spans="1:19">
      <c r="A6999" t="s">
        <v>29</v>
      </c>
      <c r="B6999" t="s">
        <v>148</v>
      </c>
      <c r="C6999" t="s">
        <v>161</v>
      </c>
      <c r="D6999" t="s">
        <v>290</v>
      </c>
      <c r="E6999" t="s">
        <v>419</v>
      </c>
      <c r="F6999">
        <f>HYPERLINK("https://www.wikidata.org/wiki/Q33322771", "Q33322771")</f>
        <v>0</v>
      </c>
      <c r="G6999" t="s">
        <v>3618</v>
      </c>
      <c r="H6999" t="s">
        <v>7237</v>
      </c>
      <c r="I6999" t="s">
        <v>9388</v>
      </c>
      <c r="J6999" t="s">
        <v>14200</v>
      </c>
      <c r="K6999" t="s">
        <v>16176</v>
      </c>
      <c r="L6999">
        <f>HYPERLINK("https://www2.assemblee-nationale.fr/sycomore/fiche/(num_dept)/7638", "7638")</f>
        <v>0</v>
      </c>
      <c r="N6999">
        <f>HYPERLINK("https://www.wikidata.org/wiki/Q3371659", "Q3371659")</f>
        <v>0</v>
      </c>
      <c r="O6999" t="s">
        <v>19976</v>
      </c>
      <c r="Q6999" t="s">
        <v>20840</v>
      </c>
      <c r="R6999" t="s">
        <v>419</v>
      </c>
      <c r="S6999">
        <v>1483</v>
      </c>
    </row>
    <row r="7000" spans="1:19">
      <c r="A7000" t="s">
        <v>29</v>
      </c>
      <c r="B7000" t="s">
        <v>148</v>
      </c>
      <c r="C7000" t="s">
        <v>161</v>
      </c>
      <c r="D7000" t="s">
        <v>290</v>
      </c>
      <c r="E7000" t="s">
        <v>419</v>
      </c>
      <c r="F7000">
        <f>HYPERLINK("https://www.wikidata.org/wiki/Q33322771", "Q33322771")</f>
        <v>0</v>
      </c>
      <c r="G7000" t="s">
        <v>2710</v>
      </c>
      <c r="H7000" t="s">
        <v>6801</v>
      </c>
      <c r="I7000" t="s">
        <v>6158</v>
      </c>
      <c r="J7000" t="s">
        <v>13351</v>
      </c>
      <c r="K7000" t="s">
        <v>17751</v>
      </c>
      <c r="L7000">
        <f>HYPERLINK("https://www2.assemblee-nationale.fr/sycomore/fiche/(num_dept)/7718", "7718")</f>
        <v>0</v>
      </c>
      <c r="N7000">
        <f>HYPERLINK("https://www.wikidata.org/wiki/Q3092516", "Q3092516")</f>
        <v>0</v>
      </c>
      <c r="O7000" t="s">
        <v>19995</v>
      </c>
      <c r="P7000" t="s">
        <v>20459</v>
      </c>
      <c r="Q7000" t="s">
        <v>20840</v>
      </c>
      <c r="R7000" t="s">
        <v>419</v>
      </c>
      <c r="S7000">
        <v>1483</v>
      </c>
    </row>
    <row r="7001" spans="1:19">
      <c r="A7001" t="s">
        <v>29</v>
      </c>
      <c r="B7001" t="s">
        <v>148</v>
      </c>
      <c r="C7001" t="s">
        <v>161</v>
      </c>
      <c r="D7001" t="s">
        <v>290</v>
      </c>
      <c r="E7001" t="s">
        <v>419</v>
      </c>
      <c r="F7001">
        <f>HYPERLINK("https://www.wikidata.org/wiki/Q33322771", "Q33322771")</f>
        <v>0</v>
      </c>
      <c r="G7001" t="s">
        <v>3946</v>
      </c>
      <c r="H7001" t="s">
        <v>8198</v>
      </c>
      <c r="I7001" t="s">
        <v>9407</v>
      </c>
      <c r="J7001" t="s">
        <v>12003</v>
      </c>
      <c r="K7001" t="s">
        <v>18847</v>
      </c>
      <c r="L7001">
        <f>HYPERLINK("https://www2.assemblee-nationale.fr/sycomore/fiche/(num_dept)/7720", "7720")</f>
        <v>0</v>
      </c>
      <c r="M7001">
        <f>HYPERLINK("https://www.senat.fr/senateur-3eme-republique/leglos_joseph0273r3.html", "leglos_joseph0273r3")</f>
        <v>0</v>
      </c>
      <c r="N7001">
        <f>HYPERLINK("https://www.wikidata.org/wiki/Q3185240", "Q3185240")</f>
        <v>0</v>
      </c>
      <c r="O7001" t="s">
        <v>19975</v>
      </c>
      <c r="Q7001" t="s">
        <v>20840</v>
      </c>
      <c r="R7001" t="s">
        <v>419</v>
      </c>
      <c r="S7001">
        <v>1483</v>
      </c>
    </row>
    <row r="7002" spans="1:19">
      <c r="A7002" t="s">
        <v>29</v>
      </c>
      <c r="B7002" t="s">
        <v>148</v>
      </c>
      <c r="C7002" t="s">
        <v>161</v>
      </c>
      <c r="D7002" t="s">
        <v>290</v>
      </c>
      <c r="E7002" t="s">
        <v>419</v>
      </c>
      <c r="F7002">
        <f>HYPERLINK("https://www.wikidata.org/wiki/Q33322771", "Q33322771")</f>
        <v>0</v>
      </c>
      <c r="G7002" t="s">
        <v>854</v>
      </c>
      <c r="H7002" t="s">
        <v>5610</v>
      </c>
      <c r="I7002" t="s">
        <v>9556</v>
      </c>
      <c r="J7002" t="s">
        <v>11600</v>
      </c>
      <c r="K7002" t="s">
        <v>16002</v>
      </c>
      <c r="L7002">
        <f>HYPERLINK("https://www2.assemblee-nationale.fr/sycomore/fiche/(num_dept)/7723", "7723")</f>
        <v>0</v>
      </c>
      <c r="N7002">
        <f>HYPERLINK("https://www.wikidata.org/wiki/Q8327019", "Q8327019")</f>
        <v>0</v>
      </c>
      <c r="O7002" t="s">
        <v>19985</v>
      </c>
      <c r="Q7002" t="s">
        <v>20840</v>
      </c>
      <c r="R7002" t="s">
        <v>419</v>
      </c>
      <c r="S7002">
        <v>1483</v>
      </c>
    </row>
    <row r="7003" spans="1:19">
      <c r="A7003" t="s">
        <v>29</v>
      </c>
      <c r="B7003" t="s">
        <v>148</v>
      </c>
      <c r="C7003" t="s">
        <v>161</v>
      </c>
      <c r="D7003" t="s">
        <v>290</v>
      </c>
      <c r="E7003" t="s">
        <v>419</v>
      </c>
      <c r="F7003">
        <f>HYPERLINK("https://www.wikidata.org/wiki/Q33322771", "Q33322771")</f>
        <v>0</v>
      </c>
      <c r="G7003" t="s">
        <v>3857</v>
      </c>
      <c r="H7003" t="s">
        <v>5610</v>
      </c>
      <c r="I7003" t="s">
        <v>9449</v>
      </c>
      <c r="J7003" t="s">
        <v>14416</v>
      </c>
      <c r="K7003" t="s">
        <v>18769</v>
      </c>
      <c r="L7003">
        <f>HYPERLINK("https://www2.assemblee-nationale.fr/sycomore/fiche/(num_dept)/7725", "7725")</f>
        <v>0</v>
      </c>
      <c r="N7003">
        <f>HYPERLINK("https://www.wikidata.org/wiki/Q3188725", "Q3188725")</f>
        <v>0</v>
      </c>
      <c r="O7003" t="s">
        <v>19970</v>
      </c>
      <c r="Q7003" t="s">
        <v>20840</v>
      </c>
      <c r="R7003" t="s">
        <v>419</v>
      </c>
      <c r="S7003">
        <v>1483</v>
      </c>
    </row>
    <row r="7004" spans="1:19">
      <c r="A7004" t="s">
        <v>29</v>
      </c>
      <c r="B7004" t="s">
        <v>148</v>
      </c>
      <c r="C7004" t="s">
        <v>161</v>
      </c>
      <c r="D7004" t="s">
        <v>290</v>
      </c>
      <c r="E7004" t="s">
        <v>419</v>
      </c>
      <c r="F7004">
        <f>HYPERLINK("https://www.wikidata.org/wiki/Q33322771", "Q33322771")</f>
        <v>0</v>
      </c>
      <c r="G7004" t="s">
        <v>1078</v>
      </c>
      <c r="H7004" t="s">
        <v>5822</v>
      </c>
      <c r="I7004" t="s">
        <v>9449</v>
      </c>
      <c r="J7004" t="s">
        <v>11814</v>
      </c>
      <c r="K7004" t="s">
        <v>16215</v>
      </c>
      <c r="L7004">
        <f>HYPERLINK("https://www2.assemblee-nationale.fr/sycomore/fiche/(num_dept)/7752", "7752")</f>
        <v>0</v>
      </c>
      <c r="N7004">
        <f>HYPERLINK("https://www.wikidata.org/wiki/Q3085048", "Q3085048")</f>
        <v>0</v>
      </c>
      <c r="O7004" t="s">
        <v>20013</v>
      </c>
      <c r="Q7004" t="s">
        <v>20840</v>
      </c>
      <c r="R7004" t="s">
        <v>419</v>
      </c>
      <c r="S7004">
        <v>1483</v>
      </c>
    </row>
    <row r="7005" spans="1:19">
      <c r="A7005" t="s">
        <v>29</v>
      </c>
      <c r="B7005" t="s">
        <v>148</v>
      </c>
      <c r="C7005" t="s">
        <v>161</v>
      </c>
      <c r="D7005" t="s">
        <v>290</v>
      </c>
      <c r="E7005" t="s">
        <v>419</v>
      </c>
      <c r="F7005">
        <f>HYPERLINK("https://www.wikidata.org/wiki/Q33322771", "Q33322771")</f>
        <v>0</v>
      </c>
      <c r="G7005" t="s">
        <v>3947</v>
      </c>
      <c r="H7005" t="s">
        <v>8199</v>
      </c>
      <c r="I7005" t="s">
        <v>11036</v>
      </c>
      <c r="J7005" t="s">
        <v>14499</v>
      </c>
      <c r="K7005" t="s">
        <v>17829</v>
      </c>
      <c r="L7005">
        <f>HYPERLINK("https://www2.assemblee-nationale.fr/sycomore/fiche/(num_dept)/7813", "7813")</f>
        <v>0</v>
      </c>
      <c r="N7005">
        <f>HYPERLINK("https://www.wikidata.org/wiki/Q3576492", "Q3576492")</f>
        <v>0</v>
      </c>
      <c r="O7005" t="s">
        <v>19972</v>
      </c>
      <c r="Q7005" t="s">
        <v>20840</v>
      </c>
      <c r="R7005" t="s">
        <v>419</v>
      </c>
      <c r="S7005">
        <v>1483</v>
      </c>
    </row>
    <row r="7006" spans="1:19">
      <c r="A7006" t="s">
        <v>29</v>
      </c>
      <c r="B7006" t="s">
        <v>148</v>
      </c>
      <c r="C7006" t="s">
        <v>161</v>
      </c>
      <c r="D7006" t="s">
        <v>290</v>
      </c>
      <c r="E7006" t="s">
        <v>419</v>
      </c>
      <c r="F7006">
        <f>HYPERLINK("https://www.wikidata.org/wiki/Q33322771", "Q33322771")</f>
        <v>0</v>
      </c>
      <c r="G7006" t="s">
        <v>2716</v>
      </c>
      <c r="H7006" t="s">
        <v>7242</v>
      </c>
      <c r="I7006" t="s">
        <v>10381</v>
      </c>
      <c r="J7006" t="s">
        <v>13357</v>
      </c>
      <c r="K7006" t="s">
        <v>17757</v>
      </c>
      <c r="L7006">
        <f>HYPERLINK("https://www2.assemblee-nationale.fr/sycomore/fiche/(num_dept)/7831", "7831")</f>
        <v>0</v>
      </c>
      <c r="N7006">
        <f>HYPERLINK("https://www.wikidata.org/wiki/Q8316737", "Q8316737")</f>
        <v>0</v>
      </c>
      <c r="O7006" t="s">
        <v>19997</v>
      </c>
      <c r="P7006" t="s">
        <v>20401</v>
      </c>
      <c r="Q7006" t="s">
        <v>20840</v>
      </c>
      <c r="R7006" t="s">
        <v>419</v>
      </c>
      <c r="S7006">
        <v>1483</v>
      </c>
    </row>
    <row r="7007" spans="1:19">
      <c r="A7007" t="s">
        <v>29</v>
      </c>
      <c r="B7007" t="s">
        <v>148</v>
      </c>
      <c r="C7007" t="s">
        <v>161</v>
      </c>
      <c r="D7007" t="s">
        <v>290</v>
      </c>
      <c r="E7007" t="s">
        <v>419</v>
      </c>
      <c r="F7007">
        <f>HYPERLINK("https://www.wikidata.org/wiki/Q33322771", "Q33322771")</f>
        <v>0</v>
      </c>
      <c r="G7007" t="s">
        <v>3295</v>
      </c>
      <c r="H7007" t="s">
        <v>7706</v>
      </c>
      <c r="I7007" t="s">
        <v>10748</v>
      </c>
      <c r="J7007" t="s">
        <v>13909</v>
      </c>
      <c r="K7007" t="s">
        <v>18280</v>
      </c>
      <c r="L7007">
        <f>HYPERLINK("https://www2.assemblee-nationale.fr/sycomore/fiche/(num_dept)/7833", "7833")</f>
        <v>0</v>
      </c>
      <c r="N7007">
        <f>HYPERLINK("https://www.wikidata.org/wiki/Q3092648", "Q3092648")</f>
        <v>0</v>
      </c>
      <c r="O7007" t="s">
        <v>19957</v>
      </c>
      <c r="Q7007" t="s">
        <v>20840</v>
      </c>
      <c r="R7007" t="s">
        <v>419</v>
      </c>
      <c r="S7007">
        <v>1483</v>
      </c>
    </row>
    <row r="7008" spans="1:19">
      <c r="A7008" t="s">
        <v>29</v>
      </c>
      <c r="B7008" t="s">
        <v>148</v>
      </c>
      <c r="C7008" t="s">
        <v>161</v>
      </c>
      <c r="D7008" t="s">
        <v>290</v>
      </c>
      <c r="E7008" t="s">
        <v>419</v>
      </c>
      <c r="F7008">
        <f>HYPERLINK("https://www.wikidata.org/wiki/Q33322771", "Q33322771")</f>
        <v>0</v>
      </c>
      <c r="G7008" t="s">
        <v>3948</v>
      </c>
      <c r="H7008" t="s">
        <v>5613</v>
      </c>
      <c r="I7008" t="s">
        <v>9438</v>
      </c>
      <c r="J7008" t="s">
        <v>11758</v>
      </c>
      <c r="K7008" t="s">
        <v>18848</v>
      </c>
      <c r="L7008">
        <f>HYPERLINK("https://www2.assemblee-nationale.fr/sycomore/fiche/(num_dept)/7841", "7841")</f>
        <v>0</v>
      </c>
      <c r="M7008">
        <f>HYPERLINK("https://www.senat.fr/senateur-3eme-republique/leygue_honore0095r3.html", "leygue_honore0095r3")</f>
        <v>0</v>
      </c>
      <c r="N7008">
        <f>HYPERLINK("https://www.wikidata.org/wiki/Q3140238", "Q3140238")</f>
        <v>0</v>
      </c>
      <c r="O7008" t="s">
        <v>20016</v>
      </c>
      <c r="Q7008" t="s">
        <v>20840</v>
      </c>
      <c r="R7008" t="s">
        <v>419</v>
      </c>
      <c r="S7008">
        <v>1483</v>
      </c>
    </row>
    <row r="7009" spans="1:19">
      <c r="A7009" t="s">
        <v>29</v>
      </c>
      <c r="B7009" t="s">
        <v>148</v>
      </c>
      <c r="C7009" t="s">
        <v>161</v>
      </c>
      <c r="D7009" t="s">
        <v>290</v>
      </c>
      <c r="E7009" t="s">
        <v>419</v>
      </c>
      <c r="F7009">
        <f>HYPERLINK("https://www.wikidata.org/wiki/Q33322771", "Q33322771")</f>
        <v>0</v>
      </c>
      <c r="G7009" t="s">
        <v>3621</v>
      </c>
      <c r="H7009" t="s">
        <v>7961</v>
      </c>
      <c r="I7009" t="s">
        <v>9692</v>
      </c>
      <c r="J7009" t="s">
        <v>14203</v>
      </c>
      <c r="K7009" t="s">
        <v>18570</v>
      </c>
      <c r="L7009">
        <f>HYPERLINK("https://www2.assemblee-nationale.fr/sycomore/fiche/(num_dept)/7842", "7842")</f>
        <v>0</v>
      </c>
      <c r="M7009">
        <f>HYPERLINK("https://www.senat.fr/senateur-3eme-republique/leygue_raymond0108r3.html", "leygue_raymond0108r3")</f>
        <v>0</v>
      </c>
      <c r="N7009">
        <f>HYPERLINK("https://www.wikidata.org/wiki/Q3421004", "Q3421004")</f>
        <v>0</v>
      </c>
      <c r="O7009" t="s">
        <v>20016</v>
      </c>
      <c r="P7009" t="s">
        <v>20477</v>
      </c>
      <c r="Q7009" t="s">
        <v>20840</v>
      </c>
      <c r="R7009" t="s">
        <v>419</v>
      </c>
      <c r="S7009">
        <v>1483</v>
      </c>
    </row>
    <row r="7010" spans="1:19">
      <c r="A7010" t="s">
        <v>29</v>
      </c>
      <c r="B7010" t="s">
        <v>148</v>
      </c>
      <c r="C7010" t="s">
        <v>161</v>
      </c>
      <c r="D7010" t="s">
        <v>290</v>
      </c>
      <c r="E7010" t="s">
        <v>419</v>
      </c>
      <c r="F7010">
        <f>HYPERLINK("https://www.wikidata.org/wiki/Q33322771", "Q33322771")</f>
        <v>0</v>
      </c>
      <c r="G7010" t="s">
        <v>2717</v>
      </c>
      <c r="H7010" t="s">
        <v>7243</v>
      </c>
      <c r="I7010" t="s">
        <v>9728</v>
      </c>
      <c r="J7010" t="s">
        <v>13358</v>
      </c>
      <c r="K7010" t="s">
        <v>17758</v>
      </c>
      <c r="L7010">
        <f>HYPERLINK("https://www2.assemblee-nationale.fr/sycomore/fiche/(num_dept)/7875", "7875")</f>
        <v>0</v>
      </c>
      <c r="N7010">
        <f>HYPERLINK("https://www.wikidata.org/wiki/Q733836", "Q733836")</f>
        <v>0</v>
      </c>
      <c r="O7010" t="s">
        <v>19969</v>
      </c>
      <c r="P7010" t="s">
        <v>20401</v>
      </c>
      <c r="Q7010" t="s">
        <v>20840</v>
      </c>
      <c r="R7010" t="s">
        <v>419</v>
      </c>
      <c r="S7010">
        <v>1483</v>
      </c>
    </row>
    <row r="7011" spans="1:19">
      <c r="A7011" t="s">
        <v>29</v>
      </c>
      <c r="B7011" t="s">
        <v>148</v>
      </c>
      <c r="C7011" t="s">
        <v>161</v>
      </c>
      <c r="D7011" t="s">
        <v>290</v>
      </c>
      <c r="E7011" t="s">
        <v>419</v>
      </c>
      <c r="F7011">
        <f>HYPERLINK("https://www.wikidata.org/wiki/Q33322771", "Q33322771")</f>
        <v>0</v>
      </c>
      <c r="G7011" t="s">
        <v>3342</v>
      </c>
      <c r="H7011" t="s">
        <v>5387</v>
      </c>
      <c r="I7011" t="s">
        <v>9385</v>
      </c>
      <c r="J7011" t="s">
        <v>13955</v>
      </c>
      <c r="K7011" t="s">
        <v>18324</v>
      </c>
      <c r="L7011">
        <f>HYPERLINK("https://www2.assemblee-nationale.fr/sycomore/fiche/(num_dept)/10133", "10133")</f>
        <v>0</v>
      </c>
      <c r="M7011">
        <f>HYPERLINK("https://www.senat.fr/senateur-3eme-republique/dupuy_charles0513r3.html", "dupuy_charles0513r3")</f>
        <v>0</v>
      </c>
      <c r="N7011">
        <f>HYPERLINK("https://www.wikidata.org/wiki/Q356032", "Q356032")</f>
        <v>0</v>
      </c>
      <c r="O7011" t="s">
        <v>19993</v>
      </c>
      <c r="P7011" t="s">
        <v>20479</v>
      </c>
      <c r="Q7011" t="s">
        <v>20840</v>
      </c>
      <c r="R7011" t="s">
        <v>21587</v>
      </c>
      <c r="S7011">
        <v>782</v>
      </c>
    </row>
    <row r="7012" spans="1:19">
      <c r="A7012" t="s">
        <v>29</v>
      </c>
      <c r="B7012" t="s">
        <v>148</v>
      </c>
      <c r="C7012" t="s">
        <v>161</v>
      </c>
      <c r="D7012" t="s">
        <v>290</v>
      </c>
      <c r="E7012" t="s">
        <v>419</v>
      </c>
      <c r="F7012">
        <f>HYPERLINK("https://www.wikidata.org/wiki/Q33322771", "Q33322771")</f>
        <v>0</v>
      </c>
      <c r="G7012" t="s">
        <v>3949</v>
      </c>
      <c r="H7012" t="s">
        <v>8200</v>
      </c>
      <c r="I7012" t="s">
        <v>9445</v>
      </c>
      <c r="J7012" t="s">
        <v>14500</v>
      </c>
      <c r="K7012" t="s">
        <v>18493</v>
      </c>
      <c r="L7012">
        <f>HYPERLINK("https://www2.assemblee-nationale.fr/sycomore/fiche/(num_dept)/10838", "10838")</f>
        <v>0</v>
      </c>
      <c r="N7012">
        <f>HYPERLINK("https://www.wikidata.org/wiki/Q3131916", "Q3131916")</f>
        <v>0</v>
      </c>
      <c r="O7012" t="s">
        <v>20037</v>
      </c>
      <c r="P7012" t="s">
        <v>20410</v>
      </c>
      <c r="Q7012" t="s">
        <v>20840</v>
      </c>
      <c r="R7012" t="s">
        <v>419</v>
      </c>
      <c r="S7012">
        <v>1483</v>
      </c>
    </row>
    <row r="7013" spans="1:19">
      <c r="A7013" t="s">
        <v>29</v>
      </c>
      <c r="B7013" t="s">
        <v>148</v>
      </c>
      <c r="C7013" t="s">
        <v>161</v>
      </c>
      <c r="D7013" t="s">
        <v>290</v>
      </c>
      <c r="E7013" t="s">
        <v>419</v>
      </c>
      <c r="F7013">
        <f>HYPERLINK("https://www.wikidata.org/wiki/Q33322771", "Q33322771")</f>
        <v>0</v>
      </c>
      <c r="G7013" t="s">
        <v>3950</v>
      </c>
      <c r="H7013" t="s">
        <v>8201</v>
      </c>
      <c r="I7013" t="s">
        <v>11037</v>
      </c>
      <c r="J7013" t="s">
        <v>14501</v>
      </c>
      <c r="K7013" t="s">
        <v>18849</v>
      </c>
      <c r="L7013">
        <f>HYPERLINK("https://www2.assemblee-nationale.fr/sycomore/fiche/(num_dept)/17", "17")</f>
        <v>0</v>
      </c>
      <c r="N7013">
        <f>HYPERLINK("https://www.wikidata.org/wiki/Q3588300", "Q3588300")</f>
        <v>0</v>
      </c>
      <c r="O7013" t="s">
        <v>20047</v>
      </c>
      <c r="P7013" t="s">
        <v>20401</v>
      </c>
      <c r="Q7013" t="s">
        <v>20841</v>
      </c>
      <c r="R7013" t="s">
        <v>419</v>
      </c>
      <c r="S7013">
        <v>1469</v>
      </c>
    </row>
    <row r="7014" spans="1:19">
      <c r="A7014" t="s">
        <v>29</v>
      </c>
      <c r="B7014" t="s">
        <v>148</v>
      </c>
      <c r="C7014" t="s">
        <v>161</v>
      </c>
      <c r="D7014" t="s">
        <v>290</v>
      </c>
      <c r="E7014" t="s">
        <v>419</v>
      </c>
      <c r="F7014">
        <f>HYPERLINK("https://www.wikidata.org/wiki/Q33322771", "Q33322771")</f>
        <v>0</v>
      </c>
      <c r="G7014" t="s">
        <v>497</v>
      </c>
      <c r="H7014" t="s">
        <v>5262</v>
      </c>
      <c r="I7014" t="s">
        <v>9368</v>
      </c>
      <c r="J7014" t="s">
        <v>11249</v>
      </c>
      <c r="K7014" t="s">
        <v>15649</v>
      </c>
      <c r="L7014">
        <f>HYPERLINK("https://www2.assemblee-nationale.fr/sycomore/fiche/(num_dept)/67", "67")</f>
        <v>0</v>
      </c>
      <c r="M7014">
        <f>HYPERLINK("https://www.senat.fr/senateur-3eme-republique/alasseur_gustave0506r3.html", "alasseur_gustave0506r3")</f>
        <v>0</v>
      </c>
      <c r="N7014">
        <f>HYPERLINK("https://www.wikidata.org/wiki/Q3121099", "Q3121099")</f>
        <v>0</v>
      </c>
      <c r="O7014" t="s">
        <v>19958</v>
      </c>
      <c r="Q7014" t="s">
        <v>20841</v>
      </c>
      <c r="R7014" t="s">
        <v>21583</v>
      </c>
      <c r="S7014">
        <v>974</v>
      </c>
    </row>
    <row r="7015" spans="1:19">
      <c r="A7015" t="s">
        <v>29</v>
      </c>
      <c r="B7015" t="s">
        <v>148</v>
      </c>
      <c r="C7015" t="s">
        <v>161</v>
      </c>
      <c r="D7015" t="s">
        <v>290</v>
      </c>
      <c r="E7015" t="s">
        <v>419</v>
      </c>
      <c r="F7015">
        <f>HYPERLINK("https://www.wikidata.org/wiki/Q33322771", "Q33322771")</f>
        <v>0</v>
      </c>
      <c r="G7015" t="s">
        <v>498</v>
      </c>
      <c r="H7015" t="s">
        <v>5263</v>
      </c>
      <c r="I7015" t="s">
        <v>9369</v>
      </c>
      <c r="J7015" t="s">
        <v>11250</v>
      </c>
      <c r="K7015" t="s">
        <v>15650</v>
      </c>
      <c r="L7015">
        <f>HYPERLINK("https://www2.assemblee-nationale.fr/sycomore/fiche/(num_dept)/72", "72")</f>
        <v>0</v>
      </c>
      <c r="N7015">
        <f>HYPERLINK("https://www.wikidata.org/wiki/Q3099819", "Q3099819")</f>
        <v>0</v>
      </c>
      <c r="O7015" t="s">
        <v>19959</v>
      </c>
      <c r="Q7015" t="s">
        <v>20841</v>
      </c>
      <c r="R7015" t="s">
        <v>419</v>
      </c>
      <c r="S7015">
        <v>1469</v>
      </c>
    </row>
    <row r="7016" spans="1:19">
      <c r="A7016" t="s">
        <v>29</v>
      </c>
      <c r="B7016" t="s">
        <v>148</v>
      </c>
      <c r="C7016" t="s">
        <v>161</v>
      </c>
      <c r="D7016" t="s">
        <v>290</v>
      </c>
      <c r="E7016" t="s">
        <v>419</v>
      </c>
      <c r="F7016">
        <f>HYPERLINK("https://www.wikidata.org/wiki/Q33322771", "Q33322771")</f>
        <v>0</v>
      </c>
      <c r="G7016" t="s">
        <v>3951</v>
      </c>
      <c r="H7016" t="s">
        <v>8202</v>
      </c>
      <c r="I7016" t="s">
        <v>11038</v>
      </c>
      <c r="J7016" t="s">
        <v>14502</v>
      </c>
      <c r="K7016" t="s">
        <v>18850</v>
      </c>
      <c r="L7016">
        <f>HYPERLINK("https://www2.assemblee-nationale.fr/sycomore/fiche/(num_dept)/88", "88")</f>
        <v>0</v>
      </c>
      <c r="N7016">
        <f>HYPERLINK("https://www.wikidata.org/wiki/Q3300310", "Q3300310")</f>
        <v>0</v>
      </c>
      <c r="O7016" t="s">
        <v>20042</v>
      </c>
      <c r="P7016" t="s">
        <v>20485</v>
      </c>
      <c r="Q7016" t="s">
        <v>20841</v>
      </c>
      <c r="R7016" t="s">
        <v>419</v>
      </c>
      <c r="S7016">
        <v>1469</v>
      </c>
    </row>
    <row r="7017" spans="1:19">
      <c r="A7017" t="s">
        <v>29</v>
      </c>
      <c r="B7017" t="s">
        <v>148</v>
      </c>
      <c r="C7017" t="s">
        <v>161</v>
      </c>
      <c r="D7017" t="s">
        <v>290</v>
      </c>
      <c r="E7017" t="s">
        <v>419</v>
      </c>
      <c r="F7017">
        <f>HYPERLINK("https://www.wikidata.org/wiki/Q33322771", "Q33322771")</f>
        <v>0</v>
      </c>
      <c r="G7017" t="s">
        <v>3400</v>
      </c>
      <c r="H7017" t="s">
        <v>7789</v>
      </c>
      <c r="I7017" t="s">
        <v>10810</v>
      </c>
      <c r="J7017" t="s">
        <v>14008</v>
      </c>
      <c r="K7017" t="s">
        <v>18376</v>
      </c>
      <c r="L7017">
        <f>HYPERLINK("https://www2.assemblee-nationale.fr/sycomore/fiche/(num_dept)/187", "187")</f>
        <v>0</v>
      </c>
      <c r="N7017">
        <f>HYPERLINK("https://www.wikidata.org/wiki/Q2871297", "Q2871297")</f>
        <v>0</v>
      </c>
      <c r="O7017" t="s">
        <v>19996</v>
      </c>
      <c r="P7017" t="s">
        <v>20483</v>
      </c>
      <c r="Q7017" t="s">
        <v>20841</v>
      </c>
      <c r="R7017" t="s">
        <v>419</v>
      </c>
      <c r="S7017">
        <v>1469</v>
      </c>
    </row>
    <row r="7018" spans="1:19">
      <c r="A7018" t="s">
        <v>29</v>
      </c>
      <c r="B7018" t="s">
        <v>148</v>
      </c>
      <c r="C7018" t="s">
        <v>161</v>
      </c>
      <c r="D7018" t="s">
        <v>290</v>
      </c>
      <c r="E7018" t="s">
        <v>419</v>
      </c>
      <c r="F7018">
        <f>HYPERLINK("https://www.wikidata.org/wiki/Q33322771", "Q33322771")</f>
        <v>0</v>
      </c>
      <c r="G7018" t="s">
        <v>3876</v>
      </c>
      <c r="H7018" t="s">
        <v>5844</v>
      </c>
      <c r="I7018" t="s">
        <v>11007</v>
      </c>
      <c r="J7018" t="s">
        <v>14434</v>
      </c>
      <c r="K7018" t="s">
        <v>18786</v>
      </c>
      <c r="L7018">
        <f>HYPERLINK("https://www2.assemblee-nationale.fr/sycomore/fiche/(num_dept)/267", "267")</f>
        <v>0</v>
      </c>
      <c r="N7018">
        <f>HYPERLINK("https://www.wikidata.org/wiki/Q15973403", "Q15973403")</f>
        <v>0</v>
      </c>
      <c r="O7018" t="s">
        <v>7411</v>
      </c>
      <c r="P7018" t="s">
        <v>20477</v>
      </c>
      <c r="Q7018" t="s">
        <v>20841</v>
      </c>
      <c r="R7018" t="s">
        <v>419</v>
      </c>
      <c r="S7018">
        <v>1469</v>
      </c>
    </row>
    <row r="7019" spans="1:19">
      <c r="A7019" t="s">
        <v>29</v>
      </c>
      <c r="B7019" t="s">
        <v>148</v>
      </c>
      <c r="C7019" t="s">
        <v>161</v>
      </c>
      <c r="D7019" t="s">
        <v>290</v>
      </c>
      <c r="E7019" t="s">
        <v>419</v>
      </c>
      <c r="F7019">
        <f>HYPERLINK("https://www.wikidata.org/wiki/Q33322771", "Q33322771")</f>
        <v>0</v>
      </c>
      <c r="G7019" t="s">
        <v>3952</v>
      </c>
      <c r="H7019" t="s">
        <v>8203</v>
      </c>
      <c r="I7019" t="s">
        <v>11039</v>
      </c>
      <c r="J7019" t="s">
        <v>14503</v>
      </c>
      <c r="K7019" t="s">
        <v>18380</v>
      </c>
      <c r="L7019">
        <f>HYPERLINK("https://www2.assemblee-nationale.fr/sycomore/fiche/(num_dept)/272", "272")</f>
        <v>0</v>
      </c>
      <c r="N7019">
        <f>HYPERLINK("https://www.wikidata.org/wiki/Q3084831", "Q3084831")</f>
        <v>0</v>
      </c>
      <c r="O7019" t="s">
        <v>20044</v>
      </c>
      <c r="Q7019" t="s">
        <v>20841</v>
      </c>
      <c r="R7019" t="s">
        <v>419</v>
      </c>
      <c r="S7019">
        <v>1469</v>
      </c>
    </row>
    <row r="7020" spans="1:19">
      <c r="A7020" t="s">
        <v>29</v>
      </c>
      <c r="B7020" t="s">
        <v>148</v>
      </c>
      <c r="C7020" t="s">
        <v>161</v>
      </c>
      <c r="D7020" t="s">
        <v>290</v>
      </c>
      <c r="E7020" t="s">
        <v>419</v>
      </c>
      <c r="F7020">
        <f>HYPERLINK("https://www.wikidata.org/wiki/Q33322771", "Q33322771")</f>
        <v>0</v>
      </c>
      <c r="G7020" t="s">
        <v>868</v>
      </c>
      <c r="H7020" t="s">
        <v>5624</v>
      </c>
      <c r="I7020" t="s">
        <v>6166</v>
      </c>
      <c r="J7020" t="s">
        <v>11614</v>
      </c>
      <c r="K7020" t="s">
        <v>16016</v>
      </c>
      <c r="L7020">
        <f>HYPERLINK("https://www2.assemblee-nationale.fr/sycomore/fiche/(num_dept)/317", "317")</f>
        <v>0</v>
      </c>
      <c r="N7020">
        <f>HYPERLINK("https://www.wikidata.org/wiki/Q15973432", "Q15973432")</f>
        <v>0</v>
      </c>
      <c r="O7020" t="s">
        <v>8449</v>
      </c>
      <c r="P7020" t="s">
        <v>20471</v>
      </c>
      <c r="Q7020" t="s">
        <v>20841</v>
      </c>
      <c r="R7020" t="s">
        <v>419</v>
      </c>
      <c r="S7020">
        <v>1469</v>
      </c>
    </row>
    <row r="7021" spans="1:19">
      <c r="A7021" t="s">
        <v>29</v>
      </c>
      <c r="B7021" t="s">
        <v>148</v>
      </c>
      <c r="C7021" t="s">
        <v>161</v>
      </c>
      <c r="D7021" t="s">
        <v>290</v>
      </c>
      <c r="E7021" t="s">
        <v>419</v>
      </c>
      <c r="F7021">
        <f>HYPERLINK("https://www.wikidata.org/wiki/Q33322771", "Q33322771")</f>
        <v>0</v>
      </c>
      <c r="G7021" t="s">
        <v>3526</v>
      </c>
      <c r="H7021" t="s">
        <v>7890</v>
      </c>
      <c r="I7021" t="s">
        <v>9602</v>
      </c>
      <c r="J7021" t="s">
        <v>11641</v>
      </c>
      <c r="K7021" t="s">
        <v>18487</v>
      </c>
      <c r="L7021">
        <f>HYPERLINK("https://www2.assemblee-nationale.fr/sycomore/fiche/(num_dept)/452", "452")</f>
        <v>0</v>
      </c>
      <c r="N7021">
        <f>HYPERLINK("https://www.wikidata.org/wiki/Q15973515", "Q15973515")</f>
        <v>0</v>
      </c>
      <c r="O7021" t="s">
        <v>19960</v>
      </c>
      <c r="P7021" t="s">
        <v>20484</v>
      </c>
      <c r="Q7021" t="s">
        <v>20841</v>
      </c>
      <c r="R7021" t="s">
        <v>21577</v>
      </c>
      <c r="S7021">
        <v>197</v>
      </c>
    </row>
    <row r="7022" spans="1:19">
      <c r="A7022" t="s">
        <v>29</v>
      </c>
      <c r="B7022" t="s">
        <v>148</v>
      </c>
      <c r="C7022" t="s">
        <v>161</v>
      </c>
      <c r="D7022" t="s">
        <v>290</v>
      </c>
      <c r="E7022" t="s">
        <v>419</v>
      </c>
      <c r="F7022">
        <f>HYPERLINK("https://www.wikidata.org/wiki/Q33322771", "Q33322771")</f>
        <v>0</v>
      </c>
      <c r="G7022" t="s">
        <v>3953</v>
      </c>
      <c r="H7022" t="s">
        <v>7891</v>
      </c>
      <c r="I7022" t="s">
        <v>6860</v>
      </c>
      <c r="J7022" t="s">
        <v>14504</v>
      </c>
      <c r="K7022" t="s">
        <v>18851</v>
      </c>
      <c r="L7022">
        <f>HYPERLINK("https://www2.assemblee-nationale.fr/sycomore/fiche/(num_dept)/491", "491")</f>
        <v>0</v>
      </c>
      <c r="M7022">
        <f>HYPERLINK("https://www.senat.fr/senateur-3eme-republique/baudin_pierre0016r3.html", "baudin_pierre0016r3")</f>
        <v>0</v>
      </c>
      <c r="N7022">
        <f>HYPERLINK("https://www.wikidata.org/wiki/Q2993834", "Q2993834")</f>
        <v>0</v>
      </c>
      <c r="O7022" t="s">
        <v>19969</v>
      </c>
      <c r="P7022" t="s">
        <v>20477</v>
      </c>
      <c r="Q7022" t="s">
        <v>20841</v>
      </c>
      <c r="R7022" t="s">
        <v>419</v>
      </c>
      <c r="S7022">
        <v>1469</v>
      </c>
    </row>
    <row r="7023" spans="1:19">
      <c r="A7023" t="s">
        <v>29</v>
      </c>
      <c r="B7023" t="s">
        <v>148</v>
      </c>
      <c r="C7023" t="s">
        <v>161</v>
      </c>
      <c r="D7023" t="s">
        <v>290</v>
      </c>
      <c r="E7023" t="s">
        <v>419</v>
      </c>
      <c r="F7023">
        <f>HYPERLINK("https://www.wikidata.org/wiki/Q33322771", "Q33322771")</f>
        <v>0</v>
      </c>
      <c r="G7023" t="s">
        <v>3665</v>
      </c>
      <c r="H7023" t="s">
        <v>7994</v>
      </c>
      <c r="I7023" t="s">
        <v>10924</v>
      </c>
      <c r="J7023" t="s">
        <v>14244</v>
      </c>
      <c r="K7023" t="s">
        <v>18604</v>
      </c>
      <c r="L7023">
        <f>HYPERLINK("https://www2.assemblee-nationale.fr/sycomore/fiche/(num_dept)/521", "521")</f>
        <v>0</v>
      </c>
      <c r="N7023">
        <f>HYPERLINK("https://www.wikidata.org/wiki/Q15973565", "Q15973565")</f>
        <v>0</v>
      </c>
      <c r="O7023" t="s">
        <v>19982</v>
      </c>
      <c r="Q7023" t="s">
        <v>20841</v>
      </c>
      <c r="R7023" t="s">
        <v>18604</v>
      </c>
      <c r="S7023">
        <v>620</v>
      </c>
    </row>
    <row r="7024" spans="1:19">
      <c r="A7024" t="s">
        <v>29</v>
      </c>
      <c r="B7024" t="s">
        <v>148</v>
      </c>
      <c r="C7024" t="s">
        <v>161</v>
      </c>
      <c r="D7024" t="s">
        <v>290</v>
      </c>
      <c r="E7024" t="s">
        <v>419</v>
      </c>
      <c r="F7024">
        <f>HYPERLINK("https://www.wikidata.org/wiki/Q33322771", "Q33322771")</f>
        <v>0</v>
      </c>
      <c r="G7024" t="s">
        <v>518</v>
      </c>
      <c r="H7024" t="s">
        <v>5282</v>
      </c>
      <c r="I7024" t="s">
        <v>9386</v>
      </c>
      <c r="J7024" t="s">
        <v>11270</v>
      </c>
      <c r="K7024" t="s">
        <v>15670</v>
      </c>
      <c r="L7024">
        <f>HYPERLINK("https://www2.assemblee-nationale.fr/sycomore/fiche/(num_dept)/540", "540")</f>
        <v>0</v>
      </c>
      <c r="N7024">
        <f>HYPERLINK("https://www.wikidata.org/wiki/Q3370596", "Q3370596")</f>
        <v>0</v>
      </c>
      <c r="O7024" t="s">
        <v>19969</v>
      </c>
      <c r="Q7024" t="s">
        <v>20841</v>
      </c>
      <c r="R7024" t="s">
        <v>419</v>
      </c>
      <c r="S7024">
        <v>1469</v>
      </c>
    </row>
    <row r="7025" spans="1:19">
      <c r="A7025" t="s">
        <v>29</v>
      </c>
      <c r="B7025" t="s">
        <v>148</v>
      </c>
      <c r="C7025" t="s">
        <v>161</v>
      </c>
      <c r="D7025" t="s">
        <v>290</v>
      </c>
      <c r="E7025" t="s">
        <v>419</v>
      </c>
      <c r="F7025">
        <f>HYPERLINK("https://www.wikidata.org/wiki/Q33322771", "Q33322771")</f>
        <v>0</v>
      </c>
      <c r="G7025" t="s">
        <v>3954</v>
      </c>
      <c r="H7025" t="s">
        <v>8204</v>
      </c>
      <c r="I7025" t="s">
        <v>9474</v>
      </c>
      <c r="J7025" t="s">
        <v>14505</v>
      </c>
      <c r="K7025" t="s">
        <v>18302</v>
      </c>
      <c r="L7025">
        <f>HYPERLINK("https://www2.assemblee-nationale.fr/sycomore/fiche/(num_dept)/621", "621")</f>
        <v>0</v>
      </c>
      <c r="N7025">
        <f>HYPERLINK("https://www.wikidata.org/wiki/Q15973618", "Q15973618")</f>
        <v>0</v>
      </c>
      <c r="O7025" t="s">
        <v>7411</v>
      </c>
      <c r="Q7025" t="s">
        <v>20841</v>
      </c>
      <c r="R7025" t="s">
        <v>419</v>
      </c>
      <c r="S7025">
        <v>1469</v>
      </c>
    </row>
    <row r="7026" spans="1:19">
      <c r="A7026" t="s">
        <v>29</v>
      </c>
      <c r="B7026" t="s">
        <v>148</v>
      </c>
      <c r="C7026" t="s">
        <v>161</v>
      </c>
      <c r="D7026" t="s">
        <v>290</v>
      </c>
      <c r="E7026" t="s">
        <v>419</v>
      </c>
      <c r="F7026">
        <f>HYPERLINK("https://www.wikidata.org/wiki/Q33322771", "Q33322771")</f>
        <v>0</v>
      </c>
      <c r="G7026" t="s">
        <v>1220</v>
      </c>
      <c r="H7026" t="s">
        <v>5947</v>
      </c>
      <c r="I7026" t="s">
        <v>9711</v>
      </c>
      <c r="J7026" t="s">
        <v>11952</v>
      </c>
      <c r="K7026" t="s">
        <v>16354</v>
      </c>
      <c r="L7026">
        <f>HYPERLINK("https://www2.assemblee-nationale.fr/sycomore/fiche/(num_dept)/681", "681")</f>
        <v>0</v>
      </c>
      <c r="N7026">
        <f>HYPERLINK("https://www.wikidata.org/wiki/Q13080822", "Q13080822")</f>
        <v>0</v>
      </c>
      <c r="O7026" t="s">
        <v>19987</v>
      </c>
      <c r="P7026" t="s">
        <v>20409</v>
      </c>
      <c r="Q7026" t="s">
        <v>20841</v>
      </c>
      <c r="R7026" t="s">
        <v>419</v>
      </c>
      <c r="S7026">
        <v>1469</v>
      </c>
    </row>
    <row r="7027" spans="1:19">
      <c r="A7027" t="s">
        <v>29</v>
      </c>
      <c r="B7027" t="s">
        <v>148</v>
      </c>
      <c r="C7027" t="s">
        <v>161</v>
      </c>
      <c r="D7027" t="s">
        <v>290</v>
      </c>
      <c r="E7027" t="s">
        <v>419</v>
      </c>
      <c r="F7027">
        <f>HYPERLINK("https://www.wikidata.org/wiki/Q33322771", "Q33322771")</f>
        <v>0</v>
      </c>
      <c r="G7027" t="s">
        <v>3955</v>
      </c>
      <c r="H7027" t="s">
        <v>8205</v>
      </c>
      <c r="I7027" t="s">
        <v>11040</v>
      </c>
      <c r="J7027" t="s">
        <v>14506</v>
      </c>
      <c r="K7027" t="s">
        <v>18852</v>
      </c>
      <c r="L7027">
        <f>HYPERLINK("https://www2.assemblee-nationale.fr/sycomore/fiche/(num_dept)/722", "722")</f>
        <v>0</v>
      </c>
      <c r="M7027">
        <f>HYPERLINK("https://www.senat.fr/senateur-3eme-republique/berthelot_andre1417r3.html", "berthelot_andre1417r3")</f>
        <v>0</v>
      </c>
      <c r="N7027">
        <f>HYPERLINK("https://www.wikidata.org/wiki/Q2847279", "Q2847279")</f>
        <v>0</v>
      </c>
      <c r="O7027" t="s">
        <v>19969</v>
      </c>
      <c r="P7027" t="s">
        <v>20485</v>
      </c>
      <c r="Q7027" t="s">
        <v>20841</v>
      </c>
      <c r="R7027" t="s">
        <v>419</v>
      </c>
      <c r="S7027">
        <v>1469</v>
      </c>
    </row>
    <row r="7028" spans="1:19">
      <c r="A7028" t="s">
        <v>29</v>
      </c>
      <c r="B7028" t="s">
        <v>148</v>
      </c>
      <c r="C7028" t="s">
        <v>161</v>
      </c>
      <c r="D7028" t="s">
        <v>290</v>
      </c>
      <c r="E7028" t="s">
        <v>419</v>
      </c>
      <c r="F7028">
        <f>HYPERLINK("https://www.wikidata.org/wiki/Q33322771", "Q33322771")</f>
        <v>0</v>
      </c>
      <c r="G7028" t="s">
        <v>3956</v>
      </c>
      <c r="H7028" t="s">
        <v>8206</v>
      </c>
      <c r="I7028" t="s">
        <v>11041</v>
      </c>
      <c r="J7028" t="s">
        <v>14507</v>
      </c>
      <c r="K7028" t="s">
        <v>17959</v>
      </c>
      <c r="L7028">
        <f>HYPERLINK("https://www2.assemblee-nationale.fr/sycomore/fiche/(num_dept)/740", "740")</f>
        <v>0</v>
      </c>
      <c r="N7028">
        <f>HYPERLINK("https://www.wikidata.org/wiki/Q15973642", "Q15973642")</f>
        <v>0</v>
      </c>
      <c r="O7028" t="s">
        <v>19979</v>
      </c>
      <c r="P7028" t="s">
        <v>20477</v>
      </c>
      <c r="Q7028" t="s">
        <v>20841</v>
      </c>
      <c r="R7028" t="s">
        <v>419</v>
      </c>
      <c r="S7028">
        <v>1469</v>
      </c>
    </row>
    <row r="7029" spans="1:19">
      <c r="A7029" t="s">
        <v>29</v>
      </c>
      <c r="B7029" t="s">
        <v>148</v>
      </c>
      <c r="C7029" t="s">
        <v>161</v>
      </c>
      <c r="D7029" t="s">
        <v>290</v>
      </c>
      <c r="E7029" t="s">
        <v>419</v>
      </c>
      <c r="F7029">
        <f>HYPERLINK("https://www.wikidata.org/wiki/Q33322771", "Q33322771")</f>
        <v>0</v>
      </c>
      <c r="G7029" t="s">
        <v>3957</v>
      </c>
      <c r="H7029" t="s">
        <v>8207</v>
      </c>
      <c r="I7029" t="s">
        <v>11042</v>
      </c>
      <c r="J7029" t="s">
        <v>14508</v>
      </c>
      <c r="K7029" t="s">
        <v>18853</v>
      </c>
      <c r="L7029">
        <f>HYPERLINK("https://www2.assemblee-nationale.fr/sycomore/fiche/(num_dept)/922", "922")</f>
        <v>0</v>
      </c>
      <c r="N7029">
        <f>HYPERLINK("https://www.wikidata.org/wiki/Q15973802", "Q15973802")</f>
        <v>0</v>
      </c>
      <c r="O7029" t="s">
        <v>19969</v>
      </c>
      <c r="P7029" t="s">
        <v>20479</v>
      </c>
      <c r="Q7029" t="s">
        <v>20841</v>
      </c>
      <c r="R7029" t="s">
        <v>419</v>
      </c>
      <c r="S7029">
        <v>1469</v>
      </c>
    </row>
    <row r="7030" spans="1:19">
      <c r="A7030" t="s">
        <v>29</v>
      </c>
      <c r="B7030" t="s">
        <v>148</v>
      </c>
      <c r="C7030" t="s">
        <v>161</v>
      </c>
      <c r="D7030" t="s">
        <v>290</v>
      </c>
      <c r="E7030" t="s">
        <v>419</v>
      </c>
      <c r="F7030">
        <f>HYPERLINK("https://www.wikidata.org/wiki/Q33322771", "Q33322771")</f>
        <v>0</v>
      </c>
      <c r="G7030" t="s">
        <v>3844</v>
      </c>
      <c r="H7030" t="s">
        <v>8120</v>
      </c>
      <c r="I7030" t="s">
        <v>10998</v>
      </c>
      <c r="J7030" t="s">
        <v>14404</v>
      </c>
      <c r="L7030">
        <f>HYPERLINK("https://www2.assemblee-nationale.fr/sycomore/fiche/(num_dept)/926", "926")</f>
        <v>0</v>
      </c>
      <c r="N7030">
        <f>HYPERLINK("https://www.wikidata.org/wiki/Q15973809", "Q15973809")</f>
        <v>0</v>
      </c>
      <c r="O7030" t="s">
        <v>19965</v>
      </c>
      <c r="P7030" t="s">
        <v>20420</v>
      </c>
      <c r="Q7030" t="s">
        <v>20841</v>
      </c>
      <c r="R7030" t="s">
        <v>419</v>
      </c>
      <c r="S7030">
        <v>1469</v>
      </c>
    </row>
    <row r="7031" spans="1:19">
      <c r="A7031" t="s">
        <v>29</v>
      </c>
      <c r="B7031" t="s">
        <v>148</v>
      </c>
      <c r="C7031" t="s">
        <v>161</v>
      </c>
      <c r="D7031" t="s">
        <v>290</v>
      </c>
      <c r="E7031" t="s">
        <v>419</v>
      </c>
      <c r="F7031">
        <f>HYPERLINK("https://www.wikidata.org/wiki/Q33322771", "Q33322771")</f>
        <v>0</v>
      </c>
      <c r="G7031" t="s">
        <v>3233</v>
      </c>
      <c r="H7031" t="s">
        <v>7659</v>
      </c>
      <c r="I7031" t="s">
        <v>10721</v>
      </c>
      <c r="J7031" t="s">
        <v>13851</v>
      </c>
      <c r="K7031" t="s">
        <v>18223</v>
      </c>
      <c r="L7031">
        <f>HYPERLINK("https://www2.assemblee-nationale.fr/sycomore/fiche/(num_dept)/978", "978")</f>
        <v>0</v>
      </c>
      <c r="N7031">
        <f>HYPERLINK("https://www.wikidata.org/wiki/Q15973845", "Q15973845")</f>
        <v>0</v>
      </c>
      <c r="O7031" t="s">
        <v>20020</v>
      </c>
      <c r="Q7031" t="s">
        <v>20841</v>
      </c>
      <c r="R7031" t="s">
        <v>419</v>
      </c>
      <c r="S7031">
        <v>1469</v>
      </c>
    </row>
    <row r="7032" spans="1:19">
      <c r="A7032" t="s">
        <v>29</v>
      </c>
      <c r="B7032" t="s">
        <v>148</v>
      </c>
      <c r="C7032" t="s">
        <v>161</v>
      </c>
      <c r="D7032" t="s">
        <v>290</v>
      </c>
      <c r="E7032" t="s">
        <v>419</v>
      </c>
      <c r="F7032">
        <f>HYPERLINK("https://www.wikidata.org/wiki/Q33322771", "Q33322771")</f>
        <v>0</v>
      </c>
      <c r="G7032" t="s">
        <v>3958</v>
      </c>
      <c r="H7032" t="s">
        <v>8208</v>
      </c>
      <c r="I7032" t="s">
        <v>11043</v>
      </c>
      <c r="J7032" t="s">
        <v>14509</v>
      </c>
      <c r="K7032" t="s">
        <v>18854</v>
      </c>
      <c r="L7032">
        <f>HYPERLINK("https://www2.assemblee-nationale.fr/sycomore/fiche/(num_dept)/989", "989")</f>
        <v>0</v>
      </c>
      <c r="N7032">
        <f>HYPERLINK("https://www.wikidata.org/wiki/Q13080825", "Q13080825")</f>
        <v>0</v>
      </c>
      <c r="O7032" t="s">
        <v>19969</v>
      </c>
      <c r="P7032" t="s">
        <v>20477</v>
      </c>
      <c r="Q7032" t="s">
        <v>20841</v>
      </c>
      <c r="R7032" t="s">
        <v>419</v>
      </c>
      <c r="S7032">
        <v>1469</v>
      </c>
    </row>
    <row r="7033" spans="1:19">
      <c r="A7033" t="s">
        <v>29</v>
      </c>
      <c r="B7033" t="s">
        <v>148</v>
      </c>
      <c r="C7033" t="s">
        <v>161</v>
      </c>
      <c r="D7033" t="s">
        <v>290</v>
      </c>
      <c r="E7033" t="s">
        <v>419</v>
      </c>
      <c r="F7033">
        <f>HYPERLINK("https://www.wikidata.org/wiki/Q33322771", "Q33322771")</f>
        <v>0</v>
      </c>
      <c r="G7033" t="s">
        <v>541</v>
      </c>
      <c r="H7033" t="s">
        <v>5305</v>
      </c>
      <c r="I7033" t="s">
        <v>9402</v>
      </c>
      <c r="J7033" t="s">
        <v>11293</v>
      </c>
      <c r="K7033" t="s">
        <v>15693</v>
      </c>
      <c r="L7033">
        <f>HYPERLINK("https://www2.assemblee-nationale.fr/sycomore/fiche/(num_dept)/1016", "1016")</f>
        <v>0</v>
      </c>
      <c r="M7033">
        <f>HYPERLINK("https://www.senat.fr/senateur-3eme-republique/bouctot_georges1611r3.html", "bouctot_georges1611r3")</f>
        <v>0</v>
      </c>
      <c r="N7033">
        <f>HYPERLINK("https://www.wikidata.org/wiki/Q3102338", "Q3102338")</f>
        <v>0</v>
      </c>
      <c r="O7033" t="s">
        <v>19978</v>
      </c>
      <c r="P7033" t="s">
        <v>20459</v>
      </c>
      <c r="Q7033" t="s">
        <v>20841</v>
      </c>
      <c r="R7033" t="s">
        <v>419</v>
      </c>
      <c r="S7033">
        <v>1469</v>
      </c>
    </row>
    <row r="7034" spans="1:19">
      <c r="A7034" t="s">
        <v>29</v>
      </c>
      <c r="B7034" t="s">
        <v>148</v>
      </c>
      <c r="C7034" t="s">
        <v>161</v>
      </c>
      <c r="D7034" t="s">
        <v>290</v>
      </c>
      <c r="E7034" t="s">
        <v>419</v>
      </c>
      <c r="F7034">
        <f>HYPERLINK("https://www.wikidata.org/wiki/Q33322771", "Q33322771")</f>
        <v>0</v>
      </c>
      <c r="G7034" t="s">
        <v>3684</v>
      </c>
      <c r="H7034" t="s">
        <v>8007</v>
      </c>
      <c r="I7034" t="s">
        <v>10935</v>
      </c>
      <c r="J7034" t="s">
        <v>14260</v>
      </c>
      <c r="K7034" t="s">
        <v>17656</v>
      </c>
      <c r="L7034">
        <f>HYPERLINK("https://www2.assemblee-nationale.fr/sycomore/fiche/(num_dept)/1160", "1160")</f>
        <v>0</v>
      </c>
      <c r="N7034">
        <f>HYPERLINK("https://www.wikidata.org/wiki/Q7121631", "Q7121631")</f>
        <v>0</v>
      </c>
      <c r="O7034" t="s">
        <v>20039</v>
      </c>
      <c r="P7034" t="s">
        <v>20411</v>
      </c>
      <c r="Q7034" t="s">
        <v>20841</v>
      </c>
      <c r="R7034" t="s">
        <v>21588</v>
      </c>
      <c r="S7034">
        <v>273</v>
      </c>
    </row>
    <row r="7035" spans="1:19">
      <c r="A7035" t="s">
        <v>29</v>
      </c>
      <c r="B7035" t="s">
        <v>148</v>
      </c>
      <c r="C7035" t="s">
        <v>161</v>
      </c>
      <c r="D7035" t="s">
        <v>290</v>
      </c>
      <c r="E7035" t="s">
        <v>419</v>
      </c>
      <c r="F7035">
        <f>HYPERLINK("https://www.wikidata.org/wiki/Q33322771", "Q33322771")</f>
        <v>0</v>
      </c>
      <c r="G7035" t="s">
        <v>3413</v>
      </c>
      <c r="H7035" t="s">
        <v>5315</v>
      </c>
      <c r="I7035" t="s">
        <v>9442</v>
      </c>
      <c r="J7035" t="s">
        <v>13838</v>
      </c>
      <c r="K7035" t="s">
        <v>18387</v>
      </c>
      <c r="L7035">
        <f>HYPERLINK("https://www2.assemblee-nationale.fr/sycomore/fiche/(num_dept)/1201", "1201")</f>
        <v>0</v>
      </c>
      <c r="N7035">
        <f>HYPERLINK("https://www.wikidata.org/wiki/Q13080862", "Q13080862")</f>
        <v>0</v>
      </c>
      <c r="O7035" t="s">
        <v>19978</v>
      </c>
      <c r="P7035" t="s">
        <v>20479</v>
      </c>
      <c r="Q7035" t="s">
        <v>20841</v>
      </c>
      <c r="R7035" t="s">
        <v>18387</v>
      </c>
      <c r="S7035">
        <v>1269</v>
      </c>
    </row>
    <row r="7036" spans="1:19">
      <c r="A7036" t="s">
        <v>29</v>
      </c>
      <c r="B7036" t="s">
        <v>148</v>
      </c>
      <c r="C7036" t="s">
        <v>161</v>
      </c>
      <c r="D7036" t="s">
        <v>290</v>
      </c>
      <c r="E7036" t="s">
        <v>419</v>
      </c>
      <c r="F7036">
        <f>HYPERLINK("https://www.wikidata.org/wiki/Q33322771", "Q33322771")</f>
        <v>0</v>
      </c>
      <c r="G7036" t="s">
        <v>552</v>
      </c>
      <c r="H7036" t="s">
        <v>5315</v>
      </c>
      <c r="I7036" t="s">
        <v>9410</v>
      </c>
      <c r="J7036" t="s">
        <v>11303</v>
      </c>
      <c r="K7036" t="s">
        <v>15704</v>
      </c>
      <c r="L7036">
        <f>HYPERLINK("https://www2.assemblee-nationale.fr/sycomore/fiche/(num_dept)/1203", "1203")</f>
        <v>0</v>
      </c>
      <c r="M7036">
        <f>HYPERLINK("https://www.senat.fr/senateur-3eme-republique/breton_jules0441r3.html", "breton_jules0441r3")</f>
        <v>0</v>
      </c>
      <c r="N7036">
        <f>HYPERLINK("https://www.wikidata.org/wiki/Q3188368", "Q3188368")</f>
        <v>0</v>
      </c>
      <c r="O7036" t="s">
        <v>19996</v>
      </c>
      <c r="P7036" t="s">
        <v>20485</v>
      </c>
      <c r="Q7036" t="s">
        <v>20841</v>
      </c>
      <c r="R7036" t="s">
        <v>419</v>
      </c>
      <c r="S7036">
        <v>1469</v>
      </c>
    </row>
    <row r="7037" spans="1:19">
      <c r="A7037" t="s">
        <v>29</v>
      </c>
      <c r="B7037" t="s">
        <v>148</v>
      </c>
      <c r="C7037" t="s">
        <v>161</v>
      </c>
      <c r="D7037" t="s">
        <v>290</v>
      </c>
      <c r="E7037" t="s">
        <v>419</v>
      </c>
      <c r="F7037">
        <f>HYPERLINK("https://www.wikidata.org/wiki/Q33322771", "Q33322771")</f>
        <v>0</v>
      </c>
      <c r="G7037" t="s">
        <v>890</v>
      </c>
      <c r="H7037" t="s">
        <v>5646</v>
      </c>
      <c r="I7037" t="s">
        <v>9577</v>
      </c>
      <c r="J7037" t="s">
        <v>11636</v>
      </c>
      <c r="K7037" t="s">
        <v>16036</v>
      </c>
      <c r="L7037">
        <f>HYPERLINK("https://www2.assemblee-nationale.fr/sycomore/fiche/(num_dept)/1234", "1234")</f>
        <v>0</v>
      </c>
      <c r="M7037">
        <f>HYPERLINK("https://www.senat.fr/senateur-3eme-republique/brindeau_louis1617r3.html", "brindeau_louis1617r3")</f>
        <v>0</v>
      </c>
      <c r="N7037">
        <f>HYPERLINK("https://www.wikidata.org/wiki/Q3261358", "Q3261358")</f>
        <v>0</v>
      </c>
      <c r="O7037" t="s">
        <v>19978</v>
      </c>
      <c r="P7037" t="s">
        <v>20479</v>
      </c>
      <c r="Q7037" t="s">
        <v>20841</v>
      </c>
      <c r="R7037" t="s">
        <v>419</v>
      </c>
      <c r="S7037">
        <v>1469</v>
      </c>
    </row>
    <row r="7038" spans="1:19">
      <c r="A7038" t="s">
        <v>29</v>
      </c>
      <c r="B7038" t="s">
        <v>148</v>
      </c>
      <c r="C7038" t="s">
        <v>161</v>
      </c>
      <c r="D7038" t="s">
        <v>290</v>
      </c>
      <c r="E7038" t="s">
        <v>419</v>
      </c>
      <c r="F7038">
        <f>HYPERLINK("https://www.wikidata.org/wiki/Q33322771", "Q33322771")</f>
        <v>0</v>
      </c>
      <c r="G7038" t="s">
        <v>559</v>
      </c>
      <c r="H7038" t="s">
        <v>5322</v>
      </c>
      <c r="I7038" t="s">
        <v>5948</v>
      </c>
      <c r="J7038" t="s">
        <v>11310</v>
      </c>
      <c r="K7038" t="s">
        <v>15711</v>
      </c>
      <c r="L7038">
        <f>HYPERLINK("https://www2.assemblee-nationale.fr/sycomore/fiche/(num_dept)/1347", "1347")</f>
        <v>0</v>
      </c>
      <c r="N7038">
        <f>HYPERLINK("https://www.wikidata.org/wiki/Q822341", "Q822341")</f>
        <v>0</v>
      </c>
      <c r="O7038" t="s">
        <v>19990</v>
      </c>
      <c r="P7038" t="s">
        <v>20485</v>
      </c>
      <c r="Q7038" t="s">
        <v>20841</v>
      </c>
      <c r="R7038" t="s">
        <v>419</v>
      </c>
      <c r="S7038">
        <v>1469</v>
      </c>
    </row>
    <row r="7039" spans="1:19">
      <c r="A7039" t="s">
        <v>29</v>
      </c>
      <c r="B7039" t="s">
        <v>148</v>
      </c>
      <c r="C7039" t="s">
        <v>161</v>
      </c>
      <c r="D7039" t="s">
        <v>290</v>
      </c>
      <c r="E7039" t="s">
        <v>419</v>
      </c>
      <c r="F7039">
        <f>HYPERLINK("https://www.wikidata.org/wiki/Q33322771", "Q33322771")</f>
        <v>0</v>
      </c>
      <c r="G7039" t="s">
        <v>3363</v>
      </c>
      <c r="H7039" t="s">
        <v>7760</v>
      </c>
      <c r="I7039" t="s">
        <v>10792</v>
      </c>
      <c r="J7039" t="s">
        <v>13975</v>
      </c>
      <c r="K7039" t="s">
        <v>18343</v>
      </c>
      <c r="L7039">
        <f>HYPERLINK("https://www2.assemblee-nationale.fr/sycomore/fiche/(num_dept)/1393", "1393")</f>
        <v>0</v>
      </c>
      <c r="N7039">
        <f>HYPERLINK("https://www.wikidata.org/wiki/Q15974106", "Q15974106")</f>
        <v>0</v>
      </c>
      <c r="O7039" t="s">
        <v>20016</v>
      </c>
      <c r="P7039" t="s">
        <v>20480</v>
      </c>
      <c r="Q7039" t="s">
        <v>20841</v>
      </c>
      <c r="R7039" t="s">
        <v>419</v>
      </c>
      <c r="S7039">
        <v>1469</v>
      </c>
    </row>
    <row r="7040" spans="1:19">
      <c r="A7040" t="s">
        <v>29</v>
      </c>
      <c r="B7040" t="s">
        <v>148</v>
      </c>
      <c r="C7040" t="s">
        <v>161</v>
      </c>
      <c r="D7040" t="s">
        <v>290</v>
      </c>
      <c r="E7040" t="s">
        <v>419</v>
      </c>
      <c r="F7040">
        <f>HYPERLINK("https://www.wikidata.org/wiki/Q33322771", "Q33322771")</f>
        <v>0</v>
      </c>
      <c r="G7040" t="s">
        <v>3823</v>
      </c>
      <c r="H7040" t="s">
        <v>8105</v>
      </c>
      <c r="I7040" t="s">
        <v>10990</v>
      </c>
      <c r="J7040" t="s">
        <v>14389</v>
      </c>
      <c r="K7040" t="s">
        <v>18741</v>
      </c>
      <c r="L7040">
        <f>HYPERLINK("https://www2.assemblee-nationale.fr/sycomore/fiche/(num_dept)/1448", "1448")</f>
        <v>0</v>
      </c>
      <c r="N7040">
        <f>HYPERLINK("https://www.wikidata.org/wiki/Q15974162", "Q15974162")</f>
        <v>0</v>
      </c>
      <c r="O7040" t="s">
        <v>19990</v>
      </c>
      <c r="P7040" t="s">
        <v>20485</v>
      </c>
      <c r="Q7040" t="s">
        <v>20841</v>
      </c>
      <c r="R7040" t="s">
        <v>419</v>
      </c>
      <c r="S7040">
        <v>1469</v>
      </c>
    </row>
    <row r="7041" spans="1:19">
      <c r="A7041" t="s">
        <v>29</v>
      </c>
      <c r="B7041" t="s">
        <v>148</v>
      </c>
      <c r="C7041" t="s">
        <v>161</v>
      </c>
      <c r="D7041" t="s">
        <v>290</v>
      </c>
      <c r="E7041" t="s">
        <v>419</v>
      </c>
      <c r="F7041">
        <f>HYPERLINK("https://www.wikidata.org/wiki/Q33322771", "Q33322771")</f>
        <v>0</v>
      </c>
      <c r="G7041" t="s">
        <v>2530</v>
      </c>
      <c r="H7041" t="s">
        <v>6111</v>
      </c>
      <c r="I7041" t="s">
        <v>10269</v>
      </c>
      <c r="J7041" t="s">
        <v>13174</v>
      </c>
      <c r="K7041" t="s">
        <v>17580</v>
      </c>
      <c r="L7041">
        <f>HYPERLINK("https://www2.assemblee-nationale.fr/sycomore/fiche/(num_dept)/1488", "1488")</f>
        <v>0</v>
      </c>
      <c r="N7041">
        <f>HYPERLINK("https://www.wikidata.org/wiki/Q3372467", "Q3372467")</f>
        <v>0</v>
      </c>
      <c r="O7041" t="s">
        <v>20003</v>
      </c>
      <c r="P7041" t="s">
        <v>20470</v>
      </c>
      <c r="Q7041" t="s">
        <v>20841</v>
      </c>
      <c r="R7041" t="s">
        <v>419</v>
      </c>
      <c r="S7041">
        <v>1469</v>
      </c>
    </row>
    <row r="7042" spans="1:19">
      <c r="A7042" t="s">
        <v>29</v>
      </c>
      <c r="B7042" t="s">
        <v>148</v>
      </c>
      <c r="C7042" t="s">
        <v>161</v>
      </c>
      <c r="D7042" t="s">
        <v>290</v>
      </c>
      <c r="E7042" t="s">
        <v>419</v>
      </c>
      <c r="F7042">
        <f>HYPERLINK("https://www.wikidata.org/wiki/Q33322771", "Q33322771")</f>
        <v>0</v>
      </c>
      <c r="G7042" t="s">
        <v>3688</v>
      </c>
      <c r="H7042" t="s">
        <v>8010</v>
      </c>
      <c r="I7042" t="s">
        <v>6478</v>
      </c>
      <c r="J7042" t="s">
        <v>14264</v>
      </c>
      <c r="K7042" t="s">
        <v>18625</v>
      </c>
      <c r="L7042">
        <f>HYPERLINK("https://www2.assemblee-nationale.fr/sycomore/fiche/(num_dept)/1512", "1512")</f>
        <v>0</v>
      </c>
      <c r="M7042">
        <f>HYPERLINK("https://www.senat.fr/senateur-3eme-republique/castillard_henri0222r3.html", "castillard_henri0222r3")</f>
        <v>0</v>
      </c>
      <c r="N7042">
        <f>HYPERLINK("https://www.wikidata.org/wiki/Q3130800", "Q3130800")</f>
        <v>0</v>
      </c>
      <c r="O7042" t="s">
        <v>8449</v>
      </c>
      <c r="Q7042" t="s">
        <v>20841</v>
      </c>
      <c r="R7042" t="s">
        <v>419</v>
      </c>
      <c r="S7042">
        <v>1469</v>
      </c>
    </row>
    <row r="7043" spans="1:19">
      <c r="A7043" t="s">
        <v>29</v>
      </c>
      <c r="B7043" t="s">
        <v>148</v>
      </c>
      <c r="C7043" t="s">
        <v>161</v>
      </c>
      <c r="D7043" t="s">
        <v>290</v>
      </c>
      <c r="E7043" t="s">
        <v>419</v>
      </c>
      <c r="F7043">
        <f>HYPERLINK("https://www.wikidata.org/wiki/Q33322771", "Q33322771")</f>
        <v>0</v>
      </c>
      <c r="G7043" t="s">
        <v>3959</v>
      </c>
      <c r="H7043" t="s">
        <v>8209</v>
      </c>
      <c r="I7043" t="s">
        <v>9442</v>
      </c>
      <c r="J7043" t="s">
        <v>14510</v>
      </c>
      <c r="K7043" t="s">
        <v>18855</v>
      </c>
      <c r="L7043">
        <f>HYPERLINK("https://www2.assemblee-nationale.fr/sycomore/fiche/(num_dept)/1538", "1538")</f>
        <v>0</v>
      </c>
      <c r="M7043">
        <f>HYPERLINK("https://www.senat.fr/senateur-3eme-republique/cauvin_ernest1658r3.html", "cauvin_ernest1658r3")</f>
        <v>0</v>
      </c>
      <c r="N7043">
        <f>HYPERLINK("https://www.wikidata.org/wiki/Q3056877", "Q3056877")</f>
        <v>0</v>
      </c>
      <c r="O7043" t="s">
        <v>20012</v>
      </c>
      <c r="P7043" t="s">
        <v>20401</v>
      </c>
      <c r="Q7043" t="s">
        <v>20841</v>
      </c>
      <c r="R7043" t="s">
        <v>419</v>
      </c>
      <c r="S7043">
        <v>1469</v>
      </c>
    </row>
    <row r="7044" spans="1:19">
      <c r="A7044" t="s">
        <v>29</v>
      </c>
      <c r="B7044" t="s">
        <v>148</v>
      </c>
      <c r="C7044" t="s">
        <v>161</v>
      </c>
      <c r="D7044" t="s">
        <v>290</v>
      </c>
      <c r="E7044" t="s">
        <v>419</v>
      </c>
      <c r="F7044">
        <f>HYPERLINK("https://www.wikidata.org/wiki/Q33322771", "Q33322771")</f>
        <v>0</v>
      </c>
      <c r="G7044" t="s">
        <v>3960</v>
      </c>
      <c r="H7044" t="s">
        <v>8210</v>
      </c>
      <c r="I7044" t="s">
        <v>11044</v>
      </c>
      <c r="J7044" t="s">
        <v>14511</v>
      </c>
      <c r="K7044" t="s">
        <v>18856</v>
      </c>
      <c r="L7044">
        <f>HYPERLINK("https://www2.assemblee-nationale.fr/sycomore/fiche/(num_dept)/1574", "1574")</f>
        <v>0</v>
      </c>
      <c r="N7044">
        <f>HYPERLINK("https://www.wikidata.org/wiki/Q3588439", "Q3588439")</f>
        <v>0</v>
      </c>
      <c r="O7044" t="s">
        <v>20041</v>
      </c>
      <c r="P7044" t="s">
        <v>20505</v>
      </c>
      <c r="Q7044" t="s">
        <v>20841</v>
      </c>
      <c r="R7044" t="s">
        <v>419</v>
      </c>
      <c r="S7044">
        <v>1469</v>
      </c>
    </row>
    <row r="7045" spans="1:19">
      <c r="A7045" t="s">
        <v>29</v>
      </c>
      <c r="B7045" t="s">
        <v>148</v>
      </c>
      <c r="C7045" t="s">
        <v>161</v>
      </c>
      <c r="D7045" t="s">
        <v>290</v>
      </c>
      <c r="E7045" t="s">
        <v>419</v>
      </c>
      <c r="F7045">
        <f>HYPERLINK("https://www.wikidata.org/wiki/Q33322771", "Q33322771")</f>
        <v>0</v>
      </c>
      <c r="G7045" t="s">
        <v>568</v>
      </c>
      <c r="H7045" t="s">
        <v>5331</v>
      </c>
      <c r="I7045" t="s">
        <v>9421</v>
      </c>
      <c r="J7045" t="s">
        <v>11319</v>
      </c>
      <c r="K7045" t="s">
        <v>15720</v>
      </c>
      <c r="L7045">
        <f>HYPERLINK("https://www2.assemblee-nationale.fr/sycomore/fiche/(num_dept)/1650", "1650")</f>
        <v>0</v>
      </c>
      <c r="M7045">
        <f>HYPERLINK("https://www.senat.fr/senateur-3eme-republique/chapuis_gustave0947r3.html", "chapuis_gustave0947r3")</f>
        <v>0</v>
      </c>
      <c r="N7045">
        <f>HYPERLINK("https://www.wikidata.org/wiki/Q3121135", "Q3121135")</f>
        <v>0</v>
      </c>
      <c r="O7045" t="s">
        <v>20007</v>
      </c>
      <c r="Q7045" t="s">
        <v>20841</v>
      </c>
      <c r="R7045" t="s">
        <v>419</v>
      </c>
      <c r="S7045">
        <v>1469</v>
      </c>
    </row>
    <row r="7046" spans="1:19">
      <c r="A7046" t="s">
        <v>29</v>
      </c>
      <c r="B7046" t="s">
        <v>148</v>
      </c>
      <c r="C7046" t="s">
        <v>161</v>
      </c>
      <c r="D7046" t="s">
        <v>290</v>
      </c>
      <c r="E7046" t="s">
        <v>419</v>
      </c>
      <c r="F7046">
        <f>HYPERLINK("https://www.wikidata.org/wiki/Q33322771", "Q33322771")</f>
        <v>0</v>
      </c>
      <c r="G7046" t="s">
        <v>3417</v>
      </c>
      <c r="H7046" t="s">
        <v>5332</v>
      </c>
      <c r="I7046" t="s">
        <v>10820</v>
      </c>
      <c r="J7046" t="s">
        <v>14022</v>
      </c>
      <c r="K7046" t="s">
        <v>18391</v>
      </c>
      <c r="L7046">
        <f>HYPERLINK("https://www2.assemblee-nationale.fr/sycomore/fiche/(num_dept)/1694", "1694")</f>
        <v>0</v>
      </c>
      <c r="N7046">
        <f>HYPERLINK("https://www.wikidata.org/wiki/Q3130344", "Q3130344")</f>
        <v>0</v>
      </c>
      <c r="O7046" t="s">
        <v>19969</v>
      </c>
      <c r="P7046" t="s">
        <v>20477</v>
      </c>
      <c r="Q7046" t="s">
        <v>20841</v>
      </c>
      <c r="R7046" t="s">
        <v>419</v>
      </c>
      <c r="S7046">
        <v>1469</v>
      </c>
    </row>
    <row r="7047" spans="1:19">
      <c r="A7047" t="s">
        <v>29</v>
      </c>
      <c r="B7047" t="s">
        <v>148</v>
      </c>
      <c r="C7047" t="s">
        <v>161</v>
      </c>
      <c r="D7047" t="s">
        <v>290</v>
      </c>
      <c r="E7047" t="s">
        <v>419</v>
      </c>
      <c r="F7047">
        <f>HYPERLINK("https://www.wikidata.org/wiki/Q33322771", "Q33322771")</f>
        <v>0</v>
      </c>
      <c r="G7047" t="s">
        <v>908</v>
      </c>
      <c r="H7047" t="s">
        <v>5664</v>
      </c>
      <c r="I7047" t="s">
        <v>9585</v>
      </c>
      <c r="J7047" t="s">
        <v>11652</v>
      </c>
      <c r="K7047" t="s">
        <v>16051</v>
      </c>
      <c r="L7047">
        <f>HYPERLINK("https://www2.assemblee-nationale.fr/sycomore/fiche/(num_dept)/1734", "1734")</f>
        <v>0</v>
      </c>
      <c r="N7047">
        <f>HYPERLINK("https://www.wikidata.org/wiki/Q13080861", "Q13080861")</f>
        <v>0</v>
      </c>
      <c r="O7047" t="s">
        <v>19969</v>
      </c>
      <c r="Q7047" t="s">
        <v>20841</v>
      </c>
      <c r="R7047" t="s">
        <v>419</v>
      </c>
      <c r="S7047">
        <v>1469</v>
      </c>
    </row>
    <row r="7048" spans="1:19">
      <c r="A7048" t="s">
        <v>29</v>
      </c>
      <c r="B7048" t="s">
        <v>148</v>
      </c>
      <c r="C7048" t="s">
        <v>161</v>
      </c>
      <c r="D7048" t="s">
        <v>290</v>
      </c>
      <c r="E7048" t="s">
        <v>419</v>
      </c>
      <c r="F7048">
        <f>HYPERLINK("https://www.wikidata.org/wiki/Q33322771", "Q33322771")</f>
        <v>0</v>
      </c>
      <c r="G7048" t="s">
        <v>3961</v>
      </c>
      <c r="H7048" t="s">
        <v>6427</v>
      </c>
      <c r="I7048" t="s">
        <v>9389</v>
      </c>
      <c r="J7048" t="s">
        <v>14512</v>
      </c>
      <c r="K7048" t="s">
        <v>15891</v>
      </c>
      <c r="L7048">
        <f>HYPERLINK("https://www2.assemblee-nationale.fr/sycomore/fiche/(num_dept)/1736", "1736")</f>
        <v>0</v>
      </c>
      <c r="N7048">
        <f>HYPERLINK("https://www.wikidata.org/wiki/Q16025436", "Q16025436")</f>
        <v>0</v>
      </c>
      <c r="O7048" t="s">
        <v>20026</v>
      </c>
      <c r="P7048" t="s">
        <v>20477</v>
      </c>
      <c r="Q7048" t="s">
        <v>20841</v>
      </c>
      <c r="R7048" t="s">
        <v>419</v>
      </c>
      <c r="S7048">
        <v>1469</v>
      </c>
    </row>
    <row r="7049" spans="1:19">
      <c r="A7049" t="s">
        <v>29</v>
      </c>
      <c r="B7049" t="s">
        <v>148</v>
      </c>
      <c r="C7049" t="s">
        <v>161</v>
      </c>
      <c r="D7049" t="s">
        <v>290</v>
      </c>
      <c r="E7049" t="s">
        <v>419</v>
      </c>
      <c r="F7049">
        <f>HYPERLINK("https://www.wikidata.org/wiki/Q33322771", "Q33322771")</f>
        <v>0</v>
      </c>
      <c r="G7049" t="s">
        <v>3835</v>
      </c>
      <c r="H7049" t="s">
        <v>8113</v>
      </c>
      <c r="I7049" t="s">
        <v>10995</v>
      </c>
      <c r="J7049" t="s">
        <v>14397</v>
      </c>
      <c r="K7049" t="s">
        <v>18751</v>
      </c>
      <c r="L7049">
        <f>HYPERLINK("https://www2.assemblee-nationale.fr/sycomore/fiche/(num_dept)/1760", "1760")</f>
        <v>0</v>
      </c>
      <c r="N7049">
        <f>HYPERLINK("https://www.wikidata.org/wiki/Q7121784", "Q7121784")</f>
        <v>0</v>
      </c>
      <c r="O7049" t="s">
        <v>20006</v>
      </c>
      <c r="P7049" t="s">
        <v>20471</v>
      </c>
      <c r="Q7049" t="s">
        <v>20841</v>
      </c>
      <c r="R7049" t="s">
        <v>419</v>
      </c>
      <c r="S7049">
        <v>1469</v>
      </c>
    </row>
    <row r="7050" spans="1:19">
      <c r="A7050" t="s">
        <v>29</v>
      </c>
      <c r="B7050" t="s">
        <v>148</v>
      </c>
      <c r="C7050" t="s">
        <v>161</v>
      </c>
      <c r="D7050" t="s">
        <v>290</v>
      </c>
      <c r="E7050" t="s">
        <v>419</v>
      </c>
      <c r="F7050">
        <f>HYPERLINK("https://www.wikidata.org/wiki/Q33322771", "Q33322771")</f>
        <v>0</v>
      </c>
      <c r="G7050" t="s">
        <v>3239</v>
      </c>
      <c r="H7050" t="s">
        <v>5863</v>
      </c>
      <c r="I7050" t="s">
        <v>10725</v>
      </c>
      <c r="J7050" t="s">
        <v>13857</v>
      </c>
      <c r="K7050" t="s">
        <v>18229</v>
      </c>
      <c r="L7050">
        <f>HYPERLINK("https://www2.assemblee-nationale.fr/sycomore/fiche/(num_dept)/1783", "1783")</f>
        <v>0</v>
      </c>
      <c r="N7050">
        <f>HYPERLINK("https://www.wikidata.org/wiki/Q3184756", "Q3184756")</f>
        <v>0</v>
      </c>
      <c r="O7050" t="s">
        <v>19990</v>
      </c>
      <c r="P7050" t="s">
        <v>20401</v>
      </c>
      <c r="Q7050" t="s">
        <v>20841</v>
      </c>
      <c r="R7050" t="s">
        <v>419</v>
      </c>
      <c r="S7050">
        <v>1469</v>
      </c>
    </row>
    <row r="7051" spans="1:19">
      <c r="A7051" t="s">
        <v>29</v>
      </c>
      <c r="B7051" t="s">
        <v>148</v>
      </c>
      <c r="C7051" t="s">
        <v>161</v>
      </c>
      <c r="D7051" t="s">
        <v>290</v>
      </c>
      <c r="E7051" t="s">
        <v>419</v>
      </c>
      <c r="F7051">
        <f>HYPERLINK("https://www.wikidata.org/wiki/Q33322771", "Q33322771")</f>
        <v>0</v>
      </c>
      <c r="G7051" t="s">
        <v>3542</v>
      </c>
      <c r="H7051" t="s">
        <v>7902</v>
      </c>
      <c r="I7051" t="s">
        <v>6584</v>
      </c>
      <c r="J7051" t="s">
        <v>14133</v>
      </c>
      <c r="K7051" t="s">
        <v>18498</v>
      </c>
      <c r="L7051">
        <f>HYPERLINK("https://www2.assemblee-nationale.fr/sycomore/fiche/(num_dept)/1794", "1794")</f>
        <v>0</v>
      </c>
      <c r="N7051">
        <f>HYPERLINK("https://www.wikidata.org/wiki/Q16025446", "Q16025446")</f>
        <v>0</v>
      </c>
      <c r="O7051" t="s">
        <v>19987</v>
      </c>
      <c r="Q7051" t="s">
        <v>20841</v>
      </c>
      <c r="R7051" t="s">
        <v>419</v>
      </c>
      <c r="S7051">
        <v>1469</v>
      </c>
    </row>
    <row r="7052" spans="1:19">
      <c r="A7052" t="s">
        <v>29</v>
      </c>
      <c r="B7052" t="s">
        <v>148</v>
      </c>
      <c r="C7052" t="s">
        <v>161</v>
      </c>
      <c r="D7052" t="s">
        <v>290</v>
      </c>
      <c r="E7052" t="s">
        <v>419</v>
      </c>
      <c r="F7052">
        <f>HYPERLINK("https://www.wikidata.org/wiki/Q33322771", "Q33322771")</f>
        <v>0</v>
      </c>
      <c r="G7052" t="s">
        <v>3395</v>
      </c>
      <c r="H7052" t="s">
        <v>7784</v>
      </c>
      <c r="I7052" t="s">
        <v>10349</v>
      </c>
      <c r="J7052" t="s">
        <v>14004</v>
      </c>
      <c r="K7052" t="s">
        <v>18372</v>
      </c>
      <c r="L7052">
        <f>HYPERLINK("https://www2.assemblee-nationale.fr/sycomore/fiche/(num_dept)/1862", "1862")</f>
        <v>0</v>
      </c>
      <c r="N7052">
        <f>HYPERLINK("https://www.wikidata.org/wiki/Q684449", "Q684449")</f>
        <v>0</v>
      </c>
      <c r="O7052" t="s">
        <v>20042</v>
      </c>
      <c r="Q7052" t="s">
        <v>20841</v>
      </c>
      <c r="R7052" t="s">
        <v>18372</v>
      </c>
      <c r="S7052">
        <v>822</v>
      </c>
    </row>
    <row r="7053" spans="1:19">
      <c r="A7053" t="s">
        <v>29</v>
      </c>
      <c r="B7053" t="s">
        <v>148</v>
      </c>
      <c r="C7053" t="s">
        <v>161</v>
      </c>
      <c r="D7053" t="s">
        <v>290</v>
      </c>
      <c r="E7053" t="s">
        <v>419</v>
      </c>
      <c r="F7053">
        <f>HYPERLINK("https://www.wikidata.org/wiki/Q33322771", "Q33322771")</f>
        <v>0</v>
      </c>
      <c r="G7053" t="s">
        <v>913</v>
      </c>
      <c r="H7053" t="s">
        <v>5669</v>
      </c>
      <c r="I7053" t="s">
        <v>6860</v>
      </c>
      <c r="J7053" t="s">
        <v>11657</v>
      </c>
      <c r="K7053" t="s">
        <v>16056</v>
      </c>
      <c r="L7053">
        <f>HYPERLINK("https://www2.assemblee-nationale.fr/sycomore/fiche/(num_dept)/1906", "1906")</f>
        <v>0</v>
      </c>
      <c r="N7053">
        <f>HYPERLINK("https://www.wikidata.org/wiki/Q3384481", "Q3384481")</f>
        <v>0</v>
      </c>
      <c r="O7053" t="s">
        <v>19965</v>
      </c>
      <c r="Q7053" t="s">
        <v>20841</v>
      </c>
      <c r="R7053" t="s">
        <v>419</v>
      </c>
      <c r="S7053">
        <v>1469</v>
      </c>
    </row>
    <row r="7054" spans="1:19">
      <c r="A7054" t="s">
        <v>29</v>
      </c>
      <c r="B7054" t="s">
        <v>148</v>
      </c>
      <c r="C7054" t="s">
        <v>161</v>
      </c>
      <c r="D7054" t="s">
        <v>290</v>
      </c>
      <c r="E7054" t="s">
        <v>419</v>
      </c>
      <c r="F7054">
        <f>HYPERLINK("https://www.wikidata.org/wiki/Q33322771", "Q33322771")</f>
        <v>0</v>
      </c>
      <c r="G7054" t="s">
        <v>3755</v>
      </c>
      <c r="H7054" t="s">
        <v>6849</v>
      </c>
      <c r="I7054" t="s">
        <v>9389</v>
      </c>
      <c r="J7054" t="s">
        <v>13910</v>
      </c>
      <c r="K7054" t="s">
        <v>18680</v>
      </c>
      <c r="L7054">
        <f>HYPERLINK("https://www2.assemblee-nationale.fr/sycomore/fiche/(num_dept)/1933", "1933")</f>
        <v>0</v>
      </c>
      <c r="N7054">
        <f>HYPERLINK("https://www.wikidata.org/wiki/Q16025477", "Q16025477")</f>
        <v>0</v>
      </c>
      <c r="O7054" t="s">
        <v>19962</v>
      </c>
      <c r="Q7054" t="s">
        <v>20841</v>
      </c>
      <c r="R7054" t="s">
        <v>419</v>
      </c>
      <c r="S7054">
        <v>1469</v>
      </c>
    </row>
    <row r="7055" spans="1:19">
      <c r="A7055" t="s">
        <v>29</v>
      </c>
      <c r="B7055" t="s">
        <v>148</v>
      </c>
      <c r="C7055" t="s">
        <v>161</v>
      </c>
      <c r="D7055" t="s">
        <v>290</v>
      </c>
      <c r="E7055" t="s">
        <v>419</v>
      </c>
      <c r="F7055">
        <f>HYPERLINK("https://www.wikidata.org/wiki/Q33322771", "Q33322771")</f>
        <v>0</v>
      </c>
      <c r="G7055" t="s">
        <v>588</v>
      </c>
      <c r="H7055" t="s">
        <v>5349</v>
      </c>
      <c r="I7055" t="s">
        <v>9437</v>
      </c>
      <c r="J7055" t="s">
        <v>11339</v>
      </c>
      <c r="K7055" t="s">
        <v>15740</v>
      </c>
      <c r="L7055">
        <f>HYPERLINK("https://www2.assemblee-nationale.fr/sycomore/fiche/(num_dept)/1947", "1947")</f>
        <v>0</v>
      </c>
      <c r="N7055">
        <f>HYPERLINK("https://www.wikidata.org/wiki/Q3588426", "Q3588426")</f>
        <v>0</v>
      </c>
      <c r="O7055" t="s">
        <v>19987</v>
      </c>
      <c r="Q7055" t="s">
        <v>20841</v>
      </c>
      <c r="R7055" t="s">
        <v>419</v>
      </c>
      <c r="S7055">
        <v>1469</v>
      </c>
    </row>
    <row r="7056" spans="1:19">
      <c r="A7056" t="s">
        <v>29</v>
      </c>
      <c r="B7056" t="s">
        <v>148</v>
      </c>
      <c r="C7056" t="s">
        <v>161</v>
      </c>
      <c r="D7056" t="s">
        <v>290</v>
      </c>
      <c r="E7056" t="s">
        <v>419</v>
      </c>
      <c r="F7056">
        <f>HYPERLINK("https://www.wikidata.org/wiki/Q33322771", "Q33322771")</f>
        <v>0</v>
      </c>
      <c r="G7056" t="s">
        <v>3873</v>
      </c>
      <c r="H7056" t="s">
        <v>8141</v>
      </c>
      <c r="I7056" t="s">
        <v>7642</v>
      </c>
      <c r="J7056" t="s">
        <v>12605</v>
      </c>
      <c r="K7056" t="s">
        <v>18784</v>
      </c>
      <c r="L7056">
        <f>HYPERLINK("https://www2.assemblee-nationale.fr/sycomore/fiche/(num_dept)/2057", "2057")</f>
        <v>0</v>
      </c>
      <c r="M7056">
        <f>HYPERLINK("https://www.senat.fr/senateur-3eme-republique/couyba_charles1178r3.html", "couyba_charles1178r3")</f>
        <v>0</v>
      </c>
      <c r="N7056">
        <f>HYPERLINK("https://www.wikidata.org/wiki/Q1750410", "Q1750410")</f>
        <v>0</v>
      </c>
      <c r="O7056" t="s">
        <v>20036</v>
      </c>
      <c r="P7056" t="s">
        <v>20471</v>
      </c>
      <c r="Q7056" t="s">
        <v>20841</v>
      </c>
      <c r="R7056" t="s">
        <v>419</v>
      </c>
      <c r="S7056">
        <v>1469</v>
      </c>
    </row>
    <row r="7057" spans="1:19">
      <c r="A7057" t="s">
        <v>29</v>
      </c>
      <c r="B7057" t="s">
        <v>148</v>
      </c>
      <c r="C7057" t="s">
        <v>161</v>
      </c>
      <c r="D7057" t="s">
        <v>290</v>
      </c>
      <c r="E7057" t="s">
        <v>419</v>
      </c>
      <c r="F7057">
        <f>HYPERLINK("https://www.wikidata.org/wiki/Q33322771", "Q33322771")</f>
        <v>0</v>
      </c>
      <c r="G7057" t="s">
        <v>3962</v>
      </c>
      <c r="H7057" t="s">
        <v>8211</v>
      </c>
      <c r="I7057" t="s">
        <v>6519</v>
      </c>
      <c r="J7057" t="s">
        <v>14513</v>
      </c>
      <c r="K7057" t="s">
        <v>18857</v>
      </c>
      <c r="L7057">
        <f>HYPERLINK("https://www2.assemblee-nationale.fr/sycomore/fiche/(num_dept)/2155", "2155")</f>
        <v>0</v>
      </c>
      <c r="M7057">
        <f>HYPERLINK("https://www.senat.fr/senateur-3eme-republique/daude_gleize_paulin0860r3.html", "daude_gleize_paulin0860r3")</f>
        <v>0</v>
      </c>
      <c r="N7057">
        <f>HYPERLINK("https://www.wikidata.org/wiki/Q3372661", "Q3372661")</f>
        <v>0</v>
      </c>
      <c r="O7057" t="s">
        <v>20004</v>
      </c>
      <c r="P7057" t="s">
        <v>20410</v>
      </c>
      <c r="Q7057" t="s">
        <v>20841</v>
      </c>
      <c r="R7057" t="s">
        <v>419</v>
      </c>
      <c r="S7057">
        <v>1469</v>
      </c>
    </row>
    <row r="7058" spans="1:19">
      <c r="A7058" t="s">
        <v>29</v>
      </c>
      <c r="B7058" t="s">
        <v>148</v>
      </c>
      <c r="C7058" t="s">
        <v>161</v>
      </c>
      <c r="D7058" t="s">
        <v>290</v>
      </c>
      <c r="E7058" t="s">
        <v>419</v>
      </c>
      <c r="F7058">
        <f>HYPERLINK("https://www.wikidata.org/wiki/Q33322771", "Q33322771")</f>
        <v>0</v>
      </c>
      <c r="G7058" t="s">
        <v>3422</v>
      </c>
      <c r="H7058" t="s">
        <v>5361</v>
      </c>
      <c r="I7058" t="s">
        <v>10822</v>
      </c>
      <c r="J7058" t="s">
        <v>14027</v>
      </c>
      <c r="K7058" t="s">
        <v>17732</v>
      </c>
      <c r="L7058">
        <f>HYPERLINK("https://www2.assemblee-nationale.fr/sycomore/fiche/(num_dept)/2169", "2169")</f>
        <v>0</v>
      </c>
      <c r="N7058">
        <f>HYPERLINK("https://www.wikidata.org/wiki/Q16025522", "Q16025522")</f>
        <v>0</v>
      </c>
      <c r="O7058" t="s">
        <v>19975</v>
      </c>
      <c r="P7058" t="s">
        <v>20401</v>
      </c>
      <c r="Q7058" t="s">
        <v>20841</v>
      </c>
      <c r="R7058" t="s">
        <v>419</v>
      </c>
      <c r="S7058">
        <v>1469</v>
      </c>
    </row>
    <row r="7059" spans="1:19">
      <c r="A7059" t="s">
        <v>29</v>
      </c>
      <c r="B7059" t="s">
        <v>148</v>
      </c>
      <c r="C7059" t="s">
        <v>161</v>
      </c>
      <c r="D7059" t="s">
        <v>290</v>
      </c>
      <c r="E7059" t="s">
        <v>419</v>
      </c>
      <c r="F7059">
        <f>HYPERLINK("https://www.wikidata.org/wiki/Q33322771", "Q33322771")</f>
        <v>0</v>
      </c>
      <c r="G7059" t="s">
        <v>3963</v>
      </c>
      <c r="H7059" t="s">
        <v>6674</v>
      </c>
      <c r="I7059" t="s">
        <v>6166</v>
      </c>
      <c r="J7059" t="s">
        <v>14074</v>
      </c>
      <c r="K7059" t="s">
        <v>16415</v>
      </c>
      <c r="L7059">
        <f>HYPERLINK("https://www2.assemblee-nationale.fr/sycomore/fiche/(num_dept)/2186", "2186")</f>
        <v>0</v>
      </c>
      <c r="N7059">
        <f>HYPERLINK("https://www.wikidata.org/wiki/Q16025526", "Q16025526")</f>
        <v>0</v>
      </c>
      <c r="O7059" t="s">
        <v>20013</v>
      </c>
      <c r="Q7059" t="s">
        <v>20841</v>
      </c>
      <c r="R7059" t="s">
        <v>419</v>
      </c>
      <c r="S7059">
        <v>1469</v>
      </c>
    </row>
    <row r="7060" spans="1:19">
      <c r="A7060" t="s">
        <v>29</v>
      </c>
      <c r="B7060" t="s">
        <v>148</v>
      </c>
      <c r="C7060" t="s">
        <v>161</v>
      </c>
      <c r="D7060" t="s">
        <v>290</v>
      </c>
      <c r="E7060" t="s">
        <v>419</v>
      </c>
      <c r="F7060">
        <f>HYPERLINK("https://www.wikidata.org/wiki/Q33322771", "Q33322771")</f>
        <v>0</v>
      </c>
      <c r="G7060" t="s">
        <v>3964</v>
      </c>
      <c r="H7060" t="s">
        <v>8212</v>
      </c>
      <c r="I7060" t="s">
        <v>11045</v>
      </c>
      <c r="J7060" t="s">
        <v>14514</v>
      </c>
      <c r="K7060" t="s">
        <v>18858</v>
      </c>
      <c r="L7060">
        <f>HYPERLINK("https://www2.assemblee-nationale.fr/sycomore/fiche/(num_dept)/2198", "2198")</f>
        <v>0</v>
      </c>
      <c r="N7060">
        <f>HYPERLINK("https://www.wikidata.org/wiki/Q16025530", "Q16025530")</f>
        <v>0</v>
      </c>
      <c r="O7060" t="s">
        <v>20002</v>
      </c>
      <c r="P7060" t="s">
        <v>20471</v>
      </c>
      <c r="Q7060" t="s">
        <v>20841</v>
      </c>
      <c r="R7060" t="s">
        <v>419</v>
      </c>
      <c r="S7060">
        <v>1469</v>
      </c>
    </row>
    <row r="7061" spans="1:19">
      <c r="A7061" t="s">
        <v>29</v>
      </c>
      <c r="B7061" t="s">
        <v>148</v>
      </c>
      <c r="C7061" t="s">
        <v>161</v>
      </c>
      <c r="D7061" t="s">
        <v>290</v>
      </c>
      <c r="E7061" t="s">
        <v>419</v>
      </c>
      <c r="F7061">
        <f>HYPERLINK("https://www.wikidata.org/wiki/Q33322771", "Q33322771")</f>
        <v>0</v>
      </c>
      <c r="G7061" t="s">
        <v>3761</v>
      </c>
      <c r="H7061" t="s">
        <v>8059</v>
      </c>
      <c r="I7061" t="s">
        <v>10966</v>
      </c>
      <c r="J7061" t="s">
        <v>12240</v>
      </c>
      <c r="K7061" t="s">
        <v>18686</v>
      </c>
      <c r="L7061">
        <f>HYPERLINK("https://www2.assemblee-nationale.fr/sycomore/fiche/(num_dept)/2207", "2207")</f>
        <v>0</v>
      </c>
      <c r="M7061">
        <f>HYPERLINK("https://www.senat.fr/senateur-3eme-republique/decker_david_paul0148r3.html", "decker_david_paul0148r3")</f>
        <v>0</v>
      </c>
      <c r="N7061">
        <f>HYPERLINK("https://www.wikidata.org/wiki/Q3370999", "Q3370999")</f>
        <v>0</v>
      </c>
      <c r="O7061" t="s">
        <v>20003</v>
      </c>
      <c r="P7061" t="s">
        <v>20498</v>
      </c>
      <c r="Q7061" t="s">
        <v>20841</v>
      </c>
      <c r="R7061" t="s">
        <v>419</v>
      </c>
      <c r="S7061">
        <v>1469</v>
      </c>
    </row>
    <row r="7062" spans="1:19">
      <c r="A7062" t="s">
        <v>29</v>
      </c>
      <c r="B7062" t="s">
        <v>148</v>
      </c>
      <c r="C7062" t="s">
        <v>161</v>
      </c>
      <c r="D7062" t="s">
        <v>290</v>
      </c>
      <c r="E7062" t="s">
        <v>419</v>
      </c>
      <c r="F7062">
        <f>HYPERLINK("https://www.wikidata.org/wiki/Q33322771", "Q33322771")</f>
        <v>0</v>
      </c>
      <c r="G7062" t="s">
        <v>3965</v>
      </c>
      <c r="H7062" t="s">
        <v>8213</v>
      </c>
      <c r="I7062" t="s">
        <v>9421</v>
      </c>
      <c r="J7062" t="s">
        <v>14515</v>
      </c>
      <c r="K7062" t="s">
        <v>15696</v>
      </c>
      <c r="L7062">
        <f>HYPERLINK("https://www2.assemblee-nationale.fr/sycomore/fiche/(num_dept)/2296", "2296")</f>
        <v>0</v>
      </c>
      <c r="N7062">
        <f>HYPERLINK("https://www.wikidata.org/wiki/Q3121158", "Q3121158")</f>
        <v>0</v>
      </c>
      <c r="O7062" t="s">
        <v>20047</v>
      </c>
      <c r="P7062" t="s">
        <v>20402</v>
      </c>
      <c r="Q7062" t="s">
        <v>20841</v>
      </c>
      <c r="R7062" t="s">
        <v>419</v>
      </c>
      <c r="S7062">
        <v>1469</v>
      </c>
    </row>
    <row r="7063" spans="1:19">
      <c r="A7063" t="s">
        <v>29</v>
      </c>
      <c r="B7063" t="s">
        <v>148</v>
      </c>
      <c r="C7063" t="s">
        <v>161</v>
      </c>
      <c r="D7063" t="s">
        <v>290</v>
      </c>
      <c r="E7063" t="s">
        <v>419</v>
      </c>
      <c r="F7063">
        <f>HYPERLINK("https://www.wikidata.org/wiki/Q33322771", "Q33322771")</f>
        <v>0</v>
      </c>
      <c r="G7063" t="s">
        <v>3966</v>
      </c>
      <c r="H7063" t="s">
        <v>8214</v>
      </c>
      <c r="I7063" t="s">
        <v>6585</v>
      </c>
      <c r="J7063" t="s">
        <v>14516</v>
      </c>
      <c r="K7063" t="s">
        <v>18859</v>
      </c>
      <c r="L7063">
        <f>HYPERLINK("https://www2.assemblee-nationale.fr/sycomore/fiche/(num_dept)/2302", "2302")</f>
        <v>0</v>
      </c>
      <c r="N7063">
        <f>HYPERLINK("https://www.wikidata.org/wiki/Q16025551", "Q16025551")</f>
        <v>0</v>
      </c>
      <c r="O7063" t="s">
        <v>20003</v>
      </c>
      <c r="P7063" t="s">
        <v>20477</v>
      </c>
      <c r="Q7063" t="s">
        <v>20841</v>
      </c>
      <c r="R7063" t="s">
        <v>419</v>
      </c>
      <c r="S7063">
        <v>1469</v>
      </c>
    </row>
    <row r="7064" spans="1:19">
      <c r="A7064" t="s">
        <v>29</v>
      </c>
      <c r="B7064" t="s">
        <v>148</v>
      </c>
      <c r="C7064" t="s">
        <v>161</v>
      </c>
      <c r="D7064" t="s">
        <v>290</v>
      </c>
      <c r="E7064" t="s">
        <v>419</v>
      </c>
      <c r="F7064">
        <f>HYPERLINK("https://www.wikidata.org/wiki/Q33322771", "Q33322771")</f>
        <v>0</v>
      </c>
      <c r="G7064" t="s">
        <v>3967</v>
      </c>
      <c r="H7064" t="s">
        <v>8215</v>
      </c>
      <c r="I7064" t="s">
        <v>9449</v>
      </c>
      <c r="J7064" t="s">
        <v>14517</v>
      </c>
      <c r="K7064" t="s">
        <v>18860</v>
      </c>
      <c r="L7064">
        <f>HYPERLINK("https://www2.assemblee-nationale.fr/sycomore/fiche/(num_dept)/2326", "2326")</f>
        <v>0</v>
      </c>
      <c r="N7064">
        <f>HYPERLINK("https://www.wikidata.org/wiki/Q3188524", "Q3188524")</f>
        <v>0</v>
      </c>
      <c r="O7064" t="s">
        <v>20014</v>
      </c>
      <c r="P7064" t="s">
        <v>20477</v>
      </c>
      <c r="Q7064" t="s">
        <v>20841</v>
      </c>
      <c r="R7064" t="s">
        <v>18860</v>
      </c>
      <c r="S7064">
        <v>939</v>
      </c>
    </row>
    <row r="7065" spans="1:19">
      <c r="A7065" t="s">
        <v>29</v>
      </c>
      <c r="B7065" t="s">
        <v>148</v>
      </c>
      <c r="C7065" t="s">
        <v>161</v>
      </c>
      <c r="D7065" t="s">
        <v>290</v>
      </c>
      <c r="E7065" t="s">
        <v>419</v>
      </c>
      <c r="F7065">
        <f>HYPERLINK("https://www.wikidata.org/wiki/Q33322771", "Q33322771")</f>
        <v>0</v>
      </c>
      <c r="G7065" t="s">
        <v>3968</v>
      </c>
      <c r="H7065" t="s">
        <v>8216</v>
      </c>
      <c r="I7065" t="s">
        <v>9449</v>
      </c>
      <c r="J7065" t="s">
        <v>13674</v>
      </c>
      <c r="K7065" t="s">
        <v>18861</v>
      </c>
      <c r="L7065">
        <f>HYPERLINK("https://www2.assemblee-nationale.fr/sycomore/fiche/(num_dept)/2340", "2340")</f>
        <v>0</v>
      </c>
      <c r="N7065">
        <f>HYPERLINK("https://www.wikidata.org/wiki/Q3188525", "Q3188525")</f>
        <v>0</v>
      </c>
      <c r="O7065" t="s">
        <v>20003</v>
      </c>
      <c r="P7065" t="s">
        <v>20410</v>
      </c>
      <c r="Q7065" t="s">
        <v>20841</v>
      </c>
      <c r="R7065" t="s">
        <v>419</v>
      </c>
      <c r="S7065">
        <v>1469</v>
      </c>
    </row>
    <row r="7066" spans="1:19">
      <c r="A7066" t="s">
        <v>29</v>
      </c>
      <c r="B7066" t="s">
        <v>148</v>
      </c>
      <c r="C7066" t="s">
        <v>161</v>
      </c>
      <c r="D7066" t="s">
        <v>290</v>
      </c>
      <c r="E7066" t="s">
        <v>419</v>
      </c>
      <c r="F7066">
        <f>HYPERLINK("https://www.wikidata.org/wiki/Q33322771", "Q33322771")</f>
        <v>0</v>
      </c>
      <c r="G7066" t="s">
        <v>3969</v>
      </c>
      <c r="H7066" t="s">
        <v>5834</v>
      </c>
      <c r="I7066" t="s">
        <v>7911</v>
      </c>
      <c r="J7066" t="s">
        <v>14518</v>
      </c>
      <c r="K7066" t="s">
        <v>18862</v>
      </c>
      <c r="L7066">
        <f>HYPERLINK("https://www2.assemblee-nationale.fr/sycomore/fiche/(num_dept)/2379", "2379")</f>
        <v>0</v>
      </c>
      <c r="N7066">
        <f>HYPERLINK("https://www.wikidata.org/wiki/Q16025564", "Q16025564")</f>
        <v>0</v>
      </c>
      <c r="O7066" t="s">
        <v>20037</v>
      </c>
      <c r="P7066" t="s">
        <v>20409</v>
      </c>
      <c r="Q7066" t="s">
        <v>20841</v>
      </c>
      <c r="R7066" t="s">
        <v>419</v>
      </c>
      <c r="S7066">
        <v>1469</v>
      </c>
    </row>
    <row r="7067" spans="1:19">
      <c r="A7067" t="s">
        <v>29</v>
      </c>
      <c r="B7067" t="s">
        <v>148</v>
      </c>
      <c r="C7067" t="s">
        <v>161</v>
      </c>
      <c r="D7067" t="s">
        <v>290</v>
      </c>
      <c r="E7067" t="s">
        <v>419</v>
      </c>
      <c r="F7067">
        <f>HYPERLINK("https://www.wikidata.org/wiki/Q33322771", "Q33322771")</f>
        <v>0</v>
      </c>
      <c r="G7067" t="s">
        <v>932</v>
      </c>
      <c r="H7067" t="s">
        <v>5688</v>
      </c>
      <c r="I7067" t="s">
        <v>9593</v>
      </c>
      <c r="J7067" t="s">
        <v>11674</v>
      </c>
      <c r="K7067" t="s">
        <v>16074</v>
      </c>
      <c r="L7067">
        <f>HYPERLINK("https://www2.assemblee-nationale.fr/sycomore/fiche/(num_dept)/2477", "2477")</f>
        <v>0</v>
      </c>
      <c r="N7067">
        <f>HYPERLINK("https://www.wikidata.org/wiki/Q3293786", "Q3293786")</f>
        <v>0</v>
      </c>
      <c r="O7067" t="s">
        <v>20014</v>
      </c>
      <c r="Q7067" t="s">
        <v>20841</v>
      </c>
      <c r="R7067" t="s">
        <v>419</v>
      </c>
      <c r="S7067">
        <v>1469</v>
      </c>
    </row>
    <row r="7068" spans="1:19">
      <c r="A7068" t="s">
        <v>29</v>
      </c>
      <c r="B7068" t="s">
        <v>148</v>
      </c>
      <c r="C7068" t="s">
        <v>161</v>
      </c>
      <c r="D7068" t="s">
        <v>290</v>
      </c>
      <c r="E7068" t="s">
        <v>419</v>
      </c>
      <c r="F7068">
        <f>HYPERLINK("https://www.wikidata.org/wiki/Q33322771", "Q33322771")</f>
        <v>0</v>
      </c>
      <c r="G7068" t="s">
        <v>618</v>
      </c>
      <c r="H7068" t="s">
        <v>5378</v>
      </c>
      <c r="I7068" t="s">
        <v>9456</v>
      </c>
      <c r="J7068" t="s">
        <v>11368</v>
      </c>
      <c r="K7068" t="s">
        <v>15770</v>
      </c>
      <c r="L7068">
        <f>HYPERLINK("https://www2.assemblee-nationale.fr/sycomore/fiche/(num_dept)/2524", "2524")</f>
        <v>0</v>
      </c>
      <c r="N7068">
        <f>HYPERLINK("https://www.wikidata.org/wiki/Q16025600", "Q16025600")</f>
        <v>0</v>
      </c>
      <c r="O7068" t="s">
        <v>20021</v>
      </c>
      <c r="Q7068" t="s">
        <v>20841</v>
      </c>
      <c r="R7068" t="s">
        <v>419</v>
      </c>
      <c r="S7068">
        <v>1469</v>
      </c>
    </row>
    <row r="7069" spans="1:19">
      <c r="A7069" t="s">
        <v>29</v>
      </c>
      <c r="B7069" t="s">
        <v>148</v>
      </c>
      <c r="C7069" t="s">
        <v>161</v>
      </c>
      <c r="D7069" t="s">
        <v>290</v>
      </c>
      <c r="E7069" t="s">
        <v>419</v>
      </c>
      <c r="F7069">
        <f>HYPERLINK("https://www.wikidata.org/wiki/Q33322771", "Q33322771")</f>
        <v>0</v>
      </c>
      <c r="G7069" t="s">
        <v>3364</v>
      </c>
      <c r="H7069" t="s">
        <v>7761</v>
      </c>
      <c r="I7069" t="s">
        <v>9958</v>
      </c>
      <c r="J7069" t="s">
        <v>13976</v>
      </c>
      <c r="K7069" t="s">
        <v>18344</v>
      </c>
      <c r="L7069">
        <f>HYPERLINK("https://www2.assemblee-nationale.fr/sycomore/fiche/(num_dept)/2554", "2554")</f>
        <v>0</v>
      </c>
      <c r="N7069">
        <f>HYPERLINK("https://www.wikidata.org/wiki/Q16025605", "Q16025605")</f>
        <v>0</v>
      </c>
      <c r="O7069" t="s">
        <v>19997</v>
      </c>
      <c r="Q7069" t="s">
        <v>20841</v>
      </c>
      <c r="R7069" t="s">
        <v>419</v>
      </c>
      <c r="S7069">
        <v>1469</v>
      </c>
    </row>
    <row r="7070" spans="1:19">
      <c r="A7070" t="s">
        <v>29</v>
      </c>
      <c r="B7070" t="s">
        <v>148</v>
      </c>
      <c r="C7070" t="s">
        <v>161</v>
      </c>
      <c r="D7070" t="s">
        <v>290</v>
      </c>
      <c r="E7070" t="s">
        <v>419</v>
      </c>
      <c r="F7070">
        <f>HYPERLINK("https://www.wikidata.org/wiki/Q33322771", "Q33322771")</f>
        <v>0</v>
      </c>
      <c r="G7070" t="s">
        <v>3767</v>
      </c>
      <c r="H7070" t="s">
        <v>8065</v>
      </c>
      <c r="I7070" t="s">
        <v>10968</v>
      </c>
      <c r="J7070" t="s">
        <v>14338</v>
      </c>
      <c r="K7070" t="s">
        <v>18690</v>
      </c>
      <c r="L7070">
        <f>HYPERLINK("https://www2.assemblee-nationale.fr/sycomore/fiche/(num_dept)/2581", "2581")</f>
        <v>0</v>
      </c>
      <c r="N7070">
        <f>HYPERLINK("https://www.wikidata.org/wiki/Q3158769", "Q3158769")</f>
        <v>0</v>
      </c>
      <c r="O7070" t="s">
        <v>20008</v>
      </c>
      <c r="P7070" t="s">
        <v>20479</v>
      </c>
      <c r="Q7070" t="s">
        <v>20841</v>
      </c>
      <c r="R7070" t="s">
        <v>419</v>
      </c>
      <c r="S7070">
        <v>1469</v>
      </c>
    </row>
    <row r="7071" spans="1:19">
      <c r="A7071" t="s">
        <v>29</v>
      </c>
      <c r="B7071" t="s">
        <v>148</v>
      </c>
      <c r="C7071" t="s">
        <v>161</v>
      </c>
      <c r="D7071" t="s">
        <v>290</v>
      </c>
      <c r="E7071" t="s">
        <v>419</v>
      </c>
      <c r="F7071">
        <f>HYPERLINK("https://www.wikidata.org/wiki/Q33322771", "Q33322771")</f>
        <v>0</v>
      </c>
      <c r="G7071" t="s">
        <v>3970</v>
      </c>
      <c r="H7071" t="s">
        <v>5695</v>
      </c>
      <c r="I7071" t="s">
        <v>11046</v>
      </c>
      <c r="J7071" t="s">
        <v>14519</v>
      </c>
      <c r="K7071" t="s">
        <v>18863</v>
      </c>
      <c r="L7071">
        <f>HYPERLINK("https://www2.assemblee-nationale.fr/sycomore/fiche/(num_dept)/2618", "2618")</f>
        <v>0</v>
      </c>
      <c r="N7071">
        <f>HYPERLINK("https://www.wikidata.org/wiki/Q16030971", "Q16030971")</f>
        <v>0</v>
      </c>
      <c r="O7071" t="s">
        <v>19969</v>
      </c>
      <c r="P7071" t="s">
        <v>20406</v>
      </c>
      <c r="Q7071" t="s">
        <v>20841</v>
      </c>
      <c r="R7071" t="s">
        <v>419</v>
      </c>
      <c r="S7071">
        <v>1469</v>
      </c>
    </row>
    <row r="7072" spans="1:19">
      <c r="A7072" t="s">
        <v>29</v>
      </c>
      <c r="B7072" t="s">
        <v>148</v>
      </c>
      <c r="C7072" t="s">
        <v>161</v>
      </c>
      <c r="D7072" t="s">
        <v>290</v>
      </c>
      <c r="E7072" t="s">
        <v>419</v>
      </c>
      <c r="F7072">
        <f>HYPERLINK("https://www.wikidata.org/wiki/Q33322771", "Q33322771")</f>
        <v>0</v>
      </c>
      <c r="G7072" t="s">
        <v>3971</v>
      </c>
      <c r="H7072" t="s">
        <v>5700</v>
      </c>
      <c r="I7072" t="s">
        <v>11047</v>
      </c>
      <c r="J7072" t="s">
        <v>14520</v>
      </c>
      <c r="K7072" t="s">
        <v>18864</v>
      </c>
      <c r="L7072">
        <f>HYPERLINK("https://www2.assemblee-nationale.fr/sycomore/fiche/(num_dept)/2674", "2674")</f>
        <v>0</v>
      </c>
      <c r="N7072">
        <f>HYPERLINK("https://www.wikidata.org/wiki/Q3059835", "Q3059835")</f>
        <v>0</v>
      </c>
      <c r="O7072" t="s">
        <v>20006</v>
      </c>
      <c r="P7072" t="s">
        <v>20477</v>
      </c>
      <c r="Q7072" t="s">
        <v>20841</v>
      </c>
      <c r="R7072" t="s">
        <v>419</v>
      </c>
      <c r="S7072">
        <v>1469</v>
      </c>
    </row>
    <row r="7073" spans="1:19">
      <c r="A7073" t="s">
        <v>29</v>
      </c>
      <c r="B7073" t="s">
        <v>148</v>
      </c>
      <c r="C7073" t="s">
        <v>161</v>
      </c>
      <c r="D7073" t="s">
        <v>290</v>
      </c>
      <c r="E7073" t="s">
        <v>419</v>
      </c>
      <c r="F7073">
        <f>HYPERLINK("https://www.wikidata.org/wiki/Q33322771", "Q33322771")</f>
        <v>0</v>
      </c>
      <c r="G7073" t="s">
        <v>948</v>
      </c>
      <c r="H7073" t="s">
        <v>5386</v>
      </c>
      <c r="I7073" t="s">
        <v>9385</v>
      </c>
      <c r="J7073" t="s">
        <v>11689</v>
      </c>
      <c r="K7073" t="s">
        <v>16090</v>
      </c>
      <c r="L7073">
        <f>HYPERLINK("https://www2.assemblee-nationale.fr/sycomore/fiche/(num_dept)/2702", "2702")</f>
        <v>0</v>
      </c>
      <c r="M7073">
        <f>HYPERLINK("https://www.senat.fr/senateur-3eme-republique/dumont_charles0432r3.html", "dumont_charles0432r3")</f>
        <v>0</v>
      </c>
      <c r="N7073">
        <f>HYPERLINK("https://www.wikidata.org/wiki/Q2958960", "Q2958960")</f>
        <v>0</v>
      </c>
      <c r="O7073" t="s">
        <v>20041</v>
      </c>
      <c r="Q7073" t="s">
        <v>20841</v>
      </c>
      <c r="R7073" t="s">
        <v>419</v>
      </c>
      <c r="S7073">
        <v>1469</v>
      </c>
    </row>
    <row r="7074" spans="1:19">
      <c r="A7074" t="s">
        <v>29</v>
      </c>
      <c r="B7074" t="s">
        <v>148</v>
      </c>
      <c r="C7074" t="s">
        <v>161</v>
      </c>
      <c r="D7074" t="s">
        <v>290</v>
      </c>
      <c r="E7074" t="s">
        <v>419</v>
      </c>
      <c r="F7074">
        <f>HYPERLINK("https://www.wikidata.org/wiki/Q33322771", "Q33322771")</f>
        <v>0</v>
      </c>
      <c r="G7074" t="s">
        <v>949</v>
      </c>
      <c r="H7074" t="s">
        <v>5703</v>
      </c>
      <c r="I7074" t="s">
        <v>9598</v>
      </c>
      <c r="J7074" t="s">
        <v>11690</v>
      </c>
      <c r="K7074" t="s">
        <v>16091</v>
      </c>
      <c r="L7074">
        <f>HYPERLINK("https://www2.assemblee-nationale.fr/sycomore/fiche/(num_dept)/2711", "2711")</f>
        <v>0</v>
      </c>
      <c r="N7074">
        <f>HYPERLINK("https://www.wikidata.org/wiki/Q15971901", "Q15971901")</f>
        <v>0</v>
      </c>
      <c r="O7074" t="s">
        <v>19959</v>
      </c>
      <c r="Q7074" t="s">
        <v>20841</v>
      </c>
      <c r="R7074" t="s">
        <v>419</v>
      </c>
      <c r="S7074">
        <v>1469</v>
      </c>
    </row>
    <row r="7075" spans="1:19">
      <c r="A7075" t="s">
        <v>29</v>
      </c>
      <c r="B7075" t="s">
        <v>148</v>
      </c>
      <c r="C7075" t="s">
        <v>161</v>
      </c>
      <c r="D7075" t="s">
        <v>290</v>
      </c>
      <c r="E7075" t="s">
        <v>419</v>
      </c>
      <c r="F7075">
        <f>HYPERLINK("https://www.wikidata.org/wiki/Q33322771", "Q33322771")</f>
        <v>0</v>
      </c>
      <c r="G7075" t="s">
        <v>3972</v>
      </c>
      <c r="H7075" t="s">
        <v>8217</v>
      </c>
      <c r="I7075" t="s">
        <v>11048</v>
      </c>
      <c r="J7075" t="s">
        <v>14521</v>
      </c>
      <c r="K7075" t="s">
        <v>18865</v>
      </c>
      <c r="L7075">
        <f>HYPERLINK("https://www2.assemblee-nationale.fr/sycomore/fiche/(num_dept)/2746", "2746")</f>
        <v>0</v>
      </c>
      <c r="N7075">
        <f>HYPERLINK("https://www.wikidata.org/wiki/Q3357269", "Q3357269")</f>
        <v>0</v>
      </c>
      <c r="O7075" t="s">
        <v>20035</v>
      </c>
      <c r="P7075" t="s">
        <v>20471</v>
      </c>
      <c r="Q7075" t="s">
        <v>20841</v>
      </c>
      <c r="R7075" t="s">
        <v>419</v>
      </c>
      <c r="S7075">
        <v>1469</v>
      </c>
    </row>
    <row r="7076" spans="1:19">
      <c r="A7076" t="s">
        <v>29</v>
      </c>
      <c r="B7076" t="s">
        <v>148</v>
      </c>
      <c r="C7076" t="s">
        <v>161</v>
      </c>
      <c r="D7076" t="s">
        <v>290</v>
      </c>
      <c r="E7076" t="s">
        <v>419</v>
      </c>
      <c r="F7076">
        <f>HYPERLINK("https://www.wikidata.org/wiki/Q33322771", "Q33322771")</f>
        <v>0</v>
      </c>
      <c r="G7076" t="s">
        <v>3772</v>
      </c>
      <c r="H7076" t="s">
        <v>8066</v>
      </c>
      <c r="I7076" t="s">
        <v>9388</v>
      </c>
      <c r="J7076" t="s">
        <v>14342</v>
      </c>
      <c r="K7076" t="s">
        <v>18694</v>
      </c>
      <c r="L7076">
        <f>HYPERLINK("https://www2.assemblee-nationale.fr/sycomore/fiche/(num_dept)/2785", "2785")</f>
        <v>0</v>
      </c>
      <c r="N7076">
        <f>HYPERLINK("https://www.wikidata.org/wiki/Q2406994", "Q2406994")</f>
        <v>0</v>
      </c>
      <c r="O7076" t="s">
        <v>19968</v>
      </c>
      <c r="P7076" t="s">
        <v>20410</v>
      </c>
      <c r="Q7076" t="s">
        <v>20841</v>
      </c>
      <c r="R7076" t="s">
        <v>419</v>
      </c>
      <c r="S7076">
        <v>1469</v>
      </c>
    </row>
    <row r="7077" spans="1:19">
      <c r="A7077" t="s">
        <v>29</v>
      </c>
      <c r="B7077" t="s">
        <v>148</v>
      </c>
      <c r="C7077" t="s">
        <v>161</v>
      </c>
      <c r="D7077" t="s">
        <v>290</v>
      </c>
      <c r="E7077" t="s">
        <v>419</v>
      </c>
      <c r="F7077">
        <f>HYPERLINK("https://www.wikidata.org/wiki/Q33322771", "Q33322771")</f>
        <v>0</v>
      </c>
      <c r="G7077" t="s">
        <v>3871</v>
      </c>
      <c r="H7077" t="s">
        <v>8139</v>
      </c>
      <c r="I7077" t="s">
        <v>6175</v>
      </c>
      <c r="J7077" t="s">
        <v>14430</v>
      </c>
      <c r="K7077" t="s">
        <v>18782</v>
      </c>
      <c r="L7077">
        <f>HYPERLINK("https://www2.assemblee-nationale.fr/sycomore/fiche/(num_dept)/2833", "2833")</f>
        <v>0</v>
      </c>
      <c r="M7077">
        <f>HYPERLINK("https://www.senat.fr/senateur-3eme-republique/ermant_georges0030r3.html", "ermant_georges0030r3")</f>
        <v>0</v>
      </c>
      <c r="N7077">
        <f>HYPERLINK("https://www.wikidata.org/wiki/Q3102677", "Q3102677")</f>
        <v>0</v>
      </c>
      <c r="O7077" t="s">
        <v>20015</v>
      </c>
      <c r="P7077" t="s">
        <v>20411</v>
      </c>
      <c r="Q7077" t="s">
        <v>20841</v>
      </c>
      <c r="R7077" t="s">
        <v>419</v>
      </c>
      <c r="S7077">
        <v>1469</v>
      </c>
    </row>
    <row r="7078" spans="1:19">
      <c r="A7078" t="s">
        <v>29</v>
      </c>
      <c r="B7078" t="s">
        <v>148</v>
      </c>
      <c r="C7078" t="s">
        <v>161</v>
      </c>
      <c r="D7078" t="s">
        <v>290</v>
      </c>
      <c r="E7078" t="s">
        <v>419</v>
      </c>
      <c r="F7078">
        <f>HYPERLINK("https://www.wikidata.org/wiki/Q33322771", "Q33322771")</f>
        <v>0</v>
      </c>
      <c r="G7078" t="s">
        <v>3973</v>
      </c>
      <c r="H7078" t="s">
        <v>5397</v>
      </c>
      <c r="I7078" t="s">
        <v>10120</v>
      </c>
      <c r="J7078" t="s">
        <v>14522</v>
      </c>
      <c r="K7078" t="s">
        <v>18866</v>
      </c>
      <c r="L7078">
        <f>HYPERLINK("https://www2.assemblee-nationale.fr/sycomore/fiche/(num_dept)/2928", "2928")</f>
        <v>0</v>
      </c>
      <c r="N7078">
        <f>HYPERLINK("https://www.wikidata.org/wiki/Q3072873", "Q3072873")</f>
        <v>0</v>
      </c>
      <c r="O7078" t="s">
        <v>20000</v>
      </c>
      <c r="P7078" t="s">
        <v>20495</v>
      </c>
      <c r="Q7078" t="s">
        <v>20841</v>
      </c>
      <c r="R7078" t="s">
        <v>419</v>
      </c>
      <c r="S7078">
        <v>1469</v>
      </c>
    </row>
    <row r="7079" spans="1:19">
      <c r="A7079" t="s">
        <v>29</v>
      </c>
      <c r="B7079" t="s">
        <v>148</v>
      </c>
      <c r="C7079" t="s">
        <v>161</v>
      </c>
      <c r="D7079" t="s">
        <v>290</v>
      </c>
      <c r="E7079" t="s">
        <v>419</v>
      </c>
      <c r="F7079">
        <f>HYPERLINK("https://www.wikidata.org/wiki/Q33322771", "Q33322771")</f>
        <v>0</v>
      </c>
      <c r="G7079" t="s">
        <v>3974</v>
      </c>
      <c r="H7079" t="s">
        <v>6159</v>
      </c>
      <c r="I7079" t="s">
        <v>9795</v>
      </c>
      <c r="J7079" t="s">
        <v>14523</v>
      </c>
      <c r="K7079" t="s">
        <v>18867</v>
      </c>
      <c r="L7079">
        <f>HYPERLINK("https://www2.assemblee-nationale.fr/sycomore/fiche/(num_dept)/2970", "2970")</f>
        <v>0</v>
      </c>
      <c r="N7079">
        <f>HYPERLINK("https://www.wikidata.org/wiki/Q16025690", "Q16025690")</f>
        <v>0</v>
      </c>
      <c r="O7079" t="s">
        <v>19969</v>
      </c>
      <c r="P7079" t="s">
        <v>20504</v>
      </c>
      <c r="Q7079" t="s">
        <v>20841</v>
      </c>
      <c r="R7079" t="s">
        <v>419</v>
      </c>
      <c r="S7079">
        <v>1469</v>
      </c>
    </row>
    <row r="7080" spans="1:19">
      <c r="A7080" t="s">
        <v>29</v>
      </c>
      <c r="B7080" t="s">
        <v>148</v>
      </c>
      <c r="C7080" t="s">
        <v>161</v>
      </c>
      <c r="D7080" t="s">
        <v>290</v>
      </c>
      <c r="E7080" t="s">
        <v>419</v>
      </c>
      <c r="F7080">
        <f>HYPERLINK("https://www.wikidata.org/wiki/Q33322771", "Q33322771")</f>
        <v>0</v>
      </c>
      <c r="G7080" t="s">
        <v>3975</v>
      </c>
      <c r="H7080" t="s">
        <v>8218</v>
      </c>
      <c r="I7080" t="s">
        <v>9507</v>
      </c>
      <c r="J7080" t="s">
        <v>14524</v>
      </c>
      <c r="K7080" t="s">
        <v>18868</v>
      </c>
      <c r="L7080">
        <f>HYPERLINK("https://www2.assemblee-nationale.fr/sycomore/fiche/(num_dept)/2974", "2974")</f>
        <v>0</v>
      </c>
      <c r="N7080">
        <f>HYPERLINK("https://www.wikidata.org/wiki/Q16025692", "Q16025692")</f>
        <v>0</v>
      </c>
      <c r="O7080" t="s">
        <v>20042</v>
      </c>
      <c r="Q7080" t="s">
        <v>20841</v>
      </c>
      <c r="R7080" t="s">
        <v>419</v>
      </c>
      <c r="S7080">
        <v>1469</v>
      </c>
    </row>
    <row r="7081" spans="1:19">
      <c r="A7081" t="s">
        <v>29</v>
      </c>
      <c r="B7081" t="s">
        <v>148</v>
      </c>
      <c r="C7081" t="s">
        <v>161</v>
      </c>
      <c r="D7081" t="s">
        <v>290</v>
      </c>
      <c r="E7081" t="s">
        <v>419</v>
      </c>
      <c r="F7081">
        <f>HYPERLINK("https://www.wikidata.org/wiki/Q33322771", "Q33322771")</f>
        <v>0</v>
      </c>
      <c r="G7081" t="s">
        <v>1461</v>
      </c>
      <c r="H7081" t="s">
        <v>6161</v>
      </c>
      <c r="I7081" t="s">
        <v>9817</v>
      </c>
      <c r="J7081" t="s">
        <v>12180</v>
      </c>
      <c r="K7081" t="s">
        <v>16586</v>
      </c>
      <c r="L7081">
        <f>HYPERLINK("https://www2.assemblee-nationale.fr/sycomore/fiche/(num_dept)/2976", "2976")</f>
        <v>0</v>
      </c>
      <c r="N7081">
        <f>HYPERLINK("https://www.wikidata.org/wiki/Q3132776", "Q3132776")</f>
        <v>0</v>
      </c>
      <c r="O7081" t="s">
        <v>20030</v>
      </c>
      <c r="P7081" t="s">
        <v>20410</v>
      </c>
      <c r="Q7081" t="s">
        <v>20841</v>
      </c>
      <c r="R7081" t="s">
        <v>419</v>
      </c>
      <c r="S7081">
        <v>1469</v>
      </c>
    </row>
    <row r="7082" spans="1:19">
      <c r="A7082" t="s">
        <v>29</v>
      </c>
      <c r="B7082" t="s">
        <v>148</v>
      </c>
      <c r="C7082" t="s">
        <v>161</v>
      </c>
      <c r="D7082" t="s">
        <v>290</v>
      </c>
      <c r="E7082" t="s">
        <v>419</v>
      </c>
      <c r="F7082">
        <f>HYPERLINK("https://www.wikidata.org/wiki/Q33322771", "Q33322771")</f>
        <v>0</v>
      </c>
      <c r="G7082" t="s">
        <v>3976</v>
      </c>
      <c r="H7082" t="s">
        <v>8219</v>
      </c>
      <c r="I7082" t="s">
        <v>9553</v>
      </c>
      <c r="J7082" t="s">
        <v>14525</v>
      </c>
      <c r="K7082" t="s">
        <v>16714</v>
      </c>
      <c r="L7082">
        <f>HYPERLINK("https://www2.assemblee-nationale.fr/sycomore/fiche/(num_dept)/3034", "3034")</f>
        <v>0</v>
      </c>
      <c r="N7082">
        <f>HYPERLINK("https://www.wikidata.org/wiki/Q13080163", "Q13080163")</f>
        <v>0</v>
      </c>
      <c r="O7082" t="s">
        <v>19965</v>
      </c>
      <c r="P7082" t="s">
        <v>20506</v>
      </c>
      <c r="Q7082" t="s">
        <v>20841</v>
      </c>
      <c r="R7082" t="s">
        <v>419</v>
      </c>
      <c r="S7082">
        <v>1469</v>
      </c>
    </row>
    <row r="7083" spans="1:19">
      <c r="A7083" t="s">
        <v>29</v>
      </c>
      <c r="B7083" t="s">
        <v>148</v>
      </c>
      <c r="C7083" t="s">
        <v>161</v>
      </c>
      <c r="D7083" t="s">
        <v>290</v>
      </c>
      <c r="E7083" t="s">
        <v>419</v>
      </c>
      <c r="F7083">
        <f>HYPERLINK("https://www.wikidata.org/wiki/Q33322771", "Q33322771")</f>
        <v>0</v>
      </c>
      <c r="G7083" t="s">
        <v>3440</v>
      </c>
      <c r="H7083" t="s">
        <v>6165</v>
      </c>
      <c r="I7083" t="s">
        <v>9681</v>
      </c>
      <c r="J7083" t="s">
        <v>14044</v>
      </c>
      <c r="K7083" t="s">
        <v>18412</v>
      </c>
      <c r="L7083">
        <f>HYPERLINK("https://www2.assemblee-nationale.fr/sycomore/fiche/(num_dept)/3081", "3081")</f>
        <v>0</v>
      </c>
      <c r="N7083">
        <f>HYPERLINK("https://www.wikidata.org/wiki/Q2411428", "Q2411428")</f>
        <v>0</v>
      </c>
      <c r="O7083" t="s">
        <v>20027</v>
      </c>
      <c r="P7083" t="s">
        <v>20457</v>
      </c>
      <c r="Q7083" t="s">
        <v>20841</v>
      </c>
      <c r="R7083" t="s">
        <v>419</v>
      </c>
      <c r="S7083">
        <v>1469</v>
      </c>
    </row>
    <row r="7084" spans="1:19">
      <c r="A7084" t="s">
        <v>29</v>
      </c>
      <c r="B7084" t="s">
        <v>148</v>
      </c>
      <c r="C7084" t="s">
        <v>161</v>
      </c>
      <c r="D7084" t="s">
        <v>290</v>
      </c>
      <c r="E7084" t="s">
        <v>419</v>
      </c>
      <c r="F7084">
        <f>HYPERLINK("https://www.wikidata.org/wiki/Q33322771", "Q33322771")</f>
        <v>0</v>
      </c>
      <c r="G7084" t="s">
        <v>3977</v>
      </c>
      <c r="H7084" t="s">
        <v>8220</v>
      </c>
      <c r="I7084" t="s">
        <v>11049</v>
      </c>
      <c r="J7084" t="s">
        <v>14526</v>
      </c>
      <c r="K7084" t="s">
        <v>18869</v>
      </c>
      <c r="L7084">
        <f>HYPERLINK("https://www2.assemblee-nationale.fr/sycomore/fiche/(num_dept)/3218", "3218")</f>
        <v>0</v>
      </c>
      <c r="N7084">
        <f>HYPERLINK("https://www.wikidata.org/wiki/Q16025740", "Q16025740")</f>
        <v>0</v>
      </c>
      <c r="O7084" t="s">
        <v>19997</v>
      </c>
      <c r="P7084" t="s">
        <v>20411</v>
      </c>
      <c r="Q7084" t="s">
        <v>20841</v>
      </c>
      <c r="R7084" t="s">
        <v>419</v>
      </c>
      <c r="S7084">
        <v>1469</v>
      </c>
    </row>
    <row r="7085" spans="1:19">
      <c r="A7085" t="s">
        <v>29</v>
      </c>
      <c r="B7085" t="s">
        <v>148</v>
      </c>
      <c r="C7085" t="s">
        <v>161</v>
      </c>
      <c r="D7085" t="s">
        <v>290</v>
      </c>
      <c r="E7085" t="s">
        <v>419</v>
      </c>
      <c r="F7085">
        <f>HYPERLINK("https://www.wikidata.org/wiki/Q33322771", "Q33322771")</f>
        <v>0</v>
      </c>
      <c r="G7085" t="s">
        <v>3978</v>
      </c>
      <c r="H7085" t="s">
        <v>8221</v>
      </c>
      <c r="I7085" t="s">
        <v>5528</v>
      </c>
      <c r="J7085" t="s">
        <v>14527</v>
      </c>
      <c r="K7085" t="s">
        <v>18870</v>
      </c>
      <c r="L7085">
        <f>HYPERLINK("https://www2.assemblee-nationale.fr/sycomore/fiche/(num_dept)/3234", "3234")</f>
        <v>0</v>
      </c>
      <c r="N7085">
        <f>HYPERLINK("https://www.wikidata.org/wiki/Q3270977", "Q3270977")</f>
        <v>0</v>
      </c>
      <c r="O7085" t="s">
        <v>20019</v>
      </c>
      <c r="P7085" t="s">
        <v>20402</v>
      </c>
      <c r="Q7085" t="s">
        <v>20841</v>
      </c>
      <c r="R7085" t="s">
        <v>419</v>
      </c>
      <c r="S7085">
        <v>1469</v>
      </c>
    </row>
    <row r="7086" spans="1:19">
      <c r="A7086" t="s">
        <v>29</v>
      </c>
      <c r="B7086" t="s">
        <v>148</v>
      </c>
      <c r="C7086" t="s">
        <v>161</v>
      </c>
      <c r="D7086" t="s">
        <v>290</v>
      </c>
      <c r="E7086" t="s">
        <v>419</v>
      </c>
      <c r="F7086">
        <f>HYPERLINK("https://www.wikidata.org/wiki/Q33322771", "Q33322771")</f>
        <v>0</v>
      </c>
      <c r="G7086" t="s">
        <v>3838</v>
      </c>
      <c r="H7086" t="s">
        <v>8116</v>
      </c>
      <c r="I7086" t="s">
        <v>10996</v>
      </c>
      <c r="J7086" t="s">
        <v>11776</v>
      </c>
      <c r="K7086" t="s">
        <v>18754</v>
      </c>
      <c r="L7086">
        <f>HYPERLINK("https://www2.assemblee-nationale.fr/sycomore/fiche/(num_dept)/3312", "3312")</f>
        <v>0</v>
      </c>
      <c r="M7086">
        <f>HYPERLINK("https://www.senat.fr/senateur-3eme-republique/gauvin_eusebe0384r3.html", "gauvin_eusebe0384r3")</f>
        <v>0</v>
      </c>
      <c r="N7086">
        <f>HYPERLINK("https://www.wikidata.org/wiki/Q3061098", "Q3061098")</f>
        <v>0</v>
      </c>
      <c r="O7086" t="s">
        <v>20039</v>
      </c>
      <c r="P7086" t="s">
        <v>20482</v>
      </c>
      <c r="Q7086" t="s">
        <v>20841</v>
      </c>
      <c r="R7086" t="s">
        <v>419</v>
      </c>
      <c r="S7086">
        <v>1469</v>
      </c>
    </row>
    <row r="7087" spans="1:19">
      <c r="A7087" t="s">
        <v>29</v>
      </c>
      <c r="B7087" t="s">
        <v>148</v>
      </c>
      <c r="C7087" t="s">
        <v>161</v>
      </c>
      <c r="D7087" t="s">
        <v>290</v>
      </c>
      <c r="E7087" t="s">
        <v>419</v>
      </c>
      <c r="F7087">
        <f>HYPERLINK("https://www.wikidata.org/wiki/Q33322771", "Q33322771")</f>
        <v>0</v>
      </c>
      <c r="G7087" t="s">
        <v>3979</v>
      </c>
      <c r="H7087" t="s">
        <v>6173</v>
      </c>
      <c r="I7087" t="s">
        <v>9483</v>
      </c>
      <c r="J7087" t="s">
        <v>14528</v>
      </c>
      <c r="K7087" t="s">
        <v>18871</v>
      </c>
      <c r="L7087">
        <f>HYPERLINK("https://www2.assemblee-nationale.fr/sycomore/fiche/(num_dept)/3321", "3321")</f>
        <v>0</v>
      </c>
      <c r="N7087">
        <f>HYPERLINK("https://www.wikidata.org/wiki/Q15969762", "Q15969762")</f>
        <v>0</v>
      </c>
      <c r="O7087" t="s">
        <v>19997</v>
      </c>
      <c r="Q7087" t="s">
        <v>20841</v>
      </c>
      <c r="R7087" t="s">
        <v>419</v>
      </c>
      <c r="S7087">
        <v>1469</v>
      </c>
    </row>
    <row r="7088" spans="1:19">
      <c r="A7088" t="s">
        <v>29</v>
      </c>
      <c r="B7088" t="s">
        <v>148</v>
      </c>
      <c r="C7088" t="s">
        <v>161</v>
      </c>
      <c r="D7088" t="s">
        <v>290</v>
      </c>
      <c r="E7088" t="s">
        <v>419</v>
      </c>
      <c r="F7088">
        <f>HYPERLINK("https://www.wikidata.org/wiki/Q33322771", "Q33322771")</f>
        <v>0</v>
      </c>
      <c r="G7088" t="s">
        <v>3780</v>
      </c>
      <c r="H7088" t="s">
        <v>8073</v>
      </c>
      <c r="I7088" t="s">
        <v>9465</v>
      </c>
      <c r="J7088" t="s">
        <v>14350</v>
      </c>
      <c r="K7088" t="s">
        <v>18702</v>
      </c>
      <c r="L7088">
        <f>HYPERLINK("https://www2.assemblee-nationale.fr/sycomore/fiche/(num_dept)/3336", "3336")</f>
        <v>0</v>
      </c>
      <c r="N7088">
        <f>HYPERLINK("https://www.wikidata.org/wiki/Q9295203", "Q9295203")</f>
        <v>0</v>
      </c>
      <c r="O7088" t="s">
        <v>19965</v>
      </c>
      <c r="P7088" t="s">
        <v>20477</v>
      </c>
      <c r="Q7088" t="s">
        <v>20841</v>
      </c>
      <c r="R7088" t="s">
        <v>419</v>
      </c>
      <c r="S7088">
        <v>1469</v>
      </c>
    </row>
    <row r="7089" spans="1:19">
      <c r="A7089" t="s">
        <v>29</v>
      </c>
      <c r="B7089" t="s">
        <v>148</v>
      </c>
      <c r="C7089" t="s">
        <v>161</v>
      </c>
      <c r="D7089" t="s">
        <v>290</v>
      </c>
      <c r="E7089" t="s">
        <v>419</v>
      </c>
      <c r="F7089">
        <f>HYPERLINK("https://www.wikidata.org/wiki/Q33322771", "Q33322771")</f>
        <v>0</v>
      </c>
      <c r="G7089" t="s">
        <v>3980</v>
      </c>
      <c r="H7089" t="s">
        <v>7822</v>
      </c>
      <c r="I7089" t="s">
        <v>9552</v>
      </c>
      <c r="J7089" t="s">
        <v>14529</v>
      </c>
      <c r="K7089" t="s">
        <v>18872</v>
      </c>
      <c r="L7089">
        <f>HYPERLINK("https://www2.assemblee-nationale.fr/sycomore/fiche/(num_dept)/3384", "3384")</f>
        <v>0</v>
      </c>
      <c r="M7089">
        <f>HYPERLINK("https://www.senat.fr/senateur-3eme-republique/gervais_auguste1416r3.html", "gervais_auguste1416r3")</f>
        <v>0</v>
      </c>
      <c r="N7089">
        <f>HYPERLINK("https://www.wikidata.org/wiki/Q2871200", "Q2871200")</f>
        <v>0</v>
      </c>
      <c r="O7089" t="s">
        <v>19969</v>
      </c>
      <c r="P7089" t="s">
        <v>20471</v>
      </c>
      <c r="Q7089" t="s">
        <v>20841</v>
      </c>
      <c r="R7089" t="s">
        <v>419</v>
      </c>
      <c r="S7089">
        <v>1469</v>
      </c>
    </row>
    <row r="7090" spans="1:19">
      <c r="A7090" t="s">
        <v>29</v>
      </c>
      <c r="B7090" t="s">
        <v>148</v>
      </c>
      <c r="C7090" t="s">
        <v>161</v>
      </c>
      <c r="D7090" t="s">
        <v>290</v>
      </c>
      <c r="E7090" t="s">
        <v>419</v>
      </c>
      <c r="F7090">
        <f>HYPERLINK("https://www.wikidata.org/wiki/Q33322771", "Q33322771")</f>
        <v>0</v>
      </c>
      <c r="G7090" t="s">
        <v>3981</v>
      </c>
      <c r="H7090" t="s">
        <v>8222</v>
      </c>
      <c r="I7090" t="s">
        <v>10879</v>
      </c>
      <c r="J7090" t="s">
        <v>14530</v>
      </c>
      <c r="K7090" t="s">
        <v>16050</v>
      </c>
      <c r="L7090">
        <f>HYPERLINK("https://www2.assemblee-nationale.fr/sycomore/fiche/(num_dept)/3386", "3386")</f>
        <v>0</v>
      </c>
      <c r="N7090">
        <f>HYPERLINK("https://www.wikidata.org/wiki/Q3266127", "Q3266127")</f>
        <v>0</v>
      </c>
      <c r="O7090" t="s">
        <v>20007</v>
      </c>
      <c r="P7090" t="s">
        <v>20507</v>
      </c>
      <c r="Q7090" t="s">
        <v>20841</v>
      </c>
      <c r="R7090" t="s">
        <v>419</v>
      </c>
      <c r="S7090">
        <v>1469</v>
      </c>
    </row>
    <row r="7091" spans="1:19">
      <c r="A7091" t="s">
        <v>29</v>
      </c>
      <c r="B7091" t="s">
        <v>148</v>
      </c>
      <c r="C7091" t="s">
        <v>161</v>
      </c>
      <c r="D7091" t="s">
        <v>290</v>
      </c>
      <c r="E7091" t="s">
        <v>419</v>
      </c>
      <c r="F7091">
        <f>HYPERLINK("https://www.wikidata.org/wiki/Q33322771", "Q33322771")</f>
        <v>0</v>
      </c>
      <c r="G7091" t="s">
        <v>3982</v>
      </c>
      <c r="H7091" t="s">
        <v>8223</v>
      </c>
      <c r="I7091" t="s">
        <v>6175</v>
      </c>
      <c r="J7091" t="s">
        <v>14531</v>
      </c>
      <c r="K7091" t="s">
        <v>18873</v>
      </c>
      <c r="L7091">
        <f>HYPERLINK("https://www2.assemblee-nationale.fr/sycomore/fiche/(num_dept)/3446", "3446")</f>
        <v>0</v>
      </c>
      <c r="N7091">
        <f>HYPERLINK("https://www.wikidata.org/wiki/Q13080881", "Q13080881")</f>
        <v>0</v>
      </c>
      <c r="O7091" t="s">
        <v>19969</v>
      </c>
      <c r="P7091" t="s">
        <v>20420</v>
      </c>
      <c r="Q7091" t="s">
        <v>20841</v>
      </c>
      <c r="R7091" t="s">
        <v>419</v>
      </c>
      <c r="S7091">
        <v>1469</v>
      </c>
    </row>
    <row r="7092" spans="1:19">
      <c r="A7092" t="s">
        <v>29</v>
      </c>
      <c r="B7092" t="s">
        <v>148</v>
      </c>
      <c r="C7092" t="s">
        <v>161</v>
      </c>
      <c r="D7092" t="s">
        <v>290</v>
      </c>
      <c r="E7092" t="s">
        <v>419</v>
      </c>
      <c r="F7092">
        <f>HYPERLINK("https://www.wikidata.org/wiki/Q33322771", "Q33322771")</f>
        <v>0</v>
      </c>
      <c r="G7092" t="s">
        <v>3638</v>
      </c>
      <c r="H7092" t="s">
        <v>5424</v>
      </c>
      <c r="I7092" t="s">
        <v>9535</v>
      </c>
      <c r="J7092" t="s">
        <v>14218</v>
      </c>
      <c r="K7092" t="s">
        <v>18582</v>
      </c>
      <c r="L7092">
        <f>HYPERLINK("https://www2.assemblee-nationale.fr/sycomore/fiche/(num_dept)/3498", "3498")</f>
        <v>0</v>
      </c>
      <c r="M7092">
        <f>HYPERLINK("https://www.senat.fr/senateur-3eme-republique/goujon_julien1586r3.html", "goujon_julien1586r3")</f>
        <v>0</v>
      </c>
      <c r="N7092">
        <f>HYPERLINK("https://www.wikidata.org/wiki/Q3189509", "Q3189509")</f>
        <v>0</v>
      </c>
      <c r="O7092" t="s">
        <v>19978</v>
      </c>
      <c r="Q7092" t="s">
        <v>20841</v>
      </c>
      <c r="R7092" t="s">
        <v>419</v>
      </c>
      <c r="S7092">
        <v>1469</v>
      </c>
    </row>
    <row r="7093" spans="1:19">
      <c r="A7093" t="s">
        <v>29</v>
      </c>
      <c r="B7093" t="s">
        <v>148</v>
      </c>
      <c r="C7093" t="s">
        <v>161</v>
      </c>
      <c r="D7093" t="s">
        <v>290</v>
      </c>
      <c r="E7093" t="s">
        <v>419</v>
      </c>
      <c r="F7093">
        <f>HYPERLINK("https://www.wikidata.org/wiki/Q33322771", "Q33322771")</f>
        <v>0</v>
      </c>
      <c r="G7093" t="s">
        <v>3452</v>
      </c>
      <c r="H7093" t="s">
        <v>7825</v>
      </c>
      <c r="I7093" t="s">
        <v>9389</v>
      </c>
      <c r="J7093" t="s">
        <v>14054</v>
      </c>
      <c r="K7093" t="s">
        <v>16868</v>
      </c>
      <c r="L7093">
        <f>HYPERLINK("https://www2.assemblee-nationale.fr/sycomore/fiche/(num_dept)/3517", "3517")</f>
        <v>0</v>
      </c>
      <c r="N7093">
        <f>HYPERLINK("https://www.wikidata.org/wiki/Q13091124", "Q13091124")</f>
        <v>0</v>
      </c>
      <c r="O7093" t="s">
        <v>19969</v>
      </c>
      <c r="Q7093" t="s">
        <v>20841</v>
      </c>
      <c r="R7093" t="s">
        <v>419</v>
      </c>
      <c r="S7093">
        <v>1469</v>
      </c>
    </row>
    <row r="7094" spans="1:19">
      <c r="A7094" t="s">
        <v>29</v>
      </c>
      <c r="B7094" t="s">
        <v>148</v>
      </c>
      <c r="C7094" t="s">
        <v>161</v>
      </c>
      <c r="D7094" t="s">
        <v>290</v>
      </c>
      <c r="E7094" t="s">
        <v>419</v>
      </c>
      <c r="F7094">
        <f>HYPERLINK("https://www.wikidata.org/wiki/Q33322771", "Q33322771")</f>
        <v>0</v>
      </c>
      <c r="G7094" t="s">
        <v>3983</v>
      </c>
      <c r="H7094" t="s">
        <v>8224</v>
      </c>
      <c r="I7094" t="s">
        <v>9388</v>
      </c>
      <c r="J7094" t="s">
        <v>14532</v>
      </c>
      <c r="K7094" t="s">
        <v>18874</v>
      </c>
      <c r="L7094">
        <f>HYPERLINK("https://www2.assemblee-nationale.fr/sycomore/fiche/(num_dept)/3530", "3530")</f>
        <v>0</v>
      </c>
      <c r="M7094">
        <f>HYPERLINK("https://www.senat.fr/senateur-3eme-republique/gouzy_paul1686r3.html", "gouzy_paul1686r3")</f>
        <v>0</v>
      </c>
      <c r="N7094">
        <f>HYPERLINK("https://www.wikidata.org/wiki/Q3371348", "Q3371348")</f>
        <v>0</v>
      </c>
      <c r="O7094" t="s">
        <v>19962</v>
      </c>
      <c r="P7094" t="s">
        <v>20471</v>
      </c>
      <c r="Q7094" t="s">
        <v>20841</v>
      </c>
      <c r="R7094" t="s">
        <v>419</v>
      </c>
      <c r="S7094">
        <v>1469</v>
      </c>
    </row>
    <row r="7095" spans="1:19">
      <c r="A7095" t="s">
        <v>29</v>
      </c>
      <c r="B7095" t="s">
        <v>148</v>
      </c>
      <c r="C7095" t="s">
        <v>161</v>
      </c>
      <c r="D7095" t="s">
        <v>290</v>
      </c>
      <c r="E7095" t="s">
        <v>419</v>
      </c>
      <c r="F7095">
        <f>HYPERLINK("https://www.wikidata.org/wiki/Q33322771", "Q33322771")</f>
        <v>0</v>
      </c>
      <c r="G7095" t="s">
        <v>3783</v>
      </c>
      <c r="H7095" t="s">
        <v>8075</v>
      </c>
      <c r="I7095" t="s">
        <v>9401</v>
      </c>
      <c r="J7095" t="s">
        <v>14353</v>
      </c>
      <c r="K7095" t="s">
        <v>18705</v>
      </c>
      <c r="L7095">
        <f>HYPERLINK("https://www2.assemblee-nationale.fr/sycomore/fiche/(num_dept)/3551", "3551")</f>
        <v>0</v>
      </c>
      <c r="N7095">
        <f>HYPERLINK("https://www.wikidata.org/wiki/Q16025805", "Q16025805")</f>
        <v>0</v>
      </c>
      <c r="O7095" t="s">
        <v>20044</v>
      </c>
      <c r="P7095" t="s">
        <v>20477</v>
      </c>
      <c r="Q7095" t="s">
        <v>20841</v>
      </c>
      <c r="R7095" t="s">
        <v>419</v>
      </c>
      <c r="S7095">
        <v>1469</v>
      </c>
    </row>
    <row r="7096" spans="1:19">
      <c r="A7096" t="s">
        <v>29</v>
      </c>
      <c r="B7096" t="s">
        <v>148</v>
      </c>
      <c r="C7096" t="s">
        <v>161</v>
      </c>
      <c r="D7096" t="s">
        <v>290</v>
      </c>
      <c r="E7096" t="s">
        <v>419</v>
      </c>
      <c r="F7096">
        <f>HYPERLINK("https://www.wikidata.org/wiki/Q33322771", "Q33322771")</f>
        <v>0</v>
      </c>
      <c r="G7096" t="s">
        <v>3984</v>
      </c>
      <c r="H7096" t="s">
        <v>8225</v>
      </c>
      <c r="I7096" t="s">
        <v>11050</v>
      </c>
      <c r="J7096" t="s">
        <v>14533</v>
      </c>
      <c r="K7096" t="s">
        <v>18875</v>
      </c>
      <c r="L7096">
        <f>HYPERLINK("https://www2.assemblee-nationale.fr/sycomore/fiche/(num_dept)/3552", "3552")</f>
        <v>0</v>
      </c>
      <c r="N7096">
        <f>HYPERLINK("https://www.wikidata.org/wiki/Q16025806", "Q16025806")</f>
        <v>0</v>
      </c>
      <c r="O7096" t="s">
        <v>19969</v>
      </c>
      <c r="P7096" t="s">
        <v>20406</v>
      </c>
      <c r="Q7096" t="s">
        <v>20841</v>
      </c>
      <c r="R7096" t="s">
        <v>419</v>
      </c>
      <c r="S7096">
        <v>1469</v>
      </c>
    </row>
    <row r="7097" spans="1:19">
      <c r="A7097" t="s">
        <v>29</v>
      </c>
      <c r="B7097" t="s">
        <v>148</v>
      </c>
      <c r="C7097" t="s">
        <v>161</v>
      </c>
      <c r="D7097" t="s">
        <v>290</v>
      </c>
      <c r="E7097" t="s">
        <v>419</v>
      </c>
      <c r="F7097">
        <f>HYPERLINK("https://www.wikidata.org/wiki/Q33322771", "Q33322771")</f>
        <v>0</v>
      </c>
      <c r="G7097" t="s">
        <v>3985</v>
      </c>
      <c r="H7097" t="s">
        <v>8226</v>
      </c>
      <c r="I7097" t="s">
        <v>9474</v>
      </c>
      <c r="J7097" t="s">
        <v>14534</v>
      </c>
      <c r="K7097" t="s">
        <v>18876</v>
      </c>
      <c r="L7097">
        <f>HYPERLINK("https://www2.assemblee-nationale.fr/sycomore/fiche/(num_dept)/3622", "3622")</f>
        <v>0</v>
      </c>
      <c r="N7097">
        <f>HYPERLINK("https://www.wikidata.org/wiki/Q16025818", "Q16025818")</f>
        <v>0</v>
      </c>
      <c r="O7097" t="s">
        <v>20002</v>
      </c>
      <c r="Q7097" t="s">
        <v>20841</v>
      </c>
      <c r="R7097" t="s">
        <v>419</v>
      </c>
      <c r="S7097">
        <v>1469</v>
      </c>
    </row>
    <row r="7098" spans="1:19">
      <c r="A7098" t="s">
        <v>29</v>
      </c>
      <c r="B7098" t="s">
        <v>148</v>
      </c>
      <c r="C7098" t="s">
        <v>161</v>
      </c>
      <c r="D7098" t="s">
        <v>290</v>
      </c>
      <c r="E7098" t="s">
        <v>419</v>
      </c>
      <c r="F7098">
        <f>HYPERLINK("https://www.wikidata.org/wiki/Q33322771", "Q33322771")</f>
        <v>0</v>
      </c>
      <c r="G7098" t="s">
        <v>3631</v>
      </c>
      <c r="H7098" t="s">
        <v>7349</v>
      </c>
      <c r="I7098" t="s">
        <v>5528</v>
      </c>
      <c r="J7098" t="s">
        <v>14212</v>
      </c>
      <c r="K7098" t="s">
        <v>18577</v>
      </c>
      <c r="L7098">
        <f>HYPERLINK("https://www2.assemblee-nationale.fr/sycomore/fiche/(num_dept)/3676", "3676")</f>
        <v>0</v>
      </c>
      <c r="N7098">
        <f>HYPERLINK("https://www.wikidata.org/wiki/Q3271028", "Q3271028")</f>
        <v>0</v>
      </c>
      <c r="O7098" t="s">
        <v>20013</v>
      </c>
      <c r="Q7098" t="s">
        <v>20841</v>
      </c>
      <c r="R7098" t="s">
        <v>18577</v>
      </c>
      <c r="S7098">
        <v>304</v>
      </c>
    </row>
    <row r="7099" spans="1:19">
      <c r="A7099" t="s">
        <v>29</v>
      </c>
      <c r="B7099" t="s">
        <v>148</v>
      </c>
      <c r="C7099" t="s">
        <v>161</v>
      </c>
      <c r="D7099" t="s">
        <v>290</v>
      </c>
      <c r="E7099" t="s">
        <v>419</v>
      </c>
      <c r="F7099">
        <f>HYPERLINK("https://www.wikidata.org/wiki/Q33322771", "Q33322771")</f>
        <v>0</v>
      </c>
      <c r="G7099" t="s">
        <v>3986</v>
      </c>
      <c r="H7099" t="s">
        <v>8227</v>
      </c>
      <c r="I7099" t="s">
        <v>6584</v>
      </c>
      <c r="J7099" t="s">
        <v>14535</v>
      </c>
      <c r="K7099" t="s">
        <v>18877</v>
      </c>
      <c r="L7099">
        <f>HYPERLINK("https://www2.assemblee-nationale.fr/sycomore/fiche/(num_dept)/3704", "3704")</f>
        <v>0</v>
      </c>
      <c r="N7099">
        <f>HYPERLINK("https://www.wikidata.org/wiki/Q16025834", "Q16025834")</f>
        <v>0</v>
      </c>
      <c r="O7099" t="s">
        <v>8449</v>
      </c>
      <c r="P7099" t="s">
        <v>20479</v>
      </c>
      <c r="Q7099" t="s">
        <v>20841</v>
      </c>
      <c r="R7099" t="s">
        <v>419</v>
      </c>
      <c r="S7099">
        <v>1469</v>
      </c>
    </row>
    <row r="7100" spans="1:19">
      <c r="A7100" t="s">
        <v>29</v>
      </c>
      <c r="B7100" t="s">
        <v>148</v>
      </c>
      <c r="C7100" t="s">
        <v>161</v>
      </c>
      <c r="D7100" t="s">
        <v>290</v>
      </c>
      <c r="E7100" t="s">
        <v>419</v>
      </c>
      <c r="F7100">
        <f>HYPERLINK("https://www.wikidata.org/wiki/Q33322771", "Q33322771")</f>
        <v>0</v>
      </c>
      <c r="G7100" t="s">
        <v>3459</v>
      </c>
      <c r="H7100" t="s">
        <v>7832</v>
      </c>
      <c r="I7100" t="s">
        <v>10834</v>
      </c>
      <c r="J7100" t="s">
        <v>14061</v>
      </c>
      <c r="K7100" t="s">
        <v>18429</v>
      </c>
      <c r="L7100">
        <f>HYPERLINK("https://www2.assemblee-nationale.fr/sycomore/fiche/(num_dept)/3768", "3768")</f>
        <v>0</v>
      </c>
      <c r="N7100">
        <f>HYPERLINK("https://www.wikidata.org/wiki/Q17629005", "Q17629005")</f>
        <v>0</v>
      </c>
      <c r="O7100" t="s">
        <v>19976</v>
      </c>
      <c r="Q7100" t="s">
        <v>20841</v>
      </c>
      <c r="R7100" t="s">
        <v>18429</v>
      </c>
      <c r="S7100">
        <v>1336</v>
      </c>
    </row>
    <row r="7101" spans="1:19">
      <c r="A7101" t="s">
        <v>29</v>
      </c>
      <c r="B7101" t="s">
        <v>148</v>
      </c>
      <c r="C7101" t="s">
        <v>161</v>
      </c>
      <c r="D7101" t="s">
        <v>290</v>
      </c>
      <c r="E7101" t="s">
        <v>419</v>
      </c>
      <c r="F7101">
        <f>HYPERLINK("https://www.wikidata.org/wiki/Q33322771", "Q33322771")</f>
        <v>0</v>
      </c>
      <c r="G7101" t="s">
        <v>3987</v>
      </c>
      <c r="H7101" t="s">
        <v>8228</v>
      </c>
      <c r="I7101" t="s">
        <v>11051</v>
      </c>
      <c r="J7101" t="s">
        <v>14536</v>
      </c>
      <c r="K7101" t="s">
        <v>18878</v>
      </c>
      <c r="L7101">
        <f>HYPERLINK("https://www2.assemblee-nationale.fr/sycomore/fiche/(num_dept)/3854", "3854")</f>
        <v>0</v>
      </c>
      <c r="N7101">
        <f>HYPERLINK("https://www.wikidata.org/wiki/Q13077240", "Q13077240")</f>
        <v>0</v>
      </c>
      <c r="O7101" t="s">
        <v>19969</v>
      </c>
      <c r="P7101" t="s">
        <v>20409</v>
      </c>
      <c r="Q7101" t="s">
        <v>20841</v>
      </c>
      <c r="R7101" t="s">
        <v>419</v>
      </c>
      <c r="S7101">
        <v>1469</v>
      </c>
    </row>
    <row r="7102" spans="1:19">
      <c r="A7102" t="s">
        <v>29</v>
      </c>
      <c r="B7102" t="s">
        <v>148</v>
      </c>
      <c r="C7102" t="s">
        <v>161</v>
      </c>
      <c r="D7102" t="s">
        <v>290</v>
      </c>
      <c r="E7102" t="s">
        <v>419</v>
      </c>
      <c r="F7102">
        <f>HYPERLINK("https://www.wikidata.org/wiki/Q33322771", "Q33322771")</f>
        <v>0</v>
      </c>
      <c r="G7102" t="s">
        <v>2958</v>
      </c>
      <c r="H7102" t="s">
        <v>6192</v>
      </c>
      <c r="I7102" t="s">
        <v>10544</v>
      </c>
      <c r="J7102" t="s">
        <v>13590</v>
      </c>
      <c r="K7102" t="s">
        <v>17976</v>
      </c>
      <c r="L7102">
        <f>HYPERLINK("https://www2.assemblee-nationale.fr/sycomore/fiche/(num_dept)/3896", "3896")</f>
        <v>0</v>
      </c>
      <c r="N7102">
        <f>HYPERLINK("https://www.wikidata.org/wiki/Q352287", "Q352287")</f>
        <v>0</v>
      </c>
      <c r="O7102" t="s">
        <v>19969</v>
      </c>
      <c r="P7102" t="s">
        <v>20485</v>
      </c>
      <c r="Q7102" t="s">
        <v>20841</v>
      </c>
      <c r="R7102" t="s">
        <v>419</v>
      </c>
      <c r="S7102">
        <v>1469</v>
      </c>
    </row>
    <row r="7103" spans="1:19">
      <c r="A7103" t="s">
        <v>29</v>
      </c>
      <c r="B7103" t="s">
        <v>148</v>
      </c>
      <c r="C7103" t="s">
        <v>161</v>
      </c>
      <c r="D7103" t="s">
        <v>290</v>
      </c>
      <c r="E7103" t="s">
        <v>419</v>
      </c>
      <c r="F7103">
        <f>HYPERLINK("https://www.wikidata.org/wiki/Q33322771", "Q33322771")</f>
        <v>0</v>
      </c>
      <c r="G7103" t="s">
        <v>3788</v>
      </c>
      <c r="H7103" t="s">
        <v>6192</v>
      </c>
      <c r="I7103" t="s">
        <v>6166</v>
      </c>
      <c r="J7103" t="s">
        <v>14358</v>
      </c>
      <c r="K7103" t="s">
        <v>18709</v>
      </c>
      <c r="L7103">
        <f>HYPERLINK("https://www2.assemblee-nationale.fr/sycomore/fiche/(num_dept)/3898", "3898")</f>
        <v>0</v>
      </c>
      <c r="N7103">
        <f>HYPERLINK("https://www.wikidata.org/wiki/Q8338102", "Q8338102")</f>
        <v>0</v>
      </c>
      <c r="O7103" t="s">
        <v>20015</v>
      </c>
      <c r="P7103" t="s">
        <v>20479</v>
      </c>
      <c r="Q7103" t="s">
        <v>20841</v>
      </c>
      <c r="R7103" t="s">
        <v>419</v>
      </c>
      <c r="S7103">
        <v>1469</v>
      </c>
    </row>
    <row r="7104" spans="1:19">
      <c r="A7104" t="s">
        <v>29</v>
      </c>
      <c r="B7104" t="s">
        <v>148</v>
      </c>
      <c r="C7104" t="s">
        <v>161</v>
      </c>
      <c r="D7104" t="s">
        <v>290</v>
      </c>
      <c r="E7104" t="s">
        <v>419</v>
      </c>
      <c r="F7104">
        <f>HYPERLINK("https://www.wikidata.org/wiki/Q33322771", "Q33322771")</f>
        <v>0</v>
      </c>
      <c r="G7104" t="s">
        <v>3709</v>
      </c>
      <c r="H7104" t="s">
        <v>7575</v>
      </c>
      <c r="I7104" t="s">
        <v>10944</v>
      </c>
      <c r="J7104" t="s">
        <v>14284</v>
      </c>
      <c r="K7104" t="s">
        <v>18642</v>
      </c>
      <c r="L7104">
        <f>HYPERLINK("https://www2.assemblee-nationale.fr/sycomore/fiche/(num_dept)/3907", "3907")</f>
        <v>0</v>
      </c>
      <c r="N7104">
        <f>HYPERLINK("https://www.wikidata.org/wiki/Q2839835", "Q2839835")</f>
        <v>0</v>
      </c>
      <c r="O7104" t="s">
        <v>19969</v>
      </c>
      <c r="P7104" t="s">
        <v>20477</v>
      </c>
      <c r="Q7104" t="s">
        <v>20841</v>
      </c>
      <c r="R7104" t="s">
        <v>419</v>
      </c>
      <c r="S7104">
        <v>1469</v>
      </c>
    </row>
    <row r="7105" spans="1:19">
      <c r="A7105" t="s">
        <v>29</v>
      </c>
      <c r="B7105" t="s">
        <v>148</v>
      </c>
      <c r="C7105" t="s">
        <v>161</v>
      </c>
      <c r="D7105" t="s">
        <v>290</v>
      </c>
      <c r="E7105" t="s">
        <v>419</v>
      </c>
      <c r="F7105">
        <f>HYPERLINK("https://www.wikidata.org/wiki/Q33322771", "Q33322771")</f>
        <v>0</v>
      </c>
      <c r="G7105" t="s">
        <v>3988</v>
      </c>
      <c r="H7105" t="s">
        <v>8229</v>
      </c>
      <c r="I7105" t="s">
        <v>9552</v>
      </c>
      <c r="J7105" t="s">
        <v>14537</v>
      </c>
      <c r="K7105" t="s">
        <v>18879</v>
      </c>
      <c r="L7105">
        <f>HYPERLINK("https://www2.assemblee-nationale.fr/sycomore/fiche/(num_dept)/3942", "3942")</f>
        <v>0</v>
      </c>
      <c r="N7105">
        <f>HYPERLINK("https://www.wikidata.org/wiki/Q2871237", "Q2871237")</f>
        <v>0</v>
      </c>
      <c r="O7105" t="s">
        <v>20011</v>
      </c>
      <c r="P7105" t="s">
        <v>20508</v>
      </c>
      <c r="Q7105" t="s">
        <v>20841</v>
      </c>
      <c r="R7105" t="s">
        <v>419</v>
      </c>
      <c r="S7105">
        <v>1469</v>
      </c>
    </row>
    <row r="7106" spans="1:19">
      <c r="A7106" t="s">
        <v>29</v>
      </c>
      <c r="B7106" t="s">
        <v>148</v>
      </c>
      <c r="C7106" t="s">
        <v>161</v>
      </c>
      <c r="D7106" t="s">
        <v>290</v>
      </c>
      <c r="E7106" t="s">
        <v>419</v>
      </c>
      <c r="F7106">
        <f>HYPERLINK("https://www.wikidata.org/wiki/Q33322771", "Q33322771")</f>
        <v>0</v>
      </c>
      <c r="G7106" t="s">
        <v>3989</v>
      </c>
      <c r="H7106" t="s">
        <v>8230</v>
      </c>
      <c r="I7106" t="s">
        <v>6200</v>
      </c>
      <c r="J7106" t="s">
        <v>14538</v>
      </c>
      <c r="K7106" t="s">
        <v>18880</v>
      </c>
      <c r="L7106">
        <f>HYPERLINK("https://www2.assemblee-nationale.fr/sycomore/fiche/(num_dept)/4080", "4080")</f>
        <v>0</v>
      </c>
      <c r="N7106">
        <f>HYPERLINK("https://www.wikidata.org/wiki/Q3172852", "Q3172852")</f>
        <v>0</v>
      </c>
      <c r="O7106" t="s">
        <v>19980</v>
      </c>
      <c r="P7106" t="s">
        <v>20479</v>
      </c>
      <c r="Q7106" t="s">
        <v>20841</v>
      </c>
      <c r="R7106" t="s">
        <v>419</v>
      </c>
      <c r="S7106">
        <v>1469</v>
      </c>
    </row>
    <row r="7107" spans="1:19">
      <c r="A7107" t="s">
        <v>29</v>
      </c>
      <c r="B7107" t="s">
        <v>148</v>
      </c>
      <c r="C7107" t="s">
        <v>161</v>
      </c>
      <c r="D7107" t="s">
        <v>290</v>
      </c>
      <c r="E7107" t="s">
        <v>419</v>
      </c>
      <c r="F7107">
        <f>HYPERLINK("https://www.wikidata.org/wiki/Q33322771", "Q33322771")</f>
        <v>0</v>
      </c>
      <c r="G7107" t="s">
        <v>3990</v>
      </c>
      <c r="H7107" t="s">
        <v>8231</v>
      </c>
      <c r="I7107" t="s">
        <v>7265</v>
      </c>
      <c r="J7107" t="s">
        <v>14539</v>
      </c>
      <c r="K7107" t="s">
        <v>18881</v>
      </c>
      <c r="L7107">
        <f>HYPERLINK("https://www2.assemblee-nationale.fr/sycomore/fiche/(num_dept)/4154", "4154")</f>
        <v>0</v>
      </c>
      <c r="N7107">
        <f>HYPERLINK("https://www.wikidata.org/wiki/Q16025893", "Q16025893")</f>
        <v>0</v>
      </c>
      <c r="O7107" t="s">
        <v>19965</v>
      </c>
      <c r="P7107" t="s">
        <v>20485</v>
      </c>
      <c r="Q7107" t="s">
        <v>20841</v>
      </c>
      <c r="R7107" t="s">
        <v>419</v>
      </c>
      <c r="S7107">
        <v>1469</v>
      </c>
    </row>
    <row r="7108" spans="1:19">
      <c r="A7108" t="s">
        <v>29</v>
      </c>
      <c r="B7108" t="s">
        <v>148</v>
      </c>
      <c r="C7108" t="s">
        <v>161</v>
      </c>
      <c r="D7108" t="s">
        <v>290</v>
      </c>
      <c r="E7108" t="s">
        <v>419</v>
      </c>
      <c r="F7108">
        <f>HYPERLINK("https://www.wikidata.org/wiki/Q33322771", "Q33322771")</f>
        <v>0</v>
      </c>
      <c r="G7108" t="s">
        <v>3468</v>
      </c>
      <c r="H7108" t="s">
        <v>7841</v>
      </c>
      <c r="I7108" t="s">
        <v>6584</v>
      </c>
      <c r="J7108" t="s">
        <v>14069</v>
      </c>
      <c r="K7108" t="s">
        <v>18437</v>
      </c>
      <c r="L7108">
        <f>HYPERLINK("https://www2.assemblee-nationale.fr/sycomore/fiche/(num_dept)/4222", "4222")</f>
        <v>0</v>
      </c>
      <c r="N7108">
        <f>HYPERLINK("https://www.wikidata.org/wiki/Q2831302", "Q2831302")</f>
        <v>0</v>
      </c>
      <c r="O7108" t="s">
        <v>19974</v>
      </c>
      <c r="P7108" t="s">
        <v>20479</v>
      </c>
      <c r="Q7108" t="s">
        <v>20841</v>
      </c>
      <c r="R7108" t="s">
        <v>419</v>
      </c>
      <c r="S7108">
        <v>1469</v>
      </c>
    </row>
    <row r="7109" spans="1:19">
      <c r="A7109" t="s">
        <v>29</v>
      </c>
      <c r="B7109" t="s">
        <v>148</v>
      </c>
      <c r="C7109" t="s">
        <v>161</v>
      </c>
      <c r="D7109" t="s">
        <v>290</v>
      </c>
      <c r="E7109" t="s">
        <v>419</v>
      </c>
      <c r="F7109">
        <f>HYPERLINK("https://www.wikidata.org/wiki/Q33322771", "Q33322771")</f>
        <v>0</v>
      </c>
      <c r="G7109" t="s">
        <v>980</v>
      </c>
      <c r="H7109" t="s">
        <v>5732</v>
      </c>
      <c r="I7109" t="s">
        <v>6495</v>
      </c>
      <c r="J7109" t="s">
        <v>11718</v>
      </c>
      <c r="K7109" t="s">
        <v>16122</v>
      </c>
      <c r="L7109">
        <f>HYPERLINK("https://www2.assemblee-nationale.fr/sycomore/fiche/(num_dept)/4248", "4248")</f>
        <v>0</v>
      </c>
      <c r="M7109">
        <f>HYPERLINK("https://www.senat.fr/senateur-3eme-republique/lafferre_antonin0251r3.html", "lafferre_antonin0251r3")</f>
        <v>0</v>
      </c>
      <c r="N7109">
        <f>HYPERLINK("https://www.wikidata.org/wiki/Q3262422", "Q3262422")</f>
        <v>0</v>
      </c>
      <c r="O7109" t="s">
        <v>7411</v>
      </c>
      <c r="Q7109" t="s">
        <v>20841</v>
      </c>
      <c r="R7109" t="s">
        <v>419</v>
      </c>
      <c r="S7109">
        <v>1469</v>
      </c>
    </row>
    <row r="7110" spans="1:19">
      <c r="A7110" t="s">
        <v>29</v>
      </c>
      <c r="B7110" t="s">
        <v>148</v>
      </c>
      <c r="C7110" t="s">
        <v>161</v>
      </c>
      <c r="D7110" t="s">
        <v>290</v>
      </c>
      <c r="E7110" t="s">
        <v>419</v>
      </c>
      <c r="F7110">
        <f>HYPERLINK("https://www.wikidata.org/wiki/Q33322771", "Q33322771")</f>
        <v>0</v>
      </c>
      <c r="G7110" t="s">
        <v>3991</v>
      </c>
      <c r="H7110" t="s">
        <v>8232</v>
      </c>
      <c r="I7110" t="s">
        <v>6495</v>
      </c>
      <c r="J7110" t="s">
        <v>14540</v>
      </c>
      <c r="K7110" t="s">
        <v>18882</v>
      </c>
      <c r="L7110">
        <f>HYPERLINK("https://www2.assemblee-nationale.fr/sycomore/fiche/(num_dept)/4263", "4263")</f>
        <v>0</v>
      </c>
      <c r="N7110">
        <f>HYPERLINK("https://www.wikidata.org/wiki/Q17353222", "Q17353222")</f>
        <v>0</v>
      </c>
      <c r="O7110" t="s">
        <v>20043</v>
      </c>
      <c r="Q7110" t="s">
        <v>20841</v>
      </c>
      <c r="R7110" t="s">
        <v>419</v>
      </c>
      <c r="S7110">
        <v>1469</v>
      </c>
    </row>
    <row r="7111" spans="1:19">
      <c r="A7111" t="s">
        <v>29</v>
      </c>
      <c r="B7111" t="s">
        <v>148</v>
      </c>
      <c r="C7111" t="s">
        <v>161</v>
      </c>
      <c r="D7111" t="s">
        <v>290</v>
      </c>
      <c r="E7111" t="s">
        <v>419</v>
      </c>
      <c r="F7111">
        <f>HYPERLINK("https://www.wikidata.org/wiki/Q33322771", "Q33322771")</f>
        <v>0</v>
      </c>
      <c r="G7111" t="s">
        <v>3992</v>
      </c>
      <c r="H7111" t="s">
        <v>8233</v>
      </c>
      <c r="I7111" t="s">
        <v>11052</v>
      </c>
      <c r="J7111" t="s">
        <v>14541</v>
      </c>
      <c r="K7111" t="s">
        <v>18883</v>
      </c>
      <c r="L7111">
        <f>HYPERLINK("https://www2.assemblee-nationale.fr/sycomore/fiche/(num_dept)/4291", "4291")</f>
        <v>0</v>
      </c>
      <c r="N7111">
        <f>HYPERLINK("https://www.wikidata.org/wiki/Q13089896", "Q13089896")</f>
        <v>0</v>
      </c>
      <c r="O7111" t="s">
        <v>19969</v>
      </c>
      <c r="P7111" t="s">
        <v>20477</v>
      </c>
      <c r="Q7111" t="s">
        <v>20841</v>
      </c>
      <c r="R7111" t="s">
        <v>419</v>
      </c>
      <c r="S7111">
        <v>1469</v>
      </c>
    </row>
    <row r="7112" spans="1:19">
      <c r="A7112" t="s">
        <v>29</v>
      </c>
      <c r="B7112" t="s">
        <v>148</v>
      </c>
      <c r="C7112" t="s">
        <v>161</v>
      </c>
      <c r="D7112" t="s">
        <v>290</v>
      </c>
      <c r="E7112" t="s">
        <v>419</v>
      </c>
      <c r="F7112">
        <f>HYPERLINK("https://www.wikidata.org/wiki/Q33322771", "Q33322771")</f>
        <v>0</v>
      </c>
      <c r="G7112" t="s">
        <v>984</v>
      </c>
      <c r="H7112" t="s">
        <v>5736</v>
      </c>
      <c r="I7112" t="s">
        <v>9606</v>
      </c>
      <c r="J7112" t="s">
        <v>11722</v>
      </c>
      <c r="K7112" t="s">
        <v>16126</v>
      </c>
      <c r="L7112">
        <f>HYPERLINK("https://www2.assemblee-nationale.fr/sycomore/fiche/(num_dept)/4328", "4328")</f>
        <v>0</v>
      </c>
      <c r="N7112">
        <f>HYPERLINK("https://www.wikidata.org/wiki/Q645606", "Q645606")</f>
        <v>0</v>
      </c>
      <c r="O7112" t="s">
        <v>19965</v>
      </c>
      <c r="P7112" t="s">
        <v>20401</v>
      </c>
      <c r="Q7112" t="s">
        <v>20841</v>
      </c>
      <c r="R7112" t="s">
        <v>419</v>
      </c>
      <c r="S7112">
        <v>1469</v>
      </c>
    </row>
    <row r="7113" spans="1:19">
      <c r="A7113" t="s">
        <v>29</v>
      </c>
      <c r="B7113" t="s">
        <v>148</v>
      </c>
      <c r="C7113" t="s">
        <v>161</v>
      </c>
      <c r="D7113" t="s">
        <v>290</v>
      </c>
      <c r="E7113" t="s">
        <v>419</v>
      </c>
      <c r="F7113">
        <f>HYPERLINK("https://www.wikidata.org/wiki/Q33322771", "Q33322771")</f>
        <v>0</v>
      </c>
      <c r="G7113" t="s">
        <v>1185</v>
      </c>
      <c r="H7113" t="s">
        <v>5915</v>
      </c>
      <c r="I7113" t="s">
        <v>9407</v>
      </c>
      <c r="J7113" t="s">
        <v>11918</v>
      </c>
      <c r="K7113" t="s">
        <v>16319</v>
      </c>
      <c r="L7113">
        <f>HYPERLINK("https://www2.assemblee-nationale.fr/sycomore/fiche/(num_dept)/4377", "4377")</f>
        <v>0</v>
      </c>
      <c r="N7113">
        <f>HYPERLINK("https://www.wikidata.org/wiki/Q3185212", "Q3185212")</f>
        <v>0</v>
      </c>
      <c r="O7113" t="s">
        <v>20003</v>
      </c>
      <c r="Q7113" t="s">
        <v>20841</v>
      </c>
      <c r="R7113" t="s">
        <v>419</v>
      </c>
      <c r="S7113">
        <v>1469</v>
      </c>
    </row>
    <row r="7114" spans="1:19">
      <c r="A7114" t="s">
        <v>29</v>
      </c>
      <c r="B7114" t="s">
        <v>148</v>
      </c>
      <c r="C7114" t="s">
        <v>161</v>
      </c>
      <c r="D7114" t="s">
        <v>290</v>
      </c>
      <c r="E7114" t="s">
        <v>419</v>
      </c>
      <c r="F7114">
        <f>HYPERLINK("https://www.wikidata.org/wiki/Q33322771", "Q33322771")</f>
        <v>0</v>
      </c>
      <c r="G7114" t="s">
        <v>3794</v>
      </c>
      <c r="H7114" t="s">
        <v>8080</v>
      </c>
      <c r="I7114" t="s">
        <v>9442</v>
      </c>
      <c r="J7114" t="s">
        <v>14363</v>
      </c>
      <c r="K7114" t="s">
        <v>18713</v>
      </c>
      <c r="L7114">
        <f>HYPERLINK("https://www2.assemblee-nationale.fr/sycomore/fiche/(num_dept)/4836", "4836")</f>
        <v>0</v>
      </c>
      <c r="N7114">
        <f>HYPERLINK("https://www.wikidata.org/wiki/Q8311626", "Q8311626")</f>
        <v>0</v>
      </c>
      <c r="O7114" t="s">
        <v>20013</v>
      </c>
      <c r="Q7114" t="s">
        <v>20841</v>
      </c>
      <c r="R7114" t="s">
        <v>18713</v>
      </c>
      <c r="S7114">
        <v>1396</v>
      </c>
    </row>
    <row r="7115" spans="1:19">
      <c r="A7115" t="s">
        <v>29</v>
      </c>
      <c r="B7115" t="s">
        <v>148</v>
      </c>
      <c r="C7115" t="s">
        <v>161</v>
      </c>
      <c r="D7115" t="s">
        <v>290</v>
      </c>
      <c r="E7115" t="s">
        <v>419</v>
      </c>
      <c r="F7115">
        <f>HYPERLINK("https://www.wikidata.org/wiki/Q33322771", "Q33322771")</f>
        <v>0</v>
      </c>
      <c r="G7115" t="s">
        <v>3993</v>
      </c>
      <c r="H7115" t="s">
        <v>6217</v>
      </c>
      <c r="I7115" t="s">
        <v>10563</v>
      </c>
      <c r="J7115" t="s">
        <v>11337</v>
      </c>
      <c r="K7115" t="s">
        <v>18884</v>
      </c>
      <c r="L7115">
        <f>HYPERLINK("https://www2.assemblee-nationale.fr/sycomore/fiche/(num_dept)/4887", "4887")</f>
        <v>0</v>
      </c>
      <c r="N7115">
        <f>HYPERLINK("https://www.wikidata.org/wiki/Q15971992", "Q15971992")</f>
        <v>0</v>
      </c>
      <c r="O7115" t="s">
        <v>20010</v>
      </c>
      <c r="P7115" t="s">
        <v>20504</v>
      </c>
      <c r="Q7115" t="s">
        <v>20841</v>
      </c>
      <c r="R7115" t="s">
        <v>419</v>
      </c>
      <c r="S7115">
        <v>1469</v>
      </c>
    </row>
    <row r="7116" spans="1:19">
      <c r="A7116" t="s">
        <v>29</v>
      </c>
      <c r="B7116" t="s">
        <v>148</v>
      </c>
      <c r="C7116" t="s">
        <v>161</v>
      </c>
      <c r="D7116" t="s">
        <v>290</v>
      </c>
      <c r="E7116" t="s">
        <v>419</v>
      </c>
      <c r="F7116">
        <f>HYPERLINK("https://www.wikidata.org/wiki/Q33322771", "Q33322771")</f>
        <v>0</v>
      </c>
      <c r="G7116" t="s">
        <v>990</v>
      </c>
      <c r="H7116" t="s">
        <v>5742</v>
      </c>
      <c r="I7116" t="s">
        <v>9389</v>
      </c>
      <c r="J7116" t="s">
        <v>11728</v>
      </c>
      <c r="K7116" t="s">
        <v>16132</v>
      </c>
      <c r="L7116">
        <f>HYPERLINK("https://www2.assemblee-nationale.fr/sycomore/fiche/(num_dept)/4888", "4888")</f>
        <v>0</v>
      </c>
      <c r="N7116">
        <f>HYPERLINK("https://www.wikidata.org/wiki/Q8327328", "Q8327328")</f>
        <v>0</v>
      </c>
      <c r="O7116" t="s">
        <v>20015</v>
      </c>
      <c r="Q7116" t="s">
        <v>20841</v>
      </c>
      <c r="R7116" t="s">
        <v>419</v>
      </c>
      <c r="S7116">
        <v>1469</v>
      </c>
    </row>
    <row r="7117" spans="1:19">
      <c r="A7117" t="s">
        <v>29</v>
      </c>
      <c r="B7117" t="s">
        <v>148</v>
      </c>
      <c r="C7117" t="s">
        <v>161</v>
      </c>
      <c r="D7117" t="s">
        <v>290</v>
      </c>
      <c r="E7117" t="s">
        <v>419</v>
      </c>
      <c r="F7117">
        <f>HYPERLINK("https://www.wikidata.org/wiki/Q33322771", "Q33322771")</f>
        <v>0</v>
      </c>
      <c r="G7117" t="s">
        <v>726</v>
      </c>
      <c r="H7117" t="s">
        <v>5484</v>
      </c>
      <c r="I7117" t="s">
        <v>9498</v>
      </c>
      <c r="J7117" t="s">
        <v>11475</v>
      </c>
      <c r="K7117" t="s">
        <v>15877</v>
      </c>
      <c r="L7117">
        <f>HYPERLINK("https://www2.assemblee-nationale.fr/sycomore/fiche/(num_dept)/5068", "5068")</f>
        <v>0</v>
      </c>
      <c r="M7117">
        <f>HYPERLINK("https://www.senat.fr/senateur-3eme-republique/massabuau_joseph0289r3.html", "massabuau_joseph0289r3")</f>
        <v>0</v>
      </c>
      <c r="N7117">
        <f>HYPERLINK("https://www.wikidata.org/wiki/Q3185335", "Q3185335")</f>
        <v>0</v>
      </c>
      <c r="O7117" t="s">
        <v>19967</v>
      </c>
      <c r="P7117" t="s">
        <v>20410</v>
      </c>
      <c r="Q7117" t="s">
        <v>20841</v>
      </c>
      <c r="R7117" t="s">
        <v>419</v>
      </c>
      <c r="S7117">
        <v>1469</v>
      </c>
    </row>
    <row r="7118" spans="1:19">
      <c r="A7118" t="s">
        <v>29</v>
      </c>
      <c r="B7118" t="s">
        <v>148</v>
      </c>
      <c r="C7118" t="s">
        <v>161</v>
      </c>
      <c r="D7118" t="s">
        <v>290</v>
      </c>
      <c r="E7118" t="s">
        <v>419</v>
      </c>
      <c r="F7118">
        <f>HYPERLINK("https://www.wikidata.org/wiki/Q33322771", "Q33322771")</f>
        <v>0</v>
      </c>
      <c r="G7118" t="s">
        <v>998</v>
      </c>
      <c r="H7118" t="s">
        <v>5750</v>
      </c>
      <c r="I7118" t="s">
        <v>9458</v>
      </c>
      <c r="J7118" t="s">
        <v>11736</v>
      </c>
      <c r="K7118" t="s">
        <v>16139</v>
      </c>
      <c r="L7118">
        <f>HYPERLINK("https://www2.assemblee-nationale.fr/sycomore/fiche/(num_dept)/5071", "5071")</f>
        <v>0</v>
      </c>
      <c r="M7118">
        <f>HYPERLINK("https://www.senat.fr/senateur-3eme-republique/masse_alfred1255r3.html", "masse_alfred1255r3")</f>
        <v>0</v>
      </c>
      <c r="N7118">
        <f>HYPERLINK("https://www.wikidata.org/wiki/Q2835313", "Q2835313")</f>
        <v>0</v>
      </c>
      <c r="O7118" t="s">
        <v>20032</v>
      </c>
      <c r="Q7118" t="s">
        <v>20841</v>
      </c>
      <c r="R7118" t="s">
        <v>419</v>
      </c>
      <c r="S7118">
        <v>1469</v>
      </c>
    </row>
    <row r="7119" spans="1:19">
      <c r="A7119" t="s">
        <v>29</v>
      </c>
      <c r="B7119" t="s">
        <v>148</v>
      </c>
      <c r="C7119" t="s">
        <v>161</v>
      </c>
      <c r="D7119" t="s">
        <v>290</v>
      </c>
      <c r="E7119" t="s">
        <v>419</v>
      </c>
      <c r="F7119">
        <f>HYPERLINK("https://www.wikidata.org/wiki/Q33322771", "Q33322771")</f>
        <v>0</v>
      </c>
      <c r="G7119" t="s">
        <v>3994</v>
      </c>
      <c r="H7119" t="s">
        <v>8234</v>
      </c>
      <c r="I7119" t="s">
        <v>6584</v>
      </c>
      <c r="J7119" t="s">
        <v>14542</v>
      </c>
      <c r="K7119" t="s">
        <v>15907</v>
      </c>
      <c r="L7119">
        <f>HYPERLINK("https://www2.assemblee-nationale.fr/sycomore/fiche/(num_dept)/5091", "5091")</f>
        <v>0</v>
      </c>
      <c r="N7119">
        <f>HYPERLINK("https://www.wikidata.org/wiki/Q8342622", "Q8342622")</f>
        <v>0</v>
      </c>
      <c r="O7119" t="s">
        <v>20013</v>
      </c>
      <c r="Q7119" t="s">
        <v>20841</v>
      </c>
      <c r="R7119" t="s">
        <v>21589</v>
      </c>
      <c r="S7119">
        <v>169</v>
      </c>
    </row>
    <row r="7120" spans="1:19">
      <c r="A7120" t="s">
        <v>29</v>
      </c>
      <c r="B7120" t="s">
        <v>148</v>
      </c>
      <c r="C7120" t="s">
        <v>161</v>
      </c>
      <c r="D7120" t="s">
        <v>290</v>
      </c>
      <c r="E7120" t="s">
        <v>419</v>
      </c>
      <c r="F7120">
        <f>HYPERLINK("https://www.wikidata.org/wiki/Q33322771", "Q33322771")</f>
        <v>0</v>
      </c>
      <c r="G7120" t="s">
        <v>3995</v>
      </c>
      <c r="H7120" t="s">
        <v>8235</v>
      </c>
      <c r="I7120" t="s">
        <v>11053</v>
      </c>
      <c r="J7120" t="s">
        <v>14543</v>
      </c>
      <c r="K7120" t="s">
        <v>18885</v>
      </c>
      <c r="L7120">
        <f>HYPERLINK("https://www2.assemblee-nationale.fr/sycomore/fiche/(num_dept)/5132", "5132")</f>
        <v>0</v>
      </c>
      <c r="N7120">
        <f>HYPERLINK("https://www.wikidata.org/wiki/Q16026072", "Q16026072")</f>
        <v>0</v>
      </c>
      <c r="O7120" t="s">
        <v>20021</v>
      </c>
      <c r="P7120" t="s">
        <v>20509</v>
      </c>
      <c r="Q7120" t="s">
        <v>20841</v>
      </c>
      <c r="R7120" t="s">
        <v>419</v>
      </c>
      <c r="S7120">
        <v>1469</v>
      </c>
    </row>
    <row r="7121" spans="1:19">
      <c r="A7121" t="s">
        <v>29</v>
      </c>
      <c r="B7121" t="s">
        <v>148</v>
      </c>
      <c r="C7121" t="s">
        <v>161</v>
      </c>
      <c r="D7121" t="s">
        <v>290</v>
      </c>
      <c r="E7121" t="s">
        <v>419</v>
      </c>
      <c r="F7121">
        <f>HYPERLINK("https://www.wikidata.org/wiki/Q33322771", "Q33322771")</f>
        <v>0</v>
      </c>
      <c r="G7121" t="s">
        <v>3996</v>
      </c>
      <c r="H7121" t="s">
        <v>8236</v>
      </c>
      <c r="I7121" t="s">
        <v>11054</v>
      </c>
      <c r="J7121" t="s">
        <v>14544</v>
      </c>
      <c r="K7121" t="s">
        <v>18886</v>
      </c>
      <c r="L7121">
        <f>HYPERLINK("https://www2.assemblee-nationale.fr/sycomore/fiche/(num_dept)/5171", "5171")</f>
        <v>0</v>
      </c>
      <c r="N7121">
        <f>HYPERLINK("https://www.wikidata.org/wiki/Q3270527", "Q3270527")</f>
        <v>0</v>
      </c>
      <c r="O7121" t="s">
        <v>20043</v>
      </c>
      <c r="P7121" t="s">
        <v>20477</v>
      </c>
      <c r="Q7121" t="s">
        <v>20841</v>
      </c>
      <c r="R7121" t="s">
        <v>419</v>
      </c>
      <c r="S7121">
        <v>1469</v>
      </c>
    </row>
    <row r="7122" spans="1:19">
      <c r="A7122" t="s">
        <v>29</v>
      </c>
      <c r="B7122" t="s">
        <v>148</v>
      </c>
      <c r="C7122" t="s">
        <v>161</v>
      </c>
      <c r="D7122" t="s">
        <v>290</v>
      </c>
      <c r="E7122" t="s">
        <v>419</v>
      </c>
      <c r="F7122">
        <f>HYPERLINK("https://www.wikidata.org/wiki/Q33322771", "Q33322771")</f>
        <v>0</v>
      </c>
      <c r="G7122" t="s">
        <v>3997</v>
      </c>
      <c r="H7122" t="s">
        <v>6603</v>
      </c>
      <c r="I7122" t="s">
        <v>11055</v>
      </c>
      <c r="J7122" t="s">
        <v>11345</v>
      </c>
      <c r="K7122" t="s">
        <v>18887</v>
      </c>
      <c r="L7122">
        <f>HYPERLINK("https://www2.assemblee-nationale.fr/sycomore/fiche/(num_dept)/5179", "5179")</f>
        <v>0</v>
      </c>
      <c r="M7122">
        <f>HYPERLINK("https://www.senat.fr/senateur-3eme-republique/menier_gaston1610r3.html", "menier_gaston1610r3")</f>
        <v>0</v>
      </c>
      <c r="N7122">
        <f>HYPERLINK("https://www.wikidata.org/wiki/Q3099085", "Q3099085")</f>
        <v>0</v>
      </c>
      <c r="O7122" t="s">
        <v>20026</v>
      </c>
      <c r="P7122" t="s">
        <v>20401</v>
      </c>
      <c r="Q7122" t="s">
        <v>20841</v>
      </c>
      <c r="R7122" t="s">
        <v>419</v>
      </c>
      <c r="S7122">
        <v>1469</v>
      </c>
    </row>
    <row r="7123" spans="1:19">
      <c r="A7123" t="s">
        <v>29</v>
      </c>
      <c r="B7123" t="s">
        <v>148</v>
      </c>
      <c r="C7123" t="s">
        <v>161</v>
      </c>
      <c r="D7123" t="s">
        <v>290</v>
      </c>
      <c r="E7123" t="s">
        <v>419</v>
      </c>
      <c r="F7123">
        <f>HYPERLINK("https://www.wikidata.org/wiki/Q33322771", "Q33322771")</f>
        <v>0</v>
      </c>
      <c r="G7123" t="s">
        <v>1847</v>
      </c>
      <c r="H7123" t="s">
        <v>6506</v>
      </c>
      <c r="I7123" t="s">
        <v>9969</v>
      </c>
      <c r="J7123" t="s">
        <v>12538</v>
      </c>
      <c r="K7123" t="s">
        <v>16950</v>
      </c>
      <c r="L7123">
        <f>HYPERLINK("https://www2.assemblee-nationale.fr/sycomore/fiche/(num_dept)/5260", "5260")</f>
        <v>0</v>
      </c>
      <c r="M7123">
        <f>HYPERLINK("https://www.senat.fr/senateur-3eme-republique/michel_henri0069r3.html", "michel_henri0069r3")</f>
        <v>0</v>
      </c>
      <c r="N7123">
        <f>HYPERLINK("https://www.wikidata.org/wiki/Q3131640", "Q3131640")</f>
        <v>0</v>
      </c>
      <c r="O7123" t="s">
        <v>19990</v>
      </c>
      <c r="Q7123" t="s">
        <v>20841</v>
      </c>
      <c r="R7123" t="s">
        <v>419</v>
      </c>
      <c r="S7123">
        <v>1469</v>
      </c>
    </row>
    <row r="7124" spans="1:19">
      <c r="A7124" t="s">
        <v>29</v>
      </c>
      <c r="B7124" t="s">
        <v>148</v>
      </c>
      <c r="C7124" t="s">
        <v>161</v>
      </c>
      <c r="D7124" t="s">
        <v>290</v>
      </c>
      <c r="E7124" t="s">
        <v>419</v>
      </c>
      <c r="F7124">
        <f>HYPERLINK("https://www.wikidata.org/wiki/Q33322771", "Q33322771")</f>
        <v>0</v>
      </c>
      <c r="G7124" t="s">
        <v>732</v>
      </c>
      <c r="H7124" t="s">
        <v>5490</v>
      </c>
      <c r="I7124" t="s">
        <v>9455</v>
      </c>
      <c r="J7124" t="s">
        <v>11481</v>
      </c>
      <c r="K7124" t="s">
        <v>15883</v>
      </c>
      <c r="L7124">
        <f>HYPERLINK("https://www2.assemblee-nationale.fr/sycomore/fiche/(num_dept)/5286", "5286")</f>
        <v>0</v>
      </c>
      <c r="N7124">
        <f>HYPERLINK("https://www.wikidata.org/wiki/Q3265642", "Q3265642")</f>
        <v>0</v>
      </c>
      <c r="O7124" t="s">
        <v>19969</v>
      </c>
      <c r="P7124" t="s">
        <v>20495</v>
      </c>
      <c r="Q7124" t="s">
        <v>20841</v>
      </c>
      <c r="R7124" t="s">
        <v>419</v>
      </c>
      <c r="S7124">
        <v>1469</v>
      </c>
    </row>
    <row r="7125" spans="1:19">
      <c r="A7125" t="s">
        <v>29</v>
      </c>
      <c r="B7125" t="s">
        <v>148</v>
      </c>
      <c r="C7125" t="s">
        <v>161</v>
      </c>
      <c r="D7125" t="s">
        <v>290</v>
      </c>
      <c r="E7125" t="s">
        <v>419</v>
      </c>
      <c r="F7125">
        <f>HYPERLINK("https://www.wikidata.org/wiki/Q33322771", "Q33322771")</f>
        <v>0</v>
      </c>
      <c r="G7125" t="s">
        <v>3998</v>
      </c>
      <c r="H7125" t="s">
        <v>8237</v>
      </c>
      <c r="I7125" t="s">
        <v>11056</v>
      </c>
      <c r="J7125" t="s">
        <v>14545</v>
      </c>
      <c r="K7125" t="s">
        <v>18888</v>
      </c>
      <c r="L7125">
        <f>HYPERLINK("https://www2.assemblee-nationale.fr/sycomore/fiche/(num_dept)/5338", "5338")</f>
        <v>0</v>
      </c>
      <c r="M7125">
        <f>HYPERLINK("https://www.senat.fr/senateur-3eme-republique/monfeuillart_ernest0635r3.html", "monfeuillart_ernest0635r3")</f>
        <v>0</v>
      </c>
      <c r="N7125">
        <f>HYPERLINK("https://www.wikidata.org/wiki/Q3057090", "Q3057090")</f>
        <v>0</v>
      </c>
      <c r="O7125" t="s">
        <v>20025</v>
      </c>
      <c r="P7125" t="s">
        <v>20402</v>
      </c>
      <c r="Q7125" t="s">
        <v>20841</v>
      </c>
      <c r="R7125" t="s">
        <v>419</v>
      </c>
      <c r="S7125">
        <v>1469</v>
      </c>
    </row>
    <row r="7126" spans="1:19">
      <c r="A7126" t="s">
        <v>29</v>
      </c>
      <c r="B7126" t="s">
        <v>148</v>
      </c>
      <c r="C7126" t="s">
        <v>161</v>
      </c>
      <c r="D7126" t="s">
        <v>290</v>
      </c>
      <c r="E7126" t="s">
        <v>419</v>
      </c>
      <c r="F7126">
        <f>HYPERLINK("https://www.wikidata.org/wiki/Q33322771", "Q33322771")</f>
        <v>0</v>
      </c>
      <c r="G7126" t="s">
        <v>3999</v>
      </c>
      <c r="H7126" t="s">
        <v>8238</v>
      </c>
      <c r="I7126" t="s">
        <v>6495</v>
      </c>
      <c r="J7126" t="s">
        <v>14546</v>
      </c>
      <c r="K7126" t="s">
        <v>18889</v>
      </c>
      <c r="L7126">
        <f>HYPERLINK("https://www2.assemblee-nationale.fr/sycomore/fiche/(num_dept)/5402", "5402")</f>
        <v>0</v>
      </c>
      <c r="N7126">
        <f>HYPERLINK("https://www.wikidata.org/wiki/Q16026136", "Q16026136")</f>
        <v>0</v>
      </c>
      <c r="O7126" t="s">
        <v>20013</v>
      </c>
      <c r="Q7126" t="s">
        <v>20841</v>
      </c>
      <c r="R7126" t="s">
        <v>419</v>
      </c>
      <c r="S7126">
        <v>1469</v>
      </c>
    </row>
    <row r="7127" spans="1:19">
      <c r="A7127" t="s">
        <v>29</v>
      </c>
      <c r="B7127" t="s">
        <v>148</v>
      </c>
      <c r="C7127" t="s">
        <v>161</v>
      </c>
      <c r="D7127" t="s">
        <v>290</v>
      </c>
      <c r="E7127" t="s">
        <v>419</v>
      </c>
      <c r="F7127">
        <f>HYPERLINK("https://www.wikidata.org/wiki/Q33322771", "Q33322771")</f>
        <v>0</v>
      </c>
      <c r="G7127" t="s">
        <v>3482</v>
      </c>
      <c r="H7127" t="s">
        <v>7855</v>
      </c>
      <c r="I7127" t="s">
        <v>5528</v>
      </c>
      <c r="J7127" t="s">
        <v>14082</v>
      </c>
      <c r="K7127" t="s">
        <v>18448</v>
      </c>
      <c r="L7127">
        <f>HYPERLINK("https://www2.assemblee-nationale.fr/sycomore/fiche/(num_dept)/5420", "5420")</f>
        <v>0</v>
      </c>
      <c r="N7127">
        <f>HYPERLINK("https://www.wikidata.org/wiki/Q16026155", "Q16026155")</f>
        <v>0</v>
      </c>
      <c r="O7127" t="s">
        <v>20025</v>
      </c>
      <c r="P7127" t="s">
        <v>20479</v>
      </c>
      <c r="Q7127" t="s">
        <v>20841</v>
      </c>
      <c r="R7127" t="s">
        <v>419</v>
      </c>
      <c r="S7127">
        <v>1469</v>
      </c>
    </row>
    <row r="7128" spans="1:19">
      <c r="A7128" t="s">
        <v>29</v>
      </c>
      <c r="B7128" t="s">
        <v>148</v>
      </c>
      <c r="C7128" t="s">
        <v>161</v>
      </c>
      <c r="D7128" t="s">
        <v>290</v>
      </c>
      <c r="E7128" t="s">
        <v>419</v>
      </c>
      <c r="F7128">
        <f>HYPERLINK("https://www.wikidata.org/wiki/Q33322771", "Q33322771")</f>
        <v>0</v>
      </c>
      <c r="G7128" t="s">
        <v>4000</v>
      </c>
      <c r="H7128" t="s">
        <v>8239</v>
      </c>
      <c r="I7128" t="s">
        <v>10389</v>
      </c>
      <c r="J7128" t="s">
        <v>14547</v>
      </c>
      <c r="K7128" t="s">
        <v>18890</v>
      </c>
      <c r="L7128">
        <f>HYPERLINK("https://www2.assemblee-nationale.fr/sycomore/fiche/(num_dept)/5493", "5493")</f>
        <v>0</v>
      </c>
      <c r="N7128">
        <f>HYPERLINK("https://www.wikidata.org/wiki/Q2834593", "Q2834593")</f>
        <v>0</v>
      </c>
      <c r="O7128" t="s">
        <v>19969</v>
      </c>
      <c r="Q7128" t="s">
        <v>20841</v>
      </c>
      <c r="R7128" t="s">
        <v>419</v>
      </c>
      <c r="S7128">
        <v>1469</v>
      </c>
    </row>
    <row r="7129" spans="1:19">
      <c r="A7129" t="s">
        <v>29</v>
      </c>
      <c r="B7129" t="s">
        <v>148</v>
      </c>
      <c r="C7129" t="s">
        <v>161</v>
      </c>
      <c r="D7129" t="s">
        <v>290</v>
      </c>
      <c r="E7129" t="s">
        <v>419</v>
      </c>
      <c r="F7129">
        <f>HYPERLINK("https://www.wikidata.org/wiki/Q33322771", "Q33322771")</f>
        <v>0</v>
      </c>
      <c r="G7129" t="s">
        <v>4001</v>
      </c>
      <c r="H7129" t="s">
        <v>7185</v>
      </c>
      <c r="I7129" t="s">
        <v>11057</v>
      </c>
      <c r="J7129" t="s">
        <v>14548</v>
      </c>
      <c r="K7129" t="s">
        <v>18891</v>
      </c>
      <c r="L7129">
        <f>HYPERLINK("https://www2.assemblee-nationale.fr/sycomore/fiche/(num_dept)/5610", "5610")</f>
        <v>0</v>
      </c>
      <c r="M7129">
        <f>HYPERLINK("https://www.senat.fr/senateur-3eme-republique/ordinaire_maurice0679r3.html", "ordinaire_maurice0679r3")</f>
        <v>0</v>
      </c>
      <c r="N7129">
        <f>HYPERLINK("https://www.wikidata.org/wiki/Q3301228", "Q3301228")</f>
        <v>0</v>
      </c>
      <c r="O7129" t="s">
        <v>19973</v>
      </c>
      <c r="Q7129" t="s">
        <v>20841</v>
      </c>
      <c r="R7129" t="s">
        <v>419</v>
      </c>
      <c r="S7129">
        <v>1469</v>
      </c>
    </row>
    <row r="7130" spans="1:19">
      <c r="A7130" t="s">
        <v>29</v>
      </c>
      <c r="B7130" t="s">
        <v>148</v>
      </c>
      <c r="C7130" t="s">
        <v>161</v>
      </c>
      <c r="D7130" t="s">
        <v>290</v>
      </c>
      <c r="E7130" t="s">
        <v>419</v>
      </c>
      <c r="F7130">
        <f>HYPERLINK("https://www.wikidata.org/wiki/Q33322771", "Q33322771")</f>
        <v>0</v>
      </c>
      <c r="G7130" t="s">
        <v>3799</v>
      </c>
      <c r="H7130" t="s">
        <v>8084</v>
      </c>
      <c r="I7130" t="s">
        <v>10977</v>
      </c>
      <c r="J7130" t="s">
        <v>14368</v>
      </c>
      <c r="K7130" t="s">
        <v>18718</v>
      </c>
      <c r="L7130">
        <f>HYPERLINK("https://www2.assemblee-nationale.fr/sycomore/fiche/(num_dept)/5611", "5611")</f>
        <v>0</v>
      </c>
      <c r="N7130">
        <f>HYPERLINK("https://www.wikidata.org/wiki/Q16026235", "Q16026235")</f>
        <v>0</v>
      </c>
      <c r="O7130" t="s">
        <v>19997</v>
      </c>
      <c r="P7130" t="s">
        <v>20479</v>
      </c>
      <c r="Q7130" t="s">
        <v>20841</v>
      </c>
      <c r="R7130" t="s">
        <v>419</v>
      </c>
      <c r="S7130">
        <v>1469</v>
      </c>
    </row>
    <row r="7131" spans="1:19">
      <c r="A7131" t="s">
        <v>29</v>
      </c>
      <c r="B7131" t="s">
        <v>148</v>
      </c>
      <c r="C7131" t="s">
        <v>161</v>
      </c>
      <c r="D7131" t="s">
        <v>290</v>
      </c>
      <c r="E7131" t="s">
        <v>419</v>
      </c>
      <c r="F7131">
        <f>HYPERLINK("https://www.wikidata.org/wiki/Q33322771", "Q33322771")</f>
        <v>0</v>
      </c>
      <c r="G7131" t="s">
        <v>749</v>
      </c>
      <c r="H7131" t="s">
        <v>5507</v>
      </c>
      <c r="I7131" t="s">
        <v>7642</v>
      </c>
      <c r="J7131" t="s">
        <v>11497</v>
      </c>
      <c r="K7131" t="s">
        <v>15900</v>
      </c>
      <c r="L7131">
        <f>HYPERLINK("https://www2.assemblee-nationale.fr/sycomore/fiche/(num_dept)/5652", "5652")</f>
        <v>0</v>
      </c>
      <c r="N7131">
        <f>HYPERLINK("https://www.wikidata.org/wiki/Q16026250", "Q16026250")</f>
        <v>0</v>
      </c>
      <c r="O7131" t="s">
        <v>19982</v>
      </c>
      <c r="P7131" t="s">
        <v>20410</v>
      </c>
      <c r="Q7131" t="s">
        <v>20841</v>
      </c>
      <c r="R7131" t="s">
        <v>419</v>
      </c>
      <c r="S7131">
        <v>1469</v>
      </c>
    </row>
    <row r="7132" spans="1:19">
      <c r="A7132" t="s">
        <v>29</v>
      </c>
      <c r="B7132" t="s">
        <v>148</v>
      </c>
      <c r="C7132" t="s">
        <v>161</v>
      </c>
      <c r="D7132" t="s">
        <v>290</v>
      </c>
      <c r="E7132" t="s">
        <v>419</v>
      </c>
      <c r="F7132">
        <f>HYPERLINK("https://www.wikidata.org/wiki/Q33322771", "Q33322771")</f>
        <v>0</v>
      </c>
      <c r="G7132" t="s">
        <v>4002</v>
      </c>
      <c r="H7132" t="s">
        <v>8240</v>
      </c>
      <c r="I7132" t="s">
        <v>9667</v>
      </c>
      <c r="J7132" t="s">
        <v>14549</v>
      </c>
      <c r="K7132" t="s">
        <v>18892</v>
      </c>
      <c r="L7132">
        <f>HYPERLINK("https://www2.assemblee-nationale.fr/sycomore/fiche/(num_dept)/5695", "5695")</f>
        <v>0</v>
      </c>
      <c r="N7132">
        <f>HYPERLINK("https://www.wikidata.org/wiki/Q3271603", "Q3271603")</f>
        <v>0</v>
      </c>
      <c r="O7132" t="s">
        <v>20014</v>
      </c>
      <c r="P7132" t="s">
        <v>20479</v>
      </c>
      <c r="Q7132" t="s">
        <v>20841</v>
      </c>
      <c r="R7132" t="s">
        <v>419</v>
      </c>
      <c r="S7132">
        <v>1469</v>
      </c>
    </row>
    <row r="7133" spans="1:19">
      <c r="A7133" t="s">
        <v>29</v>
      </c>
      <c r="B7133" t="s">
        <v>148</v>
      </c>
      <c r="C7133" t="s">
        <v>161</v>
      </c>
      <c r="D7133" t="s">
        <v>290</v>
      </c>
      <c r="E7133" t="s">
        <v>419</v>
      </c>
      <c r="F7133">
        <f>HYPERLINK("https://www.wikidata.org/wiki/Q33322771", "Q33322771")</f>
        <v>0</v>
      </c>
      <c r="G7133" t="s">
        <v>4003</v>
      </c>
      <c r="H7133" t="s">
        <v>8241</v>
      </c>
      <c r="I7133" t="s">
        <v>11058</v>
      </c>
      <c r="J7133" t="s">
        <v>14550</v>
      </c>
      <c r="K7133" t="s">
        <v>16509</v>
      </c>
      <c r="L7133">
        <f>HYPERLINK("https://www2.assemblee-nationale.fr/sycomore/fiche/(num_dept)/5704", "5704")</f>
        <v>0</v>
      </c>
      <c r="N7133">
        <f>HYPERLINK("https://www.wikidata.org/wiki/Q82209", "Q82209")</f>
        <v>0</v>
      </c>
      <c r="O7133" t="s">
        <v>20014</v>
      </c>
      <c r="P7133" t="s">
        <v>20485</v>
      </c>
      <c r="Q7133" t="s">
        <v>20841</v>
      </c>
      <c r="R7133" t="s">
        <v>419</v>
      </c>
      <c r="S7133">
        <v>1469</v>
      </c>
    </row>
    <row r="7134" spans="1:19">
      <c r="A7134" t="s">
        <v>29</v>
      </c>
      <c r="B7134" t="s">
        <v>148</v>
      </c>
      <c r="C7134" t="s">
        <v>161</v>
      </c>
      <c r="D7134" t="s">
        <v>290</v>
      </c>
      <c r="E7134" t="s">
        <v>419</v>
      </c>
      <c r="F7134">
        <f>HYPERLINK("https://www.wikidata.org/wiki/Q33322771", "Q33322771")</f>
        <v>0</v>
      </c>
      <c r="G7134" t="s">
        <v>4004</v>
      </c>
      <c r="H7134" t="s">
        <v>8242</v>
      </c>
      <c r="I7134" t="s">
        <v>9388</v>
      </c>
      <c r="J7134" t="s">
        <v>11266</v>
      </c>
      <c r="K7134" t="s">
        <v>18893</v>
      </c>
      <c r="L7134">
        <f>HYPERLINK("https://www2.assemblee-nationale.fr/sycomore/fiche/(num_dept)/5725", "5725")</f>
        <v>0</v>
      </c>
      <c r="N7134">
        <f>HYPERLINK("https://www.wikidata.org/wiki/Q3371192", "Q3371192")</f>
        <v>0</v>
      </c>
      <c r="O7134" t="s">
        <v>20047</v>
      </c>
      <c r="P7134" t="s">
        <v>20401</v>
      </c>
      <c r="Q7134" t="s">
        <v>20841</v>
      </c>
      <c r="R7134" t="s">
        <v>419</v>
      </c>
      <c r="S7134">
        <v>1469</v>
      </c>
    </row>
    <row r="7135" spans="1:19">
      <c r="A7135" t="s">
        <v>29</v>
      </c>
      <c r="B7135" t="s">
        <v>148</v>
      </c>
      <c r="C7135" t="s">
        <v>161</v>
      </c>
      <c r="D7135" t="s">
        <v>290</v>
      </c>
      <c r="E7135" t="s">
        <v>419</v>
      </c>
      <c r="F7135">
        <f>HYPERLINK("https://www.wikidata.org/wiki/Q33322771", "Q33322771")</f>
        <v>0</v>
      </c>
      <c r="G7135" t="s">
        <v>3274</v>
      </c>
      <c r="H7135" t="s">
        <v>7689</v>
      </c>
      <c r="I7135" t="s">
        <v>9449</v>
      </c>
      <c r="J7135" t="s">
        <v>13888</v>
      </c>
      <c r="K7135" t="s">
        <v>15668</v>
      </c>
      <c r="L7135">
        <f>HYPERLINK("https://www2.assemblee-nationale.fr/sycomore/fiche/(num_dept)/5790", "5790")</f>
        <v>0</v>
      </c>
      <c r="N7135">
        <f>HYPERLINK("https://www.wikidata.org/wiki/Q8319435", "Q8319435")</f>
        <v>0</v>
      </c>
      <c r="O7135" t="s">
        <v>19976</v>
      </c>
      <c r="Q7135" t="s">
        <v>20841</v>
      </c>
      <c r="R7135" t="s">
        <v>419</v>
      </c>
      <c r="S7135">
        <v>1469</v>
      </c>
    </row>
    <row r="7136" spans="1:19">
      <c r="A7136" t="s">
        <v>29</v>
      </c>
      <c r="B7136" t="s">
        <v>148</v>
      </c>
      <c r="C7136" t="s">
        <v>161</v>
      </c>
      <c r="D7136" t="s">
        <v>290</v>
      </c>
      <c r="E7136" t="s">
        <v>419</v>
      </c>
      <c r="F7136">
        <f>HYPERLINK("https://www.wikidata.org/wiki/Q33322771", "Q33322771")</f>
        <v>0</v>
      </c>
      <c r="G7136" t="s">
        <v>4005</v>
      </c>
      <c r="H7136" t="s">
        <v>8243</v>
      </c>
      <c r="I7136" t="s">
        <v>9506</v>
      </c>
      <c r="J7136" t="s">
        <v>14551</v>
      </c>
      <c r="K7136" t="s">
        <v>18894</v>
      </c>
      <c r="L7136">
        <f>HYPERLINK("https://www2.assemblee-nationale.fr/sycomore/fiche/(num_dept)/5806", "5806")</f>
        <v>0</v>
      </c>
      <c r="N7136">
        <f>HYPERLINK("https://www.wikidata.org/wiki/Q1029240", "Q1029240")</f>
        <v>0</v>
      </c>
      <c r="O7136" t="s">
        <v>19990</v>
      </c>
      <c r="P7136" t="s">
        <v>20510</v>
      </c>
      <c r="Q7136" t="s">
        <v>20841</v>
      </c>
      <c r="R7136" t="s">
        <v>419</v>
      </c>
      <c r="S7136">
        <v>1469</v>
      </c>
    </row>
    <row r="7137" spans="1:19">
      <c r="A7137" t="s">
        <v>29</v>
      </c>
      <c r="B7137" t="s">
        <v>148</v>
      </c>
      <c r="C7137" t="s">
        <v>161</v>
      </c>
      <c r="D7137" t="s">
        <v>290</v>
      </c>
      <c r="E7137" t="s">
        <v>419</v>
      </c>
      <c r="F7137">
        <f>HYPERLINK("https://www.wikidata.org/wiki/Q33322771", "Q33322771")</f>
        <v>0</v>
      </c>
      <c r="G7137" t="s">
        <v>4006</v>
      </c>
      <c r="H7137" t="s">
        <v>8244</v>
      </c>
      <c r="I7137" t="s">
        <v>11059</v>
      </c>
      <c r="J7137" t="s">
        <v>12359</v>
      </c>
      <c r="K7137" t="s">
        <v>18895</v>
      </c>
      <c r="L7137">
        <f>HYPERLINK("https://www2.assemblee-nationale.fr/sycomore/fiche/(num_dept)/5835", "5835")</f>
        <v>0</v>
      </c>
      <c r="M7137">
        <f>HYPERLINK("https://www.senat.fr/senateur-3eme-republique/peschaud_gabriel0371r3.html", "peschaud_gabriel0371r3")</f>
        <v>0</v>
      </c>
      <c r="N7137">
        <f>HYPERLINK("https://www.wikidata.org/wiki/Q3093908", "Q3093908")</f>
        <v>0</v>
      </c>
      <c r="O7137" t="s">
        <v>19966</v>
      </c>
      <c r="Q7137" t="s">
        <v>20841</v>
      </c>
      <c r="R7137" t="s">
        <v>419</v>
      </c>
      <c r="S7137">
        <v>1469</v>
      </c>
    </row>
    <row r="7138" spans="1:19">
      <c r="A7138" t="s">
        <v>29</v>
      </c>
      <c r="B7138" t="s">
        <v>148</v>
      </c>
      <c r="C7138" t="s">
        <v>161</v>
      </c>
      <c r="D7138" t="s">
        <v>290</v>
      </c>
      <c r="E7138" t="s">
        <v>419</v>
      </c>
      <c r="F7138">
        <f>HYPERLINK("https://www.wikidata.org/wiki/Q33322771", "Q33322771")</f>
        <v>0</v>
      </c>
      <c r="G7138" t="s">
        <v>4007</v>
      </c>
      <c r="H7138" t="s">
        <v>6759</v>
      </c>
      <c r="I7138" t="s">
        <v>11060</v>
      </c>
      <c r="J7138" t="s">
        <v>11283</v>
      </c>
      <c r="K7138" t="s">
        <v>18896</v>
      </c>
      <c r="L7138">
        <f>HYPERLINK("https://www2.assemblee-nationale.fr/sycomore/fiche/(num_dept)/6013", "6013")</f>
        <v>0</v>
      </c>
      <c r="N7138">
        <f>HYPERLINK("https://www.wikidata.org/wiki/Q8339600", "Q8339600")</f>
        <v>0</v>
      </c>
      <c r="O7138" t="s">
        <v>20033</v>
      </c>
      <c r="P7138" t="s">
        <v>20401</v>
      </c>
      <c r="Q7138" t="s">
        <v>20841</v>
      </c>
      <c r="R7138" t="s">
        <v>18896</v>
      </c>
      <c r="S7138">
        <v>933</v>
      </c>
    </row>
    <row r="7139" spans="1:19">
      <c r="A7139" t="s">
        <v>29</v>
      </c>
      <c r="B7139" t="s">
        <v>148</v>
      </c>
      <c r="C7139" t="s">
        <v>161</v>
      </c>
      <c r="D7139" t="s">
        <v>290</v>
      </c>
      <c r="E7139" t="s">
        <v>419</v>
      </c>
      <c r="F7139">
        <f>HYPERLINK("https://www.wikidata.org/wiki/Q33322771", "Q33322771")</f>
        <v>0</v>
      </c>
      <c r="G7139" t="s">
        <v>766</v>
      </c>
      <c r="H7139" t="s">
        <v>5524</v>
      </c>
      <c r="I7139" t="s">
        <v>9421</v>
      </c>
      <c r="J7139" t="s">
        <v>11513</v>
      </c>
      <c r="K7139" t="s">
        <v>15917</v>
      </c>
      <c r="L7139">
        <f>HYPERLINK("https://www2.assemblee-nationale.fr/sycomore/fiche/(num_dept)/6027", "6027")</f>
        <v>0</v>
      </c>
      <c r="N7139">
        <f>HYPERLINK("https://www.wikidata.org/wiki/Q3121311", "Q3121311")</f>
        <v>0</v>
      </c>
      <c r="O7139" t="s">
        <v>20023</v>
      </c>
      <c r="P7139" t="s">
        <v>20401</v>
      </c>
      <c r="Q7139" t="s">
        <v>20841</v>
      </c>
      <c r="R7139" t="s">
        <v>419</v>
      </c>
      <c r="S7139">
        <v>1469</v>
      </c>
    </row>
    <row r="7140" spans="1:19">
      <c r="A7140" t="s">
        <v>29</v>
      </c>
      <c r="B7140" t="s">
        <v>148</v>
      </c>
      <c r="C7140" t="s">
        <v>161</v>
      </c>
      <c r="D7140" t="s">
        <v>290</v>
      </c>
      <c r="E7140" t="s">
        <v>419</v>
      </c>
      <c r="F7140">
        <f>HYPERLINK("https://www.wikidata.org/wiki/Q33322771", "Q33322771")</f>
        <v>0</v>
      </c>
      <c r="G7140" t="s">
        <v>4008</v>
      </c>
      <c r="H7140" t="s">
        <v>8245</v>
      </c>
      <c r="I7140" t="s">
        <v>11061</v>
      </c>
      <c r="J7140" t="s">
        <v>14552</v>
      </c>
      <c r="K7140" t="s">
        <v>18897</v>
      </c>
      <c r="L7140">
        <f>HYPERLINK("https://www2.assemblee-nationale.fr/sycomore/fiche/(num_dept)/6052", "6052")</f>
        <v>0</v>
      </c>
      <c r="N7140">
        <f>HYPERLINK("https://www.wikidata.org/wiki/Q16026440", "Q16026440")</f>
        <v>0</v>
      </c>
      <c r="O7140" t="s">
        <v>20013</v>
      </c>
      <c r="P7140" t="s">
        <v>20479</v>
      </c>
      <c r="Q7140" t="s">
        <v>20841</v>
      </c>
      <c r="R7140" t="s">
        <v>419</v>
      </c>
      <c r="S7140">
        <v>1469</v>
      </c>
    </row>
    <row r="7141" spans="1:19">
      <c r="A7141" t="s">
        <v>29</v>
      </c>
      <c r="B7141" t="s">
        <v>148</v>
      </c>
      <c r="C7141" t="s">
        <v>161</v>
      </c>
      <c r="D7141" t="s">
        <v>290</v>
      </c>
      <c r="E7141" t="s">
        <v>419</v>
      </c>
      <c r="F7141">
        <f>HYPERLINK("https://www.wikidata.org/wiki/Q33322771", "Q33322771")</f>
        <v>0</v>
      </c>
      <c r="G7141" t="s">
        <v>3585</v>
      </c>
      <c r="H7141" t="s">
        <v>6610</v>
      </c>
      <c r="I7141" t="s">
        <v>10889</v>
      </c>
      <c r="J7141" t="s">
        <v>14172</v>
      </c>
      <c r="K7141" t="s">
        <v>18541</v>
      </c>
      <c r="L7141">
        <f>HYPERLINK("https://www2.assemblee-nationale.fr/sycomore/fiche/(num_dept)/6059", "6059")</f>
        <v>0</v>
      </c>
      <c r="N7141">
        <f>HYPERLINK("https://www.wikidata.org/wiki/Q16026441", "Q16026441")</f>
        <v>0</v>
      </c>
      <c r="O7141" t="s">
        <v>20001</v>
      </c>
      <c r="Q7141" t="s">
        <v>20841</v>
      </c>
      <c r="R7141" t="s">
        <v>419</v>
      </c>
      <c r="S7141">
        <v>1469</v>
      </c>
    </row>
    <row r="7142" spans="1:19">
      <c r="A7142" t="s">
        <v>29</v>
      </c>
      <c r="B7142" t="s">
        <v>148</v>
      </c>
      <c r="C7142" t="s">
        <v>161</v>
      </c>
      <c r="D7142" t="s">
        <v>290</v>
      </c>
      <c r="E7142" t="s">
        <v>419</v>
      </c>
      <c r="F7142">
        <f>HYPERLINK("https://www.wikidata.org/wiki/Q33322771", "Q33322771")</f>
        <v>0</v>
      </c>
      <c r="G7142" t="s">
        <v>3586</v>
      </c>
      <c r="H7142" t="s">
        <v>7934</v>
      </c>
      <c r="I7142" t="s">
        <v>10890</v>
      </c>
      <c r="J7142" t="s">
        <v>14173</v>
      </c>
      <c r="K7142" t="s">
        <v>16795</v>
      </c>
      <c r="L7142">
        <f>HYPERLINK("https://www2.assemblee-nationale.fr/sycomore/fiche/(num_dept)/6135", "6135")</f>
        <v>0</v>
      </c>
      <c r="N7142">
        <f>HYPERLINK("https://www.wikidata.org/wiki/Q2960153", "Q2960153")</f>
        <v>0</v>
      </c>
      <c r="O7142" t="s">
        <v>20042</v>
      </c>
      <c r="P7142" t="s">
        <v>20477</v>
      </c>
      <c r="Q7142" t="s">
        <v>20841</v>
      </c>
      <c r="R7142" t="s">
        <v>419</v>
      </c>
      <c r="S7142">
        <v>1469</v>
      </c>
    </row>
    <row r="7143" spans="1:19">
      <c r="A7143" t="s">
        <v>29</v>
      </c>
      <c r="B7143" t="s">
        <v>148</v>
      </c>
      <c r="C7143" t="s">
        <v>161</v>
      </c>
      <c r="D7143" t="s">
        <v>290</v>
      </c>
      <c r="E7143" t="s">
        <v>419</v>
      </c>
      <c r="F7143">
        <f>HYPERLINK("https://www.wikidata.org/wiki/Q33322771", "Q33322771")</f>
        <v>0</v>
      </c>
      <c r="G7143" t="s">
        <v>4009</v>
      </c>
      <c r="H7143" t="s">
        <v>6277</v>
      </c>
      <c r="I7143" t="s">
        <v>11062</v>
      </c>
      <c r="J7143" t="s">
        <v>14553</v>
      </c>
      <c r="K7143" t="s">
        <v>18898</v>
      </c>
      <c r="L7143">
        <f>HYPERLINK("https://www2.assemblee-nationale.fr/sycomore/fiche/(num_dept)/6161", "6161")</f>
        <v>0</v>
      </c>
      <c r="N7143">
        <f>HYPERLINK("https://www.wikidata.org/wiki/Q16026456", "Q16026456")</f>
        <v>0</v>
      </c>
      <c r="O7143" t="s">
        <v>20033</v>
      </c>
      <c r="P7143" t="s">
        <v>20479</v>
      </c>
      <c r="Q7143" t="s">
        <v>20841</v>
      </c>
      <c r="R7143" t="s">
        <v>419</v>
      </c>
      <c r="S7143">
        <v>1469</v>
      </c>
    </row>
    <row r="7144" spans="1:19">
      <c r="A7144" t="s">
        <v>29</v>
      </c>
      <c r="B7144" t="s">
        <v>148</v>
      </c>
      <c r="C7144" t="s">
        <v>161</v>
      </c>
      <c r="D7144" t="s">
        <v>290</v>
      </c>
      <c r="E7144" t="s">
        <v>419</v>
      </c>
      <c r="F7144">
        <f>HYPERLINK("https://www.wikidata.org/wiki/Q33322771", "Q33322771")</f>
        <v>0</v>
      </c>
      <c r="G7144" t="s">
        <v>2651</v>
      </c>
      <c r="H7144" t="s">
        <v>7192</v>
      </c>
      <c r="I7144" t="s">
        <v>10339</v>
      </c>
      <c r="J7144" t="s">
        <v>13293</v>
      </c>
      <c r="K7144" t="s">
        <v>17692</v>
      </c>
      <c r="L7144">
        <f>HYPERLINK("https://www2.assemblee-nationale.fr/sycomore/fiche/(num_dept)/6173", "6173")</f>
        <v>0</v>
      </c>
      <c r="N7144">
        <f>HYPERLINK("https://www.wikidata.org/wiki/Q100420800", "Q100420800")</f>
        <v>0</v>
      </c>
      <c r="O7144" t="s">
        <v>20037</v>
      </c>
      <c r="P7144" t="s">
        <v>20410</v>
      </c>
      <c r="Q7144" t="s">
        <v>20841</v>
      </c>
      <c r="R7144" t="s">
        <v>419</v>
      </c>
      <c r="S7144">
        <v>1469</v>
      </c>
    </row>
    <row r="7145" spans="1:19">
      <c r="A7145" t="s">
        <v>29</v>
      </c>
      <c r="B7145" t="s">
        <v>148</v>
      </c>
      <c r="C7145" t="s">
        <v>161</v>
      </c>
      <c r="D7145" t="s">
        <v>290</v>
      </c>
      <c r="E7145" t="s">
        <v>419</v>
      </c>
      <c r="F7145">
        <f>HYPERLINK("https://www.wikidata.org/wiki/Q33322771", "Q33322771")</f>
        <v>0</v>
      </c>
      <c r="G7145" t="s">
        <v>2654</v>
      </c>
      <c r="H7145" t="s">
        <v>7194</v>
      </c>
      <c r="I7145" t="s">
        <v>10342</v>
      </c>
      <c r="J7145" t="s">
        <v>13296</v>
      </c>
      <c r="K7145" t="s">
        <v>17695</v>
      </c>
      <c r="L7145">
        <f>HYPERLINK("https://www2.assemblee-nationale.fr/sycomore/fiche/(num_dept)/6183", "6183")</f>
        <v>0</v>
      </c>
      <c r="M7145">
        <f>HYPERLINK("https://www.senat.fr/senateur-3eme-republique/rubillard_anselme1245r3.html", "rubillard_anselme1245r3")</f>
        <v>0</v>
      </c>
      <c r="N7145">
        <f>HYPERLINK("https://www.wikidata.org/wiki/Q2852487", "Q2852487")</f>
        <v>0</v>
      </c>
      <c r="O7145" t="s">
        <v>19956</v>
      </c>
      <c r="P7145" t="s">
        <v>20504</v>
      </c>
      <c r="Q7145" t="s">
        <v>20841</v>
      </c>
      <c r="R7145" t="s">
        <v>419</v>
      </c>
      <c r="S7145">
        <v>1469</v>
      </c>
    </row>
    <row r="7146" spans="1:19">
      <c r="A7146" t="s">
        <v>29</v>
      </c>
      <c r="B7146" t="s">
        <v>148</v>
      </c>
      <c r="C7146" t="s">
        <v>161</v>
      </c>
      <c r="D7146" t="s">
        <v>290</v>
      </c>
      <c r="E7146" t="s">
        <v>419</v>
      </c>
      <c r="F7146">
        <f>HYPERLINK("https://www.wikidata.org/wiki/Q33322771", "Q33322771")</f>
        <v>0</v>
      </c>
      <c r="G7146" t="s">
        <v>4010</v>
      </c>
      <c r="H7146" t="s">
        <v>8246</v>
      </c>
      <c r="I7146" t="s">
        <v>11063</v>
      </c>
      <c r="J7146" t="s">
        <v>14554</v>
      </c>
      <c r="K7146" t="s">
        <v>18899</v>
      </c>
      <c r="L7146">
        <f>HYPERLINK("https://www2.assemblee-nationale.fr/sycomore/fiche/(num_dept)/6195", "6195")</f>
        <v>0</v>
      </c>
      <c r="N7146">
        <f>HYPERLINK("https://www.wikidata.org/wiki/Q16026486", "Q16026486")</f>
        <v>0</v>
      </c>
      <c r="O7146" t="s">
        <v>19960</v>
      </c>
      <c r="P7146" t="s">
        <v>20401</v>
      </c>
      <c r="Q7146" t="s">
        <v>20841</v>
      </c>
      <c r="R7146" t="s">
        <v>18899</v>
      </c>
      <c r="S7146">
        <v>346</v>
      </c>
    </row>
    <row r="7147" spans="1:19">
      <c r="A7147" t="s">
        <v>29</v>
      </c>
      <c r="B7147" t="s">
        <v>148</v>
      </c>
      <c r="C7147" t="s">
        <v>161</v>
      </c>
      <c r="D7147" t="s">
        <v>290</v>
      </c>
      <c r="E7147" t="s">
        <v>419</v>
      </c>
      <c r="F7147">
        <f>HYPERLINK("https://www.wikidata.org/wiki/Q33322771", "Q33322771")</f>
        <v>0</v>
      </c>
      <c r="G7147" t="s">
        <v>4011</v>
      </c>
      <c r="H7147" t="s">
        <v>8247</v>
      </c>
      <c r="I7147" t="s">
        <v>11064</v>
      </c>
      <c r="J7147" t="s">
        <v>14555</v>
      </c>
      <c r="K7147" t="s">
        <v>18900</v>
      </c>
      <c r="L7147">
        <f>HYPERLINK("https://www2.assemblee-nationale.fr/sycomore/fiche/(num_dept)/6248", "6248")</f>
        <v>0</v>
      </c>
      <c r="N7147">
        <f>HYPERLINK("https://www.wikidata.org/wiki/Q3166140", "Q3166140")</f>
        <v>0</v>
      </c>
      <c r="O7147" t="s">
        <v>20036</v>
      </c>
      <c r="P7147" t="s">
        <v>20479</v>
      </c>
      <c r="Q7147" t="s">
        <v>20841</v>
      </c>
      <c r="R7147" t="s">
        <v>419</v>
      </c>
      <c r="S7147">
        <v>1469</v>
      </c>
    </row>
    <row r="7148" spans="1:19">
      <c r="A7148" t="s">
        <v>29</v>
      </c>
      <c r="B7148" t="s">
        <v>148</v>
      </c>
      <c r="C7148" t="s">
        <v>161</v>
      </c>
      <c r="D7148" t="s">
        <v>290</v>
      </c>
      <c r="E7148" t="s">
        <v>419</v>
      </c>
      <c r="F7148">
        <f>HYPERLINK("https://www.wikidata.org/wiki/Q33322771", "Q33322771")</f>
        <v>0</v>
      </c>
      <c r="G7148" t="s">
        <v>1035</v>
      </c>
      <c r="H7148" t="s">
        <v>5784</v>
      </c>
      <c r="I7148" t="s">
        <v>6860</v>
      </c>
      <c r="J7148" t="s">
        <v>11772</v>
      </c>
      <c r="K7148" t="s">
        <v>16173</v>
      </c>
      <c r="L7148">
        <f>HYPERLINK("https://www2.assemblee-nationale.fr/sycomore/fiche/(num_dept)/6294", "6294")</f>
        <v>0</v>
      </c>
      <c r="N7148">
        <f>HYPERLINK("https://www.wikidata.org/wiki/Q3386933", "Q3386933")</f>
        <v>0</v>
      </c>
      <c r="O7148" t="s">
        <v>20010</v>
      </c>
      <c r="Q7148" t="s">
        <v>20841</v>
      </c>
      <c r="R7148" t="s">
        <v>419</v>
      </c>
      <c r="S7148">
        <v>1469</v>
      </c>
    </row>
    <row r="7149" spans="1:19">
      <c r="A7149" t="s">
        <v>29</v>
      </c>
      <c r="B7149" t="s">
        <v>148</v>
      </c>
      <c r="C7149" t="s">
        <v>161</v>
      </c>
      <c r="D7149" t="s">
        <v>290</v>
      </c>
      <c r="E7149" t="s">
        <v>419</v>
      </c>
      <c r="F7149">
        <f>HYPERLINK("https://www.wikidata.org/wiki/Q33322771", "Q33322771")</f>
        <v>0</v>
      </c>
      <c r="G7149" t="s">
        <v>3803</v>
      </c>
      <c r="H7149" t="s">
        <v>8088</v>
      </c>
      <c r="I7149" t="s">
        <v>10980</v>
      </c>
      <c r="J7149" t="s">
        <v>14035</v>
      </c>
      <c r="K7149" t="s">
        <v>18721</v>
      </c>
      <c r="L7149">
        <f>HYPERLINK("https://www2.assemblee-nationale.fr/sycomore/fiche/(num_dept)/6317", "6317")</f>
        <v>0</v>
      </c>
      <c r="N7149">
        <f>HYPERLINK("https://www.wikidata.org/wiki/Q16026485", "Q16026485")</f>
        <v>0</v>
      </c>
      <c r="O7149" t="s">
        <v>19999</v>
      </c>
      <c r="P7149" t="s">
        <v>20500</v>
      </c>
      <c r="Q7149" t="s">
        <v>20841</v>
      </c>
      <c r="R7149" t="s">
        <v>419</v>
      </c>
      <c r="S7149">
        <v>1469</v>
      </c>
    </row>
    <row r="7150" spans="1:19">
      <c r="A7150" t="s">
        <v>29</v>
      </c>
      <c r="B7150" t="s">
        <v>148</v>
      </c>
      <c r="C7150" t="s">
        <v>161</v>
      </c>
      <c r="D7150" t="s">
        <v>290</v>
      </c>
      <c r="E7150" t="s">
        <v>419</v>
      </c>
      <c r="F7150">
        <f>HYPERLINK("https://www.wikidata.org/wiki/Q33322771", "Q33322771")</f>
        <v>0</v>
      </c>
      <c r="G7150" t="s">
        <v>786</v>
      </c>
      <c r="H7150" t="s">
        <v>5543</v>
      </c>
      <c r="I7150" t="s">
        <v>9523</v>
      </c>
      <c r="J7150" t="s">
        <v>11533</v>
      </c>
      <c r="K7150" t="s">
        <v>15937</v>
      </c>
      <c r="L7150">
        <f>HYPERLINK("https://www2.assemblee-nationale.fr/sycomore/fiche/(num_dept)/6379", "6379")</f>
        <v>0</v>
      </c>
      <c r="N7150">
        <f>HYPERLINK("https://www.wikidata.org/wiki/Q2019775", "Q2019775")</f>
        <v>0</v>
      </c>
      <c r="O7150" t="s">
        <v>19969</v>
      </c>
      <c r="Q7150" t="s">
        <v>20841</v>
      </c>
      <c r="R7150" t="s">
        <v>419</v>
      </c>
      <c r="S7150">
        <v>1469</v>
      </c>
    </row>
    <row r="7151" spans="1:19">
      <c r="A7151" t="s">
        <v>29</v>
      </c>
      <c r="B7151" t="s">
        <v>148</v>
      </c>
      <c r="C7151" t="s">
        <v>161</v>
      </c>
      <c r="D7151" t="s">
        <v>290</v>
      </c>
      <c r="E7151" t="s">
        <v>419</v>
      </c>
      <c r="F7151">
        <f>HYPERLINK("https://www.wikidata.org/wiki/Q33322771", "Q33322771")</f>
        <v>0</v>
      </c>
      <c r="G7151" t="s">
        <v>787</v>
      </c>
      <c r="H7151" t="s">
        <v>5544</v>
      </c>
      <c r="I7151" t="s">
        <v>6941</v>
      </c>
      <c r="J7151" t="s">
        <v>11534</v>
      </c>
      <c r="K7151" t="s">
        <v>15938</v>
      </c>
      <c r="L7151">
        <f>HYPERLINK("https://www2.assemblee-nationale.fr/sycomore/fiche/(num_dept)/6407", "6407")</f>
        <v>0</v>
      </c>
      <c r="M7151">
        <f>HYPERLINK("https://www.senat.fr/senateur-3eme-republique/de_pomereu_michel1598r3.html", "de_pomereu_michel1598r3")</f>
        <v>0</v>
      </c>
      <c r="N7151">
        <f>HYPERLINK("https://www.wikidata.org/wiki/Q3436712", "Q3436712")</f>
        <v>0</v>
      </c>
      <c r="O7151" t="s">
        <v>19978</v>
      </c>
      <c r="Q7151" t="s">
        <v>20841</v>
      </c>
      <c r="R7151" t="s">
        <v>419</v>
      </c>
      <c r="S7151">
        <v>1469</v>
      </c>
    </row>
    <row r="7152" spans="1:19">
      <c r="A7152" t="s">
        <v>29</v>
      </c>
      <c r="B7152" t="s">
        <v>148</v>
      </c>
      <c r="C7152" t="s">
        <v>161</v>
      </c>
      <c r="D7152" t="s">
        <v>290</v>
      </c>
      <c r="E7152" t="s">
        <v>419</v>
      </c>
      <c r="F7152">
        <f>HYPERLINK("https://www.wikidata.org/wiki/Q33322771", "Q33322771")</f>
        <v>0</v>
      </c>
      <c r="G7152" t="s">
        <v>1039</v>
      </c>
      <c r="H7152" t="s">
        <v>5788</v>
      </c>
      <c r="I7152" t="s">
        <v>9634</v>
      </c>
      <c r="J7152" t="s">
        <v>11776</v>
      </c>
      <c r="K7152" t="s">
        <v>16177</v>
      </c>
      <c r="L7152">
        <f>HYPERLINK("https://www2.assemblee-nationale.fr/sycomore/fiche/(num_dept)/6457", "6457")</f>
        <v>0</v>
      </c>
      <c r="N7152">
        <f>HYPERLINK("https://www.wikidata.org/wiki/Q3184280", "Q3184280")</f>
        <v>0</v>
      </c>
      <c r="O7152" t="s">
        <v>20047</v>
      </c>
      <c r="Q7152" t="s">
        <v>20841</v>
      </c>
      <c r="R7152" t="s">
        <v>419</v>
      </c>
      <c r="S7152">
        <v>1469</v>
      </c>
    </row>
    <row r="7153" spans="1:19">
      <c r="A7153" t="s">
        <v>29</v>
      </c>
      <c r="B7153" t="s">
        <v>148</v>
      </c>
      <c r="C7153" t="s">
        <v>161</v>
      </c>
      <c r="D7153" t="s">
        <v>290</v>
      </c>
      <c r="E7153" t="s">
        <v>419</v>
      </c>
      <c r="F7153">
        <f>HYPERLINK("https://www.wikidata.org/wiki/Q33322771", "Q33322771")</f>
        <v>0</v>
      </c>
      <c r="G7153" t="s">
        <v>3725</v>
      </c>
      <c r="H7153" t="s">
        <v>8034</v>
      </c>
      <c r="I7153" t="s">
        <v>9388</v>
      </c>
      <c r="J7153" t="s">
        <v>14300</v>
      </c>
      <c r="K7153" t="s">
        <v>18654</v>
      </c>
      <c r="L7153">
        <f>HYPERLINK("https://www2.assemblee-nationale.fr/sycomore/fiche/(num_dept)/6459", "6459")</f>
        <v>0</v>
      </c>
      <c r="N7153">
        <f>HYPERLINK("https://www.wikidata.org/wiki/Q16026361", "Q16026361")</f>
        <v>0</v>
      </c>
      <c r="O7153" t="s">
        <v>20010</v>
      </c>
      <c r="Q7153" t="s">
        <v>20841</v>
      </c>
      <c r="R7153" t="s">
        <v>419</v>
      </c>
      <c r="S7153">
        <v>1469</v>
      </c>
    </row>
    <row r="7154" spans="1:19">
      <c r="A7154" t="s">
        <v>29</v>
      </c>
      <c r="B7154" t="s">
        <v>148</v>
      </c>
      <c r="C7154" t="s">
        <v>161</v>
      </c>
      <c r="D7154" t="s">
        <v>290</v>
      </c>
      <c r="E7154" t="s">
        <v>419</v>
      </c>
      <c r="F7154">
        <f>HYPERLINK("https://www.wikidata.org/wiki/Q33322771", "Q33322771")</f>
        <v>0</v>
      </c>
      <c r="G7154" t="s">
        <v>4012</v>
      </c>
      <c r="H7154" t="s">
        <v>8248</v>
      </c>
      <c r="I7154" t="s">
        <v>11065</v>
      </c>
      <c r="J7154" t="s">
        <v>14556</v>
      </c>
      <c r="K7154" t="s">
        <v>18901</v>
      </c>
      <c r="L7154">
        <f>HYPERLINK("https://www2.assemblee-nationale.fr/sycomore/fiche/(num_dept)/6473", "6473")</f>
        <v>0</v>
      </c>
      <c r="N7154">
        <f>HYPERLINK("https://www.wikidata.org/wiki/Q3219459", "Q3219459")</f>
        <v>0</v>
      </c>
      <c r="O7154" t="s">
        <v>19969</v>
      </c>
      <c r="Q7154" t="s">
        <v>20841</v>
      </c>
      <c r="R7154" t="s">
        <v>419</v>
      </c>
      <c r="S7154">
        <v>1469</v>
      </c>
    </row>
    <row r="7155" spans="1:19">
      <c r="A7155" t="s">
        <v>29</v>
      </c>
      <c r="B7155" t="s">
        <v>148</v>
      </c>
      <c r="C7155" t="s">
        <v>161</v>
      </c>
      <c r="D7155" t="s">
        <v>290</v>
      </c>
      <c r="E7155" t="s">
        <v>419</v>
      </c>
      <c r="F7155">
        <f>HYPERLINK("https://www.wikidata.org/wiki/Q33322771", "Q33322771")</f>
        <v>0</v>
      </c>
      <c r="G7155" t="s">
        <v>796</v>
      </c>
      <c r="H7155" t="s">
        <v>5553</v>
      </c>
      <c r="I7155" t="s">
        <v>9527</v>
      </c>
      <c r="J7155" t="s">
        <v>11543</v>
      </c>
      <c r="K7155" t="s">
        <v>15947</v>
      </c>
      <c r="L7155">
        <f>HYPERLINK("https://www2.assemblee-nationale.fr/sycomore/fiche/(num_dept)/6567", "6567")</f>
        <v>0</v>
      </c>
      <c r="M7155">
        <f>HYPERLINK("https://www.senat.fr/senateur-3eme-republique/rabier_fernand0501r3.html", "rabier_fernand0501r3")</f>
        <v>0</v>
      </c>
      <c r="N7155">
        <f>HYPERLINK("https://www.wikidata.org/wiki/Q3069308", "Q3069308")</f>
        <v>0</v>
      </c>
      <c r="O7155" t="s">
        <v>19958</v>
      </c>
      <c r="Q7155" t="s">
        <v>20841</v>
      </c>
      <c r="R7155" t="s">
        <v>419</v>
      </c>
      <c r="S7155">
        <v>1469</v>
      </c>
    </row>
    <row r="7156" spans="1:19">
      <c r="A7156" t="s">
        <v>29</v>
      </c>
      <c r="B7156" t="s">
        <v>148</v>
      </c>
      <c r="C7156" t="s">
        <v>161</v>
      </c>
      <c r="D7156" t="s">
        <v>290</v>
      </c>
      <c r="E7156" t="s">
        <v>419</v>
      </c>
      <c r="F7156">
        <f>HYPERLINK("https://www.wikidata.org/wiki/Q33322771", "Q33322771")</f>
        <v>0</v>
      </c>
      <c r="G7156" t="s">
        <v>1045</v>
      </c>
      <c r="H7156" t="s">
        <v>5793</v>
      </c>
      <c r="I7156" t="s">
        <v>9639</v>
      </c>
      <c r="J7156" t="s">
        <v>11782</v>
      </c>
      <c r="K7156" t="s">
        <v>16183</v>
      </c>
      <c r="L7156">
        <f>HYPERLINK("https://www2.assemblee-nationale.fr/sycomore/fiche/(num_dept)/6593", "6593")</f>
        <v>0</v>
      </c>
      <c r="N7156">
        <f>HYPERLINK("https://www.wikidata.org/wiki/Q3069386", "Q3069386")</f>
        <v>0</v>
      </c>
      <c r="O7156" t="s">
        <v>20014</v>
      </c>
      <c r="Q7156" t="s">
        <v>20841</v>
      </c>
      <c r="R7156" t="s">
        <v>419</v>
      </c>
      <c r="S7156">
        <v>1469</v>
      </c>
    </row>
    <row r="7157" spans="1:19">
      <c r="A7157" t="s">
        <v>29</v>
      </c>
      <c r="B7157" t="s">
        <v>148</v>
      </c>
      <c r="C7157" t="s">
        <v>161</v>
      </c>
      <c r="D7157" t="s">
        <v>290</v>
      </c>
      <c r="E7157" t="s">
        <v>419</v>
      </c>
      <c r="F7157">
        <f>HYPERLINK("https://www.wikidata.org/wiki/Q33322771", "Q33322771")</f>
        <v>0</v>
      </c>
      <c r="G7157" t="s">
        <v>4013</v>
      </c>
      <c r="H7157" t="s">
        <v>5559</v>
      </c>
      <c r="I7157" t="s">
        <v>9868</v>
      </c>
      <c r="J7157" t="s">
        <v>14557</v>
      </c>
      <c r="K7157" t="s">
        <v>18902</v>
      </c>
      <c r="L7157">
        <f>HYPERLINK("https://www2.assemblee-nationale.fr/sycomore/fiche/(num_dept)/6662", "6662")</f>
        <v>0</v>
      </c>
      <c r="N7157">
        <f>HYPERLINK("https://www.wikidata.org/wiki/Q3570779", "Q3570779")</f>
        <v>0</v>
      </c>
      <c r="O7157" t="s">
        <v>19962</v>
      </c>
      <c r="Q7157" t="s">
        <v>20841</v>
      </c>
      <c r="R7157" t="s">
        <v>419</v>
      </c>
      <c r="S7157">
        <v>1469</v>
      </c>
    </row>
    <row r="7158" spans="1:19">
      <c r="A7158" t="s">
        <v>29</v>
      </c>
      <c r="B7158" t="s">
        <v>148</v>
      </c>
      <c r="C7158" t="s">
        <v>161</v>
      </c>
      <c r="D7158" t="s">
        <v>290</v>
      </c>
      <c r="E7158" t="s">
        <v>419</v>
      </c>
      <c r="F7158">
        <f>HYPERLINK("https://www.wikidata.org/wiki/Q33322771", "Q33322771")</f>
        <v>0</v>
      </c>
      <c r="G7158" t="s">
        <v>4014</v>
      </c>
      <c r="H7158" t="s">
        <v>6299</v>
      </c>
      <c r="I7158" t="s">
        <v>11066</v>
      </c>
      <c r="J7158" t="s">
        <v>14558</v>
      </c>
      <c r="K7158" t="s">
        <v>18903</v>
      </c>
      <c r="L7158">
        <f>HYPERLINK("https://www2.assemblee-nationale.fr/sycomore/fiche/(num_dept)/6681", "6681")</f>
        <v>0</v>
      </c>
      <c r="N7158">
        <f>HYPERLINK("https://www.wikidata.org/wiki/Q2861952", "Q2861952")</f>
        <v>0</v>
      </c>
      <c r="O7158" t="s">
        <v>19989</v>
      </c>
      <c r="P7158" t="s">
        <v>20477</v>
      </c>
      <c r="Q7158" t="s">
        <v>20841</v>
      </c>
      <c r="R7158" t="s">
        <v>419</v>
      </c>
      <c r="S7158">
        <v>1469</v>
      </c>
    </row>
    <row r="7159" spans="1:19">
      <c r="A7159" t="s">
        <v>29</v>
      </c>
      <c r="B7159" t="s">
        <v>148</v>
      </c>
      <c r="C7159" t="s">
        <v>161</v>
      </c>
      <c r="D7159" t="s">
        <v>290</v>
      </c>
      <c r="E7159" t="s">
        <v>419</v>
      </c>
      <c r="F7159">
        <f>HYPERLINK("https://www.wikidata.org/wiki/Q33322771", "Q33322771")</f>
        <v>0</v>
      </c>
      <c r="G7159" t="s">
        <v>3853</v>
      </c>
      <c r="H7159" t="s">
        <v>8127</v>
      </c>
      <c r="I7159" t="s">
        <v>9447</v>
      </c>
      <c r="J7159" t="s">
        <v>14412</v>
      </c>
      <c r="K7159" t="s">
        <v>18765</v>
      </c>
      <c r="L7159">
        <f>HYPERLINK("https://www2.assemblee-nationale.fr/sycomore/fiche/(num_dept)/6682", "6682")</f>
        <v>0</v>
      </c>
      <c r="N7159">
        <f>HYPERLINK("https://www.wikidata.org/wiki/Q13091118", "Q13091118")</f>
        <v>0</v>
      </c>
      <c r="O7159" t="s">
        <v>19969</v>
      </c>
      <c r="P7159" t="s">
        <v>20501</v>
      </c>
      <c r="Q7159" t="s">
        <v>20841</v>
      </c>
      <c r="R7159" t="s">
        <v>419</v>
      </c>
      <c r="S7159">
        <v>1469</v>
      </c>
    </row>
    <row r="7160" spans="1:19">
      <c r="A7160" t="s">
        <v>29</v>
      </c>
      <c r="B7160" t="s">
        <v>148</v>
      </c>
      <c r="C7160" t="s">
        <v>161</v>
      </c>
      <c r="D7160" t="s">
        <v>290</v>
      </c>
      <c r="E7160" t="s">
        <v>419</v>
      </c>
      <c r="F7160">
        <f>HYPERLINK("https://www.wikidata.org/wiki/Q33322771", "Q33322771")</f>
        <v>0</v>
      </c>
      <c r="G7160" t="s">
        <v>809</v>
      </c>
      <c r="H7160" t="s">
        <v>5566</v>
      </c>
      <c r="I7160" t="s">
        <v>7642</v>
      </c>
      <c r="J7160" t="s">
        <v>11556</v>
      </c>
      <c r="K7160" t="s">
        <v>15960</v>
      </c>
      <c r="L7160">
        <f>HYPERLINK("https://www2.assemblee-nationale.fr/sycomore/fiche/(num_dept)/6821", "6821")</f>
        <v>0</v>
      </c>
      <c r="N7160">
        <f>HYPERLINK("https://www.wikidata.org/wiki/Q3301402", "Q3301402")</f>
        <v>0</v>
      </c>
      <c r="O7160" t="s">
        <v>20023</v>
      </c>
      <c r="Q7160" t="s">
        <v>20841</v>
      </c>
      <c r="R7160" t="s">
        <v>419</v>
      </c>
      <c r="S7160">
        <v>1469</v>
      </c>
    </row>
    <row r="7161" spans="1:19">
      <c r="A7161" t="s">
        <v>29</v>
      </c>
      <c r="B7161" t="s">
        <v>148</v>
      </c>
      <c r="C7161" t="s">
        <v>161</v>
      </c>
      <c r="D7161" t="s">
        <v>290</v>
      </c>
      <c r="E7161" t="s">
        <v>419</v>
      </c>
      <c r="F7161">
        <f>HYPERLINK("https://www.wikidata.org/wiki/Q33322771", "Q33322771")</f>
        <v>0</v>
      </c>
      <c r="G7161" t="s">
        <v>3728</v>
      </c>
      <c r="H7161" t="s">
        <v>8036</v>
      </c>
      <c r="I7161" t="s">
        <v>9592</v>
      </c>
      <c r="J7161" t="s">
        <v>14303</v>
      </c>
      <c r="K7161" t="s">
        <v>18657</v>
      </c>
      <c r="L7161">
        <f>HYPERLINK("https://www2.assemblee-nationale.fr/sycomore/fiche/(num_dept)/6861", "6861")</f>
        <v>0</v>
      </c>
      <c r="N7161">
        <f>HYPERLINK("https://www.wikidata.org/wiki/Q16026510", "Q16026510")</f>
        <v>0</v>
      </c>
      <c r="O7161" t="s">
        <v>20013</v>
      </c>
      <c r="Q7161" t="s">
        <v>20841</v>
      </c>
      <c r="R7161" t="s">
        <v>18657</v>
      </c>
      <c r="S7161">
        <v>170</v>
      </c>
    </row>
    <row r="7162" spans="1:19">
      <c r="A7162" t="s">
        <v>29</v>
      </c>
      <c r="B7162" t="s">
        <v>148</v>
      </c>
      <c r="C7162" t="s">
        <v>161</v>
      </c>
      <c r="D7162" t="s">
        <v>290</v>
      </c>
      <c r="E7162" t="s">
        <v>419</v>
      </c>
      <c r="F7162">
        <f>HYPERLINK("https://www.wikidata.org/wiki/Q33322771", "Q33322771")</f>
        <v>0</v>
      </c>
      <c r="G7162" t="s">
        <v>3600</v>
      </c>
      <c r="H7162" t="s">
        <v>7945</v>
      </c>
      <c r="I7162" t="s">
        <v>8494</v>
      </c>
      <c r="J7162" t="s">
        <v>13272</v>
      </c>
      <c r="K7162" t="s">
        <v>18552</v>
      </c>
      <c r="L7162">
        <f>HYPERLINK("https://www2.assemblee-nationale.fr/sycomore/fiche/(num_dept)/6922", "6922")</f>
        <v>0</v>
      </c>
      <c r="N7162">
        <f>HYPERLINK("https://www.wikidata.org/wiki/Q16026523", "Q16026523")</f>
        <v>0</v>
      </c>
      <c r="O7162" t="s">
        <v>19987</v>
      </c>
      <c r="P7162" t="s">
        <v>20479</v>
      </c>
      <c r="Q7162" t="s">
        <v>20841</v>
      </c>
      <c r="R7162" t="s">
        <v>419</v>
      </c>
      <c r="S7162">
        <v>1469</v>
      </c>
    </row>
    <row r="7163" spans="1:19">
      <c r="A7163" t="s">
        <v>29</v>
      </c>
      <c r="B7163" t="s">
        <v>148</v>
      </c>
      <c r="C7163" t="s">
        <v>161</v>
      </c>
      <c r="D7163" t="s">
        <v>290</v>
      </c>
      <c r="E7163" t="s">
        <v>419</v>
      </c>
      <c r="F7163">
        <f>HYPERLINK("https://www.wikidata.org/wiki/Q33322771", "Q33322771")</f>
        <v>0</v>
      </c>
      <c r="G7163" t="s">
        <v>815</v>
      </c>
      <c r="H7163" t="s">
        <v>5572</v>
      </c>
      <c r="I7163" t="s">
        <v>6759</v>
      </c>
      <c r="J7163" t="s">
        <v>11562</v>
      </c>
      <c r="K7163" t="s">
        <v>15966</v>
      </c>
      <c r="L7163">
        <f>HYPERLINK("https://www2.assemblee-nationale.fr/sycomore/fiche/(num_dept)/6923", "6923")</f>
        <v>0</v>
      </c>
      <c r="N7163">
        <f>HYPERLINK("https://www.wikidata.org/wiki/Q3435381", "Q3435381")</f>
        <v>0</v>
      </c>
      <c r="O7163" t="s">
        <v>19998</v>
      </c>
      <c r="Q7163" t="s">
        <v>20841</v>
      </c>
      <c r="R7163" t="s">
        <v>419</v>
      </c>
      <c r="S7163">
        <v>1469</v>
      </c>
    </row>
    <row r="7164" spans="1:19">
      <c r="A7164" t="s">
        <v>29</v>
      </c>
      <c r="B7164" t="s">
        <v>148</v>
      </c>
      <c r="C7164" t="s">
        <v>161</v>
      </c>
      <c r="D7164" t="s">
        <v>290</v>
      </c>
      <c r="E7164" t="s">
        <v>419</v>
      </c>
      <c r="F7164">
        <f>HYPERLINK("https://www.wikidata.org/wiki/Q33322771", "Q33322771")</f>
        <v>0</v>
      </c>
      <c r="G7164" t="s">
        <v>817</v>
      </c>
      <c r="H7164" t="s">
        <v>5574</v>
      </c>
      <c r="I7164" t="s">
        <v>9407</v>
      </c>
      <c r="J7164" t="s">
        <v>11564</v>
      </c>
      <c r="K7164" t="s">
        <v>15968</v>
      </c>
      <c r="L7164">
        <f>HYPERLINK("https://www2.assemblee-nationale.fr/sycomore/fiche/(num_dept)/7030", "7030")</f>
        <v>0</v>
      </c>
      <c r="N7164">
        <f>HYPERLINK("https://www.wikidata.org/wiki/Q3185677", "Q3185677")</f>
        <v>0</v>
      </c>
      <c r="O7164" t="s">
        <v>19990</v>
      </c>
      <c r="Q7164" t="s">
        <v>20841</v>
      </c>
      <c r="R7164" t="s">
        <v>419</v>
      </c>
      <c r="S7164">
        <v>1469</v>
      </c>
    </row>
    <row r="7165" spans="1:19">
      <c r="A7165" t="s">
        <v>29</v>
      </c>
      <c r="B7165" t="s">
        <v>148</v>
      </c>
      <c r="C7165" t="s">
        <v>161</v>
      </c>
      <c r="D7165" t="s">
        <v>290</v>
      </c>
      <c r="E7165" t="s">
        <v>419</v>
      </c>
      <c r="F7165">
        <f>HYPERLINK("https://www.wikidata.org/wiki/Q33322771", "Q33322771")</f>
        <v>0</v>
      </c>
      <c r="G7165" t="s">
        <v>4015</v>
      </c>
      <c r="H7165" t="s">
        <v>8249</v>
      </c>
      <c r="I7165" t="s">
        <v>9449</v>
      </c>
      <c r="J7165" t="s">
        <v>14559</v>
      </c>
      <c r="K7165" t="s">
        <v>18904</v>
      </c>
      <c r="L7165">
        <f>HYPERLINK("https://www2.assemblee-nationale.fr/sycomore/fiche/(num_dept)/7113", "7113")</f>
        <v>0</v>
      </c>
      <c r="N7165">
        <f>HYPERLINK("https://www.wikidata.org/wiki/Q16026565", "Q16026565")</f>
        <v>0</v>
      </c>
      <c r="O7165" t="s">
        <v>19977</v>
      </c>
      <c r="P7165" t="s">
        <v>20477</v>
      </c>
      <c r="Q7165" t="s">
        <v>20841</v>
      </c>
      <c r="R7165" t="s">
        <v>419</v>
      </c>
      <c r="S7165">
        <v>1469</v>
      </c>
    </row>
    <row r="7166" spans="1:19">
      <c r="A7166" t="s">
        <v>29</v>
      </c>
      <c r="B7166" t="s">
        <v>148</v>
      </c>
      <c r="C7166" t="s">
        <v>161</v>
      </c>
      <c r="D7166" t="s">
        <v>290</v>
      </c>
      <c r="E7166" t="s">
        <v>419</v>
      </c>
      <c r="F7166">
        <f>HYPERLINK("https://www.wikidata.org/wiki/Q33322771", "Q33322771")</f>
        <v>0</v>
      </c>
      <c r="G7166" t="s">
        <v>2693</v>
      </c>
      <c r="H7166" t="s">
        <v>7225</v>
      </c>
      <c r="I7166" t="s">
        <v>10370</v>
      </c>
      <c r="J7166" t="s">
        <v>13334</v>
      </c>
      <c r="K7166" t="s">
        <v>17734</v>
      </c>
      <c r="L7166">
        <f>HYPERLINK("https://www2.assemblee-nationale.fr/sycomore/fiche/(num_dept)/7191", "7191")</f>
        <v>0</v>
      </c>
      <c r="N7166">
        <f>HYPERLINK("https://www.wikidata.org/wiki/Q16026577", "Q16026577")</f>
        <v>0</v>
      </c>
      <c r="O7166" t="s">
        <v>20020</v>
      </c>
      <c r="P7166" t="s">
        <v>20477</v>
      </c>
      <c r="Q7166" t="s">
        <v>20841</v>
      </c>
      <c r="R7166" t="s">
        <v>419</v>
      </c>
      <c r="S7166">
        <v>1469</v>
      </c>
    </row>
    <row r="7167" spans="1:19">
      <c r="A7167" t="s">
        <v>29</v>
      </c>
      <c r="B7167" t="s">
        <v>148</v>
      </c>
      <c r="C7167" t="s">
        <v>161</v>
      </c>
      <c r="D7167" t="s">
        <v>290</v>
      </c>
      <c r="E7167" t="s">
        <v>419</v>
      </c>
      <c r="F7167">
        <f>HYPERLINK("https://www.wikidata.org/wiki/Q33322771", "Q33322771")</f>
        <v>0</v>
      </c>
      <c r="G7167" t="s">
        <v>1070</v>
      </c>
      <c r="H7167" t="s">
        <v>5815</v>
      </c>
      <c r="I7167" t="s">
        <v>6584</v>
      </c>
      <c r="J7167" t="s">
        <v>11806</v>
      </c>
      <c r="K7167" t="s">
        <v>16207</v>
      </c>
      <c r="L7167">
        <f>HYPERLINK("https://www2.assemblee-nationale.fr/sycomore/fiche/(num_dept)/7390", "7390")</f>
        <v>0</v>
      </c>
      <c r="N7167">
        <f>HYPERLINK("https://www.wikidata.org/wiki/Q13080029", "Q13080029")</f>
        <v>0</v>
      </c>
      <c r="O7167" t="s">
        <v>19969</v>
      </c>
      <c r="P7167" t="s">
        <v>20446</v>
      </c>
      <c r="Q7167" t="s">
        <v>20841</v>
      </c>
      <c r="R7167" t="s">
        <v>419</v>
      </c>
      <c r="S7167">
        <v>1469</v>
      </c>
    </row>
    <row r="7168" spans="1:19">
      <c r="A7168" t="s">
        <v>29</v>
      </c>
      <c r="B7168" t="s">
        <v>148</v>
      </c>
      <c r="C7168" t="s">
        <v>161</v>
      </c>
      <c r="D7168" t="s">
        <v>290</v>
      </c>
      <c r="E7168" t="s">
        <v>419</v>
      </c>
      <c r="F7168">
        <f>HYPERLINK("https://www.wikidata.org/wiki/Q33322771", "Q33322771")</f>
        <v>0</v>
      </c>
      <c r="G7168" t="s">
        <v>828</v>
      </c>
      <c r="H7168" t="s">
        <v>5585</v>
      </c>
      <c r="I7168" t="s">
        <v>9375</v>
      </c>
      <c r="J7168" t="s">
        <v>11575</v>
      </c>
      <c r="K7168" t="s">
        <v>15977</v>
      </c>
      <c r="L7168">
        <f>HYPERLINK("https://www2.assemblee-nationale.fr/sycomore/fiche/(num_dept)/7392", "7392")</f>
        <v>0</v>
      </c>
      <c r="N7168">
        <f>HYPERLINK("https://www.wikidata.org/wiki/Q274464", "Q274464")</f>
        <v>0</v>
      </c>
      <c r="O7168" t="s">
        <v>19969</v>
      </c>
      <c r="Q7168" t="s">
        <v>20841</v>
      </c>
      <c r="R7168" t="s">
        <v>419</v>
      </c>
      <c r="S7168">
        <v>1469</v>
      </c>
    </row>
    <row r="7169" spans="1:19">
      <c r="A7169" t="s">
        <v>29</v>
      </c>
      <c r="B7169" t="s">
        <v>148</v>
      </c>
      <c r="C7169" t="s">
        <v>161</v>
      </c>
      <c r="D7169" t="s">
        <v>290</v>
      </c>
      <c r="E7169" t="s">
        <v>419</v>
      </c>
      <c r="F7169">
        <f>HYPERLINK("https://www.wikidata.org/wiki/Q33322771", "Q33322771")</f>
        <v>0</v>
      </c>
      <c r="G7169" t="s">
        <v>1072</v>
      </c>
      <c r="H7169" t="s">
        <v>5817</v>
      </c>
      <c r="I7169" t="s">
        <v>9654</v>
      </c>
      <c r="J7169" t="s">
        <v>11808</v>
      </c>
      <c r="K7169" t="s">
        <v>16209</v>
      </c>
      <c r="L7169">
        <f>HYPERLINK("https://www2.assemblee-nationale.fr/sycomore/fiche/(num_dept)/7419", "7419")</f>
        <v>0</v>
      </c>
      <c r="N7169">
        <f>HYPERLINK("https://www.wikidata.org/wiki/Q2831619", "Q2831619")</f>
        <v>0</v>
      </c>
      <c r="O7169" t="s">
        <v>19958</v>
      </c>
      <c r="Q7169" t="s">
        <v>20841</v>
      </c>
      <c r="R7169" t="s">
        <v>419</v>
      </c>
      <c r="S7169">
        <v>1469</v>
      </c>
    </row>
    <row r="7170" spans="1:19">
      <c r="A7170" t="s">
        <v>29</v>
      </c>
      <c r="B7170" t="s">
        <v>148</v>
      </c>
      <c r="C7170" t="s">
        <v>161</v>
      </c>
      <c r="D7170" t="s">
        <v>290</v>
      </c>
      <c r="E7170" t="s">
        <v>419</v>
      </c>
      <c r="F7170">
        <f>HYPERLINK("https://www.wikidata.org/wiki/Q33322771", "Q33322771")</f>
        <v>0</v>
      </c>
      <c r="G7170" t="s">
        <v>4016</v>
      </c>
      <c r="H7170" t="s">
        <v>8250</v>
      </c>
      <c r="I7170" t="s">
        <v>11067</v>
      </c>
      <c r="J7170" t="s">
        <v>14560</v>
      </c>
      <c r="K7170" t="s">
        <v>18905</v>
      </c>
      <c r="L7170">
        <f>HYPERLINK("https://www2.assemblee-nationale.fr/sycomore/fiche/(num_dept)/7422", "7422")</f>
        <v>0</v>
      </c>
      <c r="N7170">
        <f>HYPERLINK("https://www.wikidata.org/wiki/Q2834151", "Q2834151")</f>
        <v>0</v>
      </c>
      <c r="O7170" t="s">
        <v>20006</v>
      </c>
      <c r="Q7170" t="s">
        <v>20841</v>
      </c>
      <c r="R7170" t="s">
        <v>419</v>
      </c>
      <c r="S7170">
        <v>1469</v>
      </c>
    </row>
    <row r="7171" spans="1:19">
      <c r="A7171" t="s">
        <v>29</v>
      </c>
      <c r="B7171" t="s">
        <v>148</v>
      </c>
      <c r="C7171" t="s">
        <v>161</v>
      </c>
      <c r="D7171" t="s">
        <v>290</v>
      </c>
      <c r="E7171" t="s">
        <v>419</v>
      </c>
      <c r="F7171">
        <f>HYPERLINK("https://www.wikidata.org/wiki/Q33322771", "Q33322771")</f>
        <v>0</v>
      </c>
      <c r="G7171" t="s">
        <v>3605</v>
      </c>
      <c r="H7171" t="s">
        <v>7949</v>
      </c>
      <c r="I7171" t="s">
        <v>10170</v>
      </c>
      <c r="J7171" t="s">
        <v>14190</v>
      </c>
      <c r="K7171" t="s">
        <v>18556</v>
      </c>
      <c r="L7171">
        <f>HYPERLINK("https://www2.assemblee-nationale.fr/sycomore/fiche/(num_dept)/7434", "7434")</f>
        <v>0</v>
      </c>
      <c r="M7171">
        <f>HYPERLINK("https://www.senat.fr/senateur-3eme-republique/ville_pierre0048r3.html", "ville_pierre0048r3")</f>
        <v>0</v>
      </c>
      <c r="N7171">
        <f>HYPERLINK("https://www.wikidata.org/wiki/Q3387297", "Q3387297")</f>
        <v>0</v>
      </c>
      <c r="O7171" t="s">
        <v>19999</v>
      </c>
      <c r="Q7171" t="s">
        <v>20841</v>
      </c>
      <c r="R7171" t="s">
        <v>419</v>
      </c>
      <c r="S7171">
        <v>1469</v>
      </c>
    </row>
    <row r="7172" spans="1:19">
      <c r="A7172" t="s">
        <v>29</v>
      </c>
      <c r="B7172" t="s">
        <v>148</v>
      </c>
      <c r="C7172" t="s">
        <v>161</v>
      </c>
      <c r="D7172" t="s">
        <v>290</v>
      </c>
      <c r="E7172" t="s">
        <v>419</v>
      </c>
      <c r="F7172">
        <f>HYPERLINK("https://www.wikidata.org/wiki/Q33322771", "Q33322771")</f>
        <v>0</v>
      </c>
      <c r="G7172" t="s">
        <v>3811</v>
      </c>
      <c r="H7172" t="s">
        <v>8095</v>
      </c>
      <c r="I7172" t="s">
        <v>10986</v>
      </c>
      <c r="J7172" t="s">
        <v>14377</v>
      </c>
      <c r="K7172" t="s">
        <v>18729</v>
      </c>
      <c r="L7172">
        <f>HYPERLINK("https://www2.assemblee-nationale.fr/sycomore/fiche/(num_dept)/7441", "7441")</f>
        <v>0</v>
      </c>
      <c r="N7172">
        <f>HYPERLINK("https://www.wikidata.org/wiki/Q16026586", "Q16026586")</f>
        <v>0</v>
      </c>
      <c r="O7172" t="s">
        <v>20002</v>
      </c>
      <c r="Q7172" t="s">
        <v>20841</v>
      </c>
      <c r="R7172" t="s">
        <v>419</v>
      </c>
      <c r="S7172">
        <v>1469</v>
      </c>
    </row>
    <row r="7173" spans="1:19">
      <c r="A7173" t="s">
        <v>29</v>
      </c>
      <c r="B7173" t="s">
        <v>148</v>
      </c>
      <c r="C7173" t="s">
        <v>161</v>
      </c>
      <c r="D7173" t="s">
        <v>290</v>
      </c>
      <c r="E7173" t="s">
        <v>419</v>
      </c>
      <c r="F7173">
        <f>HYPERLINK("https://www.wikidata.org/wiki/Q33322771", "Q33322771")</f>
        <v>0</v>
      </c>
      <c r="G7173" t="s">
        <v>2694</v>
      </c>
      <c r="H7173" t="s">
        <v>7226</v>
      </c>
      <c r="I7173" t="s">
        <v>9488</v>
      </c>
      <c r="J7173" t="s">
        <v>13335</v>
      </c>
      <c r="K7173" t="s">
        <v>17735</v>
      </c>
      <c r="L7173">
        <f>HYPERLINK("https://www2.assemblee-nationale.fr/sycomore/fiche/(num_dept)/7442", "7442")</f>
        <v>0</v>
      </c>
      <c r="N7173">
        <f>HYPERLINK("https://www.wikidata.org/wiki/Q3014816", "Q3014816")</f>
        <v>0</v>
      </c>
      <c r="O7173" t="s">
        <v>20008</v>
      </c>
      <c r="P7173" t="s">
        <v>20474</v>
      </c>
      <c r="Q7173" t="s">
        <v>20841</v>
      </c>
      <c r="R7173" t="s">
        <v>419</v>
      </c>
      <c r="S7173">
        <v>1469</v>
      </c>
    </row>
    <row r="7174" spans="1:19">
      <c r="A7174" t="s">
        <v>29</v>
      </c>
      <c r="B7174" t="s">
        <v>148</v>
      </c>
      <c r="C7174" t="s">
        <v>161</v>
      </c>
      <c r="D7174" t="s">
        <v>290</v>
      </c>
      <c r="E7174" t="s">
        <v>419</v>
      </c>
      <c r="F7174">
        <f>HYPERLINK("https://www.wikidata.org/wiki/Q33322771", "Q33322771")</f>
        <v>0</v>
      </c>
      <c r="G7174" t="s">
        <v>3734</v>
      </c>
      <c r="H7174" t="s">
        <v>8042</v>
      </c>
      <c r="I7174" t="s">
        <v>9389</v>
      </c>
      <c r="J7174" t="s">
        <v>14309</v>
      </c>
      <c r="K7174" t="s">
        <v>18662</v>
      </c>
      <c r="L7174">
        <f>HYPERLINK("https://www2.assemblee-nationale.fr/sycomore/fiche/(num_dept)/7445", "7445")</f>
        <v>0</v>
      </c>
      <c r="N7174">
        <f>HYPERLINK("https://www.wikidata.org/wiki/Q16026623", "Q16026623")</f>
        <v>0</v>
      </c>
      <c r="O7174" t="s">
        <v>20013</v>
      </c>
      <c r="Q7174" t="s">
        <v>20841</v>
      </c>
      <c r="R7174" t="s">
        <v>419</v>
      </c>
      <c r="S7174">
        <v>1469</v>
      </c>
    </row>
    <row r="7175" spans="1:19">
      <c r="A7175" t="s">
        <v>29</v>
      </c>
      <c r="B7175" t="s">
        <v>148</v>
      </c>
      <c r="C7175" t="s">
        <v>161</v>
      </c>
      <c r="D7175" t="s">
        <v>290</v>
      </c>
      <c r="E7175" t="s">
        <v>419</v>
      </c>
      <c r="F7175">
        <f>HYPERLINK("https://www.wikidata.org/wiki/Q33322771", "Q33322771")</f>
        <v>0</v>
      </c>
      <c r="G7175" t="s">
        <v>3739</v>
      </c>
      <c r="H7175" t="s">
        <v>6800</v>
      </c>
      <c r="I7175" t="s">
        <v>6175</v>
      </c>
      <c r="J7175" t="s">
        <v>14314</v>
      </c>
      <c r="K7175" t="s">
        <v>18665</v>
      </c>
      <c r="L7175">
        <f>HYPERLINK("https://www2.assemblee-nationale.fr/sycomore/fiche/(num_dept)/7650", "7650")</f>
        <v>0</v>
      </c>
      <c r="N7175">
        <f>HYPERLINK("https://www.wikidata.org/wiki/Q3103056", "Q3103056")</f>
        <v>0</v>
      </c>
      <c r="O7175" t="s">
        <v>20009</v>
      </c>
      <c r="Q7175" t="s">
        <v>20841</v>
      </c>
      <c r="R7175" t="s">
        <v>419</v>
      </c>
      <c r="S7175">
        <v>1469</v>
      </c>
    </row>
    <row r="7176" spans="1:19">
      <c r="A7176" t="s">
        <v>29</v>
      </c>
      <c r="B7176" t="s">
        <v>148</v>
      </c>
      <c r="C7176" t="s">
        <v>161</v>
      </c>
      <c r="D7176" t="s">
        <v>290</v>
      </c>
      <c r="E7176" t="s">
        <v>419</v>
      </c>
      <c r="F7176">
        <f>HYPERLINK("https://www.wikidata.org/wiki/Q33322771", "Q33322771")</f>
        <v>0</v>
      </c>
      <c r="G7176" t="s">
        <v>3741</v>
      </c>
      <c r="H7176" t="s">
        <v>8046</v>
      </c>
      <c r="I7176" t="s">
        <v>9465</v>
      </c>
      <c r="J7176" t="s">
        <v>14316</v>
      </c>
      <c r="K7176" t="s">
        <v>18667</v>
      </c>
      <c r="L7176">
        <f>HYPERLINK("https://www2.assemblee-nationale.fr/sycomore/fiche/(num_dept)/7699", "7699")</f>
        <v>0</v>
      </c>
      <c r="N7176">
        <f>HYPERLINK("https://www.wikidata.org/wiki/Q8338896", "Q8338896")</f>
        <v>0</v>
      </c>
      <c r="O7176" t="s">
        <v>20008</v>
      </c>
      <c r="P7176" t="s">
        <v>20471</v>
      </c>
      <c r="Q7176" t="s">
        <v>20841</v>
      </c>
      <c r="R7176" t="s">
        <v>419</v>
      </c>
      <c r="S7176">
        <v>1469</v>
      </c>
    </row>
    <row r="7177" spans="1:19">
      <c r="A7177" t="s">
        <v>29</v>
      </c>
      <c r="B7177" t="s">
        <v>148</v>
      </c>
      <c r="C7177" t="s">
        <v>161</v>
      </c>
      <c r="D7177" t="s">
        <v>290</v>
      </c>
      <c r="E7177" t="s">
        <v>419</v>
      </c>
      <c r="F7177">
        <f>HYPERLINK("https://www.wikidata.org/wiki/Q33322771", "Q33322771")</f>
        <v>0</v>
      </c>
      <c r="G7177" t="s">
        <v>853</v>
      </c>
      <c r="H7177" t="s">
        <v>5609</v>
      </c>
      <c r="I7177" t="s">
        <v>9555</v>
      </c>
      <c r="J7177" t="s">
        <v>11599</v>
      </c>
      <c r="K7177" t="s">
        <v>16001</v>
      </c>
      <c r="L7177">
        <f>HYPERLINK("https://www2.assemblee-nationale.fr/sycomore/fiche/(num_dept)/7717", "7717")</f>
        <v>0</v>
      </c>
      <c r="N7177">
        <f>HYPERLINK("https://www.wikidata.org/wiki/Q3144609", "Q3144609")</f>
        <v>0</v>
      </c>
      <c r="O7177" t="s">
        <v>20028</v>
      </c>
      <c r="Q7177" t="s">
        <v>20841</v>
      </c>
      <c r="R7177" t="s">
        <v>419</v>
      </c>
      <c r="S7177">
        <v>1469</v>
      </c>
    </row>
    <row r="7178" spans="1:19">
      <c r="A7178" t="s">
        <v>29</v>
      </c>
      <c r="B7178" t="s">
        <v>148</v>
      </c>
      <c r="C7178" t="s">
        <v>161</v>
      </c>
      <c r="D7178" t="s">
        <v>290</v>
      </c>
      <c r="E7178" t="s">
        <v>419</v>
      </c>
      <c r="F7178">
        <f>HYPERLINK("https://www.wikidata.org/wiki/Q33322771", "Q33322771")</f>
        <v>0</v>
      </c>
      <c r="G7178" t="s">
        <v>3743</v>
      </c>
      <c r="H7178" t="s">
        <v>8048</v>
      </c>
      <c r="I7178" t="s">
        <v>10955</v>
      </c>
      <c r="J7178" t="s">
        <v>14318</v>
      </c>
      <c r="K7178" t="s">
        <v>18669</v>
      </c>
      <c r="L7178">
        <f>HYPERLINK("https://www2.assemblee-nationale.fr/sycomore/fiche/(num_dept)/7784", "7784")</f>
        <v>0</v>
      </c>
      <c r="N7178">
        <f>HYPERLINK("https://www.wikidata.org/wiki/Q16025987", "Q16025987")</f>
        <v>0</v>
      </c>
      <c r="O7178" t="s">
        <v>20013</v>
      </c>
      <c r="Q7178" t="s">
        <v>20841</v>
      </c>
      <c r="R7178" t="s">
        <v>419</v>
      </c>
      <c r="S7178">
        <v>1469</v>
      </c>
    </row>
    <row r="7179" spans="1:19">
      <c r="A7179" t="s">
        <v>29</v>
      </c>
      <c r="B7179" t="s">
        <v>148</v>
      </c>
      <c r="C7179" t="s">
        <v>161</v>
      </c>
      <c r="D7179" t="s">
        <v>290</v>
      </c>
      <c r="E7179" t="s">
        <v>419</v>
      </c>
      <c r="F7179">
        <f>HYPERLINK("https://www.wikidata.org/wiki/Q33322771", "Q33322771")</f>
        <v>0</v>
      </c>
      <c r="G7179" t="s">
        <v>855</v>
      </c>
      <c r="H7179" t="s">
        <v>5611</v>
      </c>
      <c r="I7179" t="s">
        <v>9557</v>
      </c>
      <c r="J7179" t="s">
        <v>11601</v>
      </c>
      <c r="K7179" t="s">
        <v>16003</v>
      </c>
      <c r="L7179">
        <f>HYPERLINK("https://www2.assemblee-nationale.fr/sycomore/fiche/(num_dept)/7791", "7791")</f>
        <v>0</v>
      </c>
      <c r="N7179">
        <f>HYPERLINK("https://www.wikidata.org/wiki/Q3371680", "Q3371680")</f>
        <v>0</v>
      </c>
      <c r="O7179" t="s">
        <v>19969</v>
      </c>
      <c r="P7179" t="s">
        <v>20410</v>
      </c>
      <c r="Q7179" t="s">
        <v>20841</v>
      </c>
      <c r="R7179" t="s">
        <v>419</v>
      </c>
      <c r="S7179">
        <v>1469</v>
      </c>
    </row>
    <row r="7180" spans="1:19">
      <c r="A7180" t="s">
        <v>29</v>
      </c>
      <c r="B7180" t="s">
        <v>148</v>
      </c>
      <c r="C7180" t="s">
        <v>161</v>
      </c>
      <c r="D7180" t="s">
        <v>290</v>
      </c>
      <c r="E7180" t="s">
        <v>419</v>
      </c>
      <c r="F7180">
        <f>HYPERLINK("https://www.wikidata.org/wiki/Q33322771", "Q33322771")</f>
        <v>0</v>
      </c>
      <c r="G7180" t="s">
        <v>2712</v>
      </c>
      <c r="H7180" t="s">
        <v>5612</v>
      </c>
      <c r="I7180" t="s">
        <v>9453</v>
      </c>
      <c r="J7180" t="s">
        <v>13353</v>
      </c>
      <c r="K7180" t="s">
        <v>17753</v>
      </c>
      <c r="L7180">
        <f>HYPERLINK("https://www2.assemblee-nationale.fr/sycomore/fiche/(num_dept)/7796", "7796")</f>
        <v>0</v>
      </c>
      <c r="N7180">
        <f>HYPERLINK("https://www.wikidata.org/wiki/Q16025990", "Q16025990")</f>
        <v>0</v>
      </c>
      <c r="O7180" t="s">
        <v>20002</v>
      </c>
      <c r="P7180" t="s">
        <v>20461</v>
      </c>
      <c r="Q7180" t="s">
        <v>20841</v>
      </c>
      <c r="R7180" t="s">
        <v>419</v>
      </c>
      <c r="S7180">
        <v>1469</v>
      </c>
    </row>
    <row r="7181" spans="1:19">
      <c r="A7181" t="s">
        <v>29</v>
      </c>
      <c r="B7181" t="s">
        <v>148</v>
      </c>
      <c r="C7181" t="s">
        <v>161</v>
      </c>
      <c r="D7181" t="s">
        <v>290</v>
      </c>
      <c r="E7181" t="s">
        <v>419</v>
      </c>
      <c r="F7181">
        <f>HYPERLINK("https://www.wikidata.org/wiki/Q33322771", "Q33322771")</f>
        <v>0</v>
      </c>
      <c r="G7181" t="s">
        <v>856</v>
      </c>
      <c r="H7181" t="s">
        <v>5612</v>
      </c>
      <c r="I7181" t="s">
        <v>9558</v>
      </c>
      <c r="J7181" t="s">
        <v>11602</v>
      </c>
      <c r="K7181" t="s">
        <v>16004</v>
      </c>
      <c r="L7181">
        <f>HYPERLINK("https://www2.assemblee-nationale.fr/sycomore/fiche/(num_dept)/7801", "7801")</f>
        <v>0</v>
      </c>
      <c r="N7181">
        <f>HYPERLINK("https://www.wikidata.org/wiki/Q3317903", "Q3317903")</f>
        <v>0</v>
      </c>
      <c r="O7181" t="s">
        <v>19992</v>
      </c>
      <c r="Q7181" t="s">
        <v>20841</v>
      </c>
      <c r="R7181" t="s">
        <v>419</v>
      </c>
      <c r="S7181">
        <v>1469</v>
      </c>
    </row>
    <row r="7182" spans="1:19">
      <c r="A7182" t="s">
        <v>29</v>
      </c>
      <c r="B7182" t="s">
        <v>148</v>
      </c>
      <c r="C7182" t="s">
        <v>161</v>
      </c>
      <c r="D7182" t="s">
        <v>290</v>
      </c>
      <c r="E7182" t="s">
        <v>419</v>
      </c>
      <c r="F7182">
        <f>HYPERLINK("https://www.wikidata.org/wiki/Q33322771", "Q33322771")</f>
        <v>0</v>
      </c>
      <c r="G7182" t="s">
        <v>3294</v>
      </c>
      <c r="H7182" t="s">
        <v>7705</v>
      </c>
      <c r="I7182" t="s">
        <v>10485</v>
      </c>
      <c r="J7182" t="s">
        <v>13908</v>
      </c>
      <c r="K7182" t="s">
        <v>18279</v>
      </c>
      <c r="L7182">
        <f>HYPERLINK("https://www2.assemblee-nationale.fr/sycomore/fiche/(num_dept)/7807", "7807")</f>
        <v>0</v>
      </c>
      <c r="N7182">
        <f>HYPERLINK("https://www.wikidata.org/wiki/Q2941050", "Q2941050")</f>
        <v>0</v>
      </c>
      <c r="O7182" t="s">
        <v>19996</v>
      </c>
      <c r="P7182" t="s">
        <v>20479</v>
      </c>
      <c r="Q7182" t="s">
        <v>20841</v>
      </c>
      <c r="R7182" t="s">
        <v>419</v>
      </c>
      <c r="S7182">
        <v>1469</v>
      </c>
    </row>
    <row r="7183" spans="1:19">
      <c r="A7183" t="s">
        <v>29</v>
      </c>
      <c r="B7183" t="s">
        <v>148</v>
      </c>
      <c r="C7183" t="s">
        <v>161</v>
      </c>
      <c r="D7183" t="s">
        <v>290</v>
      </c>
      <c r="E7183" t="s">
        <v>419</v>
      </c>
      <c r="F7183">
        <f>HYPERLINK("https://www.wikidata.org/wiki/Q33322771", "Q33322771")</f>
        <v>0</v>
      </c>
      <c r="G7183" t="s">
        <v>4017</v>
      </c>
      <c r="H7183" t="s">
        <v>8251</v>
      </c>
      <c r="I7183" t="s">
        <v>11068</v>
      </c>
      <c r="J7183" t="s">
        <v>14561</v>
      </c>
      <c r="K7183" t="s">
        <v>18906</v>
      </c>
      <c r="L7183">
        <f>HYPERLINK("https://www2.assemblee-nationale.fr/sycomore/fiche/(num_dept)/7817", "7817")</f>
        <v>0</v>
      </c>
      <c r="N7183">
        <f>HYPERLINK("https://www.wikidata.org/wiki/Q8316868", "Q8316868")</f>
        <v>0</v>
      </c>
      <c r="O7183" t="s">
        <v>19999</v>
      </c>
      <c r="P7183" t="s">
        <v>20446</v>
      </c>
      <c r="Q7183" t="s">
        <v>20841</v>
      </c>
      <c r="R7183" t="s">
        <v>419</v>
      </c>
      <c r="S7183">
        <v>1469</v>
      </c>
    </row>
    <row r="7184" spans="1:19">
      <c r="A7184" t="s">
        <v>29</v>
      </c>
      <c r="B7184" t="s">
        <v>148</v>
      </c>
      <c r="C7184" t="s">
        <v>161</v>
      </c>
      <c r="D7184" t="s">
        <v>290</v>
      </c>
      <c r="E7184" t="s">
        <v>419</v>
      </c>
      <c r="F7184">
        <f>HYPERLINK("https://www.wikidata.org/wiki/Q33322771", "Q33322771")</f>
        <v>0</v>
      </c>
      <c r="G7184" t="s">
        <v>4018</v>
      </c>
      <c r="H7184" t="s">
        <v>8252</v>
      </c>
      <c r="I7184" t="s">
        <v>11069</v>
      </c>
      <c r="J7184" t="s">
        <v>14562</v>
      </c>
      <c r="K7184" t="s">
        <v>18907</v>
      </c>
      <c r="L7184">
        <f>HYPERLINK("https://www2.assemblee-nationale.fr/sycomore/fiche/(num_dept)/7836", "7836")</f>
        <v>0</v>
      </c>
      <c r="N7184">
        <f>HYPERLINK("https://www.wikidata.org/wiki/Q13084932", "Q13084932")</f>
        <v>0</v>
      </c>
      <c r="O7184" t="s">
        <v>19969</v>
      </c>
      <c r="P7184" t="s">
        <v>20477</v>
      </c>
      <c r="Q7184" t="s">
        <v>20841</v>
      </c>
      <c r="R7184" t="s">
        <v>419</v>
      </c>
      <c r="S7184">
        <v>1469</v>
      </c>
    </row>
    <row r="7185" spans="1:19">
      <c r="A7185" t="s">
        <v>29</v>
      </c>
      <c r="B7185" t="s">
        <v>148</v>
      </c>
      <c r="C7185" t="s">
        <v>161</v>
      </c>
      <c r="D7185" t="s">
        <v>290</v>
      </c>
      <c r="E7185" t="s">
        <v>419</v>
      </c>
      <c r="F7185">
        <f>HYPERLINK("https://www.wikidata.org/wiki/Q33322771", "Q33322771")</f>
        <v>0</v>
      </c>
      <c r="G7185" t="s">
        <v>857</v>
      </c>
      <c r="H7185" t="s">
        <v>5613</v>
      </c>
      <c r="I7185" t="s">
        <v>6175</v>
      </c>
      <c r="J7185" t="s">
        <v>11603</v>
      </c>
      <c r="K7185" t="s">
        <v>16005</v>
      </c>
      <c r="L7185">
        <f>HYPERLINK("https://www2.assemblee-nationale.fr/sycomore/fiche/(num_dept)/7840", "7840")</f>
        <v>0</v>
      </c>
      <c r="N7185">
        <f>HYPERLINK("https://www.wikidata.org/wiki/Q728806", "Q728806")</f>
        <v>0</v>
      </c>
      <c r="O7185" t="s">
        <v>20043</v>
      </c>
      <c r="Q7185" t="s">
        <v>20841</v>
      </c>
      <c r="R7185" t="s">
        <v>419</v>
      </c>
      <c r="S7185">
        <v>1469</v>
      </c>
    </row>
    <row r="7186" spans="1:19">
      <c r="A7186" t="s">
        <v>29</v>
      </c>
      <c r="B7186" t="s">
        <v>148</v>
      </c>
      <c r="C7186" t="s">
        <v>161</v>
      </c>
      <c r="D7186" t="s">
        <v>290</v>
      </c>
      <c r="E7186" t="s">
        <v>419</v>
      </c>
      <c r="F7186">
        <f>HYPERLINK("https://www.wikidata.org/wiki/Q33322771", "Q33322771")</f>
        <v>0</v>
      </c>
      <c r="G7186" t="s">
        <v>4019</v>
      </c>
      <c r="H7186" t="s">
        <v>8253</v>
      </c>
      <c r="I7186" t="s">
        <v>6860</v>
      </c>
      <c r="J7186" t="s">
        <v>14563</v>
      </c>
      <c r="K7186" t="s">
        <v>16740</v>
      </c>
      <c r="L7186">
        <f>HYPERLINK("https://www2.assemblee-nationale.fr/sycomore/fiche/(num_dept)/7855", "7855")</f>
        <v>0</v>
      </c>
      <c r="M7186">
        <f>HYPERLINK("https://www.senat.fr/senateur-3eme-republique/limouzain_laplanche_pierre0400r3.html", "limouzain_laplanche_pierre0400r3")</f>
        <v>0</v>
      </c>
      <c r="N7186">
        <f>HYPERLINK("https://www.wikidata.org/wiki/Q3385965", "Q3385965")</f>
        <v>0</v>
      </c>
      <c r="O7186" t="s">
        <v>20031</v>
      </c>
      <c r="Q7186" t="s">
        <v>20841</v>
      </c>
      <c r="R7186" t="s">
        <v>419</v>
      </c>
      <c r="S7186">
        <v>1469</v>
      </c>
    </row>
    <row r="7187" spans="1:19">
      <c r="A7187" t="s">
        <v>29</v>
      </c>
      <c r="B7187" t="s">
        <v>148</v>
      </c>
      <c r="C7187" t="s">
        <v>161</v>
      </c>
      <c r="D7187" t="s">
        <v>290</v>
      </c>
      <c r="E7187" t="s">
        <v>419</v>
      </c>
      <c r="F7187">
        <f>HYPERLINK("https://www.wikidata.org/wiki/Q33322771", "Q33322771")</f>
        <v>0</v>
      </c>
      <c r="G7187" t="s">
        <v>4020</v>
      </c>
      <c r="H7187" t="s">
        <v>8254</v>
      </c>
      <c r="I7187" t="s">
        <v>9388</v>
      </c>
      <c r="J7187" t="s">
        <v>14564</v>
      </c>
      <c r="K7187" t="s">
        <v>18908</v>
      </c>
      <c r="L7187">
        <f>HYPERLINK("https://www2.assemblee-nationale.fr/sycomore/fiche/(num_dept)/2405", "2405")</f>
        <v>0</v>
      </c>
      <c r="N7187">
        <f>HYPERLINK("https://www.wikidata.org/wiki/Q3371045", "Q3371045")</f>
        <v>0</v>
      </c>
      <c r="O7187" t="s">
        <v>19984</v>
      </c>
      <c r="P7187" t="s">
        <v>20479</v>
      </c>
      <c r="Q7187" t="s">
        <v>20842</v>
      </c>
      <c r="R7187" t="s">
        <v>419</v>
      </c>
      <c r="S7187">
        <v>1350</v>
      </c>
    </row>
    <row r="7188" spans="1:19">
      <c r="A7188" t="s">
        <v>29</v>
      </c>
      <c r="B7188" t="s">
        <v>148</v>
      </c>
      <c r="C7188" t="s">
        <v>161</v>
      </c>
      <c r="D7188" t="s">
        <v>290</v>
      </c>
      <c r="E7188" t="s">
        <v>419</v>
      </c>
      <c r="F7188">
        <f>HYPERLINK("https://www.wikidata.org/wiki/Q33322771", "Q33322771")</f>
        <v>0</v>
      </c>
      <c r="G7188" t="s">
        <v>3347</v>
      </c>
      <c r="H7188" t="s">
        <v>7748</v>
      </c>
      <c r="I7188" t="s">
        <v>10783</v>
      </c>
      <c r="J7188" t="s">
        <v>13960</v>
      </c>
      <c r="K7188" t="s">
        <v>18329</v>
      </c>
      <c r="L7188">
        <f>HYPERLINK("https://www2.assemblee-nationale.fr/sycomore/fiche/(num_dept)/224", "224")</f>
        <v>0</v>
      </c>
      <c r="N7188">
        <f>HYPERLINK("https://www.wikidata.org/wiki/Q15973329", "Q15973329")</f>
        <v>0</v>
      </c>
      <c r="O7188" t="s">
        <v>19955</v>
      </c>
      <c r="Q7188" t="s">
        <v>20843</v>
      </c>
      <c r="R7188" t="s">
        <v>419</v>
      </c>
      <c r="S7188">
        <v>1336</v>
      </c>
    </row>
    <row r="7189" spans="1:19">
      <c r="A7189" t="s">
        <v>29</v>
      </c>
      <c r="B7189" t="s">
        <v>148</v>
      </c>
      <c r="C7189" t="s">
        <v>161</v>
      </c>
      <c r="D7189" t="s">
        <v>290</v>
      </c>
      <c r="E7189" t="s">
        <v>419</v>
      </c>
      <c r="F7189">
        <f>HYPERLINK("https://www.wikidata.org/wiki/Q33322771", "Q33322771")</f>
        <v>0</v>
      </c>
      <c r="G7189" t="s">
        <v>4021</v>
      </c>
      <c r="H7189" t="s">
        <v>8255</v>
      </c>
      <c r="I7189" t="s">
        <v>9388</v>
      </c>
      <c r="J7189" t="s">
        <v>14565</v>
      </c>
      <c r="K7189" t="s">
        <v>18909</v>
      </c>
      <c r="L7189">
        <f>HYPERLINK("https://www2.assemblee-nationale.fr/sycomore/fiche/(num_dept)/5507", "5507")</f>
        <v>0</v>
      </c>
      <c r="N7189">
        <f>HYPERLINK("https://www.wikidata.org/wiki/Q16026180", "Q16026180")</f>
        <v>0</v>
      </c>
      <c r="O7189" t="s">
        <v>19960</v>
      </c>
      <c r="P7189" t="s">
        <v>20446</v>
      </c>
      <c r="Q7189" t="s">
        <v>20843</v>
      </c>
      <c r="R7189" t="s">
        <v>419</v>
      </c>
      <c r="S7189">
        <v>1336</v>
      </c>
    </row>
    <row r="7190" spans="1:19">
      <c r="A7190" t="s">
        <v>29</v>
      </c>
      <c r="B7190" t="s">
        <v>148</v>
      </c>
      <c r="C7190" t="s">
        <v>161</v>
      </c>
      <c r="D7190" t="s">
        <v>290</v>
      </c>
      <c r="E7190" t="s">
        <v>419</v>
      </c>
      <c r="F7190">
        <f>HYPERLINK("https://www.wikidata.org/wiki/Q33322771", "Q33322771")</f>
        <v>0</v>
      </c>
      <c r="G7190" t="s">
        <v>4022</v>
      </c>
      <c r="H7190" t="s">
        <v>8256</v>
      </c>
      <c r="I7190" t="s">
        <v>10410</v>
      </c>
      <c r="J7190" t="s">
        <v>14566</v>
      </c>
      <c r="K7190" t="s">
        <v>18495</v>
      </c>
      <c r="L7190">
        <f>HYPERLINK("https://www2.assemblee-nationale.fr/sycomore/fiche/(num_dept)/98", "98")</f>
        <v>0</v>
      </c>
      <c r="N7190">
        <f>HYPERLINK("https://www.wikidata.org/wiki/Q15973216", "Q15973216")</f>
        <v>0</v>
      </c>
      <c r="O7190" t="s">
        <v>19986</v>
      </c>
      <c r="P7190" t="s">
        <v>20402</v>
      </c>
      <c r="Q7190" t="s">
        <v>20844</v>
      </c>
      <c r="R7190" t="s">
        <v>419</v>
      </c>
      <c r="S7190">
        <v>1308</v>
      </c>
    </row>
    <row r="7191" spans="1:19">
      <c r="A7191" t="s">
        <v>29</v>
      </c>
      <c r="B7191" t="s">
        <v>148</v>
      </c>
      <c r="C7191" t="s">
        <v>161</v>
      </c>
      <c r="D7191" t="s">
        <v>290</v>
      </c>
      <c r="E7191" t="s">
        <v>419</v>
      </c>
      <c r="F7191">
        <f>HYPERLINK("https://www.wikidata.org/wiki/Q33322771", "Q33322771")</f>
        <v>0</v>
      </c>
      <c r="G7191" t="s">
        <v>936</v>
      </c>
      <c r="H7191" t="s">
        <v>5692</v>
      </c>
      <c r="I7191" t="s">
        <v>9421</v>
      </c>
      <c r="J7191" t="s">
        <v>11677</v>
      </c>
      <c r="K7191" t="s">
        <v>16078</v>
      </c>
      <c r="L7191">
        <f>HYPERLINK("https://www2.assemblee-nationale.fr/sycomore/fiche/(num_dept)/2595", "2595")</f>
        <v>0</v>
      </c>
      <c r="M7191">
        <f>HYPERLINK("https://www.senat.fr/senateur-3eme-republique/dron_gustave1388r3.html", "dron_gustave1388r3")</f>
        <v>0</v>
      </c>
      <c r="N7191">
        <f>HYPERLINK("https://www.wikidata.org/wiki/Q3121171", "Q3121171")</f>
        <v>0</v>
      </c>
      <c r="O7191" t="s">
        <v>20013</v>
      </c>
      <c r="Q7191" t="s">
        <v>20845</v>
      </c>
      <c r="R7191" t="s">
        <v>419</v>
      </c>
      <c r="S7191">
        <v>1252</v>
      </c>
    </row>
    <row r="7192" spans="1:19">
      <c r="A7192" t="s">
        <v>29</v>
      </c>
      <c r="B7192" t="s">
        <v>148</v>
      </c>
      <c r="C7192" t="s">
        <v>161</v>
      </c>
      <c r="D7192" t="s">
        <v>290</v>
      </c>
      <c r="E7192" t="s">
        <v>419</v>
      </c>
      <c r="F7192">
        <f>HYPERLINK("https://www.wikidata.org/wiki/Q33322771", "Q33322771")</f>
        <v>0</v>
      </c>
      <c r="G7192" t="s">
        <v>710</v>
      </c>
      <c r="H7192" t="s">
        <v>5468</v>
      </c>
      <c r="I7192" t="s">
        <v>9491</v>
      </c>
      <c r="J7192" t="s">
        <v>11459</v>
      </c>
      <c r="K7192" t="s">
        <v>15861</v>
      </c>
      <c r="L7192">
        <f>HYPERLINK("https://www2.assemblee-nationale.fr/sycomore/fiche/(num_dept)/4339", "4339")</f>
        <v>0</v>
      </c>
      <c r="N7192">
        <f>HYPERLINK("https://www.wikidata.org/wiki/Q3370301", "Q3370301")</f>
        <v>0</v>
      </c>
      <c r="O7192" t="s">
        <v>19961</v>
      </c>
      <c r="Q7192" t="s">
        <v>20846</v>
      </c>
      <c r="R7192" t="s">
        <v>419</v>
      </c>
      <c r="S7192">
        <v>1224</v>
      </c>
    </row>
    <row r="7193" spans="1:19">
      <c r="A7193" t="s">
        <v>29</v>
      </c>
      <c r="B7193" t="s">
        <v>148</v>
      </c>
      <c r="C7193" t="s">
        <v>161</v>
      </c>
      <c r="D7193" t="s">
        <v>290</v>
      </c>
      <c r="E7193" t="s">
        <v>419</v>
      </c>
      <c r="F7193">
        <f>HYPERLINK("https://www.wikidata.org/wiki/Q33322771", "Q33322771")</f>
        <v>0</v>
      </c>
      <c r="G7193" t="s">
        <v>4023</v>
      </c>
      <c r="H7193" t="s">
        <v>7869</v>
      </c>
      <c r="I7193" t="s">
        <v>10131</v>
      </c>
      <c r="J7193" t="s">
        <v>14567</v>
      </c>
      <c r="K7193" t="s">
        <v>18910</v>
      </c>
      <c r="L7193">
        <f>HYPERLINK("https://www2.assemblee-nationale.fr/sycomore/fiche/(num_dept)/6859", "6859")</f>
        <v>0</v>
      </c>
      <c r="N7193">
        <f>HYPERLINK("https://www.wikidata.org/wiki/Q3010497", "Q3010497")</f>
        <v>0</v>
      </c>
      <c r="O7193" t="s">
        <v>20013</v>
      </c>
      <c r="P7193" t="s">
        <v>20409</v>
      </c>
      <c r="Q7193" t="s">
        <v>20846</v>
      </c>
      <c r="R7193" t="s">
        <v>419</v>
      </c>
      <c r="S7193">
        <v>1224</v>
      </c>
    </row>
    <row r="7194" spans="1:19">
      <c r="A7194" t="s">
        <v>29</v>
      </c>
      <c r="B7194" t="s">
        <v>148</v>
      </c>
      <c r="C7194" t="s">
        <v>161</v>
      </c>
      <c r="D7194" t="s">
        <v>290</v>
      </c>
      <c r="E7194" t="s">
        <v>419</v>
      </c>
      <c r="F7194">
        <f>HYPERLINK("https://www.wikidata.org/wiki/Q33322771", "Q33322771")</f>
        <v>0</v>
      </c>
      <c r="G7194" t="s">
        <v>802</v>
      </c>
      <c r="H7194" t="s">
        <v>5559</v>
      </c>
      <c r="I7194" t="s">
        <v>9440</v>
      </c>
      <c r="J7194" t="s">
        <v>11549</v>
      </c>
      <c r="K7194" t="s">
        <v>15953</v>
      </c>
      <c r="L7194">
        <f>HYPERLINK("https://www2.assemblee-nationale.fr/sycomore/fiche/(num_dept)/6657", "6657")</f>
        <v>0</v>
      </c>
      <c r="N7194">
        <f>HYPERLINK("https://www.wikidata.org/wiki/Q2844702", "Q2844702")</f>
        <v>0</v>
      </c>
      <c r="O7194" t="s">
        <v>19962</v>
      </c>
      <c r="P7194" t="s">
        <v>20479</v>
      </c>
      <c r="Q7194" t="s">
        <v>20847</v>
      </c>
      <c r="R7194" t="s">
        <v>419</v>
      </c>
      <c r="S7194">
        <v>1217</v>
      </c>
    </row>
    <row r="7195" spans="1:19">
      <c r="A7195" t="s">
        <v>29</v>
      </c>
      <c r="B7195" t="s">
        <v>148</v>
      </c>
      <c r="C7195" t="s">
        <v>161</v>
      </c>
      <c r="D7195" t="s">
        <v>290</v>
      </c>
      <c r="E7195" t="s">
        <v>419</v>
      </c>
      <c r="F7195">
        <f>HYPERLINK("https://www.wikidata.org/wiki/Q33322771", "Q33322771")</f>
        <v>0</v>
      </c>
      <c r="G7195" t="s">
        <v>4024</v>
      </c>
      <c r="H7195" t="s">
        <v>8257</v>
      </c>
      <c r="I7195" t="s">
        <v>9389</v>
      </c>
      <c r="J7195" t="s">
        <v>14568</v>
      </c>
      <c r="L7195">
        <f>HYPERLINK("https://www2.assemblee-nationale.fr/sycomore/fiche/(num_dept)/7748", "7748")</f>
        <v>0</v>
      </c>
      <c r="N7195">
        <f>HYPERLINK("https://www.wikidata.org/wiki/Q16025981", "Q16025981")</f>
        <v>0</v>
      </c>
      <c r="O7195" t="s">
        <v>19980</v>
      </c>
      <c r="Q7195" t="s">
        <v>20847</v>
      </c>
      <c r="R7195" t="s">
        <v>21573</v>
      </c>
      <c r="S7195">
        <v>1037</v>
      </c>
    </row>
    <row r="7196" spans="1:19">
      <c r="A7196" t="s">
        <v>29</v>
      </c>
      <c r="B7196" t="s">
        <v>148</v>
      </c>
      <c r="C7196" t="s">
        <v>161</v>
      </c>
      <c r="D7196" t="s">
        <v>290</v>
      </c>
      <c r="E7196" t="s">
        <v>419</v>
      </c>
      <c r="F7196">
        <f>HYPERLINK("https://www.wikidata.org/wiki/Q33322771", "Q33322771")</f>
        <v>0</v>
      </c>
      <c r="G7196" t="s">
        <v>4025</v>
      </c>
      <c r="H7196" t="s">
        <v>8258</v>
      </c>
      <c r="I7196" t="s">
        <v>9516</v>
      </c>
      <c r="J7196" t="s">
        <v>11974</v>
      </c>
      <c r="K7196" t="s">
        <v>18911</v>
      </c>
      <c r="L7196">
        <f>HYPERLINK("https://www2.assemblee-nationale.fr/sycomore/fiche/(num_dept)/5749", "5749")</f>
        <v>0</v>
      </c>
      <c r="N7196">
        <f>HYPERLINK("https://www.wikidata.org/wiki/Q16026293", "Q16026293")</f>
        <v>0</v>
      </c>
      <c r="O7196" t="s">
        <v>20025</v>
      </c>
      <c r="P7196" t="s">
        <v>20402</v>
      </c>
      <c r="Q7196" t="s">
        <v>20848</v>
      </c>
      <c r="R7196" t="s">
        <v>419</v>
      </c>
      <c r="S7196">
        <v>1195</v>
      </c>
    </row>
    <row r="7197" spans="1:19">
      <c r="A7197" t="s">
        <v>29</v>
      </c>
      <c r="B7197" t="s">
        <v>148</v>
      </c>
      <c r="C7197" t="s">
        <v>161</v>
      </c>
      <c r="D7197" t="s">
        <v>290</v>
      </c>
      <c r="E7197" t="s">
        <v>419</v>
      </c>
      <c r="F7197">
        <f>HYPERLINK("https://www.wikidata.org/wiki/Q33322771", "Q33322771")</f>
        <v>0</v>
      </c>
      <c r="G7197" t="s">
        <v>3383</v>
      </c>
      <c r="H7197" t="s">
        <v>7774</v>
      </c>
      <c r="I7197" t="s">
        <v>9442</v>
      </c>
      <c r="J7197" t="s">
        <v>13993</v>
      </c>
      <c r="K7197" t="s">
        <v>18363</v>
      </c>
      <c r="L7197">
        <f>HYPERLINK("https://www2.assemblee-nationale.fr/sycomore/fiche/(num_dept)/2981", "2981")</f>
        <v>0</v>
      </c>
      <c r="N7197">
        <f>HYPERLINK("https://www.wikidata.org/wiki/Q3056953", "Q3056953")</f>
        <v>0</v>
      </c>
      <c r="O7197" t="s">
        <v>19960</v>
      </c>
      <c r="Q7197" t="s">
        <v>20849</v>
      </c>
      <c r="R7197" t="s">
        <v>419</v>
      </c>
      <c r="S7197">
        <v>1189</v>
      </c>
    </row>
    <row r="7198" spans="1:19">
      <c r="A7198" t="s">
        <v>29</v>
      </c>
      <c r="B7198" t="s">
        <v>148</v>
      </c>
      <c r="C7198" t="s">
        <v>161</v>
      </c>
      <c r="D7198" t="s">
        <v>290</v>
      </c>
      <c r="E7198" t="s">
        <v>419</v>
      </c>
      <c r="F7198">
        <f>HYPERLINK("https://www.wikidata.org/wiki/Q33322771", "Q33322771")</f>
        <v>0</v>
      </c>
      <c r="G7198" t="s">
        <v>4026</v>
      </c>
      <c r="H7198" t="s">
        <v>8259</v>
      </c>
      <c r="I7198" t="s">
        <v>7419</v>
      </c>
      <c r="J7198" t="s">
        <v>14569</v>
      </c>
      <c r="K7198" t="s">
        <v>18912</v>
      </c>
      <c r="L7198">
        <f>HYPERLINK("https://www2.assemblee-nationale.fr/sycomore/fiche/(num_dept)/6719", "6719")</f>
        <v>0</v>
      </c>
      <c r="N7198">
        <f>HYPERLINK("https://www.wikidata.org/wiki/Q16026415", "Q16026415")</f>
        <v>0</v>
      </c>
      <c r="O7198" t="s">
        <v>19992</v>
      </c>
      <c r="Q7198" t="s">
        <v>20850</v>
      </c>
      <c r="R7198" t="s">
        <v>18912</v>
      </c>
      <c r="S7198">
        <v>384</v>
      </c>
    </row>
    <row r="7199" spans="1:19">
      <c r="A7199" t="s">
        <v>29</v>
      </c>
      <c r="B7199" t="s">
        <v>148</v>
      </c>
      <c r="C7199" t="s">
        <v>161</v>
      </c>
      <c r="D7199" t="s">
        <v>290</v>
      </c>
      <c r="E7199" t="s">
        <v>419</v>
      </c>
      <c r="F7199">
        <f>HYPERLINK("https://www.wikidata.org/wiki/Q33322771", "Q33322771")</f>
        <v>0</v>
      </c>
      <c r="G7199" t="s">
        <v>929</v>
      </c>
      <c r="H7199" t="s">
        <v>5685</v>
      </c>
      <c r="I7199" t="s">
        <v>9465</v>
      </c>
      <c r="J7199" t="s">
        <v>11671</v>
      </c>
      <c r="K7199" t="s">
        <v>16072</v>
      </c>
      <c r="L7199">
        <f>HYPERLINK("https://www2.assemblee-nationale.fr/sycomore/fiche/(num_dept)/2411", "2411")</f>
        <v>0</v>
      </c>
      <c r="N7199">
        <f>HYPERLINK("https://www.wikidata.org/wiki/Q16025569", "Q16025569")</f>
        <v>0</v>
      </c>
      <c r="O7199" t="s">
        <v>20026</v>
      </c>
      <c r="Q7199" t="s">
        <v>18093</v>
      </c>
      <c r="R7199" t="s">
        <v>419</v>
      </c>
      <c r="S7199">
        <v>1147</v>
      </c>
    </row>
    <row r="7200" spans="1:19">
      <c r="A7200" t="s">
        <v>29</v>
      </c>
      <c r="B7200" t="s">
        <v>148</v>
      </c>
      <c r="C7200" t="s">
        <v>161</v>
      </c>
      <c r="D7200" t="s">
        <v>290</v>
      </c>
      <c r="E7200" t="s">
        <v>419</v>
      </c>
      <c r="F7200">
        <f>HYPERLINK("https://www.wikidata.org/wiki/Q33322771", "Q33322771")</f>
        <v>0</v>
      </c>
      <c r="G7200" t="s">
        <v>4027</v>
      </c>
      <c r="H7200" t="s">
        <v>5361</v>
      </c>
      <c r="I7200" t="s">
        <v>9457</v>
      </c>
      <c r="J7200" t="s">
        <v>14570</v>
      </c>
      <c r="K7200" t="s">
        <v>18913</v>
      </c>
      <c r="L7200">
        <f>HYPERLINK("https://www2.assemblee-nationale.fr/sycomore/fiche/(num_dept)/2172", "2172")</f>
        <v>0</v>
      </c>
      <c r="M7200">
        <f>HYPERLINK("https://www.senat.fr/senateur-3eme-republique/david_henri0377r3.html", "david_henri0377r3")</f>
        <v>0</v>
      </c>
      <c r="N7200">
        <f>HYPERLINK("https://www.wikidata.org/wiki/Q3130917", "Q3130917")</f>
        <v>0</v>
      </c>
      <c r="O7200" t="s">
        <v>20039</v>
      </c>
      <c r="P7200" t="s">
        <v>20401</v>
      </c>
      <c r="Q7200" t="s">
        <v>20851</v>
      </c>
      <c r="R7200" t="s">
        <v>419</v>
      </c>
      <c r="S7200">
        <v>1133</v>
      </c>
    </row>
    <row r="7201" spans="1:19">
      <c r="A7201" t="s">
        <v>29</v>
      </c>
      <c r="B7201" t="s">
        <v>148</v>
      </c>
      <c r="C7201" t="s">
        <v>161</v>
      </c>
      <c r="D7201" t="s">
        <v>290</v>
      </c>
      <c r="E7201" t="s">
        <v>419</v>
      </c>
      <c r="F7201">
        <f>HYPERLINK("https://www.wikidata.org/wiki/Q33322771", "Q33322771")</f>
        <v>0</v>
      </c>
      <c r="G7201" t="s">
        <v>1018</v>
      </c>
      <c r="H7201" t="s">
        <v>5768</v>
      </c>
      <c r="I7201" t="s">
        <v>5528</v>
      </c>
      <c r="J7201" t="s">
        <v>11755</v>
      </c>
      <c r="K7201" t="s">
        <v>16032</v>
      </c>
      <c r="L7201">
        <f>HYPERLINK("https://www2.assemblee-nationale.fr/sycomore/fiche/(num_dept)/5699", "5699")</f>
        <v>0</v>
      </c>
      <c r="M7201">
        <f>HYPERLINK("https://www.senat.fr/senateur-3eme-republique/pasqual_leon1381r3.html", "pasqual_leon1381r3")</f>
        <v>0</v>
      </c>
      <c r="N7201">
        <f>HYPERLINK("https://www.wikidata.org/wiki/Q3271250", "Q3271250")</f>
        <v>0</v>
      </c>
      <c r="O7201" t="s">
        <v>20013</v>
      </c>
      <c r="Q7201" t="s">
        <v>20852</v>
      </c>
      <c r="R7201" t="s">
        <v>419</v>
      </c>
      <c r="S7201">
        <v>1098</v>
      </c>
    </row>
    <row r="7202" spans="1:19">
      <c r="A7202" t="s">
        <v>29</v>
      </c>
      <c r="B7202" t="s">
        <v>148</v>
      </c>
      <c r="C7202" t="s">
        <v>161</v>
      </c>
      <c r="D7202" t="s">
        <v>290</v>
      </c>
      <c r="E7202" t="s">
        <v>419</v>
      </c>
      <c r="F7202">
        <f>HYPERLINK("https://www.wikidata.org/wiki/Q33322771", "Q33322771")</f>
        <v>0</v>
      </c>
      <c r="G7202" t="s">
        <v>4028</v>
      </c>
      <c r="H7202" t="s">
        <v>8260</v>
      </c>
      <c r="I7202" t="s">
        <v>11070</v>
      </c>
      <c r="J7202" t="s">
        <v>14571</v>
      </c>
      <c r="K7202" t="s">
        <v>18914</v>
      </c>
      <c r="L7202">
        <f>HYPERLINK("https://www2.assemblee-nationale.fr/sycomore/fiche/(num_dept)/6797", "6797")</f>
        <v>0</v>
      </c>
      <c r="M7202">
        <f>HYPERLINK("https://www.senat.fr/senateur-3eme-republique/rivals_jules0268r3.html", "rivals_jules0268r3")</f>
        <v>0</v>
      </c>
      <c r="N7202">
        <f>HYPERLINK("https://www.wikidata.org/wiki/Q3188887", "Q3188887")</f>
        <v>0</v>
      </c>
      <c r="O7202" t="s">
        <v>19960</v>
      </c>
      <c r="P7202" t="s">
        <v>20401</v>
      </c>
      <c r="Q7202" t="s">
        <v>20853</v>
      </c>
      <c r="R7202" t="s">
        <v>21590</v>
      </c>
      <c r="S7202">
        <v>618</v>
      </c>
    </row>
    <row r="7203" spans="1:19">
      <c r="A7203" t="s">
        <v>29</v>
      </c>
      <c r="B7203" t="s">
        <v>148</v>
      </c>
      <c r="C7203" t="s">
        <v>161</v>
      </c>
      <c r="D7203" t="s">
        <v>290</v>
      </c>
      <c r="E7203" t="s">
        <v>419</v>
      </c>
      <c r="F7203">
        <f>HYPERLINK("https://www.wikidata.org/wiki/Q33322771", "Q33322771")</f>
        <v>0</v>
      </c>
      <c r="G7203" t="s">
        <v>4029</v>
      </c>
      <c r="H7203" t="s">
        <v>8261</v>
      </c>
      <c r="I7203" t="s">
        <v>11071</v>
      </c>
      <c r="J7203" t="s">
        <v>13694</v>
      </c>
      <c r="K7203" t="s">
        <v>18915</v>
      </c>
      <c r="L7203">
        <f>HYPERLINK("https://www2.assemblee-nationale.fr/sycomore/fiche/(num_dept)/2826", "2826")</f>
        <v>0</v>
      </c>
      <c r="M7203">
        <f>HYPERLINK("https://www.senat.fr/senateur-3eme-republique/empereur_cesar1301r3.html", "empereur_cesar1301r3")</f>
        <v>0</v>
      </c>
      <c r="N7203">
        <f>HYPERLINK("https://www.wikidata.org/wiki/Q3010447", "Q3010447")</f>
        <v>0</v>
      </c>
      <c r="O7203" t="s">
        <v>19988</v>
      </c>
      <c r="P7203" t="s">
        <v>20471</v>
      </c>
      <c r="Q7203" t="s">
        <v>13120</v>
      </c>
      <c r="R7203" t="s">
        <v>419</v>
      </c>
      <c r="S7203">
        <v>986</v>
      </c>
    </row>
    <row r="7204" spans="1:19">
      <c r="A7204" t="s">
        <v>29</v>
      </c>
      <c r="B7204" t="s">
        <v>148</v>
      </c>
      <c r="C7204" t="s">
        <v>161</v>
      </c>
      <c r="D7204" t="s">
        <v>290</v>
      </c>
      <c r="E7204" t="s">
        <v>419</v>
      </c>
      <c r="F7204">
        <f>HYPERLINK("https://www.wikidata.org/wiki/Q33322771", "Q33322771")</f>
        <v>0</v>
      </c>
      <c r="G7204" t="s">
        <v>1112</v>
      </c>
      <c r="H7204" t="s">
        <v>5853</v>
      </c>
      <c r="I7204" t="s">
        <v>9666</v>
      </c>
      <c r="J7204" t="s">
        <v>11846</v>
      </c>
      <c r="K7204" t="s">
        <v>16248</v>
      </c>
      <c r="L7204">
        <f>HYPERLINK("https://www2.assemblee-nationale.fr/sycomore/fiche/(num_dept)/3204", "3204")</f>
        <v>0</v>
      </c>
      <c r="N7204">
        <f>HYPERLINK("https://www.wikidata.org/wiki/Q3143609", "Q3143609")</f>
        <v>0</v>
      </c>
      <c r="O7204" t="s">
        <v>19991</v>
      </c>
      <c r="P7204" t="s">
        <v>20410</v>
      </c>
      <c r="Q7204" t="s">
        <v>20854</v>
      </c>
      <c r="R7204" t="s">
        <v>419</v>
      </c>
      <c r="S7204">
        <v>882</v>
      </c>
    </row>
    <row r="7205" spans="1:19">
      <c r="A7205" t="s">
        <v>29</v>
      </c>
      <c r="B7205" t="s">
        <v>148</v>
      </c>
      <c r="C7205" t="s">
        <v>161</v>
      </c>
      <c r="D7205" t="s">
        <v>290</v>
      </c>
      <c r="E7205" t="s">
        <v>419</v>
      </c>
      <c r="F7205">
        <f>HYPERLINK("https://www.wikidata.org/wiki/Q33322771", "Q33322771")</f>
        <v>0</v>
      </c>
      <c r="G7205" t="s">
        <v>567</v>
      </c>
      <c r="H7205" t="s">
        <v>5330</v>
      </c>
      <c r="I7205" t="s">
        <v>9420</v>
      </c>
      <c r="J7205" t="s">
        <v>11318</v>
      </c>
      <c r="K7205" t="s">
        <v>15719</v>
      </c>
      <c r="L7205">
        <f>HYPERLINK("https://www2.assemblee-nationale.fr/sycomore/fiche/(num_dept)/1640", "1640")</f>
        <v>0</v>
      </c>
      <c r="N7205">
        <f>HYPERLINK("https://www.wikidata.org/wiki/Q15974297", "Q15974297")</f>
        <v>0</v>
      </c>
      <c r="O7205" t="s">
        <v>20006</v>
      </c>
      <c r="Q7205" t="s">
        <v>20855</v>
      </c>
      <c r="R7205" t="s">
        <v>419</v>
      </c>
      <c r="S7205">
        <v>825</v>
      </c>
    </row>
    <row r="7206" spans="1:19">
      <c r="A7206" t="s">
        <v>29</v>
      </c>
      <c r="B7206" t="s">
        <v>148</v>
      </c>
      <c r="C7206" t="s">
        <v>161</v>
      </c>
      <c r="D7206" t="s">
        <v>290</v>
      </c>
      <c r="E7206" t="s">
        <v>419</v>
      </c>
      <c r="F7206">
        <f>HYPERLINK("https://www.wikidata.org/wiki/Q33322771", "Q33322771")</f>
        <v>0</v>
      </c>
      <c r="G7206" t="s">
        <v>4030</v>
      </c>
      <c r="H7206" t="s">
        <v>8262</v>
      </c>
      <c r="I7206" t="s">
        <v>11072</v>
      </c>
      <c r="J7206" t="s">
        <v>14572</v>
      </c>
      <c r="K7206" t="s">
        <v>18916</v>
      </c>
      <c r="L7206">
        <f>HYPERLINK("https://www2.assemblee-nationale.fr/sycomore/fiche/(num_dept)/178", "178")</f>
        <v>0</v>
      </c>
      <c r="N7206">
        <f>HYPERLINK("https://www.wikidata.org/wiki/Q15973313", "Q15973313")</f>
        <v>0</v>
      </c>
      <c r="O7206" t="s">
        <v>8449</v>
      </c>
      <c r="P7206" t="s">
        <v>20477</v>
      </c>
      <c r="Q7206" t="s">
        <v>20856</v>
      </c>
      <c r="R7206" t="s">
        <v>419</v>
      </c>
      <c r="S7206">
        <v>819</v>
      </c>
    </row>
    <row r="7207" spans="1:19">
      <c r="A7207" t="s">
        <v>29</v>
      </c>
      <c r="B7207" t="s">
        <v>148</v>
      </c>
      <c r="C7207" t="s">
        <v>161</v>
      </c>
      <c r="D7207" t="s">
        <v>290</v>
      </c>
      <c r="E7207" t="s">
        <v>419</v>
      </c>
      <c r="F7207">
        <f>HYPERLINK("https://www.wikidata.org/wiki/Q33322771", "Q33322771")</f>
        <v>0</v>
      </c>
      <c r="G7207" t="s">
        <v>907</v>
      </c>
      <c r="H7207" t="s">
        <v>5663</v>
      </c>
      <c r="I7207" t="s">
        <v>7419</v>
      </c>
      <c r="J7207" t="s">
        <v>11651</v>
      </c>
      <c r="K7207" t="s">
        <v>385</v>
      </c>
      <c r="L7207">
        <f>HYPERLINK("https://www2.assemblee-nationale.fr/sycomore/fiche/(num_dept)/1720", "1720")</f>
        <v>0</v>
      </c>
      <c r="N7207">
        <f>HYPERLINK("https://www.wikidata.org/wiki/Q16025433", "Q16025433")</f>
        <v>0</v>
      </c>
      <c r="O7207" t="s">
        <v>19994</v>
      </c>
      <c r="P7207" t="s">
        <v>20477</v>
      </c>
      <c r="Q7207" t="s">
        <v>20857</v>
      </c>
      <c r="R7207" t="s">
        <v>419</v>
      </c>
      <c r="S7207">
        <v>811</v>
      </c>
    </row>
    <row r="7208" spans="1:19">
      <c r="A7208" t="s">
        <v>29</v>
      </c>
      <c r="B7208" t="s">
        <v>148</v>
      </c>
      <c r="C7208" t="s">
        <v>161</v>
      </c>
      <c r="D7208" t="s">
        <v>290</v>
      </c>
      <c r="E7208" t="s">
        <v>419</v>
      </c>
      <c r="F7208">
        <f>HYPERLINK("https://www.wikidata.org/wiki/Q33322771", "Q33322771")</f>
        <v>0</v>
      </c>
      <c r="G7208" t="s">
        <v>791</v>
      </c>
      <c r="H7208" t="s">
        <v>5548</v>
      </c>
      <c r="I7208" t="s">
        <v>9525</v>
      </c>
      <c r="J7208" t="s">
        <v>11538</v>
      </c>
      <c r="K7208" t="s">
        <v>15942</v>
      </c>
      <c r="L7208">
        <f>HYPERLINK("https://www2.assemblee-nationale.fr/sycomore/fiche/(num_dept)/6477", "6477")</f>
        <v>0</v>
      </c>
      <c r="N7208">
        <f>HYPERLINK("https://www.wikidata.org/wiki/Q15233775", "Q15233775")</f>
        <v>0</v>
      </c>
      <c r="O7208" t="s">
        <v>19970</v>
      </c>
      <c r="Q7208" t="s">
        <v>20857</v>
      </c>
      <c r="R7208" t="s">
        <v>419</v>
      </c>
      <c r="S7208">
        <v>811</v>
      </c>
    </row>
    <row r="7209" spans="1:19">
      <c r="A7209" t="s">
        <v>29</v>
      </c>
      <c r="B7209" t="s">
        <v>148</v>
      </c>
      <c r="C7209" t="s">
        <v>161</v>
      </c>
      <c r="D7209" t="s">
        <v>290</v>
      </c>
      <c r="E7209" t="s">
        <v>419</v>
      </c>
      <c r="F7209">
        <f>HYPERLINK("https://www.wikidata.org/wiki/Q33322771", "Q33322771")</f>
        <v>0</v>
      </c>
      <c r="G7209" t="s">
        <v>4031</v>
      </c>
      <c r="H7209" t="s">
        <v>6895</v>
      </c>
      <c r="I7209" t="s">
        <v>11073</v>
      </c>
      <c r="J7209" t="s">
        <v>14573</v>
      </c>
      <c r="L7209">
        <f>HYPERLINK("https://www2.assemblee-nationale.fr/sycomore/fiche/(num_dept)/2145", "2145")</f>
        <v>0</v>
      </c>
      <c r="N7209">
        <f>HYPERLINK("https://www.wikidata.org/wiki/Q16025705", "Q16025705")</f>
        <v>0</v>
      </c>
      <c r="O7209" t="s">
        <v>20027</v>
      </c>
      <c r="P7209" t="s">
        <v>20409</v>
      </c>
      <c r="Q7209" t="s">
        <v>20858</v>
      </c>
      <c r="R7209" t="s">
        <v>419</v>
      </c>
      <c r="S7209">
        <v>804</v>
      </c>
    </row>
    <row r="7210" spans="1:19">
      <c r="A7210" t="s">
        <v>29</v>
      </c>
      <c r="B7210" t="s">
        <v>148</v>
      </c>
      <c r="C7210" t="s">
        <v>161</v>
      </c>
      <c r="D7210" t="s">
        <v>290</v>
      </c>
      <c r="E7210" t="s">
        <v>419</v>
      </c>
      <c r="F7210">
        <f>HYPERLINK("https://www.wikidata.org/wiki/Q33322771", "Q33322771")</f>
        <v>0</v>
      </c>
      <c r="G7210" t="s">
        <v>967</v>
      </c>
      <c r="H7210" t="s">
        <v>5719</v>
      </c>
      <c r="I7210" t="s">
        <v>9407</v>
      </c>
      <c r="J7210" t="s">
        <v>11706</v>
      </c>
      <c r="K7210" t="s">
        <v>16109</v>
      </c>
      <c r="L7210">
        <f>HYPERLINK("https://www2.assemblee-nationale.fr/sycomore/fiche/(num_dept)/3482", "3482")</f>
        <v>0</v>
      </c>
      <c r="M7210">
        <f>HYPERLINK("https://www.senat.fr/senateur-3eme-republique/de_gontaut_biron_joseph1050r3.html", "de_gontaut_biron_joseph1050r3")</f>
        <v>0</v>
      </c>
      <c r="N7210">
        <f>HYPERLINK("https://www.wikidata.org/wiki/Q3185836", "Q3185836")</f>
        <v>0</v>
      </c>
      <c r="O7210" t="s">
        <v>19970</v>
      </c>
      <c r="P7210" t="s">
        <v>20479</v>
      </c>
      <c r="Q7210" t="s">
        <v>20858</v>
      </c>
      <c r="R7210" t="s">
        <v>419</v>
      </c>
      <c r="S7210">
        <v>804</v>
      </c>
    </row>
    <row r="7211" spans="1:19">
      <c r="A7211" t="s">
        <v>29</v>
      </c>
      <c r="B7211" t="s">
        <v>148</v>
      </c>
      <c r="C7211" t="s">
        <v>161</v>
      </c>
      <c r="D7211" t="s">
        <v>290</v>
      </c>
      <c r="E7211" t="s">
        <v>419</v>
      </c>
      <c r="F7211">
        <f>HYPERLINK("https://www.wikidata.org/wiki/Q33322771", "Q33322771")</f>
        <v>0</v>
      </c>
      <c r="G7211" t="s">
        <v>4032</v>
      </c>
      <c r="H7211" t="s">
        <v>8263</v>
      </c>
      <c r="I7211" t="s">
        <v>11074</v>
      </c>
      <c r="J7211" t="s">
        <v>13272</v>
      </c>
      <c r="K7211" t="s">
        <v>18888</v>
      </c>
      <c r="L7211">
        <f>HYPERLINK("https://www2.assemblee-nationale.fr/sycomore/fiche/(num_dept)/2885", "2885")</f>
        <v>0</v>
      </c>
      <c r="N7211">
        <f>HYPERLINK("https://www.wikidata.org/wiki/Q8344335", "Q8344335")</f>
        <v>0</v>
      </c>
      <c r="O7211" t="s">
        <v>20036</v>
      </c>
      <c r="P7211" t="s">
        <v>20479</v>
      </c>
      <c r="Q7211" t="s">
        <v>20859</v>
      </c>
      <c r="R7211" t="s">
        <v>419</v>
      </c>
      <c r="S7211">
        <v>797</v>
      </c>
    </row>
    <row r="7212" spans="1:19">
      <c r="A7212" t="s">
        <v>29</v>
      </c>
      <c r="B7212" t="s">
        <v>148</v>
      </c>
      <c r="C7212" t="s">
        <v>161</v>
      </c>
      <c r="D7212" t="s">
        <v>290</v>
      </c>
      <c r="E7212" t="s">
        <v>419</v>
      </c>
      <c r="F7212">
        <f>HYPERLINK("https://www.wikidata.org/wiki/Q33322771", "Q33322771")</f>
        <v>0</v>
      </c>
      <c r="G7212" t="s">
        <v>794</v>
      </c>
      <c r="H7212" t="s">
        <v>5551</v>
      </c>
      <c r="I7212" t="s">
        <v>6495</v>
      </c>
      <c r="J7212" t="s">
        <v>11541</v>
      </c>
      <c r="K7212" t="s">
        <v>15945</v>
      </c>
      <c r="L7212">
        <f>HYPERLINK("https://www2.assemblee-nationale.fr/sycomore/fiche/(num_dept)/6551", "6551")</f>
        <v>0</v>
      </c>
      <c r="M7212">
        <f>HYPERLINK("https://www.senat.fr/senateur-3eme-republique/quesnel_louis1575r3.html", "quesnel_louis1575r3")</f>
        <v>0</v>
      </c>
      <c r="N7212">
        <f>HYPERLINK("https://www.wikidata.org/wiki/Q3262977", "Q3262977")</f>
        <v>0</v>
      </c>
      <c r="O7212" t="s">
        <v>19978</v>
      </c>
      <c r="P7212" t="s">
        <v>20479</v>
      </c>
      <c r="Q7212" t="s">
        <v>20859</v>
      </c>
      <c r="R7212" t="s">
        <v>419</v>
      </c>
      <c r="S7212">
        <v>797</v>
      </c>
    </row>
    <row r="7213" spans="1:19">
      <c r="A7213" t="s">
        <v>29</v>
      </c>
      <c r="B7213" t="s">
        <v>148</v>
      </c>
      <c r="C7213" t="s">
        <v>161</v>
      </c>
      <c r="D7213" t="s">
        <v>290</v>
      </c>
      <c r="E7213" t="s">
        <v>419</v>
      </c>
      <c r="F7213">
        <f>HYPERLINK("https://www.wikidata.org/wiki/Q33322771", "Q33322771")</f>
        <v>0</v>
      </c>
      <c r="G7213" t="s">
        <v>4033</v>
      </c>
      <c r="H7213" t="s">
        <v>8264</v>
      </c>
      <c r="I7213" t="s">
        <v>9552</v>
      </c>
      <c r="J7213" t="s">
        <v>14574</v>
      </c>
      <c r="K7213" t="s">
        <v>18658</v>
      </c>
      <c r="L7213">
        <f>HYPERLINK("https://www2.assemblee-nationale.fr/sycomore/fiche/(num_dept)/3434", "3434")</f>
        <v>0</v>
      </c>
      <c r="N7213">
        <f>HYPERLINK("https://www.wikidata.org/wiki/Q16025778", "Q16025778")</f>
        <v>0</v>
      </c>
      <c r="O7213" t="s">
        <v>19982</v>
      </c>
      <c r="P7213" t="s">
        <v>20471</v>
      </c>
      <c r="Q7213" t="s">
        <v>20860</v>
      </c>
      <c r="R7213" t="s">
        <v>419</v>
      </c>
      <c r="S7213">
        <v>769</v>
      </c>
    </row>
    <row r="7214" spans="1:19">
      <c r="A7214" t="s">
        <v>29</v>
      </c>
      <c r="B7214" t="s">
        <v>148</v>
      </c>
      <c r="C7214" t="s">
        <v>161</v>
      </c>
      <c r="D7214" t="s">
        <v>290</v>
      </c>
      <c r="E7214" t="s">
        <v>419</v>
      </c>
      <c r="F7214">
        <f>HYPERLINK("https://www.wikidata.org/wiki/Q33322771", "Q33322771")</f>
        <v>0</v>
      </c>
      <c r="G7214" t="s">
        <v>4034</v>
      </c>
      <c r="H7214" t="s">
        <v>8265</v>
      </c>
      <c r="I7214" t="s">
        <v>9401</v>
      </c>
      <c r="J7214" t="s">
        <v>14575</v>
      </c>
      <c r="K7214" t="s">
        <v>18917</v>
      </c>
      <c r="L7214">
        <f>HYPERLINK("https://www2.assemblee-nationale.fr/sycomore/fiche/(num_dept)/5330", "5330")</f>
        <v>0</v>
      </c>
      <c r="M7214">
        <f>HYPERLINK("https://www.senat.fr/senateur-3eme-republique/mollard_antoine0451r3.html", "mollard_antoine0451r3")</f>
        <v>0</v>
      </c>
      <c r="N7214">
        <f>HYPERLINK("https://www.wikidata.org/wiki/Q2854255", "Q2854255")</f>
        <v>0</v>
      </c>
      <c r="O7214" t="s">
        <v>20041</v>
      </c>
      <c r="P7214" t="s">
        <v>20402</v>
      </c>
      <c r="Q7214" t="s">
        <v>20861</v>
      </c>
      <c r="R7214" t="s">
        <v>419</v>
      </c>
      <c r="S7214">
        <v>727</v>
      </c>
    </row>
    <row r="7215" spans="1:19">
      <c r="A7215" t="s">
        <v>29</v>
      </c>
      <c r="B7215" t="s">
        <v>148</v>
      </c>
      <c r="C7215" t="s">
        <v>161</v>
      </c>
      <c r="D7215" t="s">
        <v>290</v>
      </c>
      <c r="E7215" t="s">
        <v>419</v>
      </c>
      <c r="F7215">
        <f>HYPERLINK("https://www.wikidata.org/wiki/Q33322771", "Q33322771")</f>
        <v>0</v>
      </c>
      <c r="G7215" t="s">
        <v>4035</v>
      </c>
      <c r="H7215" t="s">
        <v>8183</v>
      </c>
      <c r="I7215" t="s">
        <v>7911</v>
      </c>
      <c r="J7215" t="s">
        <v>14576</v>
      </c>
      <c r="K7215" t="s">
        <v>18918</v>
      </c>
      <c r="L7215">
        <f>HYPERLINK("https://www2.assemblee-nationale.fr/sycomore/fiche/(num_dept)/5299", "5299")</f>
        <v>0</v>
      </c>
      <c r="N7215">
        <f>HYPERLINK("https://www.wikidata.org/wiki/Q3093878", "Q3093878")</f>
        <v>0</v>
      </c>
      <c r="O7215" t="s">
        <v>20011</v>
      </c>
      <c r="P7215" t="s">
        <v>20479</v>
      </c>
      <c r="Q7215" t="s">
        <v>20862</v>
      </c>
      <c r="R7215" t="s">
        <v>419</v>
      </c>
      <c r="S7215">
        <v>712</v>
      </c>
    </row>
    <row r="7216" spans="1:19">
      <c r="A7216" t="s">
        <v>29</v>
      </c>
      <c r="B7216" t="s">
        <v>148</v>
      </c>
      <c r="C7216" t="s">
        <v>161</v>
      </c>
      <c r="D7216" t="s">
        <v>290</v>
      </c>
      <c r="E7216" t="s">
        <v>419</v>
      </c>
      <c r="F7216">
        <f>HYPERLINK("https://www.wikidata.org/wiki/Q33322771", "Q33322771")</f>
        <v>0</v>
      </c>
      <c r="G7216" t="s">
        <v>547</v>
      </c>
      <c r="H7216" t="s">
        <v>5310</v>
      </c>
      <c r="I7216" t="s">
        <v>9406</v>
      </c>
      <c r="J7216" t="s">
        <v>11299</v>
      </c>
      <c r="K7216" t="s">
        <v>15699</v>
      </c>
      <c r="L7216">
        <f>HYPERLINK("https://www2.assemblee-nationale.fr/sycomore/fiche/(num_dept)/1107", "1107")</f>
        <v>0</v>
      </c>
      <c r="N7216">
        <f>HYPERLINK("https://www.wikidata.org/wiki/Q2958427", "Q2958427")</f>
        <v>0</v>
      </c>
      <c r="O7216" t="s">
        <v>19992</v>
      </c>
      <c r="Q7216" t="s">
        <v>20863</v>
      </c>
      <c r="R7216" t="s">
        <v>419</v>
      </c>
      <c r="S7216">
        <v>706</v>
      </c>
    </row>
    <row r="7217" spans="1:19">
      <c r="A7217" t="s">
        <v>29</v>
      </c>
      <c r="B7217" t="s">
        <v>148</v>
      </c>
      <c r="C7217" t="s">
        <v>161</v>
      </c>
      <c r="D7217" t="s">
        <v>290</v>
      </c>
      <c r="E7217" t="s">
        <v>419</v>
      </c>
      <c r="F7217">
        <f>HYPERLINK("https://www.wikidata.org/wiki/Q33322771", "Q33322771")</f>
        <v>0</v>
      </c>
      <c r="G7217" t="s">
        <v>4036</v>
      </c>
      <c r="H7217" t="s">
        <v>8266</v>
      </c>
      <c r="I7217" t="s">
        <v>7790</v>
      </c>
      <c r="J7217" t="s">
        <v>14577</v>
      </c>
      <c r="K7217" t="s">
        <v>18919</v>
      </c>
      <c r="L7217">
        <f>HYPERLINK("https://www2.assemblee-nationale.fr/sycomore/fiche/(num_dept)/1440", "1440")</f>
        <v>0</v>
      </c>
      <c r="N7217">
        <f>HYPERLINK("https://www.wikidata.org/wiki/Q15974134", "Q15974134")</f>
        <v>0</v>
      </c>
      <c r="O7217" t="s">
        <v>20013</v>
      </c>
      <c r="P7217" t="s">
        <v>20409</v>
      </c>
      <c r="Q7217" t="s">
        <v>20863</v>
      </c>
      <c r="R7217" t="s">
        <v>419</v>
      </c>
      <c r="S7217">
        <v>706</v>
      </c>
    </row>
    <row r="7218" spans="1:19">
      <c r="A7218" t="s">
        <v>29</v>
      </c>
      <c r="B7218" t="s">
        <v>148</v>
      </c>
      <c r="C7218" t="s">
        <v>161</v>
      </c>
      <c r="D7218" t="s">
        <v>290</v>
      </c>
      <c r="E7218" t="s">
        <v>419</v>
      </c>
      <c r="F7218">
        <f>HYPERLINK("https://www.wikidata.org/wiki/Q33322771", "Q33322771")</f>
        <v>0</v>
      </c>
      <c r="G7218" t="s">
        <v>4037</v>
      </c>
      <c r="H7218" t="s">
        <v>8267</v>
      </c>
      <c r="I7218" t="s">
        <v>9472</v>
      </c>
      <c r="J7218" t="s">
        <v>14578</v>
      </c>
      <c r="K7218" t="s">
        <v>18920</v>
      </c>
      <c r="L7218">
        <f>HYPERLINK("https://www2.assemblee-nationale.fr/sycomore/fiche/(num_dept)/3345", "3345")</f>
        <v>0</v>
      </c>
      <c r="M7218">
        <f>HYPERLINK("https://www.senat.fr/senateur-3eme-republique/gentil_hippolyte1639r3.html", "gentil_hippolyte1639r3")</f>
        <v>0</v>
      </c>
      <c r="N7218">
        <f>HYPERLINK("https://www.wikidata.org/wiki/Q3136063", "Q3136063")</f>
        <v>0</v>
      </c>
      <c r="O7218" t="s">
        <v>20021</v>
      </c>
      <c r="P7218" t="s">
        <v>20471</v>
      </c>
      <c r="Q7218" t="s">
        <v>20864</v>
      </c>
      <c r="R7218" t="s">
        <v>419</v>
      </c>
      <c r="S7218">
        <v>678</v>
      </c>
    </row>
    <row r="7219" spans="1:19">
      <c r="A7219" t="s">
        <v>29</v>
      </c>
      <c r="B7219" t="s">
        <v>148</v>
      </c>
      <c r="C7219" t="s">
        <v>161</v>
      </c>
      <c r="D7219" t="s">
        <v>290</v>
      </c>
      <c r="E7219" t="s">
        <v>419</v>
      </c>
      <c r="F7219">
        <f>HYPERLINK("https://www.wikidata.org/wiki/Q33322771", "Q33322771")</f>
        <v>0</v>
      </c>
      <c r="G7219" t="s">
        <v>579</v>
      </c>
      <c r="H7219" t="s">
        <v>5341</v>
      </c>
      <c r="I7219" t="s">
        <v>5394</v>
      </c>
      <c r="J7219" t="s">
        <v>11330</v>
      </c>
      <c r="K7219" t="s">
        <v>15731</v>
      </c>
      <c r="L7219">
        <f>HYPERLINK("https://www2.assemblee-nationale.fr/sycomore/fiche/(num_dept)/1849", "1849")</f>
        <v>0</v>
      </c>
      <c r="M7219">
        <f>HYPERLINK("https://www.senat.fr/senateur-3eme-republique/clementel_etienne1006r3.html", "clementel_etienne1006r3")</f>
        <v>0</v>
      </c>
      <c r="N7219">
        <f>HYPERLINK("https://www.wikidata.org/wiki/Q3592114", "Q3592114")</f>
        <v>0</v>
      </c>
      <c r="O7219" t="s">
        <v>20005</v>
      </c>
      <c r="Q7219" t="s">
        <v>20865</v>
      </c>
      <c r="R7219" t="s">
        <v>419</v>
      </c>
      <c r="S7219">
        <v>622</v>
      </c>
    </row>
    <row r="7220" spans="1:19">
      <c r="A7220" t="s">
        <v>29</v>
      </c>
      <c r="B7220" t="s">
        <v>148</v>
      </c>
      <c r="C7220" t="s">
        <v>161</v>
      </c>
      <c r="D7220" t="s">
        <v>290</v>
      </c>
      <c r="E7220" t="s">
        <v>419</v>
      </c>
      <c r="F7220">
        <f>HYPERLINK("https://www.wikidata.org/wiki/Q33322771", "Q33322771")</f>
        <v>0</v>
      </c>
      <c r="G7220" t="s">
        <v>4038</v>
      </c>
      <c r="H7220" t="s">
        <v>8268</v>
      </c>
      <c r="I7220" t="s">
        <v>6495</v>
      </c>
      <c r="J7220" t="s">
        <v>14579</v>
      </c>
      <c r="K7220" t="s">
        <v>18921</v>
      </c>
      <c r="L7220">
        <f>HYPERLINK("https://www2.assemblee-nationale.fr/sycomore/fiche/(num_dept)/7427", "7427")</f>
        <v>0</v>
      </c>
      <c r="N7220">
        <f>HYPERLINK("https://www.wikidata.org/wiki/Q8332480", "Q8332480")</f>
        <v>0</v>
      </c>
      <c r="O7220" t="s">
        <v>19993</v>
      </c>
      <c r="P7220" t="s">
        <v>20402</v>
      </c>
      <c r="Q7220" t="s">
        <v>20865</v>
      </c>
      <c r="R7220" t="s">
        <v>419</v>
      </c>
      <c r="S7220">
        <v>622</v>
      </c>
    </row>
    <row r="7221" spans="1:19">
      <c r="A7221" t="s">
        <v>29</v>
      </c>
      <c r="B7221" t="s">
        <v>148</v>
      </c>
      <c r="C7221" t="s">
        <v>161</v>
      </c>
      <c r="D7221" t="s">
        <v>290</v>
      </c>
      <c r="E7221" t="s">
        <v>419</v>
      </c>
      <c r="F7221">
        <f>HYPERLINK("https://www.wikidata.org/wiki/Q33322771", "Q33322771")</f>
        <v>0</v>
      </c>
      <c r="G7221" t="s">
        <v>4039</v>
      </c>
      <c r="H7221" t="s">
        <v>6501</v>
      </c>
      <c r="I7221" t="s">
        <v>6495</v>
      </c>
      <c r="J7221" t="s">
        <v>14580</v>
      </c>
      <c r="K7221" t="s">
        <v>16212</v>
      </c>
      <c r="L7221">
        <f>HYPERLINK("https://www2.assemblee-nationale.fr/sycomore/fiche/(num_dept)/5043", "5043")</f>
        <v>0</v>
      </c>
      <c r="N7221">
        <f>HYPERLINK("https://www.wikidata.org/wiki/Q3262649", "Q3262649")</f>
        <v>0</v>
      </c>
      <c r="O7221" t="s">
        <v>20042</v>
      </c>
      <c r="P7221" t="s">
        <v>20402</v>
      </c>
      <c r="Q7221" t="s">
        <v>20866</v>
      </c>
      <c r="R7221" t="s">
        <v>419</v>
      </c>
      <c r="S7221">
        <v>545</v>
      </c>
    </row>
    <row r="7222" spans="1:19">
      <c r="A7222" t="s">
        <v>29</v>
      </c>
      <c r="B7222" t="s">
        <v>148</v>
      </c>
      <c r="C7222" t="s">
        <v>161</v>
      </c>
      <c r="D7222" t="s">
        <v>290</v>
      </c>
      <c r="E7222" t="s">
        <v>419</v>
      </c>
      <c r="F7222">
        <f>HYPERLINK("https://www.wikidata.org/wiki/Q33322771", "Q33322771")</f>
        <v>0</v>
      </c>
      <c r="G7222" t="s">
        <v>4040</v>
      </c>
      <c r="H7222" t="s">
        <v>8269</v>
      </c>
      <c r="I7222" t="s">
        <v>11075</v>
      </c>
      <c r="J7222" t="s">
        <v>14581</v>
      </c>
      <c r="K7222" t="s">
        <v>16678</v>
      </c>
      <c r="L7222">
        <f>HYPERLINK("https://www2.assemblee-nationale.fr/sycomore/fiche/(num_dept)/7428", "7428")</f>
        <v>0</v>
      </c>
      <c r="N7222">
        <f>HYPERLINK("https://www.wikidata.org/wiki/Q16026580", "Q16026580")</f>
        <v>0</v>
      </c>
      <c r="O7222" t="s">
        <v>19968</v>
      </c>
      <c r="P7222" t="s">
        <v>20459</v>
      </c>
      <c r="Q7222" t="s">
        <v>20866</v>
      </c>
      <c r="R7222" t="s">
        <v>419</v>
      </c>
      <c r="S7222">
        <v>545</v>
      </c>
    </row>
    <row r="7223" spans="1:19">
      <c r="A7223" t="s">
        <v>29</v>
      </c>
      <c r="B7223" t="s">
        <v>148</v>
      </c>
      <c r="C7223" t="s">
        <v>161</v>
      </c>
      <c r="D7223" t="s">
        <v>290</v>
      </c>
      <c r="E7223" t="s">
        <v>419</v>
      </c>
      <c r="F7223">
        <f>HYPERLINK("https://www.wikidata.org/wiki/Q33322771", "Q33322771")</f>
        <v>0</v>
      </c>
      <c r="G7223" t="s">
        <v>688</v>
      </c>
      <c r="H7223" t="s">
        <v>5446</v>
      </c>
      <c r="I7223" t="s">
        <v>9480</v>
      </c>
      <c r="J7223" t="s">
        <v>11438</v>
      </c>
      <c r="K7223" t="s">
        <v>15839</v>
      </c>
      <c r="L7223">
        <f>HYPERLINK("https://www2.assemblee-nationale.fr/sycomore/fiche/(num_dept)/3936", "3936")</f>
        <v>0</v>
      </c>
      <c r="N7223">
        <f>HYPERLINK("https://www.wikidata.org/wiki/Q3263360", "Q3263360")</f>
        <v>0</v>
      </c>
      <c r="O7223" t="s">
        <v>19970</v>
      </c>
      <c r="Q7223" t="s">
        <v>20867</v>
      </c>
      <c r="R7223" t="s">
        <v>419</v>
      </c>
      <c r="S7223">
        <v>531</v>
      </c>
    </row>
    <row r="7224" spans="1:19">
      <c r="A7224" t="s">
        <v>29</v>
      </c>
      <c r="B7224" t="s">
        <v>148</v>
      </c>
      <c r="C7224" t="s">
        <v>161</v>
      </c>
      <c r="D7224" t="s">
        <v>290</v>
      </c>
      <c r="E7224" t="s">
        <v>419</v>
      </c>
      <c r="F7224">
        <f>HYPERLINK("https://www.wikidata.org/wiki/Q33322771", "Q33322771")</f>
        <v>0</v>
      </c>
      <c r="G7224" t="s">
        <v>846</v>
      </c>
      <c r="H7224" t="s">
        <v>5603</v>
      </c>
      <c r="I7224" t="s">
        <v>6584</v>
      </c>
      <c r="J7224" t="s">
        <v>11593</v>
      </c>
      <c r="K7224" t="s">
        <v>15784</v>
      </c>
      <c r="L7224">
        <f>HYPERLINK("https://www2.assemblee-nationale.fr/sycomore/fiche/(num_dept)/7652", "7652")</f>
        <v>0</v>
      </c>
      <c r="M7224">
        <f>HYPERLINK("https://www.senat.fr/senateur-3eme-republique/lebrun_albert0945r3.html", "lebrun_albert0945r3")</f>
        <v>0</v>
      </c>
      <c r="N7224">
        <f>HYPERLINK("https://www.wikidata.org/wiki/Q158749", "Q158749")</f>
        <v>0</v>
      </c>
      <c r="O7224" t="s">
        <v>20007</v>
      </c>
      <c r="P7224" t="s">
        <v>20479</v>
      </c>
      <c r="Q7224" t="s">
        <v>19357</v>
      </c>
      <c r="R7224" t="s">
        <v>419</v>
      </c>
      <c r="S7224">
        <v>524</v>
      </c>
    </row>
    <row r="7225" spans="1:19">
      <c r="A7225" t="s">
        <v>29</v>
      </c>
      <c r="B7225" t="s">
        <v>148</v>
      </c>
      <c r="C7225" t="s">
        <v>161</v>
      </c>
      <c r="D7225" t="s">
        <v>290</v>
      </c>
      <c r="E7225" t="s">
        <v>419</v>
      </c>
      <c r="F7225">
        <f>HYPERLINK("https://www.wikidata.org/wiki/Q33322771", "Q33322771")</f>
        <v>0</v>
      </c>
      <c r="G7225" t="s">
        <v>4041</v>
      </c>
      <c r="H7225" t="s">
        <v>7339</v>
      </c>
      <c r="I7225" t="s">
        <v>11076</v>
      </c>
      <c r="J7225" t="s">
        <v>14582</v>
      </c>
      <c r="K7225" t="s">
        <v>18922</v>
      </c>
      <c r="L7225">
        <f>HYPERLINK("https://www2.assemblee-nationale.fr/sycomore/fiche/(num_dept)/632", "632")</f>
        <v>0</v>
      </c>
      <c r="N7225">
        <f>HYPERLINK("https://www.wikidata.org/wiki/Q2831655", "Q2831655")</f>
        <v>0</v>
      </c>
      <c r="O7225" t="s">
        <v>20030</v>
      </c>
      <c r="P7225" t="s">
        <v>20410</v>
      </c>
      <c r="Q7225" t="s">
        <v>20868</v>
      </c>
      <c r="R7225" t="s">
        <v>419</v>
      </c>
      <c r="S7225">
        <v>496</v>
      </c>
    </row>
    <row r="7226" spans="1:19">
      <c r="A7226" t="s">
        <v>29</v>
      </c>
      <c r="B7226" t="s">
        <v>148</v>
      </c>
      <c r="C7226" t="s">
        <v>161</v>
      </c>
      <c r="D7226" t="s">
        <v>290</v>
      </c>
      <c r="E7226" t="s">
        <v>419</v>
      </c>
      <c r="F7226">
        <f>HYPERLINK("https://www.wikidata.org/wiki/Q33322771", "Q33322771")</f>
        <v>0</v>
      </c>
      <c r="G7226" t="s">
        <v>3133</v>
      </c>
      <c r="H7226" t="s">
        <v>7574</v>
      </c>
      <c r="I7226" t="s">
        <v>10651</v>
      </c>
      <c r="J7226" t="s">
        <v>13755</v>
      </c>
      <c r="K7226" t="s">
        <v>18132</v>
      </c>
      <c r="L7226">
        <f>HYPERLINK("https://www2.assemblee-nationale.fr/sycomore/fiche/(num_dept)/3882", "3882")</f>
        <v>0</v>
      </c>
      <c r="N7226">
        <f>HYPERLINK("https://www.wikidata.org/wiki/Q16025854", "Q16025854")</f>
        <v>0</v>
      </c>
      <c r="O7226" t="s">
        <v>20033</v>
      </c>
      <c r="P7226" t="s">
        <v>20477</v>
      </c>
      <c r="Q7226" t="s">
        <v>20869</v>
      </c>
      <c r="R7226" t="s">
        <v>419</v>
      </c>
      <c r="S7226">
        <v>489</v>
      </c>
    </row>
    <row r="7227" spans="1:19">
      <c r="A7227" t="s">
        <v>29</v>
      </c>
      <c r="B7227" t="s">
        <v>148</v>
      </c>
      <c r="C7227" t="s">
        <v>161</v>
      </c>
      <c r="D7227" t="s">
        <v>290</v>
      </c>
      <c r="E7227" t="s">
        <v>419</v>
      </c>
      <c r="F7227">
        <f>HYPERLINK("https://www.wikidata.org/wiki/Q33322771", "Q33322771")</f>
        <v>0</v>
      </c>
      <c r="G7227" t="s">
        <v>957</v>
      </c>
      <c r="H7227" t="s">
        <v>5709</v>
      </c>
      <c r="I7227" t="s">
        <v>6166</v>
      </c>
      <c r="J7227" t="s">
        <v>11698</v>
      </c>
      <c r="K7227" t="s">
        <v>16099</v>
      </c>
      <c r="L7227">
        <f>HYPERLINK("https://www2.assemblee-nationale.fr/sycomore/fiche/(num_dept)/3097", "3097")</f>
        <v>0</v>
      </c>
      <c r="N7227">
        <f>HYPERLINK("https://www.wikidata.org/wiki/Q868324", "Q868324")</f>
        <v>0</v>
      </c>
      <c r="O7227" t="s">
        <v>20014</v>
      </c>
      <c r="Q7227" t="s">
        <v>20870</v>
      </c>
      <c r="R7227" t="s">
        <v>419</v>
      </c>
      <c r="S7227">
        <v>482</v>
      </c>
    </row>
    <row r="7228" spans="1:19">
      <c r="A7228" t="s">
        <v>29</v>
      </c>
      <c r="B7228" t="s">
        <v>148</v>
      </c>
      <c r="C7228" t="s">
        <v>161</v>
      </c>
      <c r="D7228" t="s">
        <v>290</v>
      </c>
      <c r="E7228" t="s">
        <v>419</v>
      </c>
      <c r="F7228">
        <f>HYPERLINK("https://www.wikidata.org/wiki/Q33322771", "Q33322771")</f>
        <v>0</v>
      </c>
      <c r="G7228" t="s">
        <v>4042</v>
      </c>
      <c r="H7228" t="s">
        <v>8270</v>
      </c>
      <c r="I7228" t="s">
        <v>11077</v>
      </c>
      <c r="J7228" t="s">
        <v>14583</v>
      </c>
      <c r="K7228" t="s">
        <v>18923</v>
      </c>
      <c r="L7228">
        <f>HYPERLINK("https://www2.assemblee-nationale.fr/sycomore/fiche/(num_dept)/1959", "1959")</f>
        <v>0</v>
      </c>
      <c r="N7228">
        <f>HYPERLINK("https://www.wikidata.org/wiki/Q15741812", "Q15741812")</f>
        <v>0</v>
      </c>
      <c r="O7228" t="s">
        <v>19982</v>
      </c>
      <c r="P7228" t="s">
        <v>20457</v>
      </c>
      <c r="Q7228" t="s">
        <v>20871</v>
      </c>
      <c r="R7228" t="s">
        <v>419</v>
      </c>
      <c r="S7228">
        <v>475</v>
      </c>
    </row>
    <row r="7229" spans="1:19">
      <c r="A7229" t="s">
        <v>29</v>
      </c>
      <c r="B7229" t="s">
        <v>148</v>
      </c>
      <c r="C7229" t="s">
        <v>161</v>
      </c>
      <c r="D7229" t="s">
        <v>290</v>
      </c>
      <c r="E7229" t="s">
        <v>419</v>
      </c>
      <c r="F7229">
        <f>HYPERLINK("https://www.wikidata.org/wiki/Q33322771", "Q33322771")</f>
        <v>0</v>
      </c>
      <c r="G7229" t="s">
        <v>1424</v>
      </c>
      <c r="H7229" t="s">
        <v>6129</v>
      </c>
      <c r="I7229" t="s">
        <v>9806</v>
      </c>
      <c r="J7229" t="s">
        <v>12148</v>
      </c>
      <c r="K7229" t="s">
        <v>16550</v>
      </c>
      <c r="L7229">
        <f>HYPERLINK("https://www2.assemblee-nationale.fr/sycomore/fiche/(num_dept)/2128", "2128")</f>
        <v>0</v>
      </c>
      <c r="N7229">
        <f>HYPERLINK("https://www.wikidata.org/wiki/Q3261648", "Q3261648")</f>
        <v>0</v>
      </c>
      <c r="O7229" t="s">
        <v>19958</v>
      </c>
      <c r="P7229" t="s">
        <v>20410</v>
      </c>
      <c r="Q7229" t="s">
        <v>20871</v>
      </c>
      <c r="R7229" t="s">
        <v>419</v>
      </c>
      <c r="S7229">
        <v>475</v>
      </c>
    </row>
    <row r="7230" spans="1:19">
      <c r="A7230" t="s">
        <v>29</v>
      </c>
      <c r="B7230" t="s">
        <v>148</v>
      </c>
      <c r="C7230" t="s">
        <v>161</v>
      </c>
      <c r="D7230" t="s">
        <v>290</v>
      </c>
      <c r="E7230" t="s">
        <v>419</v>
      </c>
      <c r="F7230">
        <f>HYPERLINK("https://www.wikidata.org/wiki/Q33322771", "Q33322771")</f>
        <v>0</v>
      </c>
      <c r="G7230" t="s">
        <v>4043</v>
      </c>
      <c r="H7230" t="s">
        <v>8271</v>
      </c>
      <c r="I7230" t="s">
        <v>6200</v>
      </c>
      <c r="J7230" t="s">
        <v>14584</v>
      </c>
      <c r="K7230" t="s">
        <v>15862</v>
      </c>
      <c r="L7230">
        <f>HYPERLINK("https://www2.assemblee-nationale.fr/sycomore/fiche/(num_dept)/92", "92")</f>
        <v>0</v>
      </c>
      <c r="N7230">
        <f>HYPERLINK("https://www.wikidata.org/wiki/Q539458", "Q539458")</f>
        <v>0</v>
      </c>
      <c r="O7230" t="s">
        <v>19969</v>
      </c>
      <c r="Q7230" t="s">
        <v>20872</v>
      </c>
      <c r="R7230" t="s">
        <v>419</v>
      </c>
      <c r="S7230">
        <v>468</v>
      </c>
    </row>
    <row r="7231" spans="1:19">
      <c r="A7231" t="s">
        <v>29</v>
      </c>
      <c r="B7231" t="s">
        <v>148</v>
      </c>
      <c r="C7231" t="s">
        <v>161</v>
      </c>
      <c r="D7231" t="s">
        <v>290</v>
      </c>
      <c r="E7231" t="s">
        <v>419</v>
      </c>
      <c r="F7231">
        <f>HYPERLINK("https://www.wikidata.org/wiki/Q33322771", "Q33322771")</f>
        <v>0</v>
      </c>
      <c r="G7231" t="s">
        <v>4044</v>
      </c>
      <c r="H7231" t="s">
        <v>8272</v>
      </c>
      <c r="I7231" t="s">
        <v>9442</v>
      </c>
      <c r="J7231" t="s">
        <v>14585</v>
      </c>
      <c r="K7231" t="s">
        <v>18924</v>
      </c>
      <c r="L7231">
        <f>HYPERLINK("https://www2.assemblee-nationale.fr/sycomore/fiche/(num_dept)/3692", "3692")</f>
        <v>0</v>
      </c>
      <c r="M7231">
        <f>HYPERLINK("https://www.senat.fr/senateur-3eme-republique/guingand_ernest0507r3.html", "guingand_ernest0507r3")</f>
        <v>0</v>
      </c>
      <c r="N7231">
        <f>HYPERLINK("https://www.wikidata.org/wiki/Q3056995", "Q3056995")</f>
        <v>0</v>
      </c>
      <c r="O7231" t="s">
        <v>19958</v>
      </c>
      <c r="P7231" t="s">
        <v>20477</v>
      </c>
      <c r="Q7231" t="s">
        <v>20873</v>
      </c>
      <c r="R7231" t="s">
        <v>419</v>
      </c>
      <c r="S7231">
        <v>454</v>
      </c>
    </row>
    <row r="7232" spans="1:19">
      <c r="A7232" t="s">
        <v>29</v>
      </c>
      <c r="B7232" t="s">
        <v>148</v>
      </c>
      <c r="C7232" t="s">
        <v>161</v>
      </c>
      <c r="D7232" t="s">
        <v>290</v>
      </c>
      <c r="E7232" t="s">
        <v>419</v>
      </c>
      <c r="F7232">
        <f>HYPERLINK("https://www.wikidata.org/wiki/Q33322771", "Q33322771")</f>
        <v>0</v>
      </c>
      <c r="G7232" t="s">
        <v>661</v>
      </c>
      <c r="H7232" t="s">
        <v>5420</v>
      </c>
      <c r="I7232" t="s">
        <v>9385</v>
      </c>
      <c r="J7232" t="s">
        <v>11411</v>
      </c>
      <c r="K7232" t="s">
        <v>15813</v>
      </c>
      <c r="L7232">
        <f>HYPERLINK("https://www2.assemblee-nationale.fr/sycomore/fiche/(num_dept)/3418", "3418")</f>
        <v>0</v>
      </c>
      <c r="N7232">
        <f>HYPERLINK("https://www.wikidata.org/wiki/Q2959214", "Q2959214")</f>
        <v>0</v>
      </c>
      <c r="O7232" t="s">
        <v>20023</v>
      </c>
      <c r="P7232" t="s">
        <v>20504</v>
      </c>
      <c r="Q7232" t="s">
        <v>13105</v>
      </c>
      <c r="R7232" t="s">
        <v>419</v>
      </c>
      <c r="S7232">
        <v>433</v>
      </c>
    </row>
    <row r="7233" spans="1:19">
      <c r="A7233" t="s">
        <v>29</v>
      </c>
      <c r="B7233" t="s">
        <v>148</v>
      </c>
      <c r="C7233" t="s">
        <v>161</v>
      </c>
      <c r="D7233" t="s">
        <v>290</v>
      </c>
      <c r="E7233" t="s">
        <v>419</v>
      </c>
      <c r="F7233">
        <f>HYPERLINK("https://www.wikidata.org/wiki/Q33322771", "Q33322771")</f>
        <v>0</v>
      </c>
      <c r="G7233" t="s">
        <v>4045</v>
      </c>
      <c r="H7233" t="s">
        <v>8273</v>
      </c>
      <c r="I7233" t="s">
        <v>9552</v>
      </c>
      <c r="J7233" t="s">
        <v>14586</v>
      </c>
      <c r="K7233" t="s">
        <v>18925</v>
      </c>
      <c r="L7233">
        <f>HYPERLINK("https://www2.assemblee-nationale.fr/sycomore/fiche/(num_dept)/5473", "5473")</f>
        <v>0</v>
      </c>
      <c r="M7233">
        <f>HYPERLINK("https://www.senat.fr/senateur-3eme-republique/mulac_auguste0397r3.html", "mulac_auguste0397r3")</f>
        <v>0</v>
      </c>
      <c r="N7233">
        <f>HYPERLINK("https://www.wikidata.org/wiki/Q2871332", "Q2871332")</f>
        <v>0</v>
      </c>
      <c r="O7233" t="s">
        <v>20031</v>
      </c>
      <c r="Q7233" t="s">
        <v>20874</v>
      </c>
      <c r="R7233" t="s">
        <v>419</v>
      </c>
      <c r="S7233">
        <v>426</v>
      </c>
    </row>
    <row r="7234" spans="1:19">
      <c r="A7234" t="s">
        <v>29</v>
      </c>
      <c r="B7234" t="s">
        <v>148</v>
      </c>
      <c r="C7234" t="s">
        <v>161</v>
      </c>
      <c r="D7234" t="s">
        <v>290</v>
      </c>
      <c r="E7234" t="s">
        <v>419</v>
      </c>
      <c r="F7234">
        <f>HYPERLINK("https://www.wikidata.org/wiki/Q33322771", "Q33322771")</f>
        <v>0</v>
      </c>
      <c r="G7234" t="s">
        <v>4046</v>
      </c>
      <c r="H7234" t="s">
        <v>8274</v>
      </c>
      <c r="I7234" t="s">
        <v>11078</v>
      </c>
      <c r="J7234" t="s">
        <v>14587</v>
      </c>
      <c r="K7234" t="s">
        <v>18926</v>
      </c>
      <c r="L7234">
        <f>HYPERLINK("https://www2.assemblee-nationale.fr/sycomore/fiche/(num_dept)/1430", "1430")</f>
        <v>0</v>
      </c>
      <c r="N7234">
        <f>HYPERLINK("https://www.wikidata.org/wiki/Q3102070", "Q3102070")</f>
        <v>0</v>
      </c>
      <c r="O7234" t="s">
        <v>19976</v>
      </c>
      <c r="P7234" t="s">
        <v>20479</v>
      </c>
      <c r="Q7234" t="s">
        <v>20875</v>
      </c>
      <c r="R7234" t="s">
        <v>419</v>
      </c>
      <c r="S7234">
        <v>422</v>
      </c>
    </row>
    <row r="7235" spans="1:19">
      <c r="A7235" t="s">
        <v>29</v>
      </c>
      <c r="B7235" t="s">
        <v>148</v>
      </c>
      <c r="C7235" t="s">
        <v>161</v>
      </c>
      <c r="D7235" t="s">
        <v>290</v>
      </c>
      <c r="E7235" t="s">
        <v>419</v>
      </c>
      <c r="F7235">
        <f>HYPERLINK("https://www.wikidata.org/wiki/Q33322771", "Q33322771")</f>
        <v>0</v>
      </c>
      <c r="G7235" t="s">
        <v>4047</v>
      </c>
      <c r="H7235" t="s">
        <v>8275</v>
      </c>
      <c r="I7235" t="s">
        <v>11079</v>
      </c>
      <c r="J7235" t="s">
        <v>12001</v>
      </c>
      <c r="K7235" t="s">
        <v>18927</v>
      </c>
      <c r="L7235">
        <f>HYPERLINK("https://www2.assemblee-nationale.fr/sycomore/fiche/(num_dept)/291", "291")</f>
        <v>0</v>
      </c>
      <c r="N7235">
        <f>HYPERLINK("https://www.wikidata.org/wiki/Q8313867", "Q8313867")</f>
        <v>0</v>
      </c>
      <c r="O7235" t="s">
        <v>19986</v>
      </c>
      <c r="P7235" t="s">
        <v>20461</v>
      </c>
      <c r="Q7235" t="s">
        <v>19446</v>
      </c>
      <c r="R7235" t="s">
        <v>419</v>
      </c>
      <c r="S7235">
        <v>384</v>
      </c>
    </row>
    <row r="7236" spans="1:19">
      <c r="A7236" t="s">
        <v>29</v>
      </c>
      <c r="B7236" t="s">
        <v>148</v>
      </c>
      <c r="C7236" t="s">
        <v>161</v>
      </c>
      <c r="D7236" t="s">
        <v>290</v>
      </c>
      <c r="E7236" t="s">
        <v>419</v>
      </c>
      <c r="F7236">
        <f>HYPERLINK("https://www.wikidata.org/wiki/Q33322771", "Q33322771")</f>
        <v>0</v>
      </c>
      <c r="G7236" t="s">
        <v>4048</v>
      </c>
      <c r="H7236" t="s">
        <v>6024</v>
      </c>
      <c r="I7236" t="s">
        <v>9552</v>
      </c>
      <c r="J7236" t="s">
        <v>14588</v>
      </c>
      <c r="K7236" t="s">
        <v>18928</v>
      </c>
      <c r="L7236">
        <f>HYPERLINK("https://www2.assemblee-nationale.fr/sycomore/fiche/(num_dept)/6517", "6517")</f>
        <v>0</v>
      </c>
      <c r="N7236">
        <f>HYPERLINK("https://www.wikidata.org/wiki/Q2871365", "Q2871365")</f>
        <v>0</v>
      </c>
      <c r="O7236" t="s">
        <v>19988</v>
      </c>
      <c r="P7236" t="s">
        <v>20459</v>
      </c>
      <c r="Q7236" t="s">
        <v>20876</v>
      </c>
      <c r="R7236" t="s">
        <v>419</v>
      </c>
      <c r="S7236">
        <v>377</v>
      </c>
    </row>
    <row r="7237" spans="1:19">
      <c r="A7237" t="s">
        <v>29</v>
      </c>
      <c r="B7237" t="s">
        <v>148</v>
      </c>
      <c r="C7237" t="s">
        <v>161</v>
      </c>
      <c r="D7237" t="s">
        <v>290</v>
      </c>
      <c r="E7237" t="s">
        <v>419</v>
      </c>
      <c r="F7237">
        <f>HYPERLINK("https://www.wikidata.org/wiki/Q33322771", "Q33322771")</f>
        <v>0</v>
      </c>
      <c r="G7237" t="s">
        <v>4049</v>
      </c>
      <c r="H7237" t="s">
        <v>8276</v>
      </c>
      <c r="I7237" t="s">
        <v>10017</v>
      </c>
      <c r="J7237" t="s">
        <v>14589</v>
      </c>
      <c r="K7237" t="s">
        <v>18929</v>
      </c>
      <c r="L7237">
        <f>HYPERLINK("https://www2.assemblee-nationale.fr/sycomore/fiche/(num_dept)/6384", "6384")</f>
        <v>0</v>
      </c>
      <c r="N7237">
        <f>HYPERLINK("https://www.wikidata.org/wiki/Q16026496", "Q16026496")</f>
        <v>0</v>
      </c>
      <c r="O7237" t="s">
        <v>19960</v>
      </c>
      <c r="P7237" t="s">
        <v>20402</v>
      </c>
      <c r="Q7237" t="s">
        <v>20877</v>
      </c>
      <c r="R7237" t="s">
        <v>419</v>
      </c>
      <c r="S7237">
        <v>370</v>
      </c>
    </row>
    <row r="7238" spans="1:19">
      <c r="A7238" t="s">
        <v>29</v>
      </c>
      <c r="B7238" t="s">
        <v>148</v>
      </c>
      <c r="C7238" t="s">
        <v>161</v>
      </c>
      <c r="D7238" t="s">
        <v>290</v>
      </c>
      <c r="E7238" t="s">
        <v>419</v>
      </c>
      <c r="F7238">
        <f>HYPERLINK("https://www.wikidata.org/wiki/Q33322771", "Q33322771")</f>
        <v>0</v>
      </c>
      <c r="G7238" t="s">
        <v>685</v>
      </c>
      <c r="H7238" t="s">
        <v>5443</v>
      </c>
      <c r="I7238" t="s">
        <v>6860</v>
      </c>
      <c r="J7238" t="s">
        <v>11435</v>
      </c>
      <c r="K7238" t="s">
        <v>15836</v>
      </c>
      <c r="L7238">
        <f>HYPERLINK("https://www2.assemblee-nationale.fr/sycomore/fiche/(num_dept)/3840", "3840")</f>
        <v>0</v>
      </c>
      <c r="N7238">
        <f>HYPERLINK("https://www.wikidata.org/wiki/Q3385454", "Q3385454")</f>
        <v>0</v>
      </c>
      <c r="O7238" t="s">
        <v>19984</v>
      </c>
      <c r="P7238" t="s">
        <v>20479</v>
      </c>
      <c r="Q7238" t="s">
        <v>20878</v>
      </c>
      <c r="R7238" t="s">
        <v>419</v>
      </c>
      <c r="S7238">
        <v>307</v>
      </c>
    </row>
    <row r="7239" spans="1:19">
      <c r="A7239" t="s">
        <v>29</v>
      </c>
      <c r="B7239" t="s">
        <v>148</v>
      </c>
      <c r="C7239" t="s">
        <v>161</v>
      </c>
      <c r="D7239" t="s">
        <v>290</v>
      </c>
      <c r="E7239" t="s">
        <v>419</v>
      </c>
      <c r="F7239">
        <f>HYPERLINK("https://www.wikidata.org/wiki/Q33322771", "Q33322771")</f>
        <v>0</v>
      </c>
      <c r="G7239" t="s">
        <v>549</v>
      </c>
      <c r="H7239" t="s">
        <v>5312</v>
      </c>
      <c r="I7239" t="s">
        <v>6200</v>
      </c>
      <c r="J7239" t="s">
        <v>11301</v>
      </c>
      <c r="K7239" t="s">
        <v>15701</v>
      </c>
      <c r="L7239">
        <f>HYPERLINK("https://www2.assemblee-nationale.fr/sycomore/fiche/(num_dept)/1138", "1138")</f>
        <v>0</v>
      </c>
      <c r="M7239">
        <f>HYPERLINK("https://www.senat.fr/senateur-3eme-republique/bouveri_jean1220r3.html", "bouveri_jean1220r3")</f>
        <v>0</v>
      </c>
      <c r="N7239">
        <f>HYPERLINK("https://www.wikidata.org/wiki/Q3170948", "Q3170948")</f>
        <v>0</v>
      </c>
      <c r="O7239" t="s">
        <v>19994</v>
      </c>
      <c r="P7239" t="s">
        <v>20485</v>
      </c>
      <c r="Q7239" t="s">
        <v>20879</v>
      </c>
      <c r="R7239" t="s">
        <v>419</v>
      </c>
      <c r="S7239">
        <v>286</v>
      </c>
    </row>
    <row r="7240" spans="1:19">
      <c r="A7240" t="s">
        <v>29</v>
      </c>
      <c r="B7240" t="s">
        <v>148</v>
      </c>
      <c r="C7240" t="s">
        <v>161</v>
      </c>
      <c r="D7240" t="s">
        <v>290</v>
      </c>
      <c r="E7240" t="s">
        <v>419</v>
      </c>
      <c r="F7240">
        <f>HYPERLINK("https://www.wikidata.org/wiki/Q33322771", "Q33322771")</f>
        <v>0</v>
      </c>
      <c r="G7240" t="s">
        <v>580</v>
      </c>
      <c r="H7240" t="s">
        <v>5342</v>
      </c>
      <c r="I7240" t="s">
        <v>9430</v>
      </c>
      <c r="J7240" t="s">
        <v>11331</v>
      </c>
      <c r="K7240" t="s">
        <v>15732</v>
      </c>
      <c r="L7240">
        <f>HYPERLINK("https://www2.assemblee-nationale.fr/sycomore/fiche/(num_dept)/1859", "1859")</f>
        <v>0</v>
      </c>
      <c r="N7240">
        <f>HYPERLINK("https://www.wikidata.org/wiki/Q3588422", "Q3588422")</f>
        <v>0</v>
      </c>
      <c r="O7240" t="s">
        <v>20011</v>
      </c>
      <c r="P7240" t="s">
        <v>20457</v>
      </c>
      <c r="Q7240" t="s">
        <v>20880</v>
      </c>
      <c r="R7240" t="s">
        <v>419</v>
      </c>
      <c r="S7240">
        <v>258</v>
      </c>
    </row>
    <row r="7241" spans="1:19">
      <c r="A7241" t="s">
        <v>29</v>
      </c>
      <c r="B7241" t="s">
        <v>148</v>
      </c>
      <c r="C7241" t="s">
        <v>161</v>
      </c>
      <c r="D7241" t="s">
        <v>290</v>
      </c>
      <c r="E7241" t="s">
        <v>419</v>
      </c>
      <c r="F7241">
        <f>HYPERLINK("https://www.wikidata.org/wiki/Q33322771", "Q33322771")</f>
        <v>0</v>
      </c>
      <c r="G7241" t="s">
        <v>1097</v>
      </c>
      <c r="H7241" t="s">
        <v>5838</v>
      </c>
      <c r="I7241" t="s">
        <v>6175</v>
      </c>
      <c r="J7241" t="s">
        <v>11833</v>
      </c>
      <c r="K7241" t="s">
        <v>16233</v>
      </c>
      <c r="L7241">
        <f>HYPERLINK("https://www2.assemblee-nationale.fr/sycomore/fiche/(num_dept)/3349", "3349")</f>
        <v>0</v>
      </c>
      <c r="N7241">
        <f>HYPERLINK("https://www.wikidata.org/wiki/Q16025763", "Q16025763")</f>
        <v>0</v>
      </c>
      <c r="O7241" t="s">
        <v>20031</v>
      </c>
      <c r="P7241" t="s">
        <v>20457</v>
      </c>
      <c r="Q7241" t="s">
        <v>20881</v>
      </c>
      <c r="R7241" t="s">
        <v>419</v>
      </c>
      <c r="S7241">
        <v>216</v>
      </c>
    </row>
    <row r="7242" spans="1:19">
      <c r="A7242" t="s">
        <v>29</v>
      </c>
      <c r="B7242" t="s">
        <v>148</v>
      </c>
      <c r="C7242" t="s">
        <v>161</v>
      </c>
      <c r="D7242" t="s">
        <v>290</v>
      </c>
      <c r="E7242" t="s">
        <v>419</v>
      </c>
      <c r="F7242">
        <f>HYPERLINK("https://www.wikidata.org/wiki/Q33322771", "Q33322771")</f>
        <v>0</v>
      </c>
      <c r="G7242" t="s">
        <v>825</v>
      </c>
      <c r="H7242" t="s">
        <v>5582</v>
      </c>
      <c r="I7242" t="s">
        <v>6200</v>
      </c>
      <c r="J7242" t="s">
        <v>11572</v>
      </c>
      <c r="K7242" t="s">
        <v>15974</v>
      </c>
      <c r="L7242">
        <f>HYPERLINK("https://www2.assemblee-nationale.fr/sycomore/fiche/(num_dept)/7358", "7358")</f>
        <v>0</v>
      </c>
      <c r="M7242">
        <f>HYPERLINK("https://www.senat.fr/senateur-3eme-republique/villault_duchesnois_jean1032r3.html", "villault_duchesnois_jean1032r3")</f>
        <v>0</v>
      </c>
      <c r="N7242">
        <f>HYPERLINK("https://www.wikidata.org/wiki/Q3175043", "Q3175043")</f>
        <v>0</v>
      </c>
      <c r="O7242" t="s">
        <v>19985</v>
      </c>
      <c r="Q7242" t="s">
        <v>20882</v>
      </c>
      <c r="R7242" t="s">
        <v>19269</v>
      </c>
      <c r="S7242">
        <v>78</v>
      </c>
    </row>
    <row r="7243" spans="1:19">
      <c r="A7243" t="s">
        <v>30</v>
      </c>
      <c r="B7243" t="s">
        <v>148</v>
      </c>
      <c r="C7243" t="s">
        <v>162</v>
      </c>
      <c r="D7243" t="s">
        <v>291</v>
      </c>
      <c r="E7243" t="s">
        <v>420</v>
      </c>
      <c r="F7243">
        <f>HYPERLINK("https://www.wikidata.org/wiki/Q33323082", "Q33323082")</f>
        <v>0</v>
      </c>
      <c r="G7243" t="s">
        <v>3520</v>
      </c>
      <c r="H7243" t="s">
        <v>6371</v>
      </c>
      <c r="I7243" t="s">
        <v>10861</v>
      </c>
      <c r="J7243" t="s">
        <v>14115</v>
      </c>
      <c r="K7243" t="s">
        <v>18482</v>
      </c>
      <c r="L7243">
        <f>HYPERLINK("https://www2.assemblee-nationale.fr/sycomore/fiche/(num_dept)/32", "32")</f>
        <v>0</v>
      </c>
      <c r="N7243">
        <f>HYPERLINK("https://www.wikidata.org/wiki/Q2823029", "Q2823029")</f>
        <v>0</v>
      </c>
      <c r="O7243" t="s">
        <v>19968</v>
      </c>
      <c r="P7243" t="s">
        <v>20410</v>
      </c>
      <c r="Q7243" t="s">
        <v>20883</v>
      </c>
      <c r="R7243" t="s">
        <v>420</v>
      </c>
      <c r="S7243">
        <v>1495</v>
      </c>
    </row>
    <row r="7244" spans="1:19">
      <c r="A7244" t="s">
        <v>30</v>
      </c>
      <c r="B7244" t="s">
        <v>148</v>
      </c>
      <c r="C7244" t="s">
        <v>162</v>
      </c>
      <c r="D7244" t="s">
        <v>291</v>
      </c>
      <c r="E7244" t="s">
        <v>420</v>
      </c>
      <c r="F7244">
        <f>HYPERLINK("https://www.wikidata.org/wiki/Q33323082", "Q33323082")</f>
        <v>0</v>
      </c>
      <c r="G7244" t="s">
        <v>498</v>
      </c>
      <c r="H7244" t="s">
        <v>5263</v>
      </c>
      <c r="I7244" t="s">
        <v>9369</v>
      </c>
      <c r="J7244" t="s">
        <v>11250</v>
      </c>
      <c r="K7244" t="s">
        <v>15650</v>
      </c>
      <c r="L7244">
        <f>HYPERLINK("https://www2.assemblee-nationale.fr/sycomore/fiche/(num_dept)/72", "72")</f>
        <v>0</v>
      </c>
      <c r="N7244">
        <f>HYPERLINK("https://www.wikidata.org/wiki/Q3099819", "Q3099819")</f>
        <v>0</v>
      </c>
      <c r="O7244" t="s">
        <v>19959</v>
      </c>
      <c r="P7244" t="s">
        <v>20446</v>
      </c>
      <c r="Q7244" t="s">
        <v>20883</v>
      </c>
      <c r="R7244" t="s">
        <v>420</v>
      </c>
      <c r="S7244">
        <v>1495</v>
      </c>
    </row>
    <row r="7245" spans="1:19">
      <c r="A7245" t="s">
        <v>30</v>
      </c>
      <c r="B7245" t="s">
        <v>148</v>
      </c>
      <c r="C7245" t="s">
        <v>162</v>
      </c>
      <c r="D7245" t="s">
        <v>291</v>
      </c>
      <c r="E7245" t="s">
        <v>420</v>
      </c>
      <c r="F7245">
        <f>HYPERLINK("https://www.wikidata.org/wiki/Q33323082", "Q33323082")</f>
        <v>0</v>
      </c>
      <c r="G7245" t="s">
        <v>3951</v>
      </c>
      <c r="H7245" t="s">
        <v>8202</v>
      </c>
      <c r="I7245" t="s">
        <v>11038</v>
      </c>
      <c r="J7245" t="s">
        <v>14502</v>
      </c>
      <c r="K7245" t="s">
        <v>18850</v>
      </c>
      <c r="L7245">
        <f>HYPERLINK("https://www2.assemblee-nationale.fr/sycomore/fiche/(num_dept)/88", "88")</f>
        <v>0</v>
      </c>
      <c r="N7245">
        <f>HYPERLINK("https://www.wikidata.org/wiki/Q3300310", "Q3300310")</f>
        <v>0</v>
      </c>
      <c r="O7245" t="s">
        <v>20042</v>
      </c>
      <c r="P7245" t="s">
        <v>20485</v>
      </c>
      <c r="Q7245" t="s">
        <v>20883</v>
      </c>
      <c r="R7245" t="s">
        <v>420</v>
      </c>
      <c r="S7245">
        <v>1495</v>
      </c>
    </row>
    <row r="7246" spans="1:19">
      <c r="A7246" t="s">
        <v>30</v>
      </c>
      <c r="B7246" t="s">
        <v>148</v>
      </c>
      <c r="C7246" t="s">
        <v>162</v>
      </c>
      <c r="D7246" t="s">
        <v>291</v>
      </c>
      <c r="E7246" t="s">
        <v>420</v>
      </c>
      <c r="F7246">
        <f>HYPERLINK("https://www.wikidata.org/wiki/Q33323082", "Q33323082")</f>
        <v>0</v>
      </c>
      <c r="G7246" t="s">
        <v>3829</v>
      </c>
      <c r="H7246" t="s">
        <v>8109</v>
      </c>
      <c r="I7246" t="s">
        <v>10992</v>
      </c>
      <c r="J7246" t="s">
        <v>14393</v>
      </c>
      <c r="K7246" t="s">
        <v>18746</v>
      </c>
      <c r="L7246">
        <f>HYPERLINK("https://www2.assemblee-nationale.fr/sycomore/fiche/(num_dept)/103", "103")</f>
        <v>0</v>
      </c>
      <c r="M7246">
        <f>HYPERLINK("https://www.senat.fr/senateur-3eme-republique/comte_d_alsace_thierry1812r3.html", "comte_d_alsace_thierry1812r3")</f>
        <v>0</v>
      </c>
      <c r="N7246">
        <f>HYPERLINK("https://www.wikidata.org/wiki/Q3524185", "Q3524185")</f>
        <v>0</v>
      </c>
      <c r="O7246" t="s">
        <v>20017</v>
      </c>
      <c r="P7246" t="s">
        <v>20411</v>
      </c>
      <c r="Q7246" t="s">
        <v>20883</v>
      </c>
      <c r="R7246" t="s">
        <v>420</v>
      </c>
      <c r="S7246">
        <v>1495</v>
      </c>
    </row>
    <row r="7247" spans="1:19">
      <c r="A7247" t="s">
        <v>30</v>
      </c>
      <c r="B7247" t="s">
        <v>148</v>
      </c>
      <c r="C7247" t="s">
        <v>162</v>
      </c>
      <c r="D7247" t="s">
        <v>291</v>
      </c>
      <c r="E7247" t="s">
        <v>420</v>
      </c>
      <c r="F7247">
        <f>HYPERLINK("https://www.wikidata.org/wiki/Q33323082", "Q33323082")</f>
        <v>0</v>
      </c>
      <c r="G7247" t="s">
        <v>1146</v>
      </c>
      <c r="H7247" t="s">
        <v>5881</v>
      </c>
      <c r="I7247" t="s">
        <v>5592</v>
      </c>
      <c r="J7247" t="s">
        <v>11880</v>
      </c>
      <c r="K7247" t="s">
        <v>16282</v>
      </c>
      <c r="L7247">
        <f>HYPERLINK("https://www2.assemblee-nationale.fr/sycomore/fiche/(num_dept)/116", "116")</f>
        <v>0</v>
      </c>
      <c r="N7247">
        <f>HYPERLINK("https://www.wikidata.org/wiki/Q2380639", "Q2380639")</f>
        <v>0</v>
      </c>
      <c r="O7247" t="s">
        <v>19976</v>
      </c>
      <c r="P7247" t="s">
        <v>20479</v>
      </c>
      <c r="Q7247" t="s">
        <v>20883</v>
      </c>
      <c r="R7247" t="s">
        <v>420</v>
      </c>
      <c r="S7247">
        <v>1495</v>
      </c>
    </row>
    <row r="7248" spans="1:19">
      <c r="A7248" t="s">
        <v>30</v>
      </c>
      <c r="B7248" t="s">
        <v>148</v>
      </c>
      <c r="C7248" t="s">
        <v>162</v>
      </c>
      <c r="D7248" t="s">
        <v>291</v>
      </c>
      <c r="E7248" t="s">
        <v>420</v>
      </c>
      <c r="F7248">
        <f>HYPERLINK("https://www.wikidata.org/wiki/Q33323082", "Q33323082")</f>
        <v>0</v>
      </c>
      <c r="G7248" t="s">
        <v>4050</v>
      </c>
      <c r="H7248" t="s">
        <v>8277</v>
      </c>
      <c r="I7248" t="s">
        <v>9507</v>
      </c>
      <c r="J7248" t="s">
        <v>14590</v>
      </c>
      <c r="K7248" t="s">
        <v>18930</v>
      </c>
      <c r="L7248">
        <f>HYPERLINK("https://www2.assemblee-nationale.fr/sycomore/fiche/(num_dept)/120", "120")</f>
        <v>0</v>
      </c>
      <c r="N7248">
        <f>HYPERLINK("https://www.wikidata.org/wiki/Q15973283", "Q15973283")</f>
        <v>0</v>
      </c>
      <c r="O7248" t="s">
        <v>20017</v>
      </c>
      <c r="Q7248" t="s">
        <v>20883</v>
      </c>
      <c r="R7248" t="s">
        <v>420</v>
      </c>
      <c r="S7248">
        <v>1495</v>
      </c>
    </row>
    <row r="7249" spans="1:19">
      <c r="A7249" t="s">
        <v>30</v>
      </c>
      <c r="B7249" t="s">
        <v>148</v>
      </c>
      <c r="C7249" t="s">
        <v>162</v>
      </c>
      <c r="D7249" t="s">
        <v>291</v>
      </c>
      <c r="E7249" t="s">
        <v>420</v>
      </c>
      <c r="F7249">
        <f>HYPERLINK("https://www.wikidata.org/wiki/Q33323082", "Q33323082")</f>
        <v>0</v>
      </c>
      <c r="G7249" t="s">
        <v>501</v>
      </c>
      <c r="H7249" t="s">
        <v>5266</v>
      </c>
      <c r="I7249" t="s">
        <v>9372</v>
      </c>
      <c r="J7249" t="s">
        <v>11253</v>
      </c>
      <c r="K7249" t="s">
        <v>15653</v>
      </c>
      <c r="L7249">
        <f>HYPERLINK("https://www2.assemblee-nationale.fr/sycomore/fiche/(num_dept)/137", "137")</f>
        <v>0</v>
      </c>
      <c r="M7249">
        <f>HYPERLINK("https://www.senat.fr/senateur-3eme-republique/andrieu_edouard1688r3.html", "andrieu_edouard1688r3")</f>
        <v>0</v>
      </c>
      <c r="N7249">
        <f>HYPERLINK("https://www.wikidata.org/wiki/Q3579721", "Q3579721")</f>
        <v>0</v>
      </c>
      <c r="O7249" t="s">
        <v>19962</v>
      </c>
      <c r="P7249" t="s">
        <v>20477</v>
      </c>
      <c r="Q7249" t="s">
        <v>20883</v>
      </c>
      <c r="R7249" t="s">
        <v>420</v>
      </c>
      <c r="S7249">
        <v>1495</v>
      </c>
    </row>
    <row r="7250" spans="1:19">
      <c r="A7250" t="s">
        <v>30</v>
      </c>
      <c r="B7250" t="s">
        <v>148</v>
      </c>
      <c r="C7250" t="s">
        <v>162</v>
      </c>
      <c r="D7250" t="s">
        <v>291</v>
      </c>
      <c r="E7250" t="s">
        <v>420</v>
      </c>
      <c r="F7250">
        <f>HYPERLINK("https://www.wikidata.org/wiki/Q33323082", "Q33323082")</f>
        <v>0</v>
      </c>
      <c r="G7250" t="s">
        <v>3006</v>
      </c>
      <c r="H7250" t="s">
        <v>7468</v>
      </c>
      <c r="I7250" t="s">
        <v>9414</v>
      </c>
      <c r="J7250" t="s">
        <v>12227</v>
      </c>
      <c r="K7250" t="s">
        <v>18020</v>
      </c>
      <c r="L7250">
        <f>HYPERLINK("https://www2.assemblee-nationale.fr/sycomore/fiche/(num_dept)/188", "188")</f>
        <v>0</v>
      </c>
      <c r="M7250">
        <f>HYPERLINK("https://www.senat.fr/senateur-3eme-republique/arene_emmanuel0489r3.html", "arene_emmanuel0489r3")</f>
        <v>0</v>
      </c>
      <c r="N7250">
        <f>HYPERLINK("https://www.wikidata.org/wiki/Q3052547", "Q3052547")</f>
        <v>0</v>
      </c>
      <c r="O7250" t="s">
        <v>19955</v>
      </c>
      <c r="Q7250" t="s">
        <v>20883</v>
      </c>
      <c r="R7250" t="s">
        <v>21591</v>
      </c>
      <c r="S7250">
        <v>921</v>
      </c>
    </row>
    <row r="7251" spans="1:19">
      <c r="A7251" t="s">
        <v>30</v>
      </c>
      <c r="B7251" t="s">
        <v>148</v>
      </c>
      <c r="C7251" t="s">
        <v>162</v>
      </c>
      <c r="D7251" t="s">
        <v>291</v>
      </c>
      <c r="E7251" t="s">
        <v>420</v>
      </c>
      <c r="F7251">
        <f>HYPERLINK("https://www.wikidata.org/wiki/Q33323082", "Q33323082")</f>
        <v>0</v>
      </c>
      <c r="G7251" t="s">
        <v>3522</v>
      </c>
      <c r="H7251" t="s">
        <v>7886</v>
      </c>
      <c r="I7251" t="s">
        <v>10862</v>
      </c>
      <c r="J7251" t="s">
        <v>14117</v>
      </c>
      <c r="K7251" t="s">
        <v>18484</v>
      </c>
      <c r="L7251">
        <f>HYPERLINK("https://www2.assemblee-nationale.fr/sycomore/fiche/(num_dept)/190", "190")</f>
        <v>0</v>
      </c>
      <c r="N7251">
        <f>HYPERLINK("https://www.wikidata.org/wiki/Q3170409", "Q3170409")</f>
        <v>0</v>
      </c>
      <c r="O7251" t="s">
        <v>19976</v>
      </c>
      <c r="P7251" t="s">
        <v>20459</v>
      </c>
      <c r="Q7251" t="s">
        <v>20883</v>
      </c>
      <c r="R7251" t="s">
        <v>420</v>
      </c>
      <c r="S7251">
        <v>1495</v>
      </c>
    </row>
    <row r="7252" spans="1:19">
      <c r="A7252" t="s">
        <v>30</v>
      </c>
      <c r="B7252" t="s">
        <v>148</v>
      </c>
      <c r="C7252" t="s">
        <v>162</v>
      </c>
      <c r="D7252" t="s">
        <v>291</v>
      </c>
      <c r="E7252" t="s">
        <v>420</v>
      </c>
      <c r="F7252">
        <f>HYPERLINK("https://www.wikidata.org/wiki/Q33323082", "Q33323082")</f>
        <v>0</v>
      </c>
      <c r="G7252" t="s">
        <v>503</v>
      </c>
      <c r="H7252" t="s">
        <v>5268</v>
      </c>
      <c r="I7252" t="s">
        <v>6495</v>
      </c>
      <c r="J7252" t="s">
        <v>11255</v>
      </c>
      <c r="K7252" t="s">
        <v>15655</v>
      </c>
      <c r="L7252">
        <f>HYPERLINK("https://www2.assemblee-nationale.fr/sycomore/fiche/(num_dept)/195", "195")</f>
        <v>0</v>
      </c>
      <c r="N7252">
        <f>HYPERLINK("https://www.wikidata.org/wiki/Q3261103", "Q3261103")</f>
        <v>0</v>
      </c>
      <c r="O7252" t="s">
        <v>19964</v>
      </c>
      <c r="P7252" t="s">
        <v>20457</v>
      </c>
      <c r="Q7252" t="s">
        <v>20883</v>
      </c>
      <c r="R7252" t="s">
        <v>420</v>
      </c>
      <c r="S7252">
        <v>1495</v>
      </c>
    </row>
    <row r="7253" spans="1:19">
      <c r="A7253" t="s">
        <v>30</v>
      </c>
      <c r="B7253" t="s">
        <v>148</v>
      </c>
      <c r="C7253" t="s">
        <v>162</v>
      </c>
      <c r="D7253" t="s">
        <v>291</v>
      </c>
      <c r="E7253" t="s">
        <v>420</v>
      </c>
      <c r="F7253">
        <f>HYPERLINK("https://www.wikidata.org/wiki/Q33323082", "Q33323082")</f>
        <v>0</v>
      </c>
      <c r="G7253" t="s">
        <v>864</v>
      </c>
      <c r="H7253" t="s">
        <v>5620</v>
      </c>
      <c r="I7253" t="s">
        <v>9562</v>
      </c>
      <c r="J7253" t="s">
        <v>11610</v>
      </c>
      <c r="K7253" t="s">
        <v>16012</v>
      </c>
      <c r="L7253">
        <f>HYPERLINK("https://www2.assemblee-nationale.fr/sycomore/fiche/(num_dept)/222", "222")</f>
        <v>0</v>
      </c>
      <c r="M7253">
        <f>HYPERLINK("https://www.senat.fr/senateur-3eme-republique/astier_placide0139r3.html", "astier_placide0139r3")</f>
        <v>0</v>
      </c>
      <c r="N7253">
        <f>HYPERLINK("https://www.wikidata.org/wiki/Q3390780", "Q3390780")</f>
        <v>0</v>
      </c>
      <c r="O7253" t="s">
        <v>19991</v>
      </c>
      <c r="P7253" t="s">
        <v>20477</v>
      </c>
      <c r="Q7253" t="s">
        <v>20883</v>
      </c>
      <c r="R7253" t="s">
        <v>420</v>
      </c>
      <c r="S7253">
        <v>1495</v>
      </c>
    </row>
    <row r="7254" spans="1:19">
      <c r="A7254" t="s">
        <v>30</v>
      </c>
      <c r="B7254" t="s">
        <v>148</v>
      </c>
      <c r="C7254" t="s">
        <v>162</v>
      </c>
      <c r="D7254" t="s">
        <v>291</v>
      </c>
      <c r="E7254" t="s">
        <v>420</v>
      </c>
      <c r="F7254">
        <f>HYPERLINK("https://www.wikidata.org/wiki/Q33323082", "Q33323082")</f>
        <v>0</v>
      </c>
      <c r="G7254" t="s">
        <v>4051</v>
      </c>
      <c r="H7254" t="s">
        <v>6065</v>
      </c>
      <c r="I7254" t="s">
        <v>10147</v>
      </c>
      <c r="J7254" t="s">
        <v>14591</v>
      </c>
      <c r="K7254" t="s">
        <v>18931</v>
      </c>
      <c r="L7254">
        <f>HYPERLINK("https://www2.assemblee-nationale.fr/sycomore/fiche/(num_dept)/241", "241")</f>
        <v>0</v>
      </c>
      <c r="N7254">
        <f>HYPERLINK("https://www.wikidata.org/wiki/Q20027649", "Q20027649")</f>
        <v>0</v>
      </c>
      <c r="O7254" t="s">
        <v>20000</v>
      </c>
      <c r="P7254" t="s">
        <v>20457</v>
      </c>
      <c r="Q7254" t="s">
        <v>20883</v>
      </c>
      <c r="R7254" t="s">
        <v>18328</v>
      </c>
      <c r="S7254">
        <v>1363</v>
      </c>
    </row>
    <row r="7255" spans="1:19">
      <c r="A7255" t="s">
        <v>30</v>
      </c>
      <c r="B7255" t="s">
        <v>148</v>
      </c>
      <c r="C7255" t="s">
        <v>162</v>
      </c>
      <c r="D7255" t="s">
        <v>291</v>
      </c>
      <c r="E7255" t="s">
        <v>420</v>
      </c>
      <c r="F7255">
        <f>HYPERLINK("https://www.wikidata.org/wiki/Q33323082", "Q33323082")</f>
        <v>0</v>
      </c>
      <c r="G7255" t="s">
        <v>4047</v>
      </c>
      <c r="H7255" t="s">
        <v>8275</v>
      </c>
      <c r="I7255" t="s">
        <v>11079</v>
      </c>
      <c r="J7255" t="s">
        <v>12001</v>
      </c>
      <c r="K7255" t="s">
        <v>18927</v>
      </c>
      <c r="L7255">
        <f>HYPERLINK("https://www2.assemblee-nationale.fr/sycomore/fiche/(num_dept)/291", "291")</f>
        <v>0</v>
      </c>
      <c r="N7255">
        <f>HYPERLINK("https://www.wikidata.org/wiki/Q8313867", "Q8313867")</f>
        <v>0</v>
      </c>
      <c r="O7255" t="s">
        <v>19986</v>
      </c>
      <c r="P7255" t="s">
        <v>20461</v>
      </c>
      <c r="Q7255" t="s">
        <v>20883</v>
      </c>
      <c r="R7255" t="s">
        <v>420</v>
      </c>
      <c r="S7255">
        <v>1495</v>
      </c>
    </row>
    <row r="7256" spans="1:19">
      <c r="A7256" t="s">
        <v>30</v>
      </c>
      <c r="B7256" t="s">
        <v>148</v>
      </c>
      <c r="C7256" t="s">
        <v>162</v>
      </c>
      <c r="D7256" t="s">
        <v>291</v>
      </c>
      <c r="E7256" t="s">
        <v>420</v>
      </c>
      <c r="F7256">
        <f>HYPERLINK("https://www.wikidata.org/wiki/Q33323082", "Q33323082")</f>
        <v>0</v>
      </c>
      <c r="G7256" t="s">
        <v>505</v>
      </c>
      <c r="H7256" t="s">
        <v>5270</v>
      </c>
      <c r="I7256" t="s">
        <v>9375</v>
      </c>
      <c r="J7256" t="s">
        <v>11257</v>
      </c>
      <c r="K7256" t="s">
        <v>15657</v>
      </c>
      <c r="L7256">
        <f>HYPERLINK("https://www2.assemblee-nationale.fr/sycomore/fiche/(num_dept)/305", "305")</f>
        <v>0</v>
      </c>
      <c r="N7256">
        <f>HYPERLINK("https://www.wikidata.org/wiki/Q3579728", "Q3579728")</f>
        <v>0</v>
      </c>
      <c r="O7256" t="s">
        <v>19965</v>
      </c>
      <c r="P7256" t="s">
        <v>20479</v>
      </c>
      <c r="Q7256" t="s">
        <v>20883</v>
      </c>
      <c r="R7256" t="s">
        <v>420</v>
      </c>
      <c r="S7256">
        <v>1495</v>
      </c>
    </row>
    <row r="7257" spans="1:19">
      <c r="A7257" t="s">
        <v>30</v>
      </c>
      <c r="B7257" t="s">
        <v>148</v>
      </c>
      <c r="C7257" t="s">
        <v>162</v>
      </c>
      <c r="D7257" t="s">
        <v>291</v>
      </c>
      <c r="E7257" t="s">
        <v>420</v>
      </c>
      <c r="F7257">
        <f>HYPERLINK("https://www.wikidata.org/wiki/Q33323082", "Q33323082")</f>
        <v>0</v>
      </c>
      <c r="G7257" t="s">
        <v>867</v>
      </c>
      <c r="H7257" t="s">
        <v>5623</v>
      </c>
      <c r="I7257" t="s">
        <v>9565</v>
      </c>
      <c r="J7257" t="s">
        <v>11613</v>
      </c>
      <c r="K7257" t="s">
        <v>16015</v>
      </c>
      <c r="L7257">
        <f>HYPERLINK("https://www2.assemblee-nationale.fr/sycomore/fiche/(num_dept)/310", "310")</f>
        <v>0</v>
      </c>
      <c r="N7257">
        <f>HYPERLINK("https://www.wikidata.org/wiki/Q2853627", "Q2853627")</f>
        <v>0</v>
      </c>
      <c r="O7257" t="s">
        <v>20031</v>
      </c>
      <c r="P7257" t="s">
        <v>20457</v>
      </c>
      <c r="Q7257" t="s">
        <v>20883</v>
      </c>
      <c r="R7257" t="s">
        <v>420</v>
      </c>
      <c r="S7257">
        <v>1495</v>
      </c>
    </row>
    <row r="7258" spans="1:19">
      <c r="A7258" t="s">
        <v>30</v>
      </c>
      <c r="B7258" t="s">
        <v>148</v>
      </c>
      <c r="C7258" t="s">
        <v>162</v>
      </c>
      <c r="D7258" t="s">
        <v>291</v>
      </c>
      <c r="E7258" t="s">
        <v>420</v>
      </c>
      <c r="F7258">
        <f>HYPERLINK("https://www.wikidata.org/wiki/Q33323082", "Q33323082")</f>
        <v>0</v>
      </c>
      <c r="G7258" t="s">
        <v>3675</v>
      </c>
      <c r="H7258" t="s">
        <v>8002</v>
      </c>
      <c r="I7258" t="s">
        <v>10928</v>
      </c>
      <c r="J7258" t="s">
        <v>14202</v>
      </c>
      <c r="K7258" t="s">
        <v>18613</v>
      </c>
      <c r="L7258">
        <f>HYPERLINK("https://www2.assemblee-nationale.fr/sycomore/fiche/(num_dept)/344", "344")</f>
        <v>0</v>
      </c>
      <c r="N7258">
        <f>HYPERLINK("https://www.wikidata.org/wiki/Q3287690", "Q3287690")</f>
        <v>0</v>
      </c>
      <c r="O7258" t="s">
        <v>20026</v>
      </c>
      <c r="P7258" t="s">
        <v>20474</v>
      </c>
      <c r="Q7258" t="s">
        <v>20883</v>
      </c>
      <c r="R7258" t="s">
        <v>420</v>
      </c>
      <c r="S7258">
        <v>1495</v>
      </c>
    </row>
    <row r="7259" spans="1:19">
      <c r="A7259" t="s">
        <v>30</v>
      </c>
      <c r="B7259" t="s">
        <v>148</v>
      </c>
      <c r="C7259" t="s">
        <v>162</v>
      </c>
      <c r="D7259" t="s">
        <v>291</v>
      </c>
      <c r="E7259" t="s">
        <v>420</v>
      </c>
      <c r="F7259">
        <f>HYPERLINK("https://www.wikidata.org/wiki/Q33323082", "Q33323082")</f>
        <v>0</v>
      </c>
      <c r="G7259" t="s">
        <v>507</v>
      </c>
      <c r="H7259" t="s">
        <v>5272</v>
      </c>
      <c r="I7259" t="s">
        <v>9377</v>
      </c>
      <c r="J7259" t="s">
        <v>11259</v>
      </c>
      <c r="K7259" t="s">
        <v>15659</v>
      </c>
      <c r="L7259">
        <f>HYPERLINK("https://www2.assemblee-nationale.fr/sycomore/fiche/(num_dept)/348", "348")</f>
        <v>0</v>
      </c>
      <c r="N7259">
        <f>HYPERLINK("https://www.wikidata.org/wiki/Q15973419", "Q15973419")</f>
        <v>0</v>
      </c>
      <c r="O7259" t="s">
        <v>19967</v>
      </c>
      <c r="P7259" t="s">
        <v>20401</v>
      </c>
      <c r="Q7259" t="s">
        <v>20883</v>
      </c>
      <c r="R7259" t="s">
        <v>420</v>
      </c>
      <c r="S7259">
        <v>1495</v>
      </c>
    </row>
    <row r="7260" spans="1:19">
      <c r="A7260" t="s">
        <v>30</v>
      </c>
      <c r="B7260" t="s">
        <v>148</v>
      </c>
      <c r="C7260" t="s">
        <v>162</v>
      </c>
      <c r="D7260" t="s">
        <v>291</v>
      </c>
      <c r="E7260" t="s">
        <v>420</v>
      </c>
      <c r="F7260">
        <f>HYPERLINK("https://www.wikidata.org/wiki/Q33323082", "Q33323082")</f>
        <v>0</v>
      </c>
      <c r="G7260" t="s">
        <v>508</v>
      </c>
      <c r="H7260" t="s">
        <v>5273</v>
      </c>
      <c r="I7260" t="s">
        <v>9378</v>
      </c>
      <c r="J7260" t="s">
        <v>11260</v>
      </c>
      <c r="K7260" t="s">
        <v>15660</v>
      </c>
      <c r="L7260">
        <f>HYPERLINK("https://www2.assemblee-nationale.fr/sycomore/fiche/(num_dept)/362", "362")</f>
        <v>0</v>
      </c>
      <c r="N7260">
        <f>HYPERLINK("https://www.wikidata.org/wiki/Q2834951", "Q2834951")</f>
        <v>0</v>
      </c>
      <c r="O7260" t="s">
        <v>19957</v>
      </c>
      <c r="P7260" t="s">
        <v>20457</v>
      </c>
      <c r="Q7260" t="s">
        <v>20883</v>
      </c>
      <c r="R7260" t="s">
        <v>420</v>
      </c>
      <c r="S7260">
        <v>1495</v>
      </c>
    </row>
    <row r="7261" spans="1:19">
      <c r="A7261" t="s">
        <v>30</v>
      </c>
      <c r="B7261" t="s">
        <v>148</v>
      </c>
      <c r="C7261" t="s">
        <v>162</v>
      </c>
      <c r="D7261" t="s">
        <v>291</v>
      </c>
      <c r="E7261" t="s">
        <v>420</v>
      </c>
      <c r="F7261">
        <f>HYPERLINK("https://www.wikidata.org/wiki/Q33323082", "Q33323082")</f>
        <v>0</v>
      </c>
      <c r="G7261" t="s">
        <v>3855</v>
      </c>
      <c r="H7261" t="s">
        <v>6075</v>
      </c>
      <c r="I7261" t="s">
        <v>9449</v>
      </c>
      <c r="J7261" t="s">
        <v>14414</v>
      </c>
      <c r="K7261" t="s">
        <v>18767</v>
      </c>
      <c r="L7261">
        <f>HYPERLINK("https://www2.assemblee-nationale.fr/sycomore/fiche/(num_dept)/425", "425")</f>
        <v>0</v>
      </c>
      <c r="N7261">
        <f>HYPERLINK("https://www.wikidata.org/wiki/Q8307049", "Q8307049")</f>
        <v>0</v>
      </c>
      <c r="O7261" t="s">
        <v>19980</v>
      </c>
      <c r="Q7261" t="s">
        <v>20883</v>
      </c>
      <c r="R7261" t="s">
        <v>21592</v>
      </c>
      <c r="S7261">
        <v>541</v>
      </c>
    </row>
    <row r="7262" spans="1:19">
      <c r="A7262" t="s">
        <v>30</v>
      </c>
      <c r="B7262" t="s">
        <v>148</v>
      </c>
      <c r="C7262" t="s">
        <v>162</v>
      </c>
      <c r="D7262" t="s">
        <v>291</v>
      </c>
      <c r="E7262" t="s">
        <v>420</v>
      </c>
      <c r="F7262">
        <f>HYPERLINK("https://www.wikidata.org/wiki/Q33323082", "Q33323082")</f>
        <v>0</v>
      </c>
      <c r="G7262" t="s">
        <v>3889</v>
      </c>
      <c r="H7262" t="s">
        <v>8151</v>
      </c>
      <c r="I7262" t="s">
        <v>11015</v>
      </c>
      <c r="J7262" t="s">
        <v>14447</v>
      </c>
      <c r="K7262" t="s">
        <v>16006</v>
      </c>
      <c r="L7262">
        <f>HYPERLINK("https://www2.assemblee-nationale.fr/sycomore/fiche/(num_dept)/438", "438")</f>
        <v>0</v>
      </c>
      <c r="N7262">
        <f>HYPERLINK("https://www.wikidata.org/wiki/Q15973548", "Q15973548")</f>
        <v>0</v>
      </c>
      <c r="O7262" t="s">
        <v>20013</v>
      </c>
      <c r="Q7262" t="s">
        <v>20883</v>
      </c>
      <c r="R7262" t="s">
        <v>420</v>
      </c>
      <c r="S7262">
        <v>1495</v>
      </c>
    </row>
    <row r="7263" spans="1:19">
      <c r="A7263" t="s">
        <v>30</v>
      </c>
      <c r="B7263" t="s">
        <v>148</v>
      </c>
      <c r="C7263" t="s">
        <v>162</v>
      </c>
      <c r="D7263" t="s">
        <v>291</v>
      </c>
      <c r="E7263" t="s">
        <v>420</v>
      </c>
      <c r="F7263">
        <f>HYPERLINK("https://www.wikidata.org/wiki/Q33323082", "Q33323082")</f>
        <v>0</v>
      </c>
      <c r="G7263" t="s">
        <v>512</v>
      </c>
      <c r="H7263" t="s">
        <v>5277</v>
      </c>
      <c r="I7263" t="s">
        <v>6495</v>
      </c>
      <c r="J7263" t="s">
        <v>11264</v>
      </c>
      <c r="K7263" t="s">
        <v>15664</v>
      </c>
      <c r="L7263">
        <f>HYPERLINK("https://www2.assemblee-nationale.fr/sycomore/fiche/(num_dept)/451", "451")</f>
        <v>0</v>
      </c>
      <c r="M7263">
        <f>HYPERLINK("https://www.senat.fr/senateur-3eme-republique/barthou_louis1071r3.html", "barthou_louis1071r3")</f>
        <v>0</v>
      </c>
      <c r="N7263">
        <f>HYPERLINK("https://www.wikidata.org/wiki/Q271887", "Q271887")</f>
        <v>0</v>
      </c>
      <c r="O7263" t="s">
        <v>19970</v>
      </c>
      <c r="P7263" t="s">
        <v>20457</v>
      </c>
      <c r="Q7263" t="s">
        <v>20883</v>
      </c>
      <c r="R7263" t="s">
        <v>420</v>
      </c>
      <c r="S7263">
        <v>1495</v>
      </c>
    </row>
    <row r="7264" spans="1:19">
      <c r="A7264" t="s">
        <v>30</v>
      </c>
      <c r="B7264" t="s">
        <v>148</v>
      </c>
      <c r="C7264" t="s">
        <v>162</v>
      </c>
      <c r="D7264" t="s">
        <v>291</v>
      </c>
      <c r="E7264" t="s">
        <v>420</v>
      </c>
      <c r="F7264">
        <f>HYPERLINK("https://www.wikidata.org/wiki/Q33323082", "Q33323082")</f>
        <v>0</v>
      </c>
      <c r="G7264" t="s">
        <v>3526</v>
      </c>
      <c r="H7264" t="s">
        <v>7890</v>
      </c>
      <c r="I7264" t="s">
        <v>9602</v>
      </c>
      <c r="J7264" t="s">
        <v>11641</v>
      </c>
      <c r="K7264" t="s">
        <v>18487</v>
      </c>
      <c r="L7264">
        <f>HYPERLINK("https://www2.assemblee-nationale.fr/sycomore/fiche/(num_dept)/452", "452")</f>
        <v>0</v>
      </c>
      <c r="N7264">
        <f>HYPERLINK("https://www.wikidata.org/wiki/Q15973515", "Q15973515")</f>
        <v>0</v>
      </c>
      <c r="O7264" t="s">
        <v>20001</v>
      </c>
      <c r="P7264" t="s">
        <v>20479</v>
      </c>
      <c r="Q7264" t="s">
        <v>20883</v>
      </c>
      <c r="R7264" t="s">
        <v>420</v>
      </c>
      <c r="S7264">
        <v>1495</v>
      </c>
    </row>
    <row r="7265" spans="1:19">
      <c r="A7265" t="s">
        <v>30</v>
      </c>
      <c r="B7265" t="s">
        <v>148</v>
      </c>
      <c r="C7265" t="s">
        <v>162</v>
      </c>
      <c r="D7265" t="s">
        <v>291</v>
      </c>
      <c r="E7265" t="s">
        <v>420</v>
      </c>
      <c r="F7265">
        <f>HYPERLINK("https://www.wikidata.org/wiki/Q33323082", "Q33323082")</f>
        <v>0</v>
      </c>
      <c r="G7265" t="s">
        <v>513</v>
      </c>
      <c r="H7265" t="s">
        <v>5278</v>
      </c>
      <c r="I7265" t="s">
        <v>9381</v>
      </c>
      <c r="J7265" t="s">
        <v>11265</v>
      </c>
      <c r="K7265" t="s">
        <v>15665</v>
      </c>
      <c r="L7265">
        <f>HYPERLINK("https://www2.assemblee-nationale.fr/sycomore/fiche/(num_dept)/462", "462")</f>
        <v>0</v>
      </c>
      <c r="N7265">
        <f>HYPERLINK("https://www.wikidata.org/wiki/Q3588329", "Q3588329")</f>
        <v>0</v>
      </c>
      <c r="O7265" t="s">
        <v>19968</v>
      </c>
      <c r="P7265" t="s">
        <v>20485</v>
      </c>
      <c r="Q7265" t="s">
        <v>20883</v>
      </c>
      <c r="R7265" t="s">
        <v>420</v>
      </c>
      <c r="S7265">
        <v>1495</v>
      </c>
    </row>
    <row r="7266" spans="1:19">
      <c r="A7266" t="s">
        <v>30</v>
      </c>
      <c r="B7266" t="s">
        <v>148</v>
      </c>
      <c r="C7266" t="s">
        <v>162</v>
      </c>
      <c r="D7266" t="s">
        <v>291</v>
      </c>
      <c r="E7266" t="s">
        <v>420</v>
      </c>
      <c r="F7266">
        <f>HYPERLINK("https://www.wikidata.org/wiki/Q33323082", "Q33323082")</f>
        <v>0</v>
      </c>
      <c r="G7266" t="s">
        <v>2492</v>
      </c>
      <c r="H7266" t="s">
        <v>6386</v>
      </c>
      <c r="I7266" t="s">
        <v>10243</v>
      </c>
      <c r="J7266" t="s">
        <v>13136</v>
      </c>
      <c r="K7266" t="s">
        <v>17545</v>
      </c>
      <c r="L7266">
        <f>HYPERLINK("https://www2.assemblee-nationale.fr/sycomore/fiche/(num_dept)/470", "470")</f>
        <v>0</v>
      </c>
      <c r="N7266">
        <f>HYPERLINK("https://www.wikidata.org/wiki/Q15973504", "Q15973504")</f>
        <v>0</v>
      </c>
      <c r="O7266" t="s">
        <v>19966</v>
      </c>
      <c r="P7266" t="s">
        <v>20473</v>
      </c>
      <c r="Q7266" t="s">
        <v>20883</v>
      </c>
      <c r="R7266" t="s">
        <v>17545</v>
      </c>
      <c r="S7266">
        <v>343</v>
      </c>
    </row>
    <row r="7267" spans="1:19">
      <c r="A7267" t="s">
        <v>30</v>
      </c>
      <c r="B7267" t="s">
        <v>148</v>
      </c>
      <c r="C7267" t="s">
        <v>162</v>
      </c>
      <c r="D7267" t="s">
        <v>291</v>
      </c>
      <c r="E7267" t="s">
        <v>420</v>
      </c>
      <c r="F7267">
        <f>HYPERLINK("https://www.wikidata.org/wiki/Q33323082", "Q33323082")</f>
        <v>0</v>
      </c>
      <c r="G7267" t="s">
        <v>515</v>
      </c>
      <c r="H7267" t="s">
        <v>5279</v>
      </c>
      <c r="I7267" t="s">
        <v>9383</v>
      </c>
      <c r="J7267" t="s">
        <v>11267</v>
      </c>
      <c r="K7267" t="s">
        <v>15667</v>
      </c>
      <c r="L7267">
        <f>HYPERLINK("https://www2.assemblee-nationale.fr/sycomore/fiche/(num_dept)/489", "489")</f>
        <v>0</v>
      </c>
      <c r="M7267">
        <f>HYPERLINK("https://www.senat.fr/senateur-3eme-republique/baudet_louis0776r3.html", "baudet_louis0776r3")</f>
        <v>0</v>
      </c>
      <c r="N7267">
        <f>HYPERLINK("https://www.wikidata.org/wiki/Q3261189", "Q3261189")</f>
        <v>0</v>
      </c>
      <c r="O7267" t="s">
        <v>19971</v>
      </c>
      <c r="P7267" t="s">
        <v>20401</v>
      </c>
      <c r="Q7267" t="s">
        <v>20883</v>
      </c>
      <c r="R7267" t="s">
        <v>420</v>
      </c>
      <c r="S7267">
        <v>1495</v>
      </c>
    </row>
    <row r="7268" spans="1:19">
      <c r="A7268" t="s">
        <v>30</v>
      </c>
      <c r="B7268" t="s">
        <v>148</v>
      </c>
      <c r="C7268" t="s">
        <v>162</v>
      </c>
      <c r="D7268" t="s">
        <v>291</v>
      </c>
      <c r="E7268" t="s">
        <v>420</v>
      </c>
      <c r="F7268">
        <f>HYPERLINK("https://www.wikidata.org/wiki/Q33323082", "Q33323082")</f>
        <v>0</v>
      </c>
      <c r="G7268" t="s">
        <v>3953</v>
      </c>
      <c r="H7268" t="s">
        <v>7891</v>
      </c>
      <c r="I7268" t="s">
        <v>6860</v>
      </c>
      <c r="J7268" t="s">
        <v>14504</v>
      </c>
      <c r="K7268" t="s">
        <v>18851</v>
      </c>
      <c r="L7268">
        <f>HYPERLINK("https://www2.assemblee-nationale.fr/sycomore/fiche/(num_dept)/491", "491")</f>
        <v>0</v>
      </c>
      <c r="M7268">
        <f>HYPERLINK("https://www.senat.fr/senateur-3eme-republique/baudin_pierre0016r3.html", "baudin_pierre0016r3")</f>
        <v>0</v>
      </c>
      <c r="N7268">
        <f>HYPERLINK("https://www.wikidata.org/wiki/Q2993834", "Q2993834")</f>
        <v>0</v>
      </c>
      <c r="O7268" t="s">
        <v>19986</v>
      </c>
      <c r="P7268" t="s">
        <v>20477</v>
      </c>
      <c r="Q7268" t="s">
        <v>20883</v>
      </c>
      <c r="R7268" t="s">
        <v>420</v>
      </c>
      <c r="S7268">
        <v>1495</v>
      </c>
    </row>
    <row r="7269" spans="1:19">
      <c r="A7269" t="s">
        <v>30</v>
      </c>
      <c r="B7269" t="s">
        <v>148</v>
      </c>
      <c r="C7269" t="s">
        <v>162</v>
      </c>
      <c r="D7269" t="s">
        <v>291</v>
      </c>
      <c r="E7269" t="s">
        <v>420</v>
      </c>
      <c r="F7269">
        <f>HYPERLINK("https://www.wikidata.org/wiki/Q33323082", "Q33323082")</f>
        <v>0</v>
      </c>
      <c r="G7269" t="s">
        <v>516</v>
      </c>
      <c r="H7269" t="s">
        <v>5280</v>
      </c>
      <c r="I7269" t="s">
        <v>9384</v>
      </c>
      <c r="J7269" t="s">
        <v>11268</v>
      </c>
      <c r="K7269" t="s">
        <v>15668</v>
      </c>
      <c r="L7269">
        <f>HYPERLINK("https://www2.assemblee-nationale.fr/sycomore/fiche/(num_dept)/501", "501")</f>
        <v>0</v>
      </c>
      <c r="N7269">
        <f>HYPERLINK("https://www.wikidata.org/wiki/Q2861911", "Q2861911")</f>
        <v>0</v>
      </c>
      <c r="O7269" t="s">
        <v>19972</v>
      </c>
      <c r="P7269" t="s">
        <v>20504</v>
      </c>
      <c r="Q7269" t="s">
        <v>20883</v>
      </c>
      <c r="R7269" t="s">
        <v>420</v>
      </c>
      <c r="S7269">
        <v>1495</v>
      </c>
    </row>
    <row r="7270" spans="1:19">
      <c r="A7270" t="s">
        <v>30</v>
      </c>
      <c r="B7270" t="s">
        <v>148</v>
      </c>
      <c r="C7270" t="s">
        <v>162</v>
      </c>
      <c r="D7270" t="s">
        <v>291</v>
      </c>
      <c r="E7270" t="s">
        <v>420</v>
      </c>
      <c r="F7270">
        <f>HYPERLINK("https://www.wikidata.org/wiki/Q33323082", "Q33323082")</f>
        <v>0</v>
      </c>
      <c r="G7270" t="s">
        <v>517</v>
      </c>
      <c r="H7270" t="s">
        <v>5281</v>
      </c>
      <c r="I7270" t="s">
        <v>9385</v>
      </c>
      <c r="J7270" t="s">
        <v>11269</v>
      </c>
      <c r="K7270" t="s">
        <v>15669</v>
      </c>
      <c r="L7270">
        <f>HYPERLINK("https://www2.assemblee-nationale.fr/sycomore/fiche/(num_dept)/538", "538")</f>
        <v>0</v>
      </c>
      <c r="N7270">
        <f>HYPERLINK("https://www.wikidata.org/wiki/Q2958509", "Q2958509")</f>
        <v>0</v>
      </c>
      <c r="O7270" t="s">
        <v>19973</v>
      </c>
      <c r="P7270" t="s">
        <v>20477</v>
      </c>
      <c r="Q7270" t="s">
        <v>20883</v>
      </c>
      <c r="R7270" t="s">
        <v>420</v>
      </c>
      <c r="S7270">
        <v>1495</v>
      </c>
    </row>
    <row r="7271" spans="1:19">
      <c r="A7271" t="s">
        <v>30</v>
      </c>
      <c r="B7271" t="s">
        <v>148</v>
      </c>
      <c r="C7271" t="s">
        <v>162</v>
      </c>
      <c r="D7271" t="s">
        <v>291</v>
      </c>
      <c r="E7271" t="s">
        <v>420</v>
      </c>
      <c r="F7271">
        <f>HYPERLINK("https://www.wikidata.org/wiki/Q33323082", "Q33323082")</f>
        <v>0</v>
      </c>
      <c r="G7271" t="s">
        <v>3869</v>
      </c>
      <c r="H7271" t="s">
        <v>5282</v>
      </c>
      <c r="I7271" t="s">
        <v>9864</v>
      </c>
      <c r="J7271" t="s">
        <v>14428</v>
      </c>
      <c r="K7271" t="s">
        <v>18781</v>
      </c>
      <c r="L7271">
        <f>HYPERLINK("https://www2.assemblee-nationale.fr/sycomore/fiche/(num_dept)/541", "541")</f>
        <v>0</v>
      </c>
      <c r="N7271">
        <f>HYPERLINK("https://www.wikidata.org/wiki/Q16798433", "Q16798433")</f>
        <v>0</v>
      </c>
      <c r="O7271" t="s">
        <v>19975</v>
      </c>
      <c r="Q7271" t="s">
        <v>20883</v>
      </c>
      <c r="R7271" t="s">
        <v>420</v>
      </c>
      <c r="S7271">
        <v>1495</v>
      </c>
    </row>
    <row r="7272" spans="1:19">
      <c r="A7272" t="s">
        <v>30</v>
      </c>
      <c r="B7272" t="s">
        <v>148</v>
      </c>
      <c r="C7272" t="s">
        <v>162</v>
      </c>
      <c r="D7272" t="s">
        <v>291</v>
      </c>
      <c r="E7272" t="s">
        <v>420</v>
      </c>
      <c r="F7272">
        <f>HYPERLINK("https://www.wikidata.org/wiki/Q33323082", "Q33323082")</f>
        <v>0</v>
      </c>
      <c r="G7272" t="s">
        <v>872</v>
      </c>
      <c r="H7272" t="s">
        <v>5628</v>
      </c>
      <c r="I7272" t="s">
        <v>9567</v>
      </c>
      <c r="J7272" t="s">
        <v>11618</v>
      </c>
      <c r="K7272" t="s">
        <v>16020</v>
      </c>
      <c r="L7272">
        <f>HYPERLINK("https://www2.assemblee-nationale.fr/sycomore/fiche/(num_dept)/629", "629")</f>
        <v>0</v>
      </c>
      <c r="N7272">
        <f>HYPERLINK("https://www.wikidata.org/wiki/Q2958523", "Q2958523")</f>
        <v>0</v>
      </c>
      <c r="O7272" t="s">
        <v>19969</v>
      </c>
      <c r="P7272" t="s">
        <v>20479</v>
      </c>
      <c r="Q7272" t="s">
        <v>20883</v>
      </c>
      <c r="R7272" t="s">
        <v>420</v>
      </c>
      <c r="S7272">
        <v>1495</v>
      </c>
    </row>
    <row r="7273" spans="1:19">
      <c r="A7273" t="s">
        <v>30</v>
      </c>
      <c r="B7273" t="s">
        <v>148</v>
      </c>
      <c r="C7273" t="s">
        <v>162</v>
      </c>
      <c r="D7273" t="s">
        <v>291</v>
      </c>
      <c r="E7273" t="s">
        <v>420</v>
      </c>
      <c r="F7273">
        <f>HYPERLINK("https://www.wikidata.org/wiki/Q33323082", "Q33323082")</f>
        <v>0</v>
      </c>
      <c r="G7273" t="s">
        <v>4041</v>
      </c>
      <c r="H7273" t="s">
        <v>7339</v>
      </c>
      <c r="I7273" t="s">
        <v>11076</v>
      </c>
      <c r="J7273" t="s">
        <v>14582</v>
      </c>
      <c r="K7273" t="s">
        <v>18922</v>
      </c>
      <c r="L7273">
        <f>HYPERLINK("https://www2.assemblee-nationale.fr/sycomore/fiche/(num_dept)/632", "632")</f>
        <v>0</v>
      </c>
      <c r="N7273">
        <f>HYPERLINK("https://www.wikidata.org/wiki/Q2831655", "Q2831655")</f>
        <v>0</v>
      </c>
      <c r="O7273" t="s">
        <v>20030</v>
      </c>
      <c r="P7273" t="s">
        <v>20410</v>
      </c>
      <c r="Q7273" t="s">
        <v>20883</v>
      </c>
      <c r="R7273" t="s">
        <v>420</v>
      </c>
      <c r="S7273">
        <v>1495</v>
      </c>
    </row>
    <row r="7274" spans="1:19">
      <c r="A7274" t="s">
        <v>30</v>
      </c>
      <c r="B7274" t="s">
        <v>148</v>
      </c>
      <c r="C7274" t="s">
        <v>162</v>
      </c>
      <c r="D7274" t="s">
        <v>291</v>
      </c>
      <c r="E7274" t="s">
        <v>420</v>
      </c>
      <c r="F7274">
        <f>HYPERLINK("https://www.wikidata.org/wiki/Q33323082", "Q33323082")</f>
        <v>0</v>
      </c>
      <c r="G7274" t="s">
        <v>3677</v>
      </c>
      <c r="H7274" t="s">
        <v>8003</v>
      </c>
      <c r="I7274" t="s">
        <v>10930</v>
      </c>
      <c r="J7274" t="s">
        <v>14254</v>
      </c>
      <c r="K7274" t="s">
        <v>18615</v>
      </c>
      <c r="L7274">
        <f>HYPERLINK("https://www2.assemblee-nationale.fr/sycomore/fiche/(num_dept)/642", "642")</f>
        <v>0</v>
      </c>
      <c r="M7274">
        <f>HYPERLINK("https://www.senat.fr/senateur-3eme-republique/bepmale_jean0103r3.html", "bepmale_jean0103r3")</f>
        <v>0</v>
      </c>
      <c r="N7274">
        <f>HYPERLINK("https://www.wikidata.org/wiki/Q3170701", "Q3170701")</f>
        <v>0</v>
      </c>
      <c r="O7274" t="s">
        <v>20016</v>
      </c>
      <c r="P7274" t="s">
        <v>20477</v>
      </c>
      <c r="Q7274" t="s">
        <v>20883</v>
      </c>
      <c r="R7274" t="s">
        <v>420</v>
      </c>
      <c r="S7274">
        <v>1495</v>
      </c>
    </row>
    <row r="7275" spans="1:19">
      <c r="A7275" t="s">
        <v>30</v>
      </c>
      <c r="B7275" t="s">
        <v>148</v>
      </c>
      <c r="C7275" t="s">
        <v>162</v>
      </c>
      <c r="D7275" t="s">
        <v>291</v>
      </c>
      <c r="E7275" t="s">
        <v>420</v>
      </c>
      <c r="F7275">
        <f>HYPERLINK("https://www.wikidata.org/wiki/Q33323082", "Q33323082")</f>
        <v>0</v>
      </c>
      <c r="G7275" t="s">
        <v>3678</v>
      </c>
      <c r="H7275" t="s">
        <v>5286</v>
      </c>
      <c r="I7275" t="s">
        <v>9553</v>
      </c>
      <c r="J7275" t="s">
        <v>14255</v>
      </c>
      <c r="K7275" t="s">
        <v>18616</v>
      </c>
      <c r="L7275">
        <f>HYPERLINK("https://www2.assemblee-nationale.fr/sycomore/fiche/(num_dept)/647", "647")</f>
        <v>0</v>
      </c>
      <c r="M7275">
        <f>HYPERLINK("https://www.senat.fr/senateur-3eme-republique/berard_alexandre0019r3.html", "berard_alexandre0019r3")</f>
        <v>0</v>
      </c>
      <c r="N7275">
        <f>HYPERLINK("https://www.wikidata.org/wiki/Q2833511", "Q2833511")</f>
        <v>0</v>
      </c>
      <c r="O7275" t="s">
        <v>19986</v>
      </c>
      <c r="P7275" t="s">
        <v>20401</v>
      </c>
      <c r="Q7275" t="s">
        <v>20883</v>
      </c>
      <c r="R7275" t="s">
        <v>420</v>
      </c>
      <c r="S7275">
        <v>1495</v>
      </c>
    </row>
    <row r="7276" spans="1:19">
      <c r="A7276" t="s">
        <v>30</v>
      </c>
      <c r="B7276" t="s">
        <v>148</v>
      </c>
      <c r="C7276" t="s">
        <v>162</v>
      </c>
      <c r="D7276" t="s">
        <v>291</v>
      </c>
      <c r="E7276" t="s">
        <v>420</v>
      </c>
      <c r="F7276">
        <f>HYPERLINK("https://www.wikidata.org/wiki/Q33323082", "Q33323082")</f>
        <v>0</v>
      </c>
      <c r="G7276" t="s">
        <v>3530</v>
      </c>
      <c r="H7276" t="s">
        <v>5946</v>
      </c>
      <c r="I7276" t="s">
        <v>10866</v>
      </c>
      <c r="J7276" t="s">
        <v>14124</v>
      </c>
      <c r="K7276" t="s">
        <v>18490</v>
      </c>
      <c r="L7276">
        <f>HYPERLINK("https://www2.assemblee-nationale.fr/sycomore/fiche/(num_dept)/664", "664")</f>
        <v>0</v>
      </c>
      <c r="N7276">
        <f>HYPERLINK("https://www.wikidata.org/wiki/Q13080880", "Q13080880")</f>
        <v>0</v>
      </c>
      <c r="O7276" t="s">
        <v>19969</v>
      </c>
      <c r="P7276" t="s">
        <v>20479</v>
      </c>
      <c r="Q7276" t="s">
        <v>20883</v>
      </c>
      <c r="R7276" t="s">
        <v>420</v>
      </c>
      <c r="S7276">
        <v>1495</v>
      </c>
    </row>
    <row r="7277" spans="1:19">
      <c r="A7277" t="s">
        <v>30</v>
      </c>
      <c r="B7277" t="s">
        <v>148</v>
      </c>
      <c r="C7277" t="s">
        <v>162</v>
      </c>
      <c r="D7277" t="s">
        <v>291</v>
      </c>
      <c r="E7277" t="s">
        <v>420</v>
      </c>
      <c r="F7277">
        <f>HYPERLINK("https://www.wikidata.org/wiki/Q33323082", "Q33323082")</f>
        <v>0</v>
      </c>
      <c r="G7277" t="s">
        <v>524</v>
      </c>
      <c r="H7277" t="s">
        <v>5288</v>
      </c>
      <c r="I7277" t="s">
        <v>9392</v>
      </c>
      <c r="J7277" t="s">
        <v>11276</v>
      </c>
      <c r="K7277" t="s">
        <v>15676</v>
      </c>
      <c r="L7277">
        <f>HYPERLINK("https://www2.assemblee-nationale.fr/sycomore/fiche/(num_dept)/715", "715")</f>
        <v>0</v>
      </c>
      <c r="N7277">
        <f>HYPERLINK("https://www.wikidata.org/wiki/Q3102282", "Q3102282")</f>
        <v>0</v>
      </c>
      <c r="O7277" t="s">
        <v>19969</v>
      </c>
      <c r="P7277" t="s">
        <v>20504</v>
      </c>
      <c r="Q7277" t="s">
        <v>20883</v>
      </c>
      <c r="R7277" t="s">
        <v>420</v>
      </c>
      <c r="S7277">
        <v>1495</v>
      </c>
    </row>
    <row r="7278" spans="1:19">
      <c r="A7278" t="s">
        <v>30</v>
      </c>
      <c r="B7278" t="s">
        <v>148</v>
      </c>
      <c r="C7278" t="s">
        <v>162</v>
      </c>
      <c r="D7278" t="s">
        <v>291</v>
      </c>
      <c r="E7278" t="s">
        <v>420</v>
      </c>
      <c r="F7278">
        <f>HYPERLINK("https://www.wikidata.org/wiki/Q33323082", "Q33323082")</f>
        <v>0</v>
      </c>
      <c r="G7278" t="s">
        <v>3892</v>
      </c>
      <c r="H7278" t="s">
        <v>8153</v>
      </c>
      <c r="I7278" t="s">
        <v>9388</v>
      </c>
      <c r="J7278" t="s">
        <v>14450</v>
      </c>
      <c r="K7278" t="s">
        <v>18800</v>
      </c>
      <c r="L7278">
        <f>HYPERLINK("https://www2.assemblee-nationale.fr/sycomore/fiche/(num_dept)/716", "716")</f>
        <v>0</v>
      </c>
      <c r="M7278">
        <f>HYPERLINK("https://www.senat.fr/senateur-3eme-republique/bersez_paul1400r3.html", "bersez_paul1400r3")</f>
        <v>0</v>
      </c>
      <c r="N7278">
        <f>HYPERLINK("https://www.wikidata.org/wiki/Q3370626", "Q3370626")</f>
        <v>0</v>
      </c>
      <c r="O7278" t="s">
        <v>20013</v>
      </c>
      <c r="Q7278" t="s">
        <v>20883</v>
      </c>
      <c r="R7278" t="s">
        <v>21593</v>
      </c>
      <c r="S7278">
        <v>1355</v>
      </c>
    </row>
    <row r="7279" spans="1:19">
      <c r="A7279" t="s">
        <v>30</v>
      </c>
      <c r="B7279" t="s">
        <v>148</v>
      </c>
      <c r="C7279" t="s">
        <v>162</v>
      </c>
      <c r="D7279" t="s">
        <v>291</v>
      </c>
      <c r="E7279" t="s">
        <v>420</v>
      </c>
      <c r="F7279">
        <f>HYPERLINK("https://www.wikidata.org/wiki/Q33323082", "Q33323082")</f>
        <v>0</v>
      </c>
      <c r="G7279" t="s">
        <v>525</v>
      </c>
      <c r="H7279" t="s">
        <v>5289</v>
      </c>
      <c r="I7279" t="s">
        <v>7642</v>
      </c>
      <c r="J7279" t="s">
        <v>11277</v>
      </c>
      <c r="K7279" t="s">
        <v>15677</v>
      </c>
      <c r="L7279">
        <f>HYPERLINK("https://www2.assemblee-nationale.fr/sycomore/fiche/(num_dept)/720", "720")</f>
        <v>0</v>
      </c>
      <c r="N7279">
        <f>HYPERLINK("https://www.wikidata.org/wiki/Q3300415", "Q3300415")</f>
        <v>0</v>
      </c>
      <c r="O7279" t="s">
        <v>19976</v>
      </c>
      <c r="P7279" t="s">
        <v>20477</v>
      </c>
      <c r="Q7279" t="s">
        <v>20883</v>
      </c>
      <c r="R7279" t="s">
        <v>420</v>
      </c>
      <c r="S7279">
        <v>1495</v>
      </c>
    </row>
    <row r="7280" spans="1:19">
      <c r="A7280" t="s">
        <v>30</v>
      </c>
      <c r="B7280" t="s">
        <v>148</v>
      </c>
      <c r="C7280" t="s">
        <v>162</v>
      </c>
      <c r="D7280" t="s">
        <v>291</v>
      </c>
      <c r="E7280" t="s">
        <v>420</v>
      </c>
      <c r="F7280">
        <f>HYPERLINK("https://www.wikidata.org/wiki/Q33323082", "Q33323082")</f>
        <v>0</v>
      </c>
      <c r="G7280" t="s">
        <v>3406</v>
      </c>
      <c r="H7280" t="s">
        <v>5630</v>
      </c>
      <c r="I7280" t="s">
        <v>10815</v>
      </c>
      <c r="J7280" t="s">
        <v>11427</v>
      </c>
      <c r="K7280" t="s">
        <v>18381</v>
      </c>
      <c r="L7280">
        <f>HYPERLINK("https://www2.assemblee-nationale.fr/sycomore/fiche/(num_dept)/747", "747")</f>
        <v>0</v>
      </c>
      <c r="N7280">
        <f>HYPERLINK("https://www.wikidata.org/wiki/Q16011065", "Q16011065")</f>
        <v>0</v>
      </c>
      <c r="O7280" t="s">
        <v>20025</v>
      </c>
      <c r="P7280" t="s">
        <v>20479</v>
      </c>
      <c r="Q7280" t="s">
        <v>20883</v>
      </c>
      <c r="R7280" t="s">
        <v>420</v>
      </c>
      <c r="S7280">
        <v>1495</v>
      </c>
    </row>
    <row r="7281" spans="1:19">
      <c r="A7281" t="s">
        <v>30</v>
      </c>
      <c r="B7281" t="s">
        <v>148</v>
      </c>
      <c r="C7281" t="s">
        <v>162</v>
      </c>
      <c r="D7281" t="s">
        <v>291</v>
      </c>
      <c r="E7281" t="s">
        <v>420</v>
      </c>
      <c r="F7281">
        <f>HYPERLINK("https://www.wikidata.org/wiki/Q33323082", "Q33323082")</f>
        <v>0</v>
      </c>
      <c r="G7281" t="s">
        <v>528</v>
      </c>
      <c r="H7281" t="s">
        <v>5292</v>
      </c>
      <c r="I7281" t="s">
        <v>9388</v>
      </c>
      <c r="J7281" t="s">
        <v>11280</v>
      </c>
      <c r="K7281" t="s">
        <v>15680</v>
      </c>
      <c r="L7281">
        <f>HYPERLINK("https://www2.assemblee-nationale.fr/sycomore/fiche/(num_dept)/799", "799")</f>
        <v>0</v>
      </c>
      <c r="M7281">
        <f>HYPERLINK("https://www.senat.fr/senateur-3eme-republique/bignon_paul1577r3.html", "bignon_paul1577r3")</f>
        <v>0</v>
      </c>
      <c r="N7281">
        <f>HYPERLINK("https://www.wikidata.org/wiki/Q3370646", "Q3370646")</f>
        <v>0</v>
      </c>
      <c r="O7281" t="s">
        <v>19978</v>
      </c>
      <c r="Q7281" t="s">
        <v>20883</v>
      </c>
      <c r="R7281" t="s">
        <v>420</v>
      </c>
      <c r="S7281">
        <v>1495</v>
      </c>
    </row>
    <row r="7282" spans="1:19">
      <c r="A7282" t="s">
        <v>30</v>
      </c>
      <c r="B7282" t="s">
        <v>148</v>
      </c>
      <c r="C7282" t="s">
        <v>162</v>
      </c>
      <c r="D7282" t="s">
        <v>291</v>
      </c>
      <c r="E7282" t="s">
        <v>420</v>
      </c>
      <c r="F7282">
        <f>HYPERLINK("https://www.wikidata.org/wiki/Q33323082", "Q33323082")</f>
        <v>0</v>
      </c>
      <c r="G7282" t="s">
        <v>529</v>
      </c>
      <c r="H7282" t="s">
        <v>5293</v>
      </c>
      <c r="I7282" t="s">
        <v>9394</v>
      </c>
      <c r="J7282" t="s">
        <v>11281</v>
      </c>
      <c r="K7282" t="s">
        <v>15681</v>
      </c>
      <c r="L7282">
        <f>HYPERLINK("https://www2.assemblee-nationale.fr/sycomore/fiche/(num_dept)/817", "817")</f>
        <v>0</v>
      </c>
      <c r="N7282">
        <f>HYPERLINK("https://www.wikidata.org/wiki/Q3300423", "Q3300423")</f>
        <v>0</v>
      </c>
      <c r="O7282" t="s">
        <v>19969</v>
      </c>
      <c r="P7282" t="s">
        <v>20409</v>
      </c>
      <c r="Q7282" t="s">
        <v>20883</v>
      </c>
      <c r="R7282" t="s">
        <v>420</v>
      </c>
      <c r="S7282">
        <v>1495</v>
      </c>
    </row>
    <row r="7283" spans="1:19">
      <c r="A7283" t="s">
        <v>30</v>
      </c>
      <c r="B7283" t="s">
        <v>148</v>
      </c>
      <c r="C7283" t="s">
        <v>162</v>
      </c>
      <c r="D7283" t="s">
        <v>291</v>
      </c>
      <c r="E7283" t="s">
        <v>420</v>
      </c>
      <c r="F7283">
        <f>HYPERLINK("https://www.wikidata.org/wiki/Q33323082", "Q33323082")</f>
        <v>0</v>
      </c>
      <c r="G7283" t="s">
        <v>2502</v>
      </c>
      <c r="H7283" t="s">
        <v>7072</v>
      </c>
      <c r="I7283" t="s">
        <v>10250</v>
      </c>
      <c r="J7283" t="s">
        <v>13146</v>
      </c>
      <c r="K7283" t="s">
        <v>17554</v>
      </c>
      <c r="L7283">
        <f>HYPERLINK("https://www2.assemblee-nationale.fr/sycomore/fiche/(num_dept)/827", "827")</f>
        <v>0</v>
      </c>
      <c r="N7283">
        <f>HYPERLINK("https://www.wikidata.org/wiki/Q3419404", "Q3419404")</f>
        <v>0</v>
      </c>
      <c r="O7283" t="s">
        <v>20024</v>
      </c>
      <c r="P7283" t="s">
        <v>20409</v>
      </c>
      <c r="Q7283" t="s">
        <v>20883</v>
      </c>
      <c r="R7283" t="s">
        <v>420</v>
      </c>
      <c r="S7283">
        <v>1495</v>
      </c>
    </row>
    <row r="7284" spans="1:19">
      <c r="A7284" t="s">
        <v>30</v>
      </c>
      <c r="B7284" t="s">
        <v>148</v>
      </c>
      <c r="C7284" t="s">
        <v>162</v>
      </c>
      <c r="D7284" t="s">
        <v>291</v>
      </c>
      <c r="E7284" t="s">
        <v>420</v>
      </c>
      <c r="F7284">
        <f>HYPERLINK("https://www.wikidata.org/wiki/Q33323082", "Q33323082")</f>
        <v>0</v>
      </c>
      <c r="G7284" t="s">
        <v>3533</v>
      </c>
      <c r="H7284" t="s">
        <v>7894</v>
      </c>
      <c r="I7284" t="s">
        <v>10868</v>
      </c>
      <c r="J7284" t="s">
        <v>14127</v>
      </c>
      <c r="K7284" t="s">
        <v>18452</v>
      </c>
      <c r="L7284">
        <f>HYPERLINK("https://www2.assemblee-nationale.fr/sycomore/fiche/(num_dept)/834", "834")</f>
        <v>0</v>
      </c>
      <c r="N7284">
        <f>HYPERLINK("https://www.wikidata.org/wiki/Q3059731", "Q3059731")</f>
        <v>0</v>
      </c>
      <c r="O7284" t="s">
        <v>19986</v>
      </c>
      <c r="P7284" t="s">
        <v>20401</v>
      </c>
      <c r="Q7284" t="s">
        <v>20883</v>
      </c>
      <c r="R7284" t="s">
        <v>420</v>
      </c>
      <c r="S7284">
        <v>1495</v>
      </c>
    </row>
    <row r="7285" spans="1:19">
      <c r="A7285" t="s">
        <v>30</v>
      </c>
      <c r="B7285" t="s">
        <v>148</v>
      </c>
      <c r="C7285" t="s">
        <v>162</v>
      </c>
      <c r="D7285" t="s">
        <v>291</v>
      </c>
      <c r="E7285" t="s">
        <v>420</v>
      </c>
      <c r="F7285">
        <f>HYPERLINK("https://www.wikidata.org/wiki/Q33323082", "Q33323082")</f>
        <v>0</v>
      </c>
      <c r="G7285" t="s">
        <v>538</v>
      </c>
      <c r="H7285" t="s">
        <v>5302</v>
      </c>
      <c r="I7285" t="s">
        <v>5592</v>
      </c>
      <c r="J7285" t="s">
        <v>11290</v>
      </c>
      <c r="K7285" t="s">
        <v>15690</v>
      </c>
      <c r="L7285">
        <f>HYPERLINK("https://www2.assemblee-nationale.fr/sycomore/fiche/(num_dept)/955", "955")</f>
        <v>0</v>
      </c>
      <c r="M7285">
        <f>HYPERLINK("https://www.senat.fr/senateur-3eme-republique/bonnevay_laurent1123r3.html", "bonnevay_laurent1123r3")</f>
        <v>0</v>
      </c>
      <c r="N7285">
        <f>HYPERLINK("https://www.wikidata.org/wiki/Q3219051", "Q3219051")</f>
        <v>0</v>
      </c>
      <c r="O7285" t="s">
        <v>19965</v>
      </c>
      <c r="P7285" t="s">
        <v>20479</v>
      </c>
      <c r="Q7285" t="s">
        <v>20883</v>
      </c>
      <c r="R7285" t="s">
        <v>420</v>
      </c>
      <c r="S7285">
        <v>1495</v>
      </c>
    </row>
    <row r="7286" spans="1:19">
      <c r="A7286" t="s">
        <v>30</v>
      </c>
      <c r="B7286" t="s">
        <v>148</v>
      </c>
      <c r="C7286" t="s">
        <v>162</v>
      </c>
      <c r="D7286" t="s">
        <v>291</v>
      </c>
      <c r="E7286" t="s">
        <v>420</v>
      </c>
      <c r="F7286">
        <f>HYPERLINK("https://www.wikidata.org/wiki/Q33323082", "Q33323082")</f>
        <v>0</v>
      </c>
      <c r="G7286" t="s">
        <v>4052</v>
      </c>
      <c r="H7286" t="s">
        <v>8278</v>
      </c>
      <c r="I7286" t="s">
        <v>11080</v>
      </c>
      <c r="J7286" t="s">
        <v>14592</v>
      </c>
      <c r="K7286" t="s">
        <v>18308</v>
      </c>
      <c r="L7286">
        <f>HYPERLINK("https://www2.assemblee-nationale.fr/sycomore/fiche/(num_dept)/963", "963")</f>
        <v>0</v>
      </c>
      <c r="N7286">
        <f>HYPERLINK("https://www.wikidata.org/wiki/Q1489006", "Q1489006")</f>
        <v>0</v>
      </c>
      <c r="O7286" t="s">
        <v>19969</v>
      </c>
      <c r="P7286" t="s">
        <v>20495</v>
      </c>
      <c r="Q7286" t="s">
        <v>20883</v>
      </c>
      <c r="R7286" t="s">
        <v>420</v>
      </c>
      <c r="S7286">
        <v>1495</v>
      </c>
    </row>
    <row r="7287" spans="1:19">
      <c r="A7287" t="s">
        <v>30</v>
      </c>
      <c r="B7287" t="s">
        <v>148</v>
      </c>
      <c r="C7287" t="s">
        <v>162</v>
      </c>
      <c r="D7287" t="s">
        <v>291</v>
      </c>
      <c r="E7287" t="s">
        <v>420</v>
      </c>
      <c r="F7287">
        <f>HYPERLINK("https://www.wikidata.org/wiki/Q33323082", "Q33323082")</f>
        <v>0</v>
      </c>
      <c r="G7287" t="s">
        <v>3409</v>
      </c>
      <c r="H7287" t="s">
        <v>7796</v>
      </c>
      <c r="I7287" t="s">
        <v>9401</v>
      </c>
      <c r="J7287" t="s">
        <v>14015</v>
      </c>
      <c r="K7287" t="s">
        <v>18383</v>
      </c>
      <c r="L7287">
        <f>HYPERLINK("https://www2.assemblee-nationale.fr/sycomore/fiche/(num_dept)/965", "965")</f>
        <v>0</v>
      </c>
      <c r="M7287">
        <f>HYPERLINK("https://www.senat.fr/senateur-3eme-republique/bony_cisternes_antoine0999r3.html", "bony_cisternes_antoine0999r3")</f>
        <v>0</v>
      </c>
      <c r="N7287">
        <f>HYPERLINK("https://www.wikidata.org/wiki/Q2853703", "Q2853703")</f>
        <v>0</v>
      </c>
      <c r="O7287" t="s">
        <v>20005</v>
      </c>
      <c r="P7287" t="s">
        <v>20411</v>
      </c>
      <c r="Q7287" t="s">
        <v>20883</v>
      </c>
      <c r="R7287" t="s">
        <v>420</v>
      </c>
      <c r="S7287">
        <v>1495</v>
      </c>
    </row>
    <row r="7288" spans="1:19">
      <c r="A7288" t="s">
        <v>30</v>
      </c>
      <c r="B7288" t="s">
        <v>148</v>
      </c>
      <c r="C7288" t="s">
        <v>162</v>
      </c>
      <c r="D7288" t="s">
        <v>291</v>
      </c>
      <c r="E7288" t="s">
        <v>420</v>
      </c>
      <c r="F7288">
        <f>HYPERLINK("https://www.wikidata.org/wiki/Q33323082", "Q33323082")</f>
        <v>0</v>
      </c>
      <c r="G7288" t="s">
        <v>4053</v>
      </c>
      <c r="H7288" t="s">
        <v>8279</v>
      </c>
      <c r="I7288" t="s">
        <v>11081</v>
      </c>
      <c r="J7288" t="s">
        <v>14593</v>
      </c>
      <c r="K7288" t="s">
        <v>17696</v>
      </c>
      <c r="L7288">
        <f>HYPERLINK("https://www2.assemblee-nationale.fr/sycomore/fiche/(num_dept)/977", "977")</f>
        <v>0</v>
      </c>
      <c r="N7288">
        <f>HYPERLINK("https://www.wikidata.org/wiki/Q15973830", "Q15973830")</f>
        <v>0</v>
      </c>
      <c r="O7288" t="s">
        <v>19978</v>
      </c>
      <c r="P7288" t="s">
        <v>20457</v>
      </c>
      <c r="Q7288" t="s">
        <v>20883</v>
      </c>
      <c r="R7288" t="s">
        <v>420</v>
      </c>
      <c r="S7288">
        <v>1495</v>
      </c>
    </row>
    <row r="7289" spans="1:19">
      <c r="A7289" t="s">
        <v>30</v>
      </c>
      <c r="B7289" t="s">
        <v>148</v>
      </c>
      <c r="C7289" t="s">
        <v>162</v>
      </c>
      <c r="D7289" t="s">
        <v>291</v>
      </c>
      <c r="E7289" t="s">
        <v>420</v>
      </c>
      <c r="F7289">
        <f>HYPERLINK("https://www.wikidata.org/wiki/Q33323082", "Q33323082")</f>
        <v>0</v>
      </c>
      <c r="G7289" t="s">
        <v>3895</v>
      </c>
      <c r="H7289" t="s">
        <v>8155</v>
      </c>
      <c r="I7289" t="s">
        <v>11018</v>
      </c>
      <c r="J7289" t="s">
        <v>14452</v>
      </c>
      <c r="K7289" t="s">
        <v>18803</v>
      </c>
      <c r="L7289">
        <f>HYPERLINK("https://www2.assemblee-nationale.fr/sycomore/fiche/(num_dept)/981", "981")</f>
        <v>0</v>
      </c>
      <c r="M7289">
        <f>HYPERLINK("https://www.senat.fr/senateur-3eme-republique/borne_charles0678r3.html", "borne_charles0678r3")</f>
        <v>0</v>
      </c>
      <c r="N7289">
        <f>HYPERLINK("https://www.wikidata.org/wiki/Q2958581", "Q2958581")</f>
        <v>0</v>
      </c>
      <c r="O7289" t="s">
        <v>19973</v>
      </c>
      <c r="P7289" t="s">
        <v>20471</v>
      </c>
      <c r="Q7289" t="s">
        <v>20883</v>
      </c>
      <c r="R7289" t="s">
        <v>21594</v>
      </c>
      <c r="S7289">
        <v>338</v>
      </c>
    </row>
    <row r="7290" spans="1:19">
      <c r="A7290" t="s">
        <v>30</v>
      </c>
      <c r="B7290" t="s">
        <v>148</v>
      </c>
      <c r="C7290" t="s">
        <v>162</v>
      </c>
      <c r="D7290" t="s">
        <v>291</v>
      </c>
      <c r="E7290" t="s">
        <v>420</v>
      </c>
      <c r="F7290">
        <f>HYPERLINK("https://www.wikidata.org/wiki/Q33323082", "Q33323082")</f>
        <v>0</v>
      </c>
      <c r="G7290" t="s">
        <v>3410</v>
      </c>
      <c r="H7290" t="s">
        <v>7544</v>
      </c>
      <c r="I7290" t="s">
        <v>6478</v>
      </c>
      <c r="J7290" t="s">
        <v>14016</v>
      </c>
      <c r="K7290" t="s">
        <v>18384</v>
      </c>
      <c r="L7290">
        <f>HYPERLINK("https://www2.assemblee-nationale.fr/sycomore/fiche/(num_dept)/1008", "1008")</f>
        <v>0</v>
      </c>
      <c r="M7290">
        <f>HYPERLINK("https://www.senat.fr/senateur-3eme-republique/boucher_henry1805r3.html", "boucher_henry1805r3")</f>
        <v>0</v>
      </c>
      <c r="N7290">
        <f>HYPERLINK("https://www.wikidata.org/wiki/Q3132647", "Q3132647")</f>
        <v>0</v>
      </c>
      <c r="O7290" t="s">
        <v>20017</v>
      </c>
      <c r="Q7290" t="s">
        <v>20883</v>
      </c>
      <c r="R7290" t="s">
        <v>420</v>
      </c>
      <c r="S7290">
        <v>1495</v>
      </c>
    </row>
    <row r="7291" spans="1:19">
      <c r="A7291" t="s">
        <v>30</v>
      </c>
      <c r="B7291" t="s">
        <v>148</v>
      </c>
      <c r="C7291" t="s">
        <v>162</v>
      </c>
      <c r="D7291" t="s">
        <v>291</v>
      </c>
      <c r="E7291" t="s">
        <v>420</v>
      </c>
      <c r="F7291">
        <f>HYPERLINK("https://www.wikidata.org/wiki/Q33323082", "Q33323082")</f>
        <v>0</v>
      </c>
      <c r="G7291" t="s">
        <v>541</v>
      </c>
      <c r="H7291" t="s">
        <v>5305</v>
      </c>
      <c r="I7291" t="s">
        <v>9402</v>
      </c>
      <c r="J7291" t="s">
        <v>11293</v>
      </c>
      <c r="K7291" t="s">
        <v>15693</v>
      </c>
      <c r="L7291">
        <f>HYPERLINK("https://www2.assemblee-nationale.fr/sycomore/fiche/(num_dept)/1016", "1016")</f>
        <v>0</v>
      </c>
      <c r="M7291">
        <f>HYPERLINK("https://www.senat.fr/senateur-3eme-republique/bouctot_georges1611r3.html", "bouctot_georges1611r3")</f>
        <v>0</v>
      </c>
      <c r="N7291">
        <f>HYPERLINK("https://www.wikidata.org/wiki/Q3102338", "Q3102338")</f>
        <v>0</v>
      </c>
      <c r="O7291" t="s">
        <v>19978</v>
      </c>
      <c r="P7291" t="s">
        <v>20479</v>
      </c>
      <c r="Q7291" t="s">
        <v>20883</v>
      </c>
      <c r="R7291" t="s">
        <v>420</v>
      </c>
      <c r="S7291">
        <v>1495</v>
      </c>
    </row>
    <row r="7292" spans="1:19">
      <c r="A7292" t="s">
        <v>30</v>
      </c>
      <c r="B7292" t="s">
        <v>148</v>
      </c>
      <c r="C7292" t="s">
        <v>162</v>
      </c>
      <c r="D7292" t="s">
        <v>291</v>
      </c>
      <c r="E7292" t="s">
        <v>420</v>
      </c>
      <c r="F7292">
        <f>HYPERLINK("https://www.wikidata.org/wiki/Q33323082", "Q33323082")</f>
        <v>0</v>
      </c>
      <c r="G7292" t="s">
        <v>544</v>
      </c>
      <c r="H7292" t="s">
        <v>5308</v>
      </c>
      <c r="I7292" t="s">
        <v>9376</v>
      </c>
      <c r="J7292" t="s">
        <v>11296</v>
      </c>
      <c r="K7292" t="s">
        <v>15696</v>
      </c>
      <c r="L7292">
        <f>HYPERLINK("https://www2.assemblee-nationale.fr/sycomore/fiche/(num_dept)/1030", "1030")</f>
        <v>0</v>
      </c>
      <c r="M7292">
        <f>HYPERLINK("https://www.senat.fr/senateur-3eme-republique/bougere_ferdinand1163r3.html", "bougere_ferdinand1163r3")</f>
        <v>0</v>
      </c>
      <c r="N7292">
        <f>HYPERLINK("https://www.wikidata.org/wiki/Q8299130", "Q8299130")</f>
        <v>0</v>
      </c>
      <c r="O7292" t="s">
        <v>19980</v>
      </c>
      <c r="P7292" t="s">
        <v>20504</v>
      </c>
      <c r="Q7292" t="s">
        <v>20883</v>
      </c>
      <c r="R7292" t="s">
        <v>420</v>
      </c>
      <c r="S7292">
        <v>1495</v>
      </c>
    </row>
    <row r="7293" spans="1:19">
      <c r="A7293" t="s">
        <v>30</v>
      </c>
      <c r="B7293" t="s">
        <v>148</v>
      </c>
      <c r="C7293" t="s">
        <v>162</v>
      </c>
      <c r="D7293" t="s">
        <v>291</v>
      </c>
      <c r="E7293" t="s">
        <v>420</v>
      </c>
      <c r="F7293">
        <f>HYPERLINK("https://www.wikidata.org/wiki/Q33323082", "Q33323082")</f>
        <v>0</v>
      </c>
      <c r="G7293" t="s">
        <v>545</v>
      </c>
      <c r="H7293" t="s">
        <v>5308</v>
      </c>
      <c r="I7293" t="s">
        <v>5592</v>
      </c>
      <c r="J7293" t="s">
        <v>11297</v>
      </c>
      <c r="K7293" t="s">
        <v>15697</v>
      </c>
      <c r="L7293">
        <f>HYPERLINK("https://www2.assemblee-nationale.fr/sycomore/fiche/(num_dept)/1031", "1031")</f>
        <v>0</v>
      </c>
      <c r="N7293">
        <f>HYPERLINK("https://www.wikidata.org/wiki/Q8299131", "Q8299131")</f>
        <v>0</v>
      </c>
      <c r="O7293" t="s">
        <v>19980</v>
      </c>
      <c r="P7293" t="s">
        <v>20504</v>
      </c>
      <c r="Q7293" t="s">
        <v>20883</v>
      </c>
      <c r="R7293" t="s">
        <v>420</v>
      </c>
      <c r="S7293">
        <v>1495</v>
      </c>
    </row>
    <row r="7294" spans="1:19">
      <c r="A7294" t="s">
        <v>30</v>
      </c>
      <c r="B7294" t="s">
        <v>148</v>
      </c>
      <c r="C7294" t="s">
        <v>162</v>
      </c>
      <c r="D7294" t="s">
        <v>291</v>
      </c>
      <c r="E7294" t="s">
        <v>420</v>
      </c>
      <c r="F7294">
        <f>HYPERLINK("https://www.wikidata.org/wiki/Q33323082", "Q33323082")</f>
        <v>0</v>
      </c>
      <c r="G7294" t="s">
        <v>3373</v>
      </c>
      <c r="H7294" t="s">
        <v>7083</v>
      </c>
      <c r="I7294" t="s">
        <v>5528</v>
      </c>
      <c r="J7294" t="s">
        <v>13985</v>
      </c>
      <c r="K7294" t="s">
        <v>18353</v>
      </c>
      <c r="L7294">
        <f>HYPERLINK("https://www2.assemblee-nationale.fr/sycomore/fiche/(num_dept)/1083", "1083")</f>
        <v>0</v>
      </c>
      <c r="M7294">
        <f>HYPERLINK("https://www.senat.fr/senateur-3eme-republique/bourgeois_leon0647r3.html", "bourgeois_leon0647r3")</f>
        <v>0</v>
      </c>
      <c r="N7294">
        <f>HYPERLINK("https://www.wikidata.org/wiki/Q217706", "Q217706")</f>
        <v>0</v>
      </c>
      <c r="O7294" t="s">
        <v>20025</v>
      </c>
      <c r="P7294" t="s">
        <v>20477</v>
      </c>
      <c r="Q7294" t="s">
        <v>20883</v>
      </c>
      <c r="R7294" t="s">
        <v>21595</v>
      </c>
      <c r="S7294">
        <v>1286</v>
      </c>
    </row>
    <row r="7295" spans="1:19">
      <c r="A7295" t="s">
        <v>30</v>
      </c>
      <c r="B7295" t="s">
        <v>148</v>
      </c>
      <c r="C7295" t="s">
        <v>162</v>
      </c>
      <c r="D7295" t="s">
        <v>291</v>
      </c>
      <c r="E7295" t="s">
        <v>420</v>
      </c>
      <c r="F7295">
        <f>HYPERLINK("https://www.wikidata.org/wiki/Q33323082", "Q33323082")</f>
        <v>0</v>
      </c>
      <c r="G7295" t="s">
        <v>2515</v>
      </c>
      <c r="H7295" t="s">
        <v>7083</v>
      </c>
      <c r="I7295" t="s">
        <v>10259</v>
      </c>
      <c r="J7295" t="s">
        <v>13159</v>
      </c>
      <c r="K7295" t="s">
        <v>17566</v>
      </c>
      <c r="L7295">
        <f>HYPERLINK("https://www2.assemblee-nationale.fr/sycomore/fiche/(num_dept)/1085", "1085")</f>
        <v>0</v>
      </c>
      <c r="N7295">
        <f>HYPERLINK("https://www.wikidata.org/wiki/Q15973888", "Q15973888")</f>
        <v>0</v>
      </c>
      <c r="O7295" t="s">
        <v>19972</v>
      </c>
      <c r="Q7295" t="s">
        <v>20883</v>
      </c>
      <c r="R7295" t="s">
        <v>420</v>
      </c>
      <c r="S7295">
        <v>1495</v>
      </c>
    </row>
    <row r="7296" spans="1:19">
      <c r="A7296" t="s">
        <v>30</v>
      </c>
      <c r="B7296" t="s">
        <v>148</v>
      </c>
      <c r="C7296" t="s">
        <v>162</v>
      </c>
      <c r="D7296" t="s">
        <v>291</v>
      </c>
      <c r="E7296" t="s">
        <v>420</v>
      </c>
      <c r="F7296">
        <f>HYPERLINK("https://www.wikidata.org/wiki/Q33323082", "Q33323082")</f>
        <v>0</v>
      </c>
      <c r="G7296" t="s">
        <v>3849</v>
      </c>
      <c r="H7296" t="s">
        <v>8123</v>
      </c>
      <c r="I7296" t="s">
        <v>10999</v>
      </c>
      <c r="J7296" t="s">
        <v>14409</v>
      </c>
      <c r="K7296" t="s">
        <v>18761</v>
      </c>
      <c r="L7296">
        <f>HYPERLINK("https://www2.assemblee-nationale.fr/sycomore/fiche/(num_dept)/1103", "1103")</f>
        <v>0</v>
      </c>
      <c r="N7296">
        <f>HYPERLINK("https://www.wikidata.org/wiki/Q14240790", "Q14240790")</f>
        <v>0</v>
      </c>
      <c r="O7296" t="s">
        <v>20001</v>
      </c>
      <c r="P7296" t="s">
        <v>20477</v>
      </c>
      <c r="Q7296" t="s">
        <v>20883</v>
      </c>
      <c r="R7296" t="s">
        <v>420</v>
      </c>
      <c r="S7296">
        <v>1495</v>
      </c>
    </row>
    <row r="7297" spans="1:19">
      <c r="A7297" t="s">
        <v>30</v>
      </c>
      <c r="B7297" t="s">
        <v>148</v>
      </c>
      <c r="C7297" t="s">
        <v>162</v>
      </c>
      <c r="D7297" t="s">
        <v>291</v>
      </c>
      <c r="E7297" t="s">
        <v>420</v>
      </c>
      <c r="F7297">
        <f>HYPERLINK("https://www.wikidata.org/wiki/Q33323082", "Q33323082")</f>
        <v>0</v>
      </c>
      <c r="G7297" t="s">
        <v>547</v>
      </c>
      <c r="H7297" t="s">
        <v>5310</v>
      </c>
      <c r="I7297" t="s">
        <v>9406</v>
      </c>
      <c r="J7297" t="s">
        <v>11299</v>
      </c>
      <c r="K7297" t="s">
        <v>15699</v>
      </c>
      <c r="L7297">
        <f>HYPERLINK("https://www2.assemblee-nationale.fr/sycomore/fiche/(num_dept)/1107", "1107")</f>
        <v>0</v>
      </c>
      <c r="N7297">
        <f>HYPERLINK("https://www.wikidata.org/wiki/Q2958427", "Q2958427")</f>
        <v>0</v>
      </c>
      <c r="O7297" t="s">
        <v>19992</v>
      </c>
      <c r="P7297" t="s">
        <v>20479</v>
      </c>
      <c r="Q7297" t="s">
        <v>20883</v>
      </c>
      <c r="R7297" t="s">
        <v>420</v>
      </c>
      <c r="S7297">
        <v>1495</v>
      </c>
    </row>
    <row r="7298" spans="1:19">
      <c r="A7298" t="s">
        <v>30</v>
      </c>
      <c r="B7298" t="s">
        <v>148</v>
      </c>
      <c r="C7298" t="s">
        <v>162</v>
      </c>
      <c r="D7298" t="s">
        <v>291</v>
      </c>
      <c r="E7298" t="s">
        <v>420</v>
      </c>
      <c r="F7298">
        <f>HYPERLINK("https://www.wikidata.org/wiki/Q33323082", "Q33323082")</f>
        <v>0</v>
      </c>
      <c r="G7298" t="s">
        <v>3896</v>
      </c>
      <c r="H7298" t="s">
        <v>8156</v>
      </c>
      <c r="I7298" t="s">
        <v>10808</v>
      </c>
      <c r="J7298" t="s">
        <v>14453</v>
      </c>
      <c r="K7298" t="s">
        <v>18804</v>
      </c>
      <c r="L7298">
        <f>HYPERLINK("https://www2.assemblee-nationale.fr/sycomore/fiche/(num_dept)/1120", "1120")</f>
        <v>0</v>
      </c>
      <c r="N7298">
        <f>HYPERLINK("https://www.wikidata.org/wiki/Q15973923", "Q15973923")</f>
        <v>0</v>
      </c>
      <c r="O7298" t="s">
        <v>19977</v>
      </c>
      <c r="P7298" t="s">
        <v>20471</v>
      </c>
      <c r="Q7298" t="s">
        <v>20883</v>
      </c>
      <c r="R7298" t="s">
        <v>420</v>
      </c>
      <c r="S7298">
        <v>1495</v>
      </c>
    </row>
    <row r="7299" spans="1:19">
      <c r="A7299" t="s">
        <v>30</v>
      </c>
      <c r="B7299" t="s">
        <v>148</v>
      </c>
      <c r="C7299" t="s">
        <v>162</v>
      </c>
      <c r="D7299" t="s">
        <v>291</v>
      </c>
      <c r="E7299" t="s">
        <v>420</v>
      </c>
      <c r="F7299">
        <f>HYPERLINK("https://www.wikidata.org/wiki/Q33323082", "Q33323082")</f>
        <v>0</v>
      </c>
      <c r="G7299" t="s">
        <v>549</v>
      </c>
      <c r="H7299" t="s">
        <v>5312</v>
      </c>
      <c r="I7299" t="s">
        <v>6200</v>
      </c>
      <c r="J7299" t="s">
        <v>11301</v>
      </c>
      <c r="K7299" t="s">
        <v>15701</v>
      </c>
      <c r="L7299">
        <f>HYPERLINK("https://www2.assemblee-nationale.fr/sycomore/fiche/(num_dept)/1138", "1138")</f>
        <v>0</v>
      </c>
      <c r="M7299">
        <f>HYPERLINK("https://www.senat.fr/senateur-3eme-republique/bouveri_jean1220r3.html", "bouveri_jean1220r3")</f>
        <v>0</v>
      </c>
      <c r="N7299">
        <f>HYPERLINK("https://www.wikidata.org/wiki/Q3170948", "Q3170948")</f>
        <v>0</v>
      </c>
      <c r="O7299" t="s">
        <v>19994</v>
      </c>
      <c r="P7299" t="s">
        <v>20500</v>
      </c>
      <c r="Q7299" t="s">
        <v>20883</v>
      </c>
      <c r="R7299" t="s">
        <v>420</v>
      </c>
      <c r="S7299">
        <v>1495</v>
      </c>
    </row>
    <row r="7300" spans="1:19">
      <c r="A7300" t="s">
        <v>30</v>
      </c>
      <c r="B7300" t="s">
        <v>148</v>
      </c>
      <c r="C7300" t="s">
        <v>162</v>
      </c>
      <c r="D7300" t="s">
        <v>291</v>
      </c>
      <c r="E7300" t="s">
        <v>420</v>
      </c>
      <c r="F7300">
        <f>HYPERLINK("https://www.wikidata.org/wiki/Q33323082", "Q33323082")</f>
        <v>0</v>
      </c>
      <c r="G7300" t="s">
        <v>3235</v>
      </c>
      <c r="H7300" t="s">
        <v>6405</v>
      </c>
      <c r="I7300" t="s">
        <v>10722</v>
      </c>
      <c r="J7300" t="s">
        <v>13853</v>
      </c>
      <c r="K7300" t="s">
        <v>18225</v>
      </c>
      <c r="L7300">
        <f>HYPERLINK("https://www2.assemblee-nationale.fr/sycomore/fiche/(num_dept)/1150", "1150")</f>
        <v>0</v>
      </c>
      <c r="M7300">
        <f>HYPERLINK("https://www.senat.fr/senateur-3eme-republique/boyer_antide0317r3.html", "boyer_antide0317r3")</f>
        <v>0</v>
      </c>
      <c r="N7300">
        <f>HYPERLINK("https://www.wikidata.org/wiki/Q575028", "Q575028")</f>
        <v>0</v>
      </c>
      <c r="O7300" t="s">
        <v>19990</v>
      </c>
      <c r="P7300" t="s">
        <v>20485</v>
      </c>
      <c r="Q7300" t="s">
        <v>20883</v>
      </c>
      <c r="R7300" t="s">
        <v>420</v>
      </c>
      <c r="S7300">
        <v>1495</v>
      </c>
    </row>
    <row r="7301" spans="1:19">
      <c r="A7301" t="s">
        <v>30</v>
      </c>
      <c r="B7301" t="s">
        <v>148</v>
      </c>
      <c r="C7301" t="s">
        <v>162</v>
      </c>
      <c r="D7301" t="s">
        <v>291</v>
      </c>
      <c r="E7301" t="s">
        <v>420</v>
      </c>
      <c r="F7301">
        <f>HYPERLINK("https://www.wikidata.org/wiki/Q33323082", "Q33323082")</f>
        <v>0</v>
      </c>
      <c r="G7301" t="s">
        <v>552</v>
      </c>
      <c r="H7301" t="s">
        <v>5315</v>
      </c>
      <c r="I7301" t="s">
        <v>9410</v>
      </c>
      <c r="J7301" t="s">
        <v>11303</v>
      </c>
      <c r="K7301" t="s">
        <v>15704</v>
      </c>
      <c r="L7301">
        <f>HYPERLINK("https://www2.assemblee-nationale.fr/sycomore/fiche/(num_dept)/1203", "1203")</f>
        <v>0</v>
      </c>
      <c r="M7301">
        <f>HYPERLINK("https://www.senat.fr/senateur-3eme-republique/breton_jules0441r3.html", "breton_jules0441r3")</f>
        <v>0</v>
      </c>
      <c r="N7301">
        <f>HYPERLINK("https://www.wikidata.org/wiki/Q3188368", "Q3188368")</f>
        <v>0</v>
      </c>
      <c r="O7301" t="s">
        <v>19996</v>
      </c>
      <c r="P7301" t="s">
        <v>20485</v>
      </c>
      <c r="Q7301" t="s">
        <v>20883</v>
      </c>
      <c r="R7301" t="s">
        <v>420</v>
      </c>
      <c r="S7301">
        <v>1495</v>
      </c>
    </row>
    <row r="7302" spans="1:19">
      <c r="A7302" t="s">
        <v>30</v>
      </c>
      <c r="B7302" t="s">
        <v>148</v>
      </c>
      <c r="C7302" t="s">
        <v>162</v>
      </c>
      <c r="D7302" t="s">
        <v>291</v>
      </c>
      <c r="E7302" t="s">
        <v>420</v>
      </c>
      <c r="F7302">
        <f>HYPERLINK("https://www.wikidata.org/wiki/Q33323082", "Q33323082")</f>
        <v>0</v>
      </c>
      <c r="G7302" t="s">
        <v>553</v>
      </c>
      <c r="H7302" t="s">
        <v>5316</v>
      </c>
      <c r="I7302" t="s">
        <v>9411</v>
      </c>
      <c r="J7302" t="s">
        <v>11304</v>
      </c>
      <c r="K7302" t="s">
        <v>15705</v>
      </c>
      <c r="L7302">
        <f>HYPERLINK("https://www2.assemblee-nationale.fr/sycomore/fiche/(num_dept)/1211", "1211")</f>
        <v>0</v>
      </c>
      <c r="N7302">
        <f>HYPERLINK("https://www.wikidata.org/wiki/Q179888", "Q179888")</f>
        <v>0</v>
      </c>
      <c r="O7302" t="s">
        <v>19997</v>
      </c>
      <c r="P7302" t="s">
        <v>20485</v>
      </c>
      <c r="Q7302" t="s">
        <v>20883</v>
      </c>
      <c r="R7302" t="s">
        <v>420</v>
      </c>
      <c r="S7302">
        <v>1495</v>
      </c>
    </row>
    <row r="7303" spans="1:19">
      <c r="A7303" t="s">
        <v>30</v>
      </c>
      <c r="B7303" t="s">
        <v>148</v>
      </c>
      <c r="C7303" t="s">
        <v>162</v>
      </c>
      <c r="D7303" t="s">
        <v>291</v>
      </c>
      <c r="E7303" t="s">
        <v>420</v>
      </c>
      <c r="F7303">
        <f>HYPERLINK("https://www.wikidata.org/wiki/Q33323082", "Q33323082")</f>
        <v>0</v>
      </c>
      <c r="G7303" t="s">
        <v>3749</v>
      </c>
      <c r="H7303" t="s">
        <v>5317</v>
      </c>
      <c r="I7303" t="s">
        <v>10960</v>
      </c>
      <c r="J7303" t="s">
        <v>14323</v>
      </c>
      <c r="K7303" t="s">
        <v>18675</v>
      </c>
      <c r="L7303">
        <f>HYPERLINK("https://www2.assemblee-nationale.fr/sycomore/fiche/(num_dept)/1218", "1218")</f>
        <v>0</v>
      </c>
      <c r="N7303">
        <f>HYPERLINK("https://www.wikidata.org/wiki/Q15973935", "Q15973935")</f>
        <v>0</v>
      </c>
      <c r="O7303" t="s">
        <v>20007</v>
      </c>
      <c r="P7303" t="s">
        <v>20495</v>
      </c>
      <c r="Q7303" t="s">
        <v>20883</v>
      </c>
      <c r="R7303" t="s">
        <v>18675</v>
      </c>
      <c r="S7303">
        <v>1170</v>
      </c>
    </row>
    <row r="7304" spans="1:19">
      <c r="A7304" t="s">
        <v>30</v>
      </c>
      <c r="B7304" t="s">
        <v>148</v>
      </c>
      <c r="C7304" t="s">
        <v>162</v>
      </c>
      <c r="D7304" t="s">
        <v>291</v>
      </c>
      <c r="E7304" t="s">
        <v>420</v>
      </c>
      <c r="F7304">
        <f>HYPERLINK("https://www.wikidata.org/wiki/Q33323082", "Q33323082")</f>
        <v>0</v>
      </c>
      <c r="G7304" t="s">
        <v>554</v>
      </c>
      <c r="H7304" t="s">
        <v>5317</v>
      </c>
      <c r="I7304" t="s">
        <v>9412</v>
      </c>
      <c r="J7304" t="s">
        <v>11305</v>
      </c>
      <c r="K7304" t="s">
        <v>15706</v>
      </c>
      <c r="L7304">
        <f>HYPERLINK("https://www2.assemblee-nationale.fr/sycomore/fiche/(num_dept)/1220", "1220")</f>
        <v>0</v>
      </c>
      <c r="N7304">
        <f>HYPERLINK("https://www.wikidata.org/wiki/Q3426418", "Q3426418")</f>
        <v>0</v>
      </c>
      <c r="O7304" t="s">
        <v>19998</v>
      </c>
      <c r="P7304" t="s">
        <v>20504</v>
      </c>
      <c r="Q7304" t="s">
        <v>20883</v>
      </c>
      <c r="R7304" t="s">
        <v>420</v>
      </c>
      <c r="S7304">
        <v>1495</v>
      </c>
    </row>
    <row r="7305" spans="1:19">
      <c r="A7305" t="s">
        <v>30</v>
      </c>
      <c r="B7305" t="s">
        <v>148</v>
      </c>
      <c r="C7305" t="s">
        <v>162</v>
      </c>
      <c r="D7305" t="s">
        <v>291</v>
      </c>
      <c r="E7305" t="s">
        <v>420</v>
      </c>
      <c r="F7305">
        <f>HYPERLINK("https://www.wikidata.org/wiki/Q33323082", "Q33323082")</f>
        <v>0</v>
      </c>
      <c r="G7305" t="s">
        <v>890</v>
      </c>
      <c r="H7305" t="s">
        <v>5646</v>
      </c>
      <c r="I7305" t="s">
        <v>9577</v>
      </c>
      <c r="J7305" t="s">
        <v>11636</v>
      </c>
      <c r="K7305" t="s">
        <v>16036</v>
      </c>
      <c r="L7305">
        <f>HYPERLINK("https://www2.assemblee-nationale.fr/sycomore/fiche/(num_dept)/1234", "1234")</f>
        <v>0</v>
      </c>
      <c r="M7305">
        <f>HYPERLINK("https://www.senat.fr/senateur-3eme-republique/brindeau_louis1617r3.html", "brindeau_louis1617r3")</f>
        <v>0</v>
      </c>
      <c r="N7305">
        <f>HYPERLINK("https://www.wikidata.org/wiki/Q3261358", "Q3261358")</f>
        <v>0</v>
      </c>
      <c r="O7305" t="s">
        <v>19978</v>
      </c>
      <c r="P7305" t="s">
        <v>20479</v>
      </c>
      <c r="Q7305" t="s">
        <v>20883</v>
      </c>
      <c r="R7305" t="s">
        <v>420</v>
      </c>
      <c r="S7305">
        <v>1495</v>
      </c>
    </row>
    <row r="7306" spans="1:19">
      <c r="A7306" t="s">
        <v>30</v>
      </c>
      <c r="B7306" t="s">
        <v>148</v>
      </c>
      <c r="C7306" t="s">
        <v>162</v>
      </c>
      <c r="D7306" t="s">
        <v>291</v>
      </c>
      <c r="E7306" t="s">
        <v>420</v>
      </c>
      <c r="F7306">
        <f>HYPERLINK("https://www.wikidata.org/wiki/Q33323082", "Q33323082")</f>
        <v>0</v>
      </c>
      <c r="G7306" t="s">
        <v>3685</v>
      </c>
      <c r="H7306" t="s">
        <v>8008</v>
      </c>
      <c r="I7306" t="s">
        <v>10936</v>
      </c>
      <c r="J7306" t="s">
        <v>14261</v>
      </c>
      <c r="K7306" t="s">
        <v>18622</v>
      </c>
      <c r="L7306">
        <f>HYPERLINK("https://www2.assemblee-nationale.fr/sycomore/fiche/(num_dept)/1251", "1251")</f>
        <v>0</v>
      </c>
      <c r="N7306">
        <f>HYPERLINK("https://www.wikidata.org/wiki/Q1871376", "Q1871376")</f>
        <v>0</v>
      </c>
      <c r="O7306" t="s">
        <v>19984</v>
      </c>
      <c r="P7306" t="s">
        <v>20409</v>
      </c>
      <c r="Q7306" t="s">
        <v>20883</v>
      </c>
      <c r="R7306" t="s">
        <v>420</v>
      </c>
      <c r="S7306">
        <v>1495</v>
      </c>
    </row>
    <row r="7307" spans="1:19">
      <c r="A7307" t="s">
        <v>30</v>
      </c>
      <c r="B7307" t="s">
        <v>148</v>
      </c>
      <c r="C7307" t="s">
        <v>162</v>
      </c>
      <c r="D7307" t="s">
        <v>291</v>
      </c>
      <c r="E7307" t="s">
        <v>420</v>
      </c>
      <c r="F7307">
        <f>HYPERLINK("https://www.wikidata.org/wiki/Q33323082", "Q33323082")</f>
        <v>0</v>
      </c>
      <c r="G7307" t="s">
        <v>893</v>
      </c>
      <c r="H7307" t="s">
        <v>5649</v>
      </c>
      <c r="I7307" t="s">
        <v>9578</v>
      </c>
      <c r="J7307" t="s">
        <v>11639</v>
      </c>
      <c r="K7307" t="s">
        <v>15822</v>
      </c>
      <c r="L7307">
        <f>HYPERLINK("https://www2.assemblee-nationale.fr/sycomore/fiche/(num_dept)/1275", "1275")</f>
        <v>0</v>
      </c>
      <c r="N7307">
        <f>HYPERLINK("https://www.wikidata.org/wiki/Q15973958", "Q15973958")</f>
        <v>0</v>
      </c>
      <c r="O7307" t="s">
        <v>19966</v>
      </c>
      <c r="P7307" t="s">
        <v>20401</v>
      </c>
      <c r="Q7307" t="s">
        <v>20883</v>
      </c>
      <c r="R7307" t="s">
        <v>420</v>
      </c>
      <c r="S7307">
        <v>1495</v>
      </c>
    </row>
    <row r="7308" spans="1:19">
      <c r="A7308" t="s">
        <v>30</v>
      </c>
      <c r="B7308" t="s">
        <v>148</v>
      </c>
      <c r="C7308" t="s">
        <v>162</v>
      </c>
      <c r="D7308" t="s">
        <v>291</v>
      </c>
      <c r="E7308" t="s">
        <v>420</v>
      </c>
      <c r="F7308">
        <f>HYPERLINK("https://www.wikidata.org/wiki/Q33323082", "Q33323082")</f>
        <v>0</v>
      </c>
      <c r="G7308" t="s">
        <v>3687</v>
      </c>
      <c r="H7308" t="s">
        <v>5650</v>
      </c>
      <c r="I7308" t="s">
        <v>6495</v>
      </c>
      <c r="J7308" t="s">
        <v>14263</v>
      </c>
      <c r="K7308" t="s">
        <v>18624</v>
      </c>
      <c r="L7308">
        <f>HYPERLINK("https://www2.assemblee-nationale.fr/sycomore/fiche/(num_dept)/1289", "1289")</f>
        <v>0</v>
      </c>
      <c r="N7308">
        <f>HYPERLINK("https://www.wikidata.org/wiki/Q3261371", "Q3261371")</f>
        <v>0</v>
      </c>
      <c r="O7308" t="s">
        <v>19963</v>
      </c>
      <c r="P7308" t="s">
        <v>20477</v>
      </c>
      <c r="Q7308" t="s">
        <v>20883</v>
      </c>
      <c r="R7308" t="s">
        <v>19135</v>
      </c>
      <c r="S7308">
        <v>1064</v>
      </c>
    </row>
    <row r="7309" spans="1:19">
      <c r="A7309" t="s">
        <v>30</v>
      </c>
      <c r="B7309" t="s">
        <v>148</v>
      </c>
      <c r="C7309" t="s">
        <v>162</v>
      </c>
      <c r="D7309" t="s">
        <v>291</v>
      </c>
      <c r="E7309" t="s">
        <v>420</v>
      </c>
      <c r="F7309">
        <f>HYPERLINK("https://www.wikidata.org/wiki/Q33323082", "Q33323082")</f>
        <v>0</v>
      </c>
      <c r="G7309" t="s">
        <v>3897</v>
      </c>
      <c r="H7309" t="s">
        <v>8157</v>
      </c>
      <c r="I7309" t="s">
        <v>11019</v>
      </c>
      <c r="J7309" t="s">
        <v>14454</v>
      </c>
      <c r="K7309" t="s">
        <v>16205</v>
      </c>
      <c r="L7309">
        <f>HYPERLINK("https://www2.assemblee-nationale.fr/sycomore/fiche/(num_dept)/1327", "1327")</f>
        <v>0</v>
      </c>
      <c r="M7309">
        <f>HYPERLINK("https://www.senat.fr/senateur-3eme-republique/bussiere_etienne0457r3.html", "bussiere_etienne0457r3")</f>
        <v>0</v>
      </c>
      <c r="N7309">
        <f>HYPERLINK("https://www.wikidata.org/wiki/Q3592092", "Q3592092")</f>
        <v>0</v>
      </c>
      <c r="O7309" t="s">
        <v>20020</v>
      </c>
      <c r="P7309" t="s">
        <v>20477</v>
      </c>
      <c r="Q7309" t="s">
        <v>20883</v>
      </c>
      <c r="R7309" t="s">
        <v>420</v>
      </c>
      <c r="S7309">
        <v>1495</v>
      </c>
    </row>
    <row r="7310" spans="1:19">
      <c r="A7310" t="s">
        <v>30</v>
      </c>
      <c r="B7310" t="s">
        <v>148</v>
      </c>
      <c r="C7310" t="s">
        <v>162</v>
      </c>
      <c r="D7310" t="s">
        <v>291</v>
      </c>
      <c r="E7310" t="s">
        <v>420</v>
      </c>
      <c r="F7310">
        <f>HYPERLINK("https://www.wikidata.org/wiki/Q33323082", "Q33323082")</f>
        <v>0</v>
      </c>
      <c r="G7310" t="s">
        <v>559</v>
      </c>
      <c r="H7310" t="s">
        <v>5322</v>
      </c>
      <c r="I7310" t="s">
        <v>5948</v>
      </c>
      <c r="J7310" t="s">
        <v>11310</v>
      </c>
      <c r="K7310" t="s">
        <v>15711</v>
      </c>
      <c r="L7310">
        <f>HYPERLINK("https://www2.assemblee-nationale.fr/sycomore/fiche/(num_dept)/1347", "1347")</f>
        <v>0</v>
      </c>
      <c r="N7310">
        <f>HYPERLINK("https://www.wikidata.org/wiki/Q822341", "Q822341")</f>
        <v>0</v>
      </c>
      <c r="O7310" t="s">
        <v>19990</v>
      </c>
      <c r="P7310" t="s">
        <v>20485</v>
      </c>
      <c r="Q7310" t="s">
        <v>20883</v>
      </c>
      <c r="R7310" t="s">
        <v>420</v>
      </c>
      <c r="S7310">
        <v>1495</v>
      </c>
    </row>
    <row r="7311" spans="1:19">
      <c r="A7311" t="s">
        <v>30</v>
      </c>
      <c r="B7311" t="s">
        <v>148</v>
      </c>
      <c r="C7311" t="s">
        <v>162</v>
      </c>
      <c r="D7311" t="s">
        <v>291</v>
      </c>
      <c r="E7311" t="s">
        <v>420</v>
      </c>
      <c r="F7311">
        <f>HYPERLINK("https://www.wikidata.org/wiki/Q33323082", "Q33323082")</f>
        <v>0</v>
      </c>
      <c r="G7311" t="s">
        <v>3415</v>
      </c>
      <c r="H7311" t="s">
        <v>7800</v>
      </c>
      <c r="I7311" t="s">
        <v>10819</v>
      </c>
      <c r="J7311" t="s">
        <v>14020</v>
      </c>
      <c r="K7311" t="s">
        <v>18389</v>
      </c>
      <c r="L7311">
        <f>HYPERLINK("https://www2.assemblee-nationale.fr/sycomore/fiche/(num_dept)/1355", "1355")</f>
        <v>0</v>
      </c>
      <c r="N7311">
        <f>HYPERLINK("https://www.wikidata.org/wiki/Q15974110", "Q15974110")</f>
        <v>0</v>
      </c>
      <c r="O7311" t="s">
        <v>20015</v>
      </c>
      <c r="P7311" t="s">
        <v>20410</v>
      </c>
      <c r="Q7311" t="s">
        <v>20883</v>
      </c>
      <c r="R7311" t="s">
        <v>420</v>
      </c>
      <c r="S7311">
        <v>1495</v>
      </c>
    </row>
    <row r="7312" spans="1:19">
      <c r="A7312" t="s">
        <v>30</v>
      </c>
      <c r="B7312" t="s">
        <v>148</v>
      </c>
      <c r="C7312" t="s">
        <v>162</v>
      </c>
      <c r="D7312" t="s">
        <v>291</v>
      </c>
      <c r="E7312" t="s">
        <v>420</v>
      </c>
      <c r="F7312">
        <f>HYPERLINK("https://www.wikidata.org/wiki/Q33323082", "Q33323082")</f>
        <v>0</v>
      </c>
      <c r="G7312" t="s">
        <v>560</v>
      </c>
      <c r="H7312" t="s">
        <v>5323</v>
      </c>
      <c r="I7312" t="s">
        <v>9407</v>
      </c>
      <c r="J7312" t="s">
        <v>11311</v>
      </c>
      <c r="K7312" t="s">
        <v>15712</v>
      </c>
      <c r="L7312">
        <f>HYPERLINK("https://www2.assemblee-nationale.fr/sycomore/fiche/(num_dept)/1366", "1366")</f>
        <v>0</v>
      </c>
      <c r="M7312">
        <f>HYPERLINK("https://www.senat.fr/senateur-3eme-republique/caillaux_joseph1254r3.html", "caillaux_joseph1254r3")</f>
        <v>0</v>
      </c>
      <c r="N7312">
        <f>HYPERLINK("https://www.wikidata.org/wiki/Q450463", "Q450463")</f>
        <v>0</v>
      </c>
      <c r="O7312" t="s">
        <v>19956</v>
      </c>
      <c r="P7312" t="s">
        <v>20457</v>
      </c>
      <c r="Q7312" t="s">
        <v>20883</v>
      </c>
      <c r="R7312" t="s">
        <v>420</v>
      </c>
      <c r="S7312">
        <v>1495</v>
      </c>
    </row>
    <row r="7313" spans="1:19">
      <c r="A7313" t="s">
        <v>30</v>
      </c>
      <c r="B7313" t="s">
        <v>148</v>
      </c>
      <c r="C7313" t="s">
        <v>162</v>
      </c>
      <c r="D7313" t="s">
        <v>291</v>
      </c>
      <c r="E7313" t="s">
        <v>420</v>
      </c>
      <c r="F7313">
        <f>HYPERLINK("https://www.wikidata.org/wiki/Q33323082", "Q33323082")</f>
        <v>0</v>
      </c>
      <c r="G7313" t="s">
        <v>3363</v>
      </c>
      <c r="H7313" t="s">
        <v>7760</v>
      </c>
      <c r="I7313" t="s">
        <v>10792</v>
      </c>
      <c r="J7313" t="s">
        <v>13975</v>
      </c>
      <c r="K7313" t="s">
        <v>18343</v>
      </c>
      <c r="L7313">
        <f>HYPERLINK("https://www2.assemblee-nationale.fr/sycomore/fiche/(num_dept)/1393", "1393")</f>
        <v>0</v>
      </c>
      <c r="N7313">
        <f>HYPERLINK("https://www.wikidata.org/wiki/Q15974106", "Q15974106")</f>
        <v>0</v>
      </c>
      <c r="O7313" t="s">
        <v>20016</v>
      </c>
      <c r="P7313" t="s">
        <v>20480</v>
      </c>
      <c r="Q7313" t="s">
        <v>20883</v>
      </c>
      <c r="R7313" t="s">
        <v>18343</v>
      </c>
      <c r="S7313">
        <v>70</v>
      </c>
    </row>
    <row r="7314" spans="1:19">
      <c r="A7314" t="s">
        <v>30</v>
      </c>
      <c r="B7314" t="s">
        <v>148</v>
      </c>
      <c r="C7314" t="s">
        <v>162</v>
      </c>
      <c r="D7314" t="s">
        <v>291</v>
      </c>
      <c r="E7314" t="s">
        <v>420</v>
      </c>
      <c r="F7314">
        <f>HYPERLINK("https://www.wikidata.org/wiki/Q33323082", "Q33323082")</f>
        <v>0</v>
      </c>
      <c r="G7314" t="s">
        <v>4046</v>
      </c>
      <c r="H7314" t="s">
        <v>8274</v>
      </c>
      <c r="I7314" t="s">
        <v>11078</v>
      </c>
      <c r="J7314" t="s">
        <v>14587</v>
      </c>
      <c r="K7314" t="s">
        <v>18926</v>
      </c>
      <c r="L7314">
        <f>HYPERLINK("https://www2.assemblee-nationale.fr/sycomore/fiche/(num_dept)/1430", "1430")</f>
        <v>0</v>
      </c>
      <c r="N7314">
        <f>HYPERLINK("https://www.wikidata.org/wiki/Q3102070", "Q3102070")</f>
        <v>0</v>
      </c>
      <c r="O7314" t="s">
        <v>19976</v>
      </c>
      <c r="P7314" t="s">
        <v>20409</v>
      </c>
      <c r="Q7314" t="s">
        <v>20883</v>
      </c>
      <c r="R7314" t="s">
        <v>420</v>
      </c>
      <c r="S7314">
        <v>1495</v>
      </c>
    </row>
    <row r="7315" spans="1:19">
      <c r="A7315" t="s">
        <v>30</v>
      </c>
      <c r="B7315" t="s">
        <v>148</v>
      </c>
      <c r="C7315" t="s">
        <v>162</v>
      </c>
      <c r="D7315" t="s">
        <v>291</v>
      </c>
      <c r="E7315" t="s">
        <v>420</v>
      </c>
      <c r="F7315">
        <f>HYPERLINK("https://www.wikidata.org/wiki/Q33323082", "Q33323082")</f>
        <v>0</v>
      </c>
      <c r="G7315" t="s">
        <v>562</v>
      </c>
      <c r="H7315" t="s">
        <v>5325</v>
      </c>
      <c r="I7315" t="s">
        <v>9417</v>
      </c>
      <c r="J7315" t="s">
        <v>11313</v>
      </c>
      <c r="K7315" t="s">
        <v>15714</v>
      </c>
      <c r="L7315">
        <f>HYPERLINK("https://www2.assemblee-nationale.fr/sycomore/fiche/(num_dept)/1451", "1451")</f>
        <v>0</v>
      </c>
      <c r="N7315">
        <f>HYPERLINK("https://www.wikidata.org/wiki/Q8322772", "Q8322772")</f>
        <v>0</v>
      </c>
      <c r="O7315" t="s">
        <v>20002</v>
      </c>
      <c r="P7315" t="s">
        <v>20457</v>
      </c>
      <c r="Q7315" t="s">
        <v>20883</v>
      </c>
      <c r="R7315" t="s">
        <v>420</v>
      </c>
      <c r="S7315">
        <v>1495</v>
      </c>
    </row>
    <row r="7316" spans="1:19">
      <c r="A7316" t="s">
        <v>30</v>
      </c>
      <c r="B7316" t="s">
        <v>148</v>
      </c>
      <c r="C7316" t="s">
        <v>162</v>
      </c>
      <c r="D7316" t="s">
        <v>291</v>
      </c>
      <c r="E7316" t="s">
        <v>420</v>
      </c>
      <c r="F7316">
        <f>HYPERLINK("https://www.wikidata.org/wiki/Q33323082", "Q33323082")</f>
        <v>0</v>
      </c>
      <c r="G7316" t="s">
        <v>899</v>
      </c>
      <c r="H7316" t="s">
        <v>5655</v>
      </c>
      <c r="I7316" t="s">
        <v>6166</v>
      </c>
      <c r="J7316" t="s">
        <v>11645</v>
      </c>
      <c r="K7316" t="s">
        <v>16043</v>
      </c>
      <c r="L7316">
        <f>HYPERLINK("https://www2.assemblee-nationale.fr/sycomore/fiche/(num_dept)/1461", "1461")</f>
        <v>0</v>
      </c>
      <c r="N7316">
        <f>HYPERLINK("https://www.wikidata.org/wiki/Q3084180", "Q3084180")</f>
        <v>0</v>
      </c>
      <c r="O7316" t="s">
        <v>20046</v>
      </c>
      <c r="P7316" t="s">
        <v>20457</v>
      </c>
      <c r="Q7316" t="s">
        <v>20883</v>
      </c>
      <c r="R7316" t="s">
        <v>420</v>
      </c>
      <c r="S7316">
        <v>1495</v>
      </c>
    </row>
    <row r="7317" spans="1:19">
      <c r="A7317" t="s">
        <v>30</v>
      </c>
      <c r="B7317" t="s">
        <v>148</v>
      </c>
      <c r="C7317" t="s">
        <v>162</v>
      </c>
      <c r="D7317" t="s">
        <v>291</v>
      </c>
      <c r="E7317" t="s">
        <v>420</v>
      </c>
      <c r="F7317">
        <f>HYPERLINK("https://www.wikidata.org/wiki/Q33323082", "Q33323082")</f>
        <v>0</v>
      </c>
      <c r="G7317" t="s">
        <v>4054</v>
      </c>
      <c r="H7317" t="s">
        <v>8160</v>
      </c>
      <c r="I7317" t="s">
        <v>11082</v>
      </c>
      <c r="J7317" t="s">
        <v>14594</v>
      </c>
      <c r="K7317" t="s">
        <v>18932</v>
      </c>
      <c r="L7317">
        <f>HYPERLINK("https://www2.assemblee-nationale.fr/sycomore/fiche/(num_dept)/1504", "1504")</f>
        <v>0</v>
      </c>
      <c r="N7317">
        <f>HYPERLINK("https://www.wikidata.org/wiki/Q15974209", "Q15974209")</f>
        <v>0</v>
      </c>
      <c r="O7317" t="s">
        <v>19966</v>
      </c>
      <c r="Q7317" t="s">
        <v>20883</v>
      </c>
      <c r="R7317" t="s">
        <v>21596</v>
      </c>
      <c r="S7317">
        <v>73</v>
      </c>
    </row>
    <row r="7318" spans="1:19">
      <c r="A7318" t="s">
        <v>30</v>
      </c>
      <c r="B7318" t="s">
        <v>148</v>
      </c>
      <c r="C7318" t="s">
        <v>162</v>
      </c>
      <c r="D7318" t="s">
        <v>291</v>
      </c>
      <c r="E7318" t="s">
        <v>420</v>
      </c>
      <c r="F7318">
        <f>HYPERLINK("https://www.wikidata.org/wiki/Q33323082", "Q33323082")</f>
        <v>0</v>
      </c>
      <c r="G7318" t="s">
        <v>1402</v>
      </c>
      <c r="H7318" t="s">
        <v>6113</v>
      </c>
      <c r="I7318" t="s">
        <v>9795</v>
      </c>
      <c r="J7318" t="s">
        <v>12127</v>
      </c>
      <c r="K7318" t="s">
        <v>16529</v>
      </c>
      <c r="L7318">
        <f>HYPERLINK("https://www2.assemblee-nationale.fr/sycomore/fiche/(num_dept)/1505", "1505")</f>
        <v>0</v>
      </c>
      <c r="M7318">
        <f>HYPERLINK("https://www.senat.fr/senateur-3eme-republique/de_castellane_stanislas0375r3.html", "de_castellane_stanislas0375r3")</f>
        <v>0</v>
      </c>
      <c r="N7318">
        <f>HYPERLINK("https://www.wikidata.org/wiki/Q3496715", "Q3496715")</f>
        <v>0</v>
      </c>
      <c r="O7318" t="s">
        <v>19966</v>
      </c>
      <c r="P7318" t="s">
        <v>20409</v>
      </c>
      <c r="Q7318" t="s">
        <v>20883</v>
      </c>
      <c r="R7318" t="s">
        <v>420</v>
      </c>
      <c r="S7318">
        <v>1495</v>
      </c>
    </row>
    <row r="7319" spans="1:19">
      <c r="A7319" t="s">
        <v>30</v>
      </c>
      <c r="B7319" t="s">
        <v>148</v>
      </c>
      <c r="C7319" t="s">
        <v>162</v>
      </c>
      <c r="D7319" t="s">
        <v>291</v>
      </c>
      <c r="E7319" t="s">
        <v>420</v>
      </c>
      <c r="F7319">
        <f>HYPERLINK("https://www.wikidata.org/wiki/Q33323082", "Q33323082")</f>
        <v>0</v>
      </c>
      <c r="G7319" t="s">
        <v>4055</v>
      </c>
      <c r="H7319" t="s">
        <v>5961</v>
      </c>
      <c r="I7319" t="s">
        <v>11083</v>
      </c>
      <c r="J7319" t="s">
        <v>14595</v>
      </c>
      <c r="K7319" t="s">
        <v>18933</v>
      </c>
      <c r="L7319">
        <f>HYPERLINK("https://www2.assemblee-nationale.fr/sycomore/fiche/(num_dept)/1509", "1509")</f>
        <v>0</v>
      </c>
      <c r="N7319">
        <f>HYPERLINK("https://www.wikidata.org/wiki/Q3271623", "Q3271623")</f>
        <v>0</v>
      </c>
      <c r="O7319" t="s">
        <v>19967</v>
      </c>
      <c r="P7319" t="s">
        <v>20410</v>
      </c>
      <c r="Q7319" t="s">
        <v>20883</v>
      </c>
      <c r="R7319" t="s">
        <v>420</v>
      </c>
      <c r="S7319">
        <v>1495</v>
      </c>
    </row>
    <row r="7320" spans="1:19">
      <c r="A7320" t="s">
        <v>30</v>
      </c>
      <c r="B7320" t="s">
        <v>148</v>
      </c>
      <c r="C7320" t="s">
        <v>162</v>
      </c>
      <c r="D7320" t="s">
        <v>291</v>
      </c>
      <c r="E7320" t="s">
        <v>420</v>
      </c>
      <c r="F7320">
        <f>HYPERLINK("https://www.wikidata.org/wiki/Q33323082", "Q33323082")</f>
        <v>0</v>
      </c>
      <c r="G7320" t="s">
        <v>3688</v>
      </c>
      <c r="H7320" t="s">
        <v>8010</v>
      </c>
      <c r="I7320" t="s">
        <v>6478</v>
      </c>
      <c r="J7320" t="s">
        <v>14264</v>
      </c>
      <c r="K7320" t="s">
        <v>18625</v>
      </c>
      <c r="L7320">
        <f>HYPERLINK("https://www2.assemblee-nationale.fr/sycomore/fiche/(num_dept)/1512", "1512")</f>
        <v>0</v>
      </c>
      <c r="M7320">
        <f>HYPERLINK("https://www.senat.fr/senateur-3eme-republique/castillard_henri0222r3.html", "castillard_henri0222r3")</f>
        <v>0</v>
      </c>
      <c r="N7320">
        <f>HYPERLINK("https://www.wikidata.org/wiki/Q3130800", "Q3130800")</f>
        <v>0</v>
      </c>
      <c r="O7320" t="s">
        <v>8449</v>
      </c>
      <c r="P7320" t="s">
        <v>20401</v>
      </c>
      <c r="Q7320" t="s">
        <v>20883</v>
      </c>
      <c r="R7320" t="s">
        <v>420</v>
      </c>
      <c r="S7320">
        <v>1495</v>
      </c>
    </row>
    <row r="7321" spans="1:19">
      <c r="A7321" t="s">
        <v>30</v>
      </c>
      <c r="B7321" t="s">
        <v>148</v>
      </c>
      <c r="C7321" t="s">
        <v>162</v>
      </c>
      <c r="D7321" t="s">
        <v>291</v>
      </c>
      <c r="E7321" t="s">
        <v>420</v>
      </c>
      <c r="F7321">
        <f>HYPERLINK("https://www.wikidata.org/wiki/Q33323082", "Q33323082")</f>
        <v>0</v>
      </c>
      <c r="G7321" t="s">
        <v>4056</v>
      </c>
      <c r="H7321" t="s">
        <v>8280</v>
      </c>
      <c r="I7321" t="s">
        <v>11084</v>
      </c>
      <c r="J7321" t="s">
        <v>14596</v>
      </c>
      <c r="K7321" t="s">
        <v>18934</v>
      </c>
      <c r="L7321">
        <f>HYPERLINK("https://www2.assemblee-nationale.fr/sycomore/fiche/(num_dept)/1517", "1517")</f>
        <v>0</v>
      </c>
      <c r="M7321">
        <f>HYPERLINK("https://www.senat.fr/senateur-3eme-republique/catalogne_jacques1059r3.html", "catalogne_jacques1059r3")</f>
        <v>0</v>
      </c>
      <c r="N7321">
        <f>HYPERLINK("https://www.wikidata.org/wiki/Q3012747", "Q3012747")</f>
        <v>0</v>
      </c>
      <c r="O7321" t="s">
        <v>19970</v>
      </c>
      <c r="P7321" t="s">
        <v>20457</v>
      </c>
      <c r="Q7321" t="s">
        <v>20883</v>
      </c>
      <c r="R7321" t="s">
        <v>21597</v>
      </c>
      <c r="S7321">
        <v>1362</v>
      </c>
    </row>
    <row r="7322" spans="1:19">
      <c r="A7322" t="s">
        <v>30</v>
      </c>
      <c r="B7322" t="s">
        <v>148</v>
      </c>
      <c r="C7322" t="s">
        <v>162</v>
      </c>
      <c r="D7322" t="s">
        <v>291</v>
      </c>
      <c r="E7322" t="s">
        <v>420</v>
      </c>
      <c r="F7322">
        <f>HYPERLINK("https://www.wikidata.org/wiki/Q33323082", "Q33323082")</f>
        <v>0</v>
      </c>
      <c r="G7322" t="s">
        <v>3959</v>
      </c>
      <c r="H7322" t="s">
        <v>8209</v>
      </c>
      <c r="I7322" t="s">
        <v>9442</v>
      </c>
      <c r="J7322" t="s">
        <v>14510</v>
      </c>
      <c r="K7322" t="s">
        <v>18855</v>
      </c>
      <c r="L7322">
        <f>HYPERLINK("https://www2.assemblee-nationale.fr/sycomore/fiche/(num_dept)/1538", "1538")</f>
        <v>0</v>
      </c>
      <c r="M7322">
        <f>HYPERLINK("https://www.senat.fr/senateur-3eme-republique/cauvin_ernest1658r3.html", "cauvin_ernest1658r3")</f>
        <v>0</v>
      </c>
      <c r="N7322">
        <f>HYPERLINK("https://www.wikidata.org/wiki/Q3056877", "Q3056877")</f>
        <v>0</v>
      </c>
      <c r="O7322" t="s">
        <v>20012</v>
      </c>
      <c r="P7322" t="s">
        <v>20401</v>
      </c>
      <c r="Q7322" t="s">
        <v>20883</v>
      </c>
      <c r="R7322" t="s">
        <v>420</v>
      </c>
      <c r="S7322">
        <v>1495</v>
      </c>
    </row>
    <row r="7323" spans="1:19">
      <c r="A7323" t="s">
        <v>30</v>
      </c>
      <c r="B7323" t="s">
        <v>148</v>
      </c>
      <c r="C7323" t="s">
        <v>162</v>
      </c>
      <c r="D7323" t="s">
        <v>291</v>
      </c>
      <c r="E7323" t="s">
        <v>420</v>
      </c>
      <c r="F7323">
        <f>HYPERLINK("https://www.wikidata.org/wiki/Q33323082", "Q33323082")</f>
        <v>0</v>
      </c>
      <c r="G7323" t="s">
        <v>3019</v>
      </c>
      <c r="H7323" t="s">
        <v>7476</v>
      </c>
      <c r="I7323" t="s">
        <v>10580</v>
      </c>
      <c r="J7323" t="s">
        <v>13647</v>
      </c>
      <c r="K7323" t="s">
        <v>18031</v>
      </c>
      <c r="L7323">
        <f>HYPERLINK("https://www2.assemblee-nationale.fr/sycomore/fiche/(num_dept)/1539", "1539")</f>
        <v>0</v>
      </c>
      <c r="N7323">
        <f>HYPERLINK("https://www.wikidata.org/wiki/Q573739", "Q573739")</f>
        <v>0</v>
      </c>
      <c r="O7323" t="s">
        <v>19956</v>
      </c>
      <c r="P7323" t="s">
        <v>20495</v>
      </c>
      <c r="Q7323" t="s">
        <v>20883</v>
      </c>
      <c r="R7323" t="s">
        <v>18031</v>
      </c>
      <c r="S7323">
        <v>1246</v>
      </c>
    </row>
    <row r="7324" spans="1:19">
      <c r="A7324" t="s">
        <v>30</v>
      </c>
      <c r="B7324" t="s">
        <v>148</v>
      </c>
      <c r="C7324" t="s">
        <v>162</v>
      </c>
      <c r="D7324" t="s">
        <v>291</v>
      </c>
      <c r="E7324" t="s">
        <v>420</v>
      </c>
      <c r="F7324">
        <f>HYPERLINK("https://www.wikidata.org/wiki/Q33323082", "Q33323082")</f>
        <v>0</v>
      </c>
      <c r="G7324" t="s">
        <v>2533</v>
      </c>
      <c r="H7324" t="s">
        <v>7093</v>
      </c>
      <c r="I7324" t="s">
        <v>9602</v>
      </c>
      <c r="J7324" t="s">
        <v>13177</v>
      </c>
      <c r="K7324" t="s">
        <v>17583</v>
      </c>
      <c r="L7324">
        <f>HYPERLINK("https://www2.assemblee-nationale.fr/sycomore/fiche/(num_dept)/1556", "1556")</f>
        <v>0</v>
      </c>
      <c r="M7324">
        <f>HYPERLINK("https://www.senat.fr/senateur-3eme-republique/caze_edmond0102r3.html", "caze_edmond0102r3")</f>
        <v>0</v>
      </c>
      <c r="N7324">
        <f>HYPERLINK("https://www.wikidata.org/wiki/Q3047779", "Q3047779")</f>
        <v>0</v>
      </c>
      <c r="O7324" t="s">
        <v>20016</v>
      </c>
      <c r="Q7324" t="s">
        <v>20883</v>
      </c>
      <c r="R7324" t="s">
        <v>21598</v>
      </c>
      <c r="S7324">
        <v>1366</v>
      </c>
    </row>
    <row r="7325" spans="1:19">
      <c r="A7325" t="s">
        <v>30</v>
      </c>
      <c r="B7325" t="s">
        <v>148</v>
      </c>
      <c r="C7325" t="s">
        <v>162</v>
      </c>
      <c r="D7325" t="s">
        <v>291</v>
      </c>
      <c r="E7325" t="s">
        <v>420</v>
      </c>
      <c r="F7325">
        <f>HYPERLINK("https://www.wikidata.org/wiki/Q33323082", "Q33323082")</f>
        <v>0</v>
      </c>
      <c r="G7325" t="s">
        <v>565</v>
      </c>
      <c r="H7325" t="s">
        <v>5328</v>
      </c>
      <c r="I7325" t="s">
        <v>6860</v>
      </c>
      <c r="J7325" t="s">
        <v>11316</v>
      </c>
      <c r="K7325" t="s">
        <v>15717</v>
      </c>
      <c r="L7325">
        <f>HYPERLINK("https://www2.assemblee-nationale.fr/sycomore/fiche/(num_dept)/1623", "1623")</f>
        <v>0</v>
      </c>
      <c r="M7325">
        <f>HYPERLINK("https://www.senat.fr/senateur-3eme-republique/de_chambrun_pierre0856r3.html", "de_chambrun_pierre0856r3")</f>
        <v>0</v>
      </c>
      <c r="N7325">
        <f>HYPERLINK("https://www.wikidata.org/wiki/Q3042196", "Q3042196")</f>
        <v>0</v>
      </c>
      <c r="O7325" t="s">
        <v>20004</v>
      </c>
      <c r="P7325" t="s">
        <v>20479</v>
      </c>
      <c r="Q7325" t="s">
        <v>20883</v>
      </c>
      <c r="R7325" t="s">
        <v>420</v>
      </c>
      <c r="S7325">
        <v>1495</v>
      </c>
    </row>
    <row r="7326" spans="1:19">
      <c r="A7326" t="s">
        <v>30</v>
      </c>
      <c r="B7326" t="s">
        <v>148</v>
      </c>
      <c r="C7326" t="s">
        <v>162</v>
      </c>
      <c r="D7326" t="s">
        <v>291</v>
      </c>
      <c r="E7326" t="s">
        <v>420</v>
      </c>
      <c r="F7326">
        <f>HYPERLINK("https://www.wikidata.org/wiki/Q33323082", "Q33323082")</f>
        <v>0</v>
      </c>
      <c r="G7326" t="s">
        <v>566</v>
      </c>
      <c r="H7326" t="s">
        <v>5329</v>
      </c>
      <c r="I7326" t="s">
        <v>9419</v>
      </c>
      <c r="J7326" t="s">
        <v>11317</v>
      </c>
      <c r="K7326" t="s">
        <v>15718</v>
      </c>
      <c r="L7326">
        <f>HYPERLINK("https://www2.assemblee-nationale.fr/sycomore/fiche/(num_dept)/1624", "1624")</f>
        <v>0</v>
      </c>
      <c r="N7326">
        <f>HYPERLINK("https://www.wikidata.org/wiki/Q3345786", "Q3345786")</f>
        <v>0</v>
      </c>
      <c r="O7326" t="s">
        <v>20005</v>
      </c>
      <c r="P7326" t="s">
        <v>20477</v>
      </c>
      <c r="Q7326" t="s">
        <v>20883</v>
      </c>
      <c r="R7326" t="s">
        <v>420</v>
      </c>
      <c r="S7326">
        <v>1495</v>
      </c>
    </row>
    <row r="7327" spans="1:19">
      <c r="A7327" t="s">
        <v>30</v>
      </c>
      <c r="B7327" t="s">
        <v>148</v>
      </c>
      <c r="C7327" t="s">
        <v>162</v>
      </c>
      <c r="D7327" t="s">
        <v>291</v>
      </c>
      <c r="E7327" t="s">
        <v>420</v>
      </c>
      <c r="F7327">
        <f>HYPERLINK("https://www.wikidata.org/wiki/Q33323082", "Q33323082")</f>
        <v>0</v>
      </c>
      <c r="G7327" t="s">
        <v>3689</v>
      </c>
      <c r="H7327" t="s">
        <v>8011</v>
      </c>
      <c r="I7327" t="s">
        <v>10937</v>
      </c>
      <c r="J7327" t="s">
        <v>13857</v>
      </c>
      <c r="K7327" t="s">
        <v>17751</v>
      </c>
      <c r="L7327">
        <f>HYPERLINK("https://www2.assemblee-nationale.fr/sycomore/fiche/(num_dept)/1637", "1637")</f>
        <v>0</v>
      </c>
      <c r="N7327">
        <f>HYPERLINK("https://www.wikidata.org/wiki/Q7122126", "Q7122126")</f>
        <v>0</v>
      </c>
      <c r="O7327" t="s">
        <v>20032</v>
      </c>
      <c r="P7327" t="s">
        <v>20401</v>
      </c>
      <c r="Q7327" t="s">
        <v>20883</v>
      </c>
      <c r="R7327" t="s">
        <v>420</v>
      </c>
      <c r="S7327">
        <v>1495</v>
      </c>
    </row>
    <row r="7328" spans="1:19">
      <c r="A7328" t="s">
        <v>30</v>
      </c>
      <c r="B7328" t="s">
        <v>148</v>
      </c>
      <c r="C7328" t="s">
        <v>162</v>
      </c>
      <c r="D7328" t="s">
        <v>291</v>
      </c>
      <c r="E7328" t="s">
        <v>420</v>
      </c>
      <c r="F7328">
        <f>HYPERLINK("https://www.wikidata.org/wiki/Q33323082", "Q33323082")</f>
        <v>0</v>
      </c>
      <c r="G7328" t="s">
        <v>567</v>
      </c>
      <c r="H7328" t="s">
        <v>5330</v>
      </c>
      <c r="I7328" t="s">
        <v>9420</v>
      </c>
      <c r="J7328" t="s">
        <v>11318</v>
      </c>
      <c r="K7328" t="s">
        <v>15719</v>
      </c>
      <c r="L7328">
        <f>HYPERLINK("https://www2.assemblee-nationale.fr/sycomore/fiche/(num_dept)/1640", "1640")</f>
        <v>0</v>
      </c>
      <c r="N7328">
        <f>HYPERLINK("https://www.wikidata.org/wiki/Q15974297", "Q15974297")</f>
        <v>0</v>
      </c>
      <c r="O7328" t="s">
        <v>20006</v>
      </c>
      <c r="P7328" t="s">
        <v>20477</v>
      </c>
      <c r="Q7328" t="s">
        <v>20883</v>
      </c>
      <c r="R7328" t="s">
        <v>420</v>
      </c>
      <c r="S7328">
        <v>1495</v>
      </c>
    </row>
    <row r="7329" spans="1:19">
      <c r="A7329" t="s">
        <v>30</v>
      </c>
      <c r="B7329" t="s">
        <v>148</v>
      </c>
      <c r="C7329" t="s">
        <v>162</v>
      </c>
      <c r="D7329" t="s">
        <v>291</v>
      </c>
      <c r="E7329" t="s">
        <v>420</v>
      </c>
      <c r="F7329">
        <f>HYPERLINK("https://www.wikidata.org/wiki/Q33323082", "Q33323082")</f>
        <v>0</v>
      </c>
      <c r="G7329" t="s">
        <v>570</v>
      </c>
      <c r="H7329" t="s">
        <v>5333</v>
      </c>
      <c r="I7329" t="s">
        <v>9423</v>
      </c>
      <c r="J7329" t="s">
        <v>11321</v>
      </c>
      <c r="K7329" t="s">
        <v>15722</v>
      </c>
      <c r="L7329">
        <f>HYPERLINK("https://www2.assemblee-nationale.fr/sycomore/fiche/(num_dept)/1701", "1701")</f>
        <v>0</v>
      </c>
      <c r="M7329">
        <f>HYPERLINK("https://www.senat.fr/senateur-3eme-republique/chastenet_de_castaing_guillaume0201r3.html", "chastenet_de_castaing_guillaume0201r3")</f>
        <v>0</v>
      </c>
      <c r="N7329">
        <f>HYPERLINK("https://www.wikidata.org/wiki/Q3119745", "Q3119745")</f>
        <v>0</v>
      </c>
      <c r="O7329" t="s">
        <v>19987</v>
      </c>
      <c r="P7329" t="s">
        <v>20457</v>
      </c>
      <c r="Q7329" t="s">
        <v>20883</v>
      </c>
      <c r="R7329" t="s">
        <v>420</v>
      </c>
      <c r="S7329">
        <v>1495</v>
      </c>
    </row>
    <row r="7330" spans="1:19">
      <c r="A7330" t="s">
        <v>30</v>
      </c>
      <c r="B7330" t="s">
        <v>148</v>
      </c>
      <c r="C7330" t="s">
        <v>162</v>
      </c>
      <c r="D7330" t="s">
        <v>291</v>
      </c>
      <c r="E7330" t="s">
        <v>420</v>
      </c>
      <c r="F7330">
        <f>HYPERLINK("https://www.wikidata.org/wiki/Q33323082", "Q33323082")</f>
        <v>0</v>
      </c>
      <c r="G7330" t="s">
        <v>907</v>
      </c>
      <c r="H7330" t="s">
        <v>5663</v>
      </c>
      <c r="I7330" t="s">
        <v>7419</v>
      </c>
      <c r="J7330" t="s">
        <v>11651</v>
      </c>
      <c r="K7330" t="s">
        <v>385</v>
      </c>
      <c r="L7330">
        <f>HYPERLINK("https://www2.assemblee-nationale.fr/sycomore/fiche/(num_dept)/1720", "1720")</f>
        <v>0</v>
      </c>
      <c r="N7330">
        <f>HYPERLINK("https://www.wikidata.org/wiki/Q16025433", "Q16025433")</f>
        <v>0</v>
      </c>
      <c r="O7330" t="s">
        <v>19994</v>
      </c>
      <c r="P7330" t="s">
        <v>20477</v>
      </c>
      <c r="Q7330" t="s">
        <v>20883</v>
      </c>
      <c r="R7330" t="s">
        <v>420</v>
      </c>
      <c r="S7330">
        <v>1495</v>
      </c>
    </row>
    <row r="7331" spans="1:19">
      <c r="A7331" t="s">
        <v>30</v>
      </c>
      <c r="B7331" t="s">
        <v>148</v>
      </c>
      <c r="C7331" t="s">
        <v>162</v>
      </c>
      <c r="D7331" t="s">
        <v>291</v>
      </c>
      <c r="E7331" t="s">
        <v>420</v>
      </c>
      <c r="F7331">
        <f>HYPERLINK("https://www.wikidata.org/wiki/Q33323082", "Q33323082")</f>
        <v>0</v>
      </c>
      <c r="G7331" t="s">
        <v>574</v>
      </c>
      <c r="H7331" t="s">
        <v>5337</v>
      </c>
      <c r="I7331" t="s">
        <v>9426</v>
      </c>
      <c r="J7331" t="s">
        <v>11325</v>
      </c>
      <c r="K7331" t="s">
        <v>15726</v>
      </c>
      <c r="L7331">
        <f>HYPERLINK("https://www2.assemblee-nationale.fr/sycomore/fiche/(num_dept)/1725", "1725")</f>
        <v>0</v>
      </c>
      <c r="M7331">
        <f>HYPERLINK("https://www.senat.fr/senateur-3eme-republique/chautemps_alphonse0309r3.html", "chautemps_alphonse0309r3")</f>
        <v>0</v>
      </c>
      <c r="N7331">
        <f>HYPERLINK("https://www.wikidata.org/wiki/Q2839734", "Q2839734")</f>
        <v>0</v>
      </c>
      <c r="O7331" t="s">
        <v>20008</v>
      </c>
      <c r="P7331" t="s">
        <v>20401</v>
      </c>
      <c r="Q7331" t="s">
        <v>20883</v>
      </c>
      <c r="R7331" t="s">
        <v>420</v>
      </c>
      <c r="S7331">
        <v>1495</v>
      </c>
    </row>
    <row r="7332" spans="1:19">
      <c r="A7332" t="s">
        <v>30</v>
      </c>
      <c r="B7332" t="s">
        <v>148</v>
      </c>
      <c r="C7332" t="s">
        <v>162</v>
      </c>
      <c r="D7332" t="s">
        <v>291</v>
      </c>
      <c r="E7332" t="s">
        <v>420</v>
      </c>
      <c r="F7332">
        <f>HYPERLINK("https://www.wikidata.org/wiki/Q33323082", "Q33323082")</f>
        <v>0</v>
      </c>
      <c r="G7332" t="s">
        <v>3541</v>
      </c>
      <c r="H7332" t="s">
        <v>5337</v>
      </c>
      <c r="I7332" t="s">
        <v>9437</v>
      </c>
      <c r="J7332" t="s">
        <v>14132</v>
      </c>
      <c r="K7332" t="s">
        <v>18497</v>
      </c>
      <c r="L7332">
        <f>HYPERLINK("https://www2.assemblee-nationale.fr/sycomore/fiche/(num_dept)/1727", "1727")</f>
        <v>0</v>
      </c>
      <c r="M7332">
        <f>HYPERLINK("https://www.senat.fr/senateur-3eme-republique/chautemps_emile1313r3.html", "chautemps_emile1313r3")</f>
        <v>0</v>
      </c>
      <c r="N7332">
        <f>HYPERLINK("https://www.wikidata.org/wiki/Q3588410", "Q3588410")</f>
        <v>0</v>
      </c>
      <c r="O7332" t="s">
        <v>20018</v>
      </c>
      <c r="P7332" t="s">
        <v>20457</v>
      </c>
      <c r="Q7332" t="s">
        <v>20883</v>
      </c>
      <c r="R7332" t="s">
        <v>21599</v>
      </c>
      <c r="S7332">
        <v>1146</v>
      </c>
    </row>
    <row r="7333" spans="1:19">
      <c r="A7333" t="s">
        <v>30</v>
      </c>
      <c r="B7333" t="s">
        <v>148</v>
      </c>
      <c r="C7333" t="s">
        <v>162</v>
      </c>
      <c r="D7333" t="s">
        <v>291</v>
      </c>
      <c r="E7333" t="s">
        <v>420</v>
      </c>
      <c r="F7333">
        <f>HYPERLINK("https://www.wikidata.org/wiki/Q33323082", "Q33323082")</f>
        <v>0</v>
      </c>
      <c r="G7333" t="s">
        <v>3961</v>
      </c>
      <c r="H7333" t="s">
        <v>6427</v>
      </c>
      <c r="I7333" t="s">
        <v>9389</v>
      </c>
      <c r="J7333" t="s">
        <v>14512</v>
      </c>
      <c r="K7333" t="s">
        <v>15891</v>
      </c>
      <c r="L7333">
        <f>HYPERLINK("https://www2.assemblee-nationale.fr/sycomore/fiche/(num_dept)/1736", "1736")</f>
        <v>0</v>
      </c>
      <c r="N7333">
        <f>HYPERLINK("https://www.wikidata.org/wiki/Q16025436", "Q16025436")</f>
        <v>0</v>
      </c>
      <c r="O7333" t="s">
        <v>20026</v>
      </c>
      <c r="P7333" t="s">
        <v>20477</v>
      </c>
      <c r="Q7333" t="s">
        <v>20883</v>
      </c>
      <c r="R7333" t="s">
        <v>420</v>
      </c>
      <c r="S7333">
        <v>1495</v>
      </c>
    </row>
    <row r="7334" spans="1:19">
      <c r="A7334" t="s">
        <v>30</v>
      </c>
      <c r="B7334" t="s">
        <v>148</v>
      </c>
      <c r="C7334" t="s">
        <v>162</v>
      </c>
      <c r="D7334" t="s">
        <v>291</v>
      </c>
      <c r="E7334" t="s">
        <v>420</v>
      </c>
      <c r="F7334">
        <f>HYPERLINK("https://www.wikidata.org/wiki/Q33323082", "Q33323082")</f>
        <v>0</v>
      </c>
      <c r="G7334" t="s">
        <v>1159</v>
      </c>
      <c r="H7334" t="s">
        <v>5893</v>
      </c>
      <c r="I7334" t="s">
        <v>9687</v>
      </c>
      <c r="J7334" t="s">
        <v>11892</v>
      </c>
      <c r="K7334" t="s">
        <v>16294</v>
      </c>
      <c r="L7334">
        <f>HYPERLINK("https://www2.assemblee-nationale.fr/sycomore/fiche/(num_dept)/1744", "1744")</f>
        <v>0</v>
      </c>
      <c r="N7334">
        <f>HYPERLINK("https://www.wikidata.org/wiki/Q16025440", "Q16025440")</f>
        <v>0</v>
      </c>
      <c r="O7334" t="s">
        <v>20010</v>
      </c>
      <c r="P7334" t="s">
        <v>20401</v>
      </c>
      <c r="Q7334" t="s">
        <v>20883</v>
      </c>
      <c r="R7334" t="s">
        <v>420</v>
      </c>
      <c r="S7334">
        <v>1495</v>
      </c>
    </row>
    <row r="7335" spans="1:19">
      <c r="A7335" t="s">
        <v>30</v>
      </c>
      <c r="B7335" t="s">
        <v>148</v>
      </c>
      <c r="C7335" t="s">
        <v>162</v>
      </c>
      <c r="D7335" t="s">
        <v>291</v>
      </c>
      <c r="E7335" t="s">
        <v>420</v>
      </c>
      <c r="F7335">
        <f>HYPERLINK("https://www.wikidata.org/wiki/Q33323082", "Q33323082")</f>
        <v>0</v>
      </c>
      <c r="G7335" t="s">
        <v>4057</v>
      </c>
      <c r="H7335" t="s">
        <v>7616</v>
      </c>
      <c r="I7335" t="s">
        <v>7911</v>
      </c>
      <c r="J7335" t="s">
        <v>14597</v>
      </c>
      <c r="K7335" t="s">
        <v>18935</v>
      </c>
      <c r="L7335">
        <f>HYPERLINK("https://www2.assemblee-nationale.fr/sycomore/fiche/(num_dept)/1772", "1772")</f>
        <v>0</v>
      </c>
      <c r="N7335">
        <f>HYPERLINK("https://www.wikidata.org/wiki/Q16025444", "Q16025444")</f>
        <v>0</v>
      </c>
      <c r="O7335" t="s">
        <v>19994</v>
      </c>
      <c r="P7335" t="s">
        <v>20479</v>
      </c>
      <c r="Q7335" t="s">
        <v>20883</v>
      </c>
      <c r="R7335" t="s">
        <v>420</v>
      </c>
      <c r="S7335">
        <v>1495</v>
      </c>
    </row>
    <row r="7336" spans="1:19">
      <c r="A7336" t="s">
        <v>30</v>
      </c>
      <c r="B7336" t="s">
        <v>148</v>
      </c>
      <c r="C7336" t="s">
        <v>162</v>
      </c>
      <c r="D7336" t="s">
        <v>291</v>
      </c>
      <c r="E7336" t="s">
        <v>420</v>
      </c>
      <c r="F7336">
        <f>HYPERLINK("https://www.wikidata.org/wiki/Q33323082", "Q33323082")</f>
        <v>0</v>
      </c>
      <c r="G7336" t="s">
        <v>577</v>
      </c>
      <c r="H7336" t="s">
        <v>5339</v>
      </c>
      <c r="I7336" t="s">
        <v>9428</v>
      </c>
      <c r="J7336" t="s">
        <v>11328</v>
      </c>
      <c r="K7336" t="s">
        <v>15729</v>
      </c>
      <c r="L7336">
        <f>HYPERLINK("https://www2.assemblee-nationale.fr/sycomore/fiche/(num_dept)/1822", "1822")</f>
        <v>0</v>
      </c>
      <c r="N7336">
        <f>HYPERLINK("https://www.wikidata.org/wiki/Q2835023", "Q2835023")</f>
        <v>0</v>
      </c>
      <c r="O7336" t="s">
        <v>19967</v>
      </c>
      <c r="P7336" t="s">
        <v>20409</v>
      </c>
      <c r="Q7336" t="s">
        <v>20883</v>
      </c>
      <c r="R7336" t="s">
        <v>420</v>
      </c>
      <c r="S7336">
        <v>1495</v>
      </c>
    </row>
    <row r="7337" spans="1:19">
      <c r="A7337" t="s">
        <v>30</v>
      </c>
      <c r="B7337" t="s">
        <v>148</v>
      </c>
      <c r="C7337" t="s">
        <v>162</v>
      </c>
      <c r="D7337" t="s">
        <v>291</v>
      </c>
      <c r="E7337" t="s">
        <v>420</v>
      </c>
      <c r="F7337">
        <f>HYPERLINK("https://www.wikidata.org/wiki/Q33323082", "Q33323082")</f>
        <v>0</v>
      </c>
      <c r="G7337" t="s">
        <v>578</v>
      </c>
      <c r="H7337" t="s">
        <v>5340</v>
      </c>
      <c r="I7337" t="s">
        <v>9429</v>
      </c>
      <c r="J7337" t="s">
        <v>11329</v>
      </c>
      <c r="K7337" t="s">
        <v>15730</v>
      </c>
      <c r="L7337">
        <f>HYPERLINK("https://www2.assemblee-nationale.fr/sycomore/fiche/(num_dept)/1831", "1831")</f>
        <v>0</v>
      </c>
      <c r="N7337">
        <f>HYPERLINK("https://www.wikidata.org/wiki/Q16025454", "Q16025454")</f>
        <v>0</v>
      </c>
      <c r="O7337" t="s">
        <v>20010</v>
      </c>
      <c r="P7337" t="s">
        <v>20457</v>
      </c>
      <c r="Q7337" t="s">
        <v>20883</v>
      </c>
      <c r="R7337" t="s">
        <v>420</v>
      </c>
      <c r="S7337">
        <v>1495</v>
      </c>
    </row>
    <row r="7338" spans="1:19">
      <c r="A7338" t="s">
        <v>30</v>
      </c>
      <c r="B7338" t="s">
        <v>148</v>
      </c>
      <c r="C7338" t="s">
        <v>162</v>
      </c>
      <c r="D7338" t="s">
        <v>291</v>
      </c>
      <c r="E7338" t="s">
        <v>420</v>
      </c>
      <c r="F7338">
        <f>HYPERLINK("https://www.wikidata.org/wiki/Q33323082", "Q33323082")</f>
        <v>0</v>
      </c>
      <c r="G7338" t="s">
        <v>3904</v>
      </c>
      <c r="H7338" t="s">
        <v>8162</v>
      </c>
      <c r="I7338" t="s">
        <v>6175</v>
      </c>
      <c r="J7338" t="s">
        <v>14461</v>
      </c>
      <c r="K7338" t="s">
        <v>18811</v>
      </c>
      <c r="L7338">
        <f>HYPERLINK("https://www2.assemblee-nationale.fr/sycomore/fiche/(num_dept)/1836", "1836")</f>
        <v>0</v>
      </c>
      <c r="N7338">
        <f>HYPERLINK("https://www.wikidata.org/wiki/Q16025457", "Q16025457")</f>
        <v>0</v>
      </c>
      <c r="O7338" t="s">
        <v>19997</v>
      </c>
      <c r="P7338" t="s">
        <v>20511</v>
      </c>
      <c r="Q7338" t="s">
        <v>20883</v>
      </c>
      <c r="R7338" t="s">
        <v>21600</v>
      </c>
      <c r="S7338">
        <v>335</v>
      </c>
    </row>
    <row r="7339" spans="1:19">
      <c r="A7339" t="s">
        <v>30</v>
      </c>
      <c r="B7339" t="s">
        <v>148</v>
      </c>
      <c r="C7339" t="s">
        <v>162</v>
      </c>
      <c r="D7339" t="s">
        <v>291</v>
      </c>
      <c r="E7339" t="s">
        <v>420</v>
      </c>
      <c r="F7339">
        <f>HYPERLINK("https://www.wikidata.org/wiki/Q33323082", "Q33323082")</f>
        <v>0</v>
      </c>
      <c r="G7339" t="s">
        <v>579</v>
      </c>
      <c r="H7339" t="s">
        <v>5341</v>
      </c>
      <c r="I7339" t="s">
        <v>5394</v>
      </c>
      <c r="J7339" t="s">
        <v>11330</v>
      </c>
      <c r="K7339" t="s">
        <v>15731</v>
      </c>
      <c r="L7339">
        <f>HYPERLINK("https://www2.assemblee-nationale.fr/sycomore/fiche/(num_dept)/1849", "1849")</f>
        <v>0</v>
      </c>
      <c r="M7339">
        <f>HYPERLINK("https://www.senat.fr/senateur-3eme-republique/clementel_etienne1006r3.html", "clementel_etienne1006r3")</f>
        <v>0</v>
      </c>
      <c r="N7339">
        <f>HYPERLINK("https://www.wikidata.org/wiki/Q3592114", "Q3592114")</f>
        <v>0</v>
      </c>
      <c r="O7339" t="s">
        <v>20005</v>
      </c>
      <c r="P7339" t="s">
        <v>20401</v>
      </c>
      <c r="Q7339" t="s">
        <v>20883</v>
      </c>
      <c r="R7339" t="s">
        <v>420</v>
      </c>
      <c r="S7339">
        <v>1495</v>
      </c>
    </row>
    <row r="7340" spans="1:19">
      <c r="A7340" t="s">
        <v>30</v>
      </c>
      <c r="B7340" t="s">
        <v>148</v>
      </c>
      <c r="C7340" t="s">
        <v>162</v>
      </c>
      <c r="D7340" t="s">
        <v>291</v>
      </c>
      <c r="E7340" t="s">
        <v>420</v>
      </c>
      <c r="F7340">
        <f>HYPERLINK("https://www.wikidata.org/wiki/Q33323082", "Q33323082")</f>
        <v>0</v>
      </c>
      <c r="G7340" t="s">
        <v>580</v>
      </c>
      <c r="H7340" t="s">
        <v>5342</v>
      </c>
      <c r="I7340" t="s">
        <v>9430</v>
      </c>
      <c r="J7340" t="s">
        <v>11331</v>
      </c>
      <c r="K7340" t="s">
        <v>15732</v>
      </c>
      <c r="L7340">
        <f>HYPERLINK("https://www2.assemblee-nationale.fr/sycomore/fiche/(num_dept)/1859", "1859")</f>
        <v>0</v>
      </c>
      <c r="N7340">
        <f>HYPERLINK("https://www.wikidata.org/wiki/Q3588422", "Q3588422")</f>
        <v>0</v>
      </c>
      <c r="O7340" t="s">
        <v>20011</v>
      </c>
      <c r="P7340" t="s">
        <v>20457</v>
      </c>
      <c r="Q7340" t="s">
        <v>20883</v>
      </c>
      <c r="R7340" t="s">
        <v>420</v>
      </c>
      <c r="S7340">
        <v>1495</v>
      </c>
    </row>
    <row r="7341" spans="1:19">
      <c r="A7341" t="s">
        <v>30</v>
      </c>
      <c r="B7341" t="s">
        <v>148</v>
      </c>
      <c r="C7341" t="s">
        <v>162</v>
      </c>
      <c r="D7341" t="s">
        <v>291</v>
      </c>
      <c r="E7341" t="s">
        <v>420</v>
      </c>
      <c r="F7341">
        <f>HYPERLINK("https://www.wikidata.org/wiki/Q33323082", "Q33323082")</f>
        <v>0</v>
      </c>
      <c r="G7341" t="s">
        <v>581</v>
      </c>
      <c r="H7341" t="s">
        <v>5343</v>
      </c>
      <c r="I7341" t="s">
        <v>9431</v>
      </c>
      <c r="J7341" t="s">
        <v>11332</v>
      </c>
      <c r="K7341" t="s">
        <v>15733</v>
      </c>
      <c r="L7341">
        <f>HYPERLINK("https://www2.assemblee-nationale.fr/sycomore/fiche/(num_dept)/1865", "1865")</f>
        <v>0</v>
      </c>
      <c r="N7341">
        <f>HYPERLINK("https://www.wikidata.org/wiki/Q16025465", "Q16025465")</f>
        <v>0</v>
      </c>
      <c r="O7341" t="s">
        <v>20012</v>
      </c>
      <c r="P7341" t="s">
        <v>20409</v>
      </c>
      <c r="Q7341" t="s">
        <v>20883</v>
      </c>
      <c r="R7341" t="s">
        <v>420</v>
      </c>
      <c r="S7341">
        <v>1495</v>
      </c>
    </row>
    <row r="7342" spans="1:19">
      <c r="A7342" t="s">
        <v>30</v>
      </c>
      <c r="B7342" t="s">
        <v>148</v>
      </c>
      <c r="C7342" t="s">
        <v>162</v>
      </c>
      <c r="D7342" t="s">
        <v>291</v>
      </c>
      <c r="E7342" t="s">
        <v>420</v>
      </c>
      <c r="F7342">
        <f>HYPERLINK("https://www.wikidata.org/wiki/Q33323082", "Q33323082")</f>
        <v>0</v>
      </c>
      <c r="G7342" t="s">
        <v>582</v>
      </c>
      <c r="H7342" t="s">
        <v>5344</v>
      </c>
      <c r="I7342" t="s">
        <v>6175</v>
      </c>
      <c r="J7342" t="s">
        <v>11333</v>
      </c>
      <c r="K7342" t="s">
        <v>15734</v>
      </c>
      <c r="L7342">
        <f>HYPERLINK("https://www2.assemblee-nationale.fr/sycomore/fiche/(num_dept)/1869", "1869")</f>
        <v>0</v>
      </c>
      <c r="N7342">
        <f>HYPERLINK("https://www.wikidata.org/wiki/Q2599226", "Q2599226")</f>
        <v>0</v>
      </c>
      <c r="O7342" t="s">
        <v>19958</v>
      </c>
      <c r="P7342" t="s">
        <v>20479</v>
      </c>
      <c r="Q7342" t="s">
        <v>20883</v>
      </c>
      <c r="R7342" t="s">
        <v>420</v>
      </c>
      <c r="S7342">
        <v>1495</v>
      </c>
    </row>
    <row r="7343" spans="1:19">
      <c r="A7343" t="s">
        <v>30</v>
      </c>
      <c r="B7343" t="s">
        <v>148</v>
      </c>
      <c r="C7343" t="s">
        <v>162</v>
      </c>
      <c r="D7343" t="s">
        <v>291</v>
      </c>
      <c r="E7343" t="s">
        <v>420</v>
      </c>
      <c r="F7343">
        <f>HYPERLINK("https://www.wikidata.org/wiki/Q33323082", "Q33323082")</f>
        <v>0</v>
      </c>
      <c r="G7343" t="s">
        <v>583</v>
      </c>
      <c r="H7343" t="s">
        <v>5345</v>
      </c>
      <c r="I7343" t="s">
        <v>9432</v>
      </c>
      <c r="J7343" t="s">
        <v>11334</v>
      </c>
      <c r="K7343" t="s">
        <v>15735</v>
      </c>
      <c r="L7343">
        <f>HYPERLINK("https://www2.assemblee-nationale.fr/sycomore/fiche/(num_dept)/1874", "1874")</f>
        <v>0</v>
      </c>
      <c r="N7343">
        <f>HYPERLINK("https://www.wikidata.org/wiki/Q3023401", "Q3023401")</f>
        <v>0</v>
      </c>
      <c r="O7343" t="s">
        <v>19969</v>
      </c>
      <c r="P7343" t="s">
        <v>20410</v>
      </c>
      <c r="Q7343" t="s">
        <v>20883</v>
      </c>
      <c r="R7343" t="s">
        <v>420</v>
      </c>
      <c r="S7343">
        <v>1495</v>
      </c>
    </row>
    <row r="7344" spans="1:19">
      <c r="A7344" t="s">
        <v>30</v>
      </c>
      <c r="B7344" t="s">
        <v>148</v>
      </c>
      <c r="C7344" t="s">
        <v>162</v>
      </c>
      <c r="D7344" t="s">
        <v>291</v>
      </c>
      <c r="E7344" t="s">
        <v>420</v>
      </c>
      <c r="F7344">
        <f>HYPERLINK("https://www.wikidata.org/wiki/Q33323082", "Q33323082")</f>
        <v>0</v>
      </c>
      <c r="G7344" t="s">
        <v>584</v>
      </c>
      <c r="H7344" t="s">
        <v>5345</v>
      </c>
      <c r="I7344" t="s">
        <v>9433</v>
      </c>
      <c r="J7344" t="s">
        <v>11335</v>
      </c>
      <c r="K7344" t="s">
        <v>15736</v>
      </c>
      <c r="L7344">
        <f>HYPERLINK("https://www2.assemblee-nationale.fr/sycomore/fiche/(num_dept)/1875", "1875")</f>
        <v>0</v>
      </c>
      <c r="N7344">
        <f>HYPERLINK("https://www.wikidata.org/wiki/Q3132702", "Q3132702")</f>
        <v>0</v>
      </c>
      <c r="O7344" t="s">
        <v>20013</v>
      </c>
      <c r="P7344" t="s">
        <v>20410</v>
      </c>
      <c r="Q7344" t="s">
        <v>20883</v>
      </c>
      <c r="R7344" t="s">
        <v>420</v>
      </c>
      <c r="S7344">
        <v>1495</v>
      </c>
    </row>
    <row r="7345" spans="1:19">
      <c r="A7345" t="s">
        <v>30</v>
      </c>
      <c r="B7345" t="s">
        <v>148</v>
      </c>
      <c r="C7345" t="s">
        <v>162</v>
      </c>
      <c r="D7345" t="s">
        <v>291</v>
      </c>
      <c r="E7345" t="s">
        <v>420</v>
      </c>
      <c r="F7345">
        <f>HYPERLINK("https://www.wikidata.org/wiki/Q33323082", "Q33323082")</f>
        <v>0</v>
      </c>
      <c r="G7345" t="s">
        <v>2540</v>
      </c>
      <c r="H7345" t="s">
        <v>7100</v>
      </c>
      <c r="I7345" t="s">
        <v>10276</v>
      </c>
      <c r="J7345" t="s">
        <v>13184</v>
      </c>
      <c r="K7345" t="s">
        <v>17589</v>
      </c>
      <c r="L7345">
        <f>HYPERLINK("https://www2.assemblee-nationale.fr/sycomore/fiche/(num_dept)/1878", "1878")</f>
        <v>0</v>
      </c>
      <c r="M7345">
        <f>HYPERLINK("https://www.senat.fr/senateur-3eme-republique/codet_jean1786r3.html", "codet_jean1786r3")</f>
        <v>0</v>
      </c>
      <c r="N7345">
        <f>HYPERLINK("https://www.wikidata.org/wiki/Q3171361", "Q3171361")</f>
        <v>0</v>
      </c>
      <c r="O7345" t="s">
        <v>19977</v>
      </c>
      <c r="Q7345" t="s">
        <v>20883</v>
      </c>
      <c r="R7345" t="s">
        <v>420</v>
      </c>
      <c r="S7345">
        <v>1495</v>
      </c>
    </row>
    <row r="7346" spans="1:19">
      <c r="A7346" t="s">
        <v>30</v>
      </c>
      <c r="B7346" t="s">
        <v>148</v>
      </c>
      <c r="C7346" t="s">
        <v>162</v>
      </c>
      <c r="D7346" t="s">
        <v>291</v>
      </c>
      <c r="E7346" t="s">
        <v>420</v>
      </c>
      <c r="F7346">
        <f>HYPERLINK("https://www.wikidata.org/wiki/Q33323082", "Q33323082")</f>
        <v>0</v>
      </c>
      <c r="G7346" t="s">
        <v>585</v>
      </c>
      <c r="H7346" t="s">
        <v>5346</v>
      </c>
      <c r="I7346" t="s">
        <v>9434</v>
      </c>
      <c r="J7346" t="s">
        <v>11336</v>
      </c>
      <c r="K7346" t="s">
        <v>15737</v>
      </c>
      <c r="L7346">
        <f>HYPERLINK("https://www2.assemblee-nationale.fr/sycomore/fiche/(num_dept)/1897", "1897")</f>
        <v>0</v>
      </c>
      <c r="M7346">
        <f>HYPERLINK("https://www.senat.fr/senateur-3eme-republique/colin_maurice0839r3.html", "colin_maurice0839r3")</f>
        <v>0</v>
      </c>
      <c r="N7346">
        <f>HYPERLINK("https://www.wikidata.org/wiki/Q16938256", "Q16938256")</f>
        <v>0</v>
      </c>
      <c r="O7346" t="s">
        <v>20000</v>
      </c>
      <c r="P7346" t="s">
        <v>20457</v>
      </c>
      <c r="Q7346" t="s">
        <v>20883</v>
      </c>
      <c r="R7346" t="s">
        <v>420</v>
      </c>
      <c r="S7346">
        <v>1495</v>
      </c>
    </row>
    <row r="7347" spans="1:19">
      <c r="A7347" t="s">
        <v>30</v>
      </c>
      <c r="B7347" t="s">
        <v>148</v>
      </c>
      <c r="C7347" t="s">
        <v>162</v>
      </c>
      <c r="D7347" t="s">
        <v>291</v>
      </c>
      <c r="E7347" t="s">
        <v>420</v>
      </c>
      <c r="F7347">
        <f>HYPERLINK("https://www.wikidata.org/wiki/Q33323082", "Q33323082")</f>
        <v>0</v>
      </c>
      <c r="G7347" t="s">
        <v>913</v>
      </c>
      <c r="H7347" t="s">
        <v>5669</v>
      </c>
      <c r="I7347" t="s">
        <v>6860</v>
      </c>
      <c r="J7347" t="s">
        <v>11657</v>
      </c>
      <c r="K7347" t="s">
        <v>16056</v>
      </c>
      <c r="L7347">
        <f>HYPERLINK("https://www2.assemblee-nationale.fr/sycomore/fiche/(num_dept)/1906", "1906")</f>
        <v>0</v>
      </c>
      <c r="N7347">
        <f>HYPERLINK("https://www.wikidata.org/wiki/Q3384481", "Q3384481")</f>
        <v>0</v>
      </c>
      <c r="O7347" t="s">
        <v>19965</v>
      </c>
      <c r="P7347" t="s">
        <v>20485</v>
      </c>
      <c r="Q7347" t="s">
        <v>20883</v>
      </c>
      <c r="R7347" t="s">
        <v>420</v>
      </c>
      <c r="S7347">
        <v>1495</v>
      </c>
    </row>
    <row r="7348" spans="1:19">
      <c r="A7348" t="s">
        <v>30</v>
      </c>
      <c r="B7348" t="s">
        <v>148</v>
      </c>
      <c r="C7348" t="s">
        <v>162</v>
      </c>
      <c r="D7348" t="s">
        <v>291</v>
      </c>
      <c r="E7348" t="s">
        <v>420</v>
      </c>
      <c r="F7348">
        <f>HYPERLINK("https://www.wikidata.org/wiki/Q33323082", "Q33323082")</f>
        <v>0</v>
      </c>
      <c r="G7348" t="s">
        <v>588</v>
      </c>
      <c r="H7348" t="s">
        <v>5349</v>
      </c>
      <c r="I7348" t="s">
        <v>9437</v>
      </c>
      <c r="J7348" t="s">
        <v>11339</v>
      </c>
      <c r="K7348" t="s">
        <v>15740</v>
      </c>
      <c r="L7348">
        <f>HYPERLINK("https://www2.assemblee-nationale.fr/sycomore/fiche/(num_dept)/1947", "1947")</f>
        <v>0</v>
      </c>
      <c r="N7348">
        <f>HYPERLINK("https://www.wikidata.org/wiki/Q3588426", "Q3588426")</f>
        <v>0</v>
      </c>
      <c r="O7348" t="s">
        <v>19987</v>
      </c>
      <c r="P7348" t="s">
        <v>20409</v>
      </c>
      <c r="Q7348" t="s">
        <v>20883</v>
      </c>
      <c r="R7348" t="s">
        <v>420</v>
      </c>
      <c r="S7348">
        <v>1495</v>
      </c>
    </row>
    <row r="7349" spans="1:19">
      <c r="A7349" t="s">
        <v>30</v>
      </c>
      <c r="B7349" t="s">
        <v>148</v>
      </c>
      <c r="C7349" t="s">
        <v>162</v>
      </c>
      <c r="D7349" t="s">
        <v>291</v>
      </c>
      <c r="E7349" t="s">
        <v>420</v>
      </c>
      <c r="F7349">
        <f>HYPERLINK("https://www.wikidata.org/wiki/Q33323082", "Q33323082")</f>
        <v>0</v>
      </c>
      <c r="G7349" t="s">
        <v>3863</v>
      </c>
      <c r="H7349" t="s">
        <v>8133</v>
      </c>
      <c r="I7349" t="s">
        <v>9455</v>
      </c>
      <c r="J7349" t="s">
        <v>14422</v>
      </c>
      <c r="K7349" t="s">
        <v>18775</v>
      </c>
      <c r="L7349">
        <f>HYPERLINK("https://www2.assemblee-nationale.fr/sycomore/fiche/(num_dept)/1969", "1969")</f>
        <v>0</v>
      </c>
      <c r="M7349">
        <f>HYPERLINK("https://www.senat.fr/senateur-3eme-republique/cornet_lucien1850r3.html", "cornet_lucien1850r3")</f>
        <v>0</v>
      </c>
      <c r="N7349">
        <f>HYPERLINK("https://www.wikidata.org/wiki/Q3265439", "Q3265439")</f>
        <v>0</v>
      </c>
      <c r="O7349" t="s">
        <v>20034</v>
      </c>
      <c r="P7349" t="s">
        <v>20477</v>
      </c>
      <c r="Q7349" t="s">
        <v>20883</v>
      </c>
      <c r="R7349" t="s">
        <v>420</v>
      </c>
      <c r="S7349">
        <v>1495</v>
      </c>
    </row>
    <row r="7350" spans="1:19">
      <c r="A7350" t="s">
        <v>30</v>
      </c>
      <c r="B7350" t="s">
        <v>148</v>
      </c>
      <c r="C7350" t="s">
        <v>162</v>
      </c>
      <c r="D7350" t="s">
        <v>291</v>
      </c>
      <c r="E7350" t="s">
        <v>420</v>
      </c>
      <c r="F7350">
        <f>HYPERLINK("https://www.wikidata.org/wiki/Q33323082", "Q33323082")</f>
        <v>0</v>
      </c>
      <c r="G7350" t="s">
        <v>589</v>
      </c>
      <c r="H7350" t="s">
        <v>5350</v>
      </c>
      <c r="I7350" t="s">
        <v>9438</v>
      </c>
      <c r="J7350" t="s">
        <v>11340</v>
      </c>
      <c r="K7350" t="s">
        <v>15741</v>
      </c>
      <c r="L7350">
        <f>HYPERLINK("https://www2.assemblee-nationale.fr/sycomore/fiche/(num_dept)/1979", "1979")</f>
        <v>0</v>
      </c>
      <c r="M7350">
        <f>HYPERLINK("https://www.senat.fr/senateur-3eme-republique/cornudet_des_chaumettes_honore1635r3.html", "cornudet_des_chaumettes_honore1635r3")</f>
        <v>0</v>
      </c>
      <c r="N7350">
        <f>HYPERLINK("https://www.wikidata.org/wiki/Q3140215", "Q3140215")</f>
        <v>0</v>
      </c>
      <c r="O7350" t="s">
        <v>19976</v>
      </c>
      <c r="P7350" t="s">
        <v>20479</v>
      </c>
      <c r="Q7350" t="s">
        <v>20883</v>
      </c>
      <c r="R7350" t="s">
        <v>420</v>
      </c>
      <c r="S7350">
        <v>1495</v>
      </c>
    </row>
    <row r="7351" spans="1:19">
      <c r="A7351" t="s">
        <v>30</v>
      </c>
      <c r="B7351" t="s">
        <v>148</v>
      </c>
      <c r="C7351" t="s">
        <v>162</v>
      </c>
      <c r="D7351" t="s">
        <v>291</v>
      </c>
      <c r="E7351" t="s">
        <v>420</v>
      </c>
      <c r="F7351">
        <f>HYPERLINK("https://www.wikidata.org/wiki/Q33323082", "Q33323082")</f>
        <v>0</v>
      </c>
      <c r="G7351" t="s">
        <v>1420</v>
      </c>
      <c r="H7351" t="s">
        <v>5879</v>
      </c>
      <c r="I7351" t="s">
        <v>9388</v>
      </c>
      <c r="J7351" t="s">
        <v>12144</v>
      </c>
      <c r="K7351" t="s">
        <v>16546</v>
      </c>
      <c r="L7351">
        <f>HYPERLINK("https://www2.assemblee-nationale.fr/sycomore/fiche/(num_dept)/2046", "2046")</f>
        <v>0</v>
      </c>
      <c r="N7351">
        <f>HYPERLINK("https://www.wikidata.org/wiki/Q16025499", "Q16025499")</f>
        <v>0</v>
      </c>
      <c r="O7351" t="s">
        <v>20025</v>
      </c>
      <c r="P7351" t="s">
        <v>20409</v>
      </c>
      <c r="Q7351" t="s">
        <v>20883</v>
      </c>
      <c r="R7351" t="s">
        <v>420</v>
      </c>
      <c r="S7351">
        <v>1495</v>
      </c>
    </row>
    <row r="7352" spans="1:19">
      <c r="A7352" t="s">
        <v>30</v>
      </c>
      <c r="B7352" t="s">
        <v>148</v>
      </c>
      <c r="C7352" t="s">
        <v>162</v>
      </c>
      <c r="D7352" t="s">
        <v>291</v>
      </c>
      <c r="E7352" t="s">
        <v>420</v>
      </c>
      <c r="F7352">
        <f>HYPERLINK("https://www.wikidata.org/wiki/Q33323082", "Q33323082")</f>
        <v>0</v>
      </c>
      <c r="G7352" t="s">
        <v>592</v>
      </c>
      <c r="H7352" t="s">
        <v>5353</v>
      </c>
      <c r="I7352" t="s">
        <v>9441</v>
      </c>
      <c r="J7352" t="s">
        <v>11343</v>
      </c>
      <c r="K7352" t="s">
        <v>15744</v>
      </c>
      <c r="L7352">
        <f>HYPERLINK("https://www2.assemblee-nationale.fr/sycomore/fiche/(num_dept)/2048", "2048")</f>
        <v>0</v>
      </c>
      <c r="N7352">
        <f>HYPERLINK("https://www.wikidata.org/wiki/Q16025498", "Q16025498")</f>
        <v>0</v>
      </c>
      <c r="O7352" t="s">
        <v>19969</v>
      </c>
      <c r="P7352" t="s">
        <v>20446</v>
      </c>
      <c r="Q7352" t="s">
        <v>20883</v>
      </c>
      <c r="R7352" t="s">
        <v>420</v>
      </c>
      <c r="S7352">
        <v>1495</v>
      </c>
    </row>
    <row r="7353" spans="1:19">
      <c r="A7353" t="s">
        <v>30</v>
      </c>
      <c r="B7353" t="s">
        <v>148</v>
      </c>
      <c r="C7353" t="s">
        <v>162</v>
      </c>
      <c r="D7353" t="s">
        <v>291</v>
      </c>
      <c r="E7353" t="s">
        <v>420</v>
      </c>
      <c r="F7353">
        <f>HYPERLINK("https://www.wikidata.org/wiki/Q33323082", "Q33323082")</f>
        <v>0</v>
      </c>
      <c r="G7353" t="s">
        <v>3873</v>
      </c>
      <c r="H7353" t="s">
        <v>8141</v>
      </c>
      <c r="I7353" t="s">
        <v>7642</v>
      </c>
      <c r="J7353" t="s">
        <v>12605</v>
      </c>
      <c r="K7353" t="s">
        <v>18784</v>
      </c>
      <c r="L7353">
        <f>HYPERLINK("https://www2.assemblee-nationale.fr/sycomore/fiche/(num_dept)/2057", "2057")</f>
        <v>0</v>
      </c>
      <c r="M7353">
        <f>HYPERLINK("https://www.senat.fr/senateur-3eme-republique/couyba_charles1178r3.html", "couyba_charles1178r3")</f>
        <v>0</v>
      </c>
      <c r="N7353">
        <f>HYPERLINK("https://www.wikidata.org/wiki/Q1750410", "Q1750410")</f>
        <v>0</v>
      </c>
      <c r="O7353" t="s">
        <v>20036</v>
      </c>
      <c r="P7353" t="s">
        <v>20471</v>
      </c>
      <c r="Q7353" t="s">
        <v>20883</v>
      </c>
      <c r="R7353" t="s">
        <v>420</v>
      </c>
      <c r="S7353">
        <v>1495</v>
      </c>
    </row>
    <row r="7354" spans="1:19">
      <c r="A7354" t="s">
        <v>30</v>
      </c>
      <c r="B7354" t="s">
        <v>148</v>
      </c>
      <c r="C7354" t="s">
        <v>162</v>
      </c>
      <c r="D7354" t="s">
        <v>291</v>
      </c>
      <c r="E7354" t="s">
        <v>420</v>
      </c>
      <c r="F7354">
        <f>HYPERLINK("https://www.wikidata.org/wiki/Q33323082", "Q33323082")</f>
        <v>0</v>
      </c>
      <c r="G7354" t="s">
        <v>598</v>
      </c>
      <c r="H7354" t="s">
        <v>5359</v>
      </c>
      <c r="I7354" t="s">
        <v>9444</v>
      </c>
      <c r="J7354" t="s">
        <v>11349</v>
      </c>
      <c r="K7354" t="s">
        <v>15750</v>
      </c>
      <c r="L7354">
        <f>HYPERLINK("https://www2.assemblee-nationale.fr/sycomore/fiche/(num_dept)/2127", "2127")</f>
        <v>0</v>
      </c>
      <c r="N7354">
        <f>HYPERLINK("https://www.wikidata.org/wiki/Q16025516", "Q16025516")</f>
        <v>0</v>
      </c>
      <c r="O7354" t="s">
        <v>20013</v>
      </c>
      <c r="P7354" t="s">
        <v>20410</v>
      </c>
      <c r="Q7354" t="s">
        <v>20883</v>
      </c>
      <c r="R7354" t="s">
        <v>420</v>
      </c>
      <c r="S7354">
        <v>1495</v>
      </c>
    </row>
    <row r="7355" spans="1:19">
      <c r="A7355" t="s">
        <v>30</v>
      </c>
      <c r="B7355" t="s">
        <v>148</v>
      </c>
      <c r="C7355" t="s">
        <v>162</v>
      </c>
      <c r="D7355" t="s">
        <v>291</v>
      </c>
      <c r="E7355" t="s">
        <v>420</v>
      </c>
      <c r="F7355">
        <f>HYPERLINK("https://www.wikidata.org/wiki/Q33323082", "Q33323082")</f>
        <v>0</v>
      </c>
      <c r="G7355" t="s">
        <v>1424</v>
      </c>
      <c r="H7355" t="s">
        <v>6129</v>
      </c>
      <c r="I7355" t="s">
        <v>9806</v>
      </c>
      <c r="J7355" t="s">
        <v>12148</v>
      </c>
      <c r="K7355" t="s">
        <v>16550</v>
      </c>
      <c r="L7355">
        <f>HYPERLINK("https://www2.assemblee-nationale.fr/sycomore/fiche/(num_dept)/2128", "2128")</f>
        <v>0</v>
      </c>
      <c r="N7355">
        <f>HYPERLINK("https://www.wikidata.org/wiki/Q3261648", "Q3261648")</f>
        <v>0</v>
      </c>
      <c r="O7355" t="s">
        <v>19958</v>
      </c>
      <c r="P7355" t="s">
        <v>20410</v>
      </c>
      <c r="Q7355" t="s">
        <v>20883</v>
      </c>
      <c r="R7355" t="s">
        <v>420</v>
      </c>
      <c r="S7355">
        <v>1495</v>
      </c>
    </row>
    <row r="7356" spans="1:19">
      <c r="A7356" t="s">
        <v>30</v>
      </c>
      <c r="B7356" t="s">
        <v>148</v>
      </c>
      <c r="C7356" t="s">
        <v>162</v>
      </c>
      <c r="D7356" t="s">
        <v>291</v>
      </c>
      <c r="E7356" t="s">
        <v>420</v>
      </c>
      <c r="F7356">
        <f>HYPERLINK("https://www.wikidata.org/wiki/Q33323082", "Q33323082")</f>
        <v>0</v>
      </c>
      <c r="G7356" t="s">
        <v>4058</v>
      </c>
      <c r="H7356" t="s">
        <v>8281</v>
      </c>
      <c r="I7356" t="s">
        <v>11085</v>
      </c>
      <c r="J7356" t="s">
        <v>14598</v>
      </c>
      <c r="K7356" t="s">
        <v>18936</v>
      </c>
      <c r="L7356">
        <f>HYPERLINK("https://www2.assemblee-nationale.fr/sycomore/fiche/(num_dept)/2130", "2130")</f>
        <v>0</v>
      </c>
      <c r="N7356">
        <f>HYPERLINK("https://www.wikidata.org/wiki/Q16025517", "Q16025517")</f>
        <v>0</v>
      </c>
      <c r="O7356" t="s">
        <v>19968</v>
      </c>
      <c r="P7356" t="s">
        <v>20409</v>
      </c>
      <c r="Q7356" t="s">
        <v>20883</v>
      </c>
      <c r="R7356" t="s">
        <v>21601</v>
      </c>
      <c r="S7356">
        <v>201</v>
      </c>
    </row>
    <row r="7357" spans="1:19">
      <c r="A7357" t="s">
        <v>30</v>
      </c>
      <c r="B7357" t="s">
        <v>148</v>
      </c>
      <c r="C7357" t="s">
        <v>162</v>
      </c>
      <c r="D7357" t="s">
        <v>291</v>
      </c>
      <c r="E7357" t="s">
        <v>420</v>
      </c>
      <c r="F7357">
        <f>HYPERLINK("https://www.wikidata.org/wiki/Q33323082", "Q33323082")</f>
        <v>0</v>
      </c>
      <c r="G7357" t="s">
        <v>4031</v>
      </c>
      <c r="H7357" t="s">
        <v>6895</v>
      </c>
      <c r="I7357" t="s">
        <v>11073</v>
      </c>
      <c r="J7357" t="s">
        <v>14573</v>
      </c>
      <c r="L7357">
        <f>HYPERLINK("https://www2.assemblee-nationale.fr/sycomore/fiche/(num_dept)/2145", "2145")</f>
        <v>0</v>
      </c>
      <c r="N7357">
        <f>HYPERLINK("https://www.wikidata.org/wiki/Q16025705", "Q16025705")</f>
        <v>0</v>
      </c>
      <c r="O7357" t="s">
        <v>20027</v>
      </c>
      <c r="P7357" t="s">
        <v>20477</v>
      </c>
      <c r="Q7357" t="s">
        <v>20883</v>
      </c>
      <c r="R7357" t="s">
        <v>420</v>
      </c>
      <c r="S7357">
        <v>1495</v>
      </c>
    </row>
    <row r="7358" spans="1:19">
      <c r="A7358" t="s">
        <v>30</v>
      </c>
      <c r="B7358" t="s">
        <v>148</v>
      </c>
      <c r="C7358" t="s">
        <v>162</v>
      </c>
      <c r="D7358" t="s">
        <v>291</v>
      </c>
      <c r="E7358" t="s">
        <v>420</v>
      </c>
      <c r="F7358">
        <f>HYPERLINK("https://www.wikidata.org/wiki/Q33323082", "Q33323082")</f>
        <v>0</v>
      </c>
      <c r="G7358" t="s">
        <v>3962</v>
      </c>
      <c r="H7358" t="s">
        <v>8211</v>
      </c>
      <c r="I7358" t="s">
        <v>6519</v>
      </c>
      <c r="J7358" t="s">
        <v>14513</v>
      </c>
      <c r="K7358" t="s">
        <v>18857</v>
      </c>
      <c r="L7358">
        <f>HYPERLINK("https://www2.assemblee-nationale.fr/sycomore/fiche/(num_dept)/2155", "2155")</f>
        <v>0</v>
      </c>
      <c r="M7358">
        <f>HYPERLINK("https://www.senat.fr/senateur-3eme-republique/daude_gleize_paulin0860r3.html", "daude_gleize_paulin0860r3")</f>
        <v>0</v>
      </c>
      <c r="N7358">
        <f>HYPERLINK("https://www.wikidata.org/wiki/Q3372661", "Q3372661")</f>
        <v>0</v>
      </c>
      <c r="O7358" t="s">
        <v>20004</v>
      </c>
      <c r="P7358" t="s">
        <v>20504</v>
      </c>
      <c r="Q7358" t="s">
        <v>20883</v>
      </c>
      <c r="R7358" t="s">
        <v>18328</v>
      </c>
      <c r="S7358">
        <v>1363</v>
      </c>
    </row>
    <row r="7359" spans="1:19">
      <c r="A7359" t="s">
        <v>30</v>
      </c>
      <c r="B7359" t="s">
        <v>148</v>
      </c>
      <c r="C7359" t="s">
        <v>162</v>
      </c>
      <c r="D7359" t="s">
        <v>291</v>
      </c>
      <c r="E7359" t="s">
        <v>420</v>
      </c>
      <c r="F7359">
        <f>HYPERLINK("https://www.wikidata.org/wiki/Q33323082", "Q33323082")</f>
        <v>0</v>
      </c>
      <c r="G7359" t="s">
        <v>3422</v>
      </c>
      <c r="H7359" t="s">
        <v>5361</v>
      </c>
      <c r="I7359" t="s">
        <v>10822</v>
      </c>
      <c r="J7359" t="s">
        <v>14027</v>
      </c>
      <c r="K7359" t="s">
        <v>17732</v>
      </c>
      <c r="L7359">
        <f>HYPERLINK("https://www2.assemblee-nationale.fr/sycomore/fiche/(num_dept)/2169", "2169")</f>
        <v>0</v>
      </c>
      <c r="N7359">
        <f>HYPERLINK("https://www.wikidata.org/wiki/Q16025522", "Q16025522")</f>
        <v>0</v>
      </c>
      <c r="O7359" t="s">
        <v>19975</v>
      </c>
      <c r="P7359" t="s">
        <v>20401</v>
      </c>
      <c r="Q7359" t="s">
        <v>20883</v>
      </c>
      <c r="R7359" t="s">
        <v>17732</v>
      </c>
      <c r="S7359">
        <v>1192</v>
      </c>
    </row>
    <row r="7360" spans="1:19">
      <c r="A7360" t="s">
        <v>30</v>
      </c>
      <c r="B7360" t="s">
        <v>148</v>
      </c>
      <c r="C7360" t="s">
        <v>162</v>
      </c>
      <c r="D7360" t="s">
        <v>291</v>
      </c>
      <c r="E7360" t="s">
        <v>420</v>
      </c>
      <c r="F7360">
        <f>HYPERLINK("https://www.wikidata.org/wiki/Q33323082", "Q33323082")</f>
        <v>0</v>
      </c>
      <c r="G7360" t="s">
        <v>600</v>
      </c>
      <c r="H7360" t="s">
        <v>5361</v>
      </c>
      <c r="I7360" t="s">
        <v>9446</v>
      </c>
      <c r="J7360" t="s">
        <v>11351</v>
      </c>
      <c r="K7360" t="s">
        <v>15752</v>
      </c>
      <c r="L7360">
        <f>HYPERLINK("https://www2.assemblee-nationale.fr/sycomore/fiche/(num_dept)/2171", "2171")</f>
        <v>0</v>
      </c>
      <c r="M7360">
        <f>HYPERLINK("https://www.senat.fr/senateur-3eme-republique/david_fernand1309r3.html", "david_fernand1309r3")</f>
        <v>0</v>
      </c>
      <c r="N7360">
        <f>HYPERLINK("https://www.wikidata.org/wiki/Q3069115", "Q3069115")</f>
        <v>0</v>
      </c>
      <c r="O7360" t="s">
        <v>20018</v>
      </c>
      <c r="P7360" t="s">
        <v>20457</v>
      </c>
      <c r="Q7360" t="s">
        <v>20883</v>
      </c>
      <c r="R7360" t="s">
        <v>420</v>
      </c>
      <c r="S7360">
        <v>1495</v>
      </c>
    </row>
    <row r="7361" spans="1:19">
      <c r="A7361" t="s">
        <v>30</v>
      </c>
      <c r="B7361" t="s">
        <v>148</v>
      </c>
      <c r="C7361" t="s">
        <v>162</v>
      </c>
      <c r="D7361" t="s">
        <v>291</v>
      </c>
      <c r="E7361" t="s">
        <v>420</v>
      </c>
      <c r="F7361">
        <f>HYPERLINK("https://www.wikidata.org/wiki/Q33323082", "Q33323082")</f>
        <v>0</v>
      </c>
      <c r="G7361" t="s">
        <v>4027</v>
      </c>
      <c r="H7361" t="s">
        <v>5361</v>
      </c>
      <c r="I7361" t="s">
        <v>9457</v>
      </c>
      <c r="J7361" t="s">
        <v>14570</v>
      </c>
      <c r="K7361" t="s">
        <v>18913</v>
      </c>
      <c r="L7361">
        <f>HYPERLINK("https://www2.assemblee-nationale.fr/sycomore/fiche/(num_dept)/2172", "2172")</f>
        <v>0</v>
      </c>
      <c r="M7361">
        <f>HYPERLINK("https://www.senat.fr/senateur-3eme-republique/david_henri0377r3.html", "david_henri0377r3")</f>
        <v>0</v>
      </c>
      <c r="N7361">
        <f>HYPERLINK("https://www.wikidata.org/wiki/Q3130917", "Q3130917")</f>
        <v>0</v>
      </c>
      <c r="O7361" t="s">
        <v>20039</v>
      </c>
      <c r="P7361" t="s">
        <v>20401</v>
      </c>
      <c r="Q7361" t="s">
        <v>20883</v>
      </c>
      <c r="R7361" t="s">
        <v>21593</v>
      </c>
      <c r="S7361">
        <v>1355</v>
      </c>
    </row>
    <row r="7362" spans="1:19">
      <c r="A7362" t="s">
        <v>30</v>
      </c>
      <c r="B7362" t="s">
        <v>148</v>
      </c>
      <c r="C7362" t="s">
        <v>162</v>
      </c>
      <c r="D7362" t="s">
        <v>291</v>
      </c>
      <c r="E7362" t="s">
        <v>420</v>
      </c>
      <c r="F7362">
        <f>HYPERLINK("https://www.wikidata.org/wiki/Q33323082", "Q33323082")</f>
        <v>0</v>
      </c>
      <c r="G7362" t="s">
        <v>3964</v>
      </c>
      <c r="H7362" t="s">
        <v>8212</v>
      </c>
      <c r="I7362" t="s">
        <v>11045</v>
      </c>
      <c r="J7362" t="s">
        <v>14514</v>
      </c>
      <c r="K7362" t="s">
        <v>18858</v>
      </c>
      <c r="L7362">
        <f>HYPERLINK("https://www2.assemblee-nationale.fr/sycomore/fiche/(num_dept)/2198", "2198")</f>
        <v>0</v>
      </c>
      <c r="N7362">
        <f>HYPERLINK("https://www.wikidata.org/wiki/Q16025530", "Q16025530")</f>
        <v>0</v>
      </c>
      <c r="O7362" t="s">
        <v>20002</v>
      </c>
      <c r="P7362" t="s">
        <v>20471</v>
      </c>
      <c r="Q7362" t="s">
        <v>20883</v>
      </c>
      <c r="R7362" t="s">
        <v>420</v>
      </c>
      <c r="S7362">
        <v>1495</v>
      </c>
    </row>
    <row r="7363" spans="1:19">
      <c r="A7363" t="s">
        <v>30</v>
      </c>
      <c r="B7363" t="s">
        <v>148</v>
      </c>
      <c r="C7363" t="s">
        <v>162</v>
      </c>
      <c r="D7363" t="s">
        <v>291</v>
      </c>
      <c r="E7363" t="s">
        <v>420</v>
      </c>
      <c r="F7363">
        <f>HYPERLINK("https://www.wikidata.org/wiki/Q33323082", "Q33323082")</f>
        <v>0</v>
      </c>
      <c r="G7363" t="s">
        <v>3761</v>
      </c>
      <c r="H7363" t="s">
        <v>8059</v>
      </c>
      <c r="I7363" t="s">
        <v>10966</v>
      </c>
      <c r="J7363" t="s">
        <v>12240</v>
      </c>
      <c r="K7363" t="s">
        <v>18686</v>
      </c>
      <c r="L7363">
        <f>HYPERLINK("https://www2.assemblee-nationale.fr/sycomore/fiche/(num_dept)/2207", "2207")</f>
        <v>0</v>
      </c>
      <c r="M7363">
        <f>HYPERLINK("https://www.senat.fr/senateur-3eme-republique/decker_david_paul0148r3.html", "decker_david_paul0148r3")</f>
        <v>0</v>
      </c>
      <c r="N7363">
        <f>HYPERLINK("https://www.wikidata.org/wiki/Q3370999", "Q3370999")</f>
        <v>0</v>
      </c>
      <c r="O7363" t="s">
        <v>20003</v>
      </c>
      <c r="P7363" t="s">
        <v>20402</v>
      </c>
      <c r="Q7363" t="s">
        <v>20883</v>
      </c>
      <c r="R7363" t="s">
        <v>420</v>
      </c>
      <c r="S7363">
        <v>1495</v>
      </c>
    </row>
    <row r="7364" spans="1:19">
      <c r="A7364" t="s">
        <v>30</v>
      </c>
      <c r="B7364" t="s">
        <v>148</v>
      </c>
      <c r="C7364" t="s">
        <v>162</v>
      </c>
      <c r="D7364" t="s">
        <v>291</v>
      </c>
      <c r="E7364" t="s">
        <v>420</v>
      </c>
      <c r="F7364">
        <f>HYPERLINK("https://www.wikidata.org/wiki/Q33323082", "Q33323082")</f>
        <v>0</v>
      </c>
      <c r="G7364" t="s">
        <v>3870</v>
      </c>
      <c r="H7364" t="s">
        <v>8138</v>
      </c>
      <c r="I7364" t="s">
        <v>6584</v>
      </c>
      <c r="J7364" t="s">
        <v>14429</v>
      </c>
      <c r="K7364" t="s">
        <v>18300</v>
      </c>
      <c r="L7364">
        <f>HYPERLINK("https://www2.assemblee-nationale.fr/sycomore/fiche/(num_dept)/2211", "2211")</f>
        <v>0</v>
      </c>
      <c r="M7364">
        <f>HYPERLINK("https://www.senat.fr/senateur-3eme-republique/decrais_albert0207r3.html", "decrais_albert0207r3")</f>
        <v>0</v>
      </c>
      <c r="N7364">
        <f>HYPERLINK("https://www.wikidata.org/wiki/Q2831089", "Q2831089")</f>
        <v>0</v>
      </c>
      <c r="O7364" t="s">
        <v>19987</v>
      </c>
      <c r="Q7364" t="s">
        <v>20883</v>
      </c>
      <c r="R7364" t="s">
        <v>21602</v>
      </c>
      <c r="S7364">
        <v>395</v>
      </c>
    </row>
    <row r="7365" spans="1:19">
      <c r="A7365" t="s">
        <v>30</v>
      </c>
      <c r="B7365" t="s">
        <v>148</v>
      </c>
      <c r="C7365" t="s">
        <v>162</v>
      </c>
      <c r="D7365" t="s">
        <v>291</v>
      </c>
      <c r="E7365" t="s">
        <v>420</v>
      </c>
      <c r="F7365">
        <f>HYPERLINK("https://www.wikidata.org/wiki/Q33323082", "Q33323082")</f>
        <v>0</v>
      </c>
      <c r="G7365" t="s">
        <v>4059</v>
      </c>
      <c r="H7365" t="s">
        <v>8282</v>
      </c>
      <c r="I7365" t="s">
        <v>11086</v>
      </c>
      <c r="J7365" t="s">
        <v>14599</v>
      </c>
      <c r="K7365" t="s">
        <v>18937</v>
      </c>
      <c r="L7365">
        <f>HYPERLINK("https://www2.assemblee-nationale.fr/sycomore/fiche/(num_dept)/2214", "2214")</f>
        <v>0</v>
      </c>
      <c r="M7365">
        <f>HYPERLINK("https://www.senat.fr/senateur-3eme-republique/defarge_adolphe0068r3.html", "defarge_adolphe0068r3")</f>
        <v>0</v>
      </c>
      <c r="N7365">
        <f>HYPERLINK("https://www.wikidata.org/wiki/Q2824801", "Q2824801")</f>
        <v>0</v>
      </c>
      <c r="O7365" t="s">
        <v>20033</v>
      </c>
      <c r="Q7365" t="s">
        <v>20883</v>
      </c>
      <c r="R7365" t="s">
        <v>21603</v>
      </c>
      <c r="S7365">
        <v>320</v>
      </c>
    </row>
    <row r="7366" spans="1:19">
      <c r="A7366" t="s">
        <v>30</v>
      </c>
      <c r="B7366" t="s">
        <v>148</v>
      </c>
      <c r="C7366" t="s">
        <v>162</v>
      </c>
      <c r="D7366" t="s">
        <v>291</v>
      </c>
      <c r="E7366" t="s">
        <v>420</v>
      </c>
      <c r="F7366">
        <f>HYPERLINK("https://www.wikidata.org/wiki/Q33323082", "Q33323082")</f>
        <v>0</v>
      </c>
      <c r="G7366" t="s">
        <v>602</v>
      </c>
      <c r="H7366" t="s">
        <v>5362</v>
      </c>
      <c r="I7366" t="s">
        <v>6158</v>
      </c>
      <c r="J7366" t="s">
        <v>11353</v>
      </c>
      <c r="K7366" t="s">
        <v>15754</v>
      </c>
      <c r="L7366">
        <f>HYPERLINK("https://www2.assemblee-nationale.fr/sycomore/fiche/(num_dept)/2217", "2217")</f>
        <v>0</v>
      </c>
      <c r="N7366">
        <f>HYPERLINK("https://www.wikidata.org/wiki/Q16025535", "Q16025535")</f>
        <v>0</v>
      </c>
      <c r="O7366" t="s">
        <v>20013</v>
      </c>
      <c r="P7366" t="s">
        <v>20477</v>
      </c>
      <c r="Q7366" t="s">
        <v>20883</v>
      </c>
      <c r="R7366" t="s">
        <v>420</v>
      </c>
      <c r="S7366">
        <v>1495</v>
      </c>
    </row>
    <row r="7367" spans="1:19">
      <c r="A7367" t="s">
        <v>30</v>
      </c>
      <c r="B7367" t="s">
        <v>148</v>
      </c>
      <c r="C7367" t="s">
        <v>162</v>
      </c>
      <c r="D7367" t="s">
        <v>291</v>
      </c>
      <c r="E7367" t="s">
        <v>420</v>
      </c>
      <c r="F7367">
        <f>HYPERLINK("https://www.wikidata.org/wiki/Q33323082", "Q33323082")</f>
        <v>0</v>
      </c>
      <c r="G7367" t="s">
        <v>603</v>
      </c>
      <c r="H7367" t="s">
        <v>5363</v>
      </c>
      <c r="I7367" t="s">
        <v>9447</v>
      </c>
      <c r="J7367" t="s">
        <v>11354</v>
      </c>
      <c r="K7367" t="s">
        <v>15755</v>
      </c>
      <c r="L7367">
        <f>HYPERLINK("https://www2.assemblee-nationale.fr/sycomore/fiche/(num_dept)/2240", "2240")</f>
        <v>0</v>
      </c>
      <c r="N7367">
        <f>HYPERLINK("https://www.wikidata.org/wiki/Q11954687", "Q11954687")</f>
        <v>0</v>
      </c>
      <c r="O7367" t="s">
        <v>19969</v>
      </c>
      <c r="P7367" t="s">
        <v>20500</v>
      </c>
      <c r="Q7367" t="s">
        <v>20883</v>
      </c>
      <c r="R7367" t="s">
        <v>420</v>
      </c>
      <c r="S7367">
        <v>1495</v>
      </c>
    </row>
    <row r="7368" spans="1:19">
      <c r="A7368" t="s">
        <v>30</v>
      </c>
      <c r="B7368" t="s">
        <v>148</v>
      </c>
      <c r="C7368" t="s">
        <v>162</v>
      </c>
      <c r="D7368" t="s">
        <v>291</v>
      </c>
      <c r="E7368" t="s">
        <v>420</v>
      </c>
      <c r="F7368">
        <f>HYPERLINK("https://www.wikidata.org/wiki/Q33323082", "Q33323082")</f>
        <v>0</v>
      </c>
      <c r="G7368" t="s">
        <v>605</v>
      </c>
      <c r="H7368" t="s">
        <v>5365</v>
      </c>
      <c r="I7368" t="s">
        <v>9449</v>
      </c>
      <c r="J7368" t="s">
        <v>11356</v>
      </c>
      <c r="K7368" t="s">
        <v>15757</v>
      </c>
      <c r="L7368">
        <f>HYPERLINK("https://www2.assemblee-nationale.fr/sycomore/fiche/(num_dept)/2249", "2249")</f>
        <v>0</v>
      </c>
      <c r="N7368">
        <f>HYPERLINK("https://www.wikidata.org/wiki/Q3188520", "Q3188520")</f>
        <v>0</v>
      </c>
      <c r="O7368" t="s">
        <v>20009</v>
      </c>
      <c r="P7368" t="s">
        <v>20504</v>
      </c>
      <c r="Q7368" t="s">
        <v>20883</v>
      </c>
      <c r="R7368" t="s">
        <v>420</v>
      </c>
      <c r="S7368">
        <v>1495</v>
      </c>
    </row>
    <row r="7369" spans="1:19">
      <c r="A7369" t="s">
        <v>30</v>
      </c>
      <c r="B7369" t="s">
        <v>148</v>
      </c>
      <c r="C7369" t="s">
        <v>162</v>
      </c>
      <c r="D7369" t="s">
        <v>291</v>
      </c>
      <c r="E7369" t="s">
        <v>420</v>
      </c>
      <c r="F7369">
        <f>HYPERLINK("https://www.wikidata.org/wiki/Q33323082", "Q33323082")</f>
        <v>0</v>
      </c>
      <c r="G7369" t="s">
        <v>607</v>
      </c>
      <c r="H7369" t="s">
        <v>5367</v>
      </c>
      <c r="I7369" t="s">
        <v>9450</v>
      </c>
      <c r="J7369" t="s">
        <v>11358</v>
      </c>
      <c r="K7369" t="s">
        <v>15759</v>
      </c>
      <c r="L7369">
        <f>HYPERLINK("https://www2.assemblee-nationale.fr/sycomore/fiche/(num_dept)/2261", "2261")</f>
        <v>0</v>
      </c>
      <c r="N7369">
        <f>HYPERLINK("https://www.wikidata.org/wiki/Q8323934", "Q8323934")</f>
        <v>0</v>
      </c>
      <c r="O7369" t="s">
        <v>8449</v>
      </c>
      <c r="P7369" t="s">
        <v>20479</v>
      </c>
      <c r="Q7369" t="s">
        <v>20883</v>
      </c>
      <c r="R7369" t="s">
        <v>420</v>
      </c>
      <c r="S7369">
        <v>1495</v>
      </c>
    </row>
    <row r="7370" spans="1:19">
      <c r="A7370" t="s">
        <v>30</v>
      </c>
      <c r="B7370" t="s">
        <v>148</v>
      </c>
      <c r="C7370" t="s">
        <v>162</v>
      </c>
      <c r="D7370" t="s">
        <v>291</v>
      </c>
      <c r="E7370" t="s">
        <v>420</v>
      </c>
      <c r="F7370">
        <f>HYPERLINK("https://www.wikidata.org/wiki/Q33323082", "Q33323082")</f>
        <v>0</v>
      </c>
      <c r="G7370" t="s">
        <v>4060</v>
      </c>
      <c r="H7370" t="s">
        <v>8283</v>
      </c>
      <c r="I7370" t="s">
        <v>11087</v>
      </c>
      <c r="J7370" t="s">
        <v>14600</v>
      </c>
      <c r="K7370" t="s">
        <v>18938</v>
      </c>
      <c r="L7370">
        <f>HYPERLINK("https://www2.assemblee-nationale.fr/sycomore/fiche/(num_dept)/2263", "2263")</f>
        <v>0</v>
      </c>
      <c r="N7370">
        <f>HYPERLINK("https://www.wikidata.org/wiki/Q3371014", "Q3371014")</f>
        <v>0</v>
      </c>
      <c r="O7370" t="s">
        <v>20009</v>
      </c>
      <c r="P7370" t="s">
        <v>20459</v>
      </c>
      <c r="Q7370" t="s">
        <v>20883</v>
      </c>
      <c r="R7370" t="s">
        <v>420</v>
      </c>
      <c r="S7370">
        <v>1495</v>
      </c>
    </row>
    <row r="7371" spans="1:19">
      <c r="A7371" t="s">
        <v>30</v>
      </c>
      <c r="B7371" t="s">
        <v>148</v>
      </c>
      <c r="C7371" t="s">
        <v>162</v>
      </c>
      <c r="D7371" t="s">
        <v>291</v>
      </c>
      <c r="E7371" t="s">
        <v>420</v>
      </c>
      <c r="F7371">
        <f>HYPERLINK("https://www.wikidata.org/wiki/Q33323082", "Q33323082")</f>
        <v>0</v>
      </c>
      <c r="G7371" t="s">
        <v>3762</v>
      </c>
      <c r="H7371" t="s">
        <v>8060</v>
      </c>
      <c r="I7371" t="s">
        <v>9895</v>
      </c>
      <c r="J7371" t="s">
        <v>14333</v>
      </c>
      <c r="K7371" t="s">
        <v>18624</v>
      </c>
      <c r="L7371">
        <f>HYPERLINK("https://www2.assemblee-nationale.fr/sycomore/fiche/(num_dept)/2267", "2267")</f>
        <v>0</v>
      </c>
      <c r="N7371">
        <f>HYPERLINK("https://www.wikidata.org/wiki/Q16025545", "Q16025545")</f>
        <v>0</v>
      </c>
      <c r="O7371" t="s">
        <v>19999</v>
      </c>
      <c r="P7371" t="s">
        <v>20401</v>
      </c>
      <c r="Q7371" t="s">
        <v>20883</v>
      </c>
      <c r="R7371" t="s">
        <v>18624</v>
      </c>
      <c r="S7371">
        <v>1339</v>
      </c>
    </row>
    <row r="7372" spans="1:19">
      <c r="A7372" t="s">
        <v>30</v>
      </c>
      <c r="B7372" t="s">
        <v>148</v>
      </c>
      <c r="C7372" t="s">
        <v>162</v>
      </c>
      <c r="D7372" t="s">
        <v>291</v>
      </c>
      <c r="E7372" t="s">
        <v>420</v>
      </c>
      <c r="F7372">
        <f>HYPERLINK("https://www.wikidata.org/wiki/Q33323082", "Q33323082")</f>
        <v>0</v>
      </c>
      <c r="G7372" t="s">
        <v>3906</v>
      </c>
      <c r="H7372" t="s">
        <v>8164</v>
      </c>
      <c r="I7372" t="s">
        <v>9523</v>
      </c>
      <c r="J7372" t="s">
        <v>14463</v>
      </c>
      <c r="K7372" t="s">
        <v>16468</v>
      </c>
      <c r="L7372">
        <f>HYPERLINK("https://www2.assemblee-nationale.fr/sycomore/fiche/(num_dept)/2277", "2277")</f>
        <v>0</v>
      </c>
      <c r="N7372">
        <f>HYPERLINK("https://www.wikidata.org/wiki/Q16011118", "Q16011118")</f>
        <v>0</v>
      </c>
      <c r="O7372" t="s">
        <v>20013</v>
      </c>
      <c r="P7372" t="s">
        <v>20457</v>
      </c>
      <c r="Q7372" t="s">
        <v>20883</v>
      </c>
      <c r="R7372" t="s">
        <v>420</v>
      </c>
      <c r="S7372">
        <v>1495</v>
      </c>
    </row>
    <row r="7373" spans="1:19">
      <c r="A7373" t="s">
        <v>30</v>
      </c>
      <c r="B7373" t="s">
        <v>148</v>
      </c>
      <c r="C7373" t="s">
        <v>162</v>
      </c>
      <c r="D7373" t="s">
        <v>291</v>
      </c>
      <c r="E7373" t="s">
        <v>420</v>
      </c>
      <c r="F7373">
        <f>HYPERLINK("https://www.wikidata.org/wiki/Q33323082", "Q33323082")</f>
        <v>0</v>
      </c>
      <c r="G7373" t="s">
        <v>3763</v>
      </c>
      <c r="H7373" t="s">
        <v>8061</v>
      </c>
      <c r="I7373" t="s">
        <v>10967</v>
      </c>
      <c r="J7373" t="s">
        <v>14334</v>
      </c>
      <c r="K7373" t="s">
        <v>18687</v>
      </c>
      <c r="L7373">
        <f>HYPERLINK("https://www2.assemblee-nationale.fr/sycomore/fiche/(num_dept)/2280", "2280")</f>
        <v>0</v>
      </c>
      <c r="N7373">
        <f>HYPERLINK("https://www.wikidata.org/wiki/Q3056919", "Q3056919")</f>
        <v>0</v>
      </c>
      <c r="O7373" t="s">
        <v>20026</v>
      </c>
      <c r="P7373" t="s">
        <v>20471</v>
      </c>
      <c r="Q7373" t="s">
        <v>20883</v>
      </c>
      <c r="R7373" t="s">
        <v>420</v>
      </c>
      <c r="S7373">
        <v>1495</v>
      </c>
    </row>
    <row r="7374" spans="1:19">
      <c r="A7374" t="s">
        <v>30</v>
      </c>
      <c r="B7374" t="s">
        <v>148</v>
      </c>
      <c r="C7374" t="s">
        <v>162</v>
      </c>
      <c r="D7374" t="s">
        <v>291</v>
      </c>
      <c r="E7374" t="s">
        <v>420</v>
      </c>
      <c r="F7374">
        <f>HYPERLINK("https://www.wikidata.org/wiki/Q33323082", "Q33323082")</f>
        <v>0</v>
      </c>
      <c r="G7374" t="s">
        <v>608</v>
      </c>
      <c r="H7374" t="s">
        <v>5368</v>
      </c>
      <c r="I7374" t="s">
        <v>9451</v>
      </c>
      <c r="J7374" t="s">
        <v>11359</v>
      </c>
      <c r="K7374" t="s">
        <v>15760</v>
      </c>
      <c r="L7374">
        <f>HYPERLINK("https://www2.assemblee-nationale.fr/sycomore/fiche/(num_dept)/2283", "2283")</f>
        <v>0</v>
      </c>
      <c r="N7374">
        <f>HYPERLINK("https://www.wikidata.org/wiki/Q503827", "Q503827")</f>
        <v>0</v>
      </c>
      <c r="O7374" t="s">
        <v>20019</v>
      </c>
      <c r="P7374" t="s">
        <v>20401</v>
      </c>
      <c r="Q7374" t="s">
        <v>20883</v>
      </c>
      <c r="R7374" t="s">
        <v>420</v>
      </c>
      <c r="S7374">
        <v>1495</v>
      </c>
    </row>
    <row r="7375" spans="1:19">
      <c r="A7375" t="s">
        <v>30</v>
      </c>
      <c r="B7375" t="s">
        <v>148</v>
      </c>
      <c r="C7375" t="s">
        <v>162</v>
      </c>
      <c r="D7375" t="s">
        <v>291</v>
      </c>
      <c r="E7375" t="s">
        <v>420</v>
      </c>
      <c r="F7375">
        <f>HYPERLINK("https://www.wikidata.org/wiki/Q33323082", "Q33323082")</f>
        <v>0</v>
      </c>
      <c r="G7375" t="s">
        <v>609</v>
      </c>
      <c r="H7375" t="s">
        <v>5369</v>
      </c>
      <c r="I7375" t="s">
        <v>9401</v>
      </c>
      <c r="J7375" t="s">
        <v>11360</v>
      </c>
      <c r="K7375" t="s">
        <v>15761</v>
      </c>
      <c r="L7375">
        <f>HYPERLINK("https://www2.assemblee-nationale.fr/sycomore/fiche/(num_dept)/2289", "2289")</f>
        <v>0</v>
      </c>
      <c r="N7375">
        <f>HYPERLINK("https://www.wikidata.org/wiki/Q16025548", "Q16025548")</f>
        <v>0</v>
      </c>
      <c r="O7375" t="s">
        <v>19988</v>
      </c>
      <c r="P7375" t="s">
        <v>20401</v>
      </c>
      <c r="Q7375" t="s">
        <v>20883</v>
      </c>
      <c r="R7375" t="s">
        <v>420</v>
      </c>
      <c r="S7375">
        <v>1495</v>
      </c>
    </row>
    <row r="7376" spans="1:19">
      <c r="A7376" t="s">
        <v>30</v>
      </c>
      <c r="B7376" t="s">
        <v>148</v>
      </c>
      <c r="C7376" t="s">
        <v>162</v>
      </c>
      <c r="D7376" t="s">
        <v>291</v>
      </c>
      <c r="E7376" t="s">
        <v>420</v>
      </c>
      <c r="F7376">
        <f>HYPERLINK("https://www.wikidata.org/wiki/Q33323082", "Q33323082")</f>
        <v>0</v>
      </c>
      <c r="G7376" t="s">
        <v>611</v>
      </c>
      <c r="H7376" t="s">
        <v>5371</v>
      </c>
      <c r="I7376" t="s">
        <v>9452</v>
      </c>
      <c r="J7376" t="s">
        <v>11362</v>
      </c>
      <c r="K7376" t="s">
        <v>15763</v>
      </c>
      <c r="L7376">
        <f>HYPERLINK("https://www2.assemblee-nationale.fr/sycomore/fiche/(num_dept)/2311", "2311")</f>
        <v>0</v>
      </c>
      <c r="N7376">
        <f>HYPERLINK("https://www.wikidata.org/wiki/Q16025554", "Q16025554")</f>
        <v>0</v>
      </c>
      <c r="O7376" t="s">
        <v>20020</v>
      </c>
      <c r="P7376" t="s">
        <v>20477</v>
      </c>
      <c r="Q7376" t="s">
        <v>20883</v>
      </c>
      <c r="R7376" t="s">
        <v>420</v>
      </c>
      <c r="S7376">
        <v>1495</v>
      </c>
    </row>
    <row r="7377" spans="1:19">
      <c r="A7377" t="s">
        <v>30</v>
      </c>
      <c r="B7377" t="s">
        <v>148</v>
      </c>
      <c r="C7377" t="s">
        <v>162</v>
      </c>
      <c r="D7377" t="s">
        <v>291</v>
      </c>
      <c r="E7377" t="s">
        <v>420</v>
      </c>
      <c r="F7377">
        <f>HYPERLINK("https://www.wikidata.org/wiki/Q33323082", "Q33323082")</f>
        <v>0</v>
      </c>
      <c r="G7377" t="s">
        <v>3764</v>
      </c>
      <c r="H7377" t="s">
        <v>8062</v>
      </c>
      <c r="I7377" t="s">
        <v>9388</v>
      </c>
      <c r="J7377" t="s">
        <v>14335</v>
      </c>
      <c r="K7377" t="s">
        <v>18688</v>
      </c>
      <c r="L7377">
        <f>HYPERLINK("https://www2.assemblee-nationale.fr/sycomore/fiche/(num_dept)/2325", "2325")</f>
        <v>0</v>
      </c>
      <c r="N7377">
        <f>HYPERLINK("https://www.wikidata.org/wiki/Q3371024", "Q3371024")</f>
        <v>0</v>
      </c>
      <c r="O7377" t="s">
        <v>20033</v>
      </c>
      <c r="P7377" t="s">
        <v>20479</v>
      </c>
      <c r="Q7377" t="s">
        <v>20883</v>
      </c>
      <c r="R7377" t="s">
        <v>420</v>
      </c>
      <c r="S7377">
        <v>1495</v>
      </c>
    </row>
    <row r="7378" spans="1:19">
      <c r="A7378" t="s">
        <v>30</v>
      </c>
      <c r="B7378" t="s">
        <v>148</v>
      </c>
      <c r="C7378" t="s">
        <v>162</v>
      </c>
      <c r="D7378" t="s">
        <v>291</v>
      </c>
      <c r="E7378" t="s">
        <v>420</v>
      </c>
      <c r="F7378">
        <f>HYPERLINK("https://www.wikidata.org/wiki/Q33323082", "Q33323082")</f>
        <v>0</v>
      </c>
      <c r="G7378" t="s">
        <v>3673</v>
      </c>
      <c r="H7378" t="s">
        <v>8000</v>
      </c>
      <c r="I7378" t="s">
        <v>7642</v>
      </c>
      <c r="J7378" t="s">
        <v>14252</v>
      </c>
      <c r="K7378" t="s">
        <v>18611</v>
      </c>
      <c r="L7378">
        <f>HYPERLINK("https://www2.assemblee-nationale.fr/sycomore/fiche/(num_dept)/2367", "2367")</f>
        <v>0</v>
      </c>
      <c r="N7378">
        <f>HYPERLINK("https://www.wikidata.org/wiki/Q8334443", "Q8334443")</f>
        <v>0</v>
      </c>
      <c r="O7378" t="s">
        <v>20015</v>
      </c>
      <c r="P7378" t="s">
        <v>20471</v>
      </c>
      <c r="Q7378" t="s">
        <v>20883</v>
      </c>
      <c r="R7378" t="s">
        <v>420</v>
      </c>
      <c r="S7378">
        <v>1495</v>
      </c>
    </row>
    <row r="7379" spans="1:19">
      <c r="A7379" t="s">
        <v>30</v>
      </c>
      <c r="B7379" t="s">
        <v>148</v>
      </c>
      <c r="C7379" t="s">
        <v>162</v>
      </c>
      <c r="D7379" t="s">
        <v>291</v>
      </c>
      <c r="E7379" t="s">
        <v>420</v>
      </c>
      <c r="F7379">
        <f>HYPERLINK("https://www.wikidata.org/wiki/Q33323082", "Q33323082")</f>
        <v>0</v>
      </c>
      <c r="G7379" t="s">
        <v>3969</v>
      </c>
      <c r="H7379" t="s">
        <v>5834</v>
      </c>
      <c r="I7379" t="s">
        <v>7911</v>
      </c>
      <c r="J7379" t="s">
        <v>14518</v>
      </c>
      <c r="K7379" t="s">
        <v>18862</v>
      </c>
      <c r="L7379">
        <f>HYPERLINK("https://www2.assemblee-nationale.fr/sycomore/fiche/(num_dept)/2379", "2379")</f>
        <v>0</v>
      </c>
      <c r="N7379">
        <f>HYPERLINK("https://www.wikidata.org/wiki/Q16025564", "Q16025564")</f>
        <v>0</v>
      </c>
      <c r="O7379" t="s">
        <v>20037</v>
      </c>
      <c r="P7379" t="s">
        <v>20409</v>
      </c>
      <c r="Q7379" t="s">
        <v>20883</v>
      </c>
      <c r="R7379" t="s">
        <v>18862</v>
      </c>
      <c r="S7379">
        <v>551</v>
      </c>
    </row>
    <row r="7380" spans="1:19">
      <c r="A7380" t="s">
        <v>30</v>
      </c>
      <c r="B7380" t="s">
        <v>148</v>
      </c>
      <c r="C7380" t="s">
        <v>162</v>
      </c>
      <c r="D7380" t="s">
        <v>291</v>
      </c>
      <c r="E7380" t="s">
        <v>420</v>
      </c>
      <c r="F7380">
        <f>HYPERLINK("https://www.wikidata.org/wiki/Q33323082", "Q33323082")</f>
        <v>0</v>
      </c>
      <c r="G7380" t="s">
        <v>3697</v>
      </c>
      <c r="H7380" t="s">
        <v>5834</v>
      </c>
      <c r="I7380" t="s">
        <v>9533</v>
      </c>
      <c r="J7380" t="s">
        <v>14272</v>
      </c>
      <c r="K7380" t="s">
        <v>18631</v>
      </c>
      <c r="L7380">
        <f>HYPERLINK("https://www2.assemblee-nationale.fr/sycomore/fiche/(num_dept)/2382", "2382")</f>
        <v>0</v>
      </c>
      <c r="N7380">
        <f>HYPERLINK("https://www.wikidata.org/wiki/Q3526409", "Q3526409")</f>
        <v>0</v>
      </c>
      <c r="O7380" t="s">
        <v>19995</v>
      </c>
      <c r="P7380" t="s">
        <v>20471</v>
      </c>
      <c r="Q7380" t="s">
        <v>20883</v>
      </c>
      <c r="R7380" t="s">
        <v>420</v>
      </c>
      <c r="S7380">
        <v>1495</v>
      </c>
    </row>
    <row r="7381" spans="1:19">
      <c r="A7381" t="s">
        <v>30</v>
      </c>
      <c r="B7381" t="s">
        <v>148</v>
      </c>
      <c r="C7381" t="s">
        <v>162</v>
      </c>
      <c r="D7381" t="s">
        <v>291</v>
      </c>
      <c r="E7381" t="s">
        <v>420</v>
      </c>
      <c r="F7381">
        <f>HYPERLINK("https://www.wikidata.org/wiki/Q33323082", "Q33323082")</f>
        <v>0</v>
      </c>
      <c r="G7381" t="s">
        <v>4020</v>
      </c>
      <c r="H7381" t="s">
        <v>8254</v>
      </c>
      <c r="I7381" t="s">
        <v>9388</v>
      </c>
      <c r="J7381" t="s">
        <v>14564</v>
      </c>
      <c r="K7381" t="s">
        <v>18908</v>
      </c>
      <c r="L7381">
        <f>HYPERLINK("https://www2.assemblee-nationale.fr/sycomore/fiche/(num_dept)/2405", "2405")</f>
        <v>0</v>
      </c>
      <c r="N7381">
        <f>HYPERLINK("https://www.wikidata.org/wiki/Q3371045", "Q3371045")</f>
        <v>0</v>
      </c>
      <c r="O7381" t="s">
        <v>19984</v>
      </c>
      <c r="P7381" t="s">
        <v>20479</v>
      </c>
      <c r="Q7381" t="s">
        <v>20883</v>
      </c>
      <c r="R7381" t="s">
        <v>420</v>
      </c>
      <c r="S7381">
        <v>1495</v>
      </c>
    </row>
    <row r="7382" spans="1:19">
      <c r="A7382" t="s">
        <v>30</v>
      </c>
      <c r="B7382" t="s">
        <v>148</v>
      </c>
      <c r="C7382" t="s">
        <v>162</v>
      </c>
      <c r="D7382" t="s">
        <v>291</v>
      </c>
      <c r="E7382" t="s">
        <v>420</v>
      </c>
      <c r="F7382">
        <f>HYPERLINK("https://www.wikidata.org/wiki/Q33323082", "Q33323082")</f>
        <v>0</v>
      </c>
      <c r="G7382" t="s">
        <v>3880</v>
      </c>
      <c r="H7382" t="s">
        <v>8143</v>
      </c>
      <c r="I7382" t="s">
        <v>9457</v>
      </c>
      <c r="J7382" t="s">
        <v>14438</v>
      </c>
      <c r="K7382" t="s">
        <v>18789</v>
      </c>
      <c r="L7382">
        <f>HYPERLINK("https://www2.assemblee-nationale.fr/sycomore/fiche/(num_dept)/2410", "2410")</f>
        <v>0</v>
      </c>
      <c r="N7382">
        <f>HYPERLINK("https://www.wikidata.org/wiki/Q3130959", "Q3130959")</f>
        <v>0</v>
      </c>
      <c r="O7382" t="s">
        <v>19964</v>
      </c>
      <c r="P7382" t="s">
        <v>20502</v>
      </c>
      <c r="Q7382" t="s">
        <v>20883</v>
      </c>
      <c r="R7382" t="s">
        <v>18789</v>
      </c>
      <c r="S7382">
        <v>528</v>
      </c>
    </row>
    <row r="7383" spans="1:19">
      <c r="A7383" t="s">
        <v>30</v>
      </c>
      <c r="B7383" t="s">
        <v>148</v>
      </c>
      <c r="C7383" t="s">
        <v>162</v>
      </c>
      <c r="D7383" t="s">
        <v>291</v>
      </c>
      <c r="E7383" t="s">
        <v>420</v>
      </c>
      <c r="F7383">
        <f>HYPERLINK("https://www.wikidata.org/wiki/Q33323082", "Q33323082")</f>
        <v>0</v>
      </c>
      <c r="G7383" t="s">
        <v>929</v>
      </c>
      <c r="H7383" t="s">
        <v>5685</v>
      </c>
      <c r="I7383" t="s">
        <v>9465</v>
      </c>
      <c r="J7383" t="s">
        <v>11671</v>
      </c>
      <c r="K7383" t="s">
        <v>16072</v>
      </c>
      <c r="L7383">
        <f>HYPERLINK("https://www2.assemblee-nationale.fr/sycomore/fiche/(num_dept)/2411", "2411")</f>
        <v>0</v>
      </c>
      <c r="N7383">
        <f>HYPERLINK("https://www.wikidata.org/wiki/Q16025569", "Q16025569")</f>
        <v>0</v>
      </c>
      <c r="O7383" t="s">
        <v>20026</v>
      </c>
      <c r="P7383" t="s">
        <v>20477</v>
      </c>
      <c r="Q7383" t="s">
        <v>20883</v>
      </c>
      <c r="R7383" t="s">
        <v>420</v>
      </c>
      <c r="S7383">
        <v>1495</v>
      </c>
    </row>
    <row r="7384" spans="1:19">
      <c r="A7384" t="s">
        <v>30</v>
      </c>
      <c r="B7384" t="s">
        <v>148</v>
      </c>
      <c r="C7384" t="s">
        <v>162</v>
      </c>
      <c r="D7384" t="s">
        <v>291</v>
      </c>
      <c r="E7384" t="s">
        <v>420</v>
      </c>
      <c r="F7384">
        <f>HYPERLINK("https://www.wikidata.org/wiki/Q33323082", "Q33323082")</f>
        <v>0</v>
      </c>
      <c r="G7384" t="s">
        <v>613</v>
      </c>
      <c r="H7384" t="s">
        <v>5373</v>
      </c>
      <c r="I7384" t="s">
        <v>9388</v>
      </c>
      <c r="J7384" t="s">
        <v>11364</v>
      </c>
      <c r="K7384" t="s">
        <v>15765</v>
      </c>
      <c r="L7384">
        <f>HYPERLINK("https://www2.assemblee-nationale.fr/sycomore/fiche/(num_dept)/2425", "2425")</f>
        <v>0</v>
      </c>
      <c r="M7384">
        <f>HYPERLINK("https://www.senat.fr/senateur-3eme-republique/deschanel_paul0768r3.html", "deschanel_paul0768r3")</f>
        <v>0</v>
      </c>
      <c r="N7384">
        <f>HYPERLINK("https://www.wikidata.org/wiki/Q309995", "Q309995")</f>
        <v>0</v>
      </c>
      <c r="O7384" t="s">
        <v>19971</v>
      </c>
      <c r="P7384" t="s">
        <v>20479</v>
      </c>
      <c r="Q7384" t="s">
        <v>20883</v>
      </c>
      <c r="R7384" t="s">
        <v>420</v>
      </c>
      <c r="S7384">
        <v>1495</v>
      </c>
    </row>
    <row r="7385" spans="1:19">
      <c r="A7385" t="s">
        <v>30</v>
      </c>
      <c r="B7385" t="s">
        <v>148</v>
      </c>
      <c r="C7385" t="s">
        <v>162</v>
      </c>
      <c r="D7385" t="s">
        <v>291</v>
      </c>
      <c r="E7385" t="s">
        <v>420</v>
      </c>
      <c r="F7385">
        <f>HYPERLINK("https://www.wikidata.org/wiki/Q33323082", "Q33323082")</f>
        <v>0</v>
      </c>
      <c r="G7385" t="s">
        <v>3766</v>
      </c>
      <c r="H7385" t="s">
        <v>8064</v>
      </c>
      <c r="I7385" t="s">
        <v>10017</v>
      </c>
      <c r="J7385" t="s">
        <v>14337</v>
      </c>
      <c r="K7385" t="s">
        <v>16165</v>
      </c>
      <c r="L7385">
        <f>HYPERLINK("https://www2.assemblee-nationale.fr/sycomore/fiche/(num_dept)/2431", "2431")</f>
        <v>0</v>
      </c>
      <c r="N7385">
        <f>HYPERLINK("https://www.wikidata.org/wiki/Q2857112", "Q2857112")</f>
        <v>0</v>
      </c>
      <c r="O7385" t="s">
        <v>19979</v>
      </c>
      <c r="P7385" t="s">
        <v>20406</v>
      </c>
      <c r="Q7385" t="s">
        <v>20883</v>
      </c>
      <c r="R7385" t="s">
        <v>420</v>
      </c>
      <c r="S7385">
        <v>1495</v>
      </c>
    </row>
    <row r="7386" spans="1:19">
      <c r="A7386" t="s">
        <v>30</v>
      </c>
      <c r="B7386" t="s">
        <v>148</v>
      </c>
      <c r="C7386" t="s">
        <v>162</v>
      </c>
      <c r="D7386" t="s">
        <v>291</v>
      </c>
      <c r="E7386" t="s">
        <v>420</v>
      </c>
      <c r="F7386">
        <f>HYPERLINK("https://www.wikidata.org/wiki/Q33323082", "Q33323082")</f>
        <v>0</v>
      </c>
      <c r="G7386" t="s">
        <v>3699</v>
      </c>
      <c r="H7386" t="s">
        <v>5973</v>
      </c>
      <c r="I7386" t="s">
        <v>9507</v>
      </c>
      <c r="J7386" t="s">
        <v>14274</v>
      </c>
      <c r="K7386" t="s">
        <v>18633</v>
      </c>
      <c r="L7386">
        <f>HYPERLINK("https://www2.assemblee-nationale.fr/sycomore/fiche/(num_dept)/2439", "2439")</f>
        <v>0</v>
      </c>
      <c r="N7386">
        <f>HYPERLINK("https://www.wikidata.org/wiki/Q3407773", "Q3407773")</f>
        <v>0</v>
      </c>
      <c r="O7386" t="s">
        <v>19972</v>
      </c>
      <c r="P7386" t="s">
        <v>20457</v>
      </c>
      <c r="Q7386" t="s">
        <v>20883</v>
      </c>
      <c r="R7386" t="s">
        <v>420</v>
      </c>
      <c r="S7386">
        <v>1495</v>
      </c>
    </row>
    <row r="7387" spans="1:19">
      <c r="A7387" t="s">
        <v>30</v>
      </c>
      <c r="B7387" t="s">
        <v>148</v>
      </c>
      <c r="C7387" t="s">
        <v>162</v>
      </c>
      <c r="D7387" t="s">
        <v>291</v>
      </c>
      <c r="E7387" t="s">
        <v>420</v>
      </c>
      <c r="F7387">
        <f>HYPERLINK("https://www.wikidata.org/wiki/Q33323082", "Q33323082")</f>
        <v>0</v>
      </c>
      <c r="G7387" t="s">
        <v>930</v>
      </c>
      <c r="H7387" t="s">
        <v>5686</v>
      </c>
      <c r="I7387" t="s">
        <v>9449</v>
      </c>
      <c r="J7387" t="s">
        <v>11672</v>
      </c>
      <c r="K7387" t="s">
        <v>371</v>
      </c>
      <c r="L7387">
        <f>HYPERLINK("https://www2.assemblee-nationale.fr/sycomore/fiche/(num_dept)/2443", "2443")</f>
        <v>0</v>
      </c>
      <c r="N7387">
        <f>HYPERLINK("https://www.wikidata.org/wiki/Q3188533", "Q3188533")</f>
        <v>0</v>
      </c>
      <c r="O7387" t="s">
        <v>20015</v>
      </c>
      <c r="P7387" t="s">
        <v>20410</v>
      </c>
      <c r="Q7387" t="s">
        <v>20883</v>
      </c>
      <c r="R7387" t="s">
        <v>420</v>
      </c>
      <c r="S7387">
        <v>1495</v>
      </c>
    </row>
    <row r="7388" spans="1:19">
      <c r="A7388" t="s">
        <v>30</v>
      </c>
      <c r="B7388" t="s">
        <v>148</v>
      </c>
      <c r="C7388" t="s">
        <v>162</v>
      </c>
      <c r="D7388" t="s">
        <v>291</v>
      </c>
      <c r="E7388" t="s">
        <v>420</v>
      </c>
      <c r="F7388">
        <f>HYPERLINK("https://www.wikidata.org/wiki/Q33323082", "Q33323082")</f>
        <v>0</v>
      </c>
      <c r="G7388" t="s">
        <v>932</v>
      </c>
      <c r="H7388" t="s">
        <v>5688</v>
      </c>
      <c r="I7388" t="s">
        <v>9593</v>
      </c>
      <c r="J7388" t="s">
        <v>11674</v>
      </c>
      <c r="K7388" t="s">
        <v>16074</v>
      </c>
      <c r="L7388">
        <f>HYPERLINK("https://www2.assemblee-nationale.fr/sycomore/fiche/(num_dept)/2477", "2477")</f>
        <v>0</v>
      </c>
      <c r="N7388">
        <f>HYPERLINK("https://www.wikidata.org/wiki/Q3293786", "Q3293786")</f>
        <v>0</v>
      </c>
      <c r="O7388" t="s">
        <v>20014</v>
      </c>
      <c r="P7388" t="s">
        <v>20485</v>
      </c>
      <c r="Q7388" t="s">
        <v>20883</v>
      </c>
      <c r="R7388" t="s">
        <v>420</v>
      </c>
      <c r="S7388">
        <v>1495</v>
      </c>
    </row>
    <row r="7389" spans="1:19">
      <c r="A7389" t="s">
        <v>30</v>
      </c>
      <c r="B7389" t="s">
        <v>148</v>
      </c>
      <c r="C7389" t="s">
        <v>162</v>
      </c>
      <c r="D7389" t="s">
        <v>291</v>
      </c>
      <c r="E7389" t="s">
        <v>420</v>
      </c>
      <c r="F7389">
        <f>HYPERLINK("https://www.wikidata.org/wiki/Q33323082", "Q33323082")</f>
        <v>0</v>
      </c>
      <c r="G7389" t="s">
        <v>616</v>
      </c>
      <c r="H7389" t="s">
        <v>5376</v>
      </c>
      <c r="I7389" t="s">
        <v>6584</v>
      </c>
      <c r="J7389" t="s">
        <v>11366</v>
      </c>
      <c r="K7389" t="s">
        <v>15768</v>
      </c>
      <c r="L7389">
        <f>HYPERLINK("https://www2.assemblee-nationale.fr/sycomore/fiche/(num_dept)/2521", "2521")</f>
        <v>0</v>
      </c>
      <c r="M7389">
        <f>HYPERLINK("https://www.senat.fr/senateur-3eme-republique/de_dion_albert1292r3.html", "de_dion_albert1292r3")</f>
        <v>0</v>
      </c>
      <c r="N7389">
        <f>HYPERLINK("https://www.wikidata.org/wiki/Q971548", "Q971548")</f>
        <v>0</v>
      </c>
      <c r="O7389" t="s">
        <v>20023</v>
      </c>
      <c r="P7389" t="s">
        <v>20409</v>
      </c>
      <c r="Q7389" t="s">
        <v>20883</v>
      </c>
      <c r="R7389" t="s">
        <v>420</v>
      </c>
      <c r="S7389">
        <v>1495</v>
      </c>
    </row>
    <row r="7390" spans="1:19">
      <c r="A7390" t="s">
        <v>30</v>
      </c>
      <c r="B7390" t="s">
        <v>148</v>
      </c>
      <c r="C7390" t="s">
        <v>162</v>
      </c>
      <c r="D7390" t="s">
        <v>291</v>
      </c>
      <c r="E7390" t="s">
        <v>420</v>
      </c>
      <c r="F7390">
        <f>HYPERLINK("https://www.wikidata.org/wiki/Q33323082", "Q33323082")</f>
        <v>0</v>
      </c>
      <c r="G7390" t="s">
        <v>3364</v>
      </c>
      <c r="H7390" t="s">
        <v>7761</v>
      </c>
      <c r="I7390" t="s">
        <v>9958</v>
      </c>
      <c r="J7390" t="s">
        <v>13976</v>
      </c>
      <c r="K7390" t="s">
        <v>18344</v>
      </c>
      <c r="L7390">
        <f>HYPERLINK("https://www2.assemblee-nationale.fr/sycomore/fiche/(num_dept)/2554", "2554")</f>
        <v>0</v>
      </c>
      <c r="N7390">
        <f>HYPERLINK("https://www.wikidata.org/wiki/Q16025605", "Q16025605")</f>
        <v>0</v>
      </c>
      <c r="O7390" t="s">
        <v>19997</v>
      </c>
      <c r="Q7390" t="s">
        <v>20883</v>
      </c>
      <c r="R7390" t="s">
        <v>18344</v>
      </c>
      <c r="S7390">
        <v>47</v>
      </c>
    </row>
    <row r="7391" spans="1:19">
      <c r="A7391" t="s">
        <v>30</v>
      </c>
      <c r="B7391" t="s">
        <v>148</v>
      </c>
      <c r="C7391" t="s">
        <v>162</v>
      </c>
      <c r="D7391" t="s">
        <v>291</v>
      </c>
      <c r="E7391" t="s">
        <v>420</v>
      </c>
      <c r="F7391">
        <f>HYPERLINK("https://www.wikidata.org/wiki/Q33323082", "Q33323082")</f>
        <v>0</v>
      </c>
      <c r="G7391" t="s">
        <v>3381</v>
      </c>
      <c r="H7391" t="s">
        <v>7773</v>
      </c>
      <c r="I7391" t="s">
        <v>9388</v>
      </c>
      <c r="J7391" t="s">
        <v>13991</v>
      </c>
      <c r="K7391" t="s">
        <v>18361</v>
      </c>
      <c r="L7391">
        <f>HYPERLINK("https://www2.assemblee-nationale.fr/sycomore/fiche/(num_dept)/2569", "2569")</f>
        <v>0</v>
      </c>
      <c r="M7391">
        <f>HYPERLINK("https://www.senat.fr/senateur-3eme-republique/doumer_paul0473r3.html", "doumer_paul0473r3")</f>
        <v>0</v>
      </c>
      <c r="N7391">
        <f>HYPERLINK("https://www.wikidata.org/wiki/Q12680", "Q12680")</f>
        <v>0</v>
      </c>
      <c r="O7391" t="s">
        <v>20015</v>
      </c>
      <c r="P7391" t="s">
        <v>20401</v>
      </c>
      <c r="Q7391" t="s">
        <v>20883</v>
      </c>
      <c r="R7391" t="s">
        <v>420</v>
      </c>
      <c r="S7391">
        <v>1495</v>
      </c>
    </row>
    <row r="7392" spans="1:19">
      <c r="A7392" t="s">
        <v>30</v>
      </c>
      <c r="B7392" t="s">
        <v>148</v>
      </c>
      <c r="C7392" t="s">
        <v>162</v>
      </c>
      <c r="D7392" t="s">
        <v>291</v>
      </c>
      <c r="E7392" t="s">
        <v>420</v>
      </c>
      <c r="F7392">
        <f>HYPERLINK("https://www.wikidata.org/wiki/Q33323082", "Q33323082")</f>
        <v>0</v>
      </c>
      <c r="G7392" t="s">
        <v>3819</v>
      </c>
      <c r="H7392" t="s">
        <v>8103</v>
      </c>
      <c r="I7392" t="s">
        <v>9470</v>
      </c>
      <c r="J7392" t="s">
        <v>14385</v>
      </c>
      <c r="K7392" t="s">
        <v>18737</v>
      </c>
      <c r="L7392">
        <f>HYPERLINK("https://www2.assemblee-nationale.fr/sycomore/fiche/(num_dept)/2570", "2570")</f>
        <v>0</v>
      </c>
      <c r="M7392">
        <f>HYPERLINK("https://www.senat.fr/senateur-3eme-republique/doumergue_gaston0833r3.html", "doumergue_gaston0833r3")</f>
        <v>0</v>
      </c>
      <c r="N7392">
        <f>HYPERLINK("https://www.wikidata.org/wiki/Q296064", "Q296064")</f>
        <v>0</v>
      </c>
      <c r="O7392" t="s">
        <v>20014</v>
      </c>
      <c r="P7392" t="s">
        <v>20477</v>
      </c>
      <c r="Q7392" t="s">
        <v>20883</v>
      </c>
      <c r="R7392" t="s">
        <v>420</v>
      </c>
      <c r="S7392">
        <v>1495</v>
      </c>
    </row>
    <row r="7393" spans="1:19">
      <c r="A7393" t="s">
        <v>30</v>
      </c>
      <c r="B7393" t="s">
        <v>148</v>
      </c>
      <c r="C7393" t="s">
        <v>162</v>
      </c>
      <c r="D7393" t="s">
        <v>291</v>
      </c>
      <c r="E7393" t="s">
        <v>420</v>
      </c>
      <c r="F7393">
        <f>HYPERLINK("https://www.wikidata.org/wiki/Q33323082", "Q33323082")</f>
        <v>0</v>
      </c>
      <c r="G7393" t="s">
        <v>3767</v>
      </c>
      <c r="H7393" t="s">
        <v>8065</v>
      </c>
      <c r="I7393" t="s">
        <v>10968</v>
      </c>
      <c r="J7393" t="s">
        <v>14338</v>
      </c>
      <c r="K7393" t="s">
        <v>18690</v>
      </c>
      <c r="L7393">
        <f>HYPERLINK("https://www2.assemblee-nationale.fr/sycomore/fiche/(num_dept)/2581", "2581")</f>
        <v>0</v>
      </c>
      <c r="N7393">
        <f>HYPERLINK("https://www.wikidata.org/wiki/Q3158769", "Q3158769")</f>
        <v>0</v>
      </c>
      <c r="O7393" t="s">
        <v>20008</v>
      </c>
      <c r="P7393" t="s">
        <v>20479</v>
      </c>
      <c r="Q7393" t="s">
        <v>20883</v>
      </c>
      <c r="R7393" t="s">
        <v>420</v>
      </c>
      <c r="S7393">
        <v>1495</v>
      </c>
    </row>
    <row r="7394" spans="1:19">
      <c r="A7394" t="s">
        <v>30</v>
      </c>
      <c r="B7394" t="s">
        <v>148</v>
      </c>
      <c r="C7394" t="s">
        <v>162</v>
      </c>
      <c r="D7394" t="s">
        <v>291</v>
      </c>
      <c r="E7394" t="s">
        <v>420</v>
      </c>
      <c r="F7394">
        <f>HYPERLINK("https://www.wikidata.org/wiki/Q33323082", "Q33323082")</f>
        <v>0</v>
      </c>
      <c r="G7394" t="s">
        <v>1165</v>
      </c>
      <c r="H7394" t="s">
        <v>5897</v>
      </c>
      <c r="I7394" t="s">
        <v>9446</v>
      </c>
      <c r="J7394" t="s">
        <v>11898</v>
      </c>
      <c r="K7394" t="s">
        <v>16300</v>
      </c>
      <c r="L7394">
        <f>HYPERLINK("https://www2.assemblee-nationale.fr/sycomore/fiche/(num_dept)/2610", "2610")</f>
        <v>0</v>
      </c>
      <c r="N7394">
        <f>HYPERLINK("https://www.wikidata.org/wiki/Q2646670", "Q2646670")</f>
        <v>0</v>
      </c>
      <c r="O7394" t="s">
        <v>19994</v>
      </c>
      <c r="P7394" t="s">
        <v>20477</v>
      </c>
      <c r="Q7394" t="s">
        <v>20883</v>
      </c>
      <c r="R7394" t="s">
        <v>420</v>
      </c>
      <c r="S7394">
        <v>1495</v>
      </c>
    </row>
    <row r="7395" spans="1:19">
      <c r="A7395" t="s">
        <v>30</v>
      </c>
      <c r="B7395" t="s">
        <v>148</v>
      </c>
      <c r="C7395" t="s">
        <v>162</v>
      </c>
      <c r="D7395" t="s">
        <v>291</v>
      </c>
      <c r="E7395" t="s">
        <v>420</v>
      </c>
      <c r="F7395">
        <f>HYPERLINK("https://www.wikidata.org/wiki/Q33323082", "Q33323082")</f>
        <v>0</v>
      </c>
      <c r="G7395" t="s">
        <v>940</v>
      </c>
      <c r="H7395" t="s">
        <v>5696</v>
      </c>
      <c r="I7395" t="s">
        <v>6495</v>
      </c>
      <c r="J7395" t="s">
        <v>11681</v>
      </c>
      <c r="K7395" t="s">
        <v>16082</v>
      </c>
      <c r="L7395">
        <f>HYPERLINK("https://www2.assemblee-nationale.fr/sycomore/fiche/(num_dept)/2638", "2638")</f>
        <v>0</v>
      </c>
      <c r="N7395">
        <f>HYPERLINK("https://www.wikidata.org/wiki/Q3260420", "Q3260420")</f>
        <v>0</v>
      </c>
      <c r="O7395" t="s">
        <v>20011</v>
      </c>
      <c r="P7395" t="s">
        <v>20401</v>
      </c>
      <c r="Q7395" t="s">
        <v>20883</v>
      </c>
      <c r="R7395" t="s">
        <v>420</v>
      </c>
      <c r="S7395">
        <v>1495</v>
      </c>
    </row>
    <row r="7396" spans="1:19">
      <c r="A7396" t="s">
        <v>30</v>
      </c>
      <c r="B7396" t="s">
        <v>148</v>
      </c>
      <c r="C7396" t="s">
        <v>162</v>
      </c>
      <c r="D7396" t="s">
        <v>291</v>
      </c>
      <c r="E7396" t="s">
        <v>420</v>
      </c>
      <c r="F7396">
        <f>HYPERLINK("https://www.wikidata.org/wiki/Q33323082", "Q33323082")</f>
        <v>0</v>
      </c>
      <c r="G7396" t="s">
        <v>942</v>
      </c>
      <c r="H7396" t="s">
        <v>5698</v>
      </c>
      <c r="I7396" t="s">
        <v>9449</v>
      </c>
      <c r="J7396" t="s">
        <v>11683</v>
      </c>
      <c r="K7396" t="s">
        <v>16084</v>
      </c>
      <c r="L7396">
        <f>HYPERLINK("https://www2.assemblee-nationale.fr/sycomore/fiche/(num_dept)/2651", "2651")</f>
        <v>0</v>
      </c>
      <c r="M7396">
        <f>HYPERLINK("https://www.senat.fr/senateur-3eme-republique/duclaux_monteil_jules0135r3.html", "duclaux_monteil_jules0135r3")</f>
        <v>0</v>
      </c>
      <c r="N7396">
        <f>HYPERLINK("https://www.wikidata.org/wiki/Q3188550", "Q3188550")</f>
        <v>0</v>
      </c>
      <c r="O7396" t="s">
        <v>19991</v>
      </c>
      <c r="P7396" t="s">
        <v>20479</v>
      </c>
      <c r="Q7396" t="s">
        <v>20883</v>
      </c>
      <c r="R7396" t="s">
        <v>420</v>
      </c>
      <c r="S7396">
        <v>1495</v>
      </c>
    </row>
    <row r="7397" spans="1:19">
      <c r="A7397" t="s">
        <v>30</v>
      </c>
      <c r="B7397" t="s">
        <v>148</v>
      </c>
      <c r="C7397" t="s">
        <v>162</v>
      </c>
      <c r="D7397" t="s">
        <v>291</v>
      </c>
      <c r="E7397" t="s">
        <v>420</v>
      </c>
      <c r="F7397">
        <f>HYPERLINK("https://www.wikidata.org/wiki/Q33323082", "Q33323082")</f>
        <v>0</v>
      </c>
      <c r="G7397" t="s">
        <v>623</v>
      </c>
      <c r="H7397" t="s">
        <v>5383</v>
      </c>
      <c r="I7397" t="s">
        <v>5394</v>
      </c>
      <c r="J7397" t="s">
        <v>11373</v>
      </c>
      <c r="K7397" t="s">
        <v>15775</v>
      </c>
      <c r="L7397">
        <f>HYPERLINK("https://www2.assemblee-nationale.fr/sycomore/fiche/(num_dept)/2685", "2685")</f>
        <v>0</v>
      </c>
      <c r="M7397">
        <f>HYPERLINK("https://www.senat.fr/senateur-3eme-republique/dujardin_beaumetz_henri0274r3.html", "dujardin_beaumetz_henri0274r3")</f>
        <v>0</v>
      </c>
      <c r="N7397">
        <f>HYPERLINK("https://www.wikidata.org/wiki/Q289596", "Q289596")</f>
        <v>0</v>
      </c>
      <c r="O7397" t="s">
        <v>19960</v>
      </c>
      <c r="P7397" t="s">
        <v>20401</v>
      </c>
      <c r="Q7397" t="s">
        <v>20883</v>
      </c>
      <c r="R7397" t="s">
        <v>420</v>
      </c>
      <c r="S7397">
        <v>1495</v>
      </c>
    </row>
    <row r="7398" spans="1:19">
      <c r="A7398" t="s">
        <v>30</v>
      </c>
      <c r="B7398" t="s">
        <v>148</v>
      </c>
      <c r="C7398" t="s">
        <v>162</v>
      </c>
      <c r="D7398" t="s">
        <v>291</v>
      </c>
      <c r="E7398" t="s">
        <v>420</v>
      </c>
      <c r="F7398">
        <f>HYPERLINK("https://www.wikidata.org/wiki/Q33323082", "Q33323082")</f>
        <v>0</v>
      </c>
      <c r="G7398" t="s">
        <v>624</v>
      </c>
      <c r="H7398" t="s">
        <v>5384</v>
      </c>
      <c r="I7398" t="s">
        <v>5349</v>
      </c>
      <c r="J7398" t="s">
        <v>11374</v>
      </c>
      <c r="K7398" t="s">
        <v>15776</v>
      </c>
      <c r="L7398">
        <f>HYPERLINK("https://www2.assemblee-nationale.fr/sycomore/fiche/(num_dept)/2686", "2686")</f>
        <v>0</v>
      </c>
      <c r="N7398">
        <f>HYPERLINK("https://www.wikidata.org/wiki/Q16025633", "Q16025633")</f>
        <v>0</v>
      </c>
      <c r="O7398" t="s">
        <v>19995</v>
      </c>
      <c r="P7398" t="s">
        <v>20402</v>
      </c>
      <c r="Q7398" t="s">
        <v>20883</v>
      </c>
      <c r="R7398" t="s">
        <v>420</v>
      </c>
      <c r="S7398">
        <v>1495</v>
      </c>
    </row>
    <row r="7399" spans="1:19">
      <c r="A7399" t="s">
        <v>30</v>
      </c>
      <c r="B7399" t="s">
        <v>148</v>
      </c>
      <c r="C7399" t="s">
        <v>162</v>
      </c>
      <c r="D7399" t="s">
        <v>291</v>
      </c>
      <c r="E7399" t="s">
        <v>420</v>
      </c>
      <c r="F7399">
        <f>HYPERLINK("https://www.wikidata.org/wiki/Q33323082", "Q33323082")</f>
        <v>0</v>
      </c>
      <c r="G7399" t="s">
        <v>948</v>
      </c>
      <c r="H7399" t="s">
        <v>5386</v>
      </c>
      <c r="I7399" t="s">
        <v>9385</v>
      </c>
      <c r="J7399" t="s">
        <v>11689</v>
      </c>
      <c r="K7399" t="s">
        <v>16090</v>
      </c>
      <c r="L7399">
        <f>HYPERLINK("https://www2.assemblee-nationale.fr/sycomore/fiche/(num_dept)/2702", "2702")</f>
        <v>0</v>
      </c>
      <c r="M7399">
        <f>HYPERLINK("https://www.senat.fr/senateur-3eme-republique/dumont_charles0432r3.html", "dumont_charles0432r3")</f>
        <v>0</v>
      </c>
      <c r="N7399">
        <f>HYPERLINK("https://www.wikidata.org/wiki/Q2958960", "Q2958960")</f>
        <v>0</v>
      </c>
      <c r="O7399" t="s">
        <v>20041</v>
      </c>
      <c r="P7399" t="s">
        <v>20401</v>
      </c>
      <c r="Q7399" t="s">
        <v>20883</v>
      </c>
      <c r="R7399" t="s">
        <v>420</v>
      </c>
      <c r="S7399">
        <v>1495</v>
      </c>
    </row>
    <row r="7400" spans="1:19">
      <c r="A7400" t="s">
        <v>30</v>
      </c>
      <c r="B7400" t="s">
        <v>148</v>
      </c>
      <c r="C7400" t="s">
        <v>162</v>
      </c>
      <c r="D7400" t="s">
        <v>291</v>
      </c>
      <c r="E7400" t="s">
        <v>420</v>
      </c>
      <c r="F7400">
        <f>HYPERLINK("https://www.wikidata.org/wiki/Q33323082", "Q33323082")</f>
        <v>0</v>
      </c>
      <c r="G7400" t="s">
        <v>627</v>
      </c>
      <c r="H7400" t="s">
        <v>5387</v>
      </c>
      <c r="I7400" t="s">
        <v>6860</v>
      </c>
      <c r="J7400" t="s">
        <v>11377</v>
      </c>
      <c r="K7400" t="s">
        <v>15779</v>
      </c>
      <c r="L7400">
        <f>HYPERLINK("https://www2.assemblee-nationale.fr/sycomore/fiche/(num_dept)/2743", "2743")</f>
        <v>0</v>
      </c>
      <c r="N7400">
        <f>HYPERLINK("https://www.wikidata.org/wiki/Q3384871", "Q3384871")</f>
        <v>0</v>
      </c>
      <c r="O7400" t="s">
        <v>19987</v>
      </c>
      <c r="P7400" t="s">
        <v>20457</v>
      </c>
      <c r="Q7400" t="s">
        <v>20883</v>
      </c>
      <c r="R7400" t="s">
        <v>420</v>
      </c>
      <c r="S7400">
        <v>1495</v>
      </c>
    </row>
    <row r="7401" spans="1:19">
      <c r="A7401" t="s">
        <v>30</v>
      </c>
      <c r="B7401" t="s">
        <v>148</v>
      </c>
      <c r="C7401" t="s">
        <v>162</v>
      </c>
      <c r="D7401" t="s">
        <v>291</v>
      </c>
      <c r="E7401" t="s">
        <v>420</v>
      </c>
      <c r="F7401">
        <f>HYPERLINK("https://www.wikidata.org/wiki/Q33323082", "Q33323082")</f>
        <v>0</v>
      </c>
      <c r="G7401" t="s">
        <v>629</v>
      </c>
      <c r="H7401" t="s">
        <v>5388</v>
      </c>
      <c r="I7401" t="s">
        <v>9462</v>
      </c>
      <c r="J7401" t="s">
        <v>11379</v>
      </c>
      <c r="K7401" t="s">
        <v>15781</v>
      </c>
      <c r="L7401">
        <f>HYPERLINK("https://www2.assemblee-nationale.fr/sycomore/fiche/(num_dept)/2758", "2758")</f>
        <v>0</v>
      </c>
      <c r="N7401">
        <f>HYPERLINK("https://www.wikidata.org/wiki/Q16025655", "Q16025655")</f>
        <v>0</v>
      </c>
      <c r="O7401" t="s">
        <v>19993</v>
      </c>
      <c r="P7401" t="s">
        <v>20401</v>
      </c>
      <c r="Q7401" t="s">
        <v>20883</v>
      </c>
      <c r="R7401" t="s">
        <v>420</v>
      </c>
      <c r="S7401">
        <v>1495</v>
      </c>
    </row>
    <row r="7402" spans="1:19">
      <c r="A7402" t="s">
        <v>30</v>
      </c>
      <c r="B7402" t="s">
        <v>148</v>
      </c>
      <c r="C7402" t="s">
        <v>162</v>
      </c>
      <c r="D7402" t="s">
        <v>291</v>
      </c>
      <c r="E7402" t="s">
        <v>420</v>
      </c>
      <c r="F7402">
        <f>HYPERLINK("https://www.wikidata.org/wiki/Q33323082", "Q33323082")</f>
        <v>0</v>
      </c>
      <c r="G7402" t="s">
        <v>4061</v>
      </c>
      <c r="H7402" t="s">
        <v>8284</v>
      </c>
      <c r="I7402" t="s">
        <v>10410</v>
      </c>
      <c r="J7402" t="s">
        <v>14601</v>
      </c>
      <c r="K7402" t="s">
        <v>18939</v>
      </c>
      <c r="L7402">
        <f>HYPERLINK("https://www2.assemblee-nationale.fr/sycomore/fiche/(num_dept)/2787", "2787")</f>
        <v>0</v>
      </c>
      <c r="N7402">
        <f>HYPERLINK("https://www.wikidata.org/wiki/Q8298461", "Q8298461")</f>
        <v>0</v>
      </c>
      <c r="O7402" t="s">
        <v>19988</v>
      </c>
      <c r="P7402" t="s">
        <v>20401</v>
      </c>
      <c r="Q7402" t="s">
        <v>20883</v>
      </c>
      <c r="R7402" t="s">
        <v>420</v>
      </c>
      <c r="S7402">
        <v>1495</v>
      </c>
    </row>
    <row r="7403" spans="1:19">
      <c r="A7403" t="s">
        <v>30</v>
      </c>
      <c r="B7403" t="s">
        <v>148</v>
      </c>
      <c r="C7403" t="s">
        <v>162</v>
      </c>
      <c r="D7403" t="s">
        <v>291</v>
      </c>
      <c r="E7403" t="s">
        <v>420</v>
      </c>
      <c r="F7403">
        <f>HYPERLINK("https://www.wikidata.org/wiki/Q33323082", "Q33323082")</f>
        <v>0</v>
      </c>
      <c r="G7403" t="s">
        <v>631</v>
      </c>
      <c r="H7403" t="s">
        <v>5390</v>
      </c>
      <c r="I7403" t="s">
        <v>7642</v>
      </c>
      <c r="J7403" t="s">
        <v>11381</v>
      </c>
      <c r="K7403" t="s">
        <v>15783</v>
      </c>
      <c r="L7403">
        <f>HYPERLINK("https://www2.assemblee-nationale.fr/sycomore/fiche/(num_dept)/2795", "2795")</f>
        <v>0</v>
      </c>
      <c r="N7403">
        <f>HYPERLINK("https://www.wikidata.org/wiki/Q3300740", "Q3300740")</f>
        <v>0</v>
      </c>
      <c r="O7403" t="s">
        <v>19984</v>
      </c>
      <c r="P7403" t="s">
        <v>20410</v>
      </c>
      <c r="Q7403" t="s">
        <v>20883</v>
      </c>
      <c r="R7403" t="s">
        <v>420</v>
      </c>
      <c r="S7403">
        <v>1495</v>
      </c>
    </row>
    <row r="7404" spans="1:19">
      <c r="A7404" t="s">
        <v>30</v>
      </c>
      <c r="B7404" t="s">
        <v>148</v>
      </c>
      <c r="C7404" t="s">
        <v>162</v>
      </c>
      <c r="D7404" t="s">
        <v>291</v>
      </c>
      <c r="E7404" t="s">
        <v>420</v>
      </c>
      <c r="F7404">
        <f>HYPERLINK("https://www.wikidata.org/wiki/Q33323082", "Q33323082")</f>
        <v>0</v>
      </c>
      <c r="G7404" t="s">
        <v>3434</v>
      </c>
      <c r="H7404" t="s">
        <v>7812</v>
      </c>
      <c r="I7404" t="s">
        <v>6154</v>
      </c>
      <c r="J7404" t="s">
        <v>14039</v>
      </c>
      <c r="K7404" t="s">
        <v>18406</v>
      </c>
      <c r="L7404">
        <f>HYPERLINK("https://www2.assemblee-nationale.fr/sycomore/fiche/(num_dept)/2818", "2818")</f>
        <v>0</v>
      </c>
      <c r="M7404">
        <f>HYPERLINK("https://www.senat.fr/senateur-3eme-republique/eliez_evrard_evrard1386r3.html", "eliez_evrard_evrard1386r3")</f>
        <v>0</v>
      </c>
      <c r="N7404">
        <f>HYPERLINK("https://www.wikidata.org/wiki/Q3061659", "Q3061659")</f>
        <v>0</v>
      </c>
      <c r="O7404" t="s">
        <v>20013</v>
      </c>
      <c r="P7404" t="s">
        <v>20457</v>
      </c>
      <c r="Q7404" t="s">
        <v>20883</v>
      </c>
      <c r="R7404" t="s">
        <v>21597</v>
      </c>
      <c r="S7404">
        <v>1362</v>
      </c>
    </row>
    <row r="7405" spans="1:19">
      <c r="A7405" t="s">
        <v>30</v>
      </c>
      <c r="B7405" t="s">
        <v>148</v>
      </c>
      <c r="C7405" t="s">
        <v>162</v>
      </c>
      <c r="D7405" t="s">
        <v>291</v>
      </c>
      <c r="E7405" t="s">
        <v>420</v>
      </c>
      <c r="F7405">
        <f>HYPERLINK("https://www.wikidata.org/wiki/Q33323082", "Q33323082")</f>
        <v>0</v>
      </c>
      <c r="G7405" t="s">
        <v>3435</v>
      </c>
      <c r="H7405" t="s">
        <v>7813</v>
      </c>
      <c r="I7405" t="s">
        <v>10827</v>
      </c>
      <c r="J7405" t="s">
        <v>11615</v>
      </c>
      <c r="K7405" t="s">
        <v>18407</v>
      </c>
      <c r="L7405">
        <f>HYPERLINK("https://www2.assemblee-nationale.fr/sycomore/fiche/(num_dept)/2823", "2823")</f>
        <v>0</v>
      </c>
      <c r="M7405">
        <f>HYPERLINK("https://www.senat.fr/senateur-3eme-republique/elva_christian0958r3.html", "elva_christian0958r3")</f>
        <v>0</v>
      </c>
      <c r="N7405">
        <f>HYPERLINK("https://www.wikidata.org/wiki/Q2965715", "Q2965715")</f>
        <v>0</v>
      </c>
      <c r="O7405" t="s">
        <v>19984</v>
      </c>
      <c r="Q7405" t="s">
        <v>20883</v>
      </c>
      <c r="R7405" t="s">
        <v>21593</v>
      </c>
      <c r="S7405">
        <v>1355</v>
      </c>
    </row>
    <row r="7406" spans="1:19">
      <c r="A7406" t="s">
        <v>30</v>
      </c>
      <c r="B7406" t="s">
        <v>148</v>
      </c>
      <c r="C7406" t="s">
        <v>162</v>
      </c>
      <c r="D7406" t="s">
        <v>291</v>
      </c>
      <c r="E7406" t="s">
        <v>420</v>
      </c>
      <c r="F7406">
        <f>HYPERLINK("https://www.wikidata.org/wiki/Q33323082", "Q33323082")</f>
        <v>0</v>
      </c>
      <c r="G7406" t="s">
        <v>4029</v>
      </c>
      <c r="H7406" t="s">
        <v>8261</v>
      </c>
      <c r="I7406" t="s">
        <v>11071</v>
      </c>
      <c r="J7406" t="s">
        <v>13694</v>
      </c>
      <c r="K7406" t="s">
        <v>18915</v>
      </c>
      <c r="L7406">
        <f>HYPERLINK("https://www2.assemblee-nationale.fr/sycomore/fiche/(num_dept)/2826", "2826")</f>
        <v>0</v>
      </c>
      <c r="M7406">
        <f>HYPERLINK("https://www.senat.fr/senateur-3eme-republique/empereur_cesar1301r3.html", "empereur_cesar1301r3")</f>
        <v>0</v>
      </c>
      <c r="N7406">
        <f>HYPERLINK("https://www.wikidata.org/wiki/Q3010447", "Q3010447")</f>
        <v>0</v>
      </c>
      <c r="O7406" t="s">
        <v>19988</v>
      </c>
      <c r="P7406" t="s">
        <v>20471</v>
      </c>
      <c r="Q7406" t="s">
        <v>20883</v>
      </c>
      <c r="R7406" t="s">
        <v>420</v>
      </c>
      <c r="S7406">
        <v>1495</v>
      </c>
    </row>
    <row r="7407" spans="1:19">
      <c r="A7407" t="s">
        <v>30</v>
      </c>
      <c r="B7407" t="s">
        <v>148</v>
      </c>
      <c r="C7407" t="s">
        <v>162</v>
      </c>
      <c r="D7407" t="s">
        <v>291</v>
      </c>
      <c r="E7407" t="s">
        <v>420</v>
      </c>
      <c r="F7407">
        <f>HYPERLINK("https://www.wikidata.org/wiki/Q33323082", "Q33323082")</f>
        <v>0</v>
      </c>
      <c r="G7407" t="s">
        <v>633</v>
      </c>
      <c r="H7407" t="s">
        <v>5392</v>
      </c>
      <c r="I7407" t="s">
        <v>9446</v>
      </c>
      <c r="J7407" t="s">
        <v>11383</v>
      </c>
      <c r="K7407" t="s">
        <v>15785</v>
      </c>
      <c r="L7407">
        <f>HYPERLINK("https://www2.assemblee-nationale.fr/sycomore/fiche/(num_dept)/2829", "2829")</f>
        <v>0</v>
      </c>
      <c r="N7407">
        <f>HYPERLINK("https://www.wikidata.org/wiki/Q3069139", "Q3069139")</f>
        <v>0</v>
      </c>
      <c r="O7407" t="s">
        <v>20009</v>
      </c>
      <c r="P7407" t="s">
        <v>20409</v>
      </c>
      <c r="Q7407" t="s">
        <v>20883</v>
      </c>
      <c r="R7407" t="s">
        <v>420</v>
      </c>
      <c r="S7407">
        <v>1495</v>
      </c>
    </row>
    <row r="7408" spans="1:19">
      <c r="A7408" t="s">
        <v>30</v>
      </c>
      <c r="B7408" t="s">
        <v>148</v>
      </c>
      <c r="C7408" t="s">
        <v>162</v>
      </c>
      <c r="D7408" t="s">
        <v>291</v>
      </c>
      <c r="E7408" t="s">
        <v>420</v>
      </c>
      <c r="F7408">
        <f>HYPERLINK("https://www.wikidata.org/wiki/Q33323082", "Q33323082")</f>
        <v>0</v>
      </c>
      <c r="G7408" t="s">
        <v>3871</v>
      </c>
      <c r="H7408" t="s">
        <v>8139</v>
      </c>
      <c r="I7408" t="s">
        <v>6175</v>
      </c>
      <c r="J7408" t="s">
        <v>14430</v>
      </c>
      <c r="K7408" t="s">
        <v>18782</v>
      </c>
      <c r="L7408">
        <f>HYPERLINK("https://www2.assemblee-nationale.fr/sycomore/fiche/(num_dept)/2833", "2833")</f>
        <v>0</v>
      </c>
      <c r="M7408">
        <f>HYPERLINK("https://www.senat.fr/senateur-3eme-republique/ermant_georges0030r3.html", "ermant_georges0030r3")</f>
        <v>0</v>
      </c>
      <c r="N7408">
        <f>HYPERLINK("https://www.wikidata.org/wiki/Q3102677", "Q3102677")</f>
        <v>0</v>
      </c>
      <c r="O7408" t="s">
        <v>20015</v>
      </c>
      <c r="P7408" t="s">
        <v>20411</v>
      </c>
      <c r="Q7408" t="s">
        <v>20883</v>
      </c>
      <c r="R7408" t="s">
        <v>21604</v>
      </c>
      <c r="S7408">
        <v>940</v>
      </c>
    </row>
    <row r="7409" spans="1:19">
      <c r="A7409" t="s">
        <v>30</v>
      </c>
      <c r="B7409" t="s">
        <v>148</v>
      </c>
      <c r="C7409" t="s">
        <v>162</v>
      </c>
      <c r="D7409" t="s">
        <v>291</v>
      </c>
      <c r="E7409" t="s">
        <v>420</v>
      </c>
      <c r="F7409">
        <f>HYPERLINK("https://www.wikidata.org/wiki/Q33323082", "Q33323082")</f>
        <v>0</v>
      </c>
      <c r="G7409" t="s">
        <v>2567</v>
      </c>
      <c r="H7409" t="s">
        <v>7124</v>
      </c>
      <c r="I7409" t="s">
        <v>9612</v>
      </c>
      <c r="J7409" t="s">
        <v>13211</v>
      </c>
      <c r="K7409" t="s">
        <v>17614</v>
      </c>
      <c r="L7409">
        <f>HYPERLINK("https://www2.assemblee-nationale.fr/sycomore/fiche/(num_dept)/2837", "2837")</f>
        <v>0</v>
      </c>
      <c r="N7409">
        <f>HYPERLINK("https://www.wikidata.org/wiki/Q16011198", "Q16011198")</f>
        <v>0</v>
      </c>
      <c r="O7409" t="s">
        <v>20001</v>
      </c>
      <c r="P7409" t="s">
        <v>20457</v>
      </c>
      <c r="Q7409" t="s">
        <v>20883</v>
      </c>
      <c r="R7409" t="s">
        <v>420</v>
      </c>
      <c r="S7409">
        <v>1495</v>
      </c>
    </row>
    <row r="7410" spans="1:19">
      <c r="A7410" t="s">
        <v>30</v>
      </c>
      <c r="B7410" t="s">
        <v>148</v>
      </c>
      <c r="C7410" t="s">
        <v>162</v>
      </c>
      <c r="D7410" t="s">
        <v>291</v>
      </c>
      <c r="E7410" t="s">
        <v>420</v>
      </c>
      <c r="F7410">
        <f>HYPERLINK("https://www.wikidata.org/wiki/Q33323082", "Q33323082")</f>
        <v>0</v>
      </c>
      <c r="G7410" t="s">
        <v>3842</v>
      </c>
      <c r="H7410" t="s">
        <v>8118</v>
      </c>
      <c r="I7410" t="s">
        <v>9388</v>
      </c>
      <c r="J7410" t="s">
        <v>13983</v>
      </c>
      <c r="K7410" t="s">
        <v>18756</v>
      </c>
      <c r="L7410">
        <f>HYPERLINK("https://www2.assemblee-nationale.fr/sycomore/fiche/(num_dept)/2856", "2856")</f>
        <v>0</v>
      </c>
      <c r="M7410">
        <f>HYPERLINK("https://www.senat.fr/senateur-3eme-republique/d_estournelles_de_constant_paul1252r3.html", "d_estournelles_de_constant_paul1252r3")</f>
        <v>0</v>
      </c>
      <c r="N7410">
        <f>HYPERLINK("https://www.wikidata.org/wiki/Q238731", "Q238731")</f>
        <v>0</v>
      </c>
      <c r="O7410" t="s">
        <v>19956</v>
      </c>
      <c r="P7410" t="s">
        <v>20457</v>
      </c>
      <c r="Q7410" t="s">
        <v>20883</v>
      </c>
      <c r="R7410" t="s">
        <v>21605</v>
      </c>
      <c r="S7410">
        <v>943</v>
      </c>
    </row>
    <row r="7411" spans="1:19">
      <c r="A7411" t="s">
        <v>30</v>
      </c>
      <c r="B7411" t="s">
        <v>148</v>
      </c>
      <c r="C7411" t="s">
        <v>162</v>
      </c>
      <c r="D7411" t="s">
        <v>291</v>
      </c>
      <c r="E7411" t="s">
        <v>420</v>
      </c>
      <c r="F7411">
        <f>HYPERLINK("https://www.wikidata.org/wiki/Q33323082", "Q33323082")</f>
        <v>0</v>
      </c>
      <c r="G7411" t="s">
        <v>635</v>
      </c>
      <c r="H7411" t="s">
        <v>5394</v>
      </c>
      <c r="I7411" t="s">
        <v>9465</v>
      </c>
      <c r="J7411" t="s">
        <v>11385</v>
      </c>
      <c r="K7411" t="s">
        <v>15787</v>
      </c>
      <c r="L7411">
        <f>HYPERLINK("https://www2.assemblee-nationale.fr/sycomore/fiche/(num_dept)/2861", "2861")</f>
        <v>0</v>
      </c>
      <c r="M7411">
        <f>HYPERLINK("https://www.senat.fr/senateur-3eme-republique/etienne_eugene1824r3.html", "etienne_eugene1824r3")</f>
        <v>0</v>
      </c>
      <c r="N7411">
        <f>HYPERLINK("https://www.wikidata.org/wiki/Q2612305", "Q2612305")</f>
        <v>0</v>
      </c>
      <c r="O7411" t="s">
        <v>20000</v>
      </c>
      <c r="P7411" t="s">
        <v>20457</v>
      </c>
      <c r="Q7411" t="s">
        <v>20883</v>
      </c>
      <c r="R7411" t="s">
        <v>420</v>
      </c>
      <c r="S7411">
        <v>1495</v>
      </c>
    </row>
    <row r="7412" spans="1:19">
      <c r="A7412" t="s">
        <v>30</v>
      </c>
      <c r="B7412" t="s">
        <v>148</v>
      </c>
      <c r="C7412" t="s">
        <v>162</v>
      </c>
      <c r="D7412" t="s">
        <v>291</v>
      </c>
      <c r="E7412" t="s">
        <v>420</v>
      </c>
      <c r="F7412">
        <f>HYPERLINK("https://www.wikidata.org/wiki/Q33323082", "Q33323082")</f>
        <v>0</v>
      </c>
      <c r="G7412" t="s">
        <v>637</v>
      </c>
      <c r="H7412" t="s">
        <v>5396</v>
      </c>
      <c r="I7412" t="s">
        <v>9466</v>
      </c>
      <c r="J7412" t="s">
        <v>11387</v>
      </c>
      <c r="K7412" t="s">
        <v>15789</v>
      </c>
      <c r="L7412">
        <f>HYPERLINK("https://www2.assemblee-nationale.fr/sycomore/fiche/(num_dept)/2892", "2892")</f>
        <v>0</v>
      </c>
      <c r="N7412">
        <f>HYPERLINK("https://www.wikidata.org/wiki/Q16025680", "Q16025680")</f>
        <v>0</v>
      </c>
      <c r="O7412" t="s">
        <v>19969</v>
      </c>
      <c r="P7412" t="s">
        <v>20409</v>
      </c>
      <c r="Q7412" t="s">
        <v>20883</v>
      </c>
      <c r="R7412" t="s">
        <v>420</v>
      </c>
      <c r="S7412">
        <v>1495</v>
      </c>
    </row>
    <row r="7413" spans="1:19">
      <c r="A7413" t="s">
        <v>30</v>
      </c>
      <c r="B7413" t="s">
        <v>148</v>
      </c>
      <c r="C7413" t="s">
        <v>162</v>
      </c>
      <c r="D7413" t="s">
        <v>291</v>
      </c>
      <c r="E7413" t="s">
        <v>420</v>
      </c>
      <c r="F7413">
        <f>HYPERLINK("https://www.wikidata.org/wiki/Q33323082", "Q33323082")</f>
        <v>0</v>
      </c>
      <c r="G7413" t="s">
        <v>3121</v>
      </c>
      <c r="H7413" t="s">
        <v>5397</v>
      </c>
      <c r="I7413" t="s">
        <v>9651</v>
      </c>
      <c r="J7413" t="s">
        <v>13743</v>
      </c>
      <c r="K7413" t="s">
        <v>282</v>
      </c>
      <c r="L7413">
        <f>HYPERLINK("https://www2.assemblee-nationale.fr/sycomore/fiche/(num_dept)/2933", "2933")</f>
        <v>0</v>
      </c>
      <c r="N7413">
        <f>HYPERLINK("https://www.wikidata.org/wiki/Q3300286", "Q3300286")</f>
        <v>0</v>
      </c>
      <c r="O7413" t="s">
        <v>20044</v>
      </c>
      <c r="Q7413" t="s">
        <v>20883</v>
      </c>
      <c r="R7413" t="s">
        <v>21606</v>
      </c>
      <c r="S7413">
        <v>211</v>
      </c>
    </row>
    <row r="7414" spans="1:19">
      <c r="A7414" t="s">
        <v>30</v>
      </c>
      <c r="B7414" t="s">
        <v>148</v>
      </c>
      <c r="C7414" t="s">
        <v>162</v>
      </c>
      <c r="D7414" t="s">
        <v>291</v>
      </c>
      <c r="E7414" t="s">
        <v>420</v>
      </c>
      <c r="F7414">
        <f>HYPERLINK("https://www.wikidata.org/wiki/Q33323082", "Q33323082")</f>
        <v>0</v>
      </c>
      <c r="G7414" t="s">
        <v>3975</v>
      </c>
      <c r="H7414" t="s">
        <v>8218</v>
      </c>
      <c r="I7414" t="s">
        <v>9507</v>
      </c>
      <c r="J7414" t="s">
        <v>14524</v>
      </c>
      <c r="K7414" t="s">
        <v>18868</v>
      </c>
      <c r="L7414">
        <f>HYPERLINK("https://www2.assemblee-nationale.fr/sycomore/fiche/(num_dept)/2974", "2974")</f>
        <v>0</v>
      </c>
      <c r="N7414">
        <f>HYPERLINK("https://www.wikidata.org/wiki/Q16025692", "Q16025692")</f>
        <v>0</v>
      </c>
      <c r="O7414" t="s">
        <v>20042</v>
      </c>
      <c r="P7414" t="s">
        <v>20485</v>
      </c>
      <c r="Q7414" t="s">
        <v>20883</v>
      </c>
      <c r="R7414" t="s">
        <v>420</v>
      </c>
      <c r="S7414">
        <v>1495</v>
      </c>
    </row>
    <row r="7415" spans="1:19">
      <c r="A7415" t="s">
        <v>30</v>
      </c>
      <c r="B7415" t="s">
        <v>148</v>
      </c>
      <c r="C7415" t="s">
        <v>162</v>
      </c>
      <c r="D7415" t="s">
        <v>291</v>
      </c>
      <c r="E7415" t="s">
        <v>420</v>
      </c>
      <c r="F7415">
        <f>HYPERLINK("https://www.wikidata.org/wiki/Q33323082", "Q33323082")</f>
        <v>0</v>
      </c>
      <c r="G7415" t="s">
        <v>1461</v>
      </c>
      <c r="H7415" t="s">
        <v>6161</v>
      </c>
      <c r="I7415" t="s">
        <v>9817</v>
      </c>
      <c r="J7415" t="s">
        <v>12180</v>
      </c>
      <c r="K7415" t="s">
        <v>16586</v>
      </c>
      <c r="L7415">
        <f>HYPERLINK("https://www2.assemblee-nationale.fr/sycomore/fiche/(num_dept)/2976", "2976")</f>
        <v>0</v>
      </c>
      <c r="N7415">
        <f>HYPERLINK("https://www.wikidata.org/wiki/Q3132776", "Q3132776")</f>
        <v>0</v>
      </c>
      <c r="O7415" t="s">
        <v>20030</v>
      </c>
      <c r="P7415" t="s">
        <v>20410</v>
      </c>
      <c r="Q7415" t="s">
        <v>20883</v>
      </c>
      <c r="R7415" t="s">
        <v>420</v>
      </c>
      <c r="S7415">
        <v>1495</v>
      </c>
    </row>
    <row r="7416" spans="1:19">
      <c r="A7416" t="s">
        <v>30</v>
      </c>
      <c r="B7416" t="s">
        <v>148</v>
      </c>
      <c r="C7416" t="s">
        <v>162</v>
      </c>
      <c r="D7416" t="s">
        <v>291</v>
      </c>
      <c r="E7416" t="s">
        <v>420</v>
      </c>
      <c r="F7416">
        <f>HYPERLINK("https://www.wikidata.org/wiki/Q33323082", "Q33323082")</f>
        <v>0</v>
      </c>
      <c r="G7416" t="s">
        <v>3701</v>
      </c>
      <c r="H7416" t="s">
        <v>8021</v>
      </c>
      <c r="I7416" t="s">
        <v>9426</v>
      </c>
      <c r="J7416" t="s">
        <v>14276</v>
      </c>
      <c r="K7416" t="s">
        <v>18635</v>
      </c>
      <c r="L7416">
        <f>HYPERLINK("https://www2.assemblee-nationale.fr/sycomore/fiche/(num_dept)/3013", "3013")</f>
        <v>0</v>
      </c>
      <c r="M7416">
        <f>HYPERLINK("https://www.senat.fr/senateur-3eme-republique/fiquet_alphonse1691r3.html", "fiquet_alphonse1691r3")</f>
        <v>0</v>
      </c>
      <c r="N7416">
        <f>HYPERLINK("https://www.wikidata.org/wiki/Q2839795", "Q2839795")</f>
        <v>0</v>
      </c>
      <c r="O7416" t="s">
        <v>20012</v>
      </c>
      <c r="P7416" t="s">
        <v>20402</v>
      </c>
      <c r="Q7416" t="s">
        <v>20883</v>
      </c>
      <c r="R7416" t="s">
        <v>420</v>
      </c>
      <c r="S7416">
        <v>1495</v>
      </c>
    </row>
    <row r="7417" spans="1:19">
      <c r="A7417" t="s">
        <v>30</v>
      </c>
      <c r="B7417" t="s">
        <v>148</v>
      </c>
      <c r="C7417" t="s">
        <v>162</v>
      </c>
      <c r="D7417" t="s">
        <v>291</v>
      </c>
      <c r="E7417" t="s">
        <v>420</v>
      </c>
      <c r="F7417">
        <f>HYPERLINK("https://www.wikidata.org/wiki/Q33323082", "Q33323082")</f>
        <v>0</v>
      </c>
      <c r="G7417" t="s">
        <v>642</v>
      </c>
      <c r="H7417" t="s">
        <v>5401</v>
      </c>
      <c r="I7417" t="s">
        <v>9407</v>
      </c>
      <c r="J7417" t="s">
        <v>11392</v>
      </c>
      <c r="K7417" t="s">
        <v>15794</v>
      </c>
      <c r="L7417">
        <f>HYPERLINK("https://www2.assemblee-nationale.fr/sycomore/fiche/(num_dept)/3017", "3017")</f>
        <v>0</v>
      </c>
      <c r="N7417">
        <f>HYPERLINK("https://www.wikidata.org/wiki/Q16025704", "Q16025704")</f>
        <v>0</v>
      </c>
      <c r="O7417" t="s">
        <v>20027</v>
      </c>
      <c r="P7417" t="s">
        <v>20477</v>
      </c>
      <c r="Q7417" t="s">
        <v>20883</v>
      </c>
      <c r="R7417" t="s">
        <v>420</v>
      </c>
      <c r="S7417">
        <v>1495</v>
      </c>
    </row>
    <row r="7418" spans="1:19">
      <c r="A7418" t="s">
        <v>30</v>
      </c>
      <c r="B7418" t="s">
        <v>148</v>
      </c>
      <c r="C7418" t="s">
        <v>162</v>
      </c>
      <c r="D7418" t="s">
        <v>291</v>
      </c>
      <c r="E7418" t="s">
        <v>420</v>
      </c>
      <c r="F7418">
        <f>HYPERLINK("https://www.wikidata.org/wiki/Q33323082", "Q33323082")</f>
        <v>0</v>
      </c>
      <c r="G7418" t="s">
        <v>3776</v>
      </c>
      <c r="H7418" t="s">
        <v>5402</v>
      </c>
      <c r="I7418" t="s">
        <v>9516</v>
      </c>
      <c r="J7418" t="s">
        <v>14346</v>
      </c>
      <c r="K7418" t="s">
        <v>18698</v>
      </c>
      <c r="L7418">
        <f>HYPERLINK("https://www2.assemblee-nationale.fr/sycomore/fiche/(num_dept)/3022", "3022")</f>
        <v>0</v>
      </c>
      <c r="M7418">
        <f>HYPERLINK("https://www.senat.fr/senateur-3eme-republique/flandin_etienne1832r3.html", "flandin_etienne1832r3")</f>
        <v>0</v>
      </c>
      <c r="N7418">
        <f>HYPERLINK("https://www.wikidata.org/wiki/Q3592162", "Q3592162")</f>
        <v>0</v>
      </c>
      <c r="O7418" t="s">
        <v>20034</v>
      </c>
      <c r="P7418" t="s">
        <v>20459</v>
      </c>
      <c r="Q7418" t="s">
        <v>20883</v>
      </c>
      <c r="R7418" t="s">
        <v>420</v>
      </c>
      <c r="S7418">
        <v>1495</v>
      </c>
    </row>
    <row r="7419" spans="1:19">
      <c r="A7419" t="s">
        <v>30</v>
      </c>
      <c r="B7419" t="s">
        <v>148</v>
      </c>
      <c r="C7419" t="s">
        <v>162</v>
      </c>
      <c r="D7419" t="s">
        <v>291</v>
      </c>
      <c r="E7419" t="s">
        <v>420</v>
      </c>
      <c r="F7419">
        <f>HYPERLINK("https://www.wikidata.org/wiki/Q33323082", "Q33323082")</f>
        <v>0</v>
      </c>
      <c r="G7419" t="s">
        <v>3375</v>
      </c>
      <c r="H7419" t="s">
        <v>7768</v>
      </c>
      <c r="I7419" t="s">
        <v>9437</v>
      </c>
      <c r="J7419" t="s">
        <v>13748</v>
      </c>
      <c r="K7419" t="s">
        <v>18355</v>
      </c>
      <c r="L7419">
        <f>HYPERLINK("https://www2.assemblee-nationale.fr/sycomore/fiche/(num_dept)/3038", "3038")</f>
        <v>0</v>
      </c>
      <c r="N7419">
        <f>HYPERLINK("https://www.wikidata.org/wiki/Q2602696", "Q2602696")</f>
        <v>0</v>
      </c>
      <c r="O7419" t="s">
        <v>19969</v>
      </c>
      <c r="P7419" t="s">
        <v>20479</v>
      </c>
      <c r="Q7419" t="s">
        <v>20883</v>
      </c>
      <c r="R7419" t="s">
        <v>420</v>
      </c>
      <c r="S7419">
        <v>1495</v>
      </c>
    </row>
    <row r="7420" spans="1:19">
      <c r="A7420" t="s">
        <v>30</v>
      </c>
      <c r="B7420" t="s">
        <v>148</v>
      </c>
      <c r="C7420" t="s">
        <v>162</v>
      </c>
      <c r="D7420" t="s">
        <v>291</v>
      </c>
      <c r="E7420" t="s">
        <v>420</v>
      </c>
      <c r="F7420">
        <f>HYPERLINK("https://www.wikidata.org/wiki/Q33323082", "Q33323082")</f>
        <v>0</v>
      </c>
      <c r="G7420" t="s">
        <v>1173</v>
      </c>
      <c r="H7420" t="s">
        <v>5904</v>
      </c>
      <c r="I7420" t="s">
        <v>9692</v>
      </c>
      <c r="J7420" t="s">
        <v>11906</v>
      </c>
      <c r="K7420" t="s">
        <v>16308</v>
      </c>
      <c r="L7420">
        <f>HYPERLINK("https://www2.assemblee-nationale.fr/sycomore/fiche/(num_dept)/3045", "3045")</f>
        <v>0</v>
      </c>
      <c r="M7420">
        <f>HYPERLINK("https://www.senat.fr/senateur-3eme-republique/de_fontaines_raymond1746r3.html", "de_fontaines_raymond1746r3")</f>
        <v>0</v>
      </c>
      <c r="N7420">
        <f>HYPERLINK("https://www.wikidata.org/wiki/Q3421220", "Q3421220")</f>
        <v>0</v>
      </c>
      <c r="O7420" t="s">
        <v>19972</v>
      </c>
      <c r="P7420" t="s">
        <v>20410</v>
      </c>
      <c r="Q7420" t="s">
        <v>20883</v>
      </c>
      <c r="R7420" t="s">
        <v>420</v>
      </c>
      <c r="S7420">
        <v>1495</v>
      </c>
    </row>
    <row r="7421" spans="1:19">
      <c r="A7421" t="s">
        <v>30</v>
      </c>
      <c r="B7421" t="s">
        <v>148</v>
      </c>
      <c r="C7421" t="s">
        <v>162</v>
      </c>
      <c r="D7421" t="s">
        <v>291</v>
      </c>
      <c r="E7421" t="s">
        <v>420</v>
      </c>
      <c r="F7421">
        <f>HYPERLINK("https://www.wikidata.org/wiki/Q33323082", "Q33323082")</f>
        <v>0</v>
      </c>
      <c r="G7421" t="s">
        <v>647</v>
      </c>
      <c r="H7421" t="s">
        <v>5406</v>
      </c>
      <c r="I7421" t="s">
        <v>6166</v>
      </c>
      <c r="J7421" t="s">
        <v>11397</v>
      </c>
      <c r="K7421" t="s">
        <v>15799</v>
      </c>
      <c r="L7421">
        <f>HYPERLINK("https://www2.assemblee-nationale.fr/sycomore/fiche/(num_dept)/3054", "3054")</f>
        <v>0</v>
      </c>
      <c r="N7421">
        <f>HYPERLINK("https://www.wikidata.org/wiki/Q3084624", "Q3084624")</f>
        <v>0</v>
      </c>
      <c r="O7421" t="s">
        <v>19961</v>
      </c>
      <c r="P7421" t="s">
        <v>20410</v>
      </c>
      <c r="Q7421" t="s">
        <v>20883</v>
      </c>
      <c r="R7421" t="s">
        <v>420</v>
      </c>
      <c r="S7421">
        <v>1495</v>
      </c>
    </row>
    <row r="7422" spans="1:19">
      <c r="A7422" t="s">
        <v>30</v>
      </c>
      <c r="B7422" t="s">
        <v>148</v>
      </c>
      <c r="C7422" t="s">
        <v>162</v>
      </c>
      <c r="D7422" t="s">
        <v>291</v>
      </c>
      <c r="E7422" t="s">
        <v>420</v>
      </c>
      <c r="F7422">
        <f>HYPERLINK("https://www.wikidata.org/wiki/Q33323082", "Q33323082")</f>
        <v>0</v>
      </c>
      <c r="G7422" t="s">
        <v>1465</v>
      </c>
      <c r="H7422" t="s">
        <v>6164</v>
      </c>
      <c r="I7422" t="s">
        <v>9442</v>
      </c>
      <c r="J7422" t="s">
        <v>12184</v>
      </c>
      <c r="K7422" t="s">
        <v>16590</v>
      </c>
      <c r="L7422">
        <f>HYPERLINK("https://www2.assemblee-nationale.fr/sycomore/fiche/(num_dept)/3070", "3070")</f>
        <v>0</v>
      </c>
      <c r="N7422">
        <f>HYPERLINK("https://www.wikidata.org/wiki/Q8314082", "Q8314082")</f>
        <v>0</v>
      </c>
      <c r="O7422" t="s">
        <v>19956</v>
      </c>
      <c r="P7422" t="s">
        <v>20410</v>
      </c>
      <c r="Q7422" t="s">
        <v>20883</v>
      </c>
      <c r="R7422" t="s">
        <v>420</v>
      </c>
      <c r="S7422">
        <v>1495</v>
      </c>
    </row>
    <row r="7423" spans="1:19">
      <c r="A7423" t="s">
        <v>30</v>
      </c>
      <c r="B7423" t="s">
        <v>148</v>
      </c>
      <c r="C7423" t="s">
        <v>162</v>
      </c>
      <c r="D7423" t="s">
        <v>291</v>
      </c>
      <c r="E7423" t="s">
        <v>420</v>
      </c>
      <c r="F7423">
        <f>HYPERLINK("https://www.wikidata.org/wiki/Q33323082", "Q33323082")</f>
        <v>0</v>
      </c>
      <c r="G7423" t="s">
        <v>650</v>
      </c>
      <c r="H7423" t="s">
        <v>5409</v>
      </c>
      <c r="I7423" t="s">
        <v>9469</v>
      </c>
      <c r="J7423" t="s">
        <v>11400</v>
      </c>
      <c r="K7423" t="s">
        <v>15802</v>
      </c>
      <c r="L7423">
        <f>HYPERLINK("https://www2.assemblee-nationale.fr/sycomore/fiche/(num_dept)/3084", "3084")</f>
        <v>0</v>
      </c>
      <c r="N7423">
        <f>HYPERLINK("https://www.wikidata.org/wiki/Q3261915", "Q3261915")</f>
        <v>0</v>
      </c>
      <c r="O7423" t="s">
        <v>19992</v>
      </c>
      <c r="P7423" t="s">
        <v>20420</v>
      </c>
      <c r="Q7423" t="s">
        <v>20883</v>
      </c>
      <c r="R7423" t="s">
        <v>420</v>
      </c>
      <c r="S7423">
        <v>1495</v>
      </c>
    </row>
    <row r="7424" spans="1:19">
      <c r="A7424" t="s">
        <v>30</v>
      </c>
      <c r="B7424" t="s">
        <v>148</v>
      </c>
      <c r="C7424" t="s">
        <v>162</v>
      </c>
      <c r="D7424" t="s">
        <v>291</v>
      </c>
      <c r="E7424" t="s">
        <v>420</v>
      </c>
      <c r="F7424">
        <f>HYPERLINK("https://www.wikidata.org/wiki/Q33323082", "Q33323082")</f>
        <v>0</v>
      </c>
      <c r="G7424" t="s">
        <v>4062</v>
      </c>
      <c r="H7424" t="s">
        <v>8285</v>
      </c>
      <c r="I7424" t="s">
        <v>11088</v>
      </c>
      <c r="J7424" t="s">
        <v>14602</v>
      </c>
      <c r="K7424" t="s">
        <v>16720</v>
      </c>
      <c r="L7424">
        <f>HYPERLINK("https://www2.assemblee-nationale.fr/sycomore/fiche/(num_dept)/3190", "3190")</f>
        <v>0</v>
      </c>
      <c r="M7424">
        <f>HYPERLINK("https://www.senat.fr/senateur-3eme-republique/gabrielli_thadee0481r3.html", "gabrielli_thadee0481r3")</f>
        <v>0</v>
      </c>
      <c r="N7424">
        <f>HYPERLINK("https://www.wikidata.org/wiki/Q3519412", "Q3519412")</f>
        <v>0</v>
      </c>
      <c r="O7424" t="s">
        <v>19955</v>
      </c>
      <c r="P7424" t="s">
        <v>20402</v>
      </c>
      <c r="Q7424" t="s">
        <v>20883</v>
      </c>
      <c r="R7424" t="s">
        <v>420</v>
      </c>
      <c r="S7424">
        <v>1495</v>
      </c>
    </row>
    <row r="7425" spans="1:19">
      <c r="A7425" t="s">
        <v>30</v>
      </c>
      <c r="B7425" t="s">
        <v>148</v>
      </c>
      <c r="C7425" t="s">
        <v>162</v>
      </c>
      <c r="D7425" t="s">
        <v>291</v>
      </c>
      <c r="E7425" t="s">
        <v>420</v>
      </c>
      <c r="F7425">
        <f>HYPERLINK("https://www.wikidata.org/wiki/Q33323082", "Q33323082")</f>
        <v>0</v>
      </c>
      <c r="G7425" t="s">
        <v>3558</v>
      </c>
      <c r="H7425" t="s">
        <v>7912</v>
      </c>
      <c r="I7425" t="s">
        <v>10881</v>
      </c>
      <c r="J7425" t="s">
        <v>14147</v>
      </c>
      <c r="K7425" t="s">
        <v>18514</v>
      </c>
      <c r="L7425">
        <f>HYPERLINK("https://www2.assemblee-nationale.fr/sycomore/fiche/(num_dept)/3191", "3191")</f>
        <v>0</v>
      </c>
      <c r="M7425">
        <f>HYPERLINK("https://www.senat.fr/senateur-3eme-republique/gacon_jules0043r3.html", "gacon_jules0043r3")</f>
        <v>0</v>
      </c>
      <c r="N7425">
        <f>HYPERLINK("https://www.wikidata.org/wiki/Q3188598", "Q3188598")</f>
        <v>0</v>
      </c>
      <c r="O7425" t="s">
        <v>19999</v>
      </c>
      <c r="P7425" t="s">
        <v>20402</v>
      </c>
      <c r="Q7425" t="s">
        <v>20883</v>
      </c>
      <c r="R7425" t="s">
        <v>21607</v>
      </c>
      <c r="S7425">
        <v>279</v>
      </c>
    </row>
    <row r="7426" spans="1:19">
      <c r="A7426" t="s">
        <v>30</v>
      </c>
      <c r="B7426" t="s">
        <v>148</v>
      </c>
      <c r="C7426" t="s">
        <v>162</v>
      </c>
      <c r="D7426" t="s">
        <v>291</v>
      </c>
      <c r="E7426" t="s">
        <v>420</v>
      </c>
      <c r="F7426">
        <f>HYPERLINK("https://www.wikidata.org/wiki/Q33323082", "Q33323082")</f>
        <v>0</v>
      </c>
      <c r="G7426" t="s">
        <v>652</v>
      </c>
      <c r="H7426" t="s">
        <v>5411</v>
      </c>
      <c r="I7426" t="s">
        <v>9375</v>
      </c>
      <c r="J7426" t="s">
        <v>11402</v>
      </c>
      <c r="K7426" t="s">
        <v>15804</v>
      </c>
      <c r="L7426">
        <f>HYPERLINK("https://www2.assemblee-nationale.fr/sycomore/fiche/(num_dept)/3194", "3194")</f>
        <v>0</v>
      </c>
      <c r="N7426">
        <f>HYPERLINK("https://www.wikidata.org/wiki/Q16025739", "Q16025739")</f>
        <v>0</v>
      </c>
      <c r="O7426" t="s">
        <v>19967</v>
      </c>
      <c r="P7426" t="s">
        <v>20479</v>
      </c>
      <c r="Q7426" t="s">
        <v>20883</v>
      </c>
      <c r="R7426" t="s">
        <v>420</v>
      </c>
      <c r="S7426">
        <v>1495</v>
      </c>
    </row>
    <row r="7427" spans="1:19">
      <c r="A7427" t="s">
        <v>30</v>
      </c>
      <c r="B7427" t="s">
        <v>148</v>
      </c>
      <c r="C7427" t="s">
        <v>162</v>
      </c>
      <c r="D7427" t="s">
        <v>291</v>
      </c>
      <c r="E7427" t="s">
        <v>420</v>
      </c>
      <c r="F7427">
        <f>HYPERLINK("https://www.wikidata.org/wiki/Q33323082", "Q33323082")</f>
        <v>0</v>
      </c>
      <c r="G7427" t="s">
        <v>3559</v>
      </c>
      <c r="H7427" t="s">
        <v>7477</v>
      </c>
      <c r="I7427" t="s">
        <v>9449</v>
      </c>
      <c r="J7427" t="s">
        <v>14148</v>
      </c>
      <c r="K7427" t="s">
        <v>18515</v>
      </c>
      <c r="L7427">
        <f>HYPERLINK("https://www2.assemblee-nationale.fr/sycomore/fiche/(num_dept)/3202", "3202")</f>
        <v>0</v>
      </c>
      <c r="N7427">
        <f>HYPERLINK("https://www.wikidata.org/wiki/Q3188600", "Q3188600")</f>
        <v>0</v>
      </c>
      <c r="O7427" t="s">
        <v>19989</v>
      </c>
      <c r="P7427" t="s">
        <v>20410</v>
      </c>
      <c r="Q7427" t="s">
        <v>20883</v>
      </c>
      <c r="R7427" t="s">
        <v>420</v>
      </c>
      <c r="S7427">
        <v>1495</v>
      </c>
    </row>
    <row r="7428" spans="1:19">
      <c r="A7428" t="s">
        <v>30</v>
      </c>
      <c r="B7428" t="s">
        <v>148</v>
      </c>
      <c r="C7428" t="s">
        <v>162</v>
      </c>
      <c r="D7428" t="s">
        <v>291</v>
      </c>
      <c r="E7428" t="s">
        <v>420</v>
      </c>
      <c r="F7428">
        <f>HYPERLINK("https://www.wikidata.org/wiki/Q33323082", "Q33323082")</f>
        <v>0</v>
      </c>
      <c r="G7428" t="s">
        <v>1112</v>
      </c>
      <c r="H7428" t="s">
        <v>5853</v>
      </c>
      <c r="I7428" t="s">
        <v>9666</v>
      </c>
      <c r="J7428" t="s">
        <v>11846</v>
      </c>
      <c r="K7428" t="s">
        <v>16248</v>
      </c>
      <c r="L7428">
        <f>HYPERLINK("https://www2.assemblee-nationale.fr/sycomore/fiche/(num_dept)/3204", "3204")</f>
        <v>0</v>
      </c>
      <c r="N7428">
        <f>HYPERLINK("https://www.wikidata.org/wiki/Q3143609", "Q3143609")</f>
        <v>0</v>
      </c>
      <c r="O7428" t="s">
        <v>19991</v>
      </c>
      <c r="P7428" t="s">
        <v>20410</v>
      </c>
      <c r="Q7428" t="s">
        <v>20883</v>
      </c>
      <c r="R7428" t="s">
        <v>420</v>
      </c>
      <c r="S7428">
        <v>1495</v>
      </c>
    </row>
    <row r="7429" spans="1:19">
      <c r="A7429" t="s">
        <v>30</v>
      </c>
      <c r="B7429" t="s">
        <v>148</v>
      </c>
      <c r="C7429" t="s">
        <v>162</v>
      </c>
      <c r="D7429" t="s">
        <v>291</v>
      </c>
      <c r="E7429" t="s">
        <v>420</v>
      </c>
      <c r="F7429">
        <f>HYPERLINK("https://www.wikidata.org/wiki/Q33323082", "Q33323082")</f>
        <v>0</v>
      </c>
      <c r="G7429" t="s">
        <v>3912</v>
      </c>
      <c r="H7429" t="s">
        <v>8170</v>
      </c>
      <c r="I7429" t="s">
        <v>9449</v>
      </c>
      <c r="J7429" t="s">
        <v>14469</v>
      </c>
      <c r="K7429" t="s">
        <v>18817</v>
      </c>
      <c r="L7429">
        <f>HYPERLINK("https://www2.assemblee-nationale.fr/sycomore/fiche/(num_dept)/3228", "3228")</f>
        <v>0</v>
      </c>
      <c r="N7429">
        <f>HYPERLINK("https://www.wikidata.org/wiki/Q3188603", "Q3188603")</f>
        <v>0</v>
      </c>
      <c r="O7429" t="s">
        <v>20023</v>
      </c>
      <c r="P7429" t="s">
        <v>20410</v>
      </c>
      <c r="Q7429" t="s">
        <v>20883</v>
      </c>
      <c r="R7429" t="s">
        <v>420</v>
      </c>
      <c r="S7429">
        <v>1495</v>
      </c>
    </row>
    <row r="7430" spans="1:19">
      <c r="A7430" t="s">
        <v>30</v>
      </c>
      <c r="B7430" t="s">
        <v>148</v>
      </c>
      <c r="C7430" t="s">
        <v>162</v>
      </c>
      <c r="D7430" t="s">
        <v>291</v>
      </c>
      <c r="E7430" t="s">
        <v>420</v>
      </c>
      <c r="F7430">
        <f>HYPERLINK("https://www.wikidata.org/wiki/Q33323082", "Q33323082")</f>
        <v>0</v>
      </c>
      <c r="G7430" t="s">
        <v>653</v>
      </c>
      <c r="H7430" t="s">
        <v>5412</v>
      </c>
      <c r="I7430" t="s">
        <v>9470</v>
      </c>
      <c r="J7430" t="s">
        <v>11403</v>
      </c>
      <c r="K7430" t="s">
        <v>15805</v>
      </c>
      <c r="L7430">
        <f>HYPERLINK("https://www2.assemblee-nationale.fr/sycomore/fiche/(num_dept)/3229", "3229")</f>
        <v>0</v>
      </c>
      <c r="N7430">
        <f>HYPERLINK("https://www.wikidata.org/wiki/Q8298734", "Q8298734")</f>
        <v>0</v>
      </c>
      <c r="O7430" t="s">
        <v>19956</v>
      </c>
      <c r="P7430" t="s">
        <v>20504</v>
      </c>
      <c r="Q7430" t="s">
        <v>20883</v>
      </c>
      <c r="R7430" t="s">
        <v>420</v>
      </c>
      <c r="S7430">
        <v>1495</v>
      </c>
    </row>
    <row r="7431" spans="1:19">
      <c r="A7431" t="s">
        <v>30</v>
      </c>
      <c r="B7431" t="s">
        <v>148</v>
      </c>
      <c r="C7431" t="s">
        <v>162</v>
      </c>
      <c r="D7431" t="s">
        <v>291</v>
      </c>
      <c r="E7431" t="s">
        <v>420</v>
      </c>
      <c r="F7431">
        <f>HYPERLINK("https://www.wikidata.org/wiki/Q33323082", "Q33323082")</f>
        <v>0</v>
      </c>
      <c r="G7431" t="s">
        <v>3444</v>
      </c>
      <c r="H7431" t="s">
        <v>7529</v>
      </c>
      <c r="I7431" t="s">
        <v>10830</v>
      </c>
      <c r="J7431" t="s">
        <v>14048</v>
      </c>
      <c r="K7431" t="s">
        <v>18416</v>
      </c>
      <c r="L7431">
        <f>HYPERLINK("https://www2.assemblee-nationale.fr/sycomore/fiche/(num_dept)/3261", "3261")</f>
        <v>0</v>
      </c>
      <c r="M7431">
        <f>HYPERLINK("https://www.senat.fr/senateur-3eme-republique/garnier_frederic0419r3.html", "garnier_frederic0419r3")</f>
        <v>0</v>
      </c>
      <c r="N7431">
        <f>HYPERLINK("https://www.wikidata.org/wiki/Q3089831", "Q3089831")</f>
        <v>0</v>
      </c>
      <c r="O7431" t="s">
        <v>20037</v>
      </c>
      <c r="P7431" t="s">
        <v>20479</v>
      </c>
      <c r="Q7431" t="s">
        <v>20883</v>
      </c>
      <c r="R7431" t="s">
        <v>21608</v>
      </c>
      <c r="S7431">
        <v>265</v>
      </c>
    </row>
    <row r="7432" spans="1:19">
      <c r="A7432" t="s">
        <v>30</v>
      </c>
      <c r="B7432" t="s">
        <v>148</v>
      </c>
      <c r="C7432" t="s">
        <v>162</v>
      </c>
      <c r="D7432" t="s">
        <v>291</v>
      </c>
      <c r="E7432" t="s">
        <v>420</v>
      </c>
      <c r="F7432">
        <f>HYPERLINK("https://www.wikidata.org/wiki/Q33323082", "Q33323082")</f>
        <v>0</v>
      </c>
      <c r="G7432" t="s">
        <v>3446</v>
      </c>
      <c r="H7432" t="s">
        <v>7820</v>
      </c>
      <c r="I7432" t="s">
        <v>10831</v>
      </c>
      <c r="J7432" t="s">
        <v>14050</v>
      </c>
      <c r="K7432" t="s">
        <v>18418</v>
      </c>
      <c r="L7432">
        <f>HYPERLINK("https://www2.assemblee-nationale.fr/sycomore/fiche/(num_dept)/3305", "3305")</f>
        <v>0</v>
      </c>
      <c r="N7432">
        <f>HYPERLINK("https://www.wikidata.org/wiki/Q8343994", "Q8343994")</f>
        <v>0</v>
      </c>
      <c r="O7432" t="s">
        <v>19976</v>
      </c>
      <c r="P7432" t="s">
        <v>20409</v>
      </c>
      <c r="Q7432" t="s">
        <v>20883</v>
      </c>
      <c r="R7432" t="s">
        <v>420</v>
      </c>
      <c r="S7432">
        <v>1495</v>
      </c>
    </row>
    <row r="7433" spans="1:19">
      <c r="A7433" t="s">
        <v>30</v>
      </c>
      <c r="B7433" t="s">
        <v>148</v>
      </c>
      <c r="C7433" t="s">
        <v>162</v>
      </c>
      <c r="D7433" t="s">
        <v>291</v>
      </c>
      <c r="E7433" t="s">
        <v>420</v>
      </c>
      <c r="F7433">
        <f>HYPERLINK("https://www.wikidata.org/wiki/Q33323082", "Q33323082")</f>
        <v>0</v>
      </c>
      <c r="G7433" t="s">
        <v>4063</v>
      </c>
      <c r="H7433" t="s">
        <v>6470</v>
      </c>
      <c r="I7433" t="s">
        <v>5528</v>
      </c>
      <c r="J7433" t="s">
        <v>14603</v>
      </c>
      <c r="K7433" t="s">
        <v>18940</v>
      </c>
      <c r="L7433">
        <f>HYPERLINK("https://www2.assemblee-nationale.fr/sycomore/fiche/(num_dept)/3307", "3307")</f>
        <v>0</v>
      </c>
      <c r="N7433">
        <f>HYPERLINK("https://www.wikidata.org/wiki/Q18214813", "Q18214813")</f>
        <v>0</v>
      </c>
      <c r="O7433" t="s">
        <v>20017</v>
      </c>
      <c r="P7433" t="s">
        <v>20479</v>
      </c>
      <c r="Q7433" t="s">
        <v>20883</v>
      </c>
      <c r="R7433" t="s">
        <v>420</v>
      </c>
      <c r="S7433">
        <v>1495</v>
      </c>
    </row>
    <row r="7434" spans="1:19">
      <c r="A7434" t="s">
        <v>30</v>
      </c>
      <c r="B7434" t="s">
        <v>148</v>
      </c>
      <c r="C7434" t="s">
        <v>162</v>
      </c>
      <c r="D7434" t="s">
        <v>291</v>
      </c>
      <c r="E7434" t="s">
        <v>420</v>
      </c>
      <c r="F7434">
        <f>HYPERLINK("https://www.wikidata.org/wiki/Q33323082", "Q33323082")</f>
        <v>0</v>
      </c>
      <c r="G7434" t="s">
        <v>3838</v>
      </c>
      <c r="H7434" t="s">
        <v>8116</v>
      </c>
      <c r="I7434" t="s">
        <v>10996</v>
      </c>
      <c r="J7434" t="s">
        <v>11776</v>
      </c>
      <c r="K7434" t="s">
        <v>18754</v>
      </c>
      <c r="L7434">
        <f>HYPERLINK("https://www2.assemblee-nationale.fr/sycomore/fiche/(num_dept)/3312", "3312")</f>
        <v>0</v>
      </c>
      <c r="M7434">
        <f>HYPERLINK("https://www.senat.fr/senateur-3eme-republique/gauvin_eusebe0384r3.html", "gauvin_eusebe0384r3")</f>
        <v>0</v>
      </c>
      <c r="N7434">
        <f>HYPERLINK("https://www.wikidata.org/wiki/Q3061098", "Q3061098")</f>
        <v>0</v>
      </c>
      <c r="O7434" t="s">
        <v>20039</v>
      </c>
      <c r="P7434" t="s">
        <v>20482</v>
      </c>
      <c r="Q7434" t="s">
        <v>20883</v>
      </c>
      <c r="R7434" t="s">
        <v>21593</v>
      </c>
      <c r="S7434">
        <v>1355</v>
      </c>
    </row>
    <row r="7435" spans="1:19">
      <c r="A7435" t="s">
        <v>30</v>
      </c>
      <c r="B7435" t="s">
        <v>148</v>
      </c>
      <c r="C7435" t="s">
        <v>162</v>
      </c>
      <c r="D7435" t="s">
        <v>291</v>
      </c>
      <c r="E7435" t="s">
        <v>420</v>
      </c>
      <c r="F7435">
        <f>HYPERLINK("https://www.wikidata.org/wiki/Q33323082", "Q33323082")</f>
        <v>0</v>
      </c>
      <c r="G7435" t="s">
        <v>657</v>
      </c>
      <c r="H7435" t="s">
        <v>5416</v>
      </c>
      <c r="I7435" t="s">
        <v>9472</v>
      </c>
      <c r="J7435" t="s">
        <v>11407</v>
      </c>
      <c r="K7435" t="s">
        <v>15809</v>
      </c>
      <c r="L7435">
        <f>HYPERLINK("https://www2.assemblee-nationale.fr/sycomore/fiche/(num_dept)/3325", "3325")</f>
        <v>0</v>
      </c>
      <c r="N7435">
        <f>HYPERLINK("https://www.wikidata.org/wiki/Q2820867", "Q2820867")</f>
        <v>0</v>
      </c>
      <c r="O7435" t="s">
        <v>20011</v>
      </c>
      <c r="P7435" t="s">
        <v>20410</v>
      </c>
      <c r="Q7435" t="s">
        <v>20883</v>
      </c>
      <c r="R7435" t="s">
        <v>420</v>
      </c>
      <c r="S7435">
        <v>1495</v>
      </c>
    </row>
    <row r="7436" spans="1:19">
      <c r="A7436" t="s">
        <v>30</v>
      </c>
      <c r="B7436" t="s">
        <v>148</v>
      </c>
      <c r="C7436" t="s">
        <v>162</v>
      </c>
      <c r="D7436" t="s">
        <v>291</v>
      </c>
      <c r="E7436" t="s">
        <v>420</v>
      </c>
      <c r="F7436">
        <f>HYPERLINK("https://www.wikidata.org/wiki/Q33323082", "Q33323082")</f>
        <v>0</v>
      </c>
      <c r="G7436" t="s">
        <v>3837</v>
      </c>
      <c r="H7436" t="s">
        <v>8115</v>
      </c>
      <c r="I7436" t="s">
        <v>9442</v>
      </c>
      <c r="J7436" t="s">
        <v>14399</v>
      </c>
      <c r="K7436" t="s">
        <v>18753</v>
      </c>
      <c r="L7436">
        <f>HYPERLINK("https://www2.assemblee-nationale.fr/sycomore/fiche/(num_dept)/3330", "3330")</f>
        <v>0</v>
      </c>
      <c r="N7436">
        <f>HYPERLINK("https://www.wikidata.org/wiki/Q16025759", "Q16025759")</f>
        <v>0</v>
      </c>
      <c r="O7436" t="s">
        <v>20012</v>
      </c>
      <c r="P7436" t="s">
        <v>20479</v>
      </c>
      <c r="Q7436" t="s">
        <v>20883</v>
      </c>
      <c r="R7436" t="s">
        <v>420</v>
      </c>
      <c r="S7436">
        <v>1495</v>
      </c>
    </row>
    <row r="7437" spans="1:19">
      <c r="A7437" t="s">
        <v>30</v>
      </c>
      <c r="B7437" t="s">
        <v>148</v>
      </c>
      <c r="C7437" t="s">
        <v>162</v>
      </c>
      <c r="D7437" t="s">
        <v>291</v>
      </c>
      <c r="E7437" t="s">
        <v>420</v>
      </c>
      <c r="F7437">
        <f>HYPERLINK("https://www.wikidata.org/wiki/Q33323082", "Q33323082")</f>
        <v>0</v>
      </c>
      <c r="G7437" t="s">
        <v>3780</v>
      </c>
      <c r="H7437" t="s">
        <v>8073</v>
      </c>
      <c r="I7437" t="s">
        <v>9465</v>
      </c>
      <c r="J7437" t="s">
        <v>14350</v>
      </c>
      <c r="K7437" t="s">
        <v>18702</v>
      </c>
      <c r="L7437">
        <f>HYPERLINK("https://www2.assemblee-nationale.fr/sycomore/fiche/(num_dept)/3336", "3336")</f>
        <v>0</v>
      </c>
      <c r="N7437">
        <f>HYPERLINK("https://www.wikidata.org/wiki/Q9295203", "Q9295203")</f>
        <v>0</v>
      </c>
      <c r="O7437" t="s">
        <v>19965</v>
      </c>
      <c r="P7437" t="s">
        <v>20477</v>
      </c>
      <c r="Q7437" t="s">
        <v>20883</v>
      </c>
      <c r="R7437" t="s">
        <v>18702</v>
      </c>
      <c r="S7437">
        <v>725</v>
      </c>
    </row>
    <row r="7438" spans="1:19">
      <c r="A7438" t="s">
        <v>30</v>
      </c>
      <c r="B7438" t="s">
        <v>148</v>
      </c>
      <c r="C7438" t="s">
        <v>162</v>
      </c>
      <c r="D7438" t="s">
        <v>291</v>
      </c>
      <c r="E7438" t="s">
        <v>420</v>
      </c>
      <c r="F7438">
        <f>HYPERLINK("https://www.wikidata.org/wiki/Q33323082", "Q33323082")</f>
        <v>0</v>
      </c>
      <c r="G7438" t="s">
        <v>1097</v>
      </c>
      <c r="H7438" t="s">
        <v>5838</v>
      </c>
      <c r="I7438" t="s">
        <v>6175</v>
      </c>
      <c r="J7438" t="s">
        <v>11833</v>
      </c>
      <c r="K7438" t="s">
        <v>16233</v>
      </c>
      <c r="L7438">
        <f>HYPERLINK("https://www2.assemblee-nationale.fr/sycomore/fiche/(num_dept)/3349", "3349")</f>
        <v>0</v>
      </c>
      <c r="N7438">
        <f>HYPERLINK("https://www.wikidata.org/wiki/Q16025763", "Q16025763")</f>
        <v>0</v>
      </c>
      <c r="O7438" t="s">
        <v>20031</v>
      </c>
      <c r="P7438" t="s">
        <v>20457</v>
      </c>
      <c r="Q7438" t="s">
        <v>20883</v>
      </c>
      <c r="R7438" t="s">
        <v>420</v>
      </c>
      <c r="S7438">
        <v>1495</v>
      </c>
    </row>
    <row r="7439" spans="1:19">
      <c r="A7439" t="s">
        <v>30</v>
      </c>
      <c r="B7439" t="s">
        <v>148</v>
      </c>
      <c r="C7439" t="s">
        <v>162</v>
      </c>
      <c r="D7439" t="s">
        <v>291</v>
      </c>
      <c r="E7439" t="s">
        <v>420</v>
      </c>
      <c r="F7439">
        <f>HYPERLINK("https://www.wikidata.org/wiki/Q33323082", "Q33323082")</f>
        <v>0</v>
      </c>
      <c r="G7439" t="s">
        <v>4064</v>
      </c>
      <c r="H7439" t="s">
        <v>5417</v>
      </c>
      <c r="I7439" t="s">
        <v>9602</v>
      </c>
      <c r="J7439" t="s">
        <v>14604</v>
      </c>
      <c r="K7439" t="s">
        <v>18941</v>
      </c>
      <c r="L7439">
        <f>HYPERLINK("https://www2.assemblee-nationale.fr/sycomore/fiche/(num_dept)/3358", "3358")</f>
        <v>0</v>
      </c>
      <c r="N7439">
        <f>HYPERLINK("https://www.wikidata.org/wiki/Q16025764", "Q16025764")</f>
        <v>0</v>
      </c>
      <c r="O7439" t="s">
        <v>20017</v>
      </c>
      <c r="P7439" t="s">
        <v>20409</v>
      </c>
      <c r="Q7439" t="s">
        <v>20883</v>
      </c>
      <c r="R7439" t="s">
        <v>420</v>
      </c>
      <c r="S7439">
        <v>1495</v>
      </c>
    </row>
    <row r="7440" spans="1:19">
      <c r="A7440" t="s">
        <v>30</v>
      </c>
      <c r="B7440" t="s">
        <v>148</v>
      </c>
      <c r="C7440" t="s">
        <v>162</v>
      </c>
      <c r="D7440" t="s">
        <v>291</v>
      </c>
      <c r="E7440" t="s">
        <v>420</v>
      </c>
      <c r="F7440">
        <f>HYPERLINK("https://www.wikidata.org/wiki/Q33323082", "Q33323082")</f>
        <v>0</v>
      </c>
      <c r="G7440" t="s">
        <v>658</v>
      </c>
      <c r="H7440" t="s">
        <v>5417</v>
      </c>
      <c r="I7440" t="s">
        <v>7642</v>
      </c>
      <c r="J7440" t="s">
        <v>11408</v>
      </c>
      <c r="K7440" t="s">
        <v>15810</v>
      </c>
      <c r="L7440">
        <f>HYPERLINK("https://www2.assemblee-nationale.fr/sycomore/fiche/(num_dept)/3362", "3362")</f>
        <v>0</v>
      </c>
      <c r="N7440">
        <f>HYPERLINK("https://www.wikidata.org/wiki/Q3300885", "Q3300885")</f>
        <v>0</v>
      </c>
      <c r="O7440" t="s">
        <v>20009</v>
      </c>
      <c r="P7440" t="s">
        <v>20409</v>
      </c>
      <c r="Q7440" t="s">
        <v>20883</v>
      </c>
      <c r="R7440" t="s">
        <v>420</v>
      </c>
      <c r="S7440">
        <v>1495</v>
      </c>
    </row>
    <row r="7441" spans="1:19">
      <c r="A7441" t="s">
        <v>30</v>
      </c>
      <c r="B7441" t="s">
        <v>148</v>
      </c>
      <c r="C7441" t="s">
        <v>162</v>
      </c>
      <c r="D7441" t="s">
        <v>291</v>
      </c>
      <c r="E7441" t="s">
        <v>420</v>
      </c>
      <c r="F7441">
        <f>HYPERLINK("https://www.wikidata.org/wiki/Q33323082", "Q33323082")</f>
        <v>0</v>
      </c>
      <c r="G7441" t="s">
        <v>659</v>
      </c>
      <c r="H7441" t="s">
        <v>5418</v>
      </c>
      <c r="I7441" t="s">
        <v>9473</v>
      </c>
      <c r="J7441" t="s">
        <v>11409</v>
      </c>
      <c r="K7441" t="s">
        <v>15811</v>
      </c>
      <c r="L7441">
        <f>HYPERLINK("https://www2.assemblee-nationale.fr/sycomore/fiche/(num_dept)/3364", "3364")</f>
        <v>0</v>
      </c>
      <c r="N7441">
        <f>HYPERLINK("https://www.wikidata.org/wiki/Q2835289", "Q2835289")</f>
        <v>0</v>
      </c>
      <c r="O7441" t="s">
        <v>20028</v>
      </c>
      <c r="P7441" t="s">
        <v>20485</v>
      </c>
      <c r="Q7441" t="s">
        <v>20883</v>
      </c>
      <c r="R7441" t="s">
        <v>420</v>
      </c>
      <c r="S7441">
        <v>1495</v>
      </c>
    </row>
    <row r="7442" spans="1:19">
      <c r="A7442" t="s">
        <v>30</v>
      </c>
      <c r="B7442" t="s">
        <v>148</v>
      </c>
      <c r="C7442" t="s">
        <v>162</v>
      </c>
      <c r="D7442" t="s">
        <v>291</v>
      </c>
      <c r="E7442" t="s">
        <v>420</v>
      </c>
      <c r="F7442">
        <f>HYPERLINK("https://www.wikidata.org/wiki/Q33323082", "Q33323082")</f>
        <v>0</v>
      </c>
      <c r="G7442" t="s">
        <v>3981</v>
      </c>
      <c r="H7442" t="s">
        <v>8222</v>
      </c>
      <c r="I7442" t="s">
        <v>10879</v>
      </c>
      <c r="J7442" t="s">
        <v>14530</v>
      </c>
      <c r="K7442" t="s">
        <v>16050</v>
      </c>
      <c r="L7442">
        <f>HYPERLINK("https://www2.assemblee-nationale.fr/sycomore/fiche/(num_dept)/3386", "3386")</f>
        <v>0</v>
      </c>
      <c r="N7442">
        <f>HYPERLINK("https://www.wikidata.org/wiki/Q3266127", "Q3266127")</f>
        <v>0</v>
      </c>
      <c r="O7442" t="s">
        <v>20007</v>
      </c>
      <c r="P7442" t="s">
        <v>20507</v>
      </c>
      <c r="Q7442" t="s">
        <v>20883</v>
      </c>
      <c r="R7442" t="s">
        <v>420</v>
      </c>
      <c r="S7442">
        <v>1495</v>
      </c>
    </row>
    <row r="7443" spans="1:19">
      <c r="A7443" t="s">
        <v>30</v>
      </c>
      <c r="B7443" t="s">
        <v>148</v>
      </c>
      <c r="C7443" t="s">
        <v>162</v>
      </c>
      <c r="D7443" t="s">
        <v>291</v>
      </c>
      <c r="E7443" t="s">
        <v>420</v>
      </c>
      <c r="F7443">
        <f>HYPERLINK("https://www.wikidata.org/wiki/Q33323082", "Q33323082")</f>
        <v>0</v>
      </c>
      <c r="G7443" t="s">
        <v>2957</v>
      </c>
      <c r="H7443" t="s">
        <v>7429</v>
      </c>
      <c r="I7443" t="s">
        <v>10543</v>
      </c>
      <c r="J7443" t="s">
        <v>11365</v>
      </c>
      <c r="K7443" t="s">
        <v>17975</v>
      </c>
      <c r="L7443">
        <f>HYPERLINK("https://www2.assemblee-nationale.fr/sycomore/fiche/(num_dept)/3387", "3387")</f>
        <v>0</v>
      </c>
      <c r="N7443">
        <f>HYPERLINK("https://www.wikidata.org/wiki/Q3099023", "Q3099023")</f>
        <v>0</v>
      </c>
      <c r="O7443" t="s">
        <v>20028</v>
      </c>
      <c r="P7443" t="s">
        <v>20401</v>
      </c>
      <c r="Q7443" t="s">
        <v>20883</v>
      </c>
      <c r="R7443" t="s">
        <v>420</v>
      </c>
      <c r="S7443">
        <v>1495</v>
      </c>
    </row>
    <row r="7444" spans="1:19">
      <c r="A7444" t="s">
        <v>30</v>
      </c>
      <c r="B7444" t="s">
        <v>148</v>
      </c>
      <c r="C7444" t="s">
        <v>162</v>
      </c>
      <c r="D7444" t="s">
        <v>291</v>
      </c>
      <c r="E7444" t="s">
        <v>420</v>
      </c>
      <c r="F7444">
        <f>HYPERLINK("https://www.wikidata.org/wiki/Q33323082", "Q33323082")</f>
        <v>0</v>
      </c>
      <c r="G7444" t="s">
        <v>2592</v>
      </c>
      <c r="H7444" t="s">
        <v>7141</v>
      </c>
      <c r="I7444" t="s">
        <v>10301</v>
      </c>
      <c r="J7444" t="s">
        <v>13235</v>
      </c>
      <c r="K7444" t="s">
        <v>17639</v>
      </c>
      <c r="L7444">
        <f>HYPERLINK("https://www2.assemblee-nationale.fr/sycomore/fiche/(num_dept)/3392", "3392")</f>
        <v>0</v>
      </c>
      <c r="N7444">
        <f>HYPERLINK("https://www.wikidata.org/wiki/Q3188644", "Q3188644")</f>
        <v>0</v>
      </c>
      <c r="O7444" t="s">
        <v>19957</v>
      </c>
      <c r="P7444" t="s">
        <v>20479</v>
      </c>
      <c r="Q7444" t="s">
        <v>20883</v>
      </c>
      <c r="R7444" t="s">
        <v>17639</v>
      </c>
      <c r="S7444">
        <v>843</v>
      </c>
    </row>
    <row r="7445" spans="1:19">
      <c r="A7445" t="s">
        <v>30</v>
      </c>
      <c r="B7445" t="s">
        <v>148</v>
      </c>
      <c r="C7445" t="s">
        <v>162</v>
      </c>
      <c r="D7445" t="s">
        <v>291</v>
      </c>
      <c r="E7445" t="s">
        <v>420</v>
      </c>
      <c r="F7445">
        <f>HYPERLINK("https://www.wikidata.org/wiki/Q33323082", "Q33323082")</f>
        <v>0</v>
      </c>
      <c r="G7445" t="s">
        <v>1257</v>
      </c>
      <c r="H7445" t="s">
        <v>5981</v>
      </c>
      <c r="I7445" t="s">
        <v>9593</v>
      </c>
      <c r="J7445" t="s">
        <v>11987</v>
      </c>
      <c r="K7445" t="s">
        <v>16390</v>
      </c>
      <c r="L7445">
        <f>HYPERLINK("https://www2.assemblee-nationale.fr/sycomore/fiche/(num_dept)/3398", "3398")</f>
        <v>0</v>
      </c>
      <c r="M7445">
        <f>HYPERLINK("https://www.senat.fr/senateur-3eme-republique/giaccobi_jules0472r3.html", "giaccobi_jules0472r3")</f>
        <v>0</v>
      </c>
      <c r="N7445">
        <f>HYPERLINK("https://www.wikidata.org/wiki/Q3293802", "Q3293802")</f>
        <v>0</v>
      </c>
      <c r="O7445" t="s">
        <v>19955</v>
      </c>
      <c r="Q7445" t="s">
        <v>20883</v>
      </c>
      <c r="R7445" t="s">
        <v>21609</v>
      </c>
      <c r="S7445">
        <v>271</v>
      </c>
    </row>
    <row r="7446" spans="1:19">
      <c r="A7446" t="s">
        <v>30</v>
      </c>
      <c r="B7446" t="s">
        <v>148</v>
      </c>
      <c r="C7446" t="s">
        <v>162</v>
      </c>
      <c r="D7446" t="s">
        <v>291</v>
      </c>
      <c r="E7446" t="s">
        <v>420</v>
      </c>
      <c r="F7446">
        <f>HYPERLINK("https://www.wikidata.org/wiki/Q33323082", "Q33323082")</f>
        <v>0</v>
      </c>
      <c r="G7446" t="s">
        <v>661</v>
      </c>
      <c r="H7446" t="s">
        <v>5420</v>
      </c>
      <c r="I7446" t="s">
        <v>9385</v>
      </c>
      <c r="J7446" t="s">
        <v>11411</v>
      </c>
      <c r="K7446" t="s">
        <v>15813</v>
      </c>
      <c r="L7446">
        <f>HYPERLINK("https://www2.assemblee-nationale.fr/sycomore/fiche/(num_dept)/3418", "3418")</f>
        <v>0</v>
      </c>
      <c r="N7446">
        <f>HYPERLINK("https://www.wikidata.org/wiki/Q2959214", "Q2959214")</f>
        <v>0</v>
      </c>
      <c r="O7446" t="s">
        <v>20023</v>
      </c>
      <c r="P7446" t="s">
        <v>20504</v>
      </c>
      <c r="Q7446" t="s">
        <v>20883</v>
      </c>
      <c r="R7446" t="s">
        <v>420</v>
      </c>
      <c r="S7446">
        <v>1495</v>
      </c>
    </row>
    <row r="7447" spans="1:19">
      <c r="A7447" t="s">
        <v>30</v>
      </c>
      <c r="B7447" t="s">
        <v>148</v>
      </c>
      <c r="C7447" t="s">
        <v>162</v>
      </c>
      <c r="D7447" t="s">
        <v>291</v>
      </c>
      <c r="E7447" t="s">
        <v>420</v>
      </c>
      <c r="F7447">
        <f>HYPERLINK("https://www.wikidata.org/wiki/Q33323082", "Q33323082")</f>
        <v>0</v>
      </c>
      <c r="G7447" t="s">
        <v>967</v>
      </c>
      <c r="H7447" t="s">
        <v>5719</v>
      </c>
      <c r="I7447" t="s">
        <v>9407</v>
      </c>
      <c r="J7447" t="s">
        <v>11706</v>
      </c>
      <c r="K7447" t="s">
        <v>16109</v>
      </c>
      <c r="L7447">
        <f>HYPERLINK("https://www2.assemblee-nationale.fr/sycomore/fiche/(num_dept)/3482", "3482")</f>
        <v>0</v>
      </c>
      <c r="M7447">
        <f>HYPERLINK("https://www.senat.fr/senateur-3eme-republique/de_gontaut_biron_joseph1050r3.html", "de_gontaut_biron_joseph1050r3")</f>
        <v>0</v>
      </c>
      <c r="N7447">
        <f>HYPERLINK("https://www.wikidata.org/wiki/Q3185836", "Q3185836")</f>
        <v>0</v>
      </c>
      <c r="O7447" t="s">
        <v>19970</v>
      </c>
      <c r="P7447" t="s">
        <v>20479</v>
      </c>
      <c r="Q7447" t="s">
        <v>20883</v>
      </c>
      <c r="R7447" t="s">
        <v>420</v>
      </c>
      <c r="S7447">
        <v>1495</v>
      </c>
    </row>
    <row r="7448" spans="1:19">
      <c r="A7448" t="s">
        <v>30</v>
      </c>
      <c r="B7448" t="s">
        <v>148</v>
      </c>
      <c r="C7448" t="s">
        <v>162</v>
      </c>
      <c r="D7448" t="s">
        <v>291</v>
      </c>
      <c r="E7448" t="s">
        <v>420</v>
      </c>
      <c r="F7448">
        <f>HYPERLINK("https://www.wikidata.org/wiki/Q33323082", "Q33323082")</f>
        <v>0</v>
      </c>
      <c r="G7448" t="s">
        <v>3638</v>
      </c>
      <c r="H7448" t="s">
        <v>5424</v>
      </c>
      <c r="I7448" t="s">
        <v>9535</v>
      </c>
      <c r="J7448" t="s">
        <v>14218</v>
      </c>
      <c r="K7448" t="s">
        <v>18582</v>
      </c>
      <c r="L7448">
        <f>HYPERLINK("https://www2.assemblee-nationale.fr/sycomore/fiche/(num_dept)/3498", "3498")</f>
        <v>0</v>
      </c>
      <c r="M7448">
        <f>HYPERLINK("https://www.senat.fr/senateur-3eme-republique/goujon_julien1586r3.html", "goujon_julien1586r3")</f>
        <v>0</v>
      </c>
      <c r="N7448">
        <f>HYPERLINK("https://www.wikidata.org/wiki/Q3189509", "Q3189509")</f>
        <v>0</v>
      </c>
      <c r="O7448" t="s">
        <v>19978</v>
      </c>
      <c r="P7448" t="s">
        <v>20479</v>
      </c>
      <c r="Q7448" t="s">
        <v>20883</v>
      </c>
      <c r="R7448" t="s">
        <v>420</v>
      </c>
      <c r="S7448">
        <v>1495</v>
      </c>
    </row>
    <row r="7449" spans="1:19">
      <c r="A7449" t="s">
        <v>30</v>
      </c>
      <c r="B7449" t="s">
        <v>148</v>
      </c>
      <c r="C7449" t="s">
        <v>162</v>
      </c>
      <c r="D7449" t="s">
        <v>291</v>
      </c>
      <c r="E7449" t="s">
        <v>420</v>
      </c>
      <c r="F7449">
        <f>HYPERLINK("https://www.wikidata.org/wiki/Q33323082", "Q33323082")</f>
        <v>0</v>
      </c>
      <c r="G7449" t="s">
        <v>666</v>
      </c>
      <c r="H7449" t="s">
        <v>5425</v>
      </c>
      <c r="I7449" t="s">
        <v>9426</v>
      </c>
      <c r="J7449" t="s">
        <v>11416</v>
      </c>
      <c r="K7449" t="s">
        <v>15818</v>
      </c>
      <c r="L7449">
        <f>HYPERLINK("https://www2.assemblee-nationale.fr/sycomore/fiche/(num_dept)/3508", "3508")</f>
        <v>0</v>
      </c>
      <c r="N7449">
        <f>HYPERLINK("https://www.wikidata.org/wiki/Q13626920", "Q13626920")</f>
        <v>0</v>
      </c>
      <c r="O7449" t="s">
        <v>19965</v>
      </c>
      <c r="P7449" t="s">
        <v>20479</v>
      </c>
      <c r="Q7449" t="s">
        <v>20883</v>
      </c>
      <c r="R7449" t="s">
        <v>420</v>
      </c>
      <c r="S7449">
        <v>1495</v>
      </c>
    </row>
    <row r="7450" spans="1:19">
      <c r="A7450" t="s">
        <v>30</v>
      </c>
      <c r="B7450" t="s">
        <v>148</v>
      </c>
      <c r="C7450" t="s">
        <v>162</v>
      </c>
      <c r="D7450" t="s">
        <v>291</v>
      </c>
      <c r="E7450" t="s">
        <v>420</v>
      </c>
      <c r="F7450">
        <f>HYPERLINK("https://www.wikidata.org/wiki/Q33323082", "Q33323082")</f>
        <v>0</v>
      </c>
      <c r="G7450" t="s">
        <v>668</v>
      </c>
      <c r="H7450" t="s">
        <v>5427</v>
      </c>
      <c r="I7450" t="s">
        <v>6175</v>
      </c>
      <c r="J7450" t="s">
        <v>11418</v>
      </c>
      <c r="K7450" t="s">
        <v>15820</v>
      </c>
      <c r="L7450">
        <f>HYPERLINK("https://www2.assemblee-nationale.fr/sycomore/fiche/(num_dept)/3542", "3542")</f>
        <v>0</v>
      </c>
      <c r="M7450">
        <f>HYPERLINK("https://www.senat.fr/senateur-3eme-republique/de_grandmaison_georges1070r3.html", "de_grandmaison_georges1070r3")</f>
        <v>0</v>
      </c>
      <c r="N7450">
        <f>HYPERLINK("https://www.wikidata.org/wiki/Q3103201", "Q3103201")</f>
        <v>0</v>
      </c>
      <c r="O7450" t="s">
        <v>19980</v>
      </c>
      <c r="P7450" t="s">
        <v>20410</v>
      </c>
      <c r="Q7450" t="s">
        <v>20883</v>
      </c>
      <c r="R7450" t="s">
        <v>420</v>
      </c>
      <c r="S7450">
        <v>1495</v>
      </c>
    </row>
    <row r="7451" spans="1:19">
      <c r="A7451" t="s">
        <v>30</v>
      </c>
      <c r="B7451" t="s">
        <v>148</v>
      </c>
      <c r="C7451" t="s">
        <v>162</v>
      </c>
      <c r="D7451" t="s">
        <v>291</v>
      </c>
      <c r="E7451" t="s">
        <v>420</v>
      </c>
      <c r="F7451">
        <f>HYPERLINK("https://www.wikidata.org/wiki/Q33323082", "Q33323082")</f>
        <v>0</v>
      </c>
      <c r="G7451" t="s">
        <v>3783</v>
      </c>
      <c r="H7451" t="s">
        <v>8075</v>
      </c>
      <c r="I7451" t="s">
        <v>9401</v>
      </c>
      <c r="J7451" t="s">
        <v>14353</v>
      </c>
      <c r="K7451" t="s">
        <v>18705</v>
      </c>
      <c r="L7451">
        <f>HYPERLINK("https://www2.assemblee-nationale.fr/sycomore/fiche/(num_dept)/3551", "3551")</f>
        <v>0</v>
      </c>
      <c r="N7451">
        <f>HYPERLINK("https://www.wikidata.org/wiki/Q16025805", "Q16025805")</f>
        <v>0</v>
      </c>
      <c r="O7451" t="s">
        <v>20044</v>
      </c>
      <c r="P7451" t="s">
        <v>20477</v>
      </c>
      <c r="Q7451" t="s">
        <v>20883</v>
      </c>
      <c r="R7451" t="s">
        <v>420</v>
      </c>
      <c r="S7451">
        <v>1495</v>
      </c>
    </row>
    <row r="7452" spans="1:19">
      <c r="A7452" t="s">
        <v>30</v>
      </c>
      <c r="B7452" t="s">
        <v>148</v>
      </c>
      <c r="C7452" t="s">
        <v>162</v>
      </c>
      <c r="D7452" t="s">
        <v>291</v>
      </c>
      <c r="E7452" t="s">
        <v>420</v>
      </c>
      <c r="F7452">
        <f>HYPERLINK("https://www.wikidata.org/wiki/Q33323082", "Q33323082")</f>
        <v>0</v>
      </c>
      <c r="G7452" t="s">
        <v>671</v>
      </c>
      <c r="H7452" t="s">
        <v>5430</v>
      </c>
      <c r="I7452" t="s">
        <v>9457</v>
      </c>
      <c r="J7452" t="s">
        <v>11421</v>
      </c>
      <c r="K7452" t="s">
        <v>15822</v>
      </c>
      <c r="L7452">
        <f>HYPERLINK("https://www2.assemblee-nationale.fr/sycomore/fiche/(num_dept)/3605", "3605")</f>
        <v>0</v>
      </c>
      <c r="N7452">
        <f>HYPERLINK("https://www.wikidata.org/wiki/Q3130359", "Q3130359")</f>
        <v>0</v>
      </c>
      <c r="O7452" t="s">
        <v>20013</v>
      </c>
      <c r="P7452" t="s">
        <v>20410</v>
      </c>
      <c r="Q7452" t="s">
        <v>20883</v>
      </c>
      <c r="R7452" t="s">
        <v>420</v>
      </c>
      <c r="S7452">
        <v>1495</v>
      </c>
    </row>
    <row r="7453" spans="1:19">
      <c r="A7453" t="s">
        <v>30</v>
      </c>
      <c r="B7453" t="s">
        <v>148</v>
      </c>
      <c r="C7453" t="s">
        <v>162</v>
      </c>
      <c r="D7453" t="s">
        <v>291</v>
      </c>
      <c r="E7453" t="s">
        <v>420</v>
      </c>
      <c r="F7453">
        <f>HYPERLINK("https://www.wikidata.org/wiki/Q33323082", "Q33323082")</f>
        <v>0</v>
      </c>
      <c r="G7453" t="s">
        <v>3862</v>
      </c>
      <c r="H7453" t="s">
        <v>8132</v>
      </c>
      <c r="I7453" t="s">
        <v>9401</v>
      </c>
      <c r="J7453" t="s">
        <v>14421</v>
      </c>
      <c r="K7453" t="s">
        <v>18774</v>
      </c>
      <c r="L7453">
        <f>HYPERLINK("https://www2.assemblee-nationale.fr/sycomore/fiche/(num_dept)/3668", "3668")</f>
        <v>0</v>
      </c>
      <c r="N7453">
        <f>HYPERLINK("https://www.wikidata.org/wiki/Q3074087", "Q3074087")</f>
        <v>0</v>
      </c>
      <c r="O7453" t="s">
        <v>20013</v>
      </c>
      <c r="P7453" t="s">
        <v>20479</v>
      </c>
      <c r="Q7453" t="s">
        <v>20883</v>
      </c>
      <c r="R7453" t="s">
        <v>420</v>
      </c>
      <c r="S7453">
        <v>1495</v>
      </c>
    </row>
    <row r="7454" spans="1:19">
      <c r="A7454" t="s">
        <v>30</v>
      </c>
      <c r="B7454" t="s">
        <v>148</v>
      </c>
      <c r="C7454" t="s">
        <v>162</v>
      </c>
      <c r="D7454" t="s">
        <v>291</v>
      </c>
      <c r="E7454" t="s">
        <v>420</v>
      </c>
      <c r="F7454">
        <f>HYPERLINK("https://www.wikidata.org/wiki/Q33323082", "Q33323082")</f>
        <v>0</v>
      </c>
      <c r="G7454" t="s">
        <v>4044</v>
      </c>
      <c r="H7454" t="s">
        <v>8272</v>
      </c>
      <c r="I7454" t="s">
        <v>9442</v>
      </c>
      <c r="J7454" t="s">
        <v>14585</v>
      </c>
      <c r="K7454" t="s">
        <v>18924</v>
      </c>
      <c r="L7454">
        <f>HYPERLINK("https://www2.assemblee-nationale.fr/sycomore/fiche/(num_dept)/3692", "3692")</f>
        <v>0</v>
      </c>
      <c r="M7454">
        <f>HYPERLINK("https://www.senat.fr/senateur-3eme-republique/guingand_ernest0507r3.html", "guingand_ernest0507r3")</f>
        <v>0</v>
      </c>
      <c r="N7454">
        <f>HYPERLINK("https://www.wikidata.org/wiki/Q3056995", "Q3056995")</f>
        <v>0</v>
      </c>
      <c r="O7454" t="s">
        <v>19958</v>
      </c>
      <c r="P7454" t="s">
        <v>20477</v>
      </c>
      <c r="Q7454" t="s">
        <v>20883</v>
      </c>
      <c r="R7454" t="s">
        <v>21597</v>
      </c>
      <c r="S7454">
        <v>1362</v>
      </c>
    </row>
    <row r="7455" spans="1:19">
      <c r="A7455" t="s">
        <v>30</v>
      </c>
      <c r="B7455" t="s">
        <v>148</v>
      </c>
      <c r="C7455" t="s">
        <v>162</v>
      </c>
      <c r="D7455" t="s">
        <v>291</v>
      </c>
      <c r="E7455" t="s">
        <v>420</v>
      </c>
      <c r="F7455">
        <f>HYPERLINK("https://www.wikidata.org/wiki/Q33323082", "Q33323082")</f>
        <v>0</v>
      </c>
      <c r="G7455" t="s">
        <v>4065</v>
      </c>
      <c r="H7455" t="s">
        <v>7278</v>
      </c>
      <c r="I7455" t="s">
        <v>11089</v>
      </c>
      <c r="J7455" t="s">
        <v>14605</v>
      </c>
      <c r="K7455" t="s">
        <v>18942</v>
      </c>
      <c r="L7455">
        <f>HYPERLINK("https://www2.assemblee-nationale.fr/sycomore/fiche/(num_dept)/3713", "3713")</f>
        <v>0</v>
      </c>
      <c r="N7455">
        <f>HYPERLINK("https://www.wikidata.org/wiki/Q3172457", "Q3172457")</f>
        <v>0</v>
      </c>
      <c r="O7455" t="s">
        <v>19969</v>
      </c>
      <c r="P7455" t="s">
        <v>20495</v>
      </c>
      <c r="Q7455" t="s">
        <v>20883</v>
      </c>
      <c r="R7455" t="s">
        <v>420</v>
      </c>
      <c r="S7455">
        <v>1495</v>
      </c>
    </row>
    <row r="7456" spans="1:19">
      <c r="A7456" t="s">
        <v>30</v>
      </c>
      <c r="B7456" t="s">
        <v>148</v>
      </c>
      <c r="C7456" t="s">
        <v>162</v>
      </c>
      <c r="D7456" t="s">
        <v>291</v>
      </c>
      <c r="E7456" t="s">
        <v>420</v>
      </c>
      <c r="F7456">
        <f>HYPERLINK("https://www.wikidata.org/wiki/Q33323082", "Q33323082")</f>
        <v>0</v>
      </c>
      <c r="G7456" t="s">
        <v>3255</v>
      </c>
      <c r="H7456" t="s">
        <v>7675</v>
      </c>
      <c r="I7456" t="s">
        <v>6200</v>
      </c>
      <c r="J7456" t="s">
        <v>13872</v>
      </c>
      <c r="K7456" t="s">
        <v>18243</v>
      </c>
      <c r="L7456">
        <f>HYPERLINK("https://www2.assemblee-nationale.fr/sycomore/fiche/(num_dept)/3714", "3714")</f>
        <v>0</v>
      </c>
      <c r="N7456">
        <f>HYPERLINK("https://www.wikidata.org/wiki/Q3172111", "Q3172111")</f>
        <v>0</v>
      </c>
      <c r="O7456" t="s">
        <v>20005</v>
      </c>
      <c r="P7456" t="s">
        <v>20401</v>
      </c>
      <c r="Q7456" t="s">
        <v>20883</v>
      </c>
      <c r="R7456" t="s">
        <v>420</v>
      </c>
      <c r="S7456">
        <v>1495</v>
      </c>
    </row>
    <row r="7457" spans="1:19">
      <c r="A7457" t="s">
        <v>30</v>
      </c>
      <c r="B7457" t="s">
        <v>148</v>
      </c>
      <c r="C7457" t="s">
        <v>162</v>
      </c>
      <c r="D7457" t="s">
        <v>291</v>
      </c>
      <c r="E7457" t="s">
        <v>420</v>
      </c>
      <c r="F7457">
        <f>HYPERLINK("https://www.wikidata.org/wiki/Q33323082", "Q33323082")</f>
        <v>0</v>
      </c>
      <c r="G7457" t="s">
        <v>677</v>
      </c>
      <c r="H7457" t="s">
        <v>5436</v>
      </c>
      <c r="I7457" t="s">
        <v>9477</v>
      </c>
      <c r="J7457" t="s">
        <v>11427</v>
      </c>
      <c r="K7457" t="s">
        <v>15828</v>
      </c>
      <c r="L7457">
        <f>HYPERLINK("https://www2.assemblee-nationale.fr/sycomore/fiche/(num_dept)/3731", "3731")</f>
        <v>0</v>
      </c>
      <c r="N7457">
        <f>HYPERLINK("https://www.wikidata.org/wiki/Q3301571", "Q3301571")</f>
        <v>0</v>
      </c>
      <c r="O7457" t="s">
        <v>19998</v>
      </c>
      <c r="P7457" t="s">
        <v>20504</v>
      </c>
      <c r="Q7457" t="s">
        <v>20883</v>
      </c>
      <c r="R7457" t="s">
        <v>420</v>
      </c>
      <c r="S7457">
        <v>1495</v>
      </c>
    </row>
    <row r="7458" spans="1:19">
      <c r="A7458" t="s">
        <v>30</v>
      </c>
      <c r="B7458" t="s">
        <v>148</v>
      </c>
      <c r="C7458" t="s">
        <v>162</v>
      </c>
      <c r="D7458" t="s">
        <v>291</v>
      </c>
      <c r="E7458" t="s">
        <v>420</v>
      </c>
      <c r="F7458">
        <f>HYPERLINK("https://www.wikidata.org/wiki/Q33323082", "Q33323082")</f>
        <v>0</v>
      </c>
      <c r="G7458" t="s">
        <v>3707</v>
      </c>
      <c r="H7458" t="s">
        <v>8022</v>
      </c>
      <c r="I7458" t="s">
        <v>10943</v>
      </c>
      <c r="J7458" t="s">
        <v>14282</v>
      </c>
      <c r="K7458" t="s">
        <v>18640</v>
      </c>
      <c r="L7458">
        <f>HYPERLINK("https://www2.assemblee-nationale.fr/sycomore/fiche/(num_dept)/3754", "3754")</f>
        <v>0</v>
      </c>
      <c r="N7458">
        <f>HYPERLINK("https://www.wikidata.org/wiki/Q15263187", "Q15263187")</f>
        <v>0</v>
      </c>
      <c r="O7458" t="s">
        <v>19970</v>
      </c>
      <c r="P7458" t="s">
        <v>20479</v>
      </c>
      <c r="Q7458" t="s">
        <v>20883</v>
      </c>
      <c r="R7458" t="s">
        <v>18640</v>
      </c>
      <c r="S7458">
        <v>1209</v>
      </c>
    </row>
    <row r="7459" spans="1:19">
      <c r="A7459" t="s">
        <v>30</v>
      </c>
      <c r="B7459" t="s">
        <v>148</v>
      </c>
      <c r="C7459" t="s">
        <v>162</v>
      </c>
      <c r="D7459" t="s">
        <v>291</v>
      </c>
      <c r="E7459" t="s">
        <v>420</v>
      </c>
      <c r="F7459">
        <f>HYPERLINK("https://www.wikidata.org/wiki/Q33323082", "Q33323082")</f>
        <v>0</v>
      </c>
      <c r="G7459" t="s">
        <v>4066</v>
      </c>
      <c r="H7459" t="s">
        <v>8286</v>
      </c>
      <c r="I7459" t="s">
        <v>9385</v>
      </c>
      <c r="J7459" t="s">
        <v>14606</v>
      </c>
      <c r="K7459" t="s">
        <v>18943</v>
      </c>
      <c r="L7459">
        <f>HYPERLINK("https://www2.assemblee-nationale.fr/sycomore/fiche/(num_dept)/3761", "3761")</f>
        <v>0</v>
      </c>
      <c r="N7459">
        <f>HYPERLINK("https://www.wikidata.org/wiki/Q2959321", "Q2959321")</f>
        <v>0</v>
      </c>
      <c r="O7459" t="s">
        <v>19989</v>
      </c>
      <c r="P7459" t="s">
        <v>20479</v>
      </c>
      <c r="Q7459" t="s">
        <v>20883</v>
      </c>
      <c r="R7459" t="s">
        <v>420</v>
      </c>
      <c r="S7459">
        <v>1495</v>
      </c>
    </row>
    <row r="7460" spans="1:19">
      <c r="A7460" t="s">
        <v>30</v>
      </c>
      <c r="B7460" t="s">
        <v>148</v>
      </c>
      <c r="C7460" t="s">
        <v>162</v>
      </c>
      <c r="D7460" t="s">
        <v>291</v>
      </c>
      <c r="E7460" t="s">
        <v>420</v>
      </c>
      <c r="F7460">
        <f>HYPERLINK("https://www.wikidata.org/wiki/Q33323082", "Q33323082")</f>
        <v>0</v>
      </c>
      <c r="G7460" t="s">
        <v>680</v>
      </c>
      <c r="H7460" t="s">
        <v>5439</v>
      </c>
      <c r="I7460" t="s">
        <v>6495</v>
      </c>
      <c r="J7460" t="s">
        <v>11430</v>
      </c>
      <c r="K7460" t="s">
        <v>15831</v>
      </c>
      <c r="L7460">
        <f>HYPERLINK("https://www2.assemblee-nationale.fr/sycomore/fiche/(num_dept)/3790", "3790")</f>
        <v>0</v>
      </c>
      <c r="M7460">
        <f>HYPERLINK("https://www.senat.fr/senateur-3eme-republique/hemon_louis0801r3.html", "hemon_louis0801r3")</f>
        <v>0</v>
      </c>
      <c r="N7460">
        <f>HYPERLINK("https://www.wikidata.org/wiki/Q3262222", "Q3262222")</f>
        <v>0</v>
      </c>
      <c r="O7460" t="s">
        <v>20011</v>
      </c>
      <c r="P7460" t="s">
        <v>20479</v>
      </c>
      <c r="Q7460" t="s">
        <v>20883</v>
      </c>
      <c r="R7460" t="s">
        <v>420</v>
      </c>
      <c r="S7460">
        <v>1495</v>
      </c>
    </row>
    <row r="7461" spans="1:19">
      <c r="A7461" t="s">
        <v>30</v>
      </c>
      <c r="B7461" t="s">
        <v>148</v>
      </c>
      <c r="C7461" t="s">
        <v>162</v>
      </c>
      <c r="D7461" t="s">
        <v>291</v>
      </c>
      <c r="E7461" t="s">
        <v>420</v>
      </c>
      <c r="F7461">
        <f>HYPERLINK("https://www.wikidata.org/wiki/Q33323082", "Q33323082")</f>
        <v>0</v>
      </c>
      <c r="G7461" t="s">
        <v>3915</v>
      </c>
      <c r="H7461" t="s">
        <v>8173</v>
      </c>
      <c r="I7461" t="s">
        <v>6495</v>
      </c>
      <c r="J7461" t="s">
        <v>14471</v>
      </c>
      <c r="K7461" t="s">
        <v>18820</v>
      </c>
      <c r="L7461">
        <f>HYPERLINK("https://www2.assemblee-nationale.fr/sycomore/fiche/(num_dept)/3799", "3799")</f>
        <v>0</v>
      </c>
      <c r="N7461">
        <f>HYPERLINK("https://www.wikidata.org/wiki/Q3262172", "Q3262172")</f>
        <v>0</v>
      </c>
      <c r="O7461" t="s">
        <v>19983</v>
      </c>
      <c r="P7461" t="s">
        <v>20457</v>
      </c>
      <c r="Q7461" t="s">
        <v>20883</v>
      </c>
      <c r="R7461" t="s">
        <v>420</v>
      </c>
      <c r="S7461">
        <v>1495</v>
      </c>
    </row>
    <row r="7462" spans="1:19">
      <c r="A7462" t="s">
        <v>30</v>
      </c>
      <c r="B7462" t="s">
        <v>148</v>
      </c>
      <c r="C7462" t="s">
        <v>162</v>
      </c>
      <c r="D7462" t="s">
        <v>291</v>
      </c>
      <c r="E7462" t="s">
        <v>420</v>
      </c>
      <c r="F7462">
        <f>HYPERLINK("https://www.wikidata.org/wiki/Q33323082", "Q33323082")</f>
        <v>0</v>
      </c>
      <c r="G7462" t="s">
        <v>3461</v>
      </c>
      <c r="H7462" t="s">
        <v>7834</v>
      </c>
      <c r="I7462" t="s">
        <v>9472</v>
      </c>
      <c r="J7462" t="s">
        <v>14063</v>
      </c>
      <c r="K7462" t="s">
        <v>18431</v>
      </c>
      <c r="L7462">
        <f>HYPERLINK("https://www2.assemblee-nationale.fr/sycomore/fiche/(num_dept)/3807", "3807")</f>
        <v>0</v>
      </c>
      <c r="N7462">
        <f>HYPERLINK("https://www.wikidata.org/wiki/Q7124799", "Q7124799")</f>
        <v>0</v>
      </c>
      <c r="O7462" t="s">
        <v>19986</v>
      </c>
      <c r="P7462" t="s">
        <v>20479</v>
      </c>
      <c r="Q7462" t="s">
        <v>20883</v>
      </c>
      <c r="R7462" t="s">
        <v>18431</v>
      </c>
      <c r="S7462">
        <v>467</v>
      </c>
    </row>
    <row r="7463" spans="1:19">
      <c r="A7463" t="s">
        <v>30</v>
      </c>
      <c r="B7463" t="s">
        <v>148</v>
      </c>
      <c r="C7463" t="s">
        <v>162</v>
      </c>
      <c r="D7463" t="s">
        <v>291</v>
      </c>
      <c r="E7463" t="s">
        <v>420</v>
      </c>
      <c r="F7463">
        <f>HYPERLINK("https://www.wikidata.org/wiki/Q33323082", "Q33323082")</f>
        <v>0</v>
      </c>
      <c r="G7463" t="s">
        <v>3987</v>
      </c>
      <c r="H7463" t="s">
        <v>8228</v>
      </c>
      <c r="I7463" t="s">
        <v>11051</v>
      </c>
      <c r="J7463" t="s">
        <v>14536</v>
      </c>
      <c r="K7463" t="s">
        <v>18878</v>
      </c>
      <c r="L7463">
        <f>HYPERLINK("https://www2.assemblee-nationale.fr/sycomore/fiche/(num_dept)/3854", "3854")</f>
        <v>0</v>
      </c>
      <c r="N7463">
        <f>HYPERLINK("https://www.wikidata.org/wiki/Q13077240", "Q13077240")</f>
        <v>0</v>
      </c>
      <c r="O7463" t="s">
        <v>19969</v>
      </c>
      <c r="P7463" t="s">
        <v>20409</v>
      </c>
      <c r="Q7463" t="s">
        <v>20883</v>
      </c>
      <c r="R7463" t="s">
        <v>420</v>
      </c>
      <c r="S7463">
        <v>1495</v>
      </c>
    </row>
    <row r="7464" spans="1:19">
      <c r="A7464" t="s">
        <v>30</v>
      </c>
      <c r="B7464" t="s">
        <v>148</v>
      </c>
      <c r="C7464" t="s">
        <v>162</v>
      </c>
      <c r="D7464" t="s">
        <v>291</v>
      </c>
      <c r="E7464" t="s">
        <v>420</v>
      </c>
      <c r="F7464">
        <f>HYPERLINK("https://www.wikidata.org/wiki/Q33323082", "Q33323082")</f>
        <v>0</v>
      </c>
      <c r="G7464" t="s">
        <v>3133</v>
      </c>
      <c r="H7464" t="s">
        <v>7574</v>
      </c>
      <c r="I7464" t="s">
        <v>10651</v>
      </c>
      <c r="J7464" t="s">
        <v>13755</v>
      </c>
      <c r="K7464" t="s">
        <v>18132</v>
      </c>
      <c r="L7464">
        <f>HYPERLINK("https://www2.assemblee-nationale.fr/sycomore/fiche/(num_dept)/3882", "3882")</f>
        <v>0</v>
      </c>
      <c r="N7464">
        <f>HYPERLINK("https://www.wikidata.org/wiki/Q16025854", "Q16025854")</f>
        <v>0</v>
      </c>
      <c r="O7464" t="s">
        <v>20033</v>
      </c>
      <c r="P7464" t="s">
        <v>20477</v>
      </c>
      <c r="Q7464" t="s">
        <v>20883</v>
      </c>
      <c r="R7464" t="s">
        <v>420</v>
      </c>
      <c r="S7464">
        <v>1495</v>
      </c>
    </row>
    <row r="7465" spans="1:19">
      <c r="A7465" t="s">
        <v>30</v>
      </c>
      <c r="B7465" t="s">
        <v>148</v>
      </c>
      <c r="C7465" t="s">
        <v>162</v>
      </c>
      <c r="D7465" t="s">
        <v>291</v>
      </c>
      <c r="E7465" t="s">
        <v>420</v>
      </c>
      <c r="F7465">
        <f>HYPERLINK("https://www.wikidata.org/wiki/Q33323082", "Q33323082")</f>
        <v>0</v>
      </c>
      <c r="G7465" t="s">
        <v>687</v>
      </c>
      <c r="H7465" t="s">
        <v>5445</v>
      </c>
      <c r="I7465" t="s">
        <v>9455</v>
      </c>
      <c r="J7465" t="s">
        <v>11437</v>
      </c>
      <c r="K7465" t="s">
        <v>15838</v>
      </c>
      <c r="L7465">
        <f>HYPERLINK("https://www2.assemblee-nationale.fr/sycomore/fiche/(num_dept)/3885", "3885")</f>
        <v>0</v>
      </c>
      <c r="M7465">
        <f>HYPERLINK("https://www.senat.fr/senateur-3eme-republique/hubert_lucien0176r3.html", "hubert_lucien0176r3")</f>
        <v>0</v>
      </c>
      <c r="N7465">
        <f>HYPERLINK("https://www.wikidata.org/wiki/Q2117075", "Q2117075")</f>
        <v>0</v>
      </c>
      <c r="O7465" t="s">
        <v>19959</v>
      </c>
      <c r="P7465" t="s">
        <v>20401</v>
      </c>
      <c r="Q7465" t="s">
        <v>20883</v>
      </c>
      <c r="R7465" t="s">
        <v>420</v>
      </c>
      <c r="S7465">
        <v>1495</v>
      </c>
    </row>
    <row r="7466" spans="1:19">
      <c r="A7466" t="s">
        <v>30</v>
      </c>
      <c r="B7466" t="s">
        <v>148</v>
      </c>
      <c r="C7466" t="s">
        <v>162</v>
      </c>
      <c r="D7466" t="s">
        <v>291</v>
      </c>
      <c r="E7466" t="s">
        <v>420</v>
      </c>
      <c r="F7466">
        <f>HYPERLINK("https://www.wikidata.org/wiki/Q33323082", "Q33323082")</f>
        <v>0</v>
      </c>
      <c r="G7466" t="s">
        <v>3788</v>
      </c>
      <c r="H7466" t="s">
        <v>6192</v>
      </c>
      <c r="I7466" t="s">
        <v>6166</v>
      </c>
      <c r="J7466" t="s">
        <v>14358</v>
      </c>
      <c r="K7466" t="s">
        <v>18709</v>
      </c>
      <c r="L7466">
        <f>HYPERLINK("https://www2.assemblee-nationale.fr/sycomore/fiche/(num_dept)/3898", "3898")</f>
        <v>0</v>
      </c>
      <c r="N7466">
        <f>HYPERLINK("https://www.wikidata.org/wiki/Q8338102", "Q8338102")</f>
        <v>0</v>
      </c>
      <c r="O7466" t="s">
        <v>20015</v>
      </c>
      <c r="P7466" t="s">
        <v>20479</v>
      </c>
      <c r="Q7466" t="s">
        <v>20883</v>
      </c>
      <c r="R7466" t="s">
        <v>420</v>
      </c>
      <c r="S7466">
        <v>1495</v>
      </c>
    </row>
    <row r="7467" spans="1:19">
      <c r="A7467" t="s">
        <v>30</v>
      </c>
      <c r="B7467" t="s">
        <v>148</v>
      </c>
      <c r="C7467" t="s">
        <v>162</v>
      </c>
      <c r="D7467" t="s">
        <v>291</v>
      </c>
      <c r="E7467" t="s">
        <v>420</v>
      </c>
      <c r="F7467">
        <f>HYPERLINK("https://www.wikidata.org/wiki/Q33323082", "Q33323082")</f>
        <v>0</v>
      </c>
      <c r="G7467" t="s">
        <v>3628</v>
      </c>
      <c r="H7467" t="s">
        <v>7965</v>
      </c>
      <c r="I7467" t="s">
        <v>9989</v>
      </c>
      <c r="J7467" t="s">
        <v>14209</v>
      </c>
      <c r="K7467" t="s">
        <v>18575</v>
      </c>
      <c r="L7467">
        <f>HYPERLINK("https://www2.assemblee-nationale.fr/sycomore/fiche/(num_dept)/3940", "3940")</f>
        <v>0</v>
      </c>
      <c r="N7467">
        <f>HYPERLINK("https://www.wikidata.org/wiki/Q3579900", "Q3579900")</f>
        <v>0</v>
      </c>
      <c r="O7467" t="s">
        <v>19992</v>
      </c>
      <c r="Q7467" t="s">
        <v>20883</v>
      </c>
      <c r="R7467" t="s">
        <v>18575</v>
      </c>
      <c r="S7467">
        <v>814</v>
      </c>
    </row>
    <row r="7468" spans="1:19">
      <c r="A7468" t="s">
        <v>30</v>
      </c>
      <c r="B7468" t="s">
        <v>148</v>
      </c>
      <c r="C7468" t="s">
        <v>162</v>
      </c>
      <c r="D7468" t="s">
        <v>291</v>
      </c>
      <c r="E7468" t="s">
        <v>420</v>
      </c>
      <c r="F7468">
        <f>HYPERLINK("https://www.wikidata.org/wiki/Q33323082", "Q33323082")</f>
        <v>0</v>
      </c>
      <c r="G7468" t="s">
        <v>3463</v>
      </c>
      <c r="H7468" t="s">
        <v>7836</v>
      </c>
      <c r="I7468" t="s">
        <v>6584</v>
      </c>
      <c r="J7468" t="s">
        <v>14065</v>
      </c>
      <c r="K7468" t="s">
        <v>18009</v>
      </c>
      <c r="L7468">
        <f>HYPERLINK("https://www2.assemblee-nationale.fr/sycomore/fiche/(num_dept)/3963", "3963")</f>
        <v>0</v>
      </c>
      <c r="N7468">
        <f>HYPERLINK("https://www.wikidata.org/wiki/Q2831269", "Q2831269")</f>
        <v>0</v>
      </c>
      <c r="O7468" t="s">
        <v>19964</v>
      </c>
      <c r="Q7468" t="s">
        <v>20883</v>
      </c>
      <c r="R7468" t="s">
        <v>18009</v>
      </c>
      <c r="S7468">
        <v>209</v>
      </c>
    </row>
    <row r="7469" spans="1:19">
      <c r="A7469" t="s">
        <v>30</v>
      </c>
      <c r="B7469" t="s">
        <v>148</v>
      </c>
      <c r="C7469" t="s">
        <v>162</v>
      </c>
      <c r="D7469" t="s">
        <v>291</v>
      </c>
      <c r="E7469" t="s">
        <v>420</v>
      </c>
      <c r="F7469">
        <f>HYPERLINK("https://www.wikidata.org/wiki/Q33323082", "Q33323082")</f>
        <v>0</v>
      </c>
      <c r="G7469" t="s">
        <v>3918</v>
      </c>
      <c r="H7469" t="s">
        <v>8175</v>
      </c>
      <c r="I7469" t="s">
        <v>7790</v>
      </c>
      <c r="J7469" t="s">
        <v>14474</v>
      </c>
      <c r="K7469" t="s">
        <v>18823</v>
      </c>
      <c r="L7469">
        <f>HYPERLINK("https://www2.assemblee-nationale.fr/sycomore/fiche/(num_dept)/3969", "3969")</f>
        <v>0</v>
      </c>
      <c r="N7469">
        <f>HYPERLINK("https://www.wikidata.org/wiki/Q2861874", "Q2861874")</f>
        <v>0</v>
      </c>
      <c r="O7469" t="s">
        <v>19995</v>
      </c>
      <c r="P7469" t="s">
        <v>20495</v>
      </c>
      <c r="Q7469" t="s">
        <v>20883</v>
      </c>
      <c r="R7469" t="s">
        <v>420</v>
      </c>
      <c r="S7469">
        <v>1495</v>
      </c>
    </row>
    <row r="7470" spans="1:19">
      <c r="A7470" t="s">
        <v>30</v>
      </c>
      <c r="B7470" t="s">
        <v>148</v>
      </c>
      <c r="C7470" t="s">
        <v>162</v>
      </c>
      <c r="D7470" t="s">
        <v>291</v>
      </c>
      <c r="E7470" t="s">
        <v>420</v>
      </c>
      <c r="F7470">
        <f>HYPERLINK("https://www.wikidata.org/wiki/Q33323082", "Q33323082")</f>
        <v>0</v>
      </c>
      <c r="G7470" t="s">
        <v>3464</v>
      </c>
      <c r="H7470" t="s">
        <v>7837</v>
      </c>
      <c r="I7470" t="s">
        <v>9449</v>
      </c>
      <c r="J7470" t="s">
        <v>13900</v>
      </c>
      <c r="K7470" t="s">
        <v>18433</v>
      </c>
      <c r="L7470">
        <f>HYPERLINK("https://www2.assemblee-nationale.fr/sycomore/fiche/(num_dept)/3984", "3984")</f>
        <v>0</v>
      </c>
      <c r="N7470">
        <f>HYPERLINK("https://www.wikidata.org/wiki/Q1266110", "Q1266110")</f>
        <v>0</v>
      </c>
      <c r="O7470" t="s">
        <v>20032</v>
      </c>
      <c r="P7470" t="s">
        <v>20479</v>
      </c>
      <c r="Q7470" t="s">
        <v>20883</v>
      </c>
      <c r="R7470" t="s">
        <v>420</v>
      </c>
      <c r="S7470">
        <v>1495</v>
      </c>
    </row>
    <row r="7471" spans="1:19">
      <c r="A7471" t="s">
        <v>30</v>
      </c>
      <c r="B7471" t="s">
        <v>148</v>
      </c>
      <c r="C7471" t="s">
        <v>162</v>
      </c>
      <c r="D7471" t="s">
        <v>291</v>
      </c>
      <c r="E7471" t="s">
        <v>420</v>
      </c>
      <c r="F7471">
        <f>HYPERLINK("https://www.wikidata.org/wiki/Q33323082", "Q33323082")</f>
        <v>0</v>
      </c>
      <c r="G7471" t="s">
        <v>4067</v>
      </c>
      <c r="H7471" t="s">
        <v>8287</v>
      </c>
      <c r="I7471" t="s">
        <v>11090</v>
      </c>
      <c r="J7471" t="s">
        <v>14607</v>
      </c>
      <c r="K7471" t="s">
        <v>18944</v>
      </c>
      <c r="L7471">
        <f>HYPERLINK("https://www2.assemblee-nationale.fr/sycomore/fiche/(num_dept)/3989", "3989")</f>
        <v>0</v>
      </c>
      <c r="N7471">
        <f>HYPERLINK("https://www.wikidata.org/wiki/Q3271074", "Q3271074")</f>
        <v>0</v>
      </c>
      <c r="O7471" t="s">
        <v>19973</v>
      </c>
      <c r="P7471" t="s">
        <v>20401</v>
      </c>
      <c r="Q7471" t="s">
        <v>20883</v>
      </c>
      <c r="R7471" t="s">
        <v>420</v>
      </c>
      <c r="S7471">
        <v>1495</v>
      </c>
    </row>
    <row r="7472" spans="1:19">
      <c r="A7472" t="s">
        <v>30</v>
      </c>
      <c r="B7472" t="s">
        <v>148</v>
      </c>
      <c r="C7472" t="s">
        <v>162</v>
      </c>
      <c r="D7472" t="s">
        <v>291</v>
      </c>
      <c r="E7472" t="s">
        <v>420</v>
      </c>
      <c r="F7472">
        <f>HYPERLINK("https://www.wikidata.org/wiki/Q33323082", "Q33323082")</f>
        <v>0</v>
      </c>
      <c r="G7472" t="s">
        <v>690</v>
      </c>
      <c r="H7472" t="s">
        <v>5448</v>
      </c>
      <c r="I7472" t="s">
        <v>6200</v>
      </c>
      <c r="J7472" t="s">
        <v>11440</v>
      </c>
      <c r="K7472" t="s">
        <v>15841</v>
      </c>
      <c r="L7472">
        <f>HYPERLINK("https://www2.assemblee-nationale.fr/sycomore/fiche/(num_dept)/4011", "4011")</f>
        <v>0</v>
      </c>
      <c r="N7472">
        <f>HYPERLINK("https://www.wikidata.org/wiki/Q12688", "Q12688")</f>
        <v>0</v>
      </c>
      <c r="O7472" t="s">
        <v>19962</v>
      </c>
      <c r="P7472" t="s">
        <v>20485</v>
      </c>
      <c r="Q7472" t="s">
        <v>20883</v>
      </c>
      <c r="R7472" t="s">
        <v>420</v>
      </c>
      <c r="S7472">
        <v>1495</v>
      </c>
    </row>
    <row r="7473" spans="1:19">
      <c r="A7473" t="s">
        <v>30</v>
      </c>
      <c r="B7473" t="s">
        <v>148</v>
      </c>
      <c r="C7473" t="s">
        <v>162</v>
      </c>
      <c r="D7473" t="s">
        <v>291</v>
      </c>
      <c r="E7473" t="s">
        <v>420</v>
      </c>
      <c r="F7473">
        <f>HYPERLINK("https://www.wikidata.org/wiki/Q33323082", "Q33323082")</f>
        <v>0</v>
      </c>
      <c r="G7473" t="s">
        <v>4068</v>
      </c>
      <c r="H7473" t="s">
        <v>8288</v>
      </c>
      <c r="I7473" t="s">
        <v>9449</v>
      </c>
      <c r="J7473" t="s">
        <v>14608</v>
      </c>
      <c r="K7473" t="s">
        <v>18945</v>
      </c>
      <c r="L7473">
        <f>HYPERLINK("https://www2.assemblee-nationale.fr/sycomore/fiche/(num_dept)/4024", "4024")</f>
        <v>0</v>
      </c>
      <c r="M7473">
        <f>HYPERLINK("https://www.senat.fr/senateur-3eme-republique/jeanneney_jules1206r3.html", "jeanneney_jules1206r3")</f>
        <v>0</v>
      </c>
      <c r="N7473">
        <f>HYPERLINK("https://www.wikidata.org/wiki/Q3188688", "Q3188688")</f>
        <v>0</v>
      </c>
      <c r="O7473" t="s">
        <v>20036</v>
      </c>
      <c r="P7473" t="s">
        <v>20477</v>
      </c>
      <c r="Q7473" t="s">
        <v>20883</v>
      </c>
      <c r="R7473" t="s">
        <v>420</v>
      </c>
      <c r="S7473">
        <v>1495</v>
      </c>
    </row>
    <row r="7474" spans="1:19">
      <c r="A7474" t="s">
        <v>30</v>
      </c>
      <c r="B7474" t="s">
        <v>148</v>
      </c>
      <c r="C7474" t="s">
        <v>162</v>
      </c>
      <c r="D7474" t="s">
        <v>291</v>
      </c>
      <c r="E7474" t="s">
        <v>420</v>
      </c>
      <c r="F7474">
        <f>HYPERLINK("https://www.wikidata.org/wiki/Q33323082", "Q33323082")</f>
        <v>0</v>
      </c>
      <c r="G7474" t="s">
        <v>4069</v>
      </c>
      <c r="H7474" t="s">
        <v>8289</v>
      </c>
      <c r="I7474" t="s">
        <v>9553</v>
      </c>
      <c r="J7474" t="s">
        <v>11852</v>
      </c>
      <c r="K7474" t="s">
        <v>18946</v>
      </c>
      <c r="L7474">
        <f>HYPERLINK("https://www2.assemblee-nationale.fr/sycomore/fiche/(num_dept)/4029", "4029")</f>
        <v>0</v>
      </c>
      <c r="N7474">
        <f>HYPERLINK("https://www.wikidata.org/wiki/Q16025870", "Q16025870")</f>
        <v>0</v>
      </c>
      <c r="O7474" t="s">
        <v>19998</v>
      </c>
      <c r="P7474" t="s">
        <v>20457</v>
      </c>
      <c r="Q7474" t="s">
        <v>20883</v>
      </c>
      <c r="R7474" t="s">
        <v>420</v>
      </c>
      <c r="S7474">
        <v>1495</v>
      </c>
    </row>
    <row r="7475" spans="1:19">
      <c r="A7475" t="s">
        <v>30</v>
      </c>
      <c r="B7475" t="s">
        <v>148</v>
      </c>
      <c r="C7475" t="s">
        <v>162</v>
      </c>
      <c r="D7475" t="s">
        <v>291</v>
      </c>
      <c r="E7475" t="s">
        <v>420</v>
      </c>
      <c r="F7475">
        <f>HYPERLINK("https://www.wikidata.org/wiki/Q33323082", "Q33323082")</f>
        <v>0</v>
      </c>
      <c r="G7475" t="s">
        <v>692</v>
      </c>
      <c r="H7475" t="s">
        <v>5450</v>
      </c>
      <c r="I7475" t="s">
        <v>9385</v>
      </c>
      <c r="J7475" t="s">
        <v>11442</v>
      </c>
      <c r="K7475" t="s">
        <v>15843</v>
      </c>
      <c r="L7475">
        <f>HYPERLINK("https://www2.assemblee-nationale.fr/sycomore/fiche/(num_dept)/4047", "4047")</f>
        <v>0</v>
      </c>
      <c r="M7475">
        <f>HYPERLINK("https://www.senat.fr/senateur-3eme-republique/jonnart_celestin0975r3.html", "jonnart_celestin0975r3")</f>
        <v>0</v>
      </c>
      <c r="N7475">
        <f>HYPERLINK("https://www.wikidata.org/wiki/Q212634", "Q212634")</f>
        <v>0</v>
      </c>
      <c r="O7475" t="s">
        <v>19968</v>
      </c>
      <c r="P7475" t="s">
        <v>20411</v>
      </c>
      <c r="Q7475" t="s">
        <v>20883</v>
      </c>
      <c r="R7475" t="s">
        <v>420</v>
      </c>
      <c r="S7475">
        <v>1495</v>
      </c>
    </row>
    <row r="7476" spans="1:19">
      <c r="A7476" t="s">
        <v>30</v>
      </c>
      <c r="B7476" t="s">
        <v>148</v>
      </c>
      <c r="C7476" t="s">
        <v>162</v>
      </c>
      <c r="D7476" t="s">
        <v>291</v>
      </c>
      <c r="E7476" t="s">
        <v>420</v>
      </c>
      <c r="F7476">
        <f>HYPERLINK("https://www.wikidata.org/wiki/Q33323082", "Q33323082")</f>
        <v>0</v>
      </c>
      <c r="G7476" t="s">
        <v>3351</v>
      </c>
      <c r="H7476" t="s">
        <v>7751</v>
      </c>
      <c r="I7476" t="s">
        <v>6495</v>
      </c>
      <c r="J7476" t="s">
        <v>13963</v>
      </c>
      <c r="K7476" t="s">
        <v>18333</v>
      </c>
      <c r="L7476">
        <f>HYPERLINK("https://www2.assemblee-nationale.fr/sycomore/fiche/(num_dept)/4072", "4072")</f>
        <v>0</v>
      </c>
      <c r="N7476">
        <f>HYPERLINK("https://www.wikidata.org/wiki/Q3262379", "Q3262379")</f>
        <v>0</v>
      </c>
      <c r="O7476" t="s">
        <v>20004</v>
      </c>
      <c r="Q7476" t="s">
        <v>20883</v>
      </c>
      <c r="R7476" t="s">
        <v>21610</v>
      </c>
      <c r="S7476">
        <v>1173</v>
      </c>
    </row>
    <row r="7477" spans="1:19">
      <c r="A7477" t="s">
        <v>30</v>
      </c>
      <c r="B7477" t="s">
        <v>148</v>
      </c>
      <c r="C7477" t="s">
        <v>162</v>
      </c>
      <c r="D7477" t="s">
        <v>291</v>
      </c>
      <c r="E7477" t="s">
        <v>420</v>
      </c>
      <c r="F7477">
        <f>HYPERLINK("https://www.wikidata.org/wiki/Q33323082", "Q33323082")</f>
        <v>0</v>
      </c>
      <c r="G7477" t="s">
        <v>3352</v>
      </c>
      <c r="H7477" t="s">
        <v>7752</v>
      </c>
      <c r="I7477" t="s">
        <v>10787</v>
      </c>
      <c r="J7477" t="s">
        <v>13964</v>
      </c>
      <c r="K7477" t="s">
        <v>18334</v>
      </c>
      <c r="L7477">
        <f>HYPERLINK("https://www2.assemblee-nationale.fr/sycomore/fiche/(num_dept)/4101", "4101")</f>
        <v>0</v>
      </c>
      <c r="N7477">
        <f>HYPERLINK("https://www.wikidata.org/wiki/Q16025888", "Q16025888")</f>
        <v>0</v>
      </c>
      <c r="O7477" t="s">
        <v>19995</v>
      </c>
      <c r="P7477" t="s">
        <v>20411</v>
      </c>
      <c r="Q7477" t="s">
        <v>20883</v>
      </c>
      <c r="R7477" t="s">
        <v>420</v>
      </c>
      <c r="S7477">
        <v>1495</v>
      </c>
    </row>
    <row r="7478" spans="1:19">
      <c r="A7478" t="s">
        <v>30</v>
      </c>
      <c r="B7478" t="s">
        <v>148</v>
      </c>
      <c r="C7478" t="s">
        <v>162</v>
      </c>
      <c r="D7478" t="s">
        <v>291</v>
      </c>
      <c r="E7478" t="s">
        <v>420</v>
      </c>
      <c r="F7478">
        <f>HYPERLINK("https://www.wikidata.org/wiki/Q33323082", "Q33323082")</f>
        <v>0</v>
      </c>
      <c r="G7478" t="s">
        <v>3467</v>
      </c>
      <c r="H7478" t="s">
        <v>7840</v>
      </c>
      <c r="I7478" t="s">
        <v>10838</v>
      </c>
      <c r="J7478" t="s">
        <v>14068</v>
      </c>
      <c r="K7478" t="s">
        <v>18436</v>
      </c>
      <c r="L7478">
        <f>HYPERLINK("https://www2.assemblee-nationale.fr/sycomore/fiche/(num_dept)/4130", "4130")</f>
        <v>0</v>
      </c>
      <c r="N7478">
        <f>HYPERLINK("https://www.wikidata.org/wiki/Q3161253", "Q3161253")</f>
        <v>0</v>
      </c>
      <c r="O7478" t="s">
        <v>20011</v>
      </c>
      <c r="P7478" t="s">
        <v>20479</v>
      </c>
      <c r="Q7478" t="s">
        <v>20883</v>
      </c>
      <c r="R7478" t="s">
        <v>420</v>
      </c>
      <c r="S7478">
        <v>1495</v>
      </c>
    </row>
    <row r="7479" spans="1:19">
      <c r="A7479" t="s">
        <v>30</v>
      </c>
      <c r="B7479" t="s">
        <v>148</v>
      </c>
      <c r="C7479" t="s">
        <v>162</v>
      </c>
      <c r="D7479" t="s">
        <v>291</v>
      </c>
      <c r="E7479" t="s">
        <v>420</v>
      </c>
      <c r="F7479">
        <f>HYPERLINK("https://www.wikidata.org/wiki/Q33323082", "Q33323082")</f>
        <v>0</v>
      </c>
      <c r="G7479" t="s">
        <v>696</v>
      </c>
      <c r="H7479" t="s">
        <v>5454</v>
      </c>
      <c r="I7479" t="s">
        <v>9484</v>
      </c>
      <c r="J7479" t="s">
        <v>11446</v>
      </c>
      <c r="K7479" t="s">
        <v>15847</v>
      </c>
      <c r="L7479">
        <f>HYPERLINK("https://www2.assemblee-nationale.fr/sycomore/fiche/(num_dept)/4148", "4148")</f>
        <v>0</v>
      </c>
      <c r="M7479">
        <f>HYPERLINK("https://www.senat.fr/senateur-3eme-republique/klotz_louis1683r3.html", "klotz_louis1683r3")</f>
        <v>0</v>
      </c>
      <c r="N7479">
        <f>HYPERLINK("https://www.wikidata.org/wiki/Q179586", "Q179586")</f>
        <v>0</v>
      </c>
      <c r="O7479" t="s">
        <v>20012</v>
      </c>
      <c r="P7479" t="s">
        <v>20477</v>
      </c>
      <c r="Q7479" t="s">
        <v>20883</v>
      </c>
      <c r="R7479" t="s">
        <v>420</v>
      </c>
      <c r="S7479">
        <v>1495</v>
      </c>
    </row>
    <row r="7480" spans="1:19">
      <c r="A7480" t="s">
        <v>30</v>
      </c>
      <c r="B7480" t="s">
        <v>148</v>
      </c>
      <c r="C7480" t="s">
        <v>162</v>
      </c>
      <c r="D7480" t="s">
        <v>291</v>
      </c>
      <c r="E7480" t="s">
        <v>420</v>
      </c>
      <c r="F7480">
        <f>HYPERLINK("https://www.wikidata.org/wiki/Q33323082", "Q33323082")</f>
        <v>0</v>
      </c>
      <c r="G7480" t="s">
        <v>3637</v>
      </c>
      <c r="H7480" t="s">
        <v>7970</v>
      </c>
      <c r="I7480" t="s">
        <v>9506</v>
      </c>
      <c r="J7480" t="s">
        <v>14217</v>
      </c>
      <c r="K7480" t="s">
        <v>18581</v>
      </c>
      <c r="L7480">
        <f>HYPERLINK("https://www2.assemblee-nationale.fr/sycomore/fiche/(num_dept)/4153", "4153")</f>
        <v>0</v>
      </c>
      <c r="N7480">
        <f>HYPERLINK("https://www.wikidata.org/wiki/Q2934973", "Q2934973")</f>
        <v>0</v>
      </c>
      <c r="O7480" t="s">
        <v>20017</v>
      </c>
      <c r="P7480" t="s">
        <v>20479</v>
      </c>
      <c r="Q7480" t="s">
        <v>20883</v>
      </c>
      <c r="R7480" t="s">
        <v>420</v>
      </c>
      <c r="S7480">
        <v>1495</v>
      </c>
    </row>
    <row r="7481" spans="1:19">
      <c r="A7481" t="s">
        <v>30</v>
      </c>
      <c r="B7481" t="s">
        <v>148</v>
      </c>
      <c r="C7481" t="s">
        <v>162</v>
      </c>
      <c r="D7481" t="s">
        <v>291</v>
      </c>
      <c r="E7481" t="s">
        <v>420</v>
      </c>
      <c r="F7481">
        <f>HYPERLINK("https://www.wikidata.org/wiki/Q33323082", "Q33323082")</f>
        <v>0</v>
      </c>
      <c r="G7481" t="s">
        <v>3990</v>
      </c>
      <c r="H7481" t="s">
        <v>8231</v>
      </c>
      <c r="I7481" t="s">
        <v>7265</v>
      </c>
      <c r="J7481" t="s">
        <v>14539</v>
      </c>
      <c r="K7481" t="s">
        <v>18881</v>
      </c>
      <c r="L7481">
        <f>HYPERLINK("https://www2.assemblee-nationale.fr/sycomore/fiche/(num_dept)/4154", "4154")</f>
        <v>0</v>
      </c>
      <c r="N7481">
        <f>HYPERLINK("https://www.wikidata.org/wiki/Q16025893", "Q16025893")</f>
        <v>0</v>
      </c>
      <c r="O7481" t="s">
        <v>19965</v>
      </c>
      <c r="P7481" t="s">
        <v>20485</v>
      </c>
      <c r="Q7481" t="s">
        <v>20883</v>
      </c>
      <c r="R7481" t="s">
        <v>18881</v>
      </c>
      <c r="S7481">
        <v>889</v>
      </c>
    </row>
    <row r="7482" spans="1:19">
      <c r="A7482" t="s">
        <v>30</v>
      </c>
      <c r="B7482" t="s">
        <v>148</v>
      </c>
      <c r="C7482" t="s">
        <v>162</v>
      </c>
      <c r="D7482" t="s">
        <v>291</v>
      </c>
      <c r="E7482" t="s">
        <v>420</v>
      </c>
      <c r="F7482">
        <f>HYPERLINK("https://www.wikidata.org/wiki/Q33323082", "Q33323082")</f>
        <v>0</v>
      </c>
      <c r="G7482" t="s">
        <v>697</v>
      </c>
      <c r="H7482" t="s">
        <v>5455</v>
      </c>
      <c r="I7482" t="s">
        <v>9485</v>
      </c>
      <c r="J7482" t="s">
        <v>11447</v>
      </c>
      <c r="K7482" t="s">
        <v>15848</v>
      </c>
      <c r="L7482">
        <f>HYPERLINK("https://www2.assemblee-nationale.fr/sycomore/fiche/(num_dept)/4166", "4166")</f>
        <v>0</v>
      </c>
      <c r="N7482">
        <f>HYPERLINK("https://www.wikidata.org/wiki/Q3455687", "Q3455687")</f>
        <v>0</v>
      </c>
      <c r="O7482" t="s">
        <v>19961</v>
      </c>
      <c r="P7482" t="s">
        <v>20410</v>
      </c>
      <c r="Q7482" t="s">
        <v>20883</v>
      </c>
      <c r="R7482" t="s">
        <v>420</v>
      </c>
      <c r="S7482">
        <v>1495</v>
      </c>
    </row>
    <row r="7483" spans="1:19">
      <c r="A7483" t="s">
        <v>30</v>
      </c>
      <c r="B7483" t="s">
        <v>148</v>
      </c>
      <c r="C7483" t="s">
        <v>162</v>
      </c>
      <c r="D7483" t="s">
        <v>291</v>
      </c>
      <c r="E7483" t="s">
        <v>420</v>
      </c>
      <c r="F7483">
        <f>HYPERLINK("https://www.wikidata.org/wiki/Q33323082", "Q33323082")</f>
        <v>0</v>
      </c>
      <c r="G7483" t="s">
        <v>698</v>
      </c>
      <c r="H7483" t="s">
        <v>5456</v>
      </c>
      <c r="I7483" t="s">
        <v>9421</v>
      </c>
      <c r="J7483" t="s">
        <v>11448</v>
      </c>
      <c r="K7483" t="s">
        <v>15849</v>
      </c>
      <c r="L7483">
        <f>HYPERLINK("https://www2.assemblee-nationale.fr/sycomore/fiche/(num_dept)/4168", "4168")</f>
        <v>0</v>
      </c>
      <c r="M7483">
        <f>HYPERLINK("https://www.senat.fr/senateur-3eme-republique/lhopiteau_gustave0772r3.html", "lhopiteau_gustave0772r3")</f>
        <v>0</v>
      </c>
      <c r="N7483">
        <f>HYPERLINK("https://www.wikidata.org/wiki/Q3121244", "Q3121244")</f>
        <v>0</v>
      </c>
      <c r="O7483" t="s">
        <v>19971</v>
      </c>
      <c r="P7483" t="s">
        <v>20412</v>
      </c>
      <c r="Q7483" t="s">
        <v>20883</v>
      </c>
      <c r="R7483" t="s">
        <v>420</v>
      </c>
      <c r="S7483">
        <v>1495</v>
      </c>
    </row>
    <row r="7484" spans="1:19">
      <c r="A7484" t="s">
        <v>30</v>
      </c>
      <c r="B7484" t="s">
        <v>148</v>
      </c>
      <c r="C7484" t="s">
        <v>162</v>
      </c>
      <c r="D7484" t="s">
        <v>291</v>
      </c>
      <c r="E7484" t="s">
        <v>420</v>
      </c>
      <c r="F7484">
        <f>HYPERLINK("https://www.wikidata.org/wiki/Q33323082", "Q33323082")</f>
        <v>0</v>
      </c>
      <c r="G7484" t="s">
        <v>699</v>
      </c>
      <c r="H7484" t="s">
        <v>5457</v>
      </c>
      <c r="I7484" t="s">
        <v>9376</v>
      </c>
      <c r="J7484" t="s">
        <v>11449</v>
      </c>
      <c r="K7484" t="s">
        <v>15850</v>
      </c>
      <c r="L7484">
        <f>HYPERLINK("https://www2.assemblee-nationale.fr/sycomore/fiche/(num_dept)/4171", "4171")</f>
        <v>0</v>
      </c>
      <c r="M7484">
        <f>HYPERLINK("https://www.senat.fr/senateur-3eme-republique/de_la_batut_ferdinand0668r3.html", "de_la_batut_ferdinand0668r3")</f>
        <v>0</v>
      </c>
      <c r="N7484">
        <f>HYPERLINK("https://www.wikidata.org/wiki/Q3068680", "Q3068680")</f>
        <v>0</v>
      </c>
      <c r="O7484" t="s">
        <v>20010</v>
      </c>
      <c r="P7484" t="s">
        <v>20457</v>
      </c>
      <c r="Q7484" t="s">
        <v>20883</v>
      </c>
      <c r="R7484" t="s">
        <v>420</v>
      </c>
      <c r="S7484">
        <v>1495</v>
      </c>
    </row>
    <row r="7485" spans="1:19">
      <c r="A7485" t="s">
        <v>30</v>
      </c>
      <c r="B7485" t="s">
        <v>148</v>
      </c>
      <c r="C7485" t="s">
        <v>162</v>
      </c>
      <c r="D7485" t="s">
        <v>291</v>
      </c>
      <c r="E7485" t="s">
        <v>420</v>
      </c>
      <c r="F7485">
        <f>HYPERLINK("https://www.wikidata.org/wiki/Q33323082", "Q33323082")</f>
        <v>0</v>
      </c>
      <c r="G7485" t="s">
        <v>4070</v>
      </c>
      <c r="H7485" t="s">
        <v>7922</v>
      </c>
      <c r="I7485" t="s">
        <v>11091</v>
      </c>
      <c r="J7485" t="s">
        <v>14609</v>
      </c>
      <c r="K7485" t="s">
        <v>18947</v>
      </c>
      <c r="L7485">
        <f>HYPERLINK("https://www2.assemblee-nationale.fr/sycomore/fiche/(num_dept)/4173", "4173")</f>
        <v>0</v>
      </c>
      <c r="N7485">
        <f>HYPERLINK("https://www.wikidata.org/wiki/Q8326582", "Q8326582")</f>
        <v>0</v>
      </c>
      <c r="O7485" t="s">
        <v>19998</v>
      </c>
      <c r="P7485" t="s">
        <v>20410</v>
      </c>
      <c r="Q7485" t="s">
        <v>20883</v>
      </c>
      <c r="R7485" t="s">
        <v>420</v>
      </c>
      <c r="S7485">
        <v>1495</v>
      </c>
    </row>
    <row r="7486" spans="1:19">
      <c r="A7486" t="s">
        <v>30</v>
      </c>
      <c r="B7486" t="s">
        <v>148</v>
      </c>
      <c r="C7486" t="s">
        <v>162</v>
      </c>
      <c r="D7486" t="s">
        <v>291</v>
      </c>
      <c r="E7486" t="s">
        <v>420</v>
      </c>
      <c r="F7486">
        <f>HYPERLINK("https://www.wikidata.org/wiki/Q33323082", "Q33323082")</f>
        <v>0</v>
      </c>
      <c r="G7486" t="s">
        <v>3138</v>
      </c>
      <c r="H7486" t="s">
        <v>5458</v>
      </c>
      <c r="I7486" t="s">
        <v>10654</v>
      </c>
      <c r="J7486" t="s">
        <v>13760</v>
      </c>
      <c r="K7486" t="s">
        <v>18137</v>
      </c>
      <c r="L7486">
        <f>HYPERLINK("https://www2.assemblee-nationale.fr/sycomore/fiche/(num_dept)/4178", "4178")</f>
        <v>0</v>
      </c>
      <c r="N7486">
        <f>HYPERLINK("https://www.wikidata.org/wiki/Q3131569", "Q3131569")</f>
        <v>0</v>
      </c>
      <c r="O7486" t="s">
        <v>20023</v>
      </c>
      <c r="Q7486" t="s">
        <v>20883</v>
      </c>
      <c r="R7486" t="s">
        <v>420</v>
      </c>
      <c r="S7486">
        <v>1495</v>
      </c>
    </row>
    <row r="7487" spans="1:19">
      <c r="A7487" t="s">
        <v>30</v>
      </c>
      <c r="B7487" t="s">
        <v>148</v>
      </c>
      <c r="C7487" t="s">
        <v>162</v>
      </c>
      <c r="D7487" t="s">
        <v>291</v>
      </c>
      <c r="E7487" t="s">
        <v>420</v>
      </c>
      <c r="F7487">
        <f>HYPERLINK("https://www.wikidata.org/wiki/Q33323082", "Q33323082")</f>
        <v>0</v>
      </c>
      <c r="G7487" t="s">
        <v>4071</v>
      </c>
      <c r="H7487" t="s">
        <v>8290</v>
      </c>
      <c r="I7487" t="s">
        <v>11092</v>
      </c>
      <c r="J7487" t="s">
        <v>14610</v>
      </c>
      <c r="K7487" t="s">
        <v>18948</v>
      </c>
      <c r="L7487">
        <f>HYPERLINK("https://www2.assemblee-nationale.fr/sycomore/fiche/(num_dept)/4188", "4188")</f>
        <v>0</v>
      </c>
      <c r="N7487">
        <f>HYPERLINK("https://www.wikidata.org/wiki/Q8344175", "Q8344175")</f>
        <v>0</v>
      </c>
      <c r="O7487" t="s">
        <v>19972</v>
      </c>
      <c r="P7487" t="s">
        <v>20410</v>
      </c>
      <c r="Q7487" t="s">
        <v>20883</v>
      </c>
      <c r="R7487" t="s">
        <v>420</v>
      </c>
      <c r="S7487">
        <v>1495</v>
      </c>
    </row>
    <row r="7488" spans="1:19">
      <c r="A7488" t="s">
        <v>30</v>
      </c>
      <c r="B7488" t="s">
        <v>148</v>
      </c>
      <c r="C7488" t="s">
        <v>162</v>
      </c>
      <c r="D7488" t="s">
        <v>291</v>
      </c>
      <c r="E7488" t="s">
        <v>420</v>
      </c>
      <c r="F7488">
        <f>HYPERLINK("https://www.wikidata.org/wiki/Q33323082", "Q33323082")</f>
        <v>0</v>
      </c>
      <c r="G7488" t="s">
        <v>3793</v>
      </c>
      <c r="H7488" t="s">
        <v>7159</v>
      </c>
      <c r="I7488" t="s">
        <v>9389</v>
      </c>
      <c r="J7488" t="s">
        <v>14362</v>
      </c>
      <c r="K7488" t="s">
        <v>18712</v>
      </c>
      <c r="L7488">
        <f>HYPERLINK("https://www2.assemblee-nationale.fr/sycomore/fiche/(num_dept)/4211", "4211")</f>
        <v>0</v>
      </c>
      <c r="N7488">
        <f>HYPERLINK("https://www.wikidata.org/wiki/Q3588594", "Q3588594")</f>
        <v>0</v>
      </c>
      <c r="O7488" t="s">
        <v>19977</v>
      </c>
      <c r="P7488" t="s">
        <v>20485</v>
      </c>
      <c r="Q7488" t="s">
        <v>20883</v>
      </c>
      <c r="R7488" t="s">
        <v>420</v>
      </c>
      <c r="S7488">
        <v>1495</v>
      </c>
    </row>
    <row r="7489" spans="1:19">
      <c r="A7489" t="s">
        <v>30</v>
      </c>
      <c r="B7489" t="s">
        <v>148</v>
      </c>
      <c r="C7489" t="s">
        <v>162</v>
      </c>
      <c r="D7489" t="s">
        <v>291</v>
      </c>
      <c r="E7489" t="s">
        <v>420</v>
      </c>
      <c r="F7489">
        <f>HYPERLINK("https://www.wikidata.org/wiki/Q33323082", "Q33323082")</f>
        <v>0</v>
      </c>
      <c r="G7489" t="s">
        <v>703</v>
      </c>
      <c r="H7489" t="s">
        <v>5461</v>
      </c>
      <c r="I7489" t="s">
        <v>9375</v>
      </c>
      <c r="J7489" t="s">
        <v>11453</v>
      </c>
      <c r="K7489" t="s">
        <v>15854</v>
      </c>
      <c r="L7489">
        <f>HYPERLINK("https://www2.assemblee-nationale.fr/sycomore/fiche/(num_dept)/4220", "4220")</f>
        <v>0</v>
      </c>
      <c r="N7489">
        <f>HYPERLINK("https://www.wikidata.org/wiki/Q16025910", "Q16025910")</f>
        <v>0</v>
      </c>
      <c r="O7489" t="s">
        <v>20020</v>
      </c>
      <c r="P7489" t="s">
        <v>20401</v>
      </c>
      <c r="Q7489" t="s">
        <v>20883</v>
      </c>
      <c r="R7489" t="s">
        <v>420</v>
      </c>
      <c r="S7489">
        <v>1495</v>
      </c>
    </row>
    <row r="7490" spans="1:19">
      <c r="A7490" t="s">
        <v>30</v>
      </c>
      <c r="B7490" t="s">
        <v>148</v>
      </c>
      <c r="C7490" t="s">
        <v>162</v>
      </c>
      <c r="D7490" t="s">
        <v>291</v>
      </c>
      <c r="E7490" t="s">
        <v>420</v>
      </c>
      <c r="F7490">
        <f>HYPERLINK("https://www.wikidata.org/wiki/Q33323082", "Q33323082")</f>
        <v>0</v>
      </c>
      <c r="G7490" t="s">
        <v>3468</v>
      </c>
      <c r="H7490" t="s">
        <v>7841</v>
      </c>
      <c r="I7490" t="s">
        <v>6584</v>
      </c>
      <c r="J7490" t="s">
        <v>14069</v>
      </c>
      <c r="K7490" t="s">
        <v>18437</v>
      </c>
      <c r="L7490">
        <f>HYPERLINK("https://www2.assemblee-nationale.fr/sycomore/fiche/(num_dept)/4222", "4222")</f>
        <v>0</v>
      </c>
      <c r="N7490">
        <f>HYPERLINK("https://www.wikidata.org/wiki/Q2831302", "Q2831302")</f>
        <v>0</v>
      </c>
      <c r="O7490" t="s">
        <v>19974</v>
      </c>
      <c r="P7490" t="s">
        <v>20479</v>
      </c>
      <c r="Q7490" t="s">
        <v>20883</v>
      </c>
      <c r="R7490" t="s">
        <v>420</v>
      </c>
      <c r="S7490">
        <v>1495</v>
      </c>
    </row>
    <row r="7491" spans="1:19">
      <c r="A7491" t="s">
        <v>30</v>
      </c>
      <c r="B7491" t="s">
        <v>148</v>
      </c>
      <c r="C7491" t="s">
        <v>162</v>
      </c>
      <c r="D7491" t="s">
        <v>291</v>
      </c>
      <c r="E7491" t="s">
        <v>420</v>
      </c>
      <c r="F7491">
        <f>HYPERLINK("https://www.wikidata.org/wiki/Q33323082", "Q33323082")</f>
        <v>0</v>
      </c>
      <c r="G7491" t="s">
        <v>3712</v>
      </c>
      <c r="H7491" t="s">
        <v>5462</v>
      </c>
      <c r="I7491" t="s">
        <v>6495</v>
      </c>
      <c r="J7491" t="s">
        <v>14287</v>
      </c>
      <c r="K7491" t="s">
        <v>15701</v>
      </c>
      <c r="L7491">
        <f>HYPERLINK("https://www2.assemblee-nationale.fr/sycomore/fiche/(num_dept)/4228", "4228")</f>
        <v>0</v>
      </c>
      <c r="N7491">
        <f>HYPERLINK("https://www.wikidata.org/wiki/Q16025912", "Q16025912")</f>
        <v>0</v>
      </c>
      <c r="O7491" t="s">
        <v>19967</v>
      </c>
      <c r="P7491" t="s">
        <v>20401</v>
      </c>
      <c r="Q7491" t="s">
        <v>20883</v>
      </c>
      <c r="R7491" t="s">
        <v>420</v>
      </c>
      <c r="S7491">
        <v>1495</v>
      </c>
    </row>
    <row r="7492" spans="1:19">
      <c r="A7492" t="s">
        <v>30</v>
      </c>
      <c r="B7492" t="s">
        <v>148</v>
      </c>
      <c r="C7492" t="s">
        <v>162</v>
      </c>
      <c r="D7492" t="s">
        <v>291</v>
      </c>
      <c r="E7492" t="s">
        <v>420</v>
      </c>
      <c r="F7492">
        <f>HYPERLINK("https://www.wikidata.org/wiki/Q33323082", "Q33323082")</f>
        <v>0</v>
      </c>
      <c r="G7492" t="s">
        <v>707</v>
      </c>
      <c r="H7492" t="s">
        <v>5465</v>
      </c>
      <c r="I7492" t="s">
        <v>9453</v>
      </c>
      <c r="J7492" t="s">
        <v>11457</v>
      </c>
      <c r="K7492" t="s">
        <v>15858</v>
      </c>
      <c r="L7492">
        <f>HYPERLINK("https://www2.assemblee-nationale.fr/sycomore/fiche/(num_dept)/4312", "4312")</f>
        <v>0</v>
      </c>
      <c r="N7492">
        <f>HYPERLINK("https://www.wikidata.org/wiki/Q2865188", "Q2865188")</f>
        <v>0</v>
      </c>
      <c r="O7492" t="s">
        <v>19968</v>
      </c>
      <c r="P7492" t="s">
        <v>20485</v>
      </c>
      <c r="Q7492" t="s">
        <v>20883</v>
      </c>
      <c r="R7492" t="s">
        <v>420</v>
      </c>
      <c r="S7492">
        <v>1495</v>
      </c>
    </row>
    <row r="7493" spans="1:19">
      <c r="A7493" t="s">
        <v>30</v>
      </c>
      <c r="B7493" t="s">
        <v>148</v>
      </c>
      <c r="C7493" t="s">
        <v>162</v>
      </c>
      <c r="D7493" t="s">
        <v>291</v>
      </c>
      <c r="E7493" t="s">
        <v>420</v>
      </c>
      <c r="F7493">
        <f>HYPERLINK("https://www.wikidata.org/wiki/Q33323082", "Q33323082")</f>
        <v>0</v>
      </c>
      <c r="G7493" t="s">
        <v>708</v>
      </c>
      <c r="H7493" t="s">
        <v>5466</v>
      </c>
      <c r="I7493" t="s">
        <v>9442</v>
      </c>
      <c r="J7493" t="s">
        <v>11458</v>
      </c>
      <c r="K7493" t="s">
        <v>15859</v>
      </c>
      <c r="L7493">
        <f>HYPERLINK("https://www2.assemblee-nationale.fr/sycomore/fiche/(num_dept)/4320", "4320")</f>
        <v>0</v>
      </c>
      <c r="M7493">
        <f>HYPERLINK("https://www.senat.fr/senateur-3eme-republique/lamy_ernest0911r3.html", "lamy_ernest0911r3")</f>
        <v>0</v>
      </c>
      <c r="N7493">
        <f>HYPERLINK("https://www.wikidata.org/wiki/Q3057035", "Q3057035")</f>
        <v>0</v>
      </c>
      <c r="O7493" t="s">
        <v>19961</v>
      </c>
      <c r="P7493" t="s">
        <v>20410</v>
      </c>
      <c r="Q7493" t="s">
        <v>20883</v>
      </c>
      <c r="R7493" t="s">
        <v>420</v>
      </c>
      <c r="S7493">
        <v>1495</v>
      </c>
    </row>
    <row r="7494" spans="1:19">
      <c r="A7494" t="s">
        <v>30</v>
      </c>
      <c r="B7494" t="s">
        <v>148</v>
      </c>
      <c r="C7494" t="s">
        <v>162</v>
      </c>
      <c r="D7494" t="s">
        <v>291</v>
      </c>
      <c r="E7494" t="s">
        <v>420</v>
      </c>
      <c r="F7494">
        <f>HYPERLINK("https://www.wikidata.org/wiki/Q33323082", "Q33323082")</f>
        <v>0</v>
      </c>
      <c r="G7494" t="s">
        <v>984</v>
      </c>
      <c r="H7494" t="s">
        <v>5736</v>
      </c>
      <c r="I7494" t="s">
        <v>9606</v>
      </c>
      <c r="J7494" t="s">
        <v>11722</v>
      </c>
      <c r="K7494" t="s">
        <v>16126</v>
      </c>
      <c r="L7494">
        <f>HYPERLINK("https://www2.assemblee-nationale.fr/sycomore/fiche/(num_dept)/4328", "4328")</f>
        <v>0</v>
      </c>
      <c r="N7494">
        <f>HYPERLINK("https://www.wikidata.org/wiki/Q645606", "Q645606")</f>
        <v>0</v>
      </c>
      <c r="O7494" t="s">
        <v>19965</v>
      </c>
      <c r="P7494" t="s">
        <v>20401</v>
      </c>
      <c r="Q7494" t="s">
        <v>20883</v>
      </c>
      <c r="R7494" t="s">
        <v>420</v>
      </c>
      <c r="S7494">
        <v>1495</v>
      </c>
    </row>
    <row r="7495" spans="1:19">
      <c r="A7495" t="s">
        <v>30</v>
      </c>
      <c r="B7495" t="s">
        <v>148</v>
      </c>
      <c r="C7495" t="s">
        <v>162</v>
      </c>
      <c r="D7495" t="s">
        <v>291</v>
      </c>
      <c r="E7495" t="s">
        <v>420</v>
      </c>
      <c r="F7495">
        <f>HYPERLINK("https://www.wikidata.org/wiki/Q33323082", "Q33323082")</f>
        <v>0</v>
      </c>
      <c r="G7495" t="s">
        <v>710</v>
      </c>
      <c r="H7495" t="s">
        <v>5468</v>
      </c>
      <c r="I7495" t="s">
        <v>9491</v>
      </c>
      <c r="J7495" t="s">
        <v>11459</v>
      </c>
      <c r="K7495" t="s">
        <v>15861</v>
      </c>
      <c r="L7495">
        <f>HYPERLINK("https://www2.assemblee-nationale.fr/sycomore/fiche/(num_dept)/4339", "4339")</f>
        <v>0</v>
      </c>
      <c r="N7495">
        <f>HYPERLINK("https://www.wikidata.org/wiki/Q3370301", "Q3370301")</f>
        <v>0</v>
      </c>
      <c r="O7495" t="s">
        <v>19961</v>
      </c>
      <c r="P7495" t="s">
        <v>20504</v>
      </c>
      <c r="Q7495" t="s">
        <v>20883</v>
      </c>
      <c r="R7495" t="s">
        <v>420</v>
      </c>
      <c r="S7495">
        <v>1495</v>
      </c>
    </row>
    <row r="7496" spans="1:19">
      <c r="A7496" t="s">
        <v>30</v>
      </c>
      <c r="B7496" t="s">
        <v>148</v>
      </c>
      <c r="C7496" t="s">
        <v>162</v>
      </c>
      <c r="D7496" t="s">
        <v>291</v>
      </c>
      <c r="E7496" t="s">
        <v>420</v>
      </c>
      <c r="F7496">
        <f>HYPERLINK("https://www.wikidata.org/wiki/Q33323082", "Q33323082")</f>
        <v>0</v>
      </c>
      <c r="G7496" t="s">
        <v>711</v>
      </c>
      <c r="H7496" t="s">
        <v>5469</v>
      </c>
      <c r="I7496" t="s">
        <v>9492</v>
      </c>
      <c r="J7496" t="s">
        <v>11460</v>
      </c>
      <c r="K7496" t="s">
        <v>15862</v>
      </c>
      <c r="L7496">
        <f>HYPERLINK("https://www2.assemblee-nationale.fr/sycomore/fiche/(num_dept)/4341", "4341")</f>
        <v>0</v>
      </c>
      <c r="N7496">
        <f>HYPERLINK("https://www.wikidata.org/wiki/Q2825199", "Q2825199")</f>
        <v>0</v>
      </c>
      <c r="O7496" t="s">
        <v>20025</v>
      </c>
      <c r="P7496" t="s">
        <v>20479</v>
      </c>
      <c r="Q7496" t="s">
        <v>20883</v>
      </c>
      <c r="R7496" t="s">
        <v>420</v>
      </c>
      <c r="S7496">
        <v>1495</v>
      </c>
    </row>
    <row r="7497" spans="1:19">
      <c r="A7497" t="s">
        <v>30</v>
      </c>
      <c r="B7497" t="s">
        <v>148</v>
      </c>
      <c r="C7497" t="s">
        <v>162</v>
      </c>
      <c r="D7497" t="s">
        <v>291</v>
      </c>
      <c r="E7497" t="s">
        <v>420</v>
      </c>
      <c r="F7497">
        <f>HYPERLINK("https://www.wikidata.org/wiki/Q33323082", "Q33323082")</f>
        <v>0</v>
      </c>
      <c r="G7497" t="s">
        <v>1185</v>
      </c>
      <c r="H7497" t="s">
        <v>5915</v>
      </c>
      <c r="I7497" t="s">
        <v>9407</v>
      </c>
      <c r="J7497" t="s">
        <v>11918</v>
      </c>
      <c r="K7497" t="s">
        <v>16319</v>
      </c>
      <c r="L7497">
        <f>HYPERLINK("https://www2.assemblee-nationale.fr/sycomore/fiche/(num_dept)/4377", "4377")</f>
        <v>0</v>
      </c>
      <c r="N7497">
        <f>HYPERLINK("https://www.wikidata.org/wiki/Q3185212", "Q3185212")</f>
        <v>0</v>
      </c>
      <c r="O7497" t="s">
        <v>20003</v>
      </c>
      <c r="P7497" t="s">
        <v>20409</v>
      </c>
      <c r="Q7497" t="s">
        <v>20883</v>
      </c>
      <c r="R7497" t="s">
        <v>420</v>
      </c>
      <c r="S7497">
        <v>1495</v>
      </c>
    </row>
    <row r="7498" spans="1:19">
      <c r="A7498" t="s">
        <v>30</v>
      </c>
      <c r="B7498" t="s">
        <v>148</v>
      </c>
      <c r="C7498" t="s">
        <v>162</v>
      </c>
      <c r="D7498" t="s">
        <v>291</v>
      </c>
      <c r="E7498" t="s">
        <v>420</v>
      </c>
      <c r="F7498">
        <f>HYPERLINK("https://www.wikidata.org/wiki/Q33323082", "Q33323082")</f>
        <v>0</v>
      </c>
      <c r="G7498" t="s">
        <v>988</v>
      </c>
      <c r="H7498" t="s">
        <v>5740</v>
      </c>
      <c r="I7498" t="s">
        <v>9457</v>
      </c>
      <c r="J7498" t="s">
        <v>11726</v>
      </c>
      <c r="K7498" t="s">
        <v>16130</v>
      </c>
      <c r="L7498">
        <f>HYPERLINK("https://www2.assemblee-nationale.fr/sycomore/fiche/(num_dept)/4828", "4828")</f>
        <v>0</v>
      </c>
      <c r="N7498">
        <f>HYPERLINK("https://www.wikidata.org/wiki/Q16026012", "Q16026012")</f>
        <v>0</v>
      </c>
      <c r="O7498" t="s">
        <v>20034</v>
      </c>
      <c r="P7498" t="s">
        <v>20477</v>
      </c>
      <c r="Q7498" t="s">
        <v>20883</v>
      </c>
      <c r="R7498" t="s">
        <v>420</v>
      </c>
      <c r="S7498">
        <v>1495</v>
      </c>
    </row>
    <row r="7499" spans="1:19">
      <c r="A7499" t="s">
        <v>30</v>
      </c>
      <c r="B7499" t="s">
        <v>148</v>
      </c>
      <c r="C7499" t="s">
        <v>162</v>
      </c>
      <c r="D7499" t="s">
        <v>291</v>
      </c>
      <c r="E7499" t="s">
        <v>420</v>
      </c>
      <c r="F7499">
        <f>HYPERLINK("https://www.wikidata.org/wiki/Q33323082", "Q33323082")</f>
        <v>0</v>
      </c>
      <c r="G7499" t="s">
        <v>714</v>
      </c>
      <c r="H7499" t="s">
        <v>5472</v>
      </c>
      <c r="I7499" t="s">
        <v>9493</v>
      </c>
      <c r="J7499" t="s">
        <v>11463</v>
      </c>
      <c r="K7499" t="s">
        <v>15865</v>
      </c>
      <c r="L7499">
        <f>HYPERLINK("https://www2.assemblee-nationale.fr/sycomore/fiche/(num_dept)/4848", "4848")</f>
        <v>0</v>
      </c>
      <c r="N7499">
        <f>HYPERLINK("https://www.wikidata.org/wiki/Q3069783", "Q3069783")</f>
        <v>0</v>
      </c>
      <c r="O7499" t="s">
        <v>20007</v>
      </c>
      <c r="P7499" t="s">
        <v>20410</v>
      </c>
      <c r="Q7499" t="s">
        <v>20883</v>
      </c>
      <c r="R7499" t="s">
        <v>420</v>
      </c>
      <c r="S7499">
        <v>1495</v>
      </c>
    </row>
    <row r="7500" spans="1:19">
      <c r="A7500" t="s">
        <v>30</v>
      </c>
      <c r="B7500" t="s">
        <v>148</v>
      </c>
      <c r="C7500" t="s">
        <v>162</v>
      </c>
      <c r="D7500" t="s">
        <v>291</v>
      </c>
      <c r="E7500" t="s">
        <v>420</v>
      </c>
      <c r="F7500">
        <f>HYPERLINK("https://www.wikidata.org/wiki/Q33323082", "Q33323082")</f>
        <v>0</v>
      </c>
      <c r="G7500" t="s">
        <v>716</v>
      </c>
      <c r="H7500" t="s">
        <v>5474</v>
      </c>
      <c r="I7500" t="s">
        <v>9495</v>
      </c>
      <c r="J7500" t="s">
        <v>11465</v>
      </c>
      <c r="K7500" t="s">
        <v>15867</v>
      </c>
      <c r="L7500">
        <f>HYPERLINK("https://www2.assemblee-nationale.fr/sycomore/fiche/(num_dept)/4868", "4868")</f>
        <v>0</v>
      </c>
      <c r="N7500">
        <f>HYPERLINK("https://www.wikidata.org/wiki/Q2862011", "Q2862011")</f>
        <v>0</v>
      </c>
      <c r="O7500" t="s">
        <v>19957</v>
      </c>
      <c r="P7500" t="s">
        <v>20504</v>
      </c>
      <c r="Q7500" t="s">
        <v>20883</v>
      </c>
      <c r="R7500" t="s">
        <v>420</v>
      </c>
      <c r="S7500">
        <v>1495</v>
      </c>
    </row>
    <row r="7501" spans="1:19">
      <c r="A7501" t="s">
        <v>30</v>
      </c>
      <c r="B7501" t="s">
        <v>148</v>
      </c>
      <c r="C7501" t="s">
        <v>162</v>
      </c>
      <c r="D7501" t="s">
        <v>291</v>
      </c>
      <c r="E7501" t="s">
        <v>420</v>
      </c>
      <c r="F7501">
        <f>HYPERLINK("https://www.wikidata.org/wiki/Q33323082", "Q33323082")</f>
        <v>0</v>
      </c>
      <c r="G7501" t="s">
        <v>2964</v>
      </c>
      <c r="H7501" t="s">
        <v>7434</v>
      </c>
      <c r="I7501" t="s">
        <v>6166</v>
      </c>
      <c r="J7501" t="s">
        <v>13596</v>
      </c>
      <c r="K7501" t="s">
        <v>17982</v>
      </c>
      <c r="L7501">
        <f>HYPERLINK("https://www2.assemblee-nationale.fr/sycomore/fiche/(num_dept)/4897", "4897")</f>
        <v>0</v>
      </c>
      <c r="N7501">
        <f>HYPERLINK("https://www.wikidata.org/wiki/Q962478", "Q962478")</f>
        <v>0</v>
      </c>
      <c r="O7501" t="s">
        <v>19963</v>
      </c>
      <c r="Q7501" t="s">
        <v>20883</v>
      </c>
      <c r="R7501" t="s">
        <v>420</v>
      </c>
      <c r="S7501">
        <v>1495</v>
      </c>
    </row>
    <row r="7502" spans="1:19">
      <c r="A7502" t="s">
        <v>30</v>
      </c>
      <c r="B7502" t="s">
        <v>148</v>
      </c>
      <c r="C7502" t="s">
        <v>162</v>
      </c>
      <c r="D7502" t="s">
        <v>291</v>
      </c>
      <c r="E7502" t="s">
        <v>420</v>
      </c>
      <c r="F7502">
        <f>HYPERLINK("https://www.wikidata.org/wiki/Q33323082", "Q33323082")</f>
        <v>0</v>
      </c>
      <c r="G7502" t="s">
        <v>3923</v>
      </c>
      <c r="H7502" t="s">
        <v>8179</v>
      </c>
      <c r="I7502" t="s">
        <v>11026</v>
      </c>
      <c r="J7502" t="s">
        <v>14479</v>
      </c>
      <c r="K7502" t="s">
        <v>18828</v>
      </c>
      <c r="L7502">
        <f>HYPERLINK("https://www2.assemblee-nationale.fr/sycomore/fiche/(num_dept)/4917", "4917")</f>
        <v>0</v>
      </c>
      <c r="N7502">
        <f>HYPERLINK("https://www.wikidata.org/wiki/Q16026030", "Q16026030")</f>
        <v>0</v>
      </c>
      <c r="O7502" t="s">
        <v>19955</v>
      </c>
      <c r="P7502" t="s">
        <v>20402</v>
      </c>
      <c r="Q7502" t="s">
        <v>20883</v>
      </c>
      <c r="R7502" t="s">
        <v>18828</v>
      </c>
      <c r="S7502">
        <v>672</v>
      </c>
    </row>
    <row r="7503" spans="1:19">
      <c r="A7503" t="s">
        <v>30</v>
      </c>
      <c r="B7503" t="s">
        <v>148</v>
      </c>
      <c r="C7503" t="s">
        <v>162</v>
      </c>
      <c r="D7503" t="s">
        <v>291</v>
      </c>
      <c r="E7503" t="s">
        <v>420</v>
      </c>
      <c r="F7503">
        <f>HYPERLINK("https://www.wikidata.org/wiki/Q33323082", "Q33323082")</f>
        <v>0</v>
      </c>
      <c r="G7503" t="s">
        <v>722</v>
      </c>
      <c r="H7503" t="s">
        <v>5480</v>
      </c>
      <c r="I7503" t="s">
        <v>9465</v>
      </c>
      <c r="J7503" t="s">
        <v>11471</v>
      </c>
      <c r="K7503" t="s">
        <v>15873</v>
      </c>
      <c r="L7503">
        <f>HYPERLINK("https://www2.assemblee-nationale.fr/sycomore/fiche/(num_dept)/4954", "4954")</f>
        <v>0</v>
      </c>
      <c r="M7503">
        <f>HYPERLINK("https://www.senat.fr/senateur-3eme-republique/mando_eugene0573r3.html", "mando_eugene0573r3")</f>
        <v>0</v>
      </c>
      <c r="N7503">
        <f>HYPERLINK("https://www.wikidata.org/wiki/Q3060013", "Q3060013")</f>
        <v>0</v>
      </c>
      <c r="O7503" t="s">
        <v>19964</v>
      </c>
      <c r="P7503" t="s">
        <v>20479</v>
      </c>
      <c r="Q7503" t="s">
        <v>20883</v>
      </c>
      <c r="R7503" t="s">
        <v>420</v>
      </c>
      <c r="S7503">
        <v>1495</v>
      </c>
    </row>
    <row r="7504" spans="1:19">
      <c r="A7504" t="s">
        <v>30</v>
      </c>
      <c r="B7504" t="s">
        <v>148</v>
      </c>
      <c r="C7504" t="s">
        <v>162</v>
      </c>
      <c r="D7504" t="s">
        <v>291</v>
      </c>
      <c r="E7504" t="s">
        <v>420</v>
      </c>
      <c r="F7504">
        <f>HYPERLINK("https://www.wikidata.org/wiki/Q33323082", "Q33323082")</f>
        <v>0</v>
      </c>
      <c r="G7504" t="s">
        <v>4072</v>
      </c>
      <c r="H7504" t="s">
        <v>6225</v>
      </c>
      <c r="I7504" t="s">
        <v>11093</v>
      </c>
      <c r="J7504" t="s">
        <v>14611</v>
      </c>
      <c r="K7504" t="s">
        <v>18949</v>
      </c>
      <c r="L7504">
        <f>HYPERLINK("https://www2.assemblee-nationale.fr/sycomore/fiche/(num_dept)/5015", "5015")</f>
        <v>0</v>
      </c>
      <c r="N7504">
        <f>HYPERLINK("https://www.wikidata.org/wiki/Q16026047", "Q16026047")</f>
        <v>0</v>
      </c>
      <c r="O7504" t="s">
        <v>20031</v>
      </c>
      <c r="Q7504" t="s">
        <v>20883</v>
      </c>
      <c r="R7504" t="s">
        <v>420</v>
      </c>
      <c r="S7504">
        <v>1495</v>
      </c>
    </row>
    <row r="7505" spans="1:19">
      <c r="A7505" t="s">
        <v>30</v>
      </c>
      <c r="B7505" t="s">
        <v>148</v>
      </c>
      <c r="C7505" t="s">
        <v>162</v>
      </c>
      <c r="D7505" t="s">
        <v>291</v>
      </c>
      <c r="E7505" t="s">
        <v>420</v>
      </c>
      <c r="F7505">
        <f>HYPERLINK("https://www.wikidata.org/wiki/Q33323082", "Q33323082")</f>
        <v>0</v>
      </c>
      <c r="G7505" t="s">
        <v>4039</v>
      </c>
      <c r="H7505" t="s">
        <v>6501</v>
      </c>
      <c r="I7505" t="s">
        <v>6495</v>
      </c>
      <c r="J7505" t="s">
        <v>14580</v>
      </c>
      <c r="K7505" t="s">
        <v>16212</v>
      </c>
      <c r="L7505">
        <f>HYPERLINK("https://www2.assemblee-nationale.fr/sycomore/fiche/(num_dept)/5043", "5043")</f>
        <v>0</v>
      </c>
      <c r="N7505">
        <f>HYPERLINK("https://www.wikidata.org/wiki/Q3262649", "Q3262649")</f>
        <v>0</v>
      </c>
      <c r="O7505" t="s">
        <v>20042</v>
      </c>
      <c r="P7505" t="s">
        <v>20402</v>
      </c>
      <c r="Q7505" t="s">
        <v>20883</v>
      </c>
      <c r="R7505" t="s">
        <v>420</v>
      </c>
      <c r="S7505">
        <v>1495</v>
      </c>
    </row>
    <row r="7506" spans="1:19">
      <c r="A7506" t="s">
        <v>30</v>
      </c>
      <c r="B7506" t="s">
        <v>148</v>
      </c>
      <c r="C7506" t="s">
        <v>162</v>
      </c>
      <c r="D7506" t="s">
        <v>291</v>
      </c>
      <c r="E7506" t="s">
        <v>420</v>
      </c>
      <c r="F7506">
        <f>HYPERLINK("https://www.wikidata.org/wiki/Q33323082", "Q33323082")</f>
        <v>0</v>
      </c>
      <c r="G7506" t="s">
        <v>3476</v>
      </c>
      <c r="H7506" t="s">
        <v>7849</v>
      </c>
      <c r="I7506" t="s">
        <v>9437</v>
      </c>
      <c r="J7506" t="s">
        <v>14076</v>
      </c>
      <c r="K7506" t="s">
        <v>18023</v>
      </c>
      <c r="L7506">
        <f>HYPERLINK("https://www2.assemblee-nationale.fr/sycomore/fiche/(num_dept)/5059", "5059")</f>
        <v>0</v>
      </c>
      <c r="N7506">
        <f>HYPERLINK("https://www.wikidata.org/wiki/Q3588648", "Q3588648")</f>
        <v>0</v>
      </c>
      <c r="O7506" t="s">
        <v>19967</v>
      </c>
      <c r="P7506" t="s">
        <v>20401</v>
      </c>
      <c r="Q7506" t="s">
        <v>20883</v>
      </c>
      <c r="R7506" t="s">
        <v>420</v>
      </c>
      <c r="S7506">
        <v>1495</v>
      </c>
    </row>
    <row r="7507" spans="1:19">
      <c r="A7507" t="s">
        <v>30</v>
      </c>
      <c r="B7507" t="s">
        <v>148</v>
      </c>
      <c r="C7507" t="s">
        <v>162</v>
      </c>
      <c r="D7507" t="s">
        <v>291</v>
      </c>
      <c r="E7507" t="s">
        <v>420</v>
      </c>
      <c r="F7507">
        <f>HYPERLINK("https://www.wikidata.org/wiki/Q33323082", "Q33323082")</f>
        <v>0</v>
      </c>
      <c r="G7507" t="s">
        <v>726</v>
      </c>
      <c r="H7507" t="s">
        <v>5484</v>
      </c>
      <c r="I7507" t="s">
        <v>9498</v>
      </c>
      <c r="J7507" t="s">
        <v>11475</v>
      </c>
      <c r="K7507" t="s">
        <v>15877</v>
      </c>
      <c r="L7507">
        <f>HYPERLINK("https://www2.assemblee-nationale.fr/sycomore/fiche/(num_dept)/5068", "5068")</f>
        <v>0</v>
      </c>
      <c r="M7507">
        <f>HYPERLINK("https://www.senat.fr/senateur-3eme-republique/massabuau_joseph0289r3.html", "massabuau_joseph0289r3")</f>
        <v>0</v>
      </c>
      <c r="N7507">
        <f>HYPERLINK("https://www.wikidata.org/wiki/Q3185335", "Q3185335")</f>
        <v>0</v>
      </c>
      <c r="O7507" t="s">
        <v>19967</v>
      </c>
      <c r="P7507" t="s">
        <v>20410</v>
      </c>
      <c r="Q7507" t="s">
        <v>20883</v>
      </c>
      <c r="R7507" t="s">
        <v>420</v>
      </c>
      <c r="S7507">
        <v>1495</v>
      </c>
    </row>
    <row r="7508" spans="1:19">
      <c r="A7508" t="s">
        <v>30</v>
      </c>
      <c r="B7508" t="s">
        <v>148</v>
      </c>
      <c r="C7508" t="s">
        <v>162</v>
      </c>
      <c r="D7508" t="s">
        <v>291</v>
      </c>
      <c r="E7508" t="s">
        <v>420</v>
      </c>
      <c r="F7508">
        <f>HYPERLINK("https://www.wikidata.org/wiki/Q33323082", "Q33323082")</f>
        <v>0</v>
      </c>
      <c r="G7508" t="s">
        <v>4073</v>
      </c>
      <c r="H7508" t="s">
        <v>8291</v>
      </c>
      <c r="I7508" t="s">
        <v>9401</v>
      </c>
      <c r="J7508" t="s">
        <v>14612</v>
      </c>
      <c r="K7508" t="s">
        <v>18950</v>
      </c>
      <c r="L7508">
        <f>HYPERLINK("https://www2.assemblee-nationale.fr/sycomore/fiche/(num_dept)/5123", "5123")</f>
        <v>0</v>
      </c>
      <c r="N7508">
        <f>HYPERLINK("https://www.wikidata.org/wiki/Q8309906", "Q8309906")</f>
        <v>0</v>
      </c>
      <c r="O7508" t="s">
        <v>20024</v>
      </c>
      <c r="P7508" t="s">
        <v>20401</v>
      </c>
      <c r="Q7508" t="s">
        <v>20883</v>
      </c>
      <c r="R7508" t="s">
        <v>420</v>
      </c>
      <c r="S7508">
        <v>1495</v>
      </c>
    </row>
    <row r="7509" spans="1:19">
      <c r="A7509" t="s">
        <v>30</v>
      </c>
      <c r="B7509" t="s">
        <v>148</v>
      </c>
      <c r="C7509" t="s">
        <v>162</v>
      </c>
      <c r="D7509" t="s">
        <v>291</v>
      </c>
      <c r="E7509" t="s">
        <v>420</v>
      </c>
      <c r="F7509">
        <f>HYPERLINK("https://www.wikidata.org/wiki/Q33323082", "Q33323082")</f>
        <v>0</v>
      </c>
      <c r="G7509" t="s">
        <v>3995</v>
      </c>
      <c r="H7509" t="s">
        <v>8235</v>
      </c>
      <c r="I7509" t="s">
        <v>11053</v>
      </c>
      <c r="J7509" t="s">
        <v>14543</v>
      </c>
      <c r="K7509" t="s">
        <v>18885</v>
      </c>
      <c r="L7509">
        <f>HYPERLINK("https://www2.assemblee-nationale.fr/sycomore/fiche/(num_dept)/5132", "5132")</f>
        <v>0</v>
      </c>
      <c r="N7509">
        <f>HYPERLINK("https://www.wikidata.org/wiki/Q16026072", "Q16026072")</f>
        <v>0</v>
      </c>
      <c r="O7509" t="s">
        <v>20021</v>
      </c>
      <c r="P7509" t="s">
        <v>20509</v>
      </c>
      <c r="Q7509" t="s">
        <v>20883</v>
      </c>
      <c r="R7509" t="s">
        <v>420</v>
      </c>
      <c r="S7509">
        <v>1495</v>
      </c>
    </row>
    <row r="7510" spans="1:19">
      <c r="A7510" t="s">
        <v>30</v>
      </c>
      <c r="B7510" t="s">
        <v>148</v>
      </c>
      <c r="C7510" t="s">
        <v>162</v>
      </c>
      <c r="D7510" t="s">
        <v>291</v>
      </c>
      <c r="E7510" t="s">
        <v>420</v>
      </c>
      <c r="F7510">
        <f>HYPERLINK("https://www.wikidata.org/wiki/Q33323082", "Q33323082")</f>
        <v>0</v>
      </c>
      <c r="G7510" t="s">
        <v>4074</v>
      </c>
      <c r="H7510" t="s">
        <v>8292</v>
      </c>
      <c r="I7510" t="s">
        <v>6860</v>
      </c>
      <c r="J7510" t="s">
        <v>14613</v>
      </c>
      <c r="K7510" t="s">
        <v>18951</v>
      </c>
      <c r="L7510">
        <f>HYPERLINK("https://www2.assemblee-nationale.fr/sycomore/fiche/(num_dept)/5148", "5148")</f>
        <v>0</v>
      </c>
      <c r="M7510">
        <f>HYPERLINK("https://www.senat.fr/senateur-3eme-republique/maziere_pierre0644r3.html", "maziere_pierre0644r3")</f>
        <v>0</v>
      </c>
      <c r="N7510">
        <f>HYPERLINK("https://www.wikidata.org/wiki/Q3386232", "Q3386232")</f>
        <v>0</v>
      </c>
      <c r="O7510" t="s">
        <v>19979</v>
      </c>
      <c r="P7510" t="s">
        <v>20477</v>
      </c>
      <c r="Q7510" t="s">
        <v>20883</v>
      </c>
      <c r="R7510" t="s">
        <v>21611</v>
      </c>
      <c r="S7510">
        <v>275</v>
      </c>
    </row>
    <row r="7511" spans="1:19">
      <c r="A7511" t="s">
        <v>30</v>
      </c>
      <c r="B7511" t="s">
        <v>148</v>
      </c>
      <c r="C7511" t="s">
        <v>162</v>
      </c>
      <c r="D7511" t="s">
        <v>291</v>
      </c>
      <c r="E7511" t="s">
        <v>420</v>
      </c>
      <c r="F7511">
        <f>HYPERLINK("https://www.wikidata.org/wiki/Q33323082", "Q33323082")</f>
        <v>0</v>
      </c>
      <c r="G7511" t="s">
        <v>2629</v>
      </c>
      <c r="H7511" t="s">
        <v>7175</v>
      </c>
      <c r="I7511" t="s">
        <v>9449</v>
      </c>
      <c r="J7511" t="s">
        <v>13271</v>
      </c>
      <c r="K7511" t="s">
        <v>17673</v>
      </c>
      <c r="L7511">
        <f>HYPERLINK("https://www2.assemblee-nationale.fr/sycomore/fiche/(num_dept)/5168", "5168")</f>
        <v>0</v>
      </c>
      <c r="M7511">
        <f>HYPERLINK("https://www.senat.fr/senateur-3eme-republique/meline_jules1799r3.html", "meline_jules1799r3")</f>
        <v>0</v>
      </c>
      <c r="N7511">
        <f>HYPERLINK("https://www.wikidata.org/wiki/Q459914", "Q459914")</f>
        <v>0</v>
      </c>
      <c r="O7511" t="s">
        <v>20017</v>
      </c>
      <c r="Q7511" t="s">
        <v>20883</v>
      </c>
      <c r="R7511" t="s">
        <v>21612</v>
      </c>
      <c r="S7511">
        <v>558</v>
      </c>
    </row>
    <row r="7512" spans="1:19">
      <c r="A7512" t="s">
        <v>30</v>
      </c>
      <c r="B7512" t="s">
        <v>148</v>
      </c>
      <c r="C7512" t="s">
        <v>162</v>
      </c>
      <c r="D7512" t="s">
        <v>291</v>
      </c>
      <c r="E7512" t="s">
        <v>420</v>
      </c>
      <c r="F7512">
        <f>HYPERLINK("https://www.wikidata.org/wiki/Q33323082", "Q33323082")</f>
        <v>0</v>
      </c>
      <c r="G7512" t="s">
        <v>3997</v>
      </c>
      <c r="H7512" t="s">
        <v>6603</v>
      </c>
      <c r="I7512" t="s">
        <v>11055</v>
      </c>
      <c r="J7512" t="s">
        <v>11345</v>
      </c>
      <c r="K7512" t="s">
        <v>18887</v>
      </c>
      <c r="L7512">
        <f>HYPERLINK("https://www2.assemblee-nationale.fr/sycomore/fiche/(num_dept)/5179", "5179")</f>
        <v>0</v>
      </c>
      <c r="M7512">
        <f>HYPERLINK("https://www.senat.fr/senateur-3eme-republique/menier_gaston1610r3.html", "menier_gaston1610r3")</f>
        <v>0</v>
      </c>
      <c r="N7512">
        <f>HYPERLINK("https://www.wikidata.org/wiki/Q3099085", "Q3099085")</f>
        <v>0</v>
      </c>
      <c r="O7512" t="s">
        <v>20026</v>
      </c>
      <c r="P7512" t="s">
        <v>20401</v>
      </c>
      <c r="Q7512" t="s">
        <v>20883</v>
      </c>
      <c r="R7512" t="s">
        <v>420</v>
      </c>
      <c r="S7512">
        <v>1495</v>
      </c>
    </row>
    <row r="7513" spans="1:19">
      <c r="A7513" t="s">
        <v>30</v>
      </c>
      <c r="B7513" t="s">
        <v>148</v>
      </c>
      <c r="C7513" t="s">
        <v>162</v>
      </c>
      <c r="D7513" t="s">
        <v>291</v>
      </c>
      <c r="E7513" t="s">
        <v>420</v>
      </c>
      <c r="F7513">
        <f>HYPERLINK("https://www.wikidata.org/wiki/Q33323082", "Q33323082")</f>
        <v>0</v>
      </c>
      <c r="G7513" t="s">
        <v>3821</v>
      </c>
      <c r="H7513" t="s">
        <v>6235</v>
      </c>
      <c r="I7513" t="s">
        <v>9449</v>
      </c>
      <c r="J7513" t="s">
        <v>14387</v>
      </c>
      <c r="K7513" t="s">
        <v>18739</v>
      </c>
      <c r="L7513">
        <f>HYPERLINK("https://www2.assemblee-nationale.fr/sycomore/fiche/(num_dept)/5196", "5196")</f>
        <v>0</v>
      </c>
      <c r="M7513">
        <f>HYPERLINK("https://www.senat.fr/senateur-3eme-republique/mercier_jules1308r3.html", "mercier_jules1308r3")</f>
        <v>0</v>
      </c>
      <c r="N7513">
        <f>HYPERLINK("https://www.wikidata.org/wiki/Q3188780", "Q3188780")</f>
        <v>0</v>
      </c>
      <c r="O7513" t="s">
        <v>20018</v>
      </c>
      <c r="P7513" t="s">
        <v>20457</v>
      </c>
      <c r="Q7513" t="s">
        <v>20883</v>
      </c>
      <c r="R7513" t="s">
        <v>420</v>
      </c>
      <c r="S7513">
        <v>1495</v>
      </c>
    </row>
    <row r="7514" spans="1:19">
      <c r="A7514" t="s">
        <v>30</v>
      </c>
      <c r="B7514" t="s">
        <v>148</v>
      </c>
      <c r="C7514" t="s">
        <v>162</v>
      </c>
      <c r="D7514" t="s">
        <v>291</v>
      </c>
      <c r="E7514" t="s">
        <v>420</v>
      </c>
      <c r="F7514">
        <f>HYPERLINK("https://www.wikidata.org/wiki/Q33323082", "Q33323082")</f>
        <v>0</v>
      </c>
      <c r="G7514" t="s">
        <v>4075</v>
      </c>
      <c r="H7514" t="s">
        <v>6941</v>
      </c>
      <c r="I7514" t="s">
        <v>11094</v>
      </c>
      <c r="J7514" t="s">
        <v>14614</v>
      </c>
      <c r="K7514" t="s">
        <v>16353</v>
      </c>
      <c r="L7514">
        <f>HYPERLINK("https://www2.assemblee-nationale.fr/sycomore/fiche/(num_dept)/5255", "5255")</f>
        <v>0</v>
      </c>
      <c r="N7514">
        <f>HYPERLINK("https://www.wikidata.org/wiki/Q16026098", "Q16026098")</f>
        <v>0</v>
      </c>
      <c r="O7514" t="s">
        <v>19993</v>
      </c>
      <c r="Q7514" t="s">
        <v>20883</v>
      </c>
      <c r="R7514" t="s">
        <v>420</v>
      </c>
      <c r="S7514">
        <v>1495</v>
      </c>
    </row>
    <row r="7515" spans="1:19">
      <c r="A7515" t="s">
        <v>30</v>
      </c>
      <c r="B7515" t="s">
        <v>148</v>
      </c>
      <c r="C7515" t="s">
        <v>162</v>
      </c>
      <c r="D7515" t="s">
        <v>291</v>
      </c>
      <c r="E7515" t="s">
        <v>420</v>
      </c>
      <c r="F7515">
        <f>HYPERLINK("https://www.wikidata.org/wiki/Q33323082", "Q33323082")</f>
        <v>0</v>
      </c>
      <c r="G7515" t="s">
        <v>732</v>
      </c>
      <c r="H7515" t="s">
        <v>5490</v>
      </c>
      <c r="I7515" t="s">
        <v>9455</v>
      </c>
      <c r="J7515" t="s">
        <v>11481</v>
      </c>
      <c r="K7515" t="s">
        <v>15883</v>
      </c>
      <c r="L7515">
        <f>HYPERLINK("https://www2.assemblee-nationale.fr/sycomore/fiche/(num_dept)/5286", "5286")</f>
        <v>0</v>
      </c>
      <c r="N7515">
        <f>HYPERLINK("https://www.wikidata.org/wiki/Q3265642", "Q3265642")</f>
        <v>0</v>
      </c>
      <c r="O7515" t="s">
        <v>19969</v>
      </c>
      <c r="P7515" t="s">
        <v>20409</v>
      </c>
      <c r="Q7515" t="s">
        <v>20883</v>
      </c>
      <c r="R7515" t="s">
        <v>420</v>
      </c>
      <c r="S7515">
        <v>1495</v>
      </c>
    </row>
    <row r="7516" spans="1:19">
      <c r="A7516" t="s">
        <v>30</v>
      </c>
      <c r="B7516" t="s">
        <v>148</v>
      </c>
      <c r="C7516" t="s">
        <v>162</v>
      </c>
      <c r="D7516" t="s">
        <v>291</v>
      </c>
      <c r="E7516" t="s">
        <v>420</v>
      </c>
      <c r="F7516">
        <f>HYPERLINK("https://www.wikidata.org/wiki/Q33323082", "Q33323082")</f>
        <v>0</v>
      </c>
      <c r="G7516" t="s">
        <v>4035</v>
      </c>
      <c r="H7516" t="s">
        <v>8183</v>
      </c>
      <c r="I7516" t="s">
        <v>7911</v>
      </c>
      <c r="J7516" t="s">
        <v>14576</v>
      </c>
      <c r="K7516" t="s">
        <v>18918</v>
      </c>
      <c r="L7516">
        <f>HYPERLINK("https://www2.assemblee-nationale.fr/sycomore/fiche/(num_dept)/5299", "5299")</f>
        <v>0</v>
      </c>
      <c r="N7516">
        <f>HYPERLINK("https://www.wikidata.org/wiki/Q3093878", "Q3093878")</f>
        <v>0</v>
      </c>
      <c r="O7516" t="s">
        <v>20011</v>
      </c>
      <c r="P7516" t="s">
        <v>20479</v>
      </c>
      <c r="Q7516" t="s">
        <v>20883</v>
      </c>
      <c r="R7516" t="s">
        <v>420</v>
      </c>
      <c r="S7516">
        <v>1495</v>
      </c>
    </row>
    <row r="7517" spans="1:19">
      <c r="A7517" t="s">
        <v>30</v>
      </c>
      <c r="B7517" t="s">
        <v>148</v>
      </c>
      <c r="C7517" t="s">
        <v>162</v>
      </c>
      <c r="D7517" t="s">
        <v>291</v>
      </c>
      <c r="E7517" t="s">
        <v>420</v>
      </c>
      <c r="F7517">
        <f>HYPERLINK("https://www.wikidata.org/wiki/Q33323082", "Q33323082")</f>
        <v>0</v>
      </c>
      <c r="G7517" t="s">
        <v>3797</v>
      </c>
      <c r="H7517" t="s">
        <v>8082</v>
      </c>
      <c r="I7517" t="s">
        <v>5528</v>
      </c>
      <c r="J7517" t="s">
        <v>14366</v>
      </c>
      <c r="K7517" t="s">
        <v>18716</v>
      </c>
      <c r="L7517">
        <f>HYPERLINK("https://www2.assemblee-nationale.fr/sycomore/fiche/(num_dept)/5305", "5305")</f>
        <v>0</v>
      </c>
      <c r="N7517">
        <f>HYPERLINK("https://www.wikidata.org/wiki/Q14218268", "Q14218268")</f>
        <v>0</v>
      </c>
      <c r="O7517" t="s">
        <v>20025</v>
      </c>
      <c r="Q7517" t="s">
        <v>20883</v>
      </c>
      <c r="R7517" t="s">
        <v>21613</v>
      </c>
      <c r="S7517">
        <v>1262</v>
      </c>
    </row>
    <row r="7518" spans="1:19">
      <c r="A7518" t="s">
        <v>30</v>
      </c>
      <c r="B7518" t="s">
        <v>148</v>
      </c>
      <c r="C7518" t="s">
        <v>162</v>
      </c>
      <c r="D7518" t="s">
        <v>291</v>
      </c>
      <c r="E7518" t="s">
        <v>420</v>
      </c>
      <c r="F7518">
        <f>HYPERLINK("https://www.wikidata.org/wiki/Q33323082", "Q33323082")</f>
        <v>0</v>
      </c>
      <c r="G7518" t="s">
        <v>4034</v>
      </c>
      <c r="H7518" t="s">
        <v>8265</v>
      </c>
      <c r="I7518" t="s">
        <v>9401</v>
      </c>
      <c r="J7518" t="s">
        <v>14575</v>
      </c>
      <c r="K7518" t="s">
        <v>18917</v>
      </c>
      <c r="L7518">
        <f>HYPERLINK("https://www2.assemblee-nationale.fr/sycomore/fiche/(num_dept)/5330", "5330")</f>
        <v>0</v>
      </c>
      <c r="M7518">
        <f>HYPERLINK("https://www.senat.fr/senateur-3eme-republique/mollard_antoine0451r3.html", "mollard_antoine0451r3")</f>
        <v>0</v>
      </c>
      <c r="N7518">
        <f>HYPERLINK("https://www.wikidata.org/wiki/Q2854255", "Q2854255")</f>
        <v>0</v>
      </c>
      <c r="O7518" t="s">
        <v>20041</v>
      </c>
      <c r="P7518" t="s">
        <v>20402</v>
      </c>
      <c r="Q7518" t="s">
        <v>20883</v>
      </c>
      <c r="R7518" t="s">
        <v>21597</v>
      </c>
      <c r="S7518">
        <v>1362</v>
      </c>
    </row>
    <row r="7519" spans="1:19">
      <c r="A7519" t="s">
        <v>30</v>
      </c>
      <c r="B7519" t="s">
        <v>148</v>
      </c>
      <c r="C7519" t="s">
        <v>162</v>
      </c>
      <c r="D7519" t="s">
        <v>291</v>
      </c>
      <c r="E7519" t="s">
        <v>420</v>
      </c>
      <c r="F7519">
        <f>HYPERLINK("https://www.wikidata.org/wiki/Q33323082", "Q33323082")</f>
        <v>0</v>
      </c>
      <c r="G7519" t="s">
        <v>3998</v>
      </c>
      <c r="H7519" t="s">
        <v>8237</v>
      </c>
      <c r="I7519" t="s">
        <v>11056</v>
      </c>
      <c r="J7519" t="s">
        <v>14545</v>
      </c>
      <c r="K7519" t="s">
        <v>18888</v>
      </c>
      <c r="L7519">
        <f>HYPERLINK("https://www2.assemblee-nationale.fr/sycomore/fiche/(num_dept)/5338", "5338")</f>
        <v>0</v>
      </c>
      <c r="M7519">
        <f>HYPERLINK("https://www.senat.fr/senateur-3eme-republique/monfeuillart_ernest0635r3.html", "monfeuillart_ernest0635r3")</f>
        <v>0</v>
      </c>
      <c r="N7519">
        <f>HYPERLINK("https://www.wikidata.org/wiki/Q3057090", "Q3057090")</f>
        <v>0</v>
      </c>
      <c r="O7519" t="s">
        <v>20025</v>
      </c>
      <c r="P7519" t="s">
        <v>20402</v>
      </c>
      <c r="Q7519" t="s">
        <v>20883</v>
      </c>
      <c r="R7519" t="s">
        <v>21593</v>
      </c>
      <c r="S7519">
        <v>1355</v>
      </c>
    </row>
    <row r="7520" spans="1:19">
      <c r="A7520" t="s">
        <v>30</v>
      </c>
      <c r="B7520" t="s">
        <v>148</v>
      </c>
      <c r="C7520" t="s">
        <v>162</v>
      </c>
      <c r="D7520" t="s">
        <v>291</v>
      </c>
      <c r="E7520" t="s">
        <v>420</v>
      </c>
      <c r="F7520">
        <f>HYPERLINK("https://www.wikidata.org/wiki/Q33323082", "Q33323082")</f>
        <v>0</v>
      </c>
      <c r="G7520" t="s">
        <v>3929</v>
      </c>
      <c r="H7520" t="s">
        <v>8184</v>
      </c>
      <c r="I7520" t="s">
        <v>6860</v>
      </c>
      <c r="J7520" t="s">
        <v>14483</v>
      </c>
      <c r="K7520" t="s">
        <v>18834</v>
      </c>
      <c r="L7520">
        <f>HYPERLINK("https://www2.assemblee-nationale.fr/sycomore/fiche/(num_dept)/5364", "5364")</f>
        <v>0</v>
      </c>
      <c r="M7520">
        <f>HYPERLINK("https://www.senat.fr/senateur-3eme-republique/de_montaigu_pierre1277r3.html", "de_montaigu_pierre1277r3")</f>
        <v>0</v>
      </c>
      <c r="N7520">
        <f>HYPERLINK("https://www.wikidata.org/wiki/Q3387636", "Q3387636")</f>
        <v>0</v>
      </c>
      <c r="O7520" t="s">
        <v>20023</v>
      </c>
      <c r="Q7520" t="s">
        <v>20883</v>
      </c>
      <c r="R7520" t="s">
        <v>420</v>
      </c>
      <c r="S7520">
        <v>1495</v>
      </c>
    </row>
    <row r="7521" spans="1:19">
      <c r="A7521" t="s">
        <v>30</v>
      </c>
      <c r="B7521" t="s">
        <v>148</v>
      </c>
      <c r="C7521" t="s">
        <v>162</v>
      </c>
      <c r="D7521" t="s">
        <v>291</v>
      </c>
      <c r="E7521" t="s">
        <v>420</v>
      </c>
      <c r="F7521">
        <f>HYPERLINK("https://www.wikidata.org/wiki/Q33323082", "Q33323082")</f>
        <v>0</v>
      </c>
      <c r="G7521" t="s">
        <v>3479</v>
      </c>
      <c r="H7521" t="s">
        <v>7852</v>
      </c>
      <c r="I7521" t="s">
        <v>10843</v>
      </c>
      <c r="J7521" t="s">
        <v>14079</v>
      </c>
      <c r="K7521" t="s">
        <v>18446</v>
      </c>
      <c r="L7521">
        <f>HYPERLINK("https://www2.assemblee-nationale.fr/sycomore/fiche/(num_dept)/5367", "5367")</f>
        <v>0</v>
      </c>
      <c r="N7521">
        <f>HYPERLINK("https://www.wikidata.org/wiki/Q3188997", "Q3188997")</f>
        <v>0</v>
      </c>
      <c r="O7521" t="s">
        <v>20013</v>
      </c>
      <c r="Q7521" t="s">
        <v>20883</v>
      </c>
      <c r="R7521" t="s">
        <v>420</v>
      </c>
      <c r="S7521">
        <v>1495</v>
      </c>
    </row>
    <row r="7522" spans="1:19">
      <c r="A7522" t="s">
        <v>30</v>
      </c>
      <c r="B7522" t="s">
        <v>148</v>
      </c>
      <c r="C7522" t="s">
        <v>162</v>
      </c>
      <c r="D7522" t="s">
        <v>291</v>
      </c>
      <c r="E7522" t="s">
        <v>420</v>
      </c>
      <c r="F7522">
        <f>HYPERLINK("https://www.wikidata.org/wiki/Q33323082", "Q33323082")</f>
        <v>0</v>
      </c>
      <c r="G7522" t="s">
        <v>737</v>
      </c>
      <c r="H7522" t="s">
        <v>5495</v>
      </c>
      <c r="I7522" t="s">
        <v>9502</v>
      </c>
      <c r="J7522" t="s">
        <v>11486</v>
      </c>
      <c r="K7522" t="s">
        <v>15888</v>
      </c>
      <c r="L7522">
        <f>HYPERLINK("https://www2.assemblee-nationale.fr/sycomore/fiche/(num_dept)/5390", "5390")</f>
        <v>0</v>
      </c>
      <c r="N7522">
        <f>HYPERLINK("https://www.wikidata.org/wiki/Q3580083", "Q3580083")</f>
        <v>0</v>
      </c>
      <c r="O7522" t="s">
        <v>19982</v>
      </c>
      <c r="P7522" t="s">
        <v>20409</v>
      </c>
      <c r="Q7522" t="s">
        <v>20883</v>
      </c>
      <c r="R7522" t="s">
        <v>420</v>
      </c>
      <c r="S7522">
        <v>1495</v>
      </c>
    </row>
    <row r="7523" spans="1:19">
      <c r="A7523" t="s">
        <v>30</v>
      </c>
      <c r="B7523" t="s">
        <v>148</v>
      </c>
      <c r="C7523" t="s">
        <v>162</v>
      </c>
      <c r="D7523" t="s">
        <v>291</v>
      </c>
      <c r="E7523" t="s">
        <v>420</v>
      </c>
      <c r="F7523">
        <f>HYPERLINK("https://www.wikidata.org/wiki/Q33323082", "Q33323082")</f>
        <v>0</v>
      </c>
      <c r="G7523" t="s">
        <v>739</v>
      </c>
      <c r="H7523" t="s">
        <v>5497</v>
      </c>
      <c r="I7523" t="s">
        <v>9504</v>
      </c>
      <c r="J7523" t="s">
        <v>11488</v>
      </c>
      <c r="K7523" t="s">
        <v>15890</v>
      </c>
      <c r="L7523">
        <f>HYPERLINK("https://www2.assemblee-nationale.fr/sycomore/fiche/(num_dept)/5410", "5410")</f>
        <v>0</v>
      </c>
      <c r="M7523">
        <f>HYPERLINK("https://www.senat.fr/senateur-3eme-republique/morel_jean_baptiste1326r3.html", "morel_jean_baptiste1326r3")</f>
        <v>0</v>
      </c>
      <c r="N7523">
        <f>HYPERLINK("https://www.wikidata.org/wiki/Q2627978", "Q2627978")</f>
        <v>0</v>
      </c>
      <c r="O7523" t="s">
        <v>19997</v>
      </c>
      <c r="P7523" t="s">
        <v>20457</v>
      </c>
      <c r="Q7523" t="s">
        <v>20883</v>
      </c>
      <c r="R7523" t="s">
        <v>420</v>
      </c>
      <c r="S7523">
        <v>1495</v>
      </c>
    </row>
    <row r="7524" spans="1:19">
      <c r="A7524" t="s">
        <v>30</v>
      </c>
      <c r="B7524" t="s">
        <v>148</v>
      </c>
      <c r="C7524" t="s">
        <v>162</v>
      </c>
      <c r="D7524" t="s">
        <v>291</v>
      </c>
      <c r="E7524" t="s">
        <v>420</v>
      </c>
      <c r="F7524">
        <f>HYPERLINK("https://www.wikidata.org/wiki/Q33323082", "Q33323082")</f>
        <v>0</v>
      </c>
      <c r="G7524" t="s">
        <v>3852</v>
      </c>
      <c r="H7524" t="s">
        <v>8126</v>
      </c>
      <c r="I7524" t="s">
        <v>11000</v>
      </c>
      <c r="J7524" t="s">
        <v>14411</v>
      </c>
      <c r="K7524" t="s">
        <v>18764</v>
      </c>
      <c r="L7524">
        <f>HYPERLINK("https://www2.assemblee-nationale.fr/sycomore/fiche/(num_dept)/5430", "5430")</f>
        <v>0</v>
      </c>
      <c r="N7524">
        <f>HYPERLINK("https://www.wikidata.org/wiki/Q3260940", "Q3260940")</f>
        <v>0</v>
      </c>
      <c r="O7524" t="s">
        <v>20015</v>
      </c>
      <c r="P7524" t="s">
        <v>20477</v>
      </c>
      <c r="Q7524" t="s">
        <v>20883</v>
      </c>
      <c r="R7524" t="s">
        <v>420</v>
      </c>
      <c r="S7524">
        <v>1495</v>
      </c>
    </row>
    <row r="7525" spans="1:19">
      <c r="A7525" t="s">
        <v>30</v>
      </c>
      <c r="B7525" t="s">
        <v>148</v>
      </c>
      <c r="C7525" t="s">
        <v>162</v>
      </c>
      <c r="D7525" t="s">
        <v>291</v>
      </c>
      <c r="E7525" t="s">
        <v>420</v>
      </c>
      <c r="F7525">
        <f>HYPERLINK("https://www.wikidata.org/wiki/Q33323082", "Q33323082")</f>
        <v>0</v>
      </c>
      <c r="G7525" t="s">
        <v>3930</v>
      </c>
      <c r="H7525" t="s">
        <v>7312</v>
      </c>
      <c r="I7525" t="s">
        <v>9465</v>
      </c>
      <c r="J7525" t="s">
        <v>14484</v>
      </c>
      <c r="K7525" t="s">
        <v>18835</v>
      </c>
      <c r="L7525">
        <f>HYPERLINK("https://www2.assemblee-nationale.fr/sycomore/fiche/(num_dept)/5441", "5441")</f>
        <v>0</v>
      </c>
      <c r="N7525">
        <f>HYPERLINK("https://www.wikidata.org/wiki/Q3060053", "Q3060053")</f>
        <v>0</v>
      </c>
      <c r="O7525" t="s">
        <v>20013</v>
      </c>
      <c r="P7525" t="s">
        <v>20479</v>
      </c>
      <c r="Q7525" t="s">
        <v>20883</v>
      </c>
      <c r="R7525" t="s">
        <v>420</v>
      </c>
      <c r="S7525">
        <v>1495</v>
      </c>
    </row>
    <row r="7526" spans="1:19">
      <c r="A7526" t="s">
        <v>30</v>
      </c>
      <c r="B7526" t="s">
        <v>148</v>
      </c>
      <c r="C7526" t="s">
        <v>162</v>
      </c>
      <c r="D7526" t="s">
        <v>291</v>
      </c>
      <c r="E7526" t="s">
        <v>420</v>
      </c>
      <c r="F7526">
        <f>HYPERLINK("https://www.wikidata.org/wiki/Q33323082", "Q33323082")</f>
        <v>0</v>
      </c>
      <c r="G7526" t="s">
        <v>3718</v>
      </c>
      <c r="H7526" t="s">
        <v>8028</v>
      </c>
      <c r="I7526" t="s">
        <v>5528</v>
      </c>
      <c r="J7526" t="s">
        <v>14293</v>
      </c>
      <c r="K7526" t="s">
        <v>18648</v>
      </c>
      <c r="L7526">
        <f>HYPERLINK("https://www2.assemblee-nationale.fr/sycomore/fiche/(num_dept)/5445", "5445")</f>
        <v>0</v>
      </c>
      <c r="M7526">
        <f>HYPERLINK("https://www.senat.fr/senateur-3eme-republique/mougeot_leon0865r3.html", "mougeot_leon0865r3")</f>
        <v>0</v>
      </c>
      <c r="N7526">
        <f>HYPERLINK("https://www.wikidata.org/wiki/Q3271218", "Q3271218")</f>
        <v>0</v>
      </c>
      <c r="O7526" t="s">
        <v>20022</v>
      </c>
      <c r="P7526" t="s">
        <v>20401</v>
      </c>
      <c r="Q7526" t="s">
        <v>20883</v>
      </c>
      <c r="R7526" t="s">
        <v>420</v>
      </c>
      <c r="S7526">
        <v>1495</v>
      </c>
    </row>
    <row r="7527" spans="1:19">
      <c r="A7527" t="s">
        <v>30</v>
      </c>
      <c r="B7527" t="s">
        <v>148</v>
      </c>
      <c r="C7527" t="s">
        <v>162</v>
      </c>
      <c r="D7527" t="s">
        <v>291</v>
      </c>
      <c r="E7527" t="s">
        <v>420</v>
      </c>
      <c r="F7527">
        <f>HYPERLINK("https://www.wikidata.org/wiki/Q33323082", "Q33323082")</f>
        <v>0</v>
      </c>
      <c r="G7527" t="s">
        <v>741</v>
      </c>
      <c r="H7527" t="s">
        <v>5499</v>
      </c>
      <c r="I7527" t="s">
        <v>9476</v>
      </c>
      <c r="J7527" t="s">
        <v>11490</v>
      </c>
      <c r="K7527" t="s">
        <v>15892</v>
      </c>
      <c r="L7527">
        <f>HYPERLINK("https://www2.assemblee-nationale.fr/sycomore/fiche/(num_dept)/5463", "5463")</f>
        <v>0</v>
      </c>
      <c r="M7527">
        <f>HYPERLINK("https://www.senat.fr/senateur-3eme-republique/de_moustier_rene0688r3.html", "de_moustier_rene0688r3")</f>
        <v>0</v>
      </c>
      <c r="N7527">
        <f>HYPERLINK("https://www.wikidata.org/wiki/Q3427071", "Q3427071")</f>
        <v>0</v>
      </c>
      <c r="O7527" t="s">
        <v>19973</v>
      </c>
      <c r="P7527" t="s">
        <v>20479</v>
      </c>
      <c r="Q7527" t="s">
        <v>20883</v>
      </c>
      <c r="R7527" t="s">
        <v>420</v>
      </c>
      <c r="S7527">
        <v>1495</v>
      </c>
    </row>
    <row r="7528" spans="1:19">
      <c r="A7528" t="s">
        <v>30</v>
      </c>
      <c r="B7528" t="s">
        <v>148</v>
      </c>
      <c r="C7528" t="s">
        <v>162</v>
      </c>
      <c r="D7528" t="s">
        <v>291</v>
      </c>
      <c r="E7528" t="s">
        <v>420</v>
      </c>
      <c r="F7528">
        <f>HYPERLINK("https://www.wikidata.org/wiki/Q33323082", "Q33323082")</f>
        <v>0</v>
      </c>
      <c r="G7528" t="s">
        <v>742</v>
      </c>
      <c r="H7528" t="s">
        <v>5500</v>
      </c>
      <c r="I7528" t="s">
        <v>9505</v>
      </c>
      <c r="J7528" t="s">
        <v>11491</v>
      </c>
      <c r="K7528" t="s">
        <v>15893</v>
      </c>
      <c r="L7528">
        <f>HYPERLINK("https://www2.assemblee-nationale.fr/sycomore/fiche/(num_dept)/5482", "5482")</f>
        <v>0</v>
      </c>
      <c r="N7528">
        <f>HYPERLINK("https://www.wikidata.org/wiki/Q2475967", "Q2475967")</f>
        <v>0</v>
      </c>
      <c r="O7528" t="s">
        <v>20011</v>
      </c>
      <c r="P7528" t="s">
        <v>20410</v>
      </c>
      <c r="Q7528" t="s">
        <v>20883</v>
      </c>
      <c r="R7528" t="s">
        <v>420</v>
      </c>
      <c r="S7528">
        <v>1495</v>
      </c>
    </row>
    <row r="7529" spans="1:19">
      <c r="A7529" t="s">
        <v>30</v>
      </c>
      <c r="B7529" t="s">
        <v>148</v>
      </c>
      <c r="C7529" t="s">
        <v>162</v>
      </c>
      <c r="D7529" t="s">
        <v>291</v>
      </c>
      <c r="E7529" t="s">
        <v>420</v>
      </c>
      <c r="F7529">
        <f>HYPERLINK("https://www.wikidata.org/wiki/Q33323082", "Q33323082")</f>
        <v>0</v>
      </c>
      <c r="G7529" t="s">
        <v>743</v>
      </c>
      <c r="H7529" t="s">
        <v>5501</v>
      </c>
      <c r="I7529" t="s">
        <v>9458</v>
      </c>
      <c r="J7529" t="s">
        <v>11492</v>
      </c>
      <c r="K7529" t="s">
        <v>15894</v>
      </c>
      <c r="L7529">
        <f>HYPERLINK("https://www2.assemblee-nationale.fr/sycomore/fiche/(num_dept)/5491", "5491")</f>
        <v>0</v>
      </c>
      <c r="N7529">
        <f>HYPERLINK("https://www.wikidata.org/wiki/Q8308367", "Q8308367")</f>
        <v>0</v>
      </c>
      <c r="O7529" t="s">
        <v>20002</v>
      </c>
      <c r="P7529" t="s">
        <v>20457</v>
      </c>
      <c r="Q7529" t="s">
        <v>20883</v>
      </c>
      <c r="R7529" t="s">
        <v>420</v>
      </c>
      <c r="S7529">
        <v>1495</v>
      </c>
    </row>
    <row r="7530" spans="1:19">
      <c r="A7530" t="s">
        <v>30</v>
      </c>
      <c r="B7530" t="s">
        <v>148</v>
      </c>
      <c r="C7530" t="s">
        <v>162</v>
      </c>
      <c r="D7530" t="s">
        <v>291</v>
      </c>
      <c r="E7530" t="s">
        <v>420</v>
      </c>
      <c r="F7530">
        <f>HYPERLINK("https://www.wikidata.org/wiki/Q33323082", "Q33323082")</f>
        <v>0</v>
      </c>
      <c r="G7530" t="s">
        <v>748</v>
      </c>
      <c r="H7530" t="s">
        <v>5506</v>
      </c>
      <c r="I7530" t="s">
        <v>9407</v>
      </c>
      <c r="J7530" t="s">
        <v>11330</v>
      </c>
      <c r="K7530" t="s">
        <v>15899</v>
      </c>
      <c r="L7530">
        <f>HYPERLINK("https://www2.assemblee-nationale.fr/sycomore/fiche/(num_dept)/5583", "5583")</f>
        <v>0</v>
      </c>
      <c r="M7530">
        <f>HYPERLINK("https://www.senat.fr/senateur-3eme-republique/noulens_jean_baptiste0149r3.html", "noulens_jean_baptiste0149r3")</f>
        <v>0</v>
      </c>
      <c r="N7530">
        <f>HYPERLINK("https://www.wikidata.org/wiki/Q3185419", "Q3185419")</f>
        <v>0</v>
      </c>
      <c r="O7530" t="s">
        <v>20003</v>
      </c>
      <c r="P7530" t="s">
        <v>20401</v>
      </c>
      <c r="Q7530" t="s">
        <v>20883</v>
      </c>
      <c r="R7530" t="s">
        <v>420</v>
      </c>
      <c r="S7530">
        <v>1495</v>
      </c>
    </row>
    <row r="7531" spans="1:19">
      <c r="A7531" t="s">
        <v>30</v>
      </c>
      <c r="B7531" t="s">
        <v>148</v>
      </c>
      <c r="C7531" t="s">
        <v>162</v>
      </c>
      <c r="D7531" t="s">
        <v>291</v>
      </c>
      <c r="E7531" t="s">
        <v>420</v>
      </c>
      <c r="F7531">
        <f>HYPERLINK("https://www.wikidata.org/wiki/Q33323082", "Q33323082")</f>
        <v>0</v>
      </c>
      <c r="G7531" t="s">
        <v>4076</v>
      </c>
      <c r="H7531" t="s">
        <v>7184</v>
      </c>
      <c r="I7531" t="s">
        <v>11095</v>
      </c>
      <c r="J7531" t="s">
        <v>14615</v>
      </c>
      <c r="K7531" t="s">
        <v>18952</v>
      </c>
      <c r="L7531">
        <f>HYPERLINK("https://www2.assemblee-nationale.fr/sycomore/fiche/(num_dept)/5602", "5602")</f>
        <v>0</v>
      </c>
      <c r="N7531">
        <f>HYPERLINK("https://www.wikidata.org/wiki/Q3261974", "Q3261974")</f>
        <v>0</v>
      </c>
      <c r="O7531" t="s">
        <v>19964</v>
      </c>
      <c r="P7531" t="s">
        <v>20410</v>
      </c>
      <c r="Q7531" t="s">
        <v>20883</v>
      </c>
      <c r="R7531" t="s">
        <v>420</v>
      </c>
      <c r="S7531">
        <v>1495</v>
      </c>
    </row>
    <row r="7532" spans="1:19">
      <c r="A7532" t="s">
        <v>30</v>
      </c>
      <c r="B7532" t="s">
        <v>148</v>
      </c>
      <c r="C7532" t="s">
        <v>162</v>
      </c>
      <c r="D7532" t="s">
        <v>291</v>
      </c>
      <c r="E7532" t="s">
        <v>420</v>
      </c>
      <c r="F7532">
        <f>HYPERLINK("https://www.wikidata.org/wiki/Q33323082", "Q33323082")</f>
        <v>0</v>
      </c>
      <c r="G7532" t="s">
        <v>2641</v>
      </c>
      <c r="H7532" t="s">
        <v>7186</v>
      </c>
      <c r="I7532" t="s">
        <v>10332</v>
      </c>
      <c r="J7532" t="s">
        <v>13283</v>
      </c>
      <c r="K7532" t="s">
        <v>17685</v>
      </c>
      <c r="L7532">
        <f>HYPERLINK("https://www2.assemblee-nationale.fr/sycomore/fiche/(num_dept)/5612", "5612")</f>
        <v>0</v>
      </c>
      <c r="N7532">
        <f>HYPERLINK("https://www.wikidata.org/wiki/Q16025508", "Q16025508")</f>
        <v>0</v>
      </c>
      <c r="O7532" t="s">
        <v>20031</v>
      </c>
      <c r="P7532" t="s">
        <v>20504</v>
      </c>
      <c r="Q7532" t="s">
        <v>20883</v>
      </c>
      <c r="R7532" t="s">
        <v>17685</v>
      </c>
      <c r="S7532">
        <v>1481</v>
      </c>
    </row>
    <row r="7533" spans="1:19">
      <c r="A7533" t="s">
        <v>30</v>
      </c>
      <c r="B7533" t="s">
        <v>148</v>
      </c>
      <c r="C7533" t="s">
        <v>162</v>
      </c>
      <c r="D7533" t="s">
        <v>291</v>
      </c>
      <c r="E7533" t="s">
        <v>420</v>
      </c>
      <c r="F7533">
        <f>HYPERLINK("https://www.wikidata.org/wiki/Q33323082", "Q33323082")</f>
        <v>0</v>
      </c>
      <c r="G7533" t="s">
        <v>4077</v>
      </c>
      <c r="H7533" t="s">
        <v>8293</v>
      </c>
      <c r="I7533" t="s">
        <v>11096</v>
      </c>
      <c r="J7533" t="s">
        <v>14616</v>
      </c>
      <c r="K7533" t="s">
        <v>18953</v>
      </c>
      <c r="L7533">
        <f>HYPERLINK("https://www2.assemblee-nationale.fr/sycomore/fiche/(num_dept)/5621", "5621")</f>
        <v>0</v>
      </c>
      <c r="N7533">
        <f>HYPERLINK("https://www.wikidata.org/wiki/Q3515229", "Q3515229")</f>
        <v>0</v>
      </c>
      <c r="O7533" t="s">
        <v>19992</v>
      </c>
      <c r="P7533" t="s">
        <v>20479</v>
      </c>
      <c r="Q7533" t="s">
        <v>20883</v>
      </c>
      <c r="R7533" t="s">
        <v>420</v>
      </c>
      <c r="S7533">
        <v>1495</v>
      </c>
    </row>
    <row r="7534" spans="1:19">
      <c r="A7534" t="s">
        <v>30</v>
      </c>
      <c r="B7534" t="s">
        <v>148</v>
      </c>
      <c r="C7534" t="s">
        <v>162</v>
      </c>
      <c r="D7534" t="s">
        <v>291</v>
      </c>
      <c r="E7534" t="s">
        <v>420</v>
      </c>
      <c r="F7534">
        <f>HYPERLINK("https://www.wikidata.org/wiki/Q33323082", "Q33323082")</f>
        <v>0</v>
      </c>
      <c r="G7534" t="s">
        <v>4078</v>
      </c>
      <c r="H7534" t="s">
        <v>8294</v>
      </c>
      <c r="I7534" t="s">
        <v>9612</v>
      </c>
      <c r="J7534" t="s">
        <v>14617</v>
      </c>
      <c r="K7534" t="s">
        <v>18954</v>
      </c>
      <c r="L7534">
        <f>HYPERLINK("https://www2.assemblee-nationale.fr/sycomore/fiche/(num_dept)/5641", "5641")</f>
        <v>0</v>
      </c>
      <c r="N7534">
        <f>HYPERLINK("https://www.wikidata.org/wiki/Q16025703", "Q16025703")</f>
        <v>0</v>
      </c>
      <c r="O7534" t="s">
        <v>20027</v>
      </c>
      <c r="P7534" t="s">
        <v>20401</v>
      </c>
      <c r="Q7534" t="s">
        <v>20883</v>
      </c>
      <c r="R7534" t="s">
        <v>420</v>
      </c>
      <c r="S7534">
        <v>1495</v>
      </c>
    </row>
    <row r="7535" spans="1:19">
      <c r="A7535" t="s">
        <v>30</v>
      </c>
      <c r="B7535" t="s">
        <v>148</v>
      </c>
      <c r="C7535" t="s">
        <v>162</v>
      </c>
      <c r="D7535" t="s">
        <v>291</v>
      </c>
      <c r="E7535" t="s">
        <v>420</v>
      </c>
      <c r="F7535">
        <f>HYPERLINK("https://www.wikidata.org/wiki/Q33323082", "Q33323082")</f>
        <v>0</v>
      </c>
      <c r="G7535" t="s">
        <v>749</v>
      </c>
      <c r="H7535" t="s">
        <v>5507</v>
      </c>
      <c r="I7535" t="s">
        <v>7642</v>
      </c>
      <c r="J7535" t="s">
        <v>11497</v>
      </c>
      <c r="K7535" t="s">
        <v>15900</v>
      </c>
      <c r="L7535">
        <f>HYPERLINK("https://www2.assemblee-nationale.fr/sycomore/fiche/(num_dept)/5652", "5652")</f>
        <v>0</v>
      </c>
      <c r="N7535">
        <f>HYPERLINK("https://www.wikidata.org/wiki/Q16026250", "Q16026250")</f>
        <v>0</v>
      </c>
      <c r="O7535" t="s">
        <v>19982</v>
      </c>
      <c r="P7535" t="s">
        <v>20410</v>
      </c>
      <c r="Q7535" t="s">
        <v>20883</v>
      </c>
      <c r="R7535" t="s">
        <v>420</v>
      </c>
      <c r="S7535">
        <v>1495</v>
      </c>
    </row>
    <row r="7536" spans="1:19">
      <c r="A7536" t="s">
        <v>30</v>
      </c>
      <c r="B7536" t="s">
        <v>148</v>
      </c>
      <c r="C7536" t="s">
        <v>162</v>
      </c>
      <c r="D7536" t="s">
        <v>291</v>
      </c>
      <c r="E7536" t="s">
        <v>420</v>
      </c>
      <c r="F7536">
        <f>HYPERLINK("https://www.wikidata.org/wiki/Q33323082", "Q33323082")</f>
        <v>0</v>
      </c>
      <c r="G7536" t="s">
        <v>3272</v>
      </c>
      <c r="H7536" t="s">
        <v>7687</v>
      </c>
      <c r="I7536" t="s">
        <v>10739</v>
      </c>
      <c r="J7536" t="s">
        <v>13886</v>
      </c>
      <c r="K7536" t="s">
        <v>18259</v>
      </c>
      <c r="L7536">
        <f>HYPERLINK("https://www2.assemblee-nationale.fr/sycomore/fiche/(num_dept)/5657", "5657")</f>
        <v>0</v>
      </c>
      <c r="M7536">
        <f>HYPERLINK("https://www.senat.fr/senateur-3eme-republique/pajot_christophe0430r3.html", "pajot_christophe0430r3")</f>
        <v>0</v>
      </c>
      <c r="N7536">
        <f>HYPERLINK("https://www.wikidata.org/wiki/Q2966424", "Q2966424")</f>
        <v>0</v>
      </c>
      <c r="O7536" t="s">
        <v>19996</v>
      </c>
      <c r="P7536" t="s">
        <v>20477</v>
      </c>
      <c r="Q7536" t="s">
        <v>20883</v>
      </c>
      <c r="R7536" t="s">
        <v>420</v>
      </c>
      <c r="S7536">
        <v>1495</v>
      </c>
    </row>
    <row r="7537" spans="1:19">
      <c r="A7537" t="s">
        <v>30</v>
      </c>
      <c r="B7537" t="s">
        <v>148</v>
      </c>
      <c r="C7537" t="s">
        <v>162</v>
      </c>
      <c r="D7537" t="s">
        <v>291</v>
      </c>
      <c r="E7537" t="s">
        <v>420</v>
      </c>
      <c r="F7537">
        <f>HYPERLINK("https://www.wikidata.org/wiki/Q33323082", "Q33323082")</f>
        <v>0</v>
      </c>
      <c r="G7537" t="s">
        <v>3721</v>
      </c>
      <c r="H7537" t="s">
        <v>8030</v>
      </c>
      <c r="I7537" t="s">
        <v>9449</v>
      </c>
      <c r="J7537" t="s">
        <v>14296</v>
      </c>
      <c r="K7537" t="s">
        <v>18650</v>
      </c>
      <c r="L7537">
        <f>HYPERLINK("https://www2.assemblee-nationale.fr/sycomore/fiche/(num_dept)/5665", "5665")</f>
        <v>0</v>
      </c>
      <c r="M7537">
        <f>HYPERLINK("https://www.senat.fr/senateur-3eme-republique/pams_jules1089r3.html", "pams_jules1089r3")</f>
        <v>0</v>
      </c>
      <c r="N7537">
        <f>HYPERLINK("https://www.wikidata.org/wiki/Q3188830", "Q3188830")</f>
        <v>0</v>
      </c>
      <c r="O7537" t="s">
        <v>20001</v>
      </c>
      <c r="P7537" t="s">
        <v>20477</v>
      </c>
      <c r="Q7537" t="s">
        <v>20883</v>
      </c>
      <c r="R7537" t="s">
        <v>17746</v>
      </c>
      <c r="S7537">
        <v>1006</v>
      </c>
    </row>
    <row r="7538" spans="1:19">
      <c r="A7538" t="s">
        <v>30</v>
      </c>
      <c r="B7538" t="s">
        <v>148</v>
      </c>
      <c r="C7538" t="s">
        <v>162</v>
      </c>
      <c r="D7538" t="s">
        <v>291</v>
      </c>
      <c r="E7538" t="s">
        <v>420</v>
      </c>
      <c r="F7538">
        <f>HYPERLINK("https://www.wikidata.org/wiki/Q33323082", "Q33323082")</f>
        <v>0</v>
      </c>
      <c r="G7538" t="s">
        <v>1018</v>
      </c>
      <c r="H7538" t="s">
        <v>5768</v>
      </c>
      <c r="I7538" t="s">
        <v>5528</v>
      </c>
      <c r="J7538" t="s">
        <v>11755</v>
      </c>
      <c r="K7538" t="s">
        <v>16032</v>
      </c>
      <c r="L7538">
        <f>HYPERLINK("https://www2.assemblee-nationale.fr/sycomore/fiche/(num_dept)/5699", "5699")</f>
        <v>0</v>
      </c>
      <c r="M7538">
        <f>HYPERLINK("https://www.senat.fr/senateur-3eme-republique/pasqual_leon1381r3.html", "pasqual_leon1381r3")</f>
        <v>0</v>
      </c>
      <c r="N7538">
        <f>HYPERLINK("https://www.wikidata.org/wiki/Q3271250", "Q3271250")</f>
        <v>0</v>
      </c>
      <c r="O7538" t="s">
        <v>20013</v>
      </c>
      <c r="P7538" t="s">
        <v>20477</v>
      </c>
      <c r="Q7538" t="s">
        <v>20883</v>
      </c>
      <c r="R7538" t="s">
        <v>420</v>
      </c>
      <c r="S7538">
        <v>1495</v>
      </c>
    </row>
    <row r="7539" spans="1:19">
      <c r="A7539" t="s">
        <v>30</v>
      </c>
      <c r="B7539" t="s">
        <v>148</v>
      </c>
      <c r="C7539" t="s">
        <v>162</v>
      </c>
      <c r="D7539" t="s">
        <v>291</v>
      </c>
      <c r="E7539" t="s">
        <v>420</v>
      </c>
      <c r="F7539">
        <f>HYPERLINK("https://www.wikidata.org/wiki/Q33323082", "Q33323082")</f>
        <v>0</v>
      </c>
      <c r="G7539" t="s">
        <v>751</v>
      </c>
      <c r="H7539" t="s">
        <v>5509</v>
      </c>
      <c r="I7539" t="s">
        <v>9509</v>
      </c>
      <c r="J7539" t="s">
        <v>11499</v>
      </c>
      <c r="K7539" t="s">
        <v>15902</v>
      </c>
      <c r="L7539">
        <f>HYPERLINK("https://www2.assemblee-nationale.fr/sycomore/fiche/(num_dept)/5702", "5702")</f>
        <v>0</v>
      </c>
      <c r="N7539">
        <f>HYPERLINK("https://www.wikidata.org/wiki/Q3262846", "Q3262846")</f>
        <v>0</v>
      </c>
      <c r="O7539" t="s">
        <v>19992</v>
      </c>
      <c r="P7539" t="s">
        <v>20410</v>
      </c>
      <c r="Q7539" t="s">
        <v>20883</v>
      </c>
      <c r="R7539" t="s">
        <v>420</v>
      </c>
      <c r="S7539">
        <v>1495</v>
      </c>
    </row>
    <row r="7540" spans="1:19">
      <c r="A7540" t="s">
        <v>30</v>
      </c>
      <c r="B7540" t="s">
        <v>148</v>
      </c>
      <c r="C7540" t="s">
        <v>162</v>
      </c>
      <c r="D7540" t="s">
        <v>291</v>
      </c>
      <c r="E7540" t="s">
        <v>420</v>
      </c>
      <c r="F7540">
        <f>HYPERLINK("https://www.wikidata.org/wiki/Q33323082", "Q33323082")</f>
        <v>0</v>
      </c>
      <c r="G7540" t="s">
        <v>4003</v>
      </c>
      <c r="H7540" t="s">
        <v>8241</v>
      </c>
      <c r="I7540" t="s">
        <v>11058</v>
      </c>
      <c r="J7540" t="s">
        <v>14550</v>
      </c>
      <c r="K7540" t="s">
        <v>16509</v>
      </c>
      <c r="L7540">
        <f>HYPERLINK("https://www2.assemblee-nationale.fr/sycomore/fiche/(num_dept)/5704", "5704")</f>
        <v>0</v>
      </c>
      <c r="N7540">
        <f>HYPERLINK("https://www.wikidata.org/wiki/Q82209", "Q82209")</f>
        <v>0</v>
      </c>
      <c r="O7540" t="s">
        <v>20014</v>
      </c>
      <c r="P7540" t="s">
        <v>20485</v>
      </c>
      <c r="Q7540" t="s">
        <v>20883</v>
      </c>
      <c r="R7540" t="s">
        <v>420</v>
      </c>
      <c r="S7540">
        <v>1495</v>
      </c>
    </row>
    <row r="7541" spans="1:19">
      <c r="A7541" t="s">
        <v>30</v>
      </c>
      <c r="B7541" t="s">
        <v>148</v>
      </c>
      <c r="C7541" t="s">
        <v>162</v>
      </c>
      <c r="D7541" t="s">
        <v>291</v>
      </c>
      <c r="E7541" t="s">
        <v>420</v>
      </c>
      <c r="F7541">
        <f>HYPERLINK("https://www.wikidata.org/wiki/Q33323082", "Q33323082")</f>
        <v>0</v>
      </c>
      <c r="G7541" t="s">
        <v>3154</v>
      </c>
      <c r="H7541" t="s">
        <v>7590</v>
      </c>
      <c r="I7541" t="s">
        <v>10664</v>
      </c>
      <c r="J7541" t="s">
        <v>13776</v>
      </c>
      <c r="K7541" t="s">
        <v>18151</v>
      </c>
      <c r="L7541">
        <f>HYPERLINK("https://www2.assemblee-nationale.fr/sycomore/fiche/(num_dept)/5729", "5729")</f>
        <v>0</v>
      </c>
      <c r="N7541">
        <f>HYPERLINK("https://www.wikidata.org/wiki/Q17350275", "Q17350275")</f>
        <v>0</v>
      </c>
      <c r="O7541" t="s">
        <v>20009</v>
      </c>
      <c r="P7541" t="s">
        <v>20495</v>
      </c>
      <c r="Q7541" t="s">
        <v>20883</v>
      </c>
      <c r="R7541" t="s">
        <v>420</v>
      </c>
      <c r="S7541">
        <v>1495</v>
      </c>
    </row>
    <row r="7542" spans="1:19">
      <c r="A7542" t="s">
        <v>30</v>
      </c>
      <c r="B7542" t="s">
        <v>148</v>
      </c>
      <c r="C7542" t="s">
        <v>162</v>
      </c>
      <c r="D7542" t="s">
        <v>291</v>
      </c>
      <c r="E7542" t="s">
        <v>420</v>
      </c>
      <c r="F7542">
        <f>HYPERLINK("https://www.wikidata.org/wiki/Q33323082", "Q33323082")</f>
        <v>0</v>
      </c>
      <c r="G7542" t="s">
        <v>3933</v>
      </c>
      <c r="H7542" t="s">
        <v>8187</v>
      </c>
      <c r="I7542" t="s">
        <v>6166</v>
      </c>
      <c r="J7542" t="s">
        <v>14487</v>
      </c>
      <c r="K7542" t="s">
        <v>15950</v>
      </c>
      <c r="L7542">
        <f>HYPERLINK("https://www2.assemblee-nationale.fr/sycomore/fiche/(num_dept)/5731", "5731")</f>
        <v>0</v>
      </c>
      <c r="N7542">
        <f>HYPERLINK("https://www.wikidata.org/wiki/Q16026282", "Q16026282")</f>
        <v>0</v>
      </c>
      <c r="O7542" t="s">
        <v>19981</v>
      </c>
      <c r="P7542" t="s">
        <v>20401</v>
      </c>
      <c r="Q7542" t="s">
        <v>20883</v>
      </c>
      <c r="R7542" t="s">
        <v>420</v>
      </c>
      <c r="S7542">
        <v>1495</v>
      </c>
    </row>
    <row r="7543" spans="1:19">
      <c r="A7543" t="s">
        <v>30</v>
      </c>
      <c r="B7543" t="s">
        <v>148</v>
      </c>
      <c r="C7543" t="s">
        <v>162</v>
      </c>
      <c r="D7543" t="s">
        <v>291</v>
      </c>
      <c r="E7543" t="s">
        <v>420</v>
      </c>
      <c r="F7543">
        <f>HYPERLINK("https://www.wikidata.org/wiki/Q33323082", "Q33323082")</f>
        <v>0</v>
      </c>
      <c r="G7543" t="s">
        <v>754</v>
      </c>
      <c r="H7543" t="s">
        <v>5512</v>
      </c>
      <c r="I7543" t="s">
        <v>9506</v>
      </c>
      <c r="J7543" t="s">
        <v>11502</v>
      </c>
      <c r="K7543" t="s">
        <v>15905</v>
      </c>
      <c r="L7543">
        <f>HYPERLINK("https://www2.assemblee-nationale.fr/sycomore/fiche/(num_dept)/5764", "5764")</f>
        <v>0</v>
      </c>
      <c r="M7543">
        <f>HYPERLINK("https://www.senat.fr/senateur-3eme-republique/pelletan_camille0312r3.html", "pelletan_camille0312r3")</f>
        <v>0</v>
      </c>
      <c r="N7543">
        <f>HYPERLINK("https://www.wikidata.org/wiki/Q2862434", "Q2862434")</f>
        <v>0</v>
      </c>
      <c r="O7543" t="s">
        <v>19990</v>
      </c>
      <c r="P7543" t="s">
        <v>20477</v>
      </c>
      <c r="Q7543" t="s">
        <v>20883</v>
      </c>
      <c r="R7543" t="s">
        <v>420</v>
      </c>
      <c r="S7543">
        <v>1495</v>
      </c>
    </row>
    <row r="7544" spans="1:19">
      <c r="A7544" t="s">
        <v>30</v>
      </c>
      <c r="B7544" t="s">
        <v>148</v>
      </c>
      <c r="C7544" t="s">
        <v>162</v>
      </c>
      <c r="D7544" t="s">
        <v>291</v>
      </c>
      <c r="E7544" t="s">
        <v>420</v>
      </c>
      <c r="F7544">
        <f>HYPERLINK("https://www.wikidata.org/wiki/Q33323082", "Q33323082")</f>
        <v>0</v>
      </c>
      <c r="G7544" t="s">
        <v>3488</v>
      </c>
      <c r="H7544" t="s">
        <v>7861</v>
      </c>
      <c r="I7544" t="s">
        <v>10845</v>
      </c>
      <c r="J7544" t="s">
        <v>14087</v>
      </c>
      <c r="K7544" t="s">
        <v>18452</v>
      </c>
      <c r="L7544">
        <f>HYPERLINK("https://www2.assemblee-nationale.fr/sycomore/fiche/(num_dept)/5789", "5789")</f>
        <v>0</v>
      </c>
      <c r="N7544">
        <f>HYPERLINK("https://www.wikidata.org/wiki/Q16026302", "Q16026302")</f>
        <v>0</v>
      </c>
      <c r="O7544" t="s">
        <v>19987</v>
      </c>
      <c r="P7544" t="s">
        <v>20479</v>
      </c>
      <c r="Q7544" t="s">
        <v>20883</v>
      </c>
      <c r="R7544" t="s">
        <v>420</v>
      </c>
      <c r="S7544">
        <v>1495</v>
      </c>
    </row>
    <row r="7545" spans="1:19">
      <c r="A7545" t="s">
        <v>30</v>
      </c>
      <c r="B7545" t="s">
        <v>148</v>
      </c>
      <c r="C7545" t="s">
        <v>162</v>
      </c>
      <c r="D7545" t="s">
        <v>291</v>
      </c>
      <c r="E7545" t="s">
        <v>420</v>
      </c>
      <c r="F7545">
        <f>HYPERLINK("https://www.wikidata.org/wiki/Q33323082", "Q33323082")</f>
        <v>0</v>
      </c>
      <c r="G7545" t="s">
        <v>3934</v>
      </c>
      <c r="H7545" t="s">
        <v>8188</v>
      </c>
      <c r="I7545" t="s">
        <v>9457</v>
      </c>
      <c r="J7545" t="s">
        <v>14488</v>
      </c>
      <c r="K7545" t="s">
        <v>17869</v>
      </c>
      <c r="L7545">
        <f>HYPERLINK("https://www2.assemblee-nationale.fr/sycomore/fiche/(num_dept)/5803", "5803")</f>
        <v>0</v>
      </c>
      <c r="N7545">
        <f>HYPERLINK("https://www.wikidata.org/wiki/Q16026313", "Q16026313")</f>
        <v>0</v>
      </c>
      <c r="O7545" t="s">
        <v>19999</v>
      </c>
      <c r="P7545" t="s">
        <v>20477</v>
      </c>
      <c r="Q7545" t="s">
        <v>20883</v>
      </c>
      <c r="R7545" t="s">
        <v>420</v>
      </c>
      <c r="S7545">
        <v>1495</v>
      </c>
    </row>
    <row r="7546" spans="1:19">
      <c r="A7546" t="s">
        <v>30</v>
      </c>
      <c r="B7546" t="s">
        <v>148</v>
      </c>
      <c r="C7546" t="s">
        <v>162</v>
      </c>
      <c r="D7546" t="s">
        <v>291</v>
      </c>
      <c r="E7546" t="s">
        <v>420</v>
      </c>
      <c r="F7546">
        <f>HYPERLINK("https://www.wikidata.org/wiki/Q33323082", "Q33323082")</f>
        <v>0</v>
      </c>
      <c r="G7546" t="s">
        <v>3856</v>
      </c>
      <c r="H7546" t="s">
        <v>6753</v>
      </c>
      <c r="I7546" t="s">
        <v>11002</v>
      </c>
      <c r="J7546" t="s">
        <v>14415</v>
      </c>
      <c r="K7546" t="s">
        <v>18768</v>
      </c>
      <c r="L7546">
        <f>HYPERLINK("https://www2.assemblee-nationale.fr/sycomore/fiche/(num_dept)/5815", "5815")</f>
        <v>0</v>
      </c>
      <c r="N7546">
        <f>HYPERLINK("https://www.wikidata.org/wiki/Q16026317", "Q16026317")</f>
        <v>0</v>
      </c>
      <c r="O7546" t="s">
        <v>19991</v>
      </c>
      <c r="Q7546" t="s">
        <v>20883</v>
      </c>
      <c r="R7546" t="s">
        <v>18768</v>
      </c>
      <c r="S7546">
        <v>860</v>
      </c>
    </row>
    <row r="7547" spans="1:19">
      <c r="A7547" t="s">
        <v>30</v>
      </c>
      <c r="B7547" t="s">
        <v>148</v>
      </c>
      <c r="C7547" t="s">
        <v>162</v>
      </c>
      <c r="D7547" t="s">
        <v>291</v>
      </c>
      <c r="E7547" t="s">
        <v>420</v>
      </c>
      <c r="F7547">
        <f>HYPERLINK("https://www.wikidata.org/wiki/Q33323082", "Q33323082")</f>
        <v>0</v>
      </c>
      <c r="G7547" t="s">
        <v>4079</v>
      </c>
      <c r="H7547" t="s">
        <v>8295</v>
      </c>
      <c r="I7547" t="s">
        <v>11097</v>
      </c>
      <c r="J7547" t="s">
        <v>14618</v>
      </c>
      <c r="K7547" t="s">
        <v>18955</v>
      </c>
      <c r="L7547">
        <f>HYPERLINK("https://www2.assemblee-nationale.fr/sycomore/fiche/(num_dept)/5821", "5821")</f>
        <v>0</v>
      </c>
      <c r="N7547">
        <f>HYPERLINK("https://www.wikidata.org/wiki/Q16026321", "Q16026321")</f>
        <v>0</v>
      </c>
      <c r="O7547" t="s">
        <v>20025</v>
      </c>
      <c r="P7547" t="s">
        <v>20409</v>
      </c>
      <c r="Q7547" t="s">
        <v>20883</v>
      </c>
      <c r="R7547" t="s">
        <v>420</v>
      </c>
      <c r="S7547">
        <v>1495</v>
      </c>
    </row>
    <row r="7548" spans="1:19">
      <c r="A7548" t="s">
        <v>30</v>
      </c>
      <c r="B7548" t="s">
        <v>148</v>
      </c>
      <c r="C7548" t="s">
        <v>162</v>
      </c>
      <c r="D7548" t="s">
        <v>291</v>
      </c>
      <c r="E7548" t="s">
        <v>420</v>
      </c>
      <c r="F7548">
        <f>HYPERLINK("https://www.wikidata.org/wiki/Q33323082", "Q33323082")</f>
        <v>0</v>
      </c>
      <c r="G7548" t="s">
        <v>4080</v>
      </c>
      <c r="H7548" t="s">
        <v>6012</v>
      </c>
      <c r="I7548" t="s">
        <v>11098</v>
      </c>
      <c r="J7548" t="s">
        <v>14619</v>
      </c>
      <c r="K7548" t="s">
        <v>18956</v>
      </c>
      <c r="L7548">
        <f>HYPERLINK("https://www2.assemblee-nationale.fr/sycomore/fiche/(num_dept)/5852", "5852")</f>
        <v>0</v>
      </c>
      <c r="M7548">
        <f>HYPERLINK("https://www.senat.fr/senateur-3eme-republique/petitjean_claude1221r3.html", "petitjean_claude1221r3")</f>
        <v>0</v>
      </c>
      <c r="N7548">
        <f>HYPERLINK("https://www.wikidata.org/wiki/Q2977946", "Q2977946")</f>
        <v>0</v>
      </c>
      <c r="O7548" t="s">
        <v>19994</v>
      </c>
      <c r="P7548" t="s">
        <v>20477</v>
      </c>
      <c r="Q7548" t="s">
        <v>20883</v>
      </c>
      <c r="R7548" t="s">
        <v>420</v>
      </c>
      <c r="S7548">
        <v>1495</v>
      </c>
    </row>
    <row r="7549" spans="1:19">
      <c r="A7549" t="s">
        <v>30</v>
      </c>
      <c r="B7549" t="s">
        <v>148</v>
      </c>
      <c r="C7549" t="s">
        <v>162</v>
      </c>
      <c r="D7549" t="s">
        <v>291</v>
      </c>
      <c r="E7549" t="s">
        <v>420</v>
      </c>
      <c r="F7549">
        <f>HYPERLINK("https://www.wikidata.org/wiki/Q33323082", "Q33323082")</f>
        <v>0</v>
      </c>
      <c r="G7549" t="s">
        <v>4081</v>
      </c>
      <c r="H7549" t="s">
        <v>8296</v>
      </c>
      <c r="I7549" t="s">
        <v>11099</v>
      </c>
      <c r="J7549" t="s">
        <v>14620</v>
      </c>
      <c r="K7549" t="s">
        <v>15827</v>
      </c>
      <c r="L7549">
        <f>HYPERLINK("https://www2.assemblee-nationale.fr/sycomore/fiche/(num_dept)/5858", "5858")</f>
        <v>0</v>
      </c>
      <c r="N7549">
        <f>HYPERLINK("https://www.wikidata.org/wiki/Q16026332", "Q16026332")</f>
        <v>0</v>
      </c>
      <c r="O7549" t="s">
        <v>20036</v>
      </c>
      <c r="P7549" t="s">
        <v>20401</v>
      </c>
      <c r="Q7549" t="s">
        <v>20883</v>
      </c>
      <c r="R7549" t="s">
        <v>420</v>
      </c>
      <c r="S7549">
        <v>1495</v>
      </c>
    </row>
    <row r="7550" spans="1:19">
      <c r="A7550" t="s">
        <v>30</v>
      </c>
      <c r="B7550" t="s">
        <v>148</v>
      </c>
      <c r="C7550" t="s">
        <v>162</v>
      </c>
      <c r="D7550" t="s">
        <v>291</v>
      </c>
      <c r="E7550" t="s">
        <v>420</v>
      </c>
      <c r="F7550">
        <f>HYPERLINK("https://www.wikidata.org/wiki/Q33323082", "Q33323082")</f>
        <v>0</v>
      </c>
      <c r="G7550" t="s">
        <v>762</v>
      </c>
      <c r="H7550" t="s">
        <v>5520</v>
      </c>
      <c r="I7550" t="s">
        <v>9514</v>
      </c>
      <c r="J7550" t="s">
        <v>11507</v>
      </c>
      <c r="K7550" t="s">
        <v>15913</v>
      </c>
      <c r="L7550">
        <f>HYPERLINK("https://www2.assemblee-nationale.fr/sycomore/fiche/(num_dept)/5981", "5981")</f>
        <v>0</v>
      </c>
      <c r="M7550">
        <f>HYPERLINK("https://www.senat.fr/senateur-3eme-republique/plichon_jean1422r3.html", "plichon_jean1422r3")</f>
        <v>0</v>
      </c>
      <c r="N7550">
        <f>HYPERLINK("https://www.wikidata.org/wiki/Q3174051", "Q3174051")</f>
        <v>0</v>
      </c>
      <c r="O7550" t="s">
        <v>20013</v>
      </c>
      <c r="P7550" t="s">
        <v>20410</v>
      </c>
      <c r="Q7550" t="s">
        <v>20883</v>
      </c>
      <c r="R7550" t="s">
        <v>420</v>
      </c>
      <c r="S7550">
        <v>1495</v>
      </c>
    </row>
    <row r="7551" spans="1:19">
      <c r="A7551" t="s">
        <v>30</v>
      </c>
      <c r="B7551" t="s">
        <v>148</v>
      </c>
      <c r="C7551" t="s">
        <v>162</v>
      </c>
      <c r="D7551" t="s">
        <v>291</v>
      </c>
      <c r="E7551" t="s">
        <v>420</v>
      </c>
      <c r="F7551">
        <f>HYPERLINK("https://www.wikidata.org/wiki/Q33323082", "Q33323082")</f>
        <v>0</v>
      </c>
      <c r="G7551" t="s">
        <v>763</v>
      </c>
      <c r="H7551" t="s">
        <v>5521</v>
      </c>
      <c r="I7551" t="s">
        <v>5800</v>
      </c>
      <c r="J7551" t="s">
        <v>11510</v>
      </c>
      <c r="K7551" t="s">
        <v>15914</v>
      </c>
      <c r="L7551">
        <f>HYPERLINK("https://www2.assemblee-nationale.fr/sycomore/fiche/(num_dept)/5983", "5983")</f>
        <v>0</v>
      </c>
      <c r="N7551">
        <f>HYPERLINK("https://www.wikidata.org/wiki/Q3484416", "Q3484416")</f>
        <v>0</v>
      </c>
      <c r="O7551" t="s">
        <v>20006</v>
      </c>
      <c r="P7551" t="s">
        <v>20401</v>
      </c>
      <c r="Q7551" t="s">
        <v>20883</v>
      </c>
      <c r="R7551" t="s">
        <v>420</v>
      </c>
      <c r="S7551">
        <v>1495</v>
      </c>
    </row>
    <row r="7552" spans="1:19">
      <c r="A7552" t="s">
        <v>30</v>
      </c>
      <c r="B7552" t="s">
        <v>148</v>
      </c>
      <c r="C7552" t="s">
        <v>162</v>
      </c>
      <c r="D7552" t="s">
        <v>291</v>
      </c>
      <c r="E7552" t="s">
        <v>420</v>
      </c>
      <c r="F7552">
        <f>HYPERLINK("https://www.wikidata.org/wiki/Q33323082", "Q33323082")</f>
        <v>0</v>
      </c>
      <c r="G7552" t="s">
        <v>3369</v>
      </c>
      <c r="H7552" t="s">
        <v>7766</v>
      </c>
      <c r="I7552" t="s">
        <v>9692</v>
      </c>
      <c r="J7552" t="s">
        <v>13981</v>
      </c>
      <c r="K7552" t="s">
        <v>18349</v>
      </c>
      <c r="L7552">
        <f>HYPERLINK("https://www2.assemblee-nationale.fr/sycomore/fiche/(num_dept)/5994", "5994")</f>
        <v>0</v>
      </c>
      <c r="M7552">
        <f>HYPERLINK("https://www.senat.fr/senateur-3eme-republique/poincare_raymond1024r3.html", "poincare_raymond1024r3")</f>
        <v>0</v>
      </c>
      <c r="N7552">
        <f>HYPERLINK("https://www.wikidata.org/wiki/Q191974", "Q191974")</f>
        <v>0</v>
      </c>
      <c r="O7552" t="s">
        <v>20030</v>
      </c>
      <c r="Q7552" t="s">
        <v>20883</v>
      </c>
      <c r="R7552" t="s">
        <v>21614</v>
      </c>
      <c r="S7552">
        <v>305</v>
      </c>
    </row>
    <row r="7553" spans="1:19">
      <c r="A7553" t="s">
        <v>30</v>
      </c>
      <c r="B7553" t="s">
        <v>148</v>
      </c>
      <c r="C7553" t="s">
        <v>162</v>
      </c>
      <c r="D7553" t="s">
        <v>291</v>
      </c>
      <c r="E7553" t="s">
        <v>420</v>
      </c>
      <c r="F7553">
        <f>HYPERLINK("https://www.wikidata.org/wiki/Q33323082", "Q33323082")</f>
        <v>0</v>
      </c>
      <c r="G7553" t="s">
        <v>3047</v>
      </c>
      <c r="H7553" t="s">
        <v>7503</v>
      </c>
      <c r="I7553" t="s">
        <v>9421</v>
      </c>
      <c r="J7553" t="s">
        <v>13674</v>
      </c>
      <c r="K7553" t="s">
        <v>18055</v>
      </c>
      <c r="L7553">
        <f>HYPERLINK("https://www2.assemblee-nationale.fr/sycomore/fiche/(num_dept)/6001", "6001")</f>
        <v>0</v>
      </c>
      <c r="M7553">
        <f>HYPERLINK("https://www.senat.fr/senateur-3eme-republique/rivet_gustave1198r3.html", "rivet_gustave1198r3")</f>
        <v>0</v>
      </c>
      <c r="N7553">
        <f>HYPERLINK("https://www.wikidata.org/wiki/Q3121310", "Q3121310")</f>
        <v>0</v>
      </c>
      <c r="O7553" t="s">
        <v>20006</v>
      </c>
      <c r="P7553" t="s">
        <v>20401</v>
      </c>
      <c r="Q7553" t="s">
        <v>20883</v>
      </c>
      <c r="R7553" t="s">
        <v>21615</v>
      </c>
      <c r="S7553">
        <v>596</v>
      </c>
    </row>
    <row r="7554" spans="1:19">
      <c r="A7554" t="s">
        <v>30</v>
      </c>
      <c r="B7554" t="s">
        <v>148</v>
      </c>
      <c r="C7554" t="s">
        <v>162</v>
      </c>
      <c r="D7554" t="s">
        <v>291</v>
      </c>
      <c r="E7554" t="s">
        <v>420</v>
      </c>
      <c r="F7554">
        <f>HYPERLINK("https://www.wikidata.org/wiki/Q33323082", "Q33323082")</f>
        <v>0</v>
      </c>
      <c r="G7554" t="s">
        <v>1029</v>
      </c>
      <c r="H7554" t="s">
        <v>5525</v>
      </c>
      <c r="I7554" t="s">
        <v>9627</v>
      </c>
      <c r="J7554" t="s">
        <v>11766</v>
      </c>
      <c r="K7554" t="s">
        <v>16167</v>
      </c>
      <c r="L7554">
        <f>HYPERLINK("https://www2.assemblee-nationale.fr/sycomore/fiche/(num_dept)/6029", "6029")</f>
        <v>0</v>
      </c>
      <c r="N7554">
        <f>HYPERLINK("https://www.wikidata.org/wiki/Q3057161", "Q3057161")</f>
        <v>0</v>
      </c>
      <c r="O7554" t="s">
        <v>19969</v>
      </c>
      <c r="P7554" t="s">
        <v>20495</v>
      </c>
      <c r="Q7554" t="s">
        <v>20883</v>
      </c>
      <c r="R7554" t="s">
        <v>420</v>
      </c>
      <c r="S7554">
        <v>1495</v>
      </c>
    </row>
    <row r="7555" spans="1:19">
      <c r="A7555" t="s">
        <v>30</v>
      </c>
      <c r="B7555" t="s">
        <v>148</v>
      </c>
      <c r="C7555" t="s">
        <v>162</v>
      </c>
      <c r="D7555" t="s">
        <v>291</v>
      </c>
      <c r="E7555" t="s">
        <v>420</v>
      </c>
      <c r="F7555">
        <f>HYPERLINK("https://www.wikidata.org/wiki/Q33323082", "Q33323082")</f>
        <v>0</v>
      </c>
      <c r="G7555" t="s">
        <v>767</v>
      </c>
      <c r="H7555" t="s">
        <v>5525</v>
      </c>
      <c r="I7555" t="s">
        <v>9449</v>
      </c>
      <c r="J7555" t="s">
        <v>11514</v>
      </c>
      <c r="K7555" t="s">
        <v>15918</v>
      </c>
      <c r="L7555">
        <f>HYPERLINK("https://www2.assemblee-nationale.fr/sycomore/fiche/(num_dept)/6031", "6031")</f>
        <v>0</v>
      </c>
      <c r="N7555">
        <f>HYPERLINK("https://www.wikidata.org/wiki/Q3188891", "Q3188891")</f>
        <v>0</v>
      </c>
      <c r="O7555" t="s">
        <v>19991</v>
      </c>
      <c r="Q7555" t="s">
        <v>20883</v>
      </c>
      <c r="R7555" t="s">
        <v>420</v>
      </c>
      <c r="S7555">
        <v>1495</v>
      </c>
    </row>
    <row r="7556" spans="1:19">
      <c r="A7556" t="s">
        <v>30</v>
      </c>
      <c r="B7556" t="s">
        <v>148</v>
      </c>
      <c r="C7556" t="s">
        <v>162</v>
      </c>
      <c r="D7556" t="s">
        <v>291</v>
      </c>
      <c r="E7556" t="s">
        <v>420</v>
      </c>
      <c r="F7556">
        <f>HYPERLINK("https://www.wikidata.org/wiki/Q33323082", "Q33323082")</f>
        <v>0</v>
      </c>
      <c r="G7556" t="s">
        <v>770</v>
      </c>
      <c r="H7556" t="s">
        <v>5528</v>
      </c>
      <c r="I7556" t="s">
        <v>9517</v>
      </c>
      <c r="J7556" t="s">
        <v>11517</v>
      </c>
      <c r="K7556" t="s">
        <v>15921</v>
      </c>
      <c r="L7556">
        <f>HYPERLINK("https://www2.assemblee-nationale.fr/sycomore/fiche/(num_dept)/6054", "6054")</f>
        <v>0</v>
      </c>
      <c r="N7556">
        <f>HYPERLINK("https://www.wikidata.org/wiki/Q2829651", "Q2829651")</f>
        <v>0</v>
      </c>
      <c r="O7556" t="s">
        <v>19961</v>
      </c>
      <c r="Q7556" t="s">
        <v>20883</v>
      </c>
      <c r="R7556" t="s">
        <v>420</v>
      </c>
      <c r="S7556">
        <v>1495</v>
      </c>
    </row>
    <row r="7557" spans="1:19">
      <c r="A7557" t="s">
        <v>30</v>
      </c>
      <c r="B7557" t="s">
        <v>148</v>
      </c>
      <c r="C7557" t="s">
        <v>162</v>
      </c>
      <c r="D7557" t="s">
        <v>291</v>
      </c>
      <c r="E7557" t="s">
        <v>420</v>
      </c>
      <c r="F7557">
        <f>HYPERLINK("https://www.wikidata.org/wiki/Q33323082", "Q33323082")</f>
        <v>0</v>
      </c>
      <c r="G7557" t="s">
        <v>4082</v>
      </c>
      <c r="H7557" t="s">
        <v>8297</v>
      </c>
      <c r="I7557" t="s">
        <v>11100</v>
      </c>
      <c r="J7557" t="s">
        <v>14621</v>
      </c>
      <c r="K7557" t="s">
        <v>18957</v>
      </c>
      <c r="L7557">
        <f>HYPERLINK("https://www2.assemblee-nationale.fr/sycomore/fiche/(num_dept)/6088", "6088")</f>
        <v>0</v>
      </c>
      <c r="N7557">
        <f>HYPERLINK("https://www.wikidata.org/wiki/Q3260726", "Q3260726")</f>
        <v>0</v>
      </c>
      <c r="O7557" t="s">
        <v>19964</v>
      </c>
      <c r="P7557" t="s">
        <v>20410</v>
      </c>
      <c r="Q7557" t="s">
        <v>20883</v>
      </c>
      <c r="R7557" t="s">
        <v>420</v>
      </c>
      <c r="S7557">
        <v>1495</v>
      </c>
    </row>
    <row r="7558" spans="1:19">
      <c r="A7558" t="s">
        <v>30</v>
      </c>
      <c r="B7558" t="s">
        <v>148</v>
      </c>
      <c r="C7558" t="s">
        <v>162</v>
      </c>
      <c r="D7558" t="s">
        <v>291</v>
      </c>
      <c r="E7558" t="s">
        <v>420</v>
      </c>
      <c r="F7558">
        <f>HYPERLINK("https://www.wikidata.org/wiki/Q33323082", "Q33323082")</f>
        <v>0</v>
      </c>
      <c r="G7558" t="s">
        <v>3801</v>
      </c>
      <c r="H7558" t="s">
        <v>8086</v>
      </c>
      <c r="I7558" t="s">
        <v>10979</v>
      </c>
      <c r="J7558" t="s">
        <v>14370</v>
      </c>
      <c r="K7558" t="s">
        <v>17541</v>
      </c>
      <c r="L7558">
        <f>HYPERLINK("https://www2.assemblee-nationale.fr/sycomore/fiche/(num_dept)/6090", "6090")</f>
        <v>0</v>
      </c>
      <c r="N7558">
        <f>HYPERLINK("https://www.wikidata.org/wiki/Q16026449", "Q16026449")</f>
        <v>0</v>
      </c>
      <c r="O7558" t="s">
        <v>19968</v>
      </c>
      <c r="P7558" t="s">
        <v>20479</v>
      </c>
      <c r="Q7558" t="s">
        <v>20883</v>
      </c>
      <c r="R7558" t="s">
        <v>420</v>
      </c>
      <c r="S7558">
        <v>1495</v>
      </c>
    </row>
    <row r="7559" spans="1:19">
      <c r="A7559" t="s">
        <v>30</v>
      </c>
      <c r="B7559" t="s">
        <v>148</v>
      </c>
      <c r="C7559" t="s">
        <v>162</v>
      </c>
      <c r="D7559" t="s">
        <v>291</v>
      </c>
      <c r="E7559" t="s">
        <v>420</v>
      </c>
      <c r="F7559">
        <f>HYPERLINK("https://www.wikidata.org/wiki/Q33323082", "Q33323082")</f>
        <v>0</v>
      </c>
      <c r="G7559" t="s">
        <v>773</v>
      </c>
      <c r="H7559" t="s">
        <v>5531</v>
      </c>
      <c r="I7559" t="s">
        <v>9519</v>
      </c>
      <c r="J7559" t="s">
        <v>11520</v>
      </c>
      <c r="K7559" t="s">
        <v>15924</v>
      </c>
      <c r="L7559">
        <f>HYPERLINK("https://www2.assemblee-nationale.fr/sycomore/fiche/(num_dept)/6118", "6118")</f>
        <v>0</v>
      </c>
      <c r="N7559">
        <f>HYPERLINK("https://www.wikidata.org/wiki/Q16026452", "Q16026452")</f>
        <v>0</v>
      </c>
      <c r="O7559" t="s">
        <v>20021</v>
      </c>
      <c r="P7559" t="s">
        <v>20401</v>
      </c>
      <c r="Q7559" t="s">
        <v>20883</v>
      </c>
      <c r="R7559" t="s">
        <v>420</v>
      </c>
      <c r="S7559">
        <v>1495</v>
      </c>
    </row>
    <row r="7560" spans="1:19">
      <c r="A7560" t="s">
        <v>30</v>
      </c>
      <c r="B7560" t="s">
        <v>148</v>
      </c>
      <c r="C7560" t="s">
        <v>162</v>
      </c>
      <c r="D7560" t="s">
        <v>291</v>
      </c>
      <c r="E7560" t="s">
        <v>420</v>
      </c>
      <c r="F7560">
        <f>HYPERLINK("https://www.wikidata.org/wiki/Q33323082", "Q33323082")</f>
        <v>0</v>
      </c>
      <c r="G7560" t="s">
        <v>3936</v>
      </c>
      <c r="H7560" t="s">
        <v>8189</v>
      </c>
      <c r="I7560" t="s">
        <v>11029</v>
      </c>
      <c r="J7560" t="s">
        <v>14490</v>
      </c>
      <c r="K7560" t="s">
        <v>18838</v>
      </c>
      <c r="L7560">
        <f>HYPERLINK("https://www2.assemblee-nationale.fr/sycomore/fiche/(num_dept)/6121", "6121")</f>
        <v>0</v>
      </c>
      <c r="M7560">
        <f>HYPERLINK("https://www.senat.fr/senateur-3eme-republique/rouland_julien1587r3.html", "rouland_julien1587r3")</f>
        <v>0</v>
      </c>
      <c r="N7560">
        <f>HYPERLINK("https://www.wikidata.org/wiki/Q3189641", "Q3189641")</f>
        <v>0</v>
      </c>
      <c r="O7560" t="s">
        <v>19978</v>
      </c>
      <c r="P7560" t="s">
        <v>20459</v>
      </c>
      <c r="Q7560" t="s">
        <v>20883</v>
      </c>
      <c r="R7560" t="s">
        <v>420</v>
      </c>
      <c r="S7560">
        <v>1495</v>
      </c>
    </row>
    <row r="7561" spans="1:19">
      <c r="A7561" t="s">
        <v>30</v>
      </c>
      <c r="B7561" t="s">
        <v>148</v>
      </c>
      <c r="C7561" t="s">
        <v>162</v>
      </c>
      <c r="D7561" t="s">
        <v>291</v>
      </c>
      <c r="E7561" t="s">
        <v>420</v>
      </c>
      <c r="F7561">
        <f>HYPERLINK("https://www.wikidata.org/wiki/Q33323082", "Q33323082")</f>
        <v>0</v>
      </c>
      <c r="G7561" t="s">
        <v>4083</v>
      </c>
      <c r="H7561" t="s">
        <v>8298</v>
      </c>
      <c r="I7561" t="s">
        <v>9667</v>
      </c>
      <c r="J7561" t="s">
        <v>14622</v>
      </c>
      <c r="K7561" t="s">
        <v>16599</v>
      </c>
      <c r="L7561">
        <f>HYPERLINK("https://www2.assemblee-nationale.fr/sycomore/fiche/(num_dept)/6145", "6145")</f>
        <v>0</v>
      </c>
      <c r="N7561">
        <f>HYPERLINK("https://www.wikidata.org/wiki/Q3271609", "Q3271609")</f>
        <v>0</v>
      </c>
      <c r="O7561" t="s">
        <v>20030</v>
      </c>
      <c r="Q7561" t="s">
        <v>20883</v>
      </c>
      <c r="R7561" t="s">
        <v>420</v>
      </c>
      <c r="S7561">
        <v>1495</v>
      </c>
    </row>
    <row r="7562" spans="1:19">
      <c r="A7562" t="s">
        <v>30</v>
      </c>
      <c r="B7562" t="s">
        <v>148</v>
      </c>
      <c r="C7562" t="s">
        <v>162</v>
      </c>
      <c r="D7562" t="s">
        <v>291</v>
      </c>
      <c r="E7562" t="s">
        <v>420</v>
      </c>
      <c r="F7562">
        <f>HYPERLINK("https://www.wikidata.org/wiki/Q33323082", "Q33323082")</f>
        <v>0</v>
      </c>
      <c r="G7562" t="s">
        <v>2650</v>
      </c>
      <c r="H7562" t="s">
        <v>7191</v>
      </c>
      <c r="I7562" t="s">
        <v>7642</v>
      </c>
      <c r="J7562" t="s">
        <v>13292</v>
      </c>
      <c r="K7562" t="s">
        <v>17691</v>
      </c>
      <c r="L7562">
        <f>HYPERLINK("https://www2.assemblee-nationale.fr/sycomore/fiche/(num_dept)/6152", "6152")</f>
        <v>0</v>
      </c>
      <c r="M7562">
        <f>HYPERLINK("https://www.senat.fr/senateur-3eme-republique/rouvier_maurice0115r3.html", "rouvier_maurice0115r3")</f>
        <v>0</v>
      </c>
      <c r="N7562">
        <f>HYPERLINK("https://www.wikidata.org/wiki/Q471293", "Q471293")</f>
        <v>0</v>
      </c>
      <c r="O7562" t="s">
        <v>20024</v>
      </c>
      <c r="Q7562" t="s">
        <v>20883</v>
      </c>
      <c r="R7562" t="s">
        <v>21616</v>
      </c>
      <c r="S7562">
        <v>269</v>
      </c>
    </row>
    <row r="7563" spans="1:19">
      <c r="A7563" t="s">
        <v>30</v>
      </c>
      <c r="B7563" t="s">
        <v>148</v>
      </c>
      <c r="C7563" t="s">
        <v>162</v>
      </c>
      <c r="D7563" t="s">
        <v>291</v>
      </c>
      <c r="E7563" t="s">
        <v>420</v>
      </c>
      <c r="F7563">
        <f>HYPERLINK("https://www.wikidata.org/wiki/Q33323082", "Q33323082")</f>
        <v>0</v>
      </c>
      <c r="G7563" t="s">
        <v>776</v>
      </c>
      <c r="H7563" t="s">
        <v>5534</v>
      </c>
      <c r="I7563" t="s">
        <v>9407</v>
      </c>
      <c r="J7563" t="s">
        <v>11523</v>
      </c>
      <c r="K7563" t="s">
        <v>15927</v>
      </c>
      <c r="L7563">
        <f>HYPERLINK("https://www2.assemblee-nationale.fr/sycomore/fiche/(num_dept)/6182", "6182")</f>
        <v>0</v>
      </c>
      <c r="N7563">
        <f>HYPERLINK("https://www.wikidata.org/wiki/Q3185595", "Q3185595")</f>
        <v>0</v>
      </c>
      <c r="O7563" t="s">
        <v>20016</v>
      </c>
      <c r="P7563" t="s">
        <v>20401</v>
      </c>
      <c r="Q7563" t="s">
        <v>20883</v>
      </c>
      <c r="R7563" t="s">
        <v>420</v>
      </c>
      <c r="S7563">
        <v>1495</v>
      </c>
    </row>
    <row r="7564" spans="1:19">
      <c r="A7564" t="s">
        <v>30</v>
      </c>
      <c r="B7564" t="s">
        <v>148</v>
      </c>
      <c r="C7564" t="s">
        <v>162</v>
      </c>
      <c r="D7564" t="s">
        <v>291</v>
      </c>
      <c r="E7564" t="s">
        <v>420</v>
      </c>
      <c r="F7564">
        <f>HYPERLINK("https://www.wikidata.org/wiki/Q33323082", "Q33323082")</f>
        <v>0</v>
      </c>
      <c r="G7564" t="s">
        <v>4084</v>
      </c>
      <c r="H7564" t="s">
        <v>8299</v>
      </c>
      <c r="I7564" t="s">
        <v>11101</v>
      </c>
      <c r="J7564" t="s">
        <v>14623</v>
      </c>
      <c r="K7564" t="s">
        <v>18958</v>
      </c>
      <c r="L7564">
        <f>HYPERLINK("https://www2.assemblee-nationale.fr/sycomore/fiche/(num_dept)/6186", "6186")</f>
        <v>0</v>
      </c>
      <c r="N7564">
        <f>HYPERLINK("https://www.wikidata.org/wiki/Q8329157", "Q8329157")</f>
        <v>0</v>
      </c>
      <c r="O7564" t="s">
        <v>19976</v>
      </c>
      <c r="P7564" t="s">
        <v>20410</v>
      </c>
      <c r="Q7564" t="s">
        <v>20883</v>
      </c>
      <c r="R7564" t="s">
        <v>420</v>
      </c>
      <c r="S7564">
        <v>1495</v>
      </c>
    </row>
    <row r="7565" spans="1:19">
      <c r="A7565" t="s">
        <v>30</v>
      </c>
      <c r="B7565" t="s">
        <v>148</v>
      </c>
      <c r="C7565" t="s">
        <v>162</v>
      </c>
      <c r="D7565" t="s">
        <v>291</v>
      </c>
      <c r="E7565" t="s">
        <v>420</v>
      </c>
      <c r="F7565">
        <f>HYPERLINK("https://www.wikidata.org/wiki/Q33323082", "Q33323082")</f>
        <v>0</v>
      </c>
      <c r="G7565" t="s">
        <v>4085</v>
      </c>
      <c r="H7565" t="s">
        <v>8300</v>
      </c>
      <c r="I7565" t="s">
        <v>9638</v>
      </c>
      <c r="J7565" t="s">
        <v>14624</v>
      </c>
      <c r="K7565" t="s">
        <v>18959</v>
      </c>
      <c r="L7565">
        <f>HYPERLINK("https://www2.assemblee-nationale.fr/sycomore/fiche/(num_dept)/6196", "6196")</f>
        <v>0</v>
      </c>
      <c r="M7565">
        <f>HYPERLINK("https://www.senat.fr/senateur-3eme-republique/sabaterie_pierre_jean0994r3.html", "sabaterie_pierre_jean0994r3")</f>
        <v>0</v>
      </c>
      <c r="N7565">
        <f>HYPERLINK("https://www.wikidata.org/wiki/Q3383181", "Q3383181")</f>
        <v>0</v>
      </c>
      <c r="O7565" t="s">
        <v>20005</v>
      </c>
      <c r="P7565" t="s">
        <v>20401</v>
      </c>
      <c r="Q7565" t="s">
        <v>20883</v>
      </c>
      <c r="R7565" t="s">
        <v>420</v>
      </c>
      <c r="S7565">
        <v>1495</v>
      </c>
    </row>
    <row r="7566" spans="1:19">
      <c r="A7566" t="s">
        <v>30</v>
      </c>
      <c r="B7566" t="s">
        <v>148</v>
      </c>
      <c r="C7566" t="s">
        <v>162</v>
      </c>
      <c r="D7566" t="s">
        <v>291</v>
      </c>
      <c r="E7566" t="s">
        <v>420</v>
      </c>
      <c r="F7566">
        <f>HYPERLINK("https://www.wikidata.org/wiki/Q33323082", "Q33323082")</f>
        <v>0</v>
      </c>
      <c r="G7566" t="s">
        <v>2656</v>
      </c>
      <c r="H7566" t="s">
        <v>7196</v>
      </c>
      <c r="I7566" t="s">
        <v>10343</v>
      </c>
      <c r="J7566" t="s">
        <v>13298</v>
      </c>
      <c r="K7566" t="s">
        <v>17697</v>
      </c>
      <c r="L7566">
        <f>HYPERLINK("https://www2.assemblee-nationale.fr/sycomore/fiche/(num_dept)/6222", "6222")</f>
        <v>0</v>
      </c>
      <c r="N7566">
        <f>HYPERLINK("https://www.wikidata.org/wiki/Q3592434", "Q3592434")</f>
        <v>0</v>
      </c>
      <c r="O7566" t="s">
        <v>19975</v>
      </c>
      <c r="Q7566" t="s">
        <v>20883</v>
      </c>
      <c r="R7566" t="s">
        <v>420</v>
      </c>
      <c r="S7566">
        <v>1495</v>
      </c>
    </row>
    <row r="7567" spans="1:19">
      <c r="A7567" t="s">
        <v>30</v>
      </c>
      <c r="B7567" t="s">
        <v>148</v>
      </c>
      <c r="C7567" t="s">
        <v>162</v>
      </c>
      <c r="D7567" t="s">
        <v>291</v>
      </c>
      <c r="E7567" t="s">
        <v>420</v>
      </c>
      <c r="F7567">
        <f>HYPERLINK("https://www.wikidata.org/wiki/Q33323082", "Q33323082")</f>
        <v>0</v>
      </c>
      <c r="G7567" t="s">
        <v>4086</v>
      </c>
      <c r="H7567" t="s">
        <v>8301</v>
      </c>
      <c r="I7567" t="s">
        <v>11102</v>
      </c>
      <c r="J7567" t="s">
        <v>11666</v>
      </c>
      <c r="K7567" t="s">
        <v>18960</v>
      </c>
      <c r="L7567">
        <f>HYPERLINK("https://www2.assemblee-nationale.fr/sycomore/fiche/(num_dept)/6227", "6227")</f>
        <v>0</v>
      </c>
      <c r="N7567">
        <f>HYPERLINK("https://www.wikidata.org/wiki/Q8298112", "Q8298112")</f>
        <v>0</v>
      </c>
      <c r="O7567" t="s">
        <v>19971</v>
      </c>
      <c r="P7567" t="s">
        <v>20495</v>
      </c>
      <c r="Q7567" t="s">
        <v>20883</v>
      </c>
      <c r="R7567" t="s">
        <v>420</v>
      </c>
      <c r="S7567">
        <v>1495</v>
      </c>
    </row>
    <row r="7568" spans="1:19">
      <c r="A7568" t="s">
        <v>30</v>
      </c>
      <c r="B7568" t="s">
        <v>148</v>
      </c>
      <c r="C7568" t="s">
        <v>162</v>
      </c>
      <c r="D7568" t="s">
        <v>291</v>
      </c>
      <c r="E7568" t="s">
        <v>420</v>
      </c>
      <c r="F7568">
        <f>HYPERLINK("https://www.wikidata.org/wiki/Q33323082", "Q33323082")</f>
        <v>0</v>
      </c>
      <c r="G7568" t="s">
        <v>778</v>
      </c>
      <c r="H7568" t="s">
        <v>5536</v>
      </c>
      <c r="I7568" t="s">
        <v>6584</v>
      </c>
      <c r="J7568" t="s">
        <v>11525</v>
      </c>
      <c r="K7568" t="s">
        <v>15929</v>
      </c>
      <c r="L7568">
        <f>HYPERLINK("https://www2.assemblee-nationale.fr/sycomore/fiche/(num_dept)/6293", "6293")</f>
        <v>0</v>
      </c>
      <c r="M7568">
        <f>HYPERLINK("https://www.senat.fr/senateur-3eme-republique/sarraut_albert0265r3.html", "sarraut_albert0265r3")</f>
        <v>0</v>
      </c>
      <c r="N7568">
        <f>HYPERLINK("https://www.wikidata.org/wiki/Q460318", "Q460318")</f>
        <v>0</v>
      </c>
      <c r="O7568" t="s">
        <v>19960</v>
      </c>
      <c r="Q7568" t="s">
        <v>20883</v>
      </c>
      <c r="R7568" t="s">
        <v>420</v>
      </c>
      <c r="S7568">
        <v>1495</v>
      </c>
    </row>
    <row r="7569" spans="1:19">
      <c r="A7569" t="s">
        <v>30</v>
      </c>
      <c r="B7569" t="s">
        <v>148</v>
      </c>
      <c r="C7569" t="s">
        <v>162</v>
      </c>
      <c r="D7569" t="s">
        <v>291</v>
      </c>
      <c r="E7569" t="s">
        <v>420</v>
      </c>
      <c r="F7569">
        <f>HYPERLINK("https://www.wikidata.org/wiki/Q33323082", "Q33323082")</f>
        <v>0</v>
      </c>
      <c r="G7569" t="s">
        <v>2659</v>
      </c>
      <c r="H7569" t="s">
        <v>7199</v>
      </c>
      <c r="I7569" t="s">
        <v>9376</v>
      </c>
      <c r="J7569" t="s">
        <v>13300</v>
      </c>
      <c r="K7569" t="s">
        <v>17700</v>
      </c>
      <c r="L7569">
        <f>HYPERLINK("https://www2.assemblee-nationale.fr/sycomore/fiche/(num_dept)/6297", "6297")</f>
        <v>0</v>
      </c>
      <c r="M7569">
        <f>HYPERLINK("https://www.senat.fr/senateur-3eme-republique/sarrien_ferdinand1219r3.html", "sarrien_ferdinand1219r3")</f>
        <v>0</v>
      </c>
      <c r="N7569">
        <f>HYPERLINK("https://www.wikidata.org/wiki/Q718698", "Q718698")</f>
        <v>0</v>
      </c>
      <c r="O7569" t="s">
        <v>19994</v>
      </c>
      <c r="Q7569" t="s">
        <v>20883</v>
      </c>
      <c r="R7569" t="s">
        <v>420</v>
      </c>
      <c r="S7569">
        <v>1495</v>
      </c>
    </row>
    <row r="7570" spans="1:19">
      <c r="A7570" t="s">
        <v>30</v>
      </c>
      <c r="B7570" t="s">
        <v>148</v>
      </c>
      <c r="C7570" t="s">
        <v>162</v>
      </c>
      <c r="D7570" t="s">
        <v>291</v>
      </c>
      <c r="E7570" t="s">
        <v>420</v>
      </c>
      <c r="F7570">
        <f>HYPERLINK("https://www.wikidata.org/wiki/Q33323082", "Q33323082")</f>
        <v>0</v>
      </c>
      <c r="G7570" t="s">
        <v>780</v>
      </c>
      <c r="H7570" t="s">
        <v>5538</v>
      </c>
      <c r="I7570" t="s">
        <v>9449</v>
      </c>
      <c r="J7570" t="s">
        <v>11527</v>
      </c>
      <c r="K7570" t="s">
        <v>15931</v>
      </c>
      <c r="L7570">
        <f>HYPERLINK("https://www2.assemblee-nationale.fr/sycomore/fiche/(num_dept)/6319", "6319")</f>
        <v>0</v>
      </c>
      <c r="N7570">
        <f>HYPERLINK("https://www.wikidata.org/wiki/Q16026488", "Q16026488")</f>
        <v>0</v>
      </c>
      <c r="O7570" t="s">
        <v>19960</v>
      </c>
      <c r="P7570" t="s">
        <v>20477</v>
      </c>
      <c r="Q7570" t="s">
        <v>20883</v>
      </c>
      <c r="R7570" t="s">
        <v>420</v>
      </c>
      <c r="S7570">
        <v>1495</v>
      </c>
    </row>
    <row r="7571" spans="1:19">
      <c r="A7571" t="s">
        <v>30</v>
      </c>
      <c r="B7571" t="s">
        <v>148</v>
      </c>
      <c r="C7571" t="s">
        <v>162</v>
      </c>
      <c r="D7571" t="s">
        <v>291</v>
      </c>
      <c r="E7571" t="s">
        <v>420</v>
      </c>
      <c r="F7571">
        <f>HYPERLINK("https://www.wikidata.org/wiki/Q33323082", "Q33323082")</f>
        <v>0</v>
      </c>
      <c r="G7571" t="s">
        <v>782</v>
      </c>
      <c r="H7571" t="s">
        <v>5282</v>
      </c>
      <c r="I7571" t="s">
        <v>9521</v>
      </c>
      <c r="J7571" t="s">
        <v>11529</v>
      </c>
      <c r="K7571" t="s">
        <v>15933</v>
      </c>
      <c r="L7571">
        <f>HYPERLINK("https://www2.assemblee-nationale.fr/sycomore/fiche/(num_dept)/6324", "6324")</f>
        <v>0</v>
      </c>
      <c r="N7571">
        <f>HYPERLINK("https://www.wikidata.org/wiki/Q3133056", "Q3133056")</f>
        <v>0</v>
      </c>
      <c r="O7571" t="s">
        <v>20021</v>
      </c>
      <c r="P7571" t="s">
        <v>20410</v>
      </c>
      <c r="Q7571" t="s">
        <v>20883</v>
      </c>
      <c r="R7571" t="s">
        <v>420</v>
      </c>
      <c r="S7571">
        <v>1495</v>
      </c>
    </row>
    <row r="7572" spans="1:19">
      <c r="A7572" t="s">
        <v>30</v>
      </c>
      <c r="B7572" t="s">
        <v>148</v>
      </c>
      <c r="C7572" t="s">
        <v>162</v>
      </c>
      <c r="D7572" t="s">
        <v>291</v>
      </c>
      <c r="E7572" t="s">
        <v>420</v>
      </c>
      <c r="F7572">
        <f>HYPERLINK("https://www.wikidata.org/wiki/Q33323082", "Q33323082")</f>
        <v>0</v>
      </c>
      <c r="G7572" t="s">
        <v>783</v>
      </c>
      <c r="H7572" t="s">
        <v>5540</v>
      </c>
      <c r="I7572" t="s">
        <v>9385</v>
      </c>
      <c r="J7572" t="s">
        <v>11530</v>
      </c>
      <c r="K7572" t="s">
        <v>15934</v>
      </c>
      <c r="L7572">
        <f>HYPERLINK("https://www2.assemblee-nationale.fr/sycomore/fiche/(num_dept)/6350", "6350")</f>
        <v>0</v>
      </c>
      <c r="N7572">
        <f>HYPERLINK("https://www.wikidata.org/wiki/Q2960201", "Q2960201")</f>
        <v>0</v>
      </c>
      <c r="O7572" t="s">
        <v>20040</v>
      </c>
      <c r="P7572" t="s">
        <v>20477</v>
      </c>
      <c r="Q7572" t="s">
        <v>20883</v>
      </c>
      <c r="R7572" t="s">
        <v>420</v>
      </c>
      <c r="S7572">
        <v>1495</v>
      </c>
    </row>
    <row r="7573" spans="1:19">
      <c r="A7573" t="s">
        <v>30</v>
      </c>
      <c r="B7573" t="s">
        <v>148</v>
      </c>
      <c r="C7573" t="s">
        <v>162</v>
      </c>
      <c r="D7573" t="s">
        <v>291</v>
      </c>
      <c r="E7573" t="s">
        <v>420</v>
      </c>
      <c r="F7573">
        <f>HYPERLINK("https://www.wikidata.org/wiki/Q33323082", "Q33323082")</f>
        <v>0</v>
      </c>
      <c r="G7573" t="s">
        <v>3937</v>
      </c>
      <c r="H7573" t="s">
        <v>5540</v>
      </c>
      <c r="I7573" t="s">
        <v>9465</v>
      </c>
      <c r="J7573" t="s">
        <v>14491</v>
      </c>
      <c r="K7573" t="s">
        <v>18839</v>
      </c>
      <c r="L7573">
        <f>HYPERLINK("https://www2.assemblee-nationale.fr/sycomore/fiche/(num_dept)/6351", "6351")</f>
        <v>0</v>
      </c>
      <c r="N7573">
        <f>HYPERLINK("https://www.wikidata.org/wiki/Q3059938", "Q3059938")</f>
        <v>0</v>
      </c>
      <c r="O7573" t="s">
        <v>19994</v>
      </c>
      <c r="Q7573" t="s">
        <v>20883</v>
      </c>
      <c r="R7573" t="s">
        <v>420</v>
      </c>
      <c r="S7573">
        <v>1495</v>
      </c>
    </row>
    <row r="7574" spans="1:19">
      <c r="A7574" t="s">
        <v>30</v>
      </c>
      <c r="B7574" t="s">
        <v>148</v>
      </c>
      <c r="C7574" t="s">
        <v>162</v>
      </c>
      <c r="D7574" t="s">
        <v>291</v>
      </c>
      <c r="E7574" t="s">
        <v>420</v>
      </c>
      <c r="F7574">
        <f>HYPERLINK("https://www.wikidata.org/wiki/Q33323082", "Q33323082")</f>
        <v>0</v>
      </c>
      <c r="G7574" t="s">
        <v>786</v>
      </c>
      <c r="H7574" t="s">
        <v>5543</v>
      </c>
      <c r="I7574" t="s">
        <v>9523</v>
      </c>
      <c r="J7574" t="s">
        <v>11533</v>
      </c>
      <c r="K7574" t="s">
        <v>15937</v>
      </c>
      <c r="L7574">
        <f>HYPERLINK("https://www2.assemblee-nationale.fr/sycomore/fiche/(num_dept)/6379", "6379")</f>
        <v>0</v>
      </c>
      <c r="N7574">
        <f>HYPERLINK("https://www.wikidata.org/wiki/Q2019775", "Q2019775")</f>
        <v>0</v>
      </c>
      <c r="O7574" t="s">
        <v>19969</v>
      </c>
      <c r="Q7574" t="s">
        <v>20883</v>
      </c>
      <c r="R7574" t="s">
        <v>420</v>
      </c>
      <c r="S7574">
        <v>1495</v>
      </c>
    </row>
    <row r="7575" spans="1:19">
      <c r="A7575" t="s">
        <v>30</v>
      </c>
      <c r="B7575" t="s">
        <v>148</v>
      </c>
      <c r="C7575" t="s">
        <v>162</v>
      </c>
      <c r="D7575" t="s">
        <v>291</v>
      </c>
      <c r="E7575" t="s">
        <v>420</v>
      </c>
      <c r="F7575">
        <f>HYPERLINK("https://www.wikidata.org/wiki/Q33323082", "Q33323082")</f>
        <v>0</v>
      </c>
      <c r="G7575" t="s">
        <v>4087</v>
      </c>
      <c r="H7575" t="s">
        <v>6287</v>
      </c>
      <c r="I7575" t="s">
        <v>11103</v>
      </c>
      <c r="J7575" t="s">
        <v>14625</v>
      </c>
      <c r="K7575" t="s">
        <v>18961</v>
      </c>
      <c r="L7575">
        <f>HYPERLINK("https://www2.assemblee-nationale.fr/sycomore/fiche/(num_dept)/6382", "6382")</f>
        <v>0</v>
      </c>
      <c r="N7575">
        <f>HYPERLINK("https://www.wikidata.org/wiki/Q16026495", "Q16026495")</f>
        <v>0</v>
      </c>
      <c r="O7575" t="s">
        <v>20045</v>
      </c>
      <c r="P7575" t="s">
        <v>20477</v>
      </c>
      <c r="Q7575" t="s">
        <v>20883</v>
      </c>
      <c r="R7575" t="s">
        <v>420</v>
      </c>
      <c r="S7575">
        <v>1495</v>
      </c>
    </row>
    <row r="7576" spans="1:19">
      <c r="A7576" t="s">
        <v>30</v>
      </c>
      <c r="B7576" t="s">
        <v>148</v>
      </c>
      <c r="C7576" t="s">
        <v>162</v>
      </c>
      <c r="D7576" t="s">
        <v>291</v>
      </c>
      <c r="E7576" t="s">
        <v>420</v>
      </c>
      <c r="F7576">
        <f>HYPERLINK("https://www.wikidata.org/wiki/Q33323082", "Q33323082")</f>
        <v>0</v>
      </c>
      <c r="G7576" t="s">
        <v>787</v>
      </c>
      <c r="H7576" t="s">
        <v>5544</v>
      </c>
      <c r="I7576" t="s">
        <v>6941</v>
      </c>
      <c r="J7576" t="s">
        <v>11534</v>
      </c>
      <c r="K7576" t="s">
        <v>15938</v>
      </c>
      <c r="L7576">
        <f>HYPERLINK("https://www2.assemblee-nationale.fr/sycomore/fiche/(num_dept)/6407", "6407")</f>
        <v>0</v>
      </c>
      <c r="M7576">
        <f>HYPERLINK("https://www.senat.fr/senateur-3eme-republique/de_pomereu_michel1598r3.html", "de_pomereu_michel1598r3")</f>
        <v>0</v>
      </c>
      <c r="N7576">
        <f>HYPERLINK("https://www.wikidata.org/wiki/Q3436712", "Q3436712")</f>
        <v>0</v>
      </c>
      <c r="O7576" t="s">
        <v>19978</v>
      </c>
      <c r="P7576" t="s">
        <v>20410</v>
      </c>
      <c r="Q7576" t="s">
        <v>20883</v>
      </c>
      <c r="R7576" t="s">
        <v>420</v>
      </c>
      <c r="S7576">
        <v>1495</v>
      </c>
    </row>
    <row r="7577" spans="1:19">
      <c r="A7577" t="s">
        <v>30</v>
      </c>
      <c r="B7577" t="s">
        <v>148</v>
      </c>
      <c r="C7577" t="s">
        <v>162</v>
      </c>
      <c r="D7577" t="s">
        <v>291</v>
      </c>
      <c r="E7577" t="s">
        <v>420</v>
      </c>
      <c r="F7577">
        <f>HYPERLINK("https://www.wikidata.org/wiki/Q33323082", "Q33323082")</f>
        <v>0</v>
      </c>
      <c r="G7577" t="s">
        <v>790</v>
      </c>
      <c r="H7577" t="s">
        <v>5547</v>
      </c>
      <c r="I7577" t="s">
        <v>6158</v>
      </c>
      <c r="J7577" t="s">
        <v>11537</v>
      </c>
      <c r="K7577" t="s">
        <v>15941</v>
      </c>
      <c r="L7577">
        <f>HYPERLINK("https://www2.assemblee-nationale.fr/sycomore/fiche/(num_dept)/6451", "6451")</f>
        <v>0</v>
      </c>
      <c r="N7577">
        <f>HYPERLINK("https://www.wikidata.org/wiki/Q3092579", "Q3092579")</f>
        <v>0</v>
      </c>
      <c r="O7577" t="s">
        <v>20024</v>
      </c>
      <c r="Q7577" t="s">
        <v>20883</v>
      </c>
      <c r="R7577" t="s">
        <v>420</v>
      </c>
      <c r="S7577">
        <v>1495</v>
      </c>
    </row>
    <row r="7578" spans="1:19">
      <c r="A7578" t="s">
        <v>30</v>
      </c>
      <c r="B7578" t="s">
        <v>148</v>
      </c>
      <c r="C7578" t="s">
        <v>162</v>
      </c>
      <c r="D7578" t="s">
        <v>291</v>
      </c>
      <c r="E7578" t="s">
        <v>420</v>
      </c>
      <c r="F7578">
        <f>HYPERLINK("https://www.wikidata.org/wiki/Q33323082", "Q33323082")</f>
        <v>0</v>
      </c>
      <c r="G7578" t="s">
        <v>3725</v>
      </c>
      <c r="H7578" t="s">
        <v>8034</v>
      </c>
      <c r="I7578" t="s">
        <v>9388</v>
      </c>
      <c r="J7578" t="s">
        <v>14300</v>
      </c>
      <c r="K7578" t="s">
        <v>18654</v>
      </c>
      <c r="L7578">
        <f>HYPERLINK("https://www2.assemblee-nationale.fr/sycomore/fiche/(num_dept)/6459", "6459")</f>
        <v>0</v>
      </c>
      <c r="N7578">
        <f>HYPERLINK("https://www.wikidata.org/wiki/Q16026361", "Q16026361")</f>
        <v>0</v>
      </c>
      <c r="O7578" t="s">
        <v>20010</v>
      </c>
      <c r="P7578" t="s">
        <v>20457</v>
      </c>
      <c r="Q7578" t="s">
        <v>20883</v>
      </c>
      <c r="R7578" t="s">
        <v>420</v>
      </c>
      <c r="S7578">
        <v>1495</v>
      </c>
    </row>
    <row r="7579" spans="1:19">
      <c r="A7579" t="s">
        <v>30</v>
      </c>
      <c r="B7579" t="s">
        <v>148</v>
      </c>
      <c r="C7579" t="s">
        <v>162</v>
      </c>
      <c r="D7579" t="s">
        <v>291</v>
      </c>
      <c r="E7579" t="s">
        <v>420</v>
      </c>
      <c r="F7579">
        <f>HYPERLINK("https://www.wikidata.org/wiki/Q33323082", "Q33323082")</f>
        <v>0</v>
      </c>
      <c r="G7579" t="s">
        <v>4012</v>
      </c>
      <c r="H7579" t="s">
        <v>8248</v>
      </c>
      <c r="I7579" t="s">
        <v>11065</v>
      </c>
      <c r="J7579" t="s">
        <v>14556</v>
      </c>
      <c r="K7579" t="s">
        <v>18901</v>
      </c>
      <c r="L7579">
        <f>HYPERLINK("https://www2.assemblee-nationale.fr/sycomore/fiche/(num_dept)/6473", "6473")</f>
        <v>0</v>
      </c>
      <c r="N7579">
        <f>HYPERLINK("https://www.wikidata.org/wiki/Q3219459", "Q3219459")</f>
        <v>0</v>
      </c>
      <c r="O7579" t="s">
        <v>19969</v>
      </c>
      <c r="Q7579" t="s">
        <v>20883</v>
      </c>
      <c r="R7579" t="s">
        <v>420</v>
      </c>
      <c r="S7579">
        <v>1495</v>
      </c>
    </row>
    <row r="7580" spans="1:19">
      <c r="A7580" t="s">
        <v>30</v>
      </c>
      <c r="B7580" t="s">
        <v>148</v>
      </c>
      <c r="C7580" t="s">
        <v>162</v>
      </c>
      <c r="D7580" t="s">
        <v>291</v>
      </c>
      <c r="E7580" t="s">
        <v>420</v>
      </c>
      <c r="F7580">
        <f>HYPERLINK("https://www.wikidata.org/wiki/Q33323082", "Q33323082")</f>
        <v>0</v>
      </c>
      <c r="G7580" t="s">
        <v>791</v>
      </c>
      <c r="H7580" t="s">
        <v>5548</v>
      </c>
      <c r="I7580" t="s">
        <v>9525</v>
      </c>
      <c r="J7580" t="s">
        <v>11538</v>
      </c>
      <c r="K7580" t="s">
        <v>15942</v>
      </c>
      <c r="L7580">
        <f>HYPERLINK("https://www2.assemblee-nationale.fr/sycomore/fiche/(num_dept)/6477", "6477")</f>
        <v>0</v>
      </c>
      <c r="N7580">
        <f>HYPERLINK("https://www.wikidata.org/wiki/Q15233775", "Q15233775")</f>
        <v>0</v>
      </c>
      <c r="O7580" t="s">
        <v>19970</v>
      </c>
      <c r="P7580" t="s">
        <v>20479</v>
      </c>
      <c r="Q7580" t="s">
        <v>20883</v>
      </c>
      <c r="R7580" t="s">
        <v>420</v>
      </c>
      <c r="S7580">
        <v>1495</v>
      </c>
    </row>
    <row r="7581" spans="1:19">
      <c r="A7581" t="s">
        <v>30</v>
      </c>
      <c r="B7581" t="s">
        <v>148</v>
      </c>
      <c r="C7581" t="s">
        <v>162</v>
      </c>
      <c r="D7581" t="s">
        <v>291</v>
      </c>
      <c r="E7581" t="s">
        <v>420</v>
      </c>
      <c r="F7581">
        <f>HYPERLINK("https://www.wikidata.org/wiki/Q33323082", "Q33323082")</f>
        <v>0</v>
      </c>
      <c r="G7581" t="s">
        <v>795</v>
      </c>
      <c r="H7581" t="s">
        <v>5552</v>
      </c>
      <c r="I7581" t="s">
        <v>9421</v>
      </c>
      <c r="J7581" t="s">
        <v>11542</v>
      </c>
      <c r="K7581" t="s">
        <v>15946</v>
      </c>
      <c r="L7581">
        <f>HYPERLINK("https://www2.assemblee-nationale.fr/sycomore/fiche/(num_dept)/6556", "6556")</f>
        <v>0</v>
      </c>
      <c r="N7581">
        <f>HYPERLINK("https://www.wikidata.org/wiki/Q16026386", "Q16026386")</f>
        <v>0</v>
      </c>
      <c r="O7581" t="s">
        <v>19978</v>
      </c>
      <c r="P7581" t="s">
        <v>20479</v>
      </c>
      <c r="Q7581" t="s">
        <v>20883</v>
      </c>
      <c r="R7581" t="s">
        <v>420</v>
      </c>
      <c r="S7581">
        <v>1495</v>
      </c>
    </row>
    <row r="7582" spans="1:19">
      <c r="A7582" t="s">
        <v>30</v>
      </c>
      <c r="B7582" t="s">
        <v>148</v>
      </c>
      <c r="C7582" t="s">
        <v>162</v>
      </c>
      <c r="D7582" t="s">
        <v>291</v>
      </c>
      <c r="E7582" t="s">
        <v>420</v>
      </c>
      <c r="F7582">
        <f>HYPERLINK("https://www.wikidata.org/wiki/Q33323082", "Q33323082")</f>
        <v>0</v>
      </c>
      <c r="G7582" t="s">
        <v>796</v>
      </c>
      <c r="H7582" t="s">
        <v>5553</v>
      </c>
      <c r="I7582" t="s">
        <v>9527</v>
      </c>
      <c r="J7582" t="s">
        <v>11543</v>
      </c>
      <c r="K7582" t="s">
        <v>15947</v>
      </c>
      <c r="L7582">
        <f>HYPERLINK("https://www2.assemblee-nationale.fr/sycomore/fiche/(num_dept)/6567", "6567")</f>
        <v>0</v>
      </c>
      <c r="M7582">
        <f>HYPERLINK("https://www.senat.fr/senateur-3eme-republique/rabier_fernand0501r3.html", "rabier_fernand0501r3")</f>
        <v>0</v>
      </c>
      <c r="N7582">
        <f>HYPERLINK("https://www.wikidata.org/wiki/Q3069308", "Q3069308")</f>
        <v>0</v>
      </c>
      <c r="O7582" t="s">
        <v>19958</v>
      </c>
      <c r="P7582" t="s">
        <v>20477</v>
      </c>
      <c r="Q7582" t="s">
        <v>20883</v>
      </c>
      <c r="R7582" t="s">
        <v>420</v>
      </c>
      <c r="S7582">
        <v>1495</v>
      </c>
    </row>
    <row r="7583" spans="1:19">
      <c r="A7583" t="s">
        <v>30</v>
      </c>
      <c r="B7583" t="s">
        <v>148</v>
      </c>
      <c r="C7583" t="s">
        <v>162</v>
      </c>
      <c r="D7583" t="s">
        <v>291</v>
      </c>
      <c r="E7583" t="s">
        <v>420</v>
      </c>
      <c r="F7583">
        <f>HYPERLINK("https://www.wikidata.org/wiki/Q33323082", "Q33323082")</f>
        <v>0</v>
      </c>
      <c r="G7583" t="s">
        <v>798</v>
      </c>
      <c r="H7583" t="s">
        <v>5555</v>
      </c>
      <c r="I7583" t="s">
        <v>9529</v>
      </c>
      <c r="J7583" t="s">
        <v>11545</v>
      </c>
      <c r="K7583" t="s">
        <v>15949</v>
      </c>
      <c r="L7583">
        <f>HYPERLINK("https://www2.assemblee-nationale.fr/sycomore/fiche/(num_dept)/6581", "6581")</f>
        <v>0</v>
      </c>
      <c r="M7583">
        <f>HYPERLINK("https://www.senat.fr/senateur-3eme-republique/raiberti_flaminius0124r3.html", "raiberti_flaminius0124r3")</f>
        <v>0</v>
      </c>
      <c r="N7583">
        <f>HYPERLINK("https://www.wikidata.org/wiki/Q3073302", "Q3073302")</f>
        <v>0</v>
      </c>
      <c r="O7583" t="s">
        <v>20024</v>
      </c>
      <c r="P7583" t="s">
        <v>20479</v>
      </c>
      <c r="Q7583" t="s">
        <v>20883</v>
      </c>
      <c r="R7583" t="s">
        <v>420</v>
      </c>
      <c r="S7583">
        <v>1495</v>
      </c>
    </row>
    <row r="7584" spans="1:19">
      <c r="A7584" t="s">
        <v>30</v>
      </c>
      <c r="B7584" t="s">
        <v>148</v>
      </c>
      <c r="C7584" t="s">
        <v>162</v>
      </c>
      <c r="D7584" t="s">
        <v>291</v>
      </c>
      <c r="E7584" t="s">
        <v>420</v>
      </c>
      <c r="F7584">
        <f>HYPERLINK("https://www.wikidata.org/wiki/Q33323082", "Q33323082")</f>
        <v>0</v>
      </c>
      <c r="G7584" t="s">
        <v>1305</v>
      </c>
      <c r="H7584" t="s">
        <v>6026</v>
      </c>
      <c r="I7584" t="s">
        <v>9741</v>
      </c>
      <c r="J7584" t="s">
        <v>12035</v>
      </c>
      <c r="K7584" t="s">
        <v>16436</v>
      </c>
      <c r="L7584">
        <f>HYPERLINK("https://www2.assemblee-nationale.fr/sycomore/fiche/(num_dept)/6585", "6585")</f>
        <v>0</v>
      </c>
      <c r="M7584">
        <f>HYPERLINK("https://www.senat.fr/senateur-3eme-republique/rajon_claude1188r3.html", "rajon_claude1188r3")</f>
        <v>0</v>
      </c>
      <c r="N7584">
        <f>HYPERLINK("https://www.wikidata.org/wiki/Q2978029", "Q2978029")</f>
        <v>0</v>
      </c>
      <c r="O7584" t="s">
        <v>20006</v>
      </c>
      <c r="P7584" t="s">
        <v>20401</v>
      </c>
      <c r="Q7584" t="s">
        <v>20883</v>
      </c>
      <c r="R7584" t="s">
        <v>420</v>
      </c>
      <c r="S7584">
        <v>1495</v>
      </c>
    </row>
    <row r="7585" spans="1:19">
      <c r="A7585" t="s">
        <v>30</v>
      </c>
      <c r="B7585" t="s">
        <v>148</v>
      </c>
      <c r="C7585" t="s">
        <v>162</v>
      </c>
      <c r="D7585" t="s">
        <v>291</v>
      </c>
      <c r="E7585" t="s">
        <v>420</v>
      </c>
      <c r="F7585">
        <f>HYPERLINK("https://www.wikidata.org/wiki/Q33323082", "Q33323082")</f>
        <v>0</v>
      </c>
      <c r="G7585" t="s">
        <v>2665</v>
      </c>
      <c r="H7585" t="s">
        <v>5556</v>
      </c>
      <c r="I7585" t="s">
        <v>10349</v>
      </c>
      <c r="J7585" t="s">
        <v>13306</v>
      </c>
      <c r="K7585" t="s">
        <v>17706</v>
      </c>
      <c r="L7585">
        <f>HYPERLINK("https://www2.assemblee-nationale.fr/sycomore/fiche/(num_dept)/6613", "6613")</f>
        <v>0</v>
      </c>
      <c r="N7585">
        <f>HYPERLINK("https://www.wikidata.org/wiki/Q3121306", "Q3121306")</f>
        <v>0</v>
      </c>
      <c r="O7585" t="s">
        <v>19985</v>
      </c>
      <c r="P7585" t="s">
        <v>20408</v>
      </c>
      <c r="Q7585" t="s">
        <v>20883</v>
      </c>
      <c r="R7585" t="s">
        <v>17706</v>
      </c>
      <c r="S7585">
        <v>676</v>
      </c>
    </row>
    <row r="7586" spans="1:19">
      <c r="A7586" t="s">
        <v>30</v>
      </c>
      <c r="B7586" t="s">
        <v>148</v>
      </c>
      <c r="C7586" t="s">
        <v>162</v>
      </c>
      <c r="D7586" t="s">
        <v>291</v>
      </c>
      <c r="E7586" t="s">
        <v>420</v>
      </c>
      <c r="F7586">
        <f>HYPERLINK("https://www.wikidata.org/wiki/Q33323082", "Q33323082")</f>
        <v>0</v>
      </c>
      <c r="G7586" t="s">
        <v>3165</v>
      </c>
      <c r="H7586" t="s">
        <v>5558</v>
      </c>
      <c r="I7586" t="s">
        <v>10675</v>
      </c>
      <c r="J7586" t="s">
        <v>13786</v>
      </c>
      <c r="K7586" t="s">
        <v>18161</v>
      </c>
      <c r="L7586">
        <f>HYPERLINK("https://www2.assemblee-nationale.fr/sycomore/fiche/(num_dept)/6636", "6636")</f>
        <v>0</v>
      </c>
      <c r="M7586">
        <f>HYPERLINK("https://www.senat.fr/senateur-3eme-republique/razimbaud_jules0239r3.html", "razimbaud_jules0239r3")</f>
        <v>0</v>
      </c>
      <c r="N7586">
        <f>HYPERLINK("https://www.wikidata.org/wiki/Q3188871", "Q3188871")</f>
        <v>0</v>
      </c>
      <c r="O7586" t="s">
        <v>7411</v>
      </c>
      <c r="P7586" t="s">
        <v>20477</v>
      </c>
      <c r="Q7586" t="s">
        <v>20883</v>
      </c>
      <c r="R7586" t="s">
        <v>18747</v>
      </c>
      <c r="S7586">
        <v>942</v>
      </c>
    </row>
    <row r="7587" spans="1:19">
      <c r="A7587" t="s">
        <v>30</v>
      </c>
      <c r="B7587" t="s">
        <v>148</v>
      </c>
      <c r="C7587" t="s">
        <v>162</v>
      </c>
      <c r="D7587" t="s">
        <v>291</v>
      </c>
      <c r="E7587" t="s">
        <v>420</v>
      </c>
      <c r="F7587">
        <f>HYPERLINK("https://www.wikidata.org/wiki/Q33323082", "Q33323082")</f>
        <v>0</v>
      </c>
      <c r="G7587" t="s">
        <v>802</v>
      </c>
      <c r="H7587" t="s">
        <v>5559</v>
      </c>
      <c r="I7587" t="s">
        <v>9440</v>
      </c>
      <c r="J7587" t="s">
        <v>11549</v>
      </c>
      <c r="K7587" t="s">
        <v>15953</v>
      </c>
      <c r="L7587">
        <f>HYPERLINK("https://www2.assemblee-nationale.fr/sycomore/fiche/(num_dept)/6657", "6657")</f>
        <v>0</v>
      </c>
      <c r="N7587">
        <f>HYPERLINK("https://www.wikidata.org/wiki/Q2844702", "Q2844702")</f>
        <v>0</v>
      </c>
      <c r="O7587" t="s">
        <v>19962</v>
      </c>
      <c r="P7587" t="s">
        <v>20479</v>
      </c>
      <c r="Q7587" t="s">
        <v>20883</v>
      </c>
      <c r="R7587" t="s">
        <v>420</v>
      </c>
      <c r="S7587">
        <v>1495</v>
      </c>
    </row>
    <row r="7588" spans="1:19">
      <c r="A7588" t="s">
        <v>30</v>
      </c>
      <c r="B7588" t="s">
        <v>148</v>
      </c>
      <c r="C7588" t="s">
        <v>162</v>
      </c>
      <c r="D7588" t="s">
        <v>291</v>
      </c>
      <c r="E7588" t="s">
        <v>420</v>
      </c>
      <c r="F7588">
        <f>HYPERLINK("https://www.wikidata.org/wiki/Q33323082", "Q33323082")</f>
        <v>0</v>
      </c>
      <c r="G7588" t="s">
        <v>4013</v>
      </c>
      <c r="H7588" t="s">
        <v>5559</v>
      </c>
      <c r="I7588" t="s">
        <v>9868</v>
      </c>
      <c r="J7588" t="s">
        <v>14557</v>
      </c>
      <c r="K7588" t="s">
        <v>18902</v>
      </c>
      <c r="L7588">
        <f>HYPERLINK("https://www2.assemblee-nationale.fr/sycomore/fiche/(num_dept)/6662", "6662")</f>
        <v>0</v>
      </c>
      <c r="N7588">
        <f>HYPERLINK("https://www.wikidata.org/wiki/Q3570779", "Q3570779")</f>
        <v>0</v>
      </c>
      <c r="O7588" t="s">
        <v>19962</v>
      </c>
      <c r="P7588" t="s">
        <v>20410</v>
      </c>
      <c r="Q7588" t="s">
        <v>20883</v>
      </c>
      <c r="R7588" t="s">
        <v>420</v>
      </c>
      <c r="S7588">
        <v>1495</v>
      </c>
    </row>
    <row r="7589" spans="1:19">
      <c r="A7589" t="s">
        <v>30</v>
      </c>
      <c r="B7589" t="s">
        <v>148</v>
      </c>
      <c r="C7589" t="s">
        <v>162</v>
      </c>
      <c r="D7589" t="s">
        <v>291</v>
      </c>
      <c r="E7589" t="s">
        <v>420</v>
      </c>
      <c r="F7589">
        <f>HYPERLINK("https://www.wikidata.org/wiki/Q33323082", "Q33323082")</f>
        <v>0</v>
      </c>
      <c r="G7589" t="s">
        <v>2669</v>
      </c>
      <c r="H7589" t="s">
        <v>7206</v>
      </c>
      <c r="I7589" t="s">
        <v>10352</v>
      </c>
      <c r="J7589" t="s">
        <v>13310</v>
      </c>
      <c r="K7589" t="s">
        <v>17710</v>
      </c>
      <c r="L7589">
        <f>HYPERLINK("https://www2.assemblee-nationale.fr/sycomore/fiche/(num_dept)/6678", "6678")</f>
        <v>0</v>
      </c>
      <c r="N7589">
        <f>HYPERLINK("https://www.wikidata.org/wiki/Q2844704", "Q2844704")</f>
        <v>0</v>
      </c>
      <c r="O7589" t="s">
        <v>19984</v>
      </c>
      <c r="Q7589" t="s">
        <v>20883</v>
      </c>
      <c r="R7589" t="s">
        <v>420</v>
      </c>
      <c r="S7589">
        <v>1495</v>
      </c>
    </row>
    <row r="7590" spans="1:19">
      <c r="A7590" t="s">
        <v>30</v>
      </c>
      <c r="B7590" t="s">
        <v>148</v>
      </c>
      <c r="C7590" t="s">
        <v>162</v>
      </c>
      <c r="D7590" t="s">
        <v>291</v>
      </c>
      <c r="E7590" t="s">
        <v>420</v>
      </c>
      <c r="F7590">
        <f>HYPERLINK("https://www.wikidata.org/wiki/Q33323082", "Q33323082")</f>
        <v>0</v>
      </c>
      <c r="G7590" t="s">
        <v>804</v>
      </c>
      <c r="H7590" t="s">
        <v>5561</v>
      </c>
      <c r="I7590" t="s">
        <v>9476</v>
      </c>
      <c r="J7590" t="s">
        <v>11551</v>
      </c>
      <c r="K7590" t="s">
        <v>15955</v>
      </c>
      <c r="L7590">
        <f>HYPERLINK("https://www2.assemblee-nationale.fr/sycomore/fiche/(num_dept)/6684", "6684")</f>
        <v>0</v>
      </c>
      <c r="M7590">
        <f>HYPERLINK("https://www.senat.fr/senateur-3eme-republique/renoult_rene1734r3.html", "renoult_rene1734r3")</f>
        <v>0</v>
      </c>
      <c r="N7590">
        <f>HYPERLINK("https://www.wikidata.org/wiki/Q3426810", "Q3426810")</f>
        <v>0</v>
      </c>
      <c r="O7590" t="s">
        <v>20036</v>
      </c>
      <c r="P7590" t="s">
        <v>20477</v>
      </c>
      <c r="Q7590" t="s">
        <v>20883</v>
      </c>
      <c r="R7590" t="s">
        <v>420</v>
      </c>
      <c r="S7590">
        <v>1495</v>
      </c>
    </row>
    <row r="7591" spans="1:19">
      <c r="A7591" t="s">
        <v>30</v>
      </c>
      <c r="B7591" t="s">
        <v>148</v>
      </c>
      <c r="C7591" t="s">
        <v>162</v>
      </c>
      <c r="D7591" t="s">
        <v>291</v>
      </c>
      <c r="E7591" t="s">
        <v>420</v>
      </c>
      <c r="F7591">
        <f>HYPERLINK("https://www.wikidata.org/wiki/Q33323082", "Q33323082")</f>
        <v>0</v>
      </c>
      <c r="G7591" t="s">
        <v>3500</v>
      </c>
      <c r="H7591" t="s">
        <v>7480</v>
      </c>
      <c r="I7591" t="s">
        <v>10849</v>
      </c>
      <c r="J7591" t="s">
        <v>14098</v>
      </c>
      <c r="K7591" t="s">
        <v>18462</v>
      </c>
      <c r="L7591">
        <f>HYPERLINK("https://www2.assemblee-nationale.fr/sycomore/fiche/(num_dept)/6701", "6701")</f>
        <v>0</v>
      </c>
      <c r="M7591">
        <f>HYPERLINK("https://www.senat.fr/senateur-3eme-republique/rey_emile0613r3.html", "rey_emile0613r3")</f>
        <v>0</v>
      </c>
      <c r="N7591">
        <f>HYPERLINK("https://www.wikidata.org/wiki/Q3588712", "Q3588712")</f>
        <v>0</v>
      </c>
      <c r="O7591" t="s">
        <v>19974</v>
      </c>
      <c r="P7591" t="s">
        <v>20459</v>
      </c>
      <c r="Q7591" t="s">
        <v>20883</v>
      </c>
      <c r="R7591" t="s">
        <v>21617</v>
      </c>
      <c r="S7591">
        <v>1367</v>
      </c>
    </row>
    <row r="7592" spans="1:19">
      <c r="A7592" t="s">
        <v>30</v>
      </c>
      <c r="B7592" t="s">
        <v>148</v>
      </c>
      <c r="C7592" t="s">
        <v>162</v>
      </c>
      <c r="D7592" t="s">
        <v>291</v>
      </c>
      <c r="E7592" t="s">
        <v>420</v>
      </c>
      <c r="F7592">
        <f>HYPERLINK("https://www.wikidata.org/wiki/Q33323082", "Q33323082")</f>
        <v>0</v>
      </c>
      <c r="G7592" t="s">
        <v>2671</v>
      </c>
      <c r="H7592" t="s">
        <v>7208</v>
      </c>
      <c r="I7592" t="s">
        <v>9553</v>
      </c>
      <c r="J7592" t="s">
        <v>13312</v>
      </c>
      <c r="K7592" t="s">
        <v>17712</v>
      </c>
      <c r="L7592">
        <f>HYPERLINK("https://www2.assemblee-nationale.fr/sycomore/fiche/(num_dept)/6727", "6727")</f>
        <v>0</v>
      </c>
      <c r="M7592">
        <f>HYPERLINK("https://www.senat.fr/senateur-3eme-republique/ribot_alexandre0941r3.html", "ribot_alexandre0941r3")</f>
        <v>0</v>
      </c>
      <c r="N7592">
        <f>HYPERLINK("https://www.wikidata.org/wiki/Q358387", "Q358387")</f>
        <v>0</v>
      </c>
      <c r="O7592" t="s">
        <v>19968</v>
      </c>
      <c r="P7592" t="s">
        <v>20479</v>
      </c>
      <c r="Q7592" t="s">
        <v>20883</v>
      </c>
      <c r="R7592" t="s">
        <v>420</v>
      </c>
      <c r="S7592">
        <v>1495</v>
      </c>
    </row>
    <row r="7593" spans="1:19">
      <c r="A7593" t="s">
        <v>30</v>
      </c>
      <c r="B7593" t="s">
        <v>148</v>
      </c>
      <c r="C7593" t="s">
        <v>162</v>
      </c>
      <c r="D7593" t="s">
        <v>291</v>
      </c>
      <c r="E7593" t="s">
        <v>420</v>
      </c>
      <c r="F7593">
        <f>HYPERLINK("https://www.wikidata.org/wiki/Q33323082", "Q33323082")</f>
        <v>0</v>
      </c>
      <c r="G7593" t="s">
        <v>3597</v>
      </c>
      <c r="H7593" t="s">
        <v>6303</v>
      </c>
      <c r="I7593" t="s">
        <v>10899</v>
      </c>
      <c r="J7593" t="s">
        <v>14183</v>
      </c>
      <c r="K7593" t="s">
        <v>18549</v>
      </c>
      <c r="L7593">
        <f>HYPERLINK("https://www2.assemblee-nationale.fr/sycomore/fiche/(num_dept)/6739", "6739")</f>
        <v>0</v>
      </c>
      <c r="N7593">
        <f>HYPERLINK("https://www.wikidata.org/wiki/Q16026419", "Q16026419")</f>
        <v>0</v>
      </c>
      <c r="O7593" t="s">
        <v>19969</v>
      </c>
      <c r="P7593" t="s">
        <v>20409</v>
      </c>
      <c r="Q7593" t="s">
        <v>20883</v>
      </c>
      <c r="R7593" t="s">
        <v>21618</v>
      </c>
      <c r="S7593">
        <v>510</v>
      </c>
    </row>
    <row r="7594" spans="1:19">
      <c r="A7594" t="s">
        <v>30</v>
      </c>
      <c r="B7594" t="s">
        <v>148</v>
      </c>
      <c r="C7594" t="s">
        <v>162</v>
      </c>
      <c r="D7594" t="s">
        <v>291</v>
      </c>
      <c r="E7594" t="s">
        <v>420</v>
      </c>
      <c r="F7594">
        <f>HYPERLINK("https://www.wikidata.org/wiki/Q33323082", "Q33323082")</f>
        <v>0</v>
      </c>
      <c r="G7594" t="s">
        <v>3939</v>
      </c>
      <c r="H7594" t="s">
        <v>8191</v>
      </c>
      <c r="I7594" t="s">
        <v>11031</v>
      </c>
      <c r="J7594" t="s">
        <v>12672</v>
      </c>
      <c r="K7594" t="s">
        <v>16308</v>
      </c>
      <c r="L7594">
        <f>HYPERLINK("https://www2.assemblee-nationale.fr/sycomore/fiche/(num_dept)/6754", "6754")</f>
        <v>0</v>
      </c>
      <c r="N7594">
        <f>HYPERLINK("https://www.wikidata.org/wiki/Q16026423", "Q16026423")</f>
        <v>0</v>
      </c>
      <c r="O7594" t="s">
        <v>19982</v>
      </c>
      <c r="P7594" t="s">
        <v>20401</v>
      </c>
      <c r="Q7594" t="s">
        <v>20883</v>
      </c>
      <c r="R7594" t="s">
        <v>420</v>
      </c>
      <c r="S7594">
        <v>1495</v>
      </c>
    </row>
    <row r="7595" spans="1:19">
      <c r="A7595" t="s">
        <v>30</v>
      </c>
      <c r="B7595" t="s">
        <v>148</v>
      </c>
      <c r="C7595" t="s">
        <v>162</v>
      </c>
      <c r="D7595" t="s">
        <v>291</v>
      </c>
      <c r="E7595" t="s">
        <v>420</v>
      </c>
      <c r="F7595">
        <f>HYPERLINK("https://www.wikidata.org/wiki/Q33323082", "Q33323082")</f>
        <v>0</v>
      </c>
      <c r="G7595" t="s">
        <v>2674</v>
      </c>
      <c r="H7595" t="s">
        <v>7209</v>
      </c>
      <c r="I7595" t="s">
        <v>10355</v>
      </c>
      <c r="J7595" t="s">
        <v>13315</v>
      </c>
      <c r="K7595" t="s">
        <v>17715</v>
      </c>
      <c r="L7595">
        <f>HYPERLINK("https://www2.assemblee-nationale.fr/sycomore/fiche/(num_dept)/6782", "6782")</f>
        <v>0</v>
      </c>
      <c r="M7595">
        <f>HYPERLINK("https://www.senat.fr/senateur-3eme-republique/riotteau_emile1031r3.html", "riotteau_emile1031r3")</f>
        <v>0</v>
      </c>
      <c r="N7595">
        <f>HYPERLINK("https://www.wikidata.org/wiki/Q3588719", "Q3588719")</f>
        <v>0</v>
      </c>
      <c r="O7595" t="s">
        <v>19985</v>
      </c>
      <c r="Q7595" t="s">
        <v>20883</v>
      </c>
      <c r="R7595" t="s">
        <v>21597</v>
      </c>
      <c r="S7595">
        <v>1362</v>
      </c>
    </row>
    <row r="7596" spans="1:19">
      <c r="A7596" t="s">
        <v>30</v>
      </c>
      <c r="B7596" t="s">
        <v>148</v>
      </c>
      <c r="C7596" t="s">
        <v>162</v>
      </c>
      <c r="D7596" t="s">
        <v>291</v>
      </c>
      <c r="E7596" t="s">
        <v>420</v>
      </c>
      <c r="F7596">
        <f>HYPERLINK("https://www.wikidata.org/wiki/Q33323082", "Q33323082")</f>
        <v>0</v>
      </c>
      <c r="G7596" t="s">
        <v>3068</v>
      </c>
      <c r="H7596" t="s">
        <v>7303</v>
      </c>
      <c r="I7596" t="s">
        <v>10608</v>
      </c>
      <c r="J7596" t="s">
        <v>13692</v>
      </c>
      <c r="K7596" t="s">
        <v>18075</v>
      </c>
      <c r="L7596">
        <f>HYPERLINK("https://www2.assemblee-nationale.fr/sycomore/fiche/(num_dept)/6785", "6785")</f>
        <v>0</v>
      </c>
      <c r="N7596">
        <f>HYPERLINK("https://www.wikidata.org/wiki/Q3090160", "Q3090160")</f>
        <v>0</v>
      </c>
      <c r="O7596" t="s">
        <v>19964</v>
      </c>
      <c r="P7596" t="s">
        <v>20504</v>
      </c>
      <c r="Q7596" t="s">
        <v>20883</v>
      </c>
      <c r="R7596" t="s">
        <v>420</v>
      </c>
      <c r="S7596">
        <v>1495</v>
      </c>
    </row>
    <row r="7597" spans="1:19">
      <c r="A7597" t="s">
        <v>30</v>
      </c>
      <c r="B7597" t="s">
        <v>148</v>
      </c>
      <c r="C7597" t="s">
        <v>162</v>
      </c>
      <c r="D7597" t="s">
        <v>291</v>
      </c>
      <c r="E7597" t="s">
        <v>420</v>
      </c>
      <c r="F7597">
        <f>HYPERLINK("https://www.wikidata.org/wiki/Q33323082", "Q33323082")</f>
        <v>0</v>
      </c>
      <c r="G7597" t="s">
        <v>809</v>
      </c>
      <c r="H7597" t="s">
        <v>5566</v>
      </c>
      <c r="I7597" t="s">
        <v>7642</v>
      </c>
      <c r="J7597" t="s">
        <v>11556</v>
      </c>
      <c r="K7597" t="s">
        <v>15960</v>
      </c>
      <c r="L7597">
        <f>HYPERLINK("https://www2.assemblee-nationale.fr/sycomore/fiche/(num_dept)/6821", "6821")</f>
        <v>0</v>
      </c>
      <c r="N7597">
        <f>HYPERLINK("https://www.wikidata.org/wiki/Q3301402", "Q3301402")</f>
        <v>0</v>
      </c>
      <c r="O7597" t="s">
        <v>20023</v>
      </c>
      <c r="Q7597" t="s">
        <v>20883</v>
      </c>
      <c r="R7597" t="s">
        <v>420</v>
      </c>
      <c r="S7597">
        <v>1495</v>
      </c>
    </row>
    <row r="7598" spans="1:19">
      <c r="A7598" t="s">
        <v>30</v>
      </c>
      <c r="B7598" t="s">
        <v>148</v>
      </c>
      <c r="C7598" t="s">
        <v>162</v>
      </c>
      <c r="D7598" t="s">
        <v>291</v>
      </c>
      <c r="E7598" t="s">
        <v>420</v>
      </c>
      <c r="F7598">
        <f>HYPERLINK("https://www.wikidata.org/wiki/Q33323082", "Q33323082")</f>
        <v>0</v>
      </c>
      <c r="G7598" t="s">
        <v>811</v>
      </c>
      <c r="H7598" t="s">
        <v>5568</v>
      </c>
      <c r="I7598" t="s">
        <v>9535</v>
      </c>
      <c r="J7598" t="s">
        <v>11558</v>
      </c>
      <c r="K7598" t="s">
        <v>15962</v>
      </c>
      <c r="L7598">
        <f>HYPERLINK("https://www2.assemblee-nationale.fr/sycomore/fiche/(num_dept)/6854", "6854")</f>
        <v>0</v>
      </c>
      <c r="M7598">
        <f>HYPERLINK("https://www.senat.fr/senateur-3eme-republique/simyan_julien1227r3.html", "simyan_julien1227r3")</f>
        <v>0</v>
      </c>
      <c r="N7598">
        <f>HYPERLINK("https://www.wikidata.org/wiki/Q3189661", "Q3189661")</f>
        <v>0</v>
      </c>
      <c r="O7598" t="s">
        <v>19994</v>
      </c>
      <c r="P7598" t="s">
        <v>20401</v>
      </c>
      <c r="Q7598" t="s">
        <v>20883</v>
      </c>
      <c r="R7598" t="s">
        <v>420</v>
      </c>
      <c r="S7598">
        <v>1495</v>
      </c>
    </row>
    <row r="7599" spans="1:19">
      <c r="A7599" t="s">
        <v>30</v>
      </c>
      <c r="B7599" t="s">
        <v>148</v>
      </c>
      <c r="C7599" t="s">
        <v>162</v>
      </c>
      <c r="D7599" t="s">
        <v>291</v>
      </c>
      <c r="E7599" t="s">
        <v>420</v>
      </c>
      <c r="F7599">
        <f>HYPERLINK("https://www.wikidata.org/wiki/Q33323082", "Q33323082")</f>
        <v>0</v>
      </c>
      <c r="G7599" t="s">
        <v>813</v>
      </c>
      <c r="H7599" t="s">
        <v>5570</v>
      </c>
      <c r="I7599" t="s">
        <v>7642</v>
      </c>
      <c r="J7599" t="s">
        <v>11560</v>
      </c>
      <c r="K7599" t="s">
        <v>15964</v>
      </c>
      <c r="L7599">
        <f>HYPERLINK("https://www2.assemblee-nationale.fr/sycomore/fiche/(num_dept)/6900", "6900")</f>
        <v>0</v>
      </c>
      <c r="N7599">
        <f>HYPERLINK("https://www.wikidata.org/wiki/Q13085412", "Q13085412")</f>
        <v>0</v>
      </c>
      <c r="O7599" t="s">
        <v>19969</v>
      </c>
      <c r="Q7599" t="s">
        <v>20883</v>
      </c>
      <c r="R7599" t="s">
        <v>420</v>
      </c>
      <c r="S7599">
        <v>1495</v>
      </c>
    </row>
    <row r="7600" spans="1:19">
      <c r="A7600" t="s">
        <v>30</v>
      </c>
      <c r="B7600" t="s">
        <v>148</v>
      </c>
      <c r="C7600" t="s">
        <v>162</v>
      </c>
      <c r="D7600" t="s">
        <v>291</v>
      </c>
      <c r="E7600" t="s">
        <v>420</v>
      </c>
      <c r="F7600">
        <f>HYPERLINK("https://www.wikidata.org/wiki/Q33323082", "Q33323082")</f>
        <v>0</v>
      </c>
      <c r="G7600" t="s">
        <v>3942</v>
      </c>
      <c r="H7600" t="s">
        <v>8194</v>
      </c>
      <c r="I7600" t="s">
        <v>6585</v>
      </c>
      <c r="J7600" t="s">
        <v>14495</v>
      </c>
      <c r="K7600" t="s">
        <v>18843</v>
      </c>
      <c r="L7600">
        <f>HYPERLINK("https://www2.assemblee-nationale.fr/sycomore/fiche/(num_dept)/6916", "6916")</f>
        <v>0</v>
      </c>
      <c r="N7600">
        <f>HYPERLINK("https://www.wikidata.org/wiki/Q14623368", "Q14623368")</f>
        <v>0</v>
      </c>
      <c r="O7600" t="s">
        <v>19978</v>
      </c>
      <c r="P7600" t="s">
        <v>20410</v>
      </c>
      <c r="Q7600" t="s">
        <v>20883</v>
      </c>
      <c r="R7600" t="s">
        <v>420</v>
      </c>
      <c r="S7600">
        <v>1495</v>
      </c>
    </row>
    <row r="7601" spans="1:19">
      <c r="A7601" t="s">
        <v>30</v>
      </c>
      <c r="B7601" t="s">
        <v>148</v>
      </c>
      <c r="C7601" t="s">
        <v>162</v>
      </c>
      <c r="D7601" t="s">
        <v>291</v>
      </c>
      <c r="E7601" t="s">
        <v>420</v>
      </c>
      <c r="F7601">
        <f>HYPERLINK("https://www.wikidata.org/wiki/Q33323082", "Q33323082")</f>
        <v>0</v>
      </c>
      <c r="G7601" t="s">
        <v>815</v>
      </c>
      <c r="H7601" t="s">
        <v>5572</v>
      </c>
      <c r="I7601" t="s">
        <v>6759</v>
      </c>
      <c r="J7601" t="s">
        <v>11562</v>
      </c>
      <c r="K7601" t="s">
        <v>15966</v>
      </c>
      <c r="L7601">
        <f>HYPERLINK("https://www2.assemblee-nationale.fr/sycomore/fiche/(num_dept)/6923", "6923")</f>
        <v>0</v>
      </c>
      <c r="N7601">
        <f>HYPERLINK("https://www.wikidata.org/wiki/Q3435381", "Q3435381")</f>
        <v>0</v>
      </c>
      <c r="O7601" t="s">
        <v>19998</v>
      </c>
      <c r="Q7601" t="s">
        <v>20883</v>
      </c>
      <c r="R7601" t="s">
        <v>420</v>
      </c>
      <c r="S7601">
        <v>1495</v>
      </c>
    </row>
    <row r="7602" spans="1:19">
      <c r="A7602" t="s">
        <v>30</v>
      </c>
      <c r="B7602" t="s">
        <v>148</v>
      </c>
      <c r="C7602" t="s">
        <v>162</v>
      </c>
      <c r="D7602" t="s">
        <v>291</v>
      </c>
      <c r="E7602" t="s">
        <v>420</v>
      </c>
      <c r="F7602">
        <f>HYPERLINK("https://www.wikidata.org/wiki/Q33323082", "Q33323082")</f>
        <v>0</v>
      </c>
      <c r="G7602" t="s">
        <v>3170</v>
      </c>
      <c r="H7602" t="s">
        <v>6034</v>
      </c>
      <c r="I7602" t="s">
        <v>10679</v>
      </c>
      <c r="J7602" t="s">
        <v>13791</v>
      </c>
      <c r="K7602" t="s">
        <v>18166</v>
      </c>
      <c r="L7602">
        <f>HYPERLINK("https://www2.assemblee-nationale.fr/sycomore/fiche/(num_dept)/6937", "6937")</f>
        <v>0</v>
      </c>
      <c r="N7602">
        <f>HYPERLINK("https://www.wikidata.org/wiki/Q16026528", "Q16026528")</f>
        <v>0</v>
      </c>
      <c r="O7602" t="s">
        <v>19968</v>
      </c>
      <c r="P7602" t="s">
        <v>20410</v>
      </c>
      <c r="Q7602" t="s">
        <v>20883</v>
      </c>
      <c r="R7602" t="s">
        <v>420</v>
      </c>
      <c r="S7602">
        <v>1495</v>
      </c>
    </row>
    <row r="7603" spans="1:19">
      <c r="A7603" t="s">
        <v>30</v>
      </c>
      <c r="B7603" t="s">
        <v>148</v>
      </c>
      <c r="C7603" t="s">
        <v>162</v>
      </c>
      <c r="D7603" t="s">
        <v>291</v>
      </c>
      <c r="E7603" t="s">
        <v>420</v>
      </c>
      <c r="F7603">
        <f>HYPERLINK("https://www.wikidata.org/wiki/Q33323082", "Q33323082")</f>
        <v>0</v>
      </c>
      <c r="G7603" t="s">
        <v>3286</v>
      </c>
      <c r="H7603" t="s">
        <v>7698</v>
      </c>
      <c r="I7603" t="s">
        <v>9376</v>
      </c>
      <c r="J7603" t="s">
        <v>13900</v>
      </c>
      <c r="K7603" t="s">
        <v>18272</v>
      </c>
      <c r="L7603">
        <f>HYPERLINK("https://www2.assemblee-nationale.fr/sycomore/fiche/(num_dept)/7016", "7016")</f>
        <v>0</v>
      </c>
      <c r="N7603">
        <f>HYPERLINK("https://www.wikidata.org/wiki/Q3068657", "Q3068657")</f>
        <v>0</v>
      </c>
      <c r="O7603" t="s">
        <v>19960</v>
      </c>
      <c r="P7603" t="s">
        <v>20477</v>
      </c>
      <c r="Q7603" t="s">
        <v>20883</v>
      </c>
      <c r="R7603" t="s">
        <v>420</v>
      </c>
      <c r="S7603">
        <v>1495</v>
      </c>
    </row>
    <row r="7604" spans="1:19">
      <c r="A7604" t="s">
        <v>30</v>
      </c>
      <c r="B7604" t="s">
        <v>148</v>
      </c>
      <c r="C7604" t="s">
        <v>162</v>
      </c>
      <c r="D7604" t="s">
        <v>291</v>
      </c>
      <c r="E7604" t="s">
        <v>420</v>
      </c>
      <c r="F7604">
        <f>HYPERLINK("https://www.wikidata.org/wiki/Q33323082", "Q33323082")</f>
        <v>0</v>
      </c>
      <c r="G7604" t="s">
        <v>817</v>
      </c>
      <c r="H7604" t="s">
        <v>5574</v>
      </c>
      <c r="I7604" t="s">
        <v>9407</v>
      </c>
      <c r="J7604" t="s">
        <v>11564</v>
      </c>
      <c r="K7604" t="s">
        <v>15968</v>
      </c>
      <c r="L7604">
        <f>HYPERLINK("https://www2.assemblee-nationale.fr/sycomore/fiche/(num_dept)/7030", "7030")</f>
        <v>0</v>
      </c>
      <c r="N7604">
        <f>HYPERLINK("https://www.wikidata.org/wiki/Q3185677", "Q3185677")</f>
        <v>0</v>
      </c>
      <c r="O7604" t="s">
        <v>19990</v>
      </c>
      <c r="Q7604" t="s">
        <v>20883</v>
      </c>
      <c r="R7604" t="s">
        <v>420</v>
      </c>
      <c r="S7604">
        <v>1495</v>
      </c>
    </row>
    <row r="7605" spans="1:19">
      <c r="A7605" t="s">
        <v>30</v>
      </c>
      <c r="B7605" t="s">
        <v>148</v>
      </c>
      <c r="C7605" t="s">
        <v>162</v>
      </c>
      <c r="D7605" t="s">
        <v>291</v>
      </c>
      <c r="E7605" t="s">
        <v>420</v>
      </c>
      <c r="F7605">
        <f>HYPERLINK("https://www.wikidata.org/wiki/Q33323082", "Q33323082")</f>
        <v>0</v>
      </c>
      <c r="G7605" t="s">
        <v>1061</v>
      </c>
      <c r="H7605" t="s">
        <v>5807</v>
      </c>
      <c r="I7605" t="s">
        <v>9647</v>
      </c>
      <c r="J7605" t="s">
        <v>11798</v>
      </c>
      <c r="K7605" t="s">
        <v>16198</v>
      </c>
      <c r="L7605">
        <f>HYPERLINK("https://www2.assemblee-nationale.fr/sycomore/fiche/(num_dept)/7040", "7040")</f>
        <v>0</v>
      </c>
      <c r="N7605">
        <f>HYPERLINK("https://www.wikidata.org/wiki/Q16026554", "Q16026554")</f>
        <v>0</v>
      </c>
      <c r="O7605" t="s">
        <v>19999</v>
      </c>
      <c r="Q7605" t="s">
        <v>20883</v>
      </c>
      <c r="R7605" t="s">
        <v>420</v>
      </c>
      <c r="S7605">
        <v>1495</v>
      </c>
    </row>
    <row r="7606" spans="1:19">
      <c r="A7606" t="s">
        <v>30</v>
      </c>
      <c r="B7606" t="s">
        <v>148</v>
      </c>
      <c r="C7606" t="s">
        <v>162</v>
      </c>
      <c r="D7606" t="s">
        <v>291</v>
      </c>
      <c r="E7606" t="s">
        <v>420</v>
      </c>
      <c r="F7606">
        <f>HYPERLINK("https://www.wikidata.org/wiki/Q33323082", "Q33323082")</f>
        <v>0</v>
      </c>
      <c r="G7606" t="s">
        <v>818</v>
      </c>
      <c r="H7606" t="s">
        <v>5575</v>
      </c>
      <c r="I7606" t="s">
        <v>9470</v>
      </c>
      <c r="J7606" t="s">
        <v>11565</v>
      </c>
      <c r="K7606" t="s">
        <v>15969</v>
      </c>
      <c r="L7606">
        <f>HYPERLINK("https://www2.assemblee-nationale.fr/sycomore/fiche/(num_dept)/7055", "7055")</f>
        <v>0</v>
      </c>
      <c r="N7606">
        <f>HYPERLINK("https://www.wikidata.org/wiki/Q2246519", "Q2246519")</f>
        <v>0</v>
      </c>
      <c r="O7606" t="s">
        <v>20000</v>
      </c>
      <c r="Q7606" t="s">
        <v>20883</v>
      </c>
      <c r="R7606" t="s">
        <v>420</v>
      </c>
      <c r="S7606">
        <v>1495</v>
      </c>
    </row>
    <row r="7607" spans="1:19">
      <c r="A7607" t="s">
        <v>30</v>
      </c>
      <c r="B7607" t="s">
        <v>148</v>
      </c>
      <c r="C7607" t="s">
        <v>162</v>
      </c>
      <c r="D7607" t="s">
        <v>291</v>
      </c>
      <c r="E7607" t="s">
        <v>420</v>
      </c>
      <c r="F7607">
        <f>HYPERLINK("https://www.wikidata.org/wiki/Q33323082", "Q33323082")</f>
        <v>0</v>
      </c>
      <c r="G7607" t="s">
        <v>4015</v>
      </c>
      <c r="H7607" t="s">
        <v>8249</v>
      </c>
      <c r="I7607" t="s">
        <v>9449</v>
      </c>
      <c r="J7607" t="s">
        <v>14559</v>
      </c>
      <c r="K7607" t="s">
        <v>18904</v>
      </c>
      <c r="L7607">
        <f>HYPERLINK("https://www2.assemblee-nationale.fr/sycomore/fiche/(num_dept)/7113", "7113")</f>
        <v>0</v>
      </c>
      <c r="N7607">
        <f>HYPERLINK("https://www.wikidata.org/wiki/Q16026565", "Q16026565")</f>
        <v>0</v>
      </c>
      <c r="O7607" t="s">
        <v>19977</v>
      </c>
      <c r="P7607" t="s">
        <v>20477</v>
      </c>
      <c r="Q7607" t="s">
        <v>20883</v>
      </c>
      <c r="R7607" t="s">
        <v>420</v>
      </c>
      <c r="S7607">
        <v>1495</v>
      </c>
    </row>
    <row r="7608" spans="1:19">
      <c r="A7608" t="s">
        <v>30</v>
      </c>
      <c r="B7608" t="s">
        <v>148</v>
      </c>
      <c r="C7608" t="s">
        <v>162</v>
      </c>
      <c r="D7608" t="s">
        <v>291</v>
      </c>
      <c r="E7608" t="s">
        <v>420</v>
      </c>
      <c r="F7608">
        <f>HYPERLINK("https://www.wikidata.org/wiki/Q33323082", "Q33323082")</f>
        <v>0</v>
      </c>
      <c r="G7608" t="s">
        <v>4088</v>
      </c>
      <c r="H7608" t="s">
        <v>8302</v>
      </c>
      <c r="I7608" t="s">
        <v>6584</v>
      </c>
      <c r="J7608" t="s">
        <v>14626</v>
      </c>
      <c r="K7608" t="s">
        <v>18962</v>
      </c>
      <c r="L7608">
        <f>HYPERLINK("https://www2.assemblee-nationale.fr/sycomore/fiche/(num_dept)/7117", "7117")</f>
        <v>0</v>
      </c>
      <c r="N7608">
        <f>HYPERLINK("https://www.wikidata.org/wiki/Q2831585", "Q2831585")</f>
        <v>0</v>
      </c>
      <c r="O7608" t="s">
        <v>20019</v>
      </c>
      <c r="P7608" t="s">
        <v>20477</v>
      </c>
      <c r="Q7608" t="s">
        <v>20883</v>
      </c>
      <c r="R7608" t="s">
        <v>420</v>
      </c>
      <c r="S7608">
        <v>1495</v>
      </c>
    </row>
    <row r="7609" spans="1:19">
      <c r="A7609" t="s">
        <v>30</v>
      </c>
      <c r="B7609" t="s">
        <v>148</v>
      </c>
      <c r="C7609" t="s">
        <v>162</v>
      </c>
      <c r="D7609" t="s">
        <v>291</v>
      </c>
      <c r="E7609" t="s">
        <v>420</v>
      </c>
      <c r="F7609">
        <f>HYPERLINK("https://www.wikidata.org/wiki/Q33323082", "Q33323082")</f>
        <v>0</v>
      </c>
      <c r="G7609" t="s">
        <v>3731</v>
      </c>
      <c r="H7609" t="s">
        <v>8039</v>
      </c>
      <c r="I7609" t="s">
        <v>9421</v>
      </c>
      <c r="J7609" t="s">
        <v>14306</v>
      </c>
      <c r="K7609" t="s">
        <v>18660</v>
      </c>
      <c r="L7609">
        <f>HYPERLINK("https://www2.assemblee-nationale.fr/sycomore/fiche/(num_dept)/7131", "7131")</f>
        <v>0</v>
      </c>
      <c r="M7609">
        <f>HYPERLINK("https://www.senat.fr/senateur-3eme-republique/trannoy_gustave1655r3.html", "trannoy_gustave1655r3")</f>
        <v>0</v>
      </c>
      <c r="N7609">
        <f>HYPERLINK("https://www.wikidata.org/wiki/Q3121335", "Q3121335")</f>
        <v>0</v>
      </c>
      <c r="O7609" t="s">
        <v>20012</v>
      </c>
      <c r="P7609" t="s">
        <v>20479</v>
      </c>
      <c r="Q7609" t="s">
        <v>20883</v>
      </c>
      <c r="R7609" t="s">
        <v>21619</v>
      </c>
      <c r="S7609">
        <v>980</v>
      </c>
    </row>
    <row r="7610" spans="1:19">
      <c r="A7610" t="s">
        <v>30</v>
      </c>
      <c r="B7610" t="s">
        <v>148</v>
      </c>
      <c r="C7610" t="s">
        <v>162</v>
      </c>
      <c r="D7610" t="s">
        <v>291</v>
      </c>
      <c r="E7610" t="s">
        <v>420</v>
      </c>
      <c r="F7610">
        <f>HYPERLINK("https://www.wikidata.org/wiki/Q33323082", "Q33323082")</f>
        <v>0</v>
      </c>
      <c r="G7610" t="s">
        <v>3603</v>
      </c>
      <c r="H7610" t="s">
        <v>7947</v>
      </c>
      <c r="I7610" t="s">
        <v>6175</v>
      </c>
      <c r="J7610" t="s">
        <v>14188</v>
      </c>
      <c r="K7610" t="s">
        <v>18554</v>
      </c>
      <c r="L7610">
        <f>HYPERLINK("https://www2.assemblee-nationale.fr/sycomore/fiche/(num_dept)/7163", "7163")</f>
        <v>0</v>
      </c>
      <c r="M7610">
        <f>HYPERLINK("https://www.senat.fr/senateur-3eme-republique/trouillot_georges0444r3.html", "trouillot_georges0444r3")</f>
        <v>0</v>
      </c>
      <c r="N7610">
        <f>HYPERLINK("https://www.wikidata.org/wiki/Q3103564", "Q3103564")</f>
        <v>0</v>
      </c>
      <c r="O7610" t="s">
        <v>20041</v>
      </c>
      <c r="P7610" t="s">
        <v>20401</v>
      </c>
      <c r="Q7610" t="s">
        <v>20883</v>
      </c>
      <c r="R7610" t="s">
        <v>18328</v>
      </c>
      <c r="S7610">
        <v>1363</v>
      </c>
    </row>
    <row r="7611" spans="1:19">
      <c r="A7611" t="s">
        <v>30</v>
      </c>
      <c r="B7611" t="s">
        <v>148</v>
      </c>
      <c r="C7611" t="s">
        <v>162</v>
      </c>
      <c r="D7611" t="s">
        <v>291</v>
      </c>
      <c r="E7611" t="s">
        <v>420</v>
      </c>
      <c r="F7611">
        <f>HYPERLINK("https://www.wikidata.org/wiki/Q33323082", "Q33323082")</f>
        <v>0</v>
      </c>
      <c r="G7611" t="s">
        <v>2691</v>
      </c>
      <c r="H7611" t="s">
        <v>7223</v>
      </c>
      <c r="I7611" t="s">
        <v>10369</v>
      </c>
      <c r="J7611" t="s">
        <v>13332</v>
      </c>
      <c r="K7611" t="s">
        <v>17732</v>
      </c>
      <c r="L7611">
        <f>HYPERLINK("https://www2.assemblee-nationale.fr/sycomore/fiche/(num_dept)/7174", "7174")</f>
        <v>0</v>
      </c>
      <c r="N7611">
        <f>HYPERLINK("https://www.wikidata.org/wiki/Q3174122", "Q3174122")</f>
        <v>0</v>
      </c>
      <c r="O7611" t="s">
        <v>20032</v>
      </c>
      <c r="P7611" t="s">
        <v>20489</v>
      </c>
      <c r="Q7611" t="s">
        <v>20883</v>
      </c>
      <c r="R7611" t="s">
        <v>17732</v>
      </c>
      <c r="S7611">
        <v>1192</v>
      </c>
    </row>
    <row r="7612" spans="1:19">
      <c r="A7612" t="s">
        <v>30</v>
      </c>
      <c r="B7612" t="s">
        <v>148</v>
      </c>
      <c r="C7612" t="s">
        <v>162</v>
      </c>
      <c r="D7612" t="s">
        <v>291</v>
      </c>
      <c r="E7612" t="s">
        <v>420</v>
      </c>
      <c r="F7612">
        <f>HYPERLINK("https://www.wikidata.org/wiki/Q33323082", "Q33323082")</f>
        <v>0</v>
      </c>
      <c r="G7612" t="s">
        <v>3945</v>
      </c>
      <c r="H7612" t="s">
        <v>8197</v>
      </c>
      <c r="I7612" t="s">
        <v>11035</v>
      </c>
      <c r="J7612" t="s">
        <v>14498</v>
      </c>
      <c r="K7612" t="s">
        <v>18846</v>
      </c>
      <c r="L7612">
        <f>HYPERLINK("https://www2.assemblee-nationale.fr/sycomore/fiche/(num_dept)/7189", "7189")</f>
        <v>0</v>
      </c>
      <c r="N7612">
        <f>HYPERLINK("https://www.wikidata.org/wiki/Q28467356", "Q28467356")</f>
        <v>0</v>
      </c>
      <c r="O7612" t="s">
        <v>20029</v>
      </c>
      <c r="P7612" t="s">
        <v>20477</v>
      </c>
      <c r="Q7612" t="s">
        <v>20883</v>
      </c>
      <c r="R7612" t="s">
        <v>420</v>
      </c>
      <c r="S7612">
        <v>1495</v>
      </c>
    </row>
    <row r="7613" spans="1:19">
      <c r="A7613" t="s">
        <v>30</v>
      </c>
      <c r="B7613" t="s">
        <v>148</v>
      </c>
      <c r="C7613" t="s">
        <v>162</v>
      </c>
      <c r="D7613" t="s">
        <v>291</v>
      </c>
      <c r="E7613" t="s">
        <v>420</v>
      </c>
      <c r="F7613">
        <f>HYPERLINK("https://www.wikidata.org/wiki/Q33323082", "Q33323082")</f>
        <v>0</v>
      </c>
      <c r="G7613" t="s">
        <v>3604</v>
      </c>
      <c r="H7613" t="s">
        <v>7948</v>
      </c>
      <c r="I7613" t="s">
        <v>9457</v>
      </c>
      <c r="J7613" t="s">
        <v>14189</v>
      </c>
      <c r="K7613" t="s">
        <v>18555</v>
      </c>
      <c r="L7613">
        <f>HYPERLINK("https://www2.assemblee-nationale.fr/sycomore/fiche/(num_dept)/7193", "7193")</f>
        <v>0</v>
      </c>
      <c r="M7613">
        <f>HYPERLINK("https://www.senat.fr/senateur-3eme-republique/vacherie_henri1791r3.html", "vacherie_henri1791r3")</f>
        <v>0</v>
      </c>
      <c r="N7613">
        <f>HYPERLINK("https://www.wikidata.org/wiki/Q3132113", "Q3132113")</f>
        <v>0</v>
      </c>
      <c r="O7613" t="s">
        <v>19977</v>
      </c>
      <c r="P7613" t="s">
        <v>20402</v>
      </c>
      <c r="Q7613" t="s">
        <v>20883</v>
      </c>
      <c r="R7613" t="s">
        <v>420</v>
      </c>
      <c r="S7613">
        <v>1495</v>
      </c>
    </row>
    <row r="7614" spans="1:19">
      <c r="A7614" t="s">
        <v>30</v>
      </c>
      <c r="B7614" t="s">
        <v>148</v>
      </c>
      <c r="C7614" t="s">
        <v>162</v>
      </c>
      <c r="D7614" t="s">
        <v>291</v>
      </c>
      <c r="E7614" t="s">
        <v>420</v>
      </c>
      <c r="F7614">
        <f>HYPERLINK("https://www.wikidata.org/wiki/Q33323082", "Q33323082")</f>
        <v>0</v>
      </c>
      <c r="G7614" t="s">
        <v>825</v>
      </c>
      <c r="H7614" t="s">
        <v>5582</v>
      </c>
      <c r="I7614" t="s">
        <v>6200</v>
      </c>
      <c r="J7614" t="s">
        <v>11572</v>
      </c>
      <c r="K7614" t="s">
        <v>15974</v>
      </c>
      <c r="L7614">
        <f>HYPERLINK("https://www2.assemblee-nationale.fr/sycomore/fiche/(num_dept)/7358", "7358")</f>
        <v>0</v>
      </c>
      <c r="M7614">
        <f>HYPERLINK("https://www.senat.fr/senateur-3eme-republique/villault_duchesnois_jean1032r3.html", "villault_duchesnois_jean1032r3")</f>
        <v>0</v>
      </c>
      <c r="N7614">
        <f>HYPERLINK("https://www.wikidata.org/wiki/Q3175043", "Q3175043")</f>
        <v>0</v>
      </c>
      <c r="O7614" t="s">
        <v>19985</v>
      </c>
      <c r="Q7614" t="s">
        <v>20883</v>
      </c>
      <c r="R7614" t="s">
        <v>420</v>
      </c>
      <c r="S7614">
        <v>1495</v>
      </c>
    </row>
    <row r="7615" spans="1:19">
      <c r="A7615" t="s">
        <v>30</v>
      </c>
      <c r="B7615" t="s">
        <v>148</v>
      </c>
      <c r="C7615" t="s">
        <v>162</v>
      </c>
      <c r="D7615" t="s">
        <v>291</v>
      </c>
      <c r="E7615" t="s">
        <v>420</v>
      </c>
      <c r="F7615">
        <f>HYPERLINK("https://www.wikidata.org/wiki/Q33323082", "Q33323082")</f>
        <v>0</v>
      </c>
      <c r="G7615" t="s">
        <v>828</v>
      </c>
      <c r="H7615" t="s">
        <v>5585</v>
      </c>
      <c r="I7615" t="s">
        <v>9375</v>
      </c>
      <c r="J7615" t="s">
        <v>11575</v>
      </c>
      <c r="K7615" t="s">
        <v>15977</v>
      </c>
      <c r="L7615">
        <f>HYPERLINK("https://www2.assemblee-nationale.fr/sycomore/fiche/(num_dept)/7392", "7392")</f>
        <v>0</v>
      </c>
      <c r="N7615">
        <f>HYPERLINK("https://www.wikidata.org/wiki/Q274464", "Q274464")</f>
        <v>0</v>
      </c>
      <c r="O7615" t="s">
        <v>19969</v>
      </c>
      <c r="P7615" t="s">
        <v>20485</v>
      </c>
      <c r="Q7615" t="s">
        <v>20883</v>
      </c>
      <c r="R7615" t="s">
        <v>420</v>
      </c>
      <c r="S7615">
        <v>1495</v>
      </c>
    </row>
    <row r="7616" spans="1:19">
      <c r="A7616" t="s">
        <v>30</v>
      </c>
      <c r="B7616" t="s">
        <v>148</v>
      </c>
      <c r="C7616" t="s">
        <v>162</v>
      </c>
      <c r="D7616" t="s">
        <v>291</v>
      </c>
      <c r="E7616" t="s">
        <v>420</v>
      </c>
      <c r="F7616">
        <f>HYPERLINK("https://www.wikidata.org/wiki/Q33323082", "Q33323082")</f>
        <v>0</v>
      </c>
      <c r="G7616" t="s">
        <v>830</v>
      </c>
      <c r="H7616" t="s">
        <v>5587</v>
      </c>
      <c r="I7616" t="s">
        <v>9541</v>
      </c>
      <c r="J7616" t="s">
        <v>11577</v>
      </c>
      <c r="K7616" t="s">
        <v>15979</v>
      </c>
      <c r="L7616">
        <f>HYPERLINK("https://www2.assemblee-nationale.fr/sycomore/fiche/(num_dept)/7418", "7418")</f>
        <v>0</v>
      </c>
      <c r="M7616">
        <f>HYPERLINK("https://www.senat.fr/senateur-3eme-republique/villiers_emile0785r3.html", "villiers_emile0785r3")</f>
        <v>0</v>
      </c>
      <c r="N7616">
        <f>HYPERLINK("https://www.wikidata.org/wiki/Q3083748", "Q3083748")</f>
        <v>0</v>
      </c>
      <c r="O7616" t="s">
        <v>20011</v>
      </c>
      <c r="P7616" t="s">
        <v>20410</v>
      </c>
      <c r="Q7616" t="s">
        <v>20883</v>
      </c>
      <c r="R7616" t="s">
        <v>420</v>
      </c>
      <c r="S7616">
        <v>1495</v>
      </c>
    </row>
    <row r="7617" spans="1:19">
      <c r="A7617" t="s">
        <v>30</v>
      </c>
      <c r="B7617" t="s">
        <v>148</v>
      </c>
      <c r="C7617" t="s">
        <v>162</v>
      </c>
      <c r="D7617" t="s">
        <v>291</v>
      </c>
      <c r="E7617" t="s">
        <v>420</v>
      </c>
      <c r="F7617">
        <f>HYPERLINK("https://www.wikidata.org/wiki/Q33323082", "Q33323082")</f>
        <v>0</v>
      </c>
      <c r="G7617" t="s">
        <v>1072</v>
      </c>
      <c r="H7617" t="s">
        <v>5817</v>
      </c>
      <c r="I7617" t="s">
        <v>9654</v>
      </c>
      <c r="J7617" t="s">
        <v>11808</v>
      </c>
      <c r="K7617" t="s">
        <v>16209</v>
      </c>
      <c r="L7617">
        <f>HYPERLINK("https://www2.assemblee-nationale.fr/sycomore/fiche/(num_dept)/7419", "7419")</f>
        <v>0</v>
      </c>
      <c r="N7617">
        <f>HYPERLINK("https://www.wikidata.org/wiki/Q2831619", "Q2831619")</f>
        <v>0</v>
      </c>
      <c r="O7617" t="s">
        <v>19958</v>
      </c>
      <c r="P7617" t="s">
        <v>20477</v>
      </c>
      <c r="Q7617" t="s">
        <v>20883</v>
      </c>
      <c r="R7617" t="s">
        <v>420</v>
      </c>
      <c r="S7617">
        <v>1495</v>
      </c>
    </row>
    <row r="7618" spans="1:19">
      <c r="A7618" t="s">
        <v>30</v>
      </c>
      <c r="B7618" t="s">
        <v>148</v>
      </c>
      <c r="C7618" t="s">
        <v>162</v>
      </c>
      <c r="D7618" t="s">
        <v>291</v>
      </c>
      <c r="E7618" t="s">
        <v>420</v>
      </c>
      <c r="F7618">
        <f>HYPERLINK("https://www.wikidata.org/wiki/Q33323082", "Q33323082")</f>
        <v>0</v>
      </c>
      <c r="G7618" t="s">
        <v>4038</v>
      </c>
      <c r="H7618" t="s">
        <v>8268</v>
      </c>
      <c r="I7618" t="s">
        <v>6495</v>
      </c>
      <c r="J7618" t="s">
        <v>14579</v>
      </c>
      <c r="K7618" t="s">
        <v>18921</v>
      </c>
      <c r="L7618">
        <f>HYPERLINK("https://www2.assemblee-nationale.fr/sycomore/fiche/(num_dept)/7427", "7427")</f>
        <v>0</v>
      </c>
      <c r="N7618">
        <f>HYPERLINK("https://www.wikidata.org/wiki/Q8332480", "Q8332480")</f>
        <v>0</v>
      </c>
      <c r="O7618" t="s">
        <v>19993</v>
      </c>
      <c r="P7618" t="s">
        <v>20402</v>
      </c>
      <c r="Q7618" t="s">
        <v>20883</v>
      </c>
      <c r="R7618" t="s">
        <v>420</v>
      </c>
      <c r="S7618">
        <v>1495</v>
      </c>
    </row>
    <row r="7619" spans="1:19">
      <c r="A7619" t="s">
        <v>30</v>
      </c>
      <c r="B7619" t="s">
        <v>148</v>
      </c>
      <c r="C7619" t="s">
        <v>162</v>
      </c>
      <c r="D7619" t="s">
        <v>291</v>
      </c>
      <c r="E7619" t="s">
        <v>420</v>
      </c>
      <c r="F7619">
        <f>HYPERLINK("https://www.wikidata.org/wiki/Q33323082", "Q33323082")</f>
        <v>0</v>
      </c>
      <c r="G7619" t="s">
        <v>4040</v>
      </c>
      <c r="H7619" t="s">
        <v>8269</v>
      </c>
      <c r="I7619" t="s">
        <v>11075</v>
      </c>
      <c r="J7619" t="s">
        <v>14581</v>
      </c>
      <c r="K7619" t="s">
        <v>16678</v>
      </c>
      <c r="L7619">
        <f>HYPERLINK("https://www2.assemblee-nationale.fr/sycomore/fiche/(num_dept)/7428", "7428")</f>
        <v>0</v>
      </c>
      <c r="N7619">
        <f>HYPERLINK("https://www.wikidata.org/wiki/Q16026580", "Q16026580")</f>
        <v>0</v>
      </c>
      <c r="O7619" t="s">
        <v>19968</v>
      </c>
      <c r="P7619" t="s">
        <v>20459</v>
      </c>
      <c r="Q7619" t="s">
        <v>20883</v>
      </c>
      <c r="R7619" t="s">
        <v>420</v>
      </c>
      <c r="S7619">
        <v>1495</v>
      </c>
    </row>
    <row r="7620" spans="1:19">
      <c r="A7620" t="s">
        <v>30</v>
      </c>
      <c r="B7620" t="s">
        <v>148</v>
      </c>
      <c r="C7620" t="s">
        <v>162</v>
      </c>
      <c r="D7620" t="s">
        <v>291</v>
      </c>
      <c r="E7620" t="s">
        <v>420</v>
      </c>
      <c r="F7620">
        <f>HYPERLINK("https://www.wikidata.org/wiki/Q33323082", "Q33323082")</f>
        <v>0</v>
      </c>
      <c r="G7620" t="s">
        <v>3508</v>
      </c>
      <c r="H7620" t="s">
        <v>7875</v>
      </c>
      <c r="I7620" t="s">
        <v>6495</v>
      </c>
      <c r="J7620" t="s">
        <v>11505</v>
      </c>
      <c r="K7620" t="s">
        <v>18470</v>
      </c>
      <c r="L7620">
        <f>HYPERLINK("https://www2.assemblee-nationale.fr/sycomore/fiche/(num_dept)/7433", "7433")</f>
        <v>0</v>
      </c>
      <c r="N7620">
        <f>HYPERLINK("https://www.wikidata.org/wiki/Q16026620", "Q16026620")</f>
        <v>0</v>
      </c>
      <c r="O7620" t="s">
        <v>19974</v>
      </c>
      <c r="P7620" t="s">
        <v>20401</v>
      </c>
      <c r="Q7620" t="s">
        <v>20883</v>
      </c>
      <c r="R7620" t="s">
        <v>420</v>
      </c>
      <c r="S7620">
        <v>1495</v>
      </c>
    </row>
    <row r="7621" spans="1:19">
      <c r="A7621" t="s">
        <v>30</v>
      </c>
      <c r="B7621" t="s">
        <v>148</v>
      </c>
      <c r="C7621" t="s">
        <v>162</v>
      </c>
      <c r="D7621" t="s">
        <v>291</v>
      </c>
      <c r="E7621" t="s">
        <v>420</v>
      </c>
      <c r="F7621">
        <f>HYPERLINK("https://www.wikidata.org/wiki/Q33323082", "Q33323082")</f>
        <v>0</v>
      </c>
      <c r="G7621" t="s">
        <v>3605</v>
      </c>
      <c r="H7621" t="s">
        <v>7949</v>
      </c>
      <c r="I7621" t="s">
        <v>10170</v>
      </c>
      <c r="J7621" t="s">
        <v>14190</v>
      </c>
      <c r="K7621" t="s">
        <v>18556</v>
      </c>
      <c r="L7621">
        <f>HYPERLINK("https://www2.assemblee-nationale.fr/sycomore/fiche/(num_dept)/7434", "7434")</f>
        <v>0</v>
      </c>
      <c r="M7621">
        <f>HYPERLINK("https://www.senat.fr/senateur-3eme-republique/ville_pierre0048r3.html", "ville_pierre0048r3")</f>
        <v>0</v>
      </c>
      <c r="N7621">
        <f>HYPERLINK("https://www.wikidata.org/wiki/Q3387297", "Q3387297")</f>
        <v>0</v>
      </c>
      <c r="O7621" t="s">
        <v>19999</v>
      </c>
      <c r="Q7621" t="s">
        <v>20883</v>
      </c>
      <c r="R7621" t="s">
        <v>21607</v>
      </c>
      <c r="S7621">
        <v>279</v>
      </c>
    </row>
    <row r="7622" spans="1:19">
      <c r="A7622" t="s">
        <v>30</v>
      </c>
      <c r="B7622" t="s">
        <v>148</v>
      </c>
      <c r="C7622" t="s">
        <v>162</v>
      </c>
      <c r="D7622" t="s">
        <v>291</v>
      </c>
      <c r="E7622" t="s">
        <v>420</v>
      </c>
      <c r="F7622">
        <f>HYPERLINK("https://www.wikidata.org/wiki/Q33323082", "Q33323082")</f>
        <v>0</v>
      </c>
      <c r="G7622" t="s">
        <v>3810</v>
      </c>
      <c r="H7622" t="s">
        <v>8094</v>
      </c>
      <c r="I7622" t="s">
        <v>10985</v>
      </c>
      <c r="J7622" t="s">
        <v>12627</v>
      </c>
      <c r="K7622" t="s">
        <v>18728</v>
      </c>
      <c r="L7622">
        <f>HYPERLINK("https://www2.assemblee-nationale.fr/sycomore/fiche/(num_dept)/7436", "7436")</f>
        <v>0</v>
      </c>
      <c r="N7622">
        <f>HYPERLINK("https://www.wikidata.org/wiki/Q12353689", "Q12353689")</f>
        <v>0</v>
      </c>
      <c r="O7622" t="s">
        <v>7411</v>
      </c>
      <c r="P7622" t="s">
        <v>20477</v>
      </c>
      <c r="Q7622" t="s">
        <v>20883</v>
      </c>
      <c r="R7622" t="s">
        <v>420</v>
      </c>
      <c r="S7622">
        <v>1495</v>
      </c>
    </row>
    <row r="7623" spans="1:19">
      <c r="A7623" t="s">
        <v>30</v>
      </c>
      <c r="B7623" t="s">
        <v>148</v>
      </c>
      <c r="C7623" t="s">
        <v>162</v>
      </c>
      <c r="D7623" t="s">
        <v>291</v>
      </c>
      <c r="E7623" t="s">
        <v>420</v>
      </c>
      <c r="F7623">
        <f>HYPERLINK("https://www.wikidata.org/wiki/Q33323082", "Q33323082")</f>
        <v>0</v>
      </c>
      <c r="G7623" t="s">
        <v>3733</v>
      </c>
      <c r="H7623" t="s">
        <v>8041</v>
      </c>
      <c r="I7623" t="s">
        <v>6158</v>
      </c>
      <c r="J7623" t="s">
        <v>14308</v>
      </c>
      <c r="K7623" t="s">
        <v>280</v>
      </c>
      <c r="L7623">
        <f>HYPERLINK("https://www2.assemblee-nationale.fr/sycomore/fiche/(num_dept)/7437", "7437")</f>
        <v>0</v>
      </c>
      <c r="N7623">
        <f>HYPERLINK("https://www.wikidata.org/wiki/Q3092631", "Q3092631")</f>
        <v>0</v>
      </c>
      <c r="O7623" t="s">
        <v>20006</v>
      </c>
      <c r="Q7623" t="s">
        <v>20883</v>
      </c>
      <c r="R7623" t="s">
        <v>420</v>
      </c>
      <c r="S7623">
        <v>1495</v>
      </c>
    </row>
    <row r="7624" spans="1:19">
      <c r="A7624" t="s">
        <v>30</v>
      </c>
      <c r="B7624" t="s">
        <v>148</v>
      </c>
      <c r="C7624" t="s">
        <v>162</v>
      </c>
      <c r="D7624" t="s">
        <v>291</v>
      </c>
      <c r="E7624" t="s">
        <v>420</v>
      </c>
      <c r="F7624">
        <f>HYPERLINK("https://www.wikidata.org/wiki/Q33323082", "Q33323082")</f>
        <v>0</v>
      </c>
      <c r="G7624" t="s">
        <v>834</v>
      </c>
      <c r="H7624" t="s">
        <v>5591</v>
      </c>
      <c r="I7624" t="s">
        <v>9544</v>
      </c>
      <c r="J7624" t="s">
        <v>11581</v>
      </c>
      <c r="K7624" t="s">
        <v>15983</v>
      </c>
      <c r="L7624">
        <f>HYPERLINK("https://www2.assemblee-nationale.fr/sycomore/fiche/(num_dept)/7493", "7493")</f>
        <v>0</v>
      </c>
      <c r="M7624">
        <f>HYPERLINK("https://www.senat.fr/senateur-3eme-republique/lauraine_jean_octave0422r3.html", "lauraine_jean_octave0422r3")</f>
        <v>0</v>
      </c>
      <c r="N7624">
        <f>HYPERLINK("https://www.wikidata.org/wiki/Q3168275", "Q3168275")</f>
        <v>0</v>
      </c>
      <c r="O7624" t="s">
        <v>20037</v>
      </c>
      <c r="P7624" t="s">
        <v>20401</v>
      </c>
      <c r="Q7624" t="s">
        <v>20883</v>
      </c>
      <c r="R7624" t="s">
        <v>420</v>
      </c>
      <c r="S7624">
        <v>1495</v>
      </c>
    </row>
    <row r="7625" spans="1:19">
      <c r="A7625" t="s">
        <v>30</v>
      </c>
      <c r="B7625" t="s">
        <v>148</v>
      </c>
      <c r="C7625" t="s">
        <v>162</v>
      </c>
      <c r="D7625" t="s">
        <v>291</v>
      </c>
      <c r="E7625" t="s">
        <v>420</v>
      </c>
      <c r="F7625">
        <f>HYPERLINK("https://www.wikidata.org/wiki/Q33323082", "Q33323082")</f>
        <v>0</v>
      </c>
      <c r="G7625" t="s">
        <v>2703</v>
      </c>
      <c r="H7625" t="s">
        <v>7235</v>
      </c>
      <c r="I7625" t="s">
        <v>5528</v>
      </c>
      <c r="J7625" t="s">
        <v>13344</v>
      </c>
      <c r="K7625" t="s">
        <v>17744</v>
      </c>
      <c r="L7625">
        <f>HYPERLINK("https://www2.assemblee-nationale.fr/sycomore/fiche/(num_dept)/7496", "7496")</f>
        <v>0</v>
      </c>
      <c r="N7625">
        <f>HYPERLINK("https://www.wikidata.org/wiki/Q16025951", "Q16025951")</f>
        <v>0</v>
      </c>
      <c r="O7625" t="s">
        <v>19981</v>
      </c>
      <c r="P7625" t="s">
        <v>20471</v>
      </c>
      <c r="Q7625" t="s">
        <v>20883</v>
      </c>
      <c r="R7625" t="s">
        <v>420</v>
      </c>
      <c r="S7625">
        <v>1495</v>
      </c>
    </row>
    <row r="7626" spans="1:19">
      <c r="A7626" t="s">
        <v>30</v>
      </c>
      <c r="B7626" t="s">
        <v>148</v>
      </c>
      <c r="C7626" t="s">
        <v>162</v>
      </c>
      <c r="D7626" t="s">
        <v>291</v>
      </c>
      <c r="E7626" t="s">
        <v>420</v>
      </c>
      <c r="F7626">
        <f>HYPERLINK("https://www.wikidata.org/wiki/Q33323082", "Q33323082")</f>
        <v>0</v>
      </c>
      <c r="G7626" t="s">
        <v>2704</v>
      </c>
      <c r="H7626" t="s">
        <v>6798</v>
      </c>
      <c r="I7626" t="s">
        <v>10375</v>
      </c>
      <c r="J7626" t="s">
        <v>13345</v>
      </c>
      <c r="K7626" t="s">
        <v>17745</v>
      </c>
      <c r="L7626">
        <f>HYPERLINK("https://www2.assemblee-nationale.fr/sycomore/fiche/(num_dept)/7528", "7528")</f>
        <v>0</v>
      </c>
      <c r="N7626">
        <f>HYPERLINK("https://www.wikidata.org/wiki/Q16025956", "Q16025956")</f>
        <v>0</v>
      </c>
      <c r="O7626" t="s">
        <v>20005</v>
      </c>
      <c r="P7626" t="s">
        <v>20459</v>
      </c>
      <c r="Q7626" t="s">
        <v>20883</v>
      </c>
      <c r="R7626" t="s">
        <v>420</v>
      </c>
      <c r="S7626">
        <v>1495</v>
      </c>
    </row>
    <row r="7627" spans="1:19">
      <c r="A7627" t="s">
        <v>30</v>
      </c>
      <c r="B7627" t="s">
        <v>148</v>
      </c>
      <c r="C7627" t="s">
        <v>162</v>
      </c>
      <c r="D7627" t="s">
        <v>291</v>
      </c>
      <c r="E7627" t="s">
        <v>420</v>
      </c>
      <c r="F7627">
        <f>HYPERLINK("https://www.wikidata.org/wiki/Q33323082", "Q33323082")</f>
        <v>0</v>
      </c>
      <c r="G7627" t="s">
        <v>837</v>
      </c>
      <c r="H7627" t="s">
        <v>5594</v>
      </c>
      <c r="I7627" t="s">
        <v>9545</v>
      </c>
      <c r="J7627" t="s">
        <v>11584</v>
      </c>
      <c r="K7627" t="s">
        <v>15986</v>
      </c>
      <c r="L7627">
        <f>HYPERLINK("https://www2.assemblee-nationale.fr/sycomore/fiche/(num_dept)/7540", "7540")</f>
        <v>0</v>
      </c>
      <c r="M7627">
        <f>HYPERLINK("https://www.senat.fr/senateur-3eme-republique/le_bail_georges0793r3.html", "le_bail_georges0793r3")</f>
        <v>0</v>
      </c>
      <c r="N7627">
        <f>HYPERLINK("https://www.wikidata.org/wiki/Q2381659", "Q2381659")</f>
        <v>0</v>
      </c>
      <c r="O7627" t="s">
        <v>20011</v>
      </c>
      <c r="P7627" t="s">
        <v>20457</v>
      </c>
      <c r="Q7627" t="s">
        <v>20883</v>
      </c>
      <c r="R7627" t="s">
        <v>420</v>
      </c>
      <c r="S7627">
        <v>1495</v>
      </c>
    </row>
    <row r="7628" spans="1:19">
      <c r="A7628" t="s">
        <v>30</v>
      </c>
      <c r="B7628" t="s">
        <v>148</v>
      </c>
      <c r="C7628" t="s">
        <v>162</v>
      </c>
      <c r="D7628" t="s">
        <v>291</v>
      </c>
      <c r="E7628" t="s">
        <v>420</v>
      </c>
      <c r="F7628">
        <f>HYPERLINK("https://www.wikidata.org/wiki/Q33323082", "Q33323082")</f>
        <v>0</v>
      </c>
      <c r="G7628" t="s">
        <v>2705</v>
      </c>
      <c r="H7628" t="s">
        <v>7236</v>
      </c>
      <c r="I7628" t="s">
        <v>9376</v>
      </c>
      <c r="J7628" t="s">
        <v>13346</v>
      </c>
      <c r="K7628" t="s">
        <v>17746</v>
      </c>
      <c r="L7628">
        <f>HYPERLINK("https://www2.assemblee-nationale.fr/sycomore/fiche/(num_dept)/7555", "7555")</f>
        <v>0</v>
      </c>
      <c r="N7628">
        <f>HYPERLINK("https://www.wikidata.org/wiki/Q13080871", "Q13080871")</f>
        <v>0</v>
      </c>
      <c r="O7628" t="s">
        <v>19978</v>
      </c>
      <c r="P7628" t="s">
        <v>20479</v>
      </c>
      <c r="Q7628" t="s">
        <v>20883</v>
      </c>
      <c r="R7628" t="s">
        <v>17746</v>
      </c>
      <c r="S7628">
        <v>1006</v>
      </c>
    </row>
    <row r="7629" spans="1:19">
      <c r="A7629" t="s">
        <v>30</v>
      </c>
      <c r="B7629" t="s">
        <v>148</v>
      </c>
      <c r="C7629" t="s">
        <v>162</v>
      </c>
      <c r="D7629" t="s">
        <v>291</v>
      </c>
      <c r="E7629" t="s">
        <v>420</v>
      </c>
      <c r="F7629">
        <f>HYPERLINK("https://www.wikidata.org/wiki/Q33323082", "Q33323082")</f>
        <v>0</v>
      </c>
      <c r="G7629" t="s">
        <v>840</v>
      </c>
      <c r="H7629" t="s">
        <v>5597</v>
      </c>
      <c r="I7629" t="s">
        <v>9547</v>
      </c>
      <c r="J7629" t="s">
        <v>11587</v>
      </c>
      <c r="K7629" t="s">
        <v>15989</v>
      </c>
      <c r="L7629">
        <f>HYPERLINK("https://www2.assemblee-nationale.fr/sycomore/fiche/(num_dept)/7587", "7587")</f>
        <v>0</v>
      </c>
      <c r="N7629">
        <f>HYPERLINK("https://www.wikidata.org/wiki/Q3351149", "Q3351149")</f>
        <v>0</v>
      </c>
      <c r="O7629" t="s">
        <v>19998</v>
      </c>
      <c r="P7629" t="s">
        <v>20504</v>
      </c>
      <c r="Q7629" t="s">
        <v>20883</v>
      </c>
      <c r="R7629" t="s">
        <v>420</v>
      </c>
      <c r="S7629">
        <v>1495</v>
      </c>
    </row>
    <row r="7630" spans="1:19">
      <c r="A7630" t="s">
        <v>30</v>
      </c>
      <c r="B7630" t="s">
        <v>148</v>
      </c>
      <c r="C7630" t="s">
        <v>162</v>
      </c>
      <c r="D7630" t="s">
        <v>291</v>
      </c>
      <c r="E7630" t="s">
        <v>420</v>
      </c>
      <c r="F7630">
        <f>HYPERLINK("https://www.wikidata.org/wiki/Q33323082", "Q33323082")</f>
        <v>0</v>
      </c>
      <c r="G7630" t="s">
        <v>841</v>
      </c>
      <c r="H7630" t="s">
        <v>5598</v>
      </c>
      <c r="I7630" t="s">
        <v>9548</v>
      </c>
      <c r="J7630" t="s">
        <v>11588</v>
      </c>
      <c r="K7630" t="s">
        <v>15990</v>
      </c>
      <c r="L7630">
        <f>HYPERLINK("https://www2.assemblee-nationale.fr/sycomore/fiche/(num_dept)/7591", "7591")</f>
        <v>0</v>
      </c>
      <c r="M7630">
        <f>HYPERLINK("https://www.senat.fr/senateur-3eme-republique/le_herisse_rene0541r3.html", "le_herisse_rene0541r3")</f>
        <v>0</v>
      </c>
      <c r="N7630">
        <f>HYPERLINK("https://www.wikidata.org/wiki/Q3426501", "Q3426501")</f>
        <v>0</v>
      </c>
      <c r="O7630" t="s">
        <v>19998</v>
      </c>
      <c r="P7630" t="s">
        <v>20409</v>
      </c>
      <c r="Q7630" t="s">
        <v>20883</v>
      </c>
      <c r="R7630" t="s">
        <v>420</v>
      </c>
      <c r="S7630">
        <v>1495</v>
      </c>
    </row>
    <row r="7631" spans="1:19">
      <c r="A7631" t="s">
        <v>30</v>
      </c>
      <c r="B7631" t="s">
        <v>148</v>
      </c>
      <c r="C7631" t="s">
        <v>162</v>
      </c>
      <c r="D7631" t="s">
        <v>291</v>
      </c>
      <c r="E7631" t="s">
        <v>420</v>
      </c>
      <c r="F7631">
        <f>HYPERLINK("https://www.wikidata.org/wiki/Q33323082", "Q33323082")</f>
        <v>0</v>
      </c>
      <c r="G7631" t="s">
        <v>3822</v>
      </c>
      <c r="H7631" t="s">
        <v>8104</v>
      </c>
      <c r="I7631" t="s">
        <v>9751</v>
      </c>
      <c r="J7631" t="s">
        <v>14388</v>
      </c>
      <c r="K7631" t="s">
        <v>18740</v>
      </c>
      <c r="L7631">
        <f>HYPERLINK("https://www2.assemblee-nationale.fr/sycomore/fiche/(num_dept)/7597", "7597")</f>
        <v>0</v>
      </c>
      <c r="N7631">
        <f>HYPERLINK("https://www.wikidata.org/wiki/Q3103051", "Q3103051")</f>
        <v>0</v>
      </c>
      <c r="O7631" t="s">
        <v>19985</v>
      </c>
      <c r="P7631" t="s">
        <v>20420</v>
      </c>
      <c r="Q7631" t="s">
        <v>20883</v>
      </c>
      <c r="R7631" t="s">
        <v>18740</v>
      </c>
      <c r="S7631">
        <v>866</v>
      </c>
    </row>
    <row r="7632" spans="1:19">
      <c r="A7632" t="s">
        <v>30</v>
      </c>
      <c r="B7632" t="s">
        <v>148</v>
      </c>
      <c r="C7632" t="s">
        <v>162</v>
      </c>
      <c r="D7632" t="s">
        <v>291</v>
      </c>
      <c r="E7632" t="s">
        <v>420</v>
      </c>
      <c r="F7632">
        <f>HYPERLINK("https://www.wikidata.org/wiki/Q33323082", "Q33323082")</f>
        <v>0</v>
      </c>
      <c r="G7632" t="s">
        <v>1657</v>
      </c>
      <c r="H7632" t="s">
        <v>6340</v>
      </c>
      <c r="I7632" t="s">
        <v>9875</v>
      </c>
      <c r="J7632" t="s">
        <v>12364</v>
      </c>
      <c r="K7632" t="s">
        <v>16771</v>
      </c>
      <c r="L7632">
        <f>HYPERLINK("https://www2.assemblee-nationale.fr/sycomore/fiche/(num_dept)/7602", "7602")</f>
        <v>0</v>
      </c>
      <c r="N7632">
        <f>HYPERLINK("https://www.wikidata.org/wiki/Q2831324", "Q2831324")</f>
        <v>0</v>
      </c>
      <c r="O7632" t="s">
        <v>19985</v>
      </c>
      <c r="P7632" t="s">
        <v>20479</v>
      </c>
      <c r="Q7632" t="s">
        <v>20883</v>
      </c>
      <c r="R7632" t="s">
        <v>420</v>
      </c>
      <c r="S7632">
        <v>1495</v>
      </c>
    </row>
    <row r="7633" spans="1:19">
      <c r="A7633" t="s">
        <v>30</v>
      </c>
      <c r="B7633" t="s">
        <v>148</v>
      </c>
      <c r="C7633" t="s">
        <v>162</v>
      </c>
      <c r="D7633" t="s">
        <v>291</v>
      </c>
      <c r="E7633" t="s">
        <v>420</v>
      </c>
      <c r="F7633">
        <f>HYPERLINK("https://www.wikidata.org/wiki/Q33323082", "Q33323082")</f>
        <v>0</v>
      </c>
      <c r="G7633" t="s">
        <v>844</v>
      </c>
      <c r="H7633" t="s">
        <v>5601</v>
      </c>
      <c r="I7633" t="s">
        <v>9551</v>
      </c>
      <c r="J7633" t="s">
        <v>11591</v>
      </c>
      <c r="K7633" t="s">
        <v>15993</v>
      </c>
      <c r="L7633">
        <f>HYPERLINK("https://www2.assemblee-nationale.fr/sycomore/fiche/(num_dept)/7628", "7628")</f>
        <v>0</v>
      </c>
      <c r="M7633">
        <f>HYPERLINK("https://www.senat.fr/senateur-3eme-republique/le_troadec_paul0586r3.html", "le_troadec_paul0586r3")</f>
        <v>0</v>
      </c>
      <c r="N7633">
        <f>HYPERLINK("https://www.wikidata.org/wiki/Q3371653", "Q3371653")</f>
        <v>0</v>
      </c>
      <c r="O7633" t="s">
        <v>19964</v>
      </c>
      <c r="P7633" t="s">
        <v>20401</v>
      </c>
      <c r="Q7633" t="s">
        <v>20883</v>
      </c>
      <c r="R7633" t="s">
        <v>420</v>
      </c>
      <c r="S7633">
        <v>1495</v>
      </c>
    </row>
    <row r="7634" spans="1:19">
      <c r="A7634" t="s">
        <v>30</v>
      </c>
      <c r="B7634" t="s">
        <v>148</v>
      </c>
      <c r="C7634" t="s">
        <v>162</v>
      </c>
      <c r="D7634" t="s">
        <v>291</v>
      </c>
      <c r="E7634" t="s">
        <v>420</v>
      </c>
      <c r="F7634">
        <f>HYPERLINK("https://www.wikidata.org/wiki/Q33323082", "Q33323082")</f>
        <v>0</v>
      </c>
      <c r="G7634" t="s">
        <v>3618</v>
      </c>
      <c r="H7634" t="s">
        <v>7237</v>
      </c>
      <c r="I7634" t="s">
        <v>9388</v>
      </c>
      <c r="J7634" t="s">
        <v>14200</v>
      </c>
      <c r="K7634" t="s">
        <v>16176</v>
      </c>
      <c r="L7634">
        <f>HYPERLINK("https://www2.assemblee-nationale.fr/sycomore/fiche/(num_dept)/7638", "7638")</f>
        <v>0</v>
      </c>
      <c r="N7634">
        <f>HYPERLINK("https://www.wikidata.org/wiki/Q3371659", "Q3371659")</f>
        <v>0</v>
      </c>
      <c r="O7634" t="s">
        <v>19976</v>
      </c>
      <c r="Q7634" t="s">
        <v>20883</v>
      </c>
      <c r="R7634" t="s">
        <v>420</v>
      </c>
      <c r="S7634">
        <v>1495</v>
      </c>
    </row>
    <row r="7635" spans="1:19">
      <c r="A7635" t="s">
        <v>30</v>
      </c>
      <c r="B7635" t="s">
        <v>148</v>
      </c>
      <c r="C7635" t="s">
        <v>162</v>
      </c>
      <c r="D7635" t="s">
        <v>291</v>
      </c>
      <c r="E7635" t="s">
        <v>420</v>
      </c>
      <c r="F7635">
        <f>HYPERLINK("https://www.wikidata.org/wiki/Q33323082", "Q33323082")</f>
        <v>0</v>
      </c>
      <c r="G7635" t="s">
        <v>846</v>
      </c>
      <c r="H7635" t="s">
        <v>5603</v>
      </c>
      <c r="I7635" t="s">
        <v>6584</v>
      </c>
      <c r="J7635" t="s">
        <v>11593</v>
      </c>
      <c r="K7635" t="s">
        <v>15784</v>
      </c>
      <c r="L7635">
        <f>HYPERLINK("https://www2.assemblee-nationale.fr/sycomore/fiche/(num_dept)/7652", "7652")</f>
        <v>0</v>
      </c>
      <c r="M7635">
        <f>HYPERLINK("https://www.senat.fr/senateur-3eme-republique/lebrun_albert0945r3.html", "lebrun_albert0945r3")</f>
        <v>0</v>
      </c>
      <c r="N7635">
        <f>HYPERLINK("https://www.wikidata.org/wiki/Q158749", "Q158749")</f>
        <v>0</v>
      </c>
      <c r="O7635" t="s">
        <v>20007</v>
      </c>
      <c r="P7635" t="s">
        <v>20479</v>
      </c>
      <c r="Q7635" t="s">
        <v>20883</v>
      </c>
      <c r="R7635" t="s">
        <v>420</v>
      </c>
      <c r="S7635">
        <v>1495</v>
      </c>
    </row>
    <row r="7636" spans="1:19">
      <c r="A7636" t="s">
        <v>30</v>
      </c>
      <c r="B7636" t="s">
        <v>148</v>
      </c>
      <c r="C7636" t="s">
        <v>162</v>
      </c>
      <c r="D7636" t="s">
        <v>291</v>
      </c>
      <c r="E7636" t="s">
        <v>420</v>
      </c>
      <c r="F7636">
        <f>HYPERLINK("https://www.wikidata.org/wiki/Q33323082", "Q33323082")</f>
        <v>0</v>
      </c>
      <c r="G7636" t="s">
        <v>848</v>
      </c>
      <c r="H7636" t="s">
        <v>5605</v>
      </c>
      <c r="I7636" t="s">
        <v>9553</v>
      </c>
      <c r="J7636" t="s">
        <v>11594</v>
      </c>
      <c r="K7636" t="s">
        <v>15996</v>
      </c>
      <c r="L7636">
        <f>HYPERLINK("https://www2.assemblee-nationale.fr/sycomore/fiche/(num_dept)/7683", "7683")</f>
        <v>0</v>
      </c>
      <c r="M7636">
        <f>HYPERLINK("https://www.senat.fr/senateur-3eme-republique/lefas_alexandre0535r3.html", "lefas_alexandre0535r3")</f>
        <v>0</v>
      </c>
      <c r="N7636">
        <f>HYPERLINK("https://www.wikidata.org/wiki/Q2833822", "Q2833822")</f>
        <v>0</v>
      </c>
      <c r="O7636" t="s">
        <v>19998</v>
      </c>
      <c r="P7636" t="s">
        <v>20410</v>
      </c>
      <c r="Q7636" t="s">
        <v>20883</v>
      </c>
      <c r="R7636" t="s">
        <v>420</v>
      </c>
      <c r="S7636">
        <v>1495</v>
      </c>
    </row>
    <row r="7637" spans="1:19">
      <c r="A7637" t="s">
        <v>30</v>
      </c>
      <c r="B7637" t="s">
        <v>148</v>
      </c>
      <c r="C7637" t="s">
        <v>162</v>
      </c>
      <c r="D7637" t="s">
        <v>291</v>
      </c>
      <c r="E7637" t="s">
        <v>420</v>
      </c>
      <c r="F7637">
        <f>HYPERLINK("https://www.wikidata.org/wiki/Q33323082", "Q33323082")</f>
        <v>0</v>
      </c>
      <c r="G7637" t="s">
        <v>2710</v>
      </c>
      <c r="H7637" t="s">
        <v>6801</v>
      </c>
      <c r="I7637" t="s">
        <v>6158</v>
      </c>
      <c r="J7637" t="s">
        <v>13351</v>
      </c>
      <c r="K7637" t="s">
        <v>17751</v>
      </c>
      <c r="L7637">
        <f>HYPERLINK("https://www2.assemblee-nationale.fr/sycomore/fiche/(num_dept)/7718", "7718")</f>
        <v>0</v>
      </c>
      <c r="N7637">
        <f>HYPERLINK("https://www.wikidata.org/wiki/Q3092516", "Q3092516")</f>
        <v>0</v>
      </c>
      <c r="O7637" t="s">
        <v>19995</v>
      </c>
      <c r="P7637" t="s">
        <v>20479</v>
      </c>
      <c r="Q7637" t="s">
        <v>20883</v>
      </c>
      <c r="R7637" t="s">
        <v>420</v>
      </c>
      <c r="S7637">
        <v>1495</v>
      </c>
    </row>
    <row r="7638" spans="1:19">
      <c r="A7638" t="s">
        <v>30</v>
      </c>
      <c r="B7638" t="s">
        <v>148</v>
      </c>
      <c r="C7638" t="s">
        <v>162</v>
      </c>
      <c r="D7638" t="s">
        <v>291</v>
      </c>
      <c r="E7638" t="s">
        <v>420</v>
      </c>
      <c r="F7638">
        <f>HYPERLINK("https://www.wikidata.org/wiki/Q33323082", "Q33323082")</f>
        <v>0</v>
      </c>
      <c r="G7638" t="s">
        <v>854</v>
      </c>
      <c r="H7638" t="s">
        <v>5610</v>
      </c>
      <c r="I7638" t="s">
        <v>9556</v>
      </c>
      <c r="J7638" t="s">
        <v>11600</v>
      </c>
      <c r="K7638" t="s">
        <v>16002</v>
      </c>
      <c r="L7638">
        <f>HYPERLINK("https://www2.assemblee-nationale.fr/sycomore/fiche/(num_dept)/7723", "7723")</f>
        <v>0</v>
      </c>
      <c r="N7638">
        <f>HYPERLINK("https://www.wikidata.org/wiki/Q8327019", "Q8327019")</f>
        <v>0</v>
      </c>
      <c r="O7638" t="s">
        <v>19985</v>
      </c>
      <c r="P7638" t="s">
        <v>20420</v>
      </c>
      <c r="Q7638" t="s">
        <v>20883</v>
      </c>
      <c r="R7638" t="s">
        <v>420</v>
      </c>
      <c r="S7638">
        <v>1495</v>
      </c>
    </row>
    <row r="7639" spans="1:19">
      <c r="A7639" t="s">
        <v>30</v>
      </c>
      <c r="B7639" t="s">
        <v>148</v>
      </c>
      <c r="C7639" t="s">
        <v>162</v>
      </c>
      <c r="D7639" t="s">
        <v>291</v>
      </c>
      <c r="E7639" t="s">
        <v>420</v>
      </c>
      <c r="F7639">
        <f>HYPERLINK("https://www.wikidata.org/wiki/Q33323082", "Q33323082")</f>
        <v>0</v>
      </c>
      <c r="G7639" t="s">
        <v>3857</v>
      </c>
      <c r="H7639" t="s">
        <v>5610</v>
      </c>
      <c r="I7639" t="s">
        <v>9449</v>
      </c>
      <c r="J7639" t="s">
        <v>14416</v>
      </c>
      <c r="K7639" t="s">
        <v>18769</v>
      </c>
      <c r="L7639">
        <f>HYPERLINK("https://www2.assemblee-nationale.fr/sycomore/fiche/(num_dept)/7725", "7725")</f>
        <v>0</v>
      </c>
      <c r="N7639">
        <f>HYPERLINK("https://www.wikidata.org/wiki/Q3188725", "Q3188725")</f>
        <v>0</v>
      </c>
      <c r="O7639" t="s">
        <v>19970</v>
      </c>
      <c r="P7639" t="s">
        <v>20479</v>
      </c>
      <c r="Q7639" t="s">
        <v>20883</v>
      </c>
      <c r="R7639" t="s">
        <v>420</v>
      </c>
      <c r="S7639">
        <v>1495</v>
      </c>
    </row>
    <row r="7640" spans="1:19">
      <c r="A7640" t="s">
        <v>30</v>
      </c>
      <c r="B7640" t="s">
        <v>148</v>
      </c>
      <c r="C7640" t="s">
        <v>162</v>
      </c>
      <c r="D7640" t="s">
        <v>291</v>
      </c>
      <c r="E7640" t="s">
        <v>420</v>
      </c>
      <c r="F7640">
        <f>HYPERLINK("https://www.wikidata.org/wiki/Q33323082", "Q33323082")</f>
        <v>0</v>
      </c>
      <c r="G7640" t="s">
        <v>1078</v>
      </c>
      <c r="H7640" t="s">
        <v>5822</v>
      </c>
      <c r="I7640" t="s">
        <v>9449</v>
      </c>
      <c r="J7640" t="s">
        <v>11814</v>
      </c>
      <c r="K7640" t="s">
        <v>16215</v>
      </c>
      <c r="L7640">
        <f>HYPERLINK("https://www2.assemblee-nationale.fr/sycomore/fiche/(num_dept)/7752", "7752")</f>
        <v>0</v>
      </c>
      <c r="N7640">
        <f>HYPERLINK("https://www.wikidata.org/wiki/Q3085048", "Q3085048")</f>
        <v>0</v>
      </c>
      <c r="O7640" t="s">
        <v>20013</v>
      </c>
      <c r="P7640" t="s">
        <v>20409</v>
      </c>
      <c r="Q7640" t="s">
        <v>20883</v>
      </c>
      <c r="R7640" t="s">
        <v>420</v>
      </c>
      <c r="S7640">
        <v>1495</v>
      </c>
    </row>
    <row r="7641" spans="1:19">
      <c r="A7641" t="s">
        <v>30</v>
      </c>
      <c r="B7641" t="s">
        <v>148</v>
      </c>
      <c r="C7641" t="s">
        <v>162</v>
      </c>
      <c r="D7641" t="s">
        <v>291</v>
      </c>
      <c r="E7641" t="s">
        <v>420</v>
      </c>
      <c r="F7641">
        <f>HYPERLINK("https://www.wikidata.org/wiki/Q33323082", "Q33323082")</f>
        <v>0</v>
      </c>
      <c r="G7641" t="s">
        <v>855</v>
      </c>
      <c r="H7641" t="s">
        <v>5611</v>
      </c>
      <c r="I7641" t="s">
        <v>9557</v>
      </c>
      <c r="J7641" t="s">
        <v>11601</v>
      </c>
      <c r="K7641" t="s">
        <v>16003</v>
      </c>
      <c r="L7641">
        <f>HYPERLINK("https://www2.assemblee-nationale.fr/sycomore/fiche/(num_dept)/7791", "7791")</f>
        <v>0</v>
      </c>
      <c r="N7641">
        <f>HYPERLINK("https://www.wikidata.org/wiki/Q3371680", "Q3371680")</f>
        <v>0</v>
      </c>
      <c r="O7641" t="s">
        <v>19969</v>
      </c>
      <c r="P7641" t="s">
        <v>20410</v>
      </c>
      <c r="Q7641" t="s">
        <v>20883</v>
      </c>
      <c r="R7641" t="s">
        <v>420</v>
      </c>
      <c r="S7641">
        <v>1495</v>
      </c>
    </row>
    <row r="7642" spans="1:19">
      <c r="A7642" t="s">
        <v>30</v>
      </c>
      <c r="B7642" t="s">
        <v>148</v>
      </c>
      <c r="C7642" t="s">
        <v>162</v>
      </c>
      <c r="D7642" t="s">
        <v>291</v>
      </c>
      <c r="E7642" t="s">
        <v>420</v>
      </c>
      <c r="F7642">
        <f>HYPERLINK("https://www.wikidata.org/wiki/Q33323082", "Q33323082")</f>
        <v>0</v>
      </c>
      <c r="G7642" t="s">
        <v>856</v>
      </c>
      <c r="H7642" t="s">
        <v>5612</v>
      </c>
      <c r="I7642" t="s">
        <v>9558</v>
      </c>
      <c r="J7642" t="s">
        <v>11602</v>
      </c>
      <c r="K7642" t="s">
        <v>16004</v>
      </c>
      <c r="L7642">
        <f>HYPERLINK("https://www2.assemblee-nationale.fr/sycomore/fiche/(num_dept)/7801", "7801")</f>
        <v>0</v>
      </c>
      <c r="N7642">
        <f>HYPERLINK("https://www.wikidata.org/wiki/Q3317903", "Q3317903")</f>
        <v>0</v>
      </c>
      <c r="O7642" t="s">
        <v>19992</v>
      </c>
      <c r="P7642" t="s">
        <v>20457</v>
      </c>
      <c r="Q7642" t="s">
        <v>20883</v>
      </c>
      <c r="R7642" t="s">
        <v>420</v>
      </c>
      <c r="S7642">
        <v>1495</v>
      </c>
    </row>
    <row r="7643" spans="1:19">
      <c r="A7643" t="s">
        <v>30</v>
      </c>
      <c r="B7643" t="s">
        <v>148</v>
      </c>
      <c r="C7643" t="s">
        <v>162</v>
      </c>
      <c r="D7643" t="s">
        <v>291</v>
      </c>
      <c r="E7643" t="s">
        <v>420</v>
      </c>
      <c r="F7643">
        <f>HYPERLINK("https://www.wikidata.org/wiki/Q33323082", "Q33323082")</f>
        <v>0</v>
      </c>
      <c r="G7643" t="s">
        <v>3947</v>
      </c>
      <c r="H7643" t="s">
        <v>8199</v>
      </c>
      <c r="I7643" t="s">
        <v>11036</v>
      </c>
      <c r="J7643" t="s">
        <v>14499</v>
      </c>
      <c r="K7643" t="s">
        <v>17829</v>
      </c>
      <c r="L7643">
        <f>HYPERLINK("https://www2.assemblee-nationale.fr/sycomore/fiche/(num_dept)/7813", "7813")</f>
        <v>0</v>
      </c>
      <c r="N7643">
        <f>HYPERLINK("https://www.wikidata.org/wiki/Q3576492", "Q3576492")</f>
        <v>0</v>
      </c>
      <c r="O7643" t="s">
        <v>19972</v>
      </c>
      <c r="Q7643" t="s">
        <v>20883</v>
      </c>
      <c r="R7643" t="s">
        <v>420</v>
      </c>
      <c r="S7643">
        <v>1495</v>
      </c>
    </row>
    <row r="7644" spans="1:19">
      <c r="A7644" t="s">
        <v>30</v>
      </c>
      <c r="B7644" t="s">
        <v>148</v>
      </c>
      <c r="C7644" t="s">
        <v>162</v>
      </c>
      <c r="D7644" t="s">
        <v>291</v>
      </c>
      <c r="E7644" t="s">
        <v>420</v>
      </c>
      <c r="F7644">
        <f>HYPERLINK("https://www.wikidata.org/wiki/Q33323082", "Q33323082")</f>
        <v>0</v>
      </c>
      <c r="G7644" t="s">
        <v>3295</v>
      </c>
      <c r="H7644" t="s">
        <v>7706</v>
      </c>
      <c r="I7644" t="s">
        <v>10748</v>
      </c>
      <c r="J7644" t="s">
        <v>13909</v>
      </c>
      <c r="K7644" t="s">
        <v>18280</v>
      </c>
      <c r="L7644">
        <f>HYPERLINK("https://www2.assemblee-nationale.fr/sycomore/fiche/(num_dept)/7833", "7833")</f>
        <v>0</v>
      </c>
      <c r="N7644">
        <f>HYPERLINK("https://www.wikidata.org/wiki/Q3092648", "Q3092648")</f>
        <v>0</v>
      </c>
      <c r="O7644" t="s">
        <v>19957</v>
      </c>
      <c r="P7644" t="s">
        <v>20504</v>
      </c>
      <c r="Q7644" t="s">
        <v>20883</v>
      </c>
      <c r="R7644" t="s">
        <v>420</v>
      </c>
      <c r="S7644">
        <v>1495</v>
      </c>
    </row>
    <row r="7645" spans="1:19">
      <c r="A7645" t="s">
        <v>30</v>
      </c>
      <c r="B7645" t="s">
        <v>148</v>
      </c>
      <c r="C7645" t="s">
        <v>162</v>
      </c>
      <c r="D7645" t="s">
        <v>291</v>
      </c>
      <c r="E7645" t="s">
        <v>420</v>
      </c>
      <c r="F7645">
        <f>HYPERLINK("https://www.wikidata.org/wiki/Q33323082", "Q33323082")</f>
        <v>0</v>
      </c>
      <c r="G7645" t="s">
        <v>3948</v>
      </c>
      <c r="H7645" t="s">
        <v>5613</v>
      </c>
      <c r="I7645" t="s">
        <v>9438</v>
      </c>
      <c r="J7645" t="s">
        <v>11758</v>
      </c>
      <c r="K7645" t="s">
        <v>18848</v>
      </c>
      <c r="L7645">
        <f>HYPERLINK("https://www2.assemblee-nationale.fr/sycomore/fiche/(num_dept)/7841", "7841")</f>
        <v>0</v>
      </c>
      <c r="M7645">
        <f>HYPERLINK("https://www.senat.fr/senateur-3eme-republique/leygue_honore0095r3.html", "leygue_honore0095r3")</f>
        <v>0</v>
      </c>
      <c r="N7645">
        <f>HYPERLINK("https://www.wikidata.org/wiki/Q3140238", "Q3140238")</f>
        <v>0</v>
      </c>
      <c r="O7645" t="s">
        <v>20016</v>
      </c>
      <c r="Q7645" t="s">
        <v>20883</v>
      </c>
      <c r="R7645" t="s">
        <v>420</v>
      </c>
      <c r="S7645">
        <v>1495</v>
      </c>
    </row>
    <row r="7646" spans="1:19">
      <c r="A7646" t="s">
        <v>30</v>
      </c>
      <c r="B7646" t="s">
        <v>148</v>
      </c>
      <c r="C7646" t="s">
        <v>162</v>
      </c>
      <c r="D7646" t="s">
        <v>291</v>
      </c>
      <c r="E7646" t="s">
        <v>420</v>
      </c>
      <c r="F7646">
        <f>HYPERLINK("https://www.wikidata.org/wiki/Q33323082", "Q33323082")</f>
        <v>0</v>
      </c>
      <c r="G7646" t="s">
        <v>3621</v>
      </c>
      <c r="H7646" t="s">
        <v>7961</v>
      </c>
      <c r="I7646" t="s">
        <v>9692</v>
      </c>
      <c r="J7646" t="s">
        <v>14203</v>
      </c>
      <c r="K7646" t="s">
        <v>18570</v>
      </c>
      <c r="L7646">
        <f>HYPERLINK("https://www2.assemblee-nationale.fr/sycomore/fiche/(num_dept)/7842", "7842")</f>
        <v>0</v>
      </c>
      <c r="M7646">
        <f>HYPERLINK("https://www.senat.fr/senateur-3eme-republique/leygue_raymond0108r3.html", "leygue_raymond0108r3")</f>
        <v>0</v>
      </c>
      <c r="N7646">
        <f>HYPERLINK("https://www.wikidata.org/wiki/Q3421004", "Q3421004")</f>
        <v>0</v>
      </c>
      <c r="O7646" t="s">
        <v>20016</v>
      </c>
      <c r="P7646" t="s">
        <v>20477</v>
      </c>
      <c r="Q7646" t="s">
        <v>20883</v>
      </c>
      <c r="R7646" t="s">
        <v>18328</v>
      </c>
      <c r="S7646">
        <v>1363</v>
      </c>
    </row>
    <row r="7647" spans="1:19">
      <c r="A7647" t="s">
        <v>30</v>
      </c>
      <c r="B7647" t="s">
        <v>148</v>
      </c>
      <c r="C7647" t="s">
        <v>162</v>
      </c>
      <c r="D7647" t="s">
        <v>291</v>
      </c>
      <c r="E7647" t="s">
        <v>420</v>
      </c>
      <c r="F7647">
        <f>HYPERLINK("https://www.wikidata.org/wiki/Q33323082", "Q33323082")</f>
        <v>0</v>
      </c>
      <c r="G7647" t="s">
        <v>858</v>
      </c>
      <c r="H7647" t="s">
        <v>5614</v>
      </c>
      <c r="I7647" t="s">
        <v>9423</v>
      </c>
      <c r="J7647" t="s">
        <v>11604</v>
      </c>
      <c r="K7647" t="s">
        <v>16006</v>
      </c>
      <c r="L7647">
        <f>HYPERLINK("https://www2.assemblee-nationale.fr/sycomore/fiche/(num_dept)/7854", "7854")</f>
        <v>0</v>
      </c>
      <c r="M7647">
        <f>HYPERLINK("https://www.senat.fr/senateur-3eme-republique/limon_guillaume0585r3.html", "limon_guillaume0585r3")</f>
        <v>0</v>
      </c>
      <c r="N7647">
        <f>HYPERLINK("https://www.wikidata.org/wiki/Q3120046", "Q3120046")</f>
        <v>0</v>
      </c>
      <c r="O7647" t="s">
        <v>19964</v>
      </c>
      <c r="P7647" t="s">
        <v>20410</v>
      </c>
      <c r="Q7647" t="s">
        <v>20883</v>
      </c>
      <c r="R7647" t="s">
        <v>420</v>
      </c>
      <c r="S7647">
        <v>1495</v>
      </c>
    </row>
    <row r="7648" spans="1:19">
      <c r="A7648" t="s">
        <v>30</v>
      </c>
      <c r="B7648" t="s">
        <v>148</v>
      </c>
      <c r="C7648" t="s">
        <v>162</v>
      </c>
      <c r="D7648" t="s">
        <v>291</v>
      </c>
      <c r="E7648" t="s">
        <v>420</v>
      </c>
      <c r="F7648">
        <f>HYPERLINK("https://www.wikidata.org/wiki/Q33323082", "Q33323082")</f>
        <v>0</v>
      </c>
      <c r="G7648" t="s">
        <v>2717</v>
      </c>
      <c r="H7648" t="s">
        <v>7243</v>
      </c>
      <c r="I7648" t="s">
        <v>9728</v>
      </c>
      <c r="J7648" t="s">
        <v>13358</v>
      </c>
      <c r="K7648" t="s">
        <v>17758</v>
      </c>
      <c r="L7648">
        <f>HYPERLINK("https://www2.assemblee-nationale.fr/sycomore/fiche/(num_dept)/7875", "7875")</f>
        <v>0</v>
      </c>
      <c r="N7648">
        <f>HYPERLINK("https://www.wikidata.org/wiki/Q733836", "Q733836")</f>
        <v>0</v>
      </c>
      <c r="O7648" t="s">
        <v>19969</v>
      </c>
      <c r="P7648" t="s">
        <v>20477</v>
      </c>
      <c r="Q7648" t="s">
        <v>20883</v>
      </c>
      <c r="R7648" t="s">
        <v>420</v>
      </c>
      <c r="S7648">
        <v>1495</v>
      </c>
    </row>
    <row r="7649" spans="1:19">
      <c r="A7649" t="s">
        <v>30</v>
      </c>
      <c r="B7649" t="s">
        <v>148</v>
      </c>
      <c r="C7649" t="s">
        <v>162</v>
      </c>
      <c r="D7649" t="s">
        <v>291</v>
      </c>
      <c r="E7649" t="s">
        <v>420</v>
      </c>
      <c r="F7649">
        <f>HYPERLINK("https://www.wikidata.org/wiki/Q33323082", "Q33323082")</f>
        <v>0</v>
      </c>
      <c r="G7649" t="s">
        <v>3950</v>
      </c>
      <c r="H7649" t="s">
        <v>8201</v>
      </c>
      <c r="I7649" t="s">
        <v>11037</v>
      </c>
      <c r="J7649" t="s">
        <v>14501</v>
      </c>
      <c r="K7649" t="s">
        <v>18849</v>
      </c>
      <c r="L7649">
        <f>HYPERLINK("https://www2.assemblee-nationale.fr/sycomore/fiche/(num_dept)/17", "17")</f>
        <v>0</v>
      </c>
      <c r="N7649">
        <f>HYPERLINK("https://www.wikidata.org/wiki/Q3588300", "Q3588300")</f>
        <v>0</v>
      </c>
      <c r="O7649" t="s">
        <v>20047</v>
      </c>
      <c r="P7649" t="s">
        <v>20401</v>
      </c>
      <c r="Q7649" t="s">
        <v>18994</v>
      </c>
      <c r="R7649" t="s">
        <v>420</v>
      </c>
      <c r="S7649">
        <v>1481</v>
      </c>
    </row>
    <row r="7650" spans="1:19">
      <c r="A7650" t="s">
        <v>30</v>
      </c>
      <c r="B7650" t="s">
        <v>148</v>
      </c>
      <c r="C7650" t="s">
        <v>162</v>
      </c>
      <c r="D7650" t="s">
        <v>291</v>
      </c>
      <c r="E7650" t="s">
        <v>420</v>
      </c>
      <c r="F7650">
        <f>HYPERLINK("https://www.wikidata.org/wiki/Q33323082", "Q33323082")</f>
        <v>0</v>
      </c>
      <c r="G7650" t="s">
        <v>499</v>
      </c>
      <c r="H7650" t="s">
        <v>5264</v>
      </c>
      <c r="I7650" t="s">
        <v>9370</v>
      </c>
      <c r="J7650" t="s">
        <v>11251</v>
      </c>
      <c r="K7650" t="s">
        <v>15651</v>
      </c>
      <c r="L7650">
        <f>HYPERLINK("https://www2.assemblee-nationale.fr/sycomore/fiche/(num_dept)/80", "80")</f>
        <v>0</v>
      </c>
      <c r="N7650">
        <f>HYPERLINK("https://www.wikidata.org/wiki/Q12948740", "Q12948740")</f>
        <v>0</v>
      </c>
      <c r="O7650" t="s">
        <v>19960</v>
      </c>
      <c r="P7650" t="s">
        <v>20485</v>
      </c>
      <c r="Q7650" t="s">
        <v>18994</v>
      </c>
      <c r="R7650" t="s">
        <v>420</v>
      </c>
      <c r="S7650">
        <v>1481</v>
      </c>
    </row>
    <row r="7651" spans="1:19">
      <c r="A7651" t="s">
        <v>30</v>
      </c>
      <c r="B7651" t="s">
        <v>148</v>
      </c>
      <c r="C7651" t="s">
        <v>162</v>
      </c>
      <c r="D7651" t="s">
        <v>291</v>
      </c>
      <c r="E7651" t="s">
        <v>420</v>
      </c>
      <c r="F7651">
        <f>HYPERLINK("https://www.wikidata.org/wiki/Q33323082", "Q33323082")</f>
        <v>0</v>
      </c>
      <c r="G7651" t="s">
        <v>4030</v>
      </c>
      <c r="H7651" t="s">
        <v>8262</v>
      </c>
      <c r="I7651" t="s">
        <v>11072</v>
      </c>
      <c r="J7651" t="s">
        <v>14572</v>
      </c>
      <c r="K7651" t="s">
        <v>18916</v>
      </c>
      <c r="L7651">
        <f>HYPERLINK("https://www2.assemblee-nationale.fr/sycomore/fiche/(num_dept)/178", "178")</f>
        <v>0</v>
      </c>
      <c r="N7651">
        <f>HYPERLINK("https://www.wikidata.org/wiki/Q15973313", "Q15973313")</f>
        <v>0</v>
      </c>
      <c r="O7651" t="s">
        <v>8449</v>
      </c>
      <c r="P7651" t="s">
        <v>20477</v>
      </c>
      <c r="Q7651" t="s">
        <v>18994</v>
      </c>
      <c r="R7651" t="s">
        <v>420</v>
      </c>
      <c r="S7651">
        <v>1481</v>
      </c>
    </row>
    <row r="7652" spans="1:19">
      <c r="A7652" t="s">
        <v>30</v>
      </c>
      <c r="B7652" t="s">
        <v>148</v>
      </c>
      <c r="C7652" t="s">
        <v>162</v>
      </c>
      <c r="D7652" t="s">
        <v>291</v>
      </c>
      <c r="E7652" t="s">
        <v>420</v>
      </c>
      <c r="F7652">
        <f>HYPERLINK("https://www.wikidata.org/wiki/Q33323082", "Q33323082")</f>
        <v>0</v>
      </c>
      <c r="G7652" t="s">
        <v>4089</v>
      </c>
      <c r="H7652" t="s">
        <v>8303</v>
      </c>
      <c r="I7652" t="s">
        <v>11104</v>
      </c>
      <c r="J7652" t="s">
        <v>14627</v>
      </c>
      <c r="K7652" t="s">
        <v>18963</v>
      </c>
      <c r="L7652">
        <f>HYPERLINK("https://www2.assemblee-nationale.fr/sycomore/fiche/(num_dept)/181", "181")</f>
        <v>0</v>
      </c>
      <c r="N7652">
        <f>HYPERLINK("https://www.wikidata.org/wiki/Q8320904", "Q8320904")</f>
        <v>0</v>
      </c>
      <c r="O7652" t="s">
        <v>19969</v>
      </c>
      <c r="P7652" t="s">
        <v>20495</v>
      </c>
      <c r="Q7652" t="s">
        <v>18994</v>
      </c>
      <c r="R7652" t="s">
        <v>18963</v>
      </c>
      <c r="S7652">
        <v>1381</v>
      </c>
    </row>
    <row r="7653" spans="1:19">
      <c r="A7653" t="s">
        <v>30</v>
      </c>
      <c r="B7653" t="s">
        <v>148</v>
      </c>
      <c r="C7653" t="s">
        <v>162</v>
      </c>
      <c r="D7653" t="s">
        <v>291</v>
      </c>
      <c r="E7653" t="s">
        <v>420</v>
      </c>
      <c r="F7653">
        <f>HYPERLINK("https://www.wikidata.org/wiki/Q33323082", "Q33323082")</f>
        <v>0</v>
      </c>
      <c r="G7653" t="s">
        <v>3347</v>
      </c>
      <c r="H7653" t="s">
        <v>7748</v>
      </c>
      <c r="I7653" t="s">
        <v>10783</v>
      </c>
      <c r="J7653" t="s">
        <v>13960</v>
      </c>
      <c r="K7653" t="s">
        <v>18329</v>
      </c>
      <c r="L7653">
        <f>HYPERLINK("https://www2.assemblee-nationale.fr/sycomore/fiche/(num_dept)/224", "224")</f>
        <v>0</v>
      </c>
      <c r="N7653">
        <f>HYPERLINK("https://www.wikidata.org/wiki/Q15973329", "Q15973329")</f>
        <v>0</v>
      </c>
      <c r="O7653" t="s">
        <v>19955</v>
      </c>
      <c r="Q7653" t="s">
        <v>18994</v>
      </c>
      <c r="R7653" t="s">
        <v>420</v>
      </c>
      <c r="S7653">
        <v>1481</v>
      </c>
    </row>
    <row r="7654" spans="1:19">
      <c r="A7654" t="s">
        <v>30</v>
      </c>
      <c r="B7654" t="s">
        <v>148</v>
      </c>
      <c r="C7654" t="s">
        <v>162</v>
      </c>
      <c r="D7654" t="s">
        <v>291</v>
      </c>
      <c r="E7654" t="s">
        <v>420</v>
      </c>
      <c r="F7654">
        <f>HYPERLINK("https://www.wikidata.org/wiki/Q33323082", "Q33323082")</f>
        <v>0</v>
      </c>
      <c r="G7654" t="s">
        <v>2488</v>
      </c>
      <c r="H7654" t="s">
        <v>7061</v>
      </c>
      <c r="I7654" t="s">
        <v>10240</v>
      </c>
      <c r="J7654" t="s">
        <v>13132</v>
      </c>
      <c r="K7654" t="s">
        <v>17541</v>
      </c>
      <c r="L7654">
        <f>HYPERLINK("https://www2.assemblee-nationale.fr/sycomore/fiche/(num_dept)/251", "251")</f>
        <v>0</v>
      </c>
      <c r="M7654">
        <f>HYPERLINK("https://www.senat.fr/senateur-3eme-republique/audiffred_jean_honore1321r3.html", "audiffred_jean_honore1321r3")</f>
        <v>0</v>
      </c>
      <c r="N7654">
        <f>HYPERLINK("https://www.wikidata.org/wiki/Q3166130", "Q3166130")</f>
        <v>0</v>
      </c>
      <c r="O7654" t="s">
        <v>19997</v>
      </c>
      <c r="Q7654" t="s">
        <v>18994</v>
      </c>
      <c r="R7654" t="s">
        <v>21620</v>
      </c>
      <c r="S7654">
        <v>953</v>
      </c>
    </row>
    <row r="7655" spans="1:19">
      <c r="A7655" t="s">
        <v>30</v>
      </c>
      <c r="B7655" t="s">
        <v>148</v>
      </c>
      <c r="C7655" t="s">
        <v>162</v>
      </c>
      <c r="D7655" t="s">
        <v>291</v>
      </c>
      <c r="E7655" t="s">
        <v>420</v>
      </c>
      <c r="F7655">
        <f>HYPERLINK("https://www.wikidata.org/wiki/Q33323082", "Q33323082")</f>
        <v>0</v>
      </c>
      <c r="G7655" t="s">
        <v>4090</v>
      </c>
      <c r="H7655" t="s">
        <v>8304</v>
      </c>
      <c r="I7655" t="s">
        <v>10138</v>
      </c>
      <c r="J7655" t="s">
        <v>14628</v>
      </c>
      <c r="K7655" t="s">
        <v>18964</v>
      </c>
      <c r="L7655">
        <f>HYPERLINK("https://www2.assemblee-nationale.fr/sycomore/fiche/(num_dept)/254", "254")</f>
        <v>0</v>
      </c>
      <c r="N7655">
        <f>HYPERLINK("https://www.wikidata.org/wiki/Q3102220", "Q3102220")</f>
        <v>0</v>
      </c>
      <c r="O7655" t="s">
        <v>19989</v>
      </c>
      <c r="P7655" t="s">
        <v>20479</v>
      </c>
      <c r="Q7655" t="s">
        <v>18994</v>
      </c>
      <c r="R7655" t="s">
        <v>420</v>
      </c>
      <c r="S7655">
        <v>1481</v>
      </c>
    </row>
    <row r="7656" spans="1:19">
      <c r="A7656" t="s">
        <v>30</v>
      </c>
      <c r="B7656" t="s">
        <v>148</v>
      </c>
      <c r="C7656" t="s">
        <v>162</v>
      </c>
      <c r="D7656" t="s">
        <v>291</v>
      </c>
      <c r="E7656" t="s">
        <v>420</v>
      </c>
      <c r="F7656">
        <f>HYPERLINK("https://www.wikidata.org/wiki/Q33323082", "Q33323082")</f>
        <v>0</v>
      </c>
      <c r="G7656" t="s">
        <v>4091</v>
      </c>
      <c r="H7656" t="s">
        <v>6379</v>
      </c>
      <c r="I7656" t="s">
        <v>11105</v>
      </c>
      <c r="J7656" t="s">
        <v>14629</v>
      </c>
      <c r="K7656" t="s">
        <v>18965</v>
      </c>
      <c r="L7656">
        <f>HYPERLINK("https://www2.assemblee-nationale.fr/sycomore/fiche/(num_dept)/260", "260")</f>
        <v>0</v>
      </c>
      <c r="N7656">
        <f>HYPERLINK("https://www.wikidata.org/wiki/Q13080924", "Q13080924")</f>
        <v>0</v>
      </c>
      <c r="O7656" t="s">
        <v>19969</v>
      </c>
      <c r="P7656" t="s">
        <v>20495</v>
      </c>
      <c r="Q7656" t="s">
        <v>18994</v>
      </c>
      <c r="R7656" t="s">
        <v>420</v>
      </c>
      <c r="S7656">
        <v>1481</v>
      </c>
    </row>
    <row r="7657" spans="1:19">
      <c r="A7657" t="s">
        <v>30</v>
      </c>
      <c r="B7657" t="s">
        <v>148</v>
      </c>
      <c r="C7657" t="s">
        <v>162</v>
      </c>
      <c r="D7657" t="s">
        <v>291</v>
      </c>
      <c r="E7657" t="s">
        <v>420</v>
      </c>
      <c r="F7657">
        <f>HYPERLINK("https://www.wikidata.org/wiki/Q33323082", "Q33323082")</f>
        <v>0</v>
      </c>
      <c r="G7657" t="s">
        <v>3876</v>
      </c>
      <c r="H7657" t="s">
        <v>5844</v>
      </c>
      <c r="I7657" t="s">
        <v>11007</v>
      </c>
      <c r="J7657" t="s">
        <v>14434</v>
      </c>
      <c r="K7657" t="s">
        <v>18786</v>
      </c>
      <c r="L7657">
        <f>HYPERLINK("https://www2.assemblee-nationale.fr/sycomore/fiche/(num_dept)/267", "267")</f>
        <v>0</v>
      </c>
      <c r="N7657">
        <f>HYPERLINK("https://www.wikidata.org/wiki/Q15973403", "Q15973403")</f>
        <v>0</v>
      </c>
      <c r="O7657" t="s">
        <v>7411</v>
      </c>
      <c r="P7657" t="s">
        <v>20477</v>
      </c>
      <c r="Q7657" t="s">
        <v>18994</v>
      </c>
      <c r="R7657" t="s">
        <v>420</v>
      </c>
      <c r="S7657">
        <v>1481</v>
      </c>
    </row>
    <row r="7658" spans="1:19">
      <c r="A7658" t="s">
        <v>30</v>
      </c>
      <c r="B7658" t="s">
        <v>148</v>
      </c>
      <c r="C7658" t="s">
        <v>162</v>
      </c>
      <c r="D7658" t="s">
        <v>291</v>
      </c>
      <c r="E7658" t="s">
        <v>420</v>
      </c>
      <c r="F7658">
        <f>HYPERLINK("https://www.wikidata.org/wiki/Q33323082", "Q33323082")</f>
        <v>0</v>
      </c>
      <c r="G7658" t="s">
        <v>868</v>
      </c>
      <c r="H7658" t="s">
        <v>5624</v>
      </c>
      <c r="I7658" t="s">
        <v>6166</v>
      </c>
      <c r="J7658" t="s">
        <v>11614</v>
      </c>
      <c r="K7658" t="s">
        <v>16016</v>
      </c>
      <c r="L7658">
        <f>HYPERLINK("https://www2.assemblee-nationale.fr/sycomore/fiche/(num_dept)/317", "317")</f>
        <v>0</v>
      </c>
      <c r="N7658">
        <f>HYPERLINK("https://www.wikidata.org/wiki/Q15973432", "Q15973432")</f>
        <v>0</v>
      </c>
      <c r="O7658" t="s">
        <v>8449</v>
      </c>
      <c r="P7658" t="s">
        <v>20477</v>
      </c>
      <c r="Q7658" t="s">
        <v>18994</v>
      </c>
      <c r="R7658" t="s">
        <v>420</v>
      </c>
      <c r="S7658">
        <v>1481</v>
      </c>
    </row>
    <row r="7659" spans="1:19">
      <c r="A7659" t="s">
        <v>30</v>
      </c>
      <c r="B7659" t="s">
        <v>148</v>
      </c>
      <c r="C7659" t="s">
        <v>162</v>
      </c>
      <c r="D7659" t="s">
        <v>291</v>
      </c>
      <c r="E7659" t="s">
        <v>420</v>
      </c>
      <c r="F7659">
        <f>HYPERLINK("https://www.wikidata.org/wiki/Q33323082", "Q33323082")</f>
        <v>0</v>
      </c>
      <c r="G7659" t="s">
        <v>4092</v>
      </c>
      <c r="H7659" t="s">
        <v>8305</v>
      </c>
      <c r="I7659" t="s">
        <v>11106</v>
      </c>
      <c r="J7659" t="s">
        <v>14630</v>
      </c>
      <c r="K7659" t="s">
        <v>18966</v>
      </c>
      <c r="L7659">
        <f>HYPERLINK("https://www2.assemblee-nationale.fr/sycomore/fiche/(num_dept)/333", "333")</f>
        <v>0</v>
      </c>
      <c r="N7659">
        <f>HYPERLINK("https://www.wikidata.org/wiki/Q13080892", "Q13080892")</f>
        <v>0</v>
      </c>
      <c r="O7659" t="s">
        <v>19969</v>
      </c>
      <c r="P7659" t="s">
        <v>20485</v>
      </c>
      <c r="Q7659" t="s">
        <v>18994</v>
      </c>
      <c r="R7659" t="s">
        <v>18966</v>
      </c>
      <c r="S7659">
        <v>1314</v>
      </c>
    </row>
    <row r="7660" spans="1:19">
      <c r="A7660" t="s">
        <v>30</v>
      </c>
      <c r="B7660" t="s">
        <v>148</v>
      </c>
      <c r="C7660" t="s">
        <v>162</v>
      </c>
      <c r="D7660" t="s">
        <v>291</v>
      </c>
      <c r="E7660" t="s">
        <v>420</v>
      </c>
      <c r="F7660">
        <f>HYPERLINK("https://www.wikidata.org/wiki/Q33323082", "Q33323082")</f>
        <v>0</v>
      </c>
      <c r="G7660" t="s">
        <v>870</v>
      </c>
      <c r="H7660" t="s">
        <v>5626</v>
      </c>
      <c r="I7660" t="s">
        <v>9566</v>
      </c>
      <c r="J7660" t="s">
        <v>11616</v>
      </c>
      <c r="K7660" t="s">
        <v>16018</v>
      </c>
      <c r="L7660">
        <f>HYPERLINK("https://www2.assemblee-nationale.fr/sycomore/fiche/(num_dept)/351", "351")</f>
        <v>0</v>
      </c>
      <c r="N7660">
        <f>HYPERLINK("https://www.wikidata.org/wiki/Q2847193", "Q2847193")</f>
        <v>0</v>
      </c>
      <c r="O7660" t="s">
        <v>19987</v>
      </c>
      <c r="P7660" t="s">
        <v>20409</v>
      </c>
      <c r="Q7660" t="s">
        <v>18994</v>
      </c>
      <c r="R7660" t="s">
        <v>420</v>
      </c>
      <c r="S7660">
        <v>1481</v>
      </c>
    </row>
    <row r="7661" spans="1:19">
      <c r="A7661" t="s">
        <v>30</v>
      </c>
      <c r="B7661" t="s">
        <v>148</v>
      </c>
      <c r="C7661" t="s">
        <v>162</v>
      </c>
      <c r="D7661" t="s">
        <v>291</v>
      </c>
      <c r="E7661" t="s">
        <v>420</v>
      </c>
      <c r="F7661">
        <f>HYPERLINK("https://www.wikidata.org/wiki/Q33323082", "Q33323082")</f>
        <v>0</v>
      </c>
      <c r="G7661" t="s">
        <v>3877</v>
      </c>
      <c r="H7661" t="s">
        <v>6075</v>
      </c>
      <c r="I7661" t="s">
        <v>11008</v>
      </c>
      <c r="J7661" t="s">
        <v>14435</v>
      </c>
      <c r="K7661" t="s">
        <v>18787</v>
      </c>
      <c r="L7661">
        <f>HYPERLINK("https://www2.assemblee-nationale.fr/sycomore/fiche/(num_dept)/424", "424")</f>
        <v>0</v>
      </c>
      <c r="N7661">
        <f>HYPERLINK("https://www.wikidata.org/wiki/Q15465747", "Q15465747")</f>
        <v>0</v>
      </c>
      <c r="O7661" t="s">
        <v>19990</v>
      </c>
      <c r="P7661" t="s">
        <v>20409</v>
      </c>
      <c r="Q7661" t="s">
        <v>18994</v>
      </c>
      <c r="R7661" t="s">
        <v>420</v>
      </c>
      <c r="S7661">
        <v>1481</v>
      </c>
    </row>
    <row r="7662" spans="1:19">
      <c r="A7662" t="s">
        <v>30</v>
      </c>
      <c r="B7662" t="s">
        <v>148</v>
      </c>
      <c r="C7662" t="s">
        <v>162</v>
      </c>
      <c r="D7662" t="s">
        <v>291</v>
      </c>
      <c r="E7662" t="s">
        <v>420</v>
      </c>
      <c r="F7662">
        <f>HYPERLINK("https://www.wikidata.org/wiki/Q33323082", "Q33323082")</f>
        <v>0</v>
      </c>
      <c r="G7662" t="s">
        <v>518</v>
      </c>
      <c r="H7662" t="s">
        <v>5282</v>
      </c>
      <c r="I7662" t="s">
        <v>9386</v>
      </c>
      <c r="J7662" t="s">
        <v>11270</v>
      </c>
      <c r="K7662" t="s">
        <v>15670</v>
      </c>
      <c r="L7662">
        <f>HYPERLINK("https://www2.assemblee-nationale.fr/sycomore/fiche/(num_dept)/540", "540")</f>
        <v>0</v>
      </c>
      <c r="N7662">
        <f>HYPERLINK("https://www.wikidata.org/wiki/Q3370596", "Q3370596")</f>
        <v>0</v>
      </c>
      <c r="O7662" t="s">
        <v>19969</v>
      </c>
      <c r="P7662" t="s">
        <v>20479</v>
      </c>
      <c r="Q7662" t="s">
        <v>18994</v>
      </c>
      <c r="R7662" t="s">
        <v>420</v>
      </c>
      <c r="S7662">
        <v>1481</v>
      </c>
    </row>
    <row r="7663" spans="1:19">
      <c r="A7663" t="s">
        <v>30</v>
      </c>
      <c r="B7663" t="s">
        <v>148</v>
      </c>
      <c r="C7663" t="s">
        <v>162</v>
      </c>
      <c r="D7663" t="s">
        <v>291</v>
      </c>
      <c r="E7663" t="s">
        <v>420</v>
      </c>
      <c r="F7663">
        <f>HYPERLINK("https://www.wikidata.org/wiki/Q33323082", "Q33323082")</f>
        <v>0</v>
      </c>
      <c r="G7663" t="s">
        <v>4093</v>
      </c>
      <c r="H7663" t="s">
        <v>8306</v>
      </c>
      <c r="I7663" t="s">
        <v>9389</v>
      </c>
      <c r="J7663" t="s">
        <v>14631</v>
      </c>
      <c r="K7663" t="s">
        <v>18967</v>
      </c>
      <c r="L7663">
        <f>HYPERLINK("https://www2.assemblee-nationale.fr/sycomore/fiche/(num_dept)/569", "569")</f>
        <v>0</v>
      </c>
      <c r="N7663">
        <f>HYPERLINK("https://www.wikidata.org/wiki/Q16685207", "Q16685207")</f>
        <v>0</v>
      </c>
      <c r="O7663" t="s">
        <v>20000</v>
      </c>
      <c r="P7663" t="s">
        <v>20457</v>
      </c>
      <c r="Q7663" t="s">
        <v>18994</v>
      </c>
      <c r="R7663" t="s">
        <v>420</v>
      </c>
      <c r="S7663">
        <v>1481</v>
      </c>
    </row>
    <row r="7664" spans="1:19">
      <c r="A7664" t="s">
        <v>30</v>
      </c>
      <c r="B7664" t="s">
        <v>148</v>
      </c>
      <c r="C7664" t="s">
        <v>162</v>
      </c>
      <c r="D7664" t="s">
        <v>291</v>
      </c>
      <c r="E7664" t="s">
        <v>420</v>
      </c>
      <c r="F7664">
        <f>HYPERLINK("https://www.wikidata.org/wiki/Q33323082", "Q33323082")</f>
        <v>0</v>
      </c>
      <c r="G7664" t="s">
        <v>4094</v>
      </c>
      <c r="H7664" t="s">
        <v>8307</v>
      </c>
      <c r="I7664" t="s">
        <v>9457</v>
      </c>
      <c r="J7664" t="s">
        <v>14632</v>
      </c>
      <c r="K7664" t="s">
        <v>18968</v>
      </c>
      <c r="L7664">
        <f>HYPERLINK("https://www2.assemblee-nationale.fr/sycomore/fiche/(num_dept)/576", "576")</f>
        <v>0</v>
      </c>
      <c r="N7664">
        <f>HYPERLINK("https://www.wikidata.org/wiki/Q15973573", "Q15973573")</f>
        <v>0</v>
      </c>
      <c r="O7664" t="s">
        <v>19968</v>
      </c>
      <c r="P7664" t="s">
        <v>20512</v>
      </c>
      <c r="Q7664" t="s">
        <v>18994</v>
      </c>
      <c r="R7664" t="s">
        <v>420</v>
      </c>
      <c r="S7664">
        <v>1481</v>
      </c>
    </row>
    <row r="7665" spans="1:19">
      <c r="A7665" t="s">
        <v>30</v>
      </c>
      <c r="B7665" t="s">
        <v>148</v>
      </c>
      <c r="C7665" t="s">
        <v>162</v>
      </c>
      <c r="D7665" t="s">
        <v>291</v>
      </c>
      <c r="E7665" t="s">
        <v>420</v>
      </c>
      <c r="F7665">
        <f>HYPERLINK("https://www.wikidata.org/wiki/Q33323082", "Q33323082")</f>
        <v>0</v>
      </c>
      <c r="G7665" t="s">
        <v>4095</v>
      </c>
      <c r="H7665" t="s">
        <v>8308</v>
      </c>
      <c r="I7665" t="s">
        <v>11107</v>
      </c>
      <c r="J7665" t="s">
        <v>14633</v>
      </c>
      <c r="K7665" t="s">
        <v>18969</v>
      </c>
      <c r="L7665">
        <f>HYPERLINK("https://www2.assemblee-nationale.fr/sycomore/fiche/(num_dept)/591", "591")</f>
        <v>0</v>
      </c>
      <c r="N7665">
        <f>HYPERLINK("https://www.wikidata.org/wiki/Q8306708", "Q8306708")</f>
        <v>0</v>
      </c>
      <c r="O7665" t="s">
        <v>19975</v>
      </c>
      <c r="P7665" t="s">
        <v>20401</v>
      </c>
      <c r="Q7665" t="s">
        <v>18994</v>
      </c>
      <c r="R7665" t="s">
        <v>420</v>
      </c>
      <c r="S7665">
        <v>1481</v>
      </c>
    </row>
    <row r="7666" spans="1:19">
      <c r="A7666" t="s">
        <v>30</v>
      </c>
      <c r="B7666" t="s">
        <v>148</v>
      </c>
      <c r="C7666" t="s">
        <v>162</v>
      </c>
      <c r="D7666" t="s">
        <v>291</v>
      </c>
      <c r="E7666" t="s">
        <v>420</v>
      </c>
      <c r="F7666">
        <f>HYPERLINK("https://www.wikidata.org/wiki/Q33323082", "Q33323082")</f>
        <v>0</v>
      </c>
      <c r="G7666" t="s">
        <v>3954</v>
      </c>
      <c r="H7666" t="s">
        <v>8204</v>
      </c>
      <c r="I7666" t="s">
        <v>9474</v>
      </c>
      <c r="J7666" t="s">
        <v>14505</v>
      </c>
      <c r="K7666" t="s">
        <v>18302</v>
      </c>
      <c r="L7666">
        <f>HYPERLINK("https://www2.assemblee-nationale.fr/sycomore/fiche/(num_dept)/621", "621")</f>
        <v>0</v>
      </c>
      <c r="N7666">
        <f>HYPERLINK("https://www.wikidata.org/wiki/Q15973618", "Q15973618")</f>
        <v>0</v>
      </c>
      <c r="O7666" t="s">
        <v>7411</v>
      </c>
      <c r="P7666" t="s">
        <v>20446</v>
      </c>
      <c r="Q7666" t="s">
        <v>18994</v>
      </c>
      <c r="R7666" t="s">
        <v>420</v>
      </c>
      <c r="S7666">
        <v>1481</v>
      </c>
    </row>
    <row r="7667" spans="1:19">
      <c r="A7667" t="s">
        <v>30</v>
      </c>
      <c r="B7667" t="s">
        <v>148</v>
      </c>
      <c r="C7667" t="s">
        <v>162</v>
      </c>
      <c r="D7667" t="s">
        <v>291</v>
      </c>
      <c r="E7667" t="s">
        <v>420</v>
      </c>
      <c r="F7667">
        <f>HYPERLINK("https://www.wikidata.org/wiki/Q33323082", "Q33323082")</f>
        <v>0</v>
      </c>
      <c r="G7667" t="s">
        <v>3893</v>
      </c>
      <c r="H7667" t="s">
        <v>8129</v>
      </c>
      <c r="I7667" t="s">
        <v>5528</v>
      </c>
      <c r="J7667" t="s">
        <v>11853</v>
      </c>
      <c r="K7667" t="s">
        <v>18801</v>
      </c>
      <c r="L7667">
        <f>HYPERLINK("https://www2.assemblee-nationale.fr/sycomore/fiche/(num_dept)/725", "725")</f>
        <v>0</v>
      </c>
      <c r="N7667">
        <f>HYPERLINK("https://www.wikidata.org/wiki/Q3270733", "Q3270733")</f>
        <v>0</v>
      </c>
      <c r="O7667" t="s">
        <v>20018</v>
      </c>
      <c r="P7667" t="s">
        <v>20457</v>
      </c>
      <c r="Q7667" t="s">
        <v>18994</v>
      </c>
      <c r="R7667" t="s">
        <v>420</v>
      </c>
      <c r="S7667">
        <v>1481</v>
      </c>
    </row>
    <row r="7668" spans="1:19">
      <c r="A7668" t="s">
        <v>30</v>
      </c>
      <c r="B7668" t="s">
        <v>148</v>
      </c>
      <c r="C7668" t="s">
        <v>162</v>
      </c>
      <c r="D7668" t="s">
        <v>291</v>
      </c>
      <c r="E7668" t="s">
        <v>420</v>
      </c>
      <c r="F7668">
        <f>HYPERLINK("https://www.wikidata.org/wiki/Q33323082", "Q33323082")</f>
        <v>0</v>
      </c>
      <c r="G7668" t="s">
        <v>4096</v>
      </c>
      <c r="H7668" t="s">
        <v>8309</v>
      </c>
      <c r="I7668" t="s">
        <v>11108</v>
      </c>
      <c r="J7668" t="s">
        <v>14634</v>
      </c>
      <c r="K7668" t="s">
        <v>18970</v>
      </c>
      <c r="L7668">
        <f>HYPERLINK("https://www2.assemblee-nationale.fr/sycomore/fiche/(num_dept)/738", "738")</f>
        <v>0</v>
      </c>
      <c r="M7668">
        <f>HYPERLINK("https://www.senat.fr/senateur-3eme-republique/berthoulat_georges1656r3.html", "berthoulat_georges1656r3")</f>
        <v>0</v>
      </c>
      <c r="N7668">
        <f>HYPERLINK("https://www.wikidata.org/wiki/Q3102285", "Q3102285")</f>
        <v>0</v>
      </c>
      <c r="O7668" t="s">
        <v>19976</v>
      </c>
      <c r="Q7668" t="s">
        <v>18994</v>
      </c>
      <c r="R7668" t="s">
        <v>420</v>
      </c>
      <c r="S7668">
        <v>1481</v>
      </c>
    </row>
    <row r="7669" spans="1:19">
      <c r="A7669" t="s">
        <v>30</v>
      </c>
      <c r="B7669" t="s">
        <v>148</v>
      </c>
      <c r="C7669" t="s">
        <v>162</v>
      </c>
      <c r="D7669" t="s">
        <v>291</v>
      </c>
      <c r="E7669" t="s">
        <v>420</v>
      </c>
      <c r="F7669">
        <f>HYPERLINK("https://www.wikidata.org/wiki/Q33323082", "Q33323082")</f>
        <v>0</v>
      </c>
      <c r="G7669" t="s">
        <v>874</v>
      </c>
      <c r="H7669" t="s">
        <v>5630</v>
      </c>
      <c r="I7669" t="s">
        <v>9569</v>
      </c>
      <c r="J7669" t="s">
        <v>11620</v>
      </c>
      <c r="K7669" t="s">
        <v>16022</v>
      </c>
      <c r="L7669">
        <f>HYPERLINK("https://www2.assemblee-nationale.fr/sycomore/fiche/(num_dept)/746", "746")</f>
        <v>0</v>
      </c>
      <c r="N7669">
        <f>HYPERLINK("https://www.wikidata.org/wiki/Q15973707", "Q15973707")</f>
        <v>0</v>
      </c>
      <c r="O7669" t="s">
        <v>20044</v>
      </c>
      <c r="P7669" t="s">
        <v>20477</v>
      </c>
      <c r="Q7669" t="s">
        <v>18994</v>
      </c>
      <c r="R7669" t="s">
        <v>420</v>
      </c>
      <c r="S7669">
        <v>1481</v>
      </c>
    </row>
    <row r="7670" spans="1:19">
      <c r="A7670" t="s">
        <v>30</v>
      </c>
      <c r="B7670" t="s">
        <v>148</v>
      </c>
      <c r="C7670" t="s">
        <v>162</v>
      </c>
      <c r="D7670" t="s">
        <v>291</v>
      </c>
      <c r="E7670" t="s">
        <v>420</v>
      </c>
      <c r="F7670">
        <f>HYPERLINK("https://www.wikidata.org/wiki/Q33323082", "Q33323082")</f>
        <v>0</v>
      </c>
      <c r="G7670" t="s">
        <v>4097</v>
      </c>
      <c r="H7670" t="s">
        <v>8310</v>
      </c>
      <c r="I7670" t="s">
        <v>6860</v>
      </c>
      <c r="J7670" t="s">
        <v>14635</v>
      </c>
      <c r="K7670" t="s">
        <v>18971</v>
      </c>
      <c r="L7670">
        <f>HYPERLINK("https://www2.assemblee-nationale.fr/sycomore/fiche/(num_dept)/786", "786")</f>
        <v>0</v>
      </c>
      <c r="N7670">
        <f>HYPERLINK("https://www.wikidata.org/wiki/Q2871060", "Q2871060")</f>
        <v>0</v>
      </c>
      <c r="O7670" t="s">
        <v>19980</v>
      </c>
      <c r="Q7670" t="s">
        <v>18994</v>
      </c>
      <c r="R7670" t="s">
        <v>420</v>
      </c>
      <c r="S7670">
        <v>1481</v>
      </c>
    </row>
    <row r="7671" spans="1:19">
      <c r="A7671" t="s">
        <v>30</v>
      </c>
      <c r="B7671" t="s">
        <v>148</v>
      </c>
      <c r="C7671" t="s">
        <v>162</v>
      </c>
      <c r="D7671" t="s">
        <v>291</v>
      </c>
      <c r="E7671" t="s">
        <v>420</v>
      </c>
      <c r="F7671">
        <f>HYPERLINK("https://www.wikidata.org/wiki/Q33323082", "Q33323082")</f>
        <v>0</v>
      </c>
      <c r="G7671" t="s">
        <v>3872</v>
      </c>
      <c r="H7671" t="s">
        <v>8140</v>
      </c>
      <c r="I7671" t="s">
        <v>6200</v>
      </c>
      <c r="J7671" t="s">
        <v>14431</v>
      </c>
      <c r="K7671" t="s">
        <v>18783</v>
      </c>
      <c r="L7671">
        <f>HYPERLINK("https://www2.assemblee-nationale.fr/sycomore/fiche/(num_dept)/790", "790")</f>
        <v>0</v>
      </c>
      <c r="M7671">
        <f>HYPERLINK("https://www.senat.fr/senateur-3eme-republique/bienvenu_martin_jean_baptiste1840r3.html", "bienvenu_martin_jean_baptiste1840r3")</f>
        <v>0</v>
      </c>
      <c r="N7671">
        <f>HYPERLINK("https://www.wikidata.org/wiki/Q325552", "Q325552")</f>
        <v>0</v>
      </c>
      <c r="O7671" t="s">
        <v>20034</v>
      </c>
      <c r="P7671" t="s">
        <v>20471</v>
      </c>
      <c r="Q7671" t="s">
        <v>18994</v>
      </c>
      <c r="R7671" t="s">
        <v>21621</v>
      </c>
      <c r="S7671">
        <v>1149</v>
      </c>
    </row>
    <row r="7672" spans="1:19">
      <c r="A7672" t="s">
        <v>30</v>
      </c>
      <c r="B7672" t="s">
        <v>148</v>
      </c>
      <c r="C7672" t="s">
        <v>162</v>
      </c>
      <c r="D7672" t="s">
        <v>291</v>
      </c>
      <c r="E7672" t="s">
        <v>420</v>
      </c>
      <c r="F7672">
        <f>HYPERLINK("https://www.wikidata.org/wiki/Q33323082", "Q33323082")</f>
        <v>0</v>
      </c>
      <c r="G7672" t="s">
        <v>4098</v>
      </c>
      <c r="H7672" t="s">
        <v>8311</v>
      </c>
      <c r="I7672" t="s">
        <v>11109</v>
      </c>
      <c r="J7672" t="s">
        <v>14636</v>
      </c>
      <c r="K7672" t="s">
        <v>17315</v>
      </c>
      <c r="L7672">
        <f>HYPERLINK("https://www2.assemblee-nationale.fr/sycomore/fiche/(num_dept)/911", "911")</f>
        <v>0</v>
      </c>
      <c r="N7672">
        <f>HYPERLINK("https://www.wikidata.org/wiki/Q3122291", "Q3122291")</f>
        <v>0</v>
      </c>
      <c r="O7672" t="s">
        <v>19961</v>
      </c>
      <c r="P7672" t="s">
        <v>20410</v>
      </c>
      <c r="Q7672" t="s">
        <v>18994</v>
      </c>
      <c r="R7672" t="s">
        <v>420</v>
      </c>
      <c r="S7672">
        <v>1481</v>
      </c>
    </row>
    <row r="7673" spans="1:19">
      <c r="A7673" t="s">
        <v>30</v>
      </c>
      <c r="B7673" t="s">
        <v>148</v>
      </c>
      <c r="C7673" t="s">
        <v>162</v>
      </c>
      <c r="D7673" t="s">
        <v>291</v>
      </c>
      <c r="E7673" t="s">
        <v>420</v>
      </c>
      <c r="F7673">
        <f>HYPERLINK("https://www.wikidata.org/wiki/Q33323082", "Q33323082")</f>
        <v>0</v>
      </c>
      <c r="G7673" t="s">
        <v>3958</v>
      </c>
      <c r="H7673" t="s">
        <v>8208</v>
      </c>
      <c r="I7673" t="s">
        <v>11043</v>
      </c>
      <c r="J7673" t="s">
        <v>14509</v>
      </c>
      <c r="K7673" t="s">
        <v>18854</v>
      </c>
      <c r="L7673">
        <f>HYPERLINK("https://www2.assemblee-nationale.fr/sycomore/fiche/(num_dept)/989", "989")</f>
        <v>0</v>
      </c>
      <c r="N7673">
        <f>HYPERLINK("https://www.wikidata.org/wiki/Q13080825", "Q13080825")</f>
        <v>0</v>
      </c>
      <c r="O7673" t="s">
        <v>19969</v>
      </c>
      <c r="P7673" t="s">
        <v>20477</v>
      </c>
      <c r="Q7673" t="s">
        <v>18994</v>
      </c>
      <c r="R7673" t="s">
        <v>420</v>
      </c>
      <c r="S7673">
        <v>1481</v>
      </c>
    </row>
    <row r="7674" spans="1:19">
      <c r="A7674" t="s">
        <v>30</v>
      </c>
      <c r="B7674" t="s">
        <v>148</v>
      </c>
      <c r="C7674" t="s">
        <v>162</v>
      </c>
      <c r="D7674" t="s">
        <v>291</v>
      </c>
      <c r="E7674" t="s">
        <v>420</v>
      </c>
      <c r="F7674">
        <f>HYPERLINK("https://www.wikidata.org/wiki/Q33323082", "Q33323082")</f>
        <v>0</v>
      </c>
      <c r="G7674" t="s">
        <v>4099</v>
      </c>
      <c r="H7674" t="s">
        <v>8312</v>
      </c>
      <c r="I7674" t="s">
        <v>9987</v>
      </c>
      <c r="J7674" t="s">
        <v>14637</v>
      </c>
      <c r="K7674" t="s">
        <v>18972</v>
      </c>
      <c r="L7674">
        <f>HYPERLINK("https://www2.assemblee-nationale.fr/sycomore/fiche/(num_dept)/1032", "1032")</f>
        <v>0</v>
      </c>
      <c r="N7674">
        <f>HYPERLINK("https://www.wikidata.org/wiki/Q2871084", "Q2871084")</f>
        <v>0</v>
      </c>
      <c r="O7674" t="s">
        <v>19989</v>
      </c>
      <c r="Q7674" t="s">
        <v>18994</v>
      </c>
      <c r="R7674" t="s">
        <v>18219</v>
      </c>
      <c r="S7674">
        <v>50</v>
      </c>
    </row>
    <row r="7675" spans="1:19">
      <c r="A7675" t="s">
        <v>30</v>
      </c>
      <c r="B7675" t="s">
        <v>148</v>
      </c>
      <c r="C7675" t="s">
        <v>162</v>
      </c>
      <c r="D7675" t="s">
        <v>291</v>
      </c>
      <c r="E7675" t="s">
        <v>420</v>
      </c>
      <c r="F7675">
        <f>HYPERLINK("https://www.wikidata.org/wiki/Q33323082", "Q33323082")</f>
        <v>0</v>
      </c>
      <c r="G7675" t="s">
        <v>883</v>
      </c>
      <c r="H7675" t="s">
        <v>5639</v>
      </c>
      <c r="I7675" t="s">
        <v>9474</v>
      </c>
      <c r="J7675" t="s">
        <v>11629</v>
      </c>
      <c r="K7675" t="s">
        <v>16029</v>
      </c>
      <c r="L7675">
        <f>HYPERLINK("https://www2.assemblee-nationale.fr/sycomore/fiche/(num_dept)/1038", "1038")</f>
        <v>0</v>
      </c>
      <c r="N7675">
        <f>HYPERLINK("https://www.wikidata.org/wiki/Q15973879", "Q15973879")</f>
        <v>0</v>
      </c>
      <c r="O7675" t="s">
        <v>20002</v>
      </c>
      <c r="P7675" t="s">
        <v>20485</v>
      </c>
      <c r="Q7675" t="s">
        <v>18994</v>
      </c>
      <c r="R7675" t="s">
        <v>420</v>
      </c>
      <c r="S7675">
        <v>1481</v>
      </c>
    </row>
    <row r="7676" spans="1:19">
      <c r="A7676" t="s">
        <v>30</v>
      </c>
      <c r="B7676" t="s">
        <v>148</v>
      </c>
      <c r="C7676" t="s">
        <v>162</v>
      </c>
      <c r="D7676" t="s">
        <v>291</v>
      </c>
      <c r="E7676" t="s">
        <v>420</v>
      </c>
      <c r="F7676">
        <f>HYPERLINK("https://www.wikidata.org/wiki/Q33323082", "Q33323082")</f>
        <v>0</v>
      </c>
      <c r="G7676" t="s">
        <v>3412</v>
      </c>
      <c r="H7676" t="s">
        <v>7798</v>
      </c>
      <c r="I7676" t="s">
        <v>10817</v>
      </c>
      <c r="J7676" t="s">
        <v>14018</v>
      </c>
      <c r="K7676" t="s">
        <v>18386</v>
      </c>
      <c r="L7676">
        <f>HYPERLINK("https://www2.assemblee-nationale.fr/sycomore/fiche/(num_dept)/1100", "1100")</f>
        <v>0</v>
      </c>
      <c r="N7676">
        <f>HYPERLINK("https://www.wikidata.org/wiki/Q2958604", "Q2958604")</f>
        <v>0</v>
      </c>
      <c r="O7676" t="s">
        <v>20022</v>
      </c>
      <c r="P7676" t="s">
        <v>20479</v>
      </c>
      <c r="Q7676" t="s">
        <v>18994</v>
      </c>
      <c r="R7676" t="s">
        <v>420</v>
      </c>
      <c r="S7676">
        <v>1481</v>
      </c>
    </row>
    <row r="7677" spans="1:19">
      <c r="A7677" t="s">
        <v>30</v>
      </c>
      <c r="B7677" t="s">
        <v>148</v>
      </c>
      <c r="C7677" t="s">
        <v>162</v>
      </c>
      <c r="D7677" t="s">
        <v>291</v>
      </c>
      <c r="E7677" t="s">
        <v>420</v>
      </c>
      <c r="F7677">
        <f>HYPERLINK("https://www.wikidata.org/wiki/Q33323082", "Q33323082")</f>
        <v>0</v>
      </c>
      <c r="G7677" t="s">
        <v>3538</v>
      </c>
      <c r="H7677" t="s">
        <v>7899</v>
      </c>
      <c r="I7677" t="s">
        <v>10871</v>
      </c>
      <c r="J7677" t="s">
        <v>14130</v>
      </c>
      <c r="K7677" t="s">
        <v>18496</v>
      </c>
      <c r="L7677">
        <f>HYPERLINK("https://www2.assemblee-nationale.fr/sycomore/fiche/(num_dept)/1182", "1182")</f>
        <v>0</v>
      </c>
      <c r="N7677">
        <f>HYPERLINK("https://www.wikidata.org/wiki/Q15973911", "Q15973911")</f>
        <v>0</v>
      </c>
      <c r="O7677" t="s">
        <v>20037</v>
      </c>
      <c r="P7677" t="s">
        <v>20401</v>
      </c>
      <c r="Q7677" t="s">
        <v>18994</v>
      </c>
      <c r="R7677" t="s">
        <v>420</v>
      </c>
      <c r="S7677">
        <v>1481</v>
      </c>
    </row>
    <row r="7678" spans="1:19">
      <c r="A7678" t="s">
        <v>30</v>
      </c>
      <c r="B7678" t="s">
        <v>148</v>
      </c>
      <c r="C7678" t="s">
        <v>162</v>
      </c>
      <c r="D7678" t="s">
        <v>291</v>
      </c>
      <c r="E7678" t="s">
        <v>420</v>
      </c>
      <c r="F7678">
        <f>HYPERLINK("https://www.wikidata.org/wiki/Q33323082", "Q33323082")</f>
        <v>0</v>
      </c>
      <c r="G7678" t="s">
        <v>892</v>
      </c>
      <c r="H7678" t="s">
        <v>5648</v>
      </c>
      <c r="I7678" t="s">
        <v>9457</v>
      </c>
      <c r="J7678" t="s">
        <v>11638</v>
      </c>
      <c r="K7678" t="s">
        <v>16038</v>
      </c>
      <c r="L7678">
        <f>HYPERLINK("https://www2.assemblee-nationale.fr/sycomore/fiche/(num_dept)/1240", "1240")</f>
        <v>0</v>
      </c>
      <c r="N7678">
        <f>HYPERLINK("https://www.wikidata.org/wiki/Q669725", "Q669725")</f>
        <v>0</v>
      </c>
      <c r="O7678" t="s">
        <v>19990</v>
      </c>
      <c r="P7678" t="s">
        <v>20401</v>
      </c>
      <c r="Q7678" t="s">
        <v>18994</v>
      </c>
      <c r="R7678" t="s">
        <v>420</v>
      </c>
      <c r="S7678">
        <v>1481</v>
      </c>
    </row>
    <row r="7679" spans="1:19">
      <c r="A7679" t="s">
        <v>30</v>
      </c>
      <c r="B7679" t="s">
        <v>148</v>
      </c>
      <c r="C7679" t="s">
        <v>162</v>
      </c>
      <c r="D7679" t="s">
        <v>291</v>
      </c>
      <c r="E7679" t="s">
        <v>420</v>
      </c>
      <c r="F7679">
        <f>HYPERLINK("https://www.wikidata.org/wiki/Q33323082", "Q33323082")</f>
        <v>0</v>
      </c>
      <c r="G7679" t="s">
        <v>4100</v>
      </c>
      <c r="H7679" t="s">
        <v>5648</v>
      </c>
      <c r="I7679" t="s">
        <v>11110</v>
      </c>
      <c r="J7679" t="s">
        <v>14638</v>
      </c>
      <c r="K7679" t="s">
        <v>18973</v>
      </c>
      <c r="L7679">
        <f>HYPERLINK("https://www2.assemblee-nationale.fr/sycomore/fiche/(num_dept)/1241", "1241")</f>
        <v>0</v>
      </c>
      <c r="N7679">
        <f>HYPERLINK("https://www.wikidata.org/wiki/Q15973978", "Q15973978")</f>
        <v>0</v>
      </c>
      <c r="O7679" t="s">
        <v>19987</v>
      </c>
      <c r="P7679" t="s">
        <v>20409</v>
      </c>
      <c r="Q7679" t="s">
        <v>18994</v>
      </c>
      <c r="R7679" t="s">
        <v>420</v>
      </c>
      <c r="S7679">
        <v>1481</v>
      </c>
    </row>
    <row r="7680" spans="1:19">
      <c r="A7680" t="s">
        <v>30</v>
      </c>
      <c r="B7680" t="s">
        <v>148</v>
      </c>
      <c r="C7680" t="s">
        <v>162</v>
      </c>
      <c r="D7680" t="s">
        <v>291</v>
      </c>
      <c r="E7680" t="s">
        <v>420</v>
      </c>
      <c r="F7680">
        <f>HYPERLINK("https://www.wikidata.org/wiki/Q33323082", "Q33323082")</f>
        <v>0</v>
      </c>
      <c r="G7680" t="s">
        <v>4101</v>
      </c>
      <c r="H7680" t="s">
        <v>8313</v>
      </c>
      <c r="I7680" t="s">
        <v>9449</v>
      </c>
      <c r="J7680" t="s">
        <v>14639</v>
      </c>
      <c r="K7680" t="s">
        <v>18974</v>
      </c>
      <c r="L7680">
        <f>HYPERLINK("https://www2.assemblee-nationale.fr/sycomore/fiche/(num_dept)/1278", "1278")</f>
        <v>0</v>
      </c>
      <c r="N7680">
        <f>HYPERLINK("https://www.wikidata.org/wiki/Q13640063", "Q13640063")</f>
        <v>0</v>
      </c>
      <c r="O7680" t="s">
        <v>19965</v>
      </c>
      <c r="P7680" t="s">
        <v>20477</v>
      </c>
      <c r="Q7680" t="s">
        <v>18994</v>
      </c>
      <c r="R7680" t="s">
        <v>420</v>
      </c>
      <c r="S7680">
        <v>1481</v>
      </c>
    </row>
    <row r="7681" spans="1:19">
      <c r="A7681" t="s">
        <v>30</v>
      </c>
      <c r="B7681" t="s">
        <v>148</v>
      </c>
      <c r="C7681" t="s">
        <v>162</v>
      </c>
      <c r="D7681" t="s">
        <v>291</v>
      </c>
      <c r="E7681" t="s">
        <v>420</v>
      </c>
      <c r="F7681">
        <f>HYPERLINK("https://www.wikidata.org/wiki/Q33323082", "Q33323082")</f>
        <v>0</v>
      </c>
      <c r="G7681" t="s">
        <v>895</v>
      </c>
      <c r="H7681" t="s">
        <v>5651</v>
      </c>
      <c r="I7681" t="s">
        <v>9580</v>
      </c>
      <c r="J7681" t="s">
        <v>11641</v>
      </c>
      <c r="K7681" t="s">
        <v>16040</v>
      </c>
      <c r="L7681">
        <f>HYPERLINK("https://www2.assemblee-nationale.fr/sycomore/fiche/(num_dept)/1306", "1306")</f>
        <v>0</v>
      </c>
      <c r="N7681">
        <f>HYPERLINK("https://www.wikidata.org/wiki/Q273607", "Q273607")</f>
        <v>0</v>
      </c>
      <c r="O7681" t="s">
        <v>19969</v>
      </c>
      <c r="P7681" t="s">
        <v>20477</v>
      </c>
      <c r="Q7681" t="s">
        <v>18994</v>
      </c>
      <c r="R7681" t="s">
        <v>420</v>
      </c>
      <c r="S7681">
        <v>1481</v>
      </c>
    </row>
    <row r="7682" spans="1:19">
      <c r="A7682" t="s">
        <v>30</v>
      </c>
      <c r="B7682" t="s">
        <v>148</v>
      </c>
      <c r="C7682" t="s">
        <v>162</v>
      </c>
      <c r="D7682" t="s">
        <v>291</v>
      </c>
      <c r="E7682" t="s">
        <v>420</v>
      </c>
      <c r="F7682">
        <f>HYPERLINK("https://www.wikidata.org/wiki/Q33323082", "Q33323082")</f>
        <v>0</v>
      </c>
      <c r="G7682" t="s">
        <v>2024</v>
      </c>
      <c r="H7682" t="s">
        <v>6656</v>
      </c>
      <c r="I7682" t="s">
        <v>10053</v>
      </c>
      <c r="J7682" t="s">
        <v>12699</v>
      </c>
      <c r="K7682" t="s">
        <v>17111</v>
      </c>
      <c r="L7682">
        <f>HYPERLINK("https://www2.assemblee-nationale.fr/sycomore/fiche/(num_dept)/1333", "1333")</f>
        <v>0</v>
      </c>
      <c r="N7682">
        <f>HYPERLINK("https://www.wikidata.org/wiki/Q3261382", "Q3261382")</f>
        <v>0</v>
      </c>
      <c r="O7682" t="s">
        <v>20006</v>
      </c>
      <c r="P7682" t="s">
        <v>20477</v>
      </c>
      <c r="Q7682" t="s">
        <v>18994</v>
      </c>
      <c r="R7682" t="s">
        <v>420</v>
      </c>
      <c r="S7682">
        <v>1481</v>
      </c>
    </row>
    <row r="7683" spans="1:19">
      <c r="A7683" t="s">
        <v>30</v>
      </c>
      <c r="B7683" t="s">
        <v>148</v>
      </c>
      <c r="C7683" t="s">
        <v>162</v>
      </c>
      <c r="D7683" t="s">
        <v>291</v>
      </c>
      <c r="E7683" t="s">
        <v>420</v>
      </c>
      <c r="F7683">
        <f>HYPERLINK("https://www.wikidata.org/wiki/Q33323082", "Q33323082")</f>
        <v>0</v>
      </c>
      <c r="G7683" t="s">
        <v>4102</v>
      </c>
      <c r="H7683" t="s">
        <v>8314</v>
      </c>
      <c r="I7683" t="s">
        <v>11111</v>
      </c>
      <c r="J7683" t="s">
        <v>14640</v>
      </c>
      <c r="K7683" t="s">
        <v>18975</v>
      </c>
      <c r="L7683">
        <f>HYPERLINK("https://www2.assemblee-nationale.fr/sycomore/fiche/(num_dept)/1343", "1343")</f>
        <v>0</v>
      </c>
      <c r="M7683">
        <f>HYPERLINK("https://www.senat.fr/senateur-3eme-republique/cachet_louis0907r3.html", "cachet_louis0907r3")</f>
        <v>0</v>
      </c>
      <c r="N7683">
        <f>HYPERLINK("https://www.wikidata.org/wiki/Q3261399", "Q3261399")</f>
        <v>0</v>
      </c>
      <c r="O7683" t="s">
        <v>19957</v>
      </c>
      <c r="P7683" t="s">
        <v>20495</v>
      </c>
      <c r="Q7683" t="s">
        <v>18994</v>
      </c>
      <c r="R7683" t="s">
        <v>420</v>
      </c>
      <c r="S7683">
        <v>1481</v>
      </c>
    </row>
    <row r="7684" spans="1:19">
      <c r="A7684" t="s">
        <v>30</v>
      </c>
      <c r="B7684" t="s">
        <v>148</v>
      </c>
      <c r="C7684" t="s">
        <v>162</v>
      </c>
      <c r="D7684" t="s">
        <v>291</v>
      </c>
      <c r="E7684" t="s">
        <v>420</v>
      </c>
      <c r="F7684">
        <f>HYPERLINK("https://www.wikidata.org/wiki/Q33323082", "Q33323082")</f>
        <v>0</v>
      </c>
      <c r="G7684" t="s">
        <v>561</v>
      </c>
      <c r="H7684" t="s">
        <v>5324</v>
      </c>
      <c r="I7684" t="s">
        <v>9416</v>
      </c>
      <c r="J7684" t="s">
        <v>11312</v>
      </c>
      <c r="K7684" t="s">
        <v>15713</v>
      </c>
      <c r="L7684">
        <f>HYPERLINK("https://www2.assemblee-nationale.fr/sycomore/fiche/(num_dept)/1408", "1408")</f>
        <v>0</v>
      </c>
      <c r="N7684">
        <f>HYPERLINK("https://www.wikidata.org/wiki/Q15974169", "Q15974169")</f>
        <v>0</v>
      </c>
      <c r="O7684" t="s">
        <v>20002</v>
      </c>
      <c r="P7684" t="s">
        <v>20409</v>
      </c>
      <c r="Q7684" t="s">
        <v>18994</v>
      </c>
      <c r="R7684" t="s">
        <v>420</v>
      </c>
      <c r="S7684">
        <v>1481</v>
      </c>
    </row>
    <row r="7685" spans="1:19">
      <c r="A7685" t="s">
        <v>30</v>
      </c>
      <c r="B7685" t="s">
        <v>148</v>
      </c>
      <c r="C7685" t="s">
        <v>162</v>
      </c>
      <c r="D7685" t="s">
        <v>291</v>
      </c>
      <c r="E7685" t="s">
        <v>420</v>
      </c>
      <c r="F7685">
        <f>HYPERLINK("https://www.wikidata.org/wiki/Q33323082", "Q33323082")</f>
        <v>0</v>
      </c>
      <c r="G7685" t="s">
        <v>4103</v>
      </c>
      <c r="H7685" t="s">
        <v>8315</v>
      </c>
      <c r="I7685" t="s">
        <v>9385</v>
      </c>
      <c r="J7685" t="s">
        <v>14641</v>
      </c>
      <c r="K7685" t="s">
        <v>18976</v>
      </c>
      <c r="L7685">
        <f>HYPERLINK("https://www2.assemblee-nationale.fr/sycomore/fiche/(num_dept)/1423", "1423")</f>
        <v>0</v>
      </c>
      <c r="M7685">
        <f>HYPERLINK("https://www.senat.fr/senateur-3eme-republique/caperan_charles1716r3.html", "caperan_charles1716r3")</f>
        <v>0</v>
      </c>
      <c r="N7685">
        <f>HYPERLINK("https://www.wikidata.org/wiki/Q2958671", "Q2958671")</f>
        <v>0</v>
      </c>
      <c r="O7685" t="s">
        <v>20045</v>
      </c>
      <c r="P7685" t="s">
        <v>20401</v>
      </c>
      <c r="Q7685" t="s">
        <v>18994</v>
      </c>
      <c r="R7685" t="s">
        <v>420</v>
      </c>
      <c r="S7685">
        <v>1481</v>
      </c>
    </row>
    <row r="7686" spans="1:19">
      <c r="A7686" t="s">
        <v>30</v>
      </c>
      <c r="B7686" t="s">
        <v>148</v>
      </c>
      <c r="C7686" t="s">
        <v>162</v>
      </c>
      <c r="D7686" t="s">
        <v>291</v>
      </c>
      <c r="E7686" t="s">
        <v>420</v>
      </c>
      <c r="F7686">
        <f>HYPERLINK("https://www.wikidata.org/wiki/Q33323082", "Q33323082")</f>
        <v>0</v>
      </c>
      <c r="G7686" t="s">
        <v>4104</v>
      </c>
      <c r="H7686" t="s">
        <v>8316</v>
      </c>
      <c r="I7686" t="s">
        <v>11112</v>
      </c>
      <c r="J7686" t="s">
        <v>14642</v>
      </c>
      <c r="L7686">
        <f>HYPERLINK("https://www2.assemblee-nationale.fr/sycomore/fiche/(num_dept)/1438", "1438")</f>
        <v>0</v>
      </c>
      <c r="N7686">
        <f>HYPERLINK("https://www.wikidata.org/wiki/Q15974130", "Q15974130")</f>
        <v>0</v>
      </c>
      <c r="O7686" t="s">
        <v>19969</v>
      </c>
      <c r="P7686" t="s">
        <v>20485</v>
      </c>
      <c r="Q7686" t="s">
        <v>18994</v>
      </c>
      <c r="R7686" t="s">
        <v>420</v>
      </c>
      <c r="S7686">
        <v>1481</v>
      </c>
    </row>
    <row r="7687" spans="1:19">
      <c r="A7687" t="s">
        <v>30</v>
      </c>
      <c r="B7687" t="s">
        <v>148</v>
      </c>
      <c r="C7687" t="s">
        <v>162</v>
      </c>
      <c r="D7687" t="s">
        <v>291</v>
      </c>
      <c r="E7687" t="s">
        <v>420</v>
      </c>
      <c r="F7687">
        <f>HYPERLINK("https://www.wikidata.org/wiki/Q33323082", "Q33323082")</f>
        <v>0</v>
      </c>
      <c r="G7687" t="s">
        <v>4036</v>
      </c>
      <c r="H7687" t="s">
        <v>8266</v>
      </c>
      <c r="I7687" t="s">
        <v>7790</v>
      </c>
      <c r="J7687" t="s">
        <v>14577</v>
      </c>
      <c r="K7687" t="s">
        <v>18919</v>
      </c>
      <c r="L7687">
        <f>HYPERLINK("https://www2.assemblee-nationale.fr/sycomore/fiche/(num_dept)/1440", "1440")</f>
        <v>0</v>
      </c>
      <c r="N7687">
        <f>HYPERLINK("https://www.wikidata.org/wiki/Q15974134", "Q15974134")</f>
        <v>0</v>
      </c>
      <c r="O7687" t="s">
        <v>20013</v>
      </c>
      <c r="P7687" t="s">
        <v>20409</v>
      </c>
      <c r="Q7687" t="s">
        <v>18994</v>
      </c>
      <c r="R7687" t="s">
        <v>420</v>
      </c>
      <c r="S7687">
        <v>1481</v>
      </c>
    </row>
    <row r="7688" spans="1:19">
      <c r="A7688" t="s">
        <v>30</v>
      </c>
      <c r="B7688" t="s">
        <v>148</v>
      </c>
      <c r="C7688" t="s">
        <v>162</v>
      </c>
      <c r="D7688" t="s">
        <v>291</v>
      </c>
      <c r="E7688" t="s">
        <v>420</v>
      </c>
      <c r="F7688">
        <f>HYPERLINK("https://www.wikidata.org/wiki/Q33323082", "Q33323082")</f>
        <v>0</v>
      </c>
      <c r="G7688" t="s">
        <v>3823</v>
      </c>
      <c r="H7688" t="s">
        <v>8105</v>
      </c>
      <c r="I7688" t="s">
        <v>10990</v>
      </c>
      <c r="J7688" t="s">
        <v>14389</v>
      </c>
      <c r="K7688" t="s">
        <v>18741</v>
      </c>
      <c r="L7688">
        <f>HYPERLINK("https://www2.assemblee-nationale.fr/sycomore/fiche/(num_dept)/1448", "1448")</f>
        <v>0</v>
      </c>
      <c r="N7688">
        <f>HYPERLINK("https://www.wikidata.org/wiki/Q15974162", "Q15974162")</f>
        <v>0</v>
      </c>
      <c r="O7688" t="s">
        <v>19990</v>
      </c>
      <c r="P7688" t="s">
        <v>20485</v>
      </c>
      <c r="Q7688" t="s">
        <v>18994</v>
      </c>
      <c r="R7688" t="s">
        <v>420</v>
      </c>
      <c r="S7688">
        <v>1481</v>
      </c>
    </row>
    <row r="7689" spans="1:19">
      <c r="A7689" t="s">
        <v>30</v>
      </c>
      <c r="B7689" t="s">
        <v>148</v>
      </c>
      <c r="C7689" t="s">
        <v>162</v>
      </c>
      <c r="D7689" t="s">
        <v>291</v>
      </c>
      <c r="E7689" t="s">
        <v>420</v>
      </c>
      <c r="F7689">
        <f>HYPERLINK("https://www.wikidata.org/wiki/Q33323082", "Q33323082")</f>
        <v>0</v>
      </c>
      <c r="G7689" t="s">
        <v>563</v>
      </c>
      <c r="H7689" t="s">
        <v>5326</v>
      </c>
      <c r="I7689" t="s">
        <v>9418</v>
      </c>
      <c r="J7689" t="s">
        <v>11314</v>
      </c>
      <c r="K7689" t="s">
        <v>15715</v>
      </c>
      <c r="L7689">
        <f>HYPERLINK("https://www2.assemblee-nationale.fr/sycomore/fiche/(num_dept)/1555", "1555")</f>
        <v>0</v>
      </c>
      <c r="N7689">
        <f>HYPERLINK("https://www.wikidata.org/wiki/Q15974261", "Q15974261")</f>
        <v>0</v>
      </c>
      <c r="O7689" t="s">
        <v>19987</v>
      </c>
      <c r="P7689" t="s">
        <v>20457</v>
      </c>
      <c r="Q7689" t="s">
        <v>18994</v>
      </c>
      <c r="R7689" t="s">
        <v>420</v>
      </c>
      <c r="S7689">
        <v>1481</v>
      </c>
    </row>
    <row r="7690" spans="1:19">
      <c r="A7690" t="s">
        <v>30</v>
      </c>
      <c r="B7690" t="s">
        <v>148</v>
      </c>
      <c r="C7690" t="s">
        <v>162</v>
      </c>
      <c r="D7690" t="s">
        <v>291</v>
      </c>
      <c r="E7690" t="s">
        <v>420</v>
      </c>
      <c r="F7690">
        <f>HYPERLINK("https://www.wikidata.org/wiki/Q33323082", "Q33323082")</f>
        <v>0</v>
      </c>
      <c r="G7690" t="s">
        <v>4105</v>
      </c>
      <c r="H7690" t="s">
        <v>8317</v>
      </c>
      <c r="I7690" t="s">
        <v>11113</v>
      </c>
      <c r="J7690" t="s">
        <v>14643</v>
      </c>
      <c r="K7690" t="s">
        <v>17665</v>
      </c>
      <c r="L7690">
        <f>HYPERLINK("https://www2.assemblee-nationale.fr/sycomore/fiche/(num_dept)/1557", "1557")</f>
        <v>0</v>
      </c>
      <c r="N7690">
        <f>HYPERLINK("https://www.wikidata.org/wiki/Q11984843", "Q11984843")</f>
        <v>0</v>
      </c>
      <c r="O7690" t="s">
        <v>19987</v>
      </c>
      <c r="P7690" t="s">
        <v>20513</v>
      </c>
      <c r="Q7690" t="s">
        <v>18994</v>
      </c>
      <c r="R7690" t="s">
        <v>420</v>
      </c>
      <c r="S7690">
        <v>1481</v>
      </c>
    </row>
    <row r="7691" spans="1:19">
      <c r="A7691" t="s">
        <v>30</v>
      </c>
      <c r="B7691" t="s">
        <v>148</v>
      </c>
      <c r="C7691" t="s">
        <v>162</v>
      </c>
      <c r="D7691" t="s">
        <v>291</v>
      </c>
      <c r="E7691" t="s">
        <v>420</v>
      </c>
      <c r="F7691">
        <f>HYPERLINK("https://www.wikidata.org/wiki/Q33323082", "Q33323082")</f>
        <v>0</v>
      </c>
      <c r="G7691" t="s">
        <v>4106</v>
      </c>
      <c r="H7691" t="s">
        <v>8318</v>
      </c>
      <c r="I7691" t="s">
        <v>11114</v>
      </c>
      <c r="J7691" t="s">
        <v>11285</v>
      </c>
      <c r="K7691" t="s">
        <v>18977</v>
      </c>
      <c r="L7691">
        <f>HYPERLINK("https://www2.assemblee-nationale.fr/sycomore/fiche/(num_dept)/1563", "1563")</f>
        <v>0</v>
      </c>
      <c r="M7691">
        <f>HYPERLINK("https://www.senat.fr/senateur-3eme-republique/cazeneuve_paul1143r3.html", "cazeneuve_paul1143r3")</f>
        <v>0</v>
      </c>
      <c r="N7691">
        <f>HYPERLINK("https://www.wikidata.org/wiki/Q3370828", "Q3370828")</f>
        <v>0</v>
      </c>
      <c r="O7691" t="s">
        <v>19965</v>
      </c>
      <c r="P7691" t="s">
        <v>20477</v>
      </c>
      <c r="Q7691" t="s">
        <v>18994</v>
      </c>
      <c r="R7691" t="s">
        <v>420</v>
      </c>
      <c r="S7691">
        <v>1481</v>
      </c>
    </row>
    <row r="7692" spans="1:19">
      <c r="A7692" t="s">
        <v>30</v>
      </c>
      <c r="B7692" t="s">
        <v>148</v>
      </c>
      <c r="C7692" t="s">
        <v>162</v>
      </c>
      <c r="D7692" t="s">
        <v>291</v>
      </c>
      <c r="E7692" t="s">
        <v>420</v>
      </c>
      <c r="F7692">
        <f>HYPERLINK("https://www.wikidata.org/wiki/Q33323082", "Q33323082")</f>
        <v>0</v>
      </c>
      <c r="G7692" t="s">
        <v>564</v>
      </c>
      <c r="H7692" t="s">
        <v>5327</v>
      </c>
      <c r="I7692" t="s">
        <v>5574</v>
      </c>
      <c r="J7692" t="s">
        <v>11315</v>
      </c>
      <c r="K7692" t="s">
        <v>15716</v>
      </c>
      <c r="L7692">
        <f>HYPERLINK("https://www2.assemblee-nationale.fr/sycomore/fiche/(num_dept)/1565", "1565")</f>
        <v>0</v>
      </c>
      <c r="N7692">
        <f>HYPERLINK("https://www.wikidata.org/wiki/Q15974262", "Q15974262")</f>
        <v>0</v>
      </c>
      <c r="O7692" t="s">
        <v>20003</v>
      </c>
      <c r="P7692" t="s">
        <v>20477</v>
      </c>
      <c r="Q7692" t="s">
        <v>18994</v>
      </c>
      <c r="R7692" t="s">
        <v>420</v>
      </c>
      <c r="S7692">
        <v>1481</v>
      </c>
    </row>
    <row r="7693" spans="1:19">
      <c r="A7693" t="s">
        <v>30</v>
      </c>
      <c r="B7693" t="s">
        <v>148</v>
      </c>
      <c r="C7693" t="s">
        <v>162</v>
      </c>
      <c r="D7693" t="s">
        <v>291</v>
      </c>
      <c r="E7693" t="s">
        <v>420</v>
      </c>
      <c r="F7693">
        <f>HYPERLINK("https://www.wikidata.org/wiki/Q33323082", "Q33323082")</f>
        <v>0</v>
      </c>
      <c r="G7693" t="s">
        <v>3960</v>
      </c>
      <c r="H7693" t="s">
        <v>8210</v>
      </c>
      <c r="I7693" t="s">
        <v>11044</v>
      </c>
      <c r="J7693" t="s">
        <v>14511</v>
      </c>
      <c r="K7693" t="s">
        <v>18856</v>
      </c>
      <c r="L7693">
        <f>HYPERLINK("https://www2.assemblee-nationale.fr/sycomore/fiche/(num_dept)/1574", "1574")</f>
        <v>0</v>
      </c>
      <c r="N7693">
        <f>HYPERLINK("https://www.wikidata.org/wiki/Q3588439", "Q3588439")</f>
        <v>0</v>
      </c>
      <c r="O7693" t="s">
        <v>20041</v>
      </c>
      <c r="P7693" t="s">
        <v>20457</v>
      </c>
      <c r="Q7693" t="s">
        <v>18994</v>
      </c>
      <c r="R7693" t="s">
        <v>420</v>
      </c>
      <c r="S7693">
        <v>1481</v>
      </c>
    </row>
    <row r="7694" spans="1:19">
      <c r="A7694" t="s">
        <v>30</v>
      </c>
      <c r="B7694" t="s">
        <v>148</v>
      </c>
      <c r="C7694" t="s">
        <v>162</v>
      </c>
      <c r="D7694" t="s">
        <v>291</v>
      </c>
      <c r="E7694" t="s">
        <v>420</v>
      </c>
      <c r="F7694">
        <f>HYPERLINK("https://www.wikidata.org/wiki/Q33323082", "Q33323082")</f>
        <v>0</v>
      </c>
      <c r="G7694" t="s">
        <v>904</v>
      </c>
      <c r="H7694" t="s">
        <v>5660</v>
      </c>
      <c r="I7694" t="s">
        <v>9583</v>
      </c>
      <c r="J7694" t="s">
        <v>11649</v>
      </c>
      <c r="K7694" t="s">
        <v>16048</v>
      </c>
      <c r="L7694">
        <f>HYPERLINK("https://www2.assemblee-nationale.fr/sycomore/fiche/(num_dept)/1634", "1634")</f>
        <v>0</v>
      </c>
      <c r="M7694">
        <f>HYPERLINK("https://www.senat.fr/senateur-3eme-republique/chanal_jean0017r3.html", "chanal_jean0017r3")</f>
        <v>0</v>
      </c>
      <c r="N7694">
        <f>HYPERLINK("https://www.wikidata.org/wiki/Q3059763", "Q3059763")</f>
        <v>0</v>
      </c>
      <c r="O7694" t="s">
        <v>19986</v>
      </c>
      <c r="P7694" t="s">
        <v>20401</v>
      </c>
      <c r="Q7694" t="s">
        <v>18994</v>
      </c>
      <c r="R7694" t="s">
        <v>420</v>
      </c>
      <c r="S7694">
        <v>1481</v>
      </c>
    </row>
    <row r="7695" spans="1:19">
      <c r="A7695" t="s">
        <v>30</v>
      </c>
      <c r="B7695" t="s">
        <v>148</v>
      </c>
      <c r="C7695" t="s">
        <v>162</v>
      </c>
      <c r="D7695" t="s">
        <v>291</v>
      </c>
      <c r="E7695" t="s">
        <v>420</v>
      </c>
      <c r="F7695">
        <f>HYPERLINK("https://www.wikidata.org/wiki/Q33323082", "Q33323082")</f>
        <v>0</v>
      </c>
      <c r="G7695" t="s">
        <v>568</v>
      </c>
      <c r="H7695" t="s">
        <v>5331</v>
      </c>
      <c r="I7695" t="s">
        <v>9421</v>
      </c>
      <c r="J7695" t="s">
        <v>11319</v>
      </c>
      <c r="K7695" t="s">
        <v>15720</v>
      </c>
      <c r="L7695">
        <f>HYPERLINK("https://www2.assemblee-nationale.fr/sycomore/fiche/(num_dept)/1650", "1650")</f>
        <v>0</v>
      </c>
      <c r="M7695">
        <f>HYPERLINK("https://www.senat.fr/senateur-3eme-republique/chapuis_gustave0947r3.html", "chapuis_gustave0947r3")</f>
        <v>0</v>
      </c>
      <c r="N7695">
        <f>HYPERLINK("https://www.wikidata.org/wiki/Q3121135", "Q3121135")</f>
        <v>0</v>
      </c>
      <c r="O7695" t="s">
        <v>20007</v>
      </c>
      <c r="P7695" t="s">
        <v>20401</v>
      </c>
      <c r="Q7695" t="s">
        <v>18994</v>
      </c>
      <c r="R7695" t="s">
        <v>420</v>
      </c>
      <c r="S7695">
        <v>1481</v>
      </c>
    </row>
    <row r="7696" spans="1:19">
      <c r="A7696" t="s">
        <v>30</v>
      </c>
      <c r="B7696" t="s">
        <v>148</v>
      </c>
      <c r="C7696" t="s">
        <v>162</v>
      </c>
      <c r="D7696" t="s">
        <v>291</v>
      </c>
      <c r="E7696" t="s">
        <v>420</v>
      </c>
      <c r="F7696">
        <f>HYPERLINK("https://www.wikidata.org/wiki/Q33323082", "Q33323082")</f>
        <v>0</v>
      </c>
      <c r="G7696" t="s">
        <v>3752</v>
      </c>
      <c r="H7696" t="s">
        <v>5964</v>
      </c>
      <c r="I7696" t="s">
        <v>10961</v>
      </c>
      <c r="J7696" t="s">
        <v>14326</v>
      </c>
      <c r="K7696" t="s">
        <v>18677</v>
      </c>
      <c r="L7696">
        <f>HYPERLINK("https://www2.assemblee-nationale.fr/sycomore/fiche/(num_dept)/1675", "1675")</f>
        <v>0</v>
      </c>
      <c r="N7696">
        <f>HYPERLINK("https://www.wikidata.org/wiki/Q16025426", "Q16025426")</f>
        <v>0</v>
      </c>
      <c r="O7696" t="s">
        <v>19997</v>
      </c>
      <c r="P7696" t="s">
        <v>20485</v>
      </c>
      <c r="Q7696" t="s">
        <v>18994</v>
      </c>
      <c r="R7696" t="s">
        <v>420</v>
      </c>
      <c r="S7696">
        <v>1481</v>
      </c>
    </row>
    <row r="7697" spans="1:19">
      <c r="A7697" t="s">
        <v>30</v>
      </c>
      <c r="B7697" t="s">
        <v>148</v>
      </c>
      <c r="C7697" t="s">
        <v>162</v>
      </c>
      <c r="D7697" t="s">
        <v>291</v>
      </c>
      <c r="E7697" t="s">
        <v>420</v>
      </c>
      <c r="F7697">
        <f>HYPERLINK("https://www.wikidata.org/wiki/Q33323082", "Q33323082")</f>
        <v>0</v>
      </c>
      <c r="G7697" t="s">
        <v>573</v>
      </c>
      <c r="H7697" t="s">
        <v>5336</v>
      </c>
      <c r="I7697" t="s">
        <v>9385</v>
      </c>
      <c r="J7697" t="s">
        <v>11324</v>
      </c>
      <c r="K7697" t="s">
        <v>15725</v>
      </c>
      <c r="L7697">
        <f>HYPERLINK("https://www2.assemblee-nationale.fr/sycomore/fiche/(num_dept)/1716", "1716")</f>
        <v>0</v>
      </c>
      <c r="M7697">
        <f>HYPERLINK("https://www.senat.fr/senateur-3eme-republique/chaumet_jean0195r3.html", "chaumet_jean0195r3")</f>
        <v>0</v>
      </c>
      <c r="N7697">
        <f>HYPERLINK("https://www.wikidata.org/wiki/Q2958718", "Q2958718")</f>
        <v>0</v>
      </c>
      <c r="O7697" t="s">
        <v>19987</v>
      </c>
      <c r="P7697" t="s">
        <v>20457</v>
      </c>
      <c r="Q7697" t="s">
        <v>18994</v>
      </c>
      <c r="R7697" t="s">
        <v>420</v>
      </c>
      <c r="S7697">
        <v>1481</v>
      </c>
    </row>
    <row r="7698" spans="1:19">
      <c r="A7698" t="s">
        <v>30</v>
      </c>
      <c r="B7698" t="s">
        <v>148</v>
      </c>
      <c r="C7698" t="s">
        <v>162</v>
      </c>
      <c r="D7698" t="s">
        <v>291</v>
      </c>
      <c r="E7698" t="s">
        <v>420</v>
      </c>
      <c r="F7698">
        <f>HYPERLINK("https://www.wikidata.org/wiki/Q33323082", "Q33323082")</f>
        <v>0</v>
      </c>
      <c r="G7698" t="s">
        <v>908</v>
      </c>
      <c r="H7698" t="s">
        <v>5664</v>
      </c>
      <c r="I7698" t="s">
        <v>9585</v>
      </c>
      <c r="J7698" t="s">
        <v>11652</v>
      </c>
      <c r="K7698" t="s">
        <v>16051</v>
      </c>
      <c r="L7698">
        <f>HYPERLINK("https://www2.assemblee-nationale.fr/sycomore/fiche/(num_dept)/1734", "1734")</f>
        <v>0</v>
      </c>
      <c r="N7698">
        <f>HYPERLINK("https://www.wikidata.org/wiki/Q13080861", "Q13080861")</f>
        <v>0</v>
      </c>
      <c r="O7698" t="s">
        <v>19969</v>
      </c>
      <c r="Q7698" t="s">
        <v>18994</v>
      </c>
      <c r="R7698" t="s">
        <v>420</v>
      </c>
      <c r="S7698">
        <v>1481</v>
      </c>
    </row>
    <row r="7699" spans="1:19">
      <c r="A7699" t="s">
        <v>30</v>
      </c>
      <c r="B7699" t="s">
        <v>148</v>
      </c>
      <c r="C7699" t="s">
        <v>162</v>
      </c>
      <c r="D7699" t="s">
        <v>291</v>
      </c>
      <c r="E7699" t="s">
        <v>420</v>
      </c>
      <c r="F7699">
        <f>HYPERLINK("https://www.wikidata.org/wiki/Q33323082", "Q33323082")</f>
        <v>0</v>
      </c>
      <c r="G7699" t="s">
        <v>3835</v>
      </c>
      <c r="H7699" t="s">
        <v>8113</v>
      </c>
      <c r="I7699" t="s">
        <v>10995</v>
      </c>
      <c r="J7699" t="s">
        <v>14397</v>
      </c>
      <c r="K7699" t="s">
        <v>18751</v>
      </c>
      <c r="L7699">
        <f>HYPERLINK("https://www2.assemblee-nationale.fr/sycomore/fiche/(num_dept)/1760", "1760")</f>
        <v>0</v>
      </c>
      <c r="N7699">
        <f>HYPERLINK("https://www.wikidata.org/wiki/Q7121784", "Q7121784")</f>
        <v>0</v>
      </c>
      <c r="O7699" t="s">
        <v>20006</v>
      </c>
      <c r="P7699" t="s">
        <v>20477</v>
      </c>
      <c r="Q7699" t="s">
        <v>18994</v>
      </c>
      <c r="R7699" t="s">
        <v>420</v>
      </c>
      <c r="S7699">
        <v>1481</v>
      </c>
    </row>
    <row r="7700" spans="1:19">
      <c r="A7700" t="s">
        <v>30</v>
      </c>
      <c r="B7700" t="s">
        <v>148</v>
      </c>
      <c r="C7700" t="s">
        <v>162</v>
      </c>
      <c r="D7700" t="s">
        <v>291</v>
      </c>
      <c r="E7700" t="s">
        <v>420</v>
      </c>
      <c r="F7700">
        <f>HYPERLINK("https://www.wikidata.org/wiki/Q33323082", "Q33323082")</f>
        <v>0</v>
      </c>
      <c r="G7700" t="s">
        <v>4107</v>
      </c>
      <c r="H7700" t="s">
        <v>8319</v>
      </c>
      <c r="I7700" t="s">
        <v>11115</v>
      </c>
      <c r="J7700" t="s">
        <v>14644</v>
      </c>
      <c r="K7700" t="s">
        <v>18978</v>
      </c>
      <c r="L7700">
        <f>HYPERLINK("https://www2.assemblee-nationale.fr/sycomore/fiche/(num_dept)/1846", "1846")</f>
        <v>0</v>
      </c>
      <c r="N7700">
        <f>HYPERLINK("https://www.wikidata.org/wiki/Q5891894", "Q5891894")</f>
        <v>0</v>
      </c>
      <c r="O7700" t="s">
        <v>20035</v>
      </c>
      <c r="P7700" t="s">
        <v>20477</v>
      </c>
      <c r="Q7700" t="s">
        <v>18994</v>
      </c>
      <c r="R7700" t="s">
        <v>420</v>
      </c>
      <c r="S7700">
        <v>1481</v>
      </c>
    </row>
    <row r="7701" spans="1:19">
      <c r="A7701" t="s">
        <v>30</v>
      </c>
      <c r="B7701" t="s">
        <v>148</v>
      </c>
      <c r="C7701" t="s">
        <v>162</v>
      </c>
      <c r="D7701" t="s">
        <v>291</v>
      </c>
      <c r="E7701" t="s">
        <v>420</v>
      </c>
      <c r="F7701">
        <f>HYPERLINK("https://www.wikidata.org/wiki/Q33323082", "Q33323082")</f>
        <v>0</v>
      </c>
      <c r="G7701" t="s">
        <v>4108</v>
      </c>
      <c r="H7701" t="s">
        <v>8320</v>
      </c>
      <c r="I7701" t="s">
        <v>11116</v>
      </c>
      <c r="J7701" t="s">
        <v>14645</v>
      </c>
      <c r="K7701" t="s">
        <v>18979</v>
      </c>
      <c r="L7701">
        <f>HYPERLINK("https://www2.assemblee-nationale.fr/sycomore/fiche/(num_dept)/1861", "1861")</f>
        <v>0</v>
      </c>
      <c r="N7701">
        <f>HYPERLINK("https://www.wikidata.org/wiki/Q13080834", "Q13080834")</f>
        <v>0</v>
      </c>
      <c r="O7701" t="s">
        <v>19969</v>
      </c>
      <c r="Q7701" t="s">
        <v>18994</v>
      </c>
      <c r="R7701" t="s">
        <v>18979</v>
      </c>
      <c r="S7701">
        <v>213</v>
      </c>
    </row>
    <row r="7702" spans="1:19">
      <c r="A7702" t="s">
        <v>30</v>
      </c>
      <c r="B7702" t="s">
        <v>148</v>
      </c>
      <c r="C7702" t="s">
        <v>162</v>
      </c>
      <c r="D7702" t="s">
        <v>291</v>
      </c>
      <c r="E7702" t="s">
        <v>420</v>
      </c>
      <c r="F7702">
        <f>HYPERLINK("https://www.wikidata.org/wiki/Q33323082", "Q33323082")</f>
        <v>0</v>
      </c>
      <c r="G7702" t="s">
        <v>3755</v>
      </c>
      <c r="H7702" t="s">
        <v>6849</v>
      </c>
      <c r="I7702" t="s">
        <v>9389</v>
      </c>
      <c r="J7702" t="s">
        <v>13910</v>
      </c>
      <c r="K7702" t="s">
        <v>18680</v>
      </c>
      <c r="L7702">
        <f>HYPERLINK("https://www2.assemblee-nationale.fr/sycomore/fiche/(num_dept)/1933", "1933")</f>
        <v>0</v>
      </c>
      <c r="N7702">
        <f>HYPERLINK("https://www.wikidata.org/wiki/Q16025477", "Q16025477")</f>
        <v>0</v>
      </c>
      <c r="O7702" t="s">
        <v>19962</v>
      </c>
      <c r="P7702" t="s">
        <v>20477</v>
      </c>
      <c r="Q7702" t="s">
        <v>18994</v>
      </c>
      <c r="R7702" t="s">
        <v>420</v>
      </c>
      <c r="S7702">
        <v>1481</v>
      </c>
    </row>
    <row r="7703" spans="1:19">
      <c r="A7703" t="s">
        <v>30</v>
      </c>
      <c r="B7703" t="s">
        <v>148</v>
      </c>
      <c r="C7703" t="s">
        <v>162</v>
      </c>
      <c r="D7703" t="s">
        <v>291</v>
      </c>
      <c r="E7703" t="s">
        <v>420</v>
      </c>
      <c r="F7703">
        <f>HYPERLINK("https://www.wikidata.org/wiki/Q33323082", "Q33323082")</f>
        <v>0</v>
      </c>
      <c r="G7703" t="s">
        <v>4109</v>
      </c>
      <c r="H7703" t="s">
        <v>8321</v>
      </c>
      <c r="I7703" t="s">
        <v>11117</v>
      </c>
      <c r="J7703" t="s">
        <v>13956</v>
      </c>
      <c r="K7703" t="s">
        <v>18259</v>
      </c>
      <c r="L7703">
        <f>HYPERLINK("https://www2.assemblee-nationale.fr/sycomore/fiche/(num_dept)/1938", "1938")</f>
        <v>0</v>
      </c>
      <c r="N7703">
        <f>HYPERLINK("https://www.wikidata.org/wiki/Q16025479", "Q16025479")</f>
        <v>0</v>
      </c>
      <c r="O7703" t="s">
        <v>19969</v>
      </c>
      <c r="P7703" t="s">
        <v>20495</v>
      </c>
      <c r="Q7703" t="s">
        <v>18994</v>
      </c>
      <c r="R7703" t="s">
        <v>420</v>
      </c>
      <c r="S7703">
        <v>1481</v>
      </c>
    </row>
    <row r="7704" spans="1:19">
      <c r="A7704" t="s">
        <v>30</v>
      </c>
      <c r="B7704" t="s">
        <v>148</v>
      </c>
      <c r="C7704" t="s">
        <v>162</v>
      </c>
      <c r="D7704" t="s">
        <v>291</v>
      </c>
      <c r="E7704" t="s">
        <v>420</v>
      </c>
      <c r="F7704">
        <f>HYPERLINK("https://www.wikidata.org/wiki/Q33323082", "Q33323082")</f>
        <v>0</v>
      </c>
      <c r="G7704" t="s">
        <v>1161</v>
      </c>
      <c r="H7704" t="s">
        <v>5867</v>
      </c>
      <c r="I7704" t="s">
        <v>9689</v>
      </c>
      <c r="J7704" t="s">
        <v>11894</v>
      </c>
      <c r="K7704" t="s">
        <v>16296</v>
      </c>
      <c r="L7704">
        <f>HYPERLINK("https://www2.assemblee-nationale.fr/sycomore/fiche/(num_dept)/1944", "1944")</f>
        <v>0</v>
      </c>
      <c r="N7704">
        <f>HYPERLINK("https://www.wikidata.org/wiki/Q3370923", "Q3370923")</f>
        <v>0</v>
      </c>
      <c r="O7704" t="s">
        <v>19999</v>
      </c>
      <c r="P7704" t="s">
        <v>20485</v>
      </c>
      <c r="Q7704" t="s">
        <v>18994</v>
      </c>
      <c r="R7704" t="s">
        <v>420</v>
      </c>
      <c r="S7704">
        <v>1481</v>
      </c>
    </row>
    <row r="7705" spans="1:19">
      <c r="A7705" t="s">
        <v>30</v>
      </c>
      <c r="B7705" t="s">
        <v>148</v>
      </c>
      <c r="C7705" t="s">
        <v>162</v>
      </c>
      <c r="D7705" t="s">
        <v>291</v>
      </c>
      <c r="E7705" t="s">
        <v>420</v>
      </c>
      <c r="F7705">
        <f>HYPERLINK("https://www.wikidata.org/wiki/Q33323082", "Q33323082")</f>
        <v>0</v>
      </c>
      <c r="G7705" t="s">
        <v>4042</v>
      </c>
      <c r="H7705" t="s">
        <v>8270</v>
      </c>
      <c r="I7705" t="s">
        <v>11077</v>
      </c>
      <c r="J7705" t="s">
        <v>14583</v>
      </c>
      <c r="K7705" t="s">
        <v>18923</v>
      </c>
      <c r="L7705">
        <f>HYPERLINK("https://www2.assemblee-nationale.fr/sycomore/fiche/(num_dept)/1959", "1959")</f>
        <v>0</v>
      </c>
      <c r="N7705">
        <f>HYPERLINK("https://www.wikidata.org/wiki/Q15741812", "Q15741812")</f>
        <v>0</v>
      </c>
      <c r="O7705" t="s">
        <v>19982</v>
      </c>
      <c r="P7705" t="s">
        <v>20457</v>
      </c>
      <c r="Q7705" t="s">
        <v>18994</v>
      </c>
      <c r="R7705" t="s">
        <v>420</v>
      </c>
      <c r="S7705">
        <v>1481</v>
      </c>
    </row>
    <row r="7706" spans="1:19">
      <c r="A7706" t="s">
        <v>30</v>
      </c>
      <c r="B7706" t="s">
        <v>148</v>
      </c>
      <c r="C7706" t="s">
        <v>162</v>
      </c>
      <c r="D7706" t="s">
        <v>291</v>
      </c>
      <c r="E7706" t="s">
        <v>420</v>
      </c>
      <c r="F7706">
        <f>HYPERLINK("https://www.wikidata.org/wiki/Q33323082", "Q33323082")</f>
        <v>0</v>
      </c>
      <c r="G7706" t="s">
        <v>4110</v>
      </c>
      <c r="H7706" t="s">
        <v>8322</v>
      </c>
      <c r="I7706" t="s">
        <v>11118</v>
      </c>
      <c r="J7706" t="s">
        <v>14646</v>
      </c>
      <c r="K7706" t="s">
        <v>18980</v>
      </c>
      <c r="L7706">
        <f>HYPERLINK("https://www2.assemblee-nationale.fr/sycomore/fiche/(num_dept)/1984", "1984")</f>
        <v>0</v>
      </c>
      <c r="N7706">
        <f>HYPERLINK("https://www.wikidata.org/wiki/Q16025485", "Q16025485")</f>
        <v>0</v>
      </c>
      <c r="O7706" t="s">
        <v>20007</v>
      </c>
      <c r="Q7706" t="s">
        <v>18994</v>
      </c>
      <c r="R7706" t="s">
        <v>420</v>
      </c>
      <c r="S7706">
        <v>1481</v>
      </c>
    </row>
    <row r="7707" spans="1:19">
      <c r="A7707" t="s">
        <v>30</v>
      </c>
      <c r="B7707" t="s">
        <v>148</v>
      </c>
      <c r="C7707" t="s">
        <v>162</v>
      </c>
      <c r="D7707" t="s">
        <v>291</v>
      </c>
      <c r="E7707" t="s">
        <v>420</v>
      </c>
      <c r="F7707">
        <f>HYPERLINK("https://www.wikidata.org/wiki/Q33323082", "Q33323082")</f>
        <v>0</v>
      </c>
      <c r="G7707" t="s">
        <v>4111</v>
      </c>
      <c r="H7707" t="s">
        <v>8323</v>
      </c>
      <c r="I7707" t="s">
        <v>9470</v>
      </c>
      <c r="J7707" t="s">
        <v>14647</v>
      </c>
      <c r="K7707" t="s">
        <v>18981</v>
      </c>
      <c r="L7707">
        <f>HYPERLINK("https://www2.assemblee-nationale.fr/sycomore/fiche/(num_dept)/2023", "2023")</f>
        <v>0</v>
      </c>
      <c r="N7707">
        <f>HYPERLINK("https://www.wikidata.org/wiki/Q3098959", "Q3098959")</f>
        <v>0</v>
      </c>
      <c r="O7707" t="s">
        <v>20047</v>
      </c>
      <c r="P7707" t="s">
        <v>20401</v>
      </c>
      <c r="Q7707" t="s">
        <v>18994</v>
      </c>
      <c r="R7707" t="s">
        <v>420</v>
      </c>
      <c r="S7707">
        <v>1481</v>
      </c>
    </row>
    <row r="7708" spans="1:19">
      <c r="A7708" t="s">
        <v>30</v>
      </c>
      <c r="B7708" t="s">
        <v>148</v>
      </c>
      <c r="C7708" t="s">
        <v>162</v>
      </c>
      <c r="D7708" t="s">
        <v>291</v>
      </c>
      <c r="E7708" t="s">
        <v>420</v>
      </c>
      <c r="F7708">
        <f>HYPERLINK("https://www.wikidata.org/wiki/Q33323082", "Q33323082")</f>
        <v>0</v>
      </c>
      <c r="G7708" t="s">
        <v>594</v>
      </c>
      <c r="H7708" t="s">
        <v>5355</v>
      </c>
      <c r="I7708" t="s">
        <v>6200</v>
      </c>
      <c r="J7708" t="s">
        <v>11345</v>
      </c>
      <c r="K7708" t="s">
        <v>15746</v>
      </c>
      <c r="L7708">
        <f>HYPERLINK("https://www2.assemblee-nationale.fr/sycomore/fiche/(num_dept)/2080", "2080")</f>
        <v>0</v>
      </c>
      <c r="M7708">
        <f>HYPERLINK("https://www.senat.fr/senateur-3eme-republique/cruppi_jean0109r3.html", "cruppi_jean0109r3")</f>
        <v>0</v>
      </c>
      <c r="N7708">
        <f>HYPERLINK("https://www.wikidata.org/wiki/Q730383", "Q730383")</f>
        <v>0</v>
      </c>
      <c r="O7708" t="s">
        <v>20016</v>
      </c>
      <c r="P7708" t="s">
        <v>20401</v>
      </c>
      <c r="Q7708" t="s">
        <v>18994</v>
      </c>
      <c r="R7708" t="s">
        <v>420</v>
      </c>
      <c r="S7708">
        <v>1481</v>
      </c>
    </row>
    <row r="7709" spans="1:19">
      <c r="A7709" t="s">
        <v>30</v>
      </c>
      <c r="B7709" t="s">
        <v>148</v>
      </c>
      <c r="C7709" t="s">
        <v>162</v>
      </c>
      <c r="D7709" t="s">
        <v>291</v>
      </c>
      <c r="E7709" t="s">
        <v>420</v>
      </c>
      <c r="F7709">
        <f>HYPERLINK("https://www.wikidata.org/wiki/Q33323082", "Q33323082")</f>
        <v>0</v>
      </c>
      <c r="G7709" t="s">
        <v>3760</v>
      </c>
      <c r="H7709" t="s">
        <v>8058</v>
      </c>
      <c r="I7709" t="s">
        <v>10965</v>
      </c>
      <c r="J7709" t="s">
        <v>14332</v>
      </c>
      <c r="K7709" t="s">
        <v>18685</v>
      </c>
      <c r="L7709">
        <f>HYPERLINK("https://www2.assemblee-nationale.fr/sycomore/fiche/(num_dept)/2166", "2166")</f>
        <v>0</v>
      </c>
      <c r="N7709">
        <f>HYPERLINK("https://www.wikidata.org/wiki/Q3379684", "Q3379684")</f>
        <v>0</v>
      </c>
      <c r="O7709" t="s">
        <v>20043</v>
      </c>
      <c r="P7709" t="s">
        <v>20477</v>
      </c>
      <c r="Q7709" t="s">
        <v>18994</v>
      </c>
      <c r="R7709" t="s">
        <v>420</v>
      </c>
      <c r="S7709">
        <v>1481</v>
      </c>
    </row>
    <row r="7710" spans="1:19">
      <c r="A7710" t="s">
        <v>30</v>
      </c>
      <c r="B7710" t="s">
        <v>148</v>
      </c>
      <c r="C7710" t="s">
        <v>162</v>
      </c>
      <c r="D7710" t="s">
        <v>291</v>
      </c>
      <c r="E7710" t="s">
        <v>420</v>
      </c>
      <c r="F7710">
        <f>HYPERLINK("https://www.wikidata.org/wiki/Q33323082", "Q33323082")</f>
        <v>0</v>
      </c>
      <c r="G7710" t="s">
        <v>922</v>
      </c>
      <c r="H7710" t="s">
        <v>5678</v>
      </c>
      <c r="I7710" t="s">
        <v>6495</v>
      </c>
      <c r="J7710" t="s">
        <v>11664</v>
      </c>
      <c r="K7710" t="s">
        <v>16065</v>
      </c>
      <c r="L7710">
        <f>HYPERLINK("https://www2.assemblee-nationale.fr/sycomore/fiche/(num_dept)/2185", "2185")</f>
        <v>0</v>
      </c>
      <c r="N7710">
        <f>HYPERLINK("https://www.wikidata.org/wiki/Q3261668", "Q3261668")</f>
        <v>0</v>
      </c>
      <c r="O7710" t="s">
        <v>19996</v>
      </c>
      <c r="P7710" t="s">
        <v>20477</v>
      </c>
      <c r="Q7710" t="s">
        <v>18994</v>
      </c>
      <c r="R7710" t="s">
        <v>420</v>
      </c>
      <c r="S7710">
        <v>1481</v>
      </c>
    </row>
    <row r="7711" spans="1:19">
      <c r="A7711" t="s">
        <v>30</v>
      </c>
      <c r="B7711" t="s">
        <v>148</v>
      </c>
      <c r="C7711" t="s">
        <v>162</v>
      </c>
      <c r="D7711" t="s">
        <v>291</v>
      </c>
      <c r="E7711" t="s">
        <v>420</v>
      </c>
      <c r="F7711">
        <f>HYPERLINK("https://www.wikidata.org/wiki/Q33323082", "Q33323082")</f>
        <v>0</v>
      </c>
      <c r="G7711" t="s">
        <v>3963</v>
      </c>
      <c r="H7711" t="s">
        <v>6674</v>
      </c>
      <c r="I7711" t="s">
        <v>6166</v>
      </c>
      <c r="J7711" t="s">
        <v>14074</v>
      </c>
      <c r="K7711" t="s">
        <v>16415</v>
      </c>
      <c r="L7711">
        <f>HYPERLINK("https://www2.assemblee-nationale.fr/sycomore/fiche/(num_dept)/2186", "2186")</f>
        <v>0</v>
      </c>
      <c r="N7711">
        <f>HYPERLINK("https://www.wikidata.org/wiki/Q16025526", "Q16025526")</f>
        <v>0</v>
      </c>
      <c r="O7711" t="s">
        <v>20013</v>
      </c>
      <c r="Q7711" t="s">
        <v>18994</v>
      </c>
      <c r="R7711" t="s">
        <v>420</v>
      </c>
      <c r="S7711">
        <v>1481</v>
      </c>
    </row>
    <row r="7712" spans="1:19">
      <c r="A7712" t="s">
        <v>30</v>
      </c>
      <c r="B7712" t="s">
        <v>148</v>
      </c>
      <c r="C7712" t="s">
        <v>162</v>
      </c>
      <c r="D7712" t="s">
        <v>291</v>
      </c>
      <c r="E7712" t="s">
        <v>420</v>
      </c>
      <c r="F7712">
        <f>HYPERLINK("https://www.wikidata.org/wiki/Q33323082", "Q33323082")</f>
        <v>0</v>
      </c>
      <c r="G7712" t="s">
        <v>4112</v>
      </c>
      <c r="H7712" t="s">
        <v>8324</v>
      </c>
      <c r="I7712" t="s">
        <v>11119</v>
      </c>
      <c r="J7712" t="s">
        <v>11892</v>
      </c>
      <c r="K7712" t="s">
        <v>18982</v>
      </c>
      <c r="L7712">
        <f>HYPERLINK("https://www2.assemblee-nationale.fr/sycomore/fiche/(num_dept)/2189", "2189")</f>
        <v>0</v>
      </c>
      <c r="N7712">
        <f>HYPERLINK("https://www.wikidata.org/wiki/Q16025529", "Q16025529")</f>
        <v>0</v>
      </c>
      <c r="O7712" t="s">
        <v>20013</v>
      </c>
      <c r="P7712" t="s">
        <v>20477</v>
      </c>
      <c r="Q7712" t="s">
        <v>18994</v>
      </c>
      <c r="R7712" t="s">
        <v>21622</v>
      </c>
      <c r="S7712">
        <v>1035</v>
      </c>
    </row>
    <row r="7713" spans="1:19">
      <c r="A7713" t="s">
        <v>30</v>
      </c>
      <c r="B7713" t="s">
        <v>148</v>
      </c>
      <c r="C7713" t="s">
        <v>162</v>
      </c>
      <c r="D7713" t="s">
        <v>291</v>
      </c>
      <c r="E7713" t="s">
        <v>420</v>
      </c>
      <c r="F7713">
        <f>HYPERLINK("https://www.wikidata.org/wiki/Q33323082", "Q33323082")</f>
        <v>0</v>
      </c>
      <c r="G7713" t="s">
        <v>4113</v>
      </c>
      <c r="H7713" t="s">
        <v>8325</v>
      </c>
      <c r="I7713" t="s">
        <v>6200</v>
      </c>
      <c r="J7713" t="s">
        <v>14648</v>
      </c>
      <c r="K7713" t="s">
        <v>18983</v>
      </c>
      <c r="L7713">
        <f>HYPERLINK("https://www2.assemblee-nationale.fr/sycomore/fiche/(num_dept)/2205", "2205")</f>
        <v>0</v>
      </c>
      <c r="N7713">
        <f>HYPERLINK("https://www.wikidata.org/wiki/Q16025531", "Q16025531")</f>
        <v>0</v>
      </c>
      <c r="O7713" t="s">
        <v>20043</v>
      </c>
      <c r="P7713" t="s">
        <v>20495</v>
      </c>
      <c r="Q7713" t="s">
        <v>18994</v>
      </c>
      <c r="R7713" t="s">
        <v>420</v>
      </c>
      <c r="S7713">
        <v>1481</v>
      </c>
    </row>
    <row r="7714" spans="1:19">
      <c r="A7714" t="s">
        <v>30</v>
      </c>
      <c r="B7714" t="s">
        <v>148</v>
      </c>
      <c r="C7714" t="s">
        <v>162</v>
      </c>
      <c r="D7714" t="s">
        <v>291</v>
      </c>
      <c r="E7714" t="s">
        <v>420</v>
      </c>
      <c r="F7714">
        <f>HYPERLINK("https://www.wikidata.org/wiki/Q33323082", "Q33323082")</f>
        <v>0</v>
      </c>
      <c r="G7714" t="s">
        <v>3693</v>
      </c>
      <c r="H7714" t="s">
        <v>8015</v>
      </c>
      <c r="I7714" t="s">
        <v>10940</v>
      </c>
      <c r="J7714" t="s">
        <v>14268</v>
      </c>
      <c r="K7714" t="s">
        <v>16493</v>
      </c>
      <c r="L7714">
        <f>HYPERLINK("https://www2.assemblee-nationale.fr/sycomore/fiche/(num_dept)/2224", "2224")</f>
        <v>0</v>
      </c>
      <c r="M7714">
        <f>HYPERLINK("https://www.senat.fr/senateur-3eme-republique/defumade_alphonse0619r3.html", "defumade_alphonse0619r3")</f>
        <v>0</v>
      </c>
      <c r="N7714">
        <f>HYPERLINK("https://www.wikidata.org/wiki/Q2839764", "Q2839764")</f>
        <v>0</v>
      </c>
      <c r="O7714" t="s">
        <v>19979</v>
      </c>
      <c r="P7714" t="s">
        <v>20471</v>
      </c>
      <c r="Q7714" t="s">
        <v>18994</v>
      </c>
      <c r="R7714" t="s">
        <v>420</v>
      </c>
      <c r="S7714">
        <v>1481</v>
      </c>
    </row>
    <row r="7715" spans="1:19">
      <c r="A7715" t="s">
        <v>30</v>
      </c>
      <c r="B7715" t="s">
        <v>148</v>
      </c>
      <c r="C7715" t="s">
        <v>162</v>
      </c>
      <c r="D7715" t="s">
        <v>291</v>
      </c>
      <c r="E7715" t="s">
        <v>420</v>
      </c>
      <c r="F7715">
        <f>HYPERLINK("https://www.wikidata.org/wiki/Q33323082", "Q33323082")</f>
        <v>0</v>
      </c>
      <c r="G7715" t="s">
        <v>1121</v>
      </c>
      <c r="H7715" t="s">
        <v>5681</v>
      </c>
      <c r="I7715" t="s">
        <v>6166</v>
      </c>
      <c r="J7715" t="s">
        <v>11855</v>
      </c>
      <c r="K7715" t="s">
        <v>16257</v>
      </c>
      <c r="L7715">
        <f>HYPERLINK("https://www2.assemblee-nationale.fr/sycomore/fiche/(num_dept)/2328", "2328")</f>
        <v>0</v>
      </c>
      <c r="N7715">
        <f>HYPERLINK("https://www.wikidata.org/wiki/Q3084405", "Q3084405")</f>
        <v>0</v>
      </c>
      <c r="O7715" t="s">
        <v>20038</v>
      </c>
      <c r="P7715" t="s">
        <v>20402</v>
      </c>
      <c r="Q7715" t="s">
        <v>18994</v>
      </c>
      <c r="R7715" t="s">
        <v>420</v>
      </c>
      <c r="S7715">
        <v>1481</v>
      </c>
    </row>
    <row r="7716" spans="1:19">
      <c r="A7716" t="s">
        <v>30</v>
      </c>
      <c r="B7716" t="s">
        <v>148</v>
      </c>
      <c r="C7716" t="s">
        <v>162</v>
      </c>
      <c r="D7716" t="s">
        <v>291</v>
      </c>
      <c r="E7716" t="s">
        <v>420</v>
      </c>
      <c r="F7716">
        <f>HYPERLINK("https://www.wikidata.org/wiki/Q33323082", "Q33323082")</f>
        <v>0</v>
      </c>
      <c r="G7716" t="s">
        <v>926</v>
      </c>
      <c r="H7716" t="s">
        <v>5682</v>
      </c>
      <c r="I7716" t="s">
        <v>9421</v>
      </c>
      <c r="J7716" t="s">
        <v>11668</v>
      </c>
      <c r="K7716" t="s">
        <v>16069</v>
      </c>
      <c r="L7716">
        <f>HYPERLINK("https://www2.assemblee-nationale.fr/sycomore/fiche/(num_dept)/2335", "2335")</f>
        <v>0</v>
      </c>
      <c r="N7716">
        <f>HYPERLINK("https://www.wikidata.org/wiki/Q3121159", "Q3121159")</f>
        <v>0</v>
      </c>
      <c r="O7716" t="s">
        <v>20013</v>
      </c>
      <c r="P7716" t="s">
        <v>20500</v>
      </c>
      <c r="Q7716" t="s">
        <v>18994</v>
      </c>
      <c r="R7716" t="s">
        <v>420</v>
      </c>
      <c r="S7716">
        <v>1481</v>
      </c>
    </row>
    <row r="7717" spans="1:19">
      <c r="A7717" t="s">
        <v>30</v>
      </c>
      <c r="B7717" t="s">
        <v>148</v>
      </c>
      <c r="C7717" t="s">
        <v>162</v>
      </c>
      <c r="D7717" t="s">
        <v>291</v>
      </c>
      <c r="E7717" t="s">
        <v>420</v>
      </c>
      <c r="F7717">
        <f>HYPERLINK("https://www.wikidata.org/wiki/Q33323082", "Q33323082")</f>
        <v>0</v>
      </c>
      <c r="G7717" t="s">
        <v>615</v>
      </c>
      <c r="H7717" t="s">
        <v>5375</v>
      </c>
      <c r="I7717" t="s">
        <v>9454</v>
      </c>
      <c r="J7717" t="s">
        <v>11354</v>
      </c>
      <c r="K7717" t="s">
        <v>15767</v>
      </c>
      <c r="L7717">
        <f>HYPERLINK("https://www2.assemblee-nationale.fr/sycomore/fiche/(num_dept)/2482", "2482")</f>
        <v>0</v>
      </c>
      <c r="M7717">
        <f>HYPERLINK("https://www.senat.fr/senateur-3eme-republique/devins_louis0521r3.html", "devins_louis0521r3")</f>
        <v>0</v>
      </c>
      <c r="N7717">
        <f>HYPERLINK("https://www.wikidata.org/wiki/Q3261724", "Q3261724")</f>
        <v>0</v>
      </c>
      <c r="O7717" t="s">
        <v>19993</v>
      </c>
      <c r="P7717" t="s">
        <v>20401</v>
      </c>
      <c r="Q7717" t="s">
        <v>18994</v>
      </c>
      <c r="R7717" t="s">
        <v>420</v>
      </c>
      <c r="S7717">
        <v>1481</v>
      </c>
    </row>
    <row r="7718" spans="1:19">
      <c r="A7718" t="s">
        <v>30</v>
      </c>
      <c r="B7718" t="s">
        <v>148</v>
      </c>
      <c r="C7718" t="s">
        <v>162</v>
      </c>
      <c r="D7718" t="s">
        <v>291</v>
      </c>
      <c r="E7718" t="s">
        <v>420</v>
      </c>
      <c r="F7718">
        <f>HYPERLINK("https://www.wikidata.org/wiki/Q33323082", "Q33323082")</f>
        <v>0</v>
      </c>
      <c r="G7718" t="s">
        <v>618</v>
      </c>
      <c r="H7718" t="s">
        <v>5378</v>
      </c>
      <c r="I7718" t="s">
        <v>9456</v>
      </c>
      <c r="J7718" t="s">
        <v>11368</v>
      </c>
      <c r="K7718" t="s">
        <v>15770</v>
      </c>
      <c r="L7718">
        <f>HYPERLINK("https://www2.assemblee-nationale.fr/sycomore/fiche/(num_dept)/2524", "2524")</f>
        <v>0</v>
      </c>
      <c r="N7718">
        <f>HYPERLINK("https://www.wikidata.org/wiki/Q16025600", "Q16025600")</f>
        <v>0</v>
      </c>
      <c r="O7718" t="s">
        <v>20021</v>
      </c>
      <c r="P7718" t="s">
        <v>20457</v>
      </c>
      <c r="Q7718" t="s">
        <v>18994</v>
      </c>
      <c r="R7718" t="s">
        <v>420</v>
      </c>
      <c r="S7718">
        <v>1481</v>
      </c>
    </row>
    <row r="7719" spans="1:19">
      <c r="A7719" t="s">
        <v>30</v>
      </c>
      <c r="B7719" t="s">
        <v>148</v>
      </c>
      <c r="C7719" t="s">
        <v>162</v>
      </c>
      <c r="D7719" t="s">
        <v>291</v>
      </c>
      <c r="E7719" t="s">
        <v>420</v>
      </c>
      <c r="F7719">
        <f>HYPERLINK("https://www.wikidata.org/wiki/Q33323082", "Q33323082")</f>
        <v>0</v>
      </c>
      <c r="G7719" t="s">
        <v>4114</v>
      </c>
      <c r="H7719" t="s">
        <v>6142</v>
      </c>
      <c r="I7719" t="s">
        <v>6584</v>
      </c>
      <c r="J7719" t="s">
        <v>14649</v>
      </c>
      <c r="K7719" t="s">
        <v>18984</v>
      </c>
      <c r="L7719">
        <f>HYPERLINK("https://www2.assemblee-nationale.fr/sycomore/fiche/(num_dept)/2559", "2559")</f>
        <v>0</v>
      </c>
      <c r="N7719">
        <f>HYPERLINK("https://www.wikidata.org/wiki/Q16025607", "Q16025607")</f>
        <v>0</v>
      </c>
      <c r="O7719" t="s">
        <v>19987</v>
      </c>
      <c r="P7719" t="s">
        <v>20457</v>
      </c>
      <c r="Q7719" t="s">
        <v>18994</v>
      </c>
      <c r="R7719" t="s">
        <v>420</v>
      </c>
      <c r="S7719">
        <v>1481</v>
      </c>
    </row>
    <row r="7720" spans="1:19">
      <c r="A7720" t="s">
        <v>30</v>
      </c>
      <c r="B7720" t="s">
        <v>148</v>
      </c>
      <c r="C7720" t="s">
        <v>162</v>
      </c>
      <c r="D7720" t="s">
        <v>291</v>
      </c>
      <c r="E7720" t="s">
        <v>420</v>
      </c>
      <c r="F7720">
        <f>HYPERLINK("https://www.wikidata.org/wiki/Q33323082", "Q33323082")</f>
        <v>0</v>
      </c>
      <c r="G7720" t="s">
        <v>936</v>
      </c>
      <c r="H7720" t="s">
        <v>5692</v>
      </c>
      <c r="I7720" t="s">
        <v>9421</v>
      </c>
      <c r="J7720" t="s">
        <v>11677</v>
      </c>
      <c r="K7720" t="s">
        <v>16078</v>
      </c>
      <c r="L7720">
        <f>HYPERLINK("https://www2.assemblee-nationale.fr/sycomore/fiche/(num_dept)/2595", "2595")</f>
        <v>0</v>
      </c>
      <c r="M7720">
        <f>HYPERLINK("https://www.senat.fr/senateur-3eme-republique/dron_gustave1388r3.html", "dron_gustave1388r3")</f>
        <v>0</v>
      </c>
      <c r="N7720">
        <f>HYPERLINK("https://www.wikidata.org/wiki/Q3121171", "Q3121171")</f>
        <v>0</v>
      </c>
      <c r="O7720" t="s">
        <v>20013</v>
      </c>
      <c r="P7720" t="s">
        <v>20401</v>
      </c>
      <c r="Q7720" t="s">
        <v>18994</v>
      </c>
      <c r="R7720" t="s">
        <v>420</v>
      </c>
      <c r="S7720">
        <v>1481</v>
      </c>
    </row>
    <row r="7721" spans="1:19">
      <c r="A7721" t="s">
        <v>30</v>
      </c>
      <c r="B7721" t="s">
        <v>148</v>
      </c>
      <c r="C7721" t="s">
        <v>162</v>
      </c>
      <c r="D7721" t="s">
        <v>291</v>
      </c>
      <c r="E7721" t="s">
        <v>420</v>
      </c>
      <c r="F7721">
        <f>HYPERLINK("https://www.wikidata.org/wiki/Q33323082", "Q33323082")</f>
        <v>0</v>
      </c>
      <c r="G7721" t="s">
        <v>3970</v>
      </c>
      <c r="H7721" t="s">
        <v>5695</v>
      </c>
      <c r="I7721" t="s">
        <v>11046</v>
      </c>
      <c r="J7721" t="s">
        <v>14519</v>
      </c>
      <c r="K7721" t="s">
        <v>18863</v>
      </c>
      <c r="L7721">
        <f>HYPERLINK("https://www2.assemblee-nationale.fr/sycomore/fiche/(num_dept)/2618", "2618")</f>
        <v>0</v>
      </c>
      <c r="N7721">
        <f>HYPERLINK("https://www.wikidata.org/wiki/Q16030971", "Q16030971")</f>
        <v>0</v>
      </c>
      <c r="O7721" t="s">
        <v>19969</v>
      </c>
      <c r="P7721" t="s">
        <v>20406</v>
      </c>
      <c r="Q7721" t="s">
        <v>18994</v>
      </c>
      <c r="R7721" t="s">
        <v>21623</v>
      </c>
      <c r="S7721">
        <v>727</v>
      </c>
    </row>
    <row r="7722" spans="1:19">
      <c r="A7722" t="s">
        <v>30</v>
      </c>
      <c r="B7722" t="s">
        <v>148</v>
      </c>
      <c r="C7722" t="s">
        <v>162</v>
      </c>
      <c r="D7722" t="s">
        <v>291</v>
      </c>
      <c r="E7722" t="s">
        <v>420</v>
      </c>
      <c r="F7722">
        <f>HYPERLINK("https://www.wikidata.org/wiki/Q33323082", "Q33323082")</f>
        <v>0</v>
      </c>
      <c r="G7722" t="s">
        <v>944</v>
      </c>
      <c r="H7722" t="s">
        <v>5700</v>
      </c>
      <c r="I7722" t="s">
        <v>7419</v>
      </c>
      <c r="J7722" t="s">
        <v>11685</v>
      </c>
      <c r="K7722" t="s">
        <v>16086</v>
      </c>
      <c r="L7722">
        <f>HYPERLINK("https://www2.assemblee-nationale.fr/sycomore/fiche/(num_dept)/2675", "2675")</f>
        <v>0</v>
      </c>
      <c r="N7722">
        <f>HYPERLINK("https://www.wikidata.org/wiki/Q16025627", "Q16025627")</f>
        <v>0</v>
      </c>
      <c r="O7722" t="s">
        <v>19975</v>
      </c>
      <c r="P7722" t="s">
        <v>20500</v>
      </c>
      <c r="Q7722" t="s">
        <v>18994</v>
      </c>
      <c r="R7722" t="s">
        <v>420</v>
      </c>
      <c r="S7722">
        <v>1481</v>
      </c>
    </row>
    <row r="7723" spans="1:19">
      <c r="A7723" t="s">
        <v>30</v>
      </c>
      <c r="B7723" t="s">
        <v>148</v>
      </c>
      <c r="C7723" t="s">
        <v>162</v>
      </c>
      <c r="D7723" t="s">
        <v>291</v>
      </c>
      <c r="E7723" t="s">
        <v>420</v>
      </c>
      <c r="F7723">
        <f>HYPERLINK("https://www.wikidata.org/wiki/Q33323082", "Q33323082")</f>
        <v>0</v>
      </c>
      <c r="G7723" t="s">
        <v>949</v>
      </c>
      <c r="H7723" t="s">
        <v>5703</v>
      </c>
      <c r="I7723" t="s">
        <v>9598</v>
      </c>
      <c r="J7723" t="s">
        <v>11690</v>
      </c>
      <c r="K7723" t="s">
        <v>16091</v>
      </c>
      <c r="L7723">
        <f>HYPERLINK("https://www2.assemblee-nationale.fr/sycomore/fiche/(num_dept)/2711", "2711")</f>
        <v>0</v>
      </c>
      <c r="N7723">
        <f>HYPERLINK("https://www.wikidata.org/wiki/Q15971901", "Q15971901")</f>
        <v>0</v>
      </c>
      <c r="O7723" t="s">
        <v>19959</v>
      </c>
      <c r="P7723" t="s">
        <v>20457</v>
      </c>
      <c r="Q7723" t="s">
        <v>18994</v>
      </c>
      <c r="R7723" t="s">
        <v>420</v>
      </c>
      <c r="S7723">
        <v>1481</v>
      </c>
    </row>
    <row r="7724" spans="1:19">
      <c r="A7724" t="s">
        <v>30</v>
      </c>
      <c r="B7724" t="s">
        <v>148</v>
      </c>
      <c r="C7724" t="s">
        <v>162</v>
      </c>
      <c r="D7724" t="s">
        <v>291</v>
      </c>
      <c r="E7724" t="s">
        <v>420</v>
      </c>
      <c r="F7724">
        <f>HYPERLINK("https://www.wikidata.org/wiki/Q33323082", "Q33323082")</f>
        <v>0</v>
      </c>
      <c r="G7724" t="s">
        <v>4115</v>
      </c>
      <c r="H7724" t="s">
        <v>8326</v>
      </c>
      <c r="I7724" t="s">
        <v>11120</v>
      </c>
      <c r="J7724" t="s">
        <v>11751</v>
      </c>
      <c r="K7724" t="s">
        <v>18985</v>
      </c>
      <c r="L7724">
        <f>HYPERLINK("https://www2.assemblee-nationale.fr/sycomore/fiche/(num_dept)/2748", "2748")</f>
        <v>0</v>
      </c>
      <c r="N7724">
        <f>HYPERLINK("https://www.wikidata.org/wiki/Q3371138", "Q3371138")</f>
        <v>0</v>
      </c>
      <c r="O7724" t="s">
        <v>19989</v>
      </c>
      <c r="P7724" t="s">
        <v>20479</v>
      </c>
      <c r="Q7724" t="s">
        <v>18994</v>
      </c>
      <c r="R7724" t="s">
        <v>420</v>
      </c>
      <c r="S7724">
        <v>1481</v>
      </c>
    </row>
    <row r="7725" spans="1:19">
      <c r="A7725" t="s">
        <v>30</v>
      </c>
      <c r="B7725" t="s">
        <v>148</v>
      </c>
      <c r="C7725" t="s">
        <v>162</v>
      </c>
      <c r="D7725" t="s">
        <v>291</v>
      </c>
      <c r="E7725" t="s">
        <v>420</v>
      </c>
      <c r="F7725">
        <f>HYPERLINK("https://www.wikidata.org/wiki/Q33323082", "Q33323082")</f>
        <v>0</v>
      </c>
      <c r="G7725" t="s">
        <v>3437</v>
      </c>
      <c r="H7725" t="s">
        <v>7815</v>
      </c>
      <c r="I7725" t="s">
        <v>9612</v>
      </c>
      <c r="J7725" t="s">
        <v>14041</v>
      </c>
      <c r="K7725" t="s">
        <v>18409</v>
      </c>
      <c r="L7725">
        <f>HYPERLINK("https://www2.assemblee-nationale.fr/sycomore/fiche/(num_dept)/2864", "2864")</f>
        <v>0</v>
      </c>
      <c r="N7725">
        <f>HYPERLINK("https://www.wikidata.org/wiki/Q16025675", "Q16025675")</f>
        <v>0</v>
      </c>
      <c r="O7725" t="s">
        <v>19981</v>
      </c>
      <c r="P7725" t="s">
        <v>20457</v>
      </c>
      <c r="Q7725" t="s">
        <v>18994</v>
      </c>
      <c r="R7725" t="s">
        <v>420</v>
      </c>
      <c r="S7725">
        <v>1481</v>
      </c>
    </row>
    <row r="7726" spans="1:19">
      <c r="A7726" t="s">
        <v>30</v>
      </c>
      <c r="B7726" t="s">
        <v>148</v>
      </c>
      <c r="C7726" t="s">
        <v>162</v>
      </c>
      <c r="D7726" t="s">
        <v>291</v>
      </c>
      <c r="E7726" t="s">
        <v>420</v>
      </c>
      <c r="F7726">
        <f>HYPERLINK("https://www.wikidata.org/wiki/Q33323082", "Q33323082")</f>
        <v>0</v>
      </c>
      <c r="G7726" t="s">
        <v>4116</v>
      </c>
      <c r="H7726" t="s">
        <v>5395</v>
      </c>
      <c r="I7726" t="s">
        <v>11121</v>
      </c>
      <c r="J7726" t="s">
        <v>14650</v>
      </c>
      <c r="K7726" t="s">
        <v>18986</v>
      </c>
      <c r="L7726">
        <f>HYPERLINK("https://www2.assemblee-nationale.fr/sycomore/fiche/(num_dept)/2880", "2880")</f>
        <v>0</v>
      </c>
      <c r="N7726">
        <f>HYPERLINK("https://www.wikidata.org/wiki/Q17350126", "Q17350126")</f>
        <v>0</v>
      </c>
      <c r="O7726" t="s">
        <v>20043</v>
      </c>
      <c r="P7726" t="s">
        <v>20459</v>
      </c>
      <c r="Q7726" t="s">
        <v>18994</v>
      </c>
      <c r="R7726" t="s">
        <v>420</v>
      </c>
      <c r="S7726">
        <v>1481</v>
      </c>
    </row>
    <row r="7727" spans="1:19">
      <c r="A7727" t="s">
        <v>30</v>
      </c>
      <c r="B7727" t="s">
        <v>148</v>
      </c>
      <c r="C7727" t="s">
        <v>162</v>
      </c>
      <c r="D7727" t="s">
        <v>291</v>
      </c>
      <c r="E7727" t="s">
        <v>420</v>
      </c>
      <c r="F7727">
        <f>HYPERLINK("https://www.wikidata.org/wiki/Q33323082", "Q33323082")</f>
        <v>0</v>
      </c>
      <c r="G7727" t="s">
        <v>3973</v>
      </c>
      <c r="H7727" t="s">
        <v>5397</v>
      </c>
      <c r="I7727" t="s">
        <v>10120</v>
      </c>
      <c r="J7727" t="s">
        <v>14522</v>
      </c>
      <c r="K7727" t="s">
        <v>18866</v>
      </c>
      <c r="L7727">
        <f>HYPERLINK("https://www2.assemblee-nationale.fr/sycomore/fiche/(num_dept)/2928", "2928")</f>
        <v>0</v>
      </c>
      <c r="N7727">
        <f>HYPERLINK("https://www.wikidata.org/wiki/Q3072873", "Q3072873")</f>
        <v>0</v>
      </c>
      <c r="O7727" t="s">
        <v>19969</v>
      </c>
      <c r="P7727" t="s">
        <v>20495</v>
      </c>
      <c r="Q7727" t="s">
        <v>18994</v>
      </c>
      <c r="R7727" t="s">
        <v>420</v>
      </c>
      <c r="S7727">
        <v>1481</v>
      </c>
    </row>
    <row r="7728" spans="1:19">
      <c r="A7728" t="s">
        <v>30</v>
      </c>
      <c r="B7728" t="s">
        <v>148</v>
      </c>
      <c r="C7728" t="s">
        <v>162</v>
      </c>
      <c r="D7728" t="s">
        <v>291</v>
      </c>
      <c r="E7728" t="s">
        <v>420</v>
      </c>
      <c r="F7728">
        <f>HYPERLINK("https://www.wikidata.org/wiki/Q33323082", "Q33323082")</f>
        <v>0</v>
      </c>
      <c r="G7728" t="s">
        <v>4117</v>
      </c>
      <c r="H7728" t="s">
        <v>8327</v>
      </c>
      <c r="I7728" t="s">
        <v>11122</v>
      </c>
      <c r="J7728" t="s">
        <v>14651</v>
      </c>
      <c r="K7728" t="s">
        <v>18987</v>
      </c>
      <c r="L7728">
        <f>HYPERLINK("https://www2.assemblee-nationale.fr/sycomore/fiche/(num_dept)/2962", "2962")</f>
        <v>0</v>
      </c>
      <c r="N7728">
        <f>HYPERLINK("https://www.wikidata.org/wiki/Q16025688", "Q16025688")</f>
        <v>0</v>
      </c>
      <c r="O7728" t="s">
        <v>19969</v>
      </c>
      <c r="P7728" t="s">
        <v>20477</v>
      </c>
      <c r="Q7728" t="s">
        <v>18994</v>
      </c>
      <c r="R7728" t="s">
        <v>420</v>
      </c>
      <c r="S7728">
        <v>1481</v>
      </c>
    </row>
    <row r="7729" spans="1:19">
      <c r="A7729" t="s">
        <v>30</v>
      </c>
      <c r="B7729" t="s">
        <v>148</v>
      </c>
      <c r="C7729" t="s">
        <v>162</v>
      </c>
      <c r="D7729" t="s">
        <v>291</v>
      </c>
      <c r="E7729" t="s">
        <v>420</v>
      </c>
      <c r="F7729">
        <f>HYPERLINK("https://www.wikidata.org/wiki/Q33323082", "Q33323082")</f>
        <v>0</v>
      </c>
      <c r="G7729" t="s">
        <v>4118</v>
      </c>
      <c r="H7729" t="s">
        <v>8328</v>
      </c>
      <c r="I7729" t="s">
        <v>9534</v>
      </c>
      <c r="J7729" t="s">
        <v>14652</v>
      </c>
      <c r="K7729" t="s">
        <v>18988</v>
      </c>
      <c r="L7729">
        <f>HYPERLINK("https://www2.assemblee-nationale.fr/sycomore/fiche/(num_dept)/2979", "2979")</f>
        <v>0</v>
      </c>
      <c r="N7729">
        <f>HYPERLINK("https://www.wikidata.org/wiki/Q16025696", "Q16025696")</f>
        <v>0</v>
      </c>
      <c r="O7729" t="s">
        <v>20044</v>
      </c>
      <c r="P7729" t="s">
        <v>20477</v>
      </c>
      <c r="Q7729" t="s">
        <v>18994</v>
      </c>
      <c r="R7729" t="s">
        <v>420</v>
      </c>
      <c r="S7729">
        <v>1481</v>
      </c>
    </row>
    <row r="7730" spans="1:19">
      <c r="A7730" t="s">
        <v>30</v>
      </c>
      <c r="B7730" t="s">
        <v>148</v>
      </c>
      <c r="C7730" t="s">
        <v>162</v>
      </c>
      <c r="D7730" t="s">
        <v>291</v>
      </c>
      <c r="E7730" t="s">
        <v>420</v>
      </c>
      <c r="F7730">
        <f>HYPERLINK("https://www.wikidata.org/wiki/Q33323082", "Q33323082")</f>
        <v>0</v>
      </c>
      <c r="G7730" t="s">
        <v>643</v>
      </c>
      <c r="H7730" t="s">
        <v>5402</v>
      </c>
      <c r="I7730" t="s">
        <v>9442</v>
      </c>
      <c r="J7730" t="s">
        <v>11393</v>
      </c>
      <c r="K7730" t="s">
        <v>15795</v>
      </c>
      <c r="L7730">
        <f>HYPERLINK("https://www2.assemblee-nationale.fr/sycomore/fiche/(num_dept)/3021", "3021")</f>
        <v>0</v>
      </c>
      <c r="N7730">
        <f>HYPERLINK("https://www.wikidata.org/wiki/Q3056952", "Q3056952")</f>
        <v>0</v>
      </c>
      <c r="O7730" t="s">
        <v>20009</v>
      </c>
      <c r="P7730" t="s">
        <v>20409</v>
      </c>
      <c r="Q7730" t="s">
        <v>18994</v>
      </c>
      <c r="R7730" t="s">
        <v>420</v>
      </c>
      <c r="S7730">
        <v>1481</v>
      </c>
    </row>
    <row r="7731" spans="1:19">
      <c r="A7731" t="s">
        <v>30</v>
      </c>
      <c r="B7731" t="s">
        <v>148</v>
      </c>
      <c r="C7731" t="s">
        <v>162</v>
      </c>
      <c r="D7731" t="s">
        <v>291</v>
      </c>
      <c r="E7731" t="s">
        <v>420</v>
      </c>
      <c r="F7731">
        <f>HYPERLINK("https://www.wikidata.org/wiki/Q33323082", "Q33323082")</f>
        <v>0</v>
      </c>
      <c r="G7731" t="s">
        <v>645</v>
      </c>
      <c r="H7731" t="s">
        <v>5404</v>
      </c>
      <c r="I7731" t="s">
        <v>6478</v>
      </c>
      <c r="J7731" t="s">
        <v>11395</v>
      </c>
      <c r="K7731" t="s">
        <v>15797</v>
      </c>
      <c r="L7731">
        <f>HYPERLINK("https://www2.assemblee-nationale.fr/sycomore/fiche/(num_dept)/3030", "3030")</f>
        <v>0</v>
      </c>
      <c r="M7731">
        <f>HYPERLINK("https://www.senat.fr/senateur-3eme-republique/fleury_ravarin_henry1128r3.html", "fleury_ravarin_henry1128r3")</f>
        <v>0</v>
      </c>
      <c r="N7731">
        <f>HYPERLINK("https://www.wikidata.org/wiki/Q3132778", "Q3132778")</f>
        <v>0</v>
      </c>
      <c r="O7731" t="s">
        <v>19965</v>
      </c>
      <c r="P7731" t="s">
        <v>20479</v>
      </c>
      <c r="Q7731" t="s">
        <v>18994</v>
      </c>
      <c r="R7731" t="s">
        <v>420</v>
      </c>
      <c r="S7731">
        <v>1481</v>
      </c>
    </row>
    <row r="7732" spans="1:19">
      <c r="A7732" t="s">
        <v>30</v>
      </c>
      <c r="B7732" t="s">
        <v>148</v>
      </c>
      <c r="C7732" t="s">
        <v>162</v>
      </c>
      <c r="D7732" t="s">
        <v>291</v>
      </c>
      <c r="E7732" t="s">
        <v>420</v>
      </c>
      <c r="F7732">
        <f>HYPERLINK("https://www.wikidata.org/wiki/Q33323082", "Q33323082")</f>
        <v>0</v>
      </c>
      <c r="G7732" t="s">
        <v>957</v>
      </c>
      <c r="H7732" t="s">
        <v>5709</v>
      </c>
      <c r="I7732" t="s">
        <v>6166</v>
      </c>
      <c r="J7732" t="s">
        <v>11698</v>
      </c>
      <c r="K7732" t="s">
        <v>16099</v>
      </c>
      <c r="L7732">
        <f>HYPERLINK("https://www2.assemblee-nationale.fr/sycomore/fiche/(num_dept)/3097", "3097")</f>
        <v>0</v>
      </c>
      <c r="N7732">
        <f>HYPERLINK("https://www.wikidata.org/wiki/Q868324", "Q868324")</f>
        <v>0</v>
      </c>
      <c r="O7732" t="s">
        <v>20014</v>
      </c>
      <c r="P7732" t="s">
        <v>20485</v>
      </c>
      <c r="Q7732" t="s">
        <v>18994</v>
      </c>
      <c r="R7732" t="s">
        <v>420</v>
      </c>
      <c r="S7732">
        <v>1481</v>
      </c>
    </row>
    <row r="7733" spans="1:19">
      <c r="A7733" t="s">
        <v>30</v>
      </c>
      <c r="B7733" t="s">
        <v>148</v>
      </c>
      <c r="C7733" t="s">
        <v>162</v>
      </c>
      <c r="D7733" t="s">
        <v>291</v>
      </c>
      <c r="E7733" t="s">
        <v>420</v>
      </c>
      <c r="F7733">
        <f>HYPERLINK("https://www.wikidata.org/wiki/Q33323082", "Q33323082")</f>
        <v>0</v>
      </c>
      <c r="G7733" t="s">
        <v>4119</v>
      </c>
      <c r="H7733" t="s">
        <v>8070</v>
      </c>
      <c r="I7733" t="s">
        <v>9385</v>
      </c>
      <c r="J7733" t="s">
        <v>14653</v>
      </c>
      <c r="K7733" t="s">
        <v>16559</v>
      </c>
      <c r="L7733">
        <f>HYPERLINK("https://www2.assemblee-nationale.fr/sycomore/fiche/(num_dept)/3169", "3169")</f>
        <v>0</v>
      </c>
      <c r="N7733">
        <f>HYPERLINK("https://www.wikidata.org/wiki/Q8308220", "Q8308220")</f>
        <v>0</v>
      </c>
      <c r="O7733" t="s">
        <v>20033</v>
      </c>
      <c r="P7733" t="s">
        <v>20410</v>
      </c>
      <c r="Q7733" t="s">
        <v>18994</v>
      </c>
      <c r="R7733" t="s">
        <v>420</v>
      </c>
      <c r="S7733">
        <v>1481</v>
      </c>
    </row>
    <row r="7734" spans="1:19">
      <c r="A7734" t="s">
        <v>30</v>
      </c>
      <c r="B7734" t="s">
        <v>148</v>
      </c>
      <c r="C7734" t="s">
        <v>162</v>
      </c>
      <c r="D7734" t="s">
        <v>291</v>
      </c>
      <c r="E7734" t="s">
        <v>420</v>
      </c>
      <c r="F7734">
        <f>HYPERLINK("https://www.wikidata.org/wiki/Q33323082", "Q33323082")</f>
        <v>0</v>
      </c>
      <c r="G7734" t="s">
        <v>3978</v>
      </c>
      <c r="H7734" t="s">
        <v>8221</v>
      </c>
      <c r="I7734" t="s">
        <v>5528</v>
      </c>
      <c r="J7734" t="s">
        <v>14527</v>
      </c>
      <c r="K7734" t="s">
        <v>18870</v>
      </c>
      <c r="L7734">
        <f>HYPERLINK("https://www2.assemblee-nationale.fr/sycomore/fiche/(num_dept)/3234", "3234")</f>
        <v>0</v>
      </c>
      <c r="N7734">
        <f>HYPERLINK("https://www.wikidata.org/wiki/Q3270977", "Q3270977")</f>
        <v>0</v>
      </c>
      <c r="O7734" t="s">
        <v>20019</v>
      </c>
      <c r="P7734" t="s">
        <v>20402</v>
      </c>
      <c r="Q7734" t="s">
        <v>18994</v>
      </c>
      <c r="R7734" t="s">
        <v>420</v>
      </c>
      <c r="S7734">
        <v>1481</v>
      </c>
    </row>
    <row r="7735" spans="1:19">
      <c r="A7735" t="s">
        <v>30</v>
      </c>
      <c r="B7735" t="s">
        <v>148</v>
      </c>
      <c r="C7735" t="s">
        <v>162</v>
      </c>
      <c r="D7735" t="s">
        <v>291</v>
      </c>
      <c r="E7735" t="s">
        <v>420</v>
      </c>
      <c r="F7735">
        <f>HYPERLINK("https://www.wikidata.org/wiki/Q33323082", "Q33323082")</f>
        <v>0</v>
      </c>
      <c r="G7735" t="s">
        <v>4037</v>
      </c>
      <c r="H7735" t="s">
        <v>8267</v>
      </c>
      <c r="I7735" t="s">
        <v>9472</v>
      </c>
      <c r="J7735" t="s">
        <v>14578</v>
      </c>
      <c r="K7735" t="s">
        <v>18920</v>
      </c>
      <c r="L7735">
        <f>HYPERLINK("https://www2.assemblee-nationale.fr/sycomore/fiche/(num_dept)/3345", "3345")</f>
        <v>0</v>
      </c>
      <c r="M7735">
        <f>HYPERLINK("https://www.senat.fr/senateur-3eme-republique/gentil_hippolyte1639r3.html", "gentil_hippolyte1639r3")</f>
        <v>0</v>
      </c>
      <c r="N7735">
        <f>HYPERLINK("https://www.wikidata.org/wiki/Q3136063", "Q3136063")</f>
        <v>0</v>
      </c>
      <c r="O7735" t="s">
        <v>20021</v>
      </c>
      <c r="P7735" t="s">
        <v>20471</v>
      </c>
      <c r="Q7735" t="s">
        <v>18994</v>
      </c>
      <c r="R7735" t="s">
        <v>420</v>
      </c>
      <c r="S7735">
        <v>1481</v>
      </c>
    </row>
    <row r="7736" spans="1:19">
      <c r="A7736" t="s">
        <v>30</v>
      </c>
      <c r="B7736" t="s">
        <v>148</v>
      </c>
      <c r="C7736" t="s">
        <v>162</v>
      </c>
      <c r="D7736" t="s">
        <v>291</v>
      </c>
      <c r="E7736" t="s">
        <v>420</v>
      </c>
      <c r="F7736">
        <f>HYPERLINK("https://www.wikidata.org/wiki/Q33323082", "Q33323082")</f>
        <v>0</v>
      </c>
      <c r="G7736" t="s">
        <v>3980</v>
      </c>
      <c r="H7736" t="s">
        <v>7822</v>
      </c>
      <c r="I7736" t="s">
        <v>9552</v>
      </c>
      <c r="J7736" t="s">
        <v>14529</v>
      </c>
      <c r="K7736" t="s">
        <v>18872</v>
      </c>
      <c r="L7736">
        <f>HYPERLINK("https://www2.assemblee-nationale.fr/sycomore/fiche/(num_dept)/3384", "3384")</f>
        <v>0</v>
      </c>
      <c r="M7736">
        <f>HYPERLINK("https://www.senat.fr/senateur-3eme-republique/gervais_auguste1416r3.html", "gervais_auguste1416r3")</f>
        <v>0</v>
      </c>
      <c r="N7736">
        <f>HYPERLINK("https://www.wikidata.org/wiki/Q2871200", "Q2871200")</f>
        <v>0</v>
      </c>
      <c r="O7736" t="s">
        <v>19969</v>
      </c>
      <c r="P7736" t="s">
        <v>20471</v>
      </c>
      <c r="Q7736" t="s">
        <v>18994</v>
      </c>
      <c r="R7736" t="s">
        <v>420</v>
      </c>
      <c r="S7736">
        <v>1481</v>
      </c>
    </row>
    <row r="7737" spans="1:19">
      <c r="A7737" t="s">
        <v>30</v>
      </c>
      <c r="B7737" t="s">
        <v>148</v>
      </c>
      <c r="C7737" t="s">
        <v>162</v>
      </c>
      <c r="D7737" t="s">
        <v>291</v>
      </c>
      <c r="E7737" t="s">
        <v>420</v>
      </c>
      <c r="F7737">
        <f>HYPERLINK("https://www.wikidata.org/wiki/Q33323082", "Q33323082")</f>
        <v>0</v>
      </c>
      <c r="G7737" t="s">
        <v>4120</v>
      </c>
      <c r="H7737" t="s">
        <v>5422</v>
      </c>
      <c r="I7737" t="s">
        <v>6495</v>
      </c>
      <c r="J7737" t="s">
        <v>14654</v>
      </c>
      <c r="K7737" t="s">
        <v>18989</v>
      </c>
      <c r="L7737">
        <f>HYPERLINK("https://www2.assemblee-nationale.fr/sycomore/fiche/(num_dept)/3444", "3444")</f>
        <v>0</v>
      </c>
      <c r="N7737">
        <f>HYPERLINK("https://www.wikidata.org/wiki/Q16025784", "Q16025784")</f>
        <v>0</v>
      </c>
      <c r="O7737" t="s">
        <v>20026</v>
      </c>
      <c r="P7737" t="s">
        <v>20401</v>
      </c>
      <c r="Q7737" t="s">
        <v>18994</v>
      </c>
      <c r="R7737" t="s">
        <v>420</v>
      </c>
      <c r="S7737">
        <v>1481</v>
      </c>
    </row>
    <row r="7738" spans="1:19">
      <c r="A7738" t="s">
        <v>30</v>
      </c>
      <c r="B7738" t="s">
        <v>148</v>
      </c>
      <c r="C7738" t="s">
        <v>162</v>
      </c>
      <c r="D7738" t="s">
        <v>291</v>
      </c>
      <c r="E7738" t="s">
        <v>420</v>
      </c>
      <c r="F7738">
        <f>HYPERLINK("https://www.wikidata.org/wiki/Q33323082", "Q33323082")</f>
        <v>0</v>
      </c>
      <c r="G7738" t="s">
        <v>1259</v>
      </c>
      <c r="H7738" t="s">
        <v>5983</v>
      </c>
      <c r="I7738" t="s">
        <v>9612</v>
      </c>
      <c r="J7738" t="s">
        <v>11989</v>
      </c>
      <c r="K7738" t="s">
        <v>16392</v>
      </c>
      <c r="L7738">
        <f>HYPERLINK("https://www2.assemblee-nationale.fr/sycomore/fiche/(num_dept)/3463", "3463")</f>
        <v>0</v>
      </c>
      <c r="N7738">
        <f>HYPERLINK("https://www.wikidata.org/wiki/Q16025792", "Q16025792")</f>
        <v>0</v>
      </c>
      <c r="O7738" t="s">
        <v>19982</v>
      </c>
      <c r="P7738" t="s">
        <v>20457</v>
      </c>
      <c r="Q7738" t="s">
        <v>18994</v>
      </c>
      <c r="R7738" t="s">
        <v>420</v>
      </c>
      <c r="S7738">
        <v>1481</v>
      </c>
    </row>
    <row r="7739" spans="1:19">
      <c r="A7739" t="s">
        <v>30</v>
      </c>
      <c r="B7739" t="s">
        <v>148</v>
      </c>
      <c r="C7739" t="s">
        <v>162</v>
      </c>
      <c r="D7739" t="s">
        <v>291</v>
      </c>
      <c r="E7739" t="s">
        <v>420</v>
      </c>
      <c r="F7739">
        <f>HYPERLINK("https://www.wikidata.org/wiki/Q33323082", "Q33323082")</f>
        <v>0</v>
      </c>
      <c r="G7739" t="s">
        <v>3781</v>
      </c>
      <c r="H7739" t="s">
        <v>8074</v>
      </c>
      <c r="I7739" t="s">
        <v>9391</v>
      </c>
      <c r="J7739" t="s">
        <v>14351</v>
      </c>
      <c r="K7739" t="s">
        <v>18703</v>
      </c>
      <c r="L7739">
        <f>HYPERLINK("https://www2.assemblee-nationale.fr/sycomore/fiche/(num_dept)/3497", "3497")</f>
        <v>0</v>
      </c>
      <c r="N7739">
        <f>HYPERLINK("https://www.wikidata.org/wiki/Q7124392", "Q7124392")</f>
        <v>0</v>
      </c>
      <c r="O7739" t="s">
        <v>20032</v>
      </c>
      <c r="P7739" t="s">
        <v>20477</v>
      </c>
      <c r="Q7739" t="s">
        <v>18994</v>
      </c>
      <c r="R7739" t="s">
        <v>420</v>
      </c>
      <c r="S7739">
        <v>1481</v>
      </c>
    </row>
    <row r="7740" spans="1:19">
      <c r="A7740" t="s">
        <v>30</v>
      </c>
      <c r="B7740" t="s">
        <v>148</v>
      </c>
      <c r="C7740" t="s">
        <v>162</v>
      </c>
      <c r="D7740" t="s">
        <v>291</v>
      </c>
      <c r="E7740" t="s">
        <v>420</v>
      </c>
      <c r="F7740">
        <f>HYPERLINK("https://www.wikidata.org/wiki/Q33323082", "Q33323082")</f>
        <v>0</v>
      </c>
      <c r="G7740" t="s">
        <v>3983</v>
      </c>
      <c r="H7740" t="s">
        <v>8224</v>
      </c>
      <c r="I7740" t="s">
        <v>9388</v>
      </c>
      <c r="J7740" t="s">
        <v>14532</v>
      </c>
      <c r="K7740" t="s">
        <v>18874</v>
      </c>
      <c r="L7740">
        <f>HYPERLINK("https://www2.assemblee-nationale.fr/sycomore/fiche/(num_dept)/3530", "3530")</f>
        <v>0</v>
      </c>
      <c r="M7740">
        <f>HYPERLINK("https://www.senat.fr/senateur-3eme-republique/gouzy_paul1686r3.html", "gouzy_paul1686r3")</f>
        <v>0</v>
      </c>
      <c r="N7740">
        <f>HYPERLINK("https://www.wikidata.org/wiki/Q3371348", "Q3371348")</f>
        <v>0</v>
      </c>
      <c r="O7740" t="s">
        <v>19962</v>
      </c>
      <c r="P7740" t="s">
        <v>20471</v>
      </c>
      <c r="Q7740" t="s">
        <v>18994</v>
      </c>
      <c r="R7740" t="s">
        <v>420</v>
      </c>
      <c r="S7740">
        <v>1481</v>
      </c>
    </row>
    <row r="7741" spans="1:19">
      <c r="A7741" t="s">
        <v>30</v>
      </c>
      <c r="B7741" t="s">
        <v>148</v>
      </c>
      <c r="C7741" t="s">
        <v>162</v>
      </c>
      <c r="D7741" t="s">
        <v>291</v>
      </c>
      <c r="E7741" t="s">
        <v>420</v>
      </c>
      <c r="F7741">
        <f>HYPERLINK("https://www.wikidata.org/wiki/Q33323082", "Q33323082")</f>
        <v>0</v>
      </c>
      <c r="G7741" t="s">
        <v>4121</v>
      </c>
      <c r="H7741" t="s">
        <v>8329</v>
      </c>
      <c r="I7741" t="s">
        <v>6175</v>
      </c>
      <c r="J7741" t="s">
        <v>14655</v>
      </c>
      <c r="K7741" t="s">
        <v>18990</v>
      </c>
      <c r="L7741">
        <f>HYPERLINK("https://www2.assemblee-nationale.fr/sycomore/fiche/(num_dept)/3604", "3604")</f>
        <v>0</v>
      </c>
      <c r="N7741">
        <f>HYPERLINK("https://www.wikidata.org/wiki/Q3102811", "Q3102811")</f>
        <v>0</v>
      </c>
      <c r="O7741" t="s">
        <v>19973</v>
      </c>
      <c r="Q7741" t="s">
        <v>18994</v>
      </c>
      <c r="R7741" t="s">
        <v>420</v>
      </c>
      <c r="S7741">
        <v>1481</v>
      </c>
    </row>
    <row r="7742" spans="1:19">
      <c r="A7742" t="s">
        <v>30</v>
      </c>
      <c r="B7742" t="s">
        <v>148</v>
      </c>
      <c r="C7742" t="s">
        <v>162</v>
      </c>
      <c r="D7742" t="s">
        <v>291</v>
      </c>
      <c r="E7742" t="s">
        <v>420</v>
      </c>
      <c r="F7742">
        <f>HYPERLINK("https://www.wikidata.org/wiki/Q33323082", "Q33323082")</f>
        <v>0</v>
      </c>
      <c r="G7742" t="s">
        <v>3784</v>
      </c>
      <c r="H7742" t="s">
        <v>7829</v>
      </c>
      <c r="I7742" t="s">
        <v>10974</v>
      </c>
      <c r="J7742" t="s">
        <v>14354</v>
      </c>
      <c r="K7742" t="s">
        <v>18706</v>
      </c>
      <c r="L7742">
        <f>HYPERLINK("https://www2.assemblee-nationale.fr/sycomore/fiche/(num_dept)/3608", "3608")</f>
        <v>0</v>
      </c>
      <c r="N7742">
        <f>HYPERLINK("https://www.wikidata.org/wiki/Q1118848", "Q1118848")</f>
        <v>0</v>
      </c>
      <c r="O7742" t="s">
        <v>19969</v>
      </c>
      <c r="P7742" t="s">
        <v>20477</v>
      </c>
      <c r="Q7742" t="s">
        <v>18994</v>
      </c>
      <c r="R7742" t="s">
        <v>420</v>
      </c>
      <c r="S7742">
        <v>1481</v>
      </c>
    </row>
    <row r="7743" spans="1:19">
      <c r="A7743" t="s">
        <v>30</v>
      </c>
      <c r="B7743" t="s">
        <v>148</v>
      </c>
      <c r="C7743" t="s">
        <v>162</v>
      </c>
      <c r="D7743" t="s">
        <v>291</v>
      </c>
      <c r="E7743" t="s">
        <v>420</v>
      </c>
      <c r="F7743">
        <f>HYPERLINK("https://www.wikidata.org/wiki/Q33323082", "Q33323082")</f>
        <v>0</v>
      </c>
      <c r="G7743" t="s">
        <v>3617</v>
      </c>
      <c r="H7743" t="s">
        <v>7959</v>
      </c>
      <c r="I7743" t="s">
        <v>9508</v>
      </c>
      <c r="J7743" t="s">
        <v>11328</v>
      </c>
      <c r="K7743" t="s">
        <v>18567</v>
      </c>
      <c r="L7743">
        <f>HYPERLINK("https://www2.assemblee-nationale.fr/sycomore/fiche/(num_dept)/3659", "3659")</f>
        <v>0</v>
      </c>
      <c r="N7743">
        <f>HYPERLINK("https://www.wikidata.org/wiki/Q3383454", "Q3383454")</f>
        <v>0</v>
      </c>
      <c r="O7743" t="s">
        <v>19961</v>
      </c>
      <c r="P7743" t="s">
        <v>20477</v>
      </c>
      <c r="Q7743" t="s">
        <v>18994</v>
      </c>
      <c r="R7743" t="s">
        <v>420</v>
      </c>
      <c r="S7743">
        <v>1481</v>
      </c>
    </row>
    <row r="7744" spans="1:19">
      <c r="A7744" t="s">
        <v>30</v>
      </c>
      <c r="B7744" t="s">
        <v>148</v>
      </c>
      <c r="C7744" t="s">
        <v>162</v>
      </c>
      <c r="D7744" t="s">
        <v>291</v>
      </c>
      <c r="E7744" t="s">
        <v>420</v>
      </c>
      <c r="F7744">
        <f>HYPERLINK("https://www.wikidata.org/wiki/Q33323082", "Q33323082")</f>
        <v>0</v>
      </c>
      <c r="G7744" t="s">
        <v>4122</v>
      </c>
      <c r="H7744" t="s">
        <v>8330</v>
      </c>
      <c r="I7744" t="s">
        <v>6200</v>
      </c>
      <c r="J7744" t="s">
        <v>14656</v>
      </c>
      <c r="K7744" t="s">
        <v>18991</v>
      </c>
      <c r="L7744">
        <f>HYPERLINK("https://www2.assemblee-nationale.fr/sycomore/fiche/(num_dept)/3687", "3687")</f>
        <v>0</v>
      </c>
      <c r="M7744">
        <f>HYPERLINK("https://www.senat.fr/senateur-3eme-republique/guilloteaux_jean0909r3.html", "guilloteaux_jean0909r3")</f>
        <v>0</v>
      </c>
      <c r="N7744">
        <f>HYPERLINK("https://www.wikidata.org/wiki/Q3172435", "Q3172435")</f>
        <v>0</v>
      </c>
      <c r="O7744" t="s">
        <v>19961</v>
      </c>
      <c r="P7744" t="s">
        <v>20410</v>
      </c>
      <c r="Q7744" t="s">
        <v>18994</v>
      </c>
      <c r="R7744" t="s">
        <v>420</v>
      </c>
      <c r="S7744">
        <v>1481</v>
      </c>
    </row>
    <row r="7745" spans="1:19">
      <c r="A7745" t="s">
        <v>30</v>
      </c>
      <c r="B7745" t="s">
        <v>148</v>
      </c>
      <c r="C7745" t="s">
        <v>162</v>
      </c>
      <c r="D7745" t="s">
        <v>291</v>
      </c>
      <c r="E7745" t="s">
        <v>420</v>
      </c>
      <c r="F7745">
        <f>HYPERLINK("https://www.wikidata.org/wiki/Q33323082", "Q33323082")</f>
        <v>0</v>
      </c>
      <c r="G7745" t="s">
        <v>2958</v>
      </c>
      <c r="H7745" t="s">
        <v>6192</v>
      </c>
      <c r="I7745" t="s">
        <v>10544</v>
      </c>
      <c r="J7745" t="s">
        <v>13590</v>
      </c>
      <c r="K7745" t="s">
        <v>17976</v>
      </c>
      <c r="L7745">
        <f>HYPERLINK("https://www2.assemblee-nationale.fr/sycomore/fiche/(num_dept)/3896", "3896")</f>
        <v>0</v>
      </c>
      <c r="N7745">
        <f>HYPERLINK("https://www.wikidata.org/wiki/Q352287", "Q352287")</f>
        <v>0</v>
      </c>
      <c r="O7745" t="s">
        <v>19969</v>
      </c>
      <c r="P7745" t="s">
        <v>20485</v>
      </c>
      <c r="Q7745" t="s">
        <v>18994</v>
      </c>
      <c r="R7745" t="s">
        <v>420</v>
      </c>
      <c r="S7745">
        <v>1481</v>
      </c>
    </row>
    <row r="7746" spans="1:19">
      <c r="A7746" t="s">
        <v>30</v>
      </c>
      <c r="B7746" t="s">
        <v>148</v>
      </c>
      <c r="C7746" t="s">
        <v>162</v>
      </c>
      <c r="D7746" t="s">
        <v>291</v>
      </c>
      <c r="E7746" t="s">
        <v>420</v>
      </c>
      <c r="F7746">
        <f>HYPERLINK("https://www.wikidata.org/wiki/Q33323082", "Q33323082")</f>
        <v>0</v>
      </c>
      <c r="G7746" t="s">
        <v>688</v>
      </c>
      <c r="H7746" t="s">
        <v>5446</v>
      </c>
      <c r="I7746" t="s">
        <v>9480</v>
      </c>
      <c r="J7746" t="s">
        <v>11438</v>
      </c>
      <c r="K7746" t="s">
        <v>15839</v>
      </c>
      <c r="L7746">
        <f>HYPERLINK("https://www2.assemblee-nationale.fr/sycomore/fiche/(num_dept)/3936", "3936")</f>
        <v>0</v>
      </c>
      <c r="N7746">
        <f>HYPERLINK("https://www.wikidata.org/wiki/Q3263360", "Q3263360")</f>
        <v>0</v>
      </c>
      <c r="O7746" t="s">
        <v>19970</v>
      </c>
      <c r="P7746" t="s">
        <v>20457</v>
      </c>
      <c r="Q7746" t="s">
        <v>18994</v>
      </c>
      <c r="R7746" t="s">
        <v>420</v>
      </c>
      <c r="S7746">
        <v>1481</v>
      </c>
    </row>
    <row r="7747" spans="1:19">
      <c r="A7747" t="s">
        <v>30</v>
      </c>
      <c r="B7747" t="s">
        <v>148</v>
      </c>
      <c r="C7747" t="s">
        <v>162</v>
      </c>
      <c r="D7747" t="s">
        <v>291</v>
      </c>
      <c r="E7747" t="s">
        <v>420</v>
      </c>
      <c r="F7747">
        <f>HYPERLINK("https://www.wikidata.org/wiki/Q33323082", "Q33323082")</f>
        <v>0</v>
      </c>
      <c r="G7747" t="s">
        <v>3988</v>
      </c>
      <c r="H7747" t="s">
        <v>8229</v>
      </c>
      <c r="I7747" t="s">
        <v>9552</v>
      </c>
      <c r="J7747" t="s">
        <v>14537</v>
      </c>
      <c r="K7747" t="s">
        <v>18879</v>
      </c>
      <c r="L7747">
        <f>HYPERLINK("https://www2.assemblee-nationale.fr/sycomore/fiche/(num_dept)/3942", "3942")</f>
        <v>0</v>
      </c>
      <c r="N7747">
        <f>HYPERLINK("https://www.wikidata.org/wiki/Q2871237", "Q2871237")</f>
        <v>0</v>
      </c>
      <c r="O7747" t="s">
        <v>20011</v>
      </c>
      <c r="P7747" t="s">
        <v>20477</v>
      </c>
      <c r="Q7747" t="s">
        <v>18994</v>
      </c>
      <c r="R7747" t="s">
        <v>420</v>
      </c>
      <c r="S7747">
        <v>1481</v>
      </c>
    </row>
    <row r="7748" spans="1:19">
      <c r="A7748" t="s">
        <v>30</v>
      </c>
      <c r="B7748" t="s">
        <v>148</v>
      </c>
      <c r="C7748" t="s">
        <v>162</v>
      </c>
      <c r="D7748" t="s">
        <v>291</v>
      </c>
      <c r="E7748" t="s">
        <v>420</v>
      </c>
      <c r="F7748">
        <f>HYPERLINK("https://www.wikidata.org/wiki/Q33323082", "Q33323082")</f>
        <v>0</v>
      </c>
      <c r="G7748" t="s">
        <v>4123</v>
      </c>
      <c r="H7748" t="s">
        <v>5452</v>
      </c>
      <c r="I7748" t="s">
        <v>6200</v>
      </c>
      <c r="J7748" t="s">
        <v>14657</v>
      </c>
      <c r="K7748" t="s">
        <v>18992</v>
      </c>
      <c r="L7748">
        <f>HYPERLINK("https://www2.assemblee-nationale.fr/sycomore/fiche/(num_dept)/4085", "4085")</f>
        <v>0</v>
      </c>
      <c r="N7748">
        <f>HYPERLINK("https://www.wikidata.org/wiki/Q3172854", "Q3172854")</f>
        <v>0</v>
      </c>
      <c r="O7748" t="s">
        <v>19979</v>
      </c>
      <c r="P7748" t="s">
        <v>20477</v>
      </c>
      <c r="Q7748" t="s">
        <v>18994</v>
      </c>
      <c r="R7748" t="s">
        <v>420</v>
      </c>
      <c r="S7748">
        <v>1481</v>
      </c>
    </row>
    <row r="7749" spans="1:19">
      <c r="A7749" t="s">
        <v>30</v>
      </c>
      <c r="B7749" t="s">
        <v>148</v>
      </c>
      <c r="C7749" t="s">
        <v>162</v>
      </c>
      <c r="D7749" t="s">
        <v>291</v>
      </c>
      <c r="E7749" t="s">
        <v>420</v>
      </c>
      <c r="F7749">
        <f>HYPERLINK("https://www.wikidata.org/wiki/Q33323082", "Q33323082")</f>
        <v>0</v>
      </c>
      <c r="G7749" t="s">
        <v>3071</v>
      </c>
      <c r="H7749" t="s">
        <v>7522</v>
      </c>
      <c r="I7749" t="s">
        <v>9500</v>
      </c>
      <c r="J7749" t="s">
        <v>13695</v>
      </c>
      <c r="K7749" t="s">
        <v>18078</v>
      </c>
      <c r="L7749">
        <f>HYPERLINK("https://www2.assemblee-nationale.fr/sycomore/fiche/(num_dept)/4172", "4172")</f>
        <v>0</v>
      </c>
      <c r="M7749">
        <f>HYPERLINK("https://www.senat.fr/senateur-3eme-republique/de_la_bourdonnaye_raoul1062r3.html", "de_la_bourdonnaye_raoul1062r3")</f>
        <v>0</v>
      </c>
      <c r="N7749">
        <f>HYPERLINK("https://www.wikidata.org/wiki/Q3292518", "Q3292518")</f>
        <v>0</v>
      </c>
      <c r="O7749" t="s">
        <v>19980</v>
      </c>
      <c r="Q7749" t="s">
        <v>18994</v>
      </c>
      <c r="R7749" t="s">
        <v>420</v>
      </c>
      <c r="S7749">
        <v>1481</v>
      </c>
    </row>
    <row r="7750" spans="1:19">
      <c r="A7750" t="s">
        <v>30</v>
      </c>
      <c r="B7750" t="s">
        <v>148</v>
      </c>
      <c r="C7750" t="s">
        <v>162</v>
      </c>
      <c r="D7750" t="s">
        <v>291</v>
      </c>
      <c r="E7750" t="s">
        <v>420</v>
      </c>
      <c r="F7750">
        <f>HYPERLINK("https://www.wikidata.org/wiki/Q33323082", "Q33323082")</f>
        <v>0</v>
      </c>
      <c r="G7750" t="s">
        <v>980</v>
      </c>
      <c r="H7750" t="s">
        <v>5732</v>
      </c>
      <c r="I7750" t="s">
        <v>6495</v>
      </c>
      <c r="J7750" t="s">
        <v>11718</v>
      </c>
      <c r="K7750" t="s">
        <v>16122</v>
      </c>
      <c r="L7750">
        <f>HYPERLINK("https://www2.assemblee-nationale.fr/sycomore/fiche/(num_dept)/4248", "4248")</f>
        <v>0</v>
      </c>
      <c r="M7750">
        <f>HYPERLINK("https://www.senat.fr/senateur-3eme-republique/lafferre_antonin0251r3.html", "lafferre_antonin0251r3")</f>
        <v>0</v>
      </c>
      <c r="N7750">
        <f>HYPERLINK("https://www.wikidata.org/wiki/Q3262422", "Q3262422")</f>
        <v>0</v>
      </c>
      <c r="O7750" t="s">
        <v>7411</v>
      </c>
      <c r="P7750" t="s">
        <v>20477</v>
      </c>
      <c r="Q7750" t="s">
        <v>18994</v>
      </c>
      <c r="R7750" t="s">
        <v>420</v>
      </c>
      <c r="S7750">
        <v>1481</v>
      </c>
    </row>
    <row r="7751" spans="1:19">
      <c r="A7751" t="s">
        <v>30</v>
      </c>
      <c r="B7751" t="s">
        <v>148</v>
      </c>
      <c r="C7751" t="s">
        <v>162</v>
      </c>
      <c r="D7751" t="s">
        <v>291</v>
      </c>
      <c r="E7751" t="s">
        <v>420</v>
      </c>
      <c r="F7751">
        <f>HYPERLINK("https://www.wikidata.org/wiki/Q33323082", "Q33323082")</f>
        <v>0</v>
      </c>
      <c r="G7751" t="s">
        <v>709</v>
      </c>
      <c r="H7751" t="s">
        <v>5467</v>
      </c>
      <c r="I7751" t="s">
        <v>9457</v>
      </c>
      <c r="J7751" t="s">
        <v>11267</v>
      </c>
      <c r="K7751" t="s">
        <v>15860</v>
      </c>
      <c r="L7751">
        <f>HYPERLINK("https://www2.assemblee-nationale.fr/sycomore/fiche/(num_dept)/4337", "4337")</f>
        <v>0</v>
      </c>
      <c r="N7751">
        <f>HYPERLINK("https://www.wikidata.org/wiki/Q3131419", "Q3131419")</f>
        <v>0</v>
      </c>
      <c r="O7751" t="s">
        <v>20009</v>
      </c>
      <c r="P7751" t="s">
        <v>20479</v>
      </c>
      <c r="Q7751" t="s">
        <v>18994</v>
      </c>
      <c r="R7751" t="s">
        <v>420</v>
      </c>
      <c r="S7751">
        <v>1481</v>
      </c>
    </row>
    <row r="7752" spans="1:19">
      <c r="A7752" t="s">
        <v>30</v>
      </c>
      <c r="B7752" t="s">
        <v>148</v>
      </c>
      <c r="C7752" t="s">
        <v>162</v>
      </c>
      <c r="D7752" t="s">
        <v>291</v>
      </c>
      <c r="E7752" t="s">
        <v>420</v>
      </c>
      <c r="F7752">
        <f>HYPERLINK("https://www.wikidata.org/wiki/Q33323082", "Q33323082")</f>
        <v>0</v>
      </c>
      <c r="G7752" t="s">
        <v>3080</v>
      </c>
      <c r="H7752" t="s">
        <v>6493</v>
      </c>
      <c r="I7752" t="s">
        <v>10616</v>
      </c>
      <c r="J7752" t="s">
        <v>13703</v>
      </c>
      <c r="K7752" t="s">
        <v>18086</v>
      </c>
      <c r="L7752">
        <f>HYPERLINK("https://www2.assemblee-nationale.fr/sycomore/fiche/(num_dept)/4363", "4363")</f>
        <v>0</v>
      </c>
      <c r="N7752">
        <f>HYPERLINK("https://www.wikidata.org/wiki/Q3047523", "Q3047523")</f>
        <v>0</v>
      </c>
      <c r="O7752" t="s">
        <v>20031</v>
      </c>
      <c r="Q7752" t="s">
        <v>18994</v>
      </c>
      <c r="R7752" t="s">
        <v>420</v>
      </c>
      <c r="S7752">
        <v>1481</v>
      </c>
    </row>
    <row r="7753" spans="1:19">
      <c r="A7753" t="s">
        <v>30</v>
      </c>
      <c r="B7753" t="s">
        <v>148</v>
      </c>
      <c r="C7753" t="s">
        <v>162</v>
      </c>
      <c r="D7753" t="s">
        <v>291</v>
      </c>
      <c r="E7753" t="s">
        <v>420</v>
      </c>
      <c r="F7753">
        <f>HYPERLINK("https://www.wikidata.org/wiki/Q33323082", "Q33323082")</f>
        <v>0</v>
      </c>
      <c r="G7753" t="s">
        <v>3922</v>
      </c>
      <c r="H7753" t="s">
        <v>6494</v>
      </c>
      <c r="I7753" t="s">
        <v>9821</v>
      </c>
      <c r="J7753" t="s">
        <v>14478</v>
      </c>
      <c r="K7753" t="s">
        <v>18827</v>
      </c>
      <c r="L7753">
        <f>HYPERLINK("https://www2.assemblee-nationale.fr/sycomore/fiche/(num_dept)/4379", "4379")</f>
        <v>0</v>
      </c>
      <c r="N7753">
        <f>HYPERLINK("https://www.wikidata.org/wiki/Q16011445", "Q16011445")</f>
        <v>0</v>
      </c>
      <c r="O7753" t="s">
        <v>19959</v>
      </c>
      <c r="P7753" t="s">
        <v>20485</v>
      </c>
      <c r="Q7753" t="s">
        <v>18994</v>
      </c>
      <c r="R7753" t="s">
        <v>420</v>
      </c>
      <c r="S7753">
        <v>1481</v>
      </c>
    </row>
    <row r="7754" spans="1:19">
      <c r="A7754" t="s">
        <v>30</v>
      </c>
      <c r="B7754" t="s">
        <v>148</v>
      </c>
      <c r="C7754" t="s">
        <v>162</v>
      </c>
      <c r="D7754" t="s">
        <v>291</v>
      </c>
      <c r="E7754" t="s">
        <v>420</v>
      </c>
      <c r="F7754">
        <f>HYPERLINK("https://www.wikidata.org/wiki/Q33323082", "Q33323082")</f>
        <v>0</v>
      </c>
      <c r="G7754" t="s">
        <v>4124</v>
      </c>
      <c r="H7754" t="s">
        <v>8331</v>
      </c>
      <c r="I7754" t="s">
        <v>11123</v>
      </c>
      <c r="J7754" t="s">
        <v>14658</v>
      </c>
      <c r="K7754" t="s">
        <v>18993</v>
      </c>
      <c r="L7754">
        <f>HYPERLINK("https://www2.assemblee-nationale.fr/sycomore/fiche/(num_dept)/4802", "4802")</f>
        <v>0</v>
      </c>
      <c r="N7754">
        <f>HYPERLINK("https://www.wikidata.org/wiki/Q3293821", "Q3293821")</f>
        <v>0</v>
      </c>
      <c r="O7754" t="s">
        <v>20047</v>
      </c>
      <c r="P7754" t="s">
        <v>20401</v>
      </c>
      <c r="Q7754" t="s">
        <v>18994</v>
      </c>
      <c r="R7754" t="s">
        <v>420</v>
      </c>
      <c r="S7754">
        <v>1481</v>
      </c>
    </row>
    <row r="7755" spans="1:19">
      <c r="A7755" t="s">
        <v>30</v>
      </c>
      <c r="B7755" t="s">
        <v>148</v>
      </c>
      <c r="C7755" t="s">
        <v>162</v>
      </c>
      <c r="D7755" t="s">
        <v>291</v>
      </c>
      <c r="E7755" t="s">
        <v>420</v>
      </c>
      <c r="F7755">
        <f>HYPERLINK("https://www.wikidata.org/wiki/Q33323082", "Q33323082")</f>
        <v>0</v>
      </c>
      <c r="G7755" t="s">
        <v>4125</v>
      </c>
      <c r="H7755" t="s">
        <v>8332</v>
      </c>
      <c r="I7755" t="s">
        <v>6860</v>
      </c>
      <c r="J7755" t="s">
        <v>14659</v>
      </c>
      <c r="K7755" t="s">
        <v>18994</v>
      </c>
      <c r="L7755">
        <f>HYPERLINK("https://www2.assemblee-nationale.fr/sycomore/fiche/(num_dept)/4815", "4815")</f>
        <v>0</v>
      </c>
      <c r="N7755">
        <f>HYPERLINK("https://www.wikidata.org/wiki/Q8342609", "Q8342609")</f>
        <v>0</v>
      </c>
      <c r="O7755" t="s">
        <v>20013</v>
      </c>
      <c r="Q7755" t="s">
        <v>18994</v>
      </c>
      <c r="R7755" t="s">
        <v>18994</v>
      </c>
      <c r="S7755">
        <v>0</v>
      </c>
    </row>
    <row r="7756" spans="1:19">
      <c r="A7756" t="s">
        <v>30</v>
      </c>
      <c r="B7756" t="s">
        <v>148</v>
      </c>
      <c r="C7756" t="s">
        <v>162</v>
      </c>
      <c r="D7756" t="s">
        <v>291</v>
      </c>
      <c r="E7756" t="s">
        <v>420</v>
      </c>
      <c r="F7756">
        <f>HYPERLINK("https://www.wikidata.org/wiki/Q33323082", "Q33323082")</f>
        <v>0</v>
      </c>
      <c r="G7756" t="s">
        <v>4126</v>
      </c>
      <c r="H7756" t="s">
        <v>8333</v>
      </c>
      <c r="I7756" t="s">
        <v>9457</v>
      </c>
      <c r="J7756" t="s">
        <v>14660</v>
      </c>
      <c r="K7756" t="s">
        <v>18995</v>
      </c>
      <c r="L7756">
        <f>HYPERLINK("https://www2.assemblee-nationale.fr/sycomore/fiche/(num_dept)/4837", "4837")</f>
        <v>0</v>
      </c>
      <c r="M7756">
        <f>HYPERLINK("https://www.senat.fr/senateur-3eme-republique/loze_henri1421r3.html", "loze_henri1421r3")</f>
        <v>0</v>
      </c>
      <c r="N7756">
        <f>HYPERLINK("https://www.wikidata.org/wiki/Q3131524", "Q3131524")</f>
        <v>0</v>
      </c>
      <c r="O7756" t="s">
        <v>20013</v>
      </c>
      <c r="Q7756" t="s">
        <v>18994</v>
      </c>
      <c r="R7756" t="s">
        <v>21624</v>
      </c>
      <c r="S7756">
        <v>1373</v>
      </c>
    </row>
    <row r="7757" spans="1:19">
      <c r="A7757" t="s">
        <v>30</v>
      </c>
      <c r="B7757" t="s">
        <v>148</v>
      </c>
      <c r="C7757" t="s">
        <v>162</v>
      </c>
      <c r="D7757" t="s">
        <v>291</v>
      </c>
      <c r="E7757" t="s">
        <v>420</v>
      </c>
      <c r="F7757">
        <f>HYPERLINK("https://www.wikidata.org/wiki/Q33323082", "Q33323082")</f>
        <v>0</v>
      </c>
      <c r="G7757" t="s">
        <v>990</v>
      </c>
      <c r="H7757" t="s">
        <v>5742</v>
      </c>
      <c r="I7757" t="s">
        <v>9389</v>
      </c>
      <c r="J7757" t="s">
        <v>11728</v>
      </c>
      <c r="K7757" t="s">
        <v>16132</v>
      </c>
      <c r="L7757">
        <f>HYPERLINK("https://www2.assemblee-nationale.fr/sycomore/fiche/(num_dept)/4888", "4888")</f>
        <v>0</v>
      </c>
      <c r="N7757">
        <f>HYPERLINK("https://www.wikidata.org/wiki/Q8327328", "Q8327328")</f>
        <v>0</v>
      </c>
      <c r="O7757" t="s">
        <v>20015</v>
      </c>
      <c r="P7757" t="s">
        <v>20401</v>
      </c>
      <c r="Q7757" t="s">
        <v>18994</v>
      </c>
      <c r="R7757" t="s">
        <v>420</v>
      </c>
      <c r="S7757">
        <v>1481</v>
      </c>
    </row>
    <row r="7758" spans="1:19">
      <c r="A7758" t="s">
        <v>30</v>
      </c>
      <c r="B7758" t="s">
        <v>148</v>
      </c>
      <c r="C7758" t="s">
        <v>162</v>
      </c>
      <c r="D7758" t="s">
        <v>291</v>
      </c>
      <c r="E7758" t="s">
        <v>420</v>
      </c>
      <c r="F7758">
        <f>HYPERLINK("https://www.wikidata.org/wiki/Q33323082", "Q33323082")</f>
        <v>0</v>
      </c>
      <c r="G7758" t="s">
        <v>4127</v>
      </c>
      <c r="H7758" t="s">
        <v>8334</v>
      </c>
      <c r="I7758" t="s">
        <v>11124</v>
      </c>
      <c r="J7758" t="s">
        <v>13699</v>
      </c>
      <c r="K7758" t="s">
        <v>18996</v>
      </c>
      <c r="L7758">
        <f>HYPERLINK("https://www2.assemblee-nationale.fr/sycomore/fiche/(num_dept)/4975", "4975")</f>
        <v>0</v>
      </c>
      <c r="N7758">
        <f>HYPERLINK("https://www.wikidata.org/wiki/Q16026039", "Q16026039")</f>
        <v>0</v>
      </c>
      <c r="O7758" t="s">
        <v>20037</v>
      </c>
      <c r="Q7758" t="s">
        <v>18994</v>
      </c>
      <c r="R7758" t="s">
        <v>18219</v>
      </c>
      <c r="S7758">
        <v>50</v>
      </c>
    </row>
    <row r="7759" spans="1:19">
      <c r="A7759" t="s">
        <v>30</v>
      </c>
      <c r="B7759" t="s">
        <v>148</v>
      </c>
      <c r="C7759" t="s">
        <v>162</v>
      </c>
      <c r="D7759" t="s">
        <v>291</v>
      </c>
      <c r="E7759" t="s">
        <v>420</v>
      </c>
      <c r="F7759">
        <f>HYPERLINK("https://www.wikidata.org/wiki/Q33323082", "Q33323082")</f>
        <v>0</v>
      </c>
      <c r="G7759" t="s">
        <v>2624</v>
      </c>
      <c r="H7759" t="s">
        <v>7171</v>
      </c>
      <c r="I7759" t="s">
        <v>6478</v>
      </c>
      <c r="J7759" t="s">
        <v>13267</v>
      </c>
      <c r="K7759" t="s">
        <v>17668</v>
      </c>
      <c r="L7759">
        <f>HYPERLINK("https://www2.assemblee-nationale.fr/sycomore/fiche/(num_dept)/4988", "4988")</f>
        <v>0</v>
      </c>
      <c r="N7759">
        <f>HYPERLINK("https://www.wikidata.org/wiki/Q3131564", "Q3131564")</f>
        <v>0</v>
      </c>
      <c r="O7759" t="s">
        <v>19996</v>
      </c>
      <c r="P7759" t="s">
        <v>20477</v>
      </c>
      <c r="Q7759" t="s">
        <v>18994</v>
      </c>
      <c r="R7759" t="s">
        <v>420</v>
      </c>
      <c r="S7759">
        <v>1481</v>
      </c>
    </row>
    <row r="7760" spans="1:19">
      <c r="A7760" t="s">
        <v>30</v>
      </c>
      <c r="B7760" t="s">
        <v>148</v>
      </c>
      <c r="C7760" t="s">
        <v>162</v>
      </c>
      <c r="D7760" t="s">
        <v>291</v>
      </c>
      <c r="E7760" t="s">
        <v>420</v>
      </c>
      <c r="F7760">
        <f>HYPERLINK("https://www.wikidata.org/wiki/Q33323082", "Q33323082")</f>
        <v>0</v>
      </c>
      <c r="G7760" t="s">
        <v>4128</v>
      </c>
      <c r="H7760" t="s">
        <v>7174</v>
      </c>
      <c r="I7760" t="s">
        <v>11125</v>
      </c>
      <c r="J7760" t="s">
        <v>14661</v>
      </c>
      <c r="K7760" t="s">
        <v>18997</v>
      </c>
      <c r="L7760">
        <f>HYPERLINK("https://www2.assemblee-nationale.fr/sycomore/fiche/(num_dept)/5062", "5062")</f>
        <v>0</v>
      </c>
      <c r="N7760">
        <f>HYPERLINK("https://www.wikidata.org/wiki/Q16026061", "Q16026061")</f>
        <v>0</v>
      </c>
      <c r="O7760" t="s">
        <v>7411</v>
      </c>
      <c r="P7760" t="s">
        <v>20477</v>
      </c>
      <c r="Q7760" t="s">
        <v>18994</v>
      </c>
      <c r="R7760" t="s">
        <v>420</v>
      </c>
      <c r="S7760">
        <v>1481</v>
      </c>
    </row>
    <row r="7761" spans="1:19">
      <c r="A7761" t="s">
        <v>30</v>
      </c>
      <c r="B7761" t="s">
        <v>148</v>
      </c>
      <c r="C7761" t="s">
        <v>162</v>
      </c>
      <c r="D7761" t="s">
        <v>291</v>
      </c>
      <c r="E7761" t="s">
        <v>420</v>
      </c>
      <c r="F7761">
        <f>HYPERLINK("https://www.wikidata.org/wiki/Q33323082", "Q33323082")</f>
        <v>0</v>
      </c>
      <c r="G7761" t="s">
        <v>998</v>
      </c>
      <c r="H7761" t="s">
        <v>5750</v>
      </c>
      <c r="I7761" t="s">
        <v>9458</v>
      </c>
      <c r="J7761" t="s">
        <v>11736</v>
      </c>
      <c r="K7761" t="s">
        <v>16139</v>
      </c>
      <c r="L7761">
        <f>HYPERLINK("https://www2.assemblee-nationale.fr/sycomore/fiche/(num_dept)/5071", "5071")</f>
        <v>0</v>
      </c>
      <c r="M7761">
        <f>HYPERLINK("https://www.senat.fr/senateur-3eme-republique/masse_alfred1255r3.html", "masse_alfred1255r3")</f>
        <v>0</v>
      </c>
      <c r="N7761">
        <f>HYPERLINK("https://www.wikidata.org/wiki/Q2835313", "Q2835313")</f>
        <v>0</v>
      </c>
      <c r="O7761" t="s">
        <v>20032</v>
      </c>
      <c r="P7761" t="s">
        <v>20477</v>
      </c>
      <c r="Q7761" t="s">
        <v>18994</v>
      </c>
      <c r="R7761" t="s">
        <v>420</v>
      </c>
      <c r="S7761">
        <v>1481</v>
      </c>
    </row>
    <row r="7762" spans="1:19">
      <c r="A7762" t="s">
        <v>30</v>
      </c>
      <c r="B7762" t="s">
        <v>148</v>
      </c>
      <c r="C7762" t="s">
        <v>162</v>
      </c>
      <c r="D7762" t="s">
        <v>291</v>
      </c>
      <c r="E7762" t="s">
        <v>420</v>
      </c>
      <c r="F7762">
        <f>HYPERLINK("https://www.wikidata.org/wiki/Q33323082", "Q33323082")</f>
        <v>0</v>
      </c>
      <c r="G7762" t="s">
        <v>3578</v>
      </c>
      <c r="H7762" t="s">
        <v>7929</v>
      </c>
      <c r="I7762" t="s">
        <v>9534</v>
      </c>
      <c r="J7762" t="s">
        <v>14165</v>
      </c>
      <c r="K7762" t="s">
        <v>18534</v>
      </c>
      <c r="L7762">
        <f>HYPERLINK("https://www2.assemblee-nationale.fr/sycomore/fiche/(num_dept)/5116", "5116")</f>
        <v>0</v>
      </c>
      <c r="M7762">
        <f>HYPERLINK("https://www.senat.fr/senateur-3eme-republique/maujan_adolphe1560r3.html", "maujan_adolphe1560r3")</f>
        <v>0</v>
      </c>
      <c r="N7762">
        <f>HYPERLINK("https://www.wikidata.org/wiki/Q2824874", "Q2824874")</f>
        <v>0</v>
      </c>
      <c r="O7762" t="s">
        <v>19969</v>
      </c>
      <c r="P7762" t="s">
        <v>20477</v>
      </c>
      <c r="Q7762" t="s">
        <v>18994</v>
      </c>
      <c r="R7762" t="s">
        <v>420</v>
      </c>
      <c r="S7762">
        <v>1481</v>
      </c>
    </row>
    <row r="7763" spans="1:19">
      <c r="A7763" t="s">
        <v>30</v>
      </c>
      <c r="B7763" t="s">
        <v>148</v>
      </c>
      <c r="C7763" t="s">
        <v>162</v>
      </c>
      <c r="D7763" t="s">
        <v>291</v>
      </c>
      <c r="E7763" t="s">
        <v>420</v>
      </c>
      <c r="F7763">
        <f>HYPERLINK("https://www.wikidata.org/wiki/Q33323082", "Q33323082")</f>
        <v>0</v>
      </c>
      <c r="G7763" t="s">
        <v>3580</v>
      </c>
      <c r="H7763" t="s">
        <v>7930</v>
      </c>
      <c r="I7763" t="s">
        <v>6860</v>
      </c>
      <c r="J7763" t="s">
        <v>14167</v>
      </c>
      <c r="K7763" t="s">
        <v>18536</v>
      </c>
      <c r="L7763">
        <f>HYPERLINK("https://www2.assemblee-nationale.fr/sycomore/fiche/(num_dept)/5209", "5209")</f>
        <v>0</v>
      </c>
      <c r="N7763">
        <f>HYPERLINK("https://www.wikidata.org/wiki/Q3386255", "Q3386255")</f>
        <v>0</v>
      </c>
      <c r="O7763" t="s">
        <v>20034</v>
      </c>
      <c r="P7763" t="s">
        <v>20477</v>
      </c>
      <c r="Q7763" t="s">
        <v>18994</v>
      </c>
      <c r="R7763" t="s">
        <v>420</v>
      </c>
      <c r="S7763">
        <v>1481</v>
      </c>
    </row>
    <row r="7764" spans="1:19">
      <c r="A7764" t="s">
        <v>30</v>
      </c>
      <c r="B7764" t="s">
        <v>148</v>
      </c>
      <c r="C7764" t="s">
        <v>162</v>
      </c>
      <c r="D7764" t="s">
        <v>291</v>
      </c>
      <c r="E7764" t="s">
        <v>420</v>
      </c>
      <c r="F7764">
        <f>HYPERLINK("https://www.wikidata.org/wiki/Q33323082", "Q33323082")</f>
        <v>0</v>
      </c>
      <c r="G7764" t="s">
        <v>1002</v>
      </c>
      <c r="H7764" t="s">
        <v>5753</v>
      </c>
      <c r="I7764" t="s">
        <v>9445</v>
      </c>
      <c r="J7764" t="s">
        <v>11739</v>
      </c>
      <c r="K7764" t="s">
        <v>16143</v>
      </c>
      <c r="L7764">
        <f>HYPERLINK("https://www2.assemblee-nationale.fr/sycomore/fiche/(num_dept)/5213", "5213")</f>
        <v>0</v>
      </c>
      <c r="N7764">
        <f>HYPERLINK("https://www.wikidata.org/wiki/Q16026091", "Q16026091")</f>
        <v>0</v>
      </c>
      <c r="O7764" t="s">
        <v>19969</v>
      </c>
      <c r="P7764" t="s">
        <v>20485</v>
      </c>
      <c r="Q7764" t="s">
        <v>18994</v>
      </c>
      <c r="R7764" t="s">
        <v>420</v>
      </c>
      <c r="S7764">
        <v>1481</v>
      </c>
    </row>
    <row r="7765" spans="1:19">
      <c r="A7765" t="s">
        <v>30</v>
      </c>
      <c r="B7765" t="s">
        <v>148</v>
      </c>
      <c r="C7765" t="s">
        <v>162</v>
      </c>
      <c r="D7765" t="s">
        <v>291</v>
      </c>
      <c r="E7765" t="s">
        <v>420</v>
      </c>
      <c r="F7765">
        <f>HYPERLINK("https://www.wikidata.org/wiki/Q33323082", "Q33323082")</f>
        <v>0</v>
      </c>
      <c r="G7765" t="s">
        <v>1003</v>
      </c>
      <c r="H7765" t="s">
        <v>5754</v>
      </c>
      <c r="I7765" t="s">
        <v>9534</v>
      </c>
      <c r="J7765" t="s">
        <v>11740</v>
      </c>
      <c r="K7765" t="s">
        <v>16144</v>
      </c>
      <c r="L7765">
        <f>HYPERLINK("https://www2.assemblee-nationale.fr/sycomore/fiche/(num_dept)/5219", "5219")</f>
        <v>0</v>
      </c>
      <c r="M7765">
        <f>HYPERLINK("https://www.senat.fr/senateur-3eme-republique/messimy_adolphe0021r3.html", "messimy_adolphe0021r3")</f>
        <v>0</v>
      </c>
      <c r="N7765">
        <f>HYPERLINK("https://www.wikidata.org/wiki/Q365771", "Q365771")</f>
        <v>0</v>
      </c>
      <c r="O7765" t="s">
        <v>19969</v>
      </c>
      <c r="P7765" t="s">
        <v>20477</v>
      </c>
      <c r="Q7765" t="s">
        <v>18994</v>
      </c>
      <c r="R7765" t="s">
        <v>420</v>
      </c>
      <c r="S7765">
        <v>1481</v>
      </c>
    </row>
    <row r="7766" spans="1:19">
      <c r="A7766" t="s">
        <v>30</v>
      </c>
      <c r="B7766" t="s">
        <v>148</v>
      </c>
      <c r="C7766" t="s">
        <v>162</v>
      </c>
      <c r="D7766" t="s">
        <v>291</v>
      </c>
      <c r="E7766" t="s">
        <v>420</v>
      </c>
      <c r="F7766">
        <f>HYPERLINK("https://www.wikidata.org/wiki/Q33323082", "Q33323082")</f>
        <v>0</v>
      </c>
      <c r="G7766" t="s">
        <v>731</v>
      </c>
      <c r="H7766" t="s">
        <v>5489</v>
      </c>
      <c r="I7766" t="s">
        <v>9388</v>
      </c>
      <c r="J7766" t="s">
        <v>11480</v>
      </c>
      <c r="K7766" t="s">
        <v>15882</v>
      </c>
      <c r="L7766">
        <f>HYPERLINK("https://www2.assemblee-nationale.fr/sycomore/fiche/(num_dept)/5235", "5235")</f>
        <v>0</v>
      </c>
      <c r="N7766">
        <f>HYPERLINK("https://www.wikidata.org/wiki/Q13089612", "Q13089612")</f>
        <v>0</v>
      </c>
      <c r="O7766" t="s">
        <v>8449</v>
      </c>
      <c r="P7766" t="s">
        <v>20479</v>
      </c>
      <c r="Q7766" t="s">
        <v>18994</v>
      </c>
      <c r="R7766" t="s">
        <v>420</v>
      </c>
      <c r="S7766">
        <v>1481</v>
      </c>
    </row>
    <row r="7767" spans="1:19">
      <c r="A7767" t="s">
        <v>30</v>
      </c>
      <c r="B7767" t="s">
        <v>148</v>
      </c>
      <c r="C7767" t="s">
        <v>162</v>
      </c>
      <c r="D7767" t="s">
        <v>291</v>
      </c>
      <c r="E7767" t="s">
        <v>420</v>
      </c>
      <c r="F7767">
        <f>HYPERLINK("https://www.wikidata.org/wiki/Q33323082", "Q33323082")</f>
        <v>0</v>
      </c>
      <c r="G7767" t="s">
        <v>1847</v>
      </c>
      <c r="H7767" t="s">
        <v>6506</v>
      </c>
      <c r="I7767" t="s">
        <v>9969</v>
      </c>
      <c r="J7767" t="s">
        <v>12538</v>
      </c>
      <c r="K7767" t="s">
        <v>16950</v>
      </c>
      <c r="L7767">
        <f>HYPERLINK("https://www2.assemblee-nationale.fr/sycomore/fiche/(num_dept)/5260", "5260")</f>
        <v>0</v>
      </c>
      <c r="M7767">
        <f>HYPERLINK("https://www.senat.fr/senateur-3eme-republique/michel_henri0069r3.html", "michel_henri0069r3")</f>
        <v>0</v>
      </c>
      <c r="N7767">
        <f>HYPERLINK("https://www.wikidata.org/wiki/Q3131640", "Q3131640")</f>
        <v>0</v>
      </c>
      <c r="O7767" t="s">
        <v>19990</v>
      </c>
      <c r="P7767" t="s">
        <v>20477</v>
      </c>
      <c r="Q7767" t="s">
        <v>18994</v>
      </c>
      <c r="R7767" t="s">
        <v>420</v>
      </c>
      <c r="S7767">
        <v>1481</v>
      </c>
    </row>
    <row r="7768" spans="1:19">
      <c r="A7768" t="s">
        <v>30</v>
      </c>
      <c r="B7768" t="s">
        <v>148</v>
      </c>
      <c r="C7768" t="s">
        <v>162</v>
      </c>
      <c r="D7768" t="s">
        <v>291</v>
      </c>
      <c r="E7768" t="s">
        <v>420</v>
      </c>
      <c r="F7768">
        <f>HYPERLINK("https://www.wikidata.org/wiki/Q33323082", "Q33323082")</f>
        <v>0</v>
      </c>
      <c r="G7768" t="s">
        <v>4129</v>
      </c>
      <c r="H7768" t="s">
        <v>8335</v>
      </c>
      <c r="I7768" t="s">
        <v>6495</v>
      </c>
      <c r="J7768" t="s">
        <v>14662</v>
      </c>
      <c r="K7768" t="s">
        <v>18998</v>
      </c>
      <c r="L7768">
        <f>HYPERLINK("https://www2.assemblee-nationale.fr/sycomore/fiche/(num_dept)/5282", "5282")</f>
        <v>0</v>
      </c>
      <c r="N7768">
        <f>HYPERLINK("https://www.wikidata.org/wiki/Q16026103", "Q16026103")</f>
        <v>0</v>
      </c>
      <c r="O7768" t="s">
        <v>19968</v>
      </c>
      <c r="P7768" t="s">
        <v>20457</v>
      </c>
      <c r="Q7768" t="s">
        <v>18994</v>
      </c>
      <c r="R7768" t="s">
        <v>420</v>
      </c>
      <c r="S7768">
        <v>1481</v>
      </c>
    </row>
    <row r="7769" spans="1:19">
      <c r="A7769" t="s">
        <v>30</v>
      </c>
      <c r="B7769" t="s">
        <v>148</v>
      </c>
      <c r="C7769" t="s">
        <v>162</v>
      </c>
      <c r="D7769" t="s">
        <v>291</v>
      </c>
      <c r="E7769" t="s">
        <v>420</v>
      </c>
      <c r="F7769">
        <f>HYPERLINK("https://www.wikidata.org/wiki/Q33323082", "Q33323082")</f>
        <v>0</v>
      </c>
      <c r="G7769" t="s">
        <v>1005</v>
      </c>
      <c r="H7769" t="s">
        <v>5756</v>
      </c>
      <c r="I7769" t="s">
        <v>9553</v>
      </c>
      <c r="J7769" t="s">
        <v>11742</v>
      </c>
      <c r="K7769" t="s">
        <v>16146</v>
      </c>
      <c r="L7769">
        <f>HYPERLINK("https://www2.assemblee-nationale.fr/sycomore/fiche/(num_dept)/5284", "5284")</f>
        <v>0</v>
      </c>
      <c r="M7769">
        <f>HYPERLINK("https://www.senat.fr/senateur-3eme-republique/millerand_alexandre0910r3.html", "millerand_alexandre0910r3")</f>
        <v>0</v>
      </c>
      <c r="N7769">
        <f>HYPERLINK("https://www.wikidata.org/wiki/Q274540", "Q274540")</f>
        <v>0</v>
      </c>
      <c r="O7769" t="s">
        <v>19969</v>
      </c>
      <c r="Q7769" t="s">
        <v>18994</v>
      </c>
      <c r="R7769" t="s">
        <v>420</v>
      </c>
      <c r="S7769">
        <v>1481</v>
      </c>
    </row>
    <row r="7770" spans="1:19">
      <c r="A7770" t="s">
        <v>30</v>
      </c>
      <c r="B7770" t="s">
        <v>148</v>
      </c>
      <c r="C7770" t="s">
        <v>162</v>
      </c>
      <c r="D7770" t="s">
        <v>291</v>
      </c>
      <c r="E7770" t="s">
        <v>420</v>
      </c>
      <c r="F7770">
        <f>HYPERLINK("https://www.wikidata.org/wiki/Q33323082", "Q33323082")</f>
        <v>0</v>
      </c>
      <c r="G7770" t="s">
        <v>4045</v>
      </c>
      <c r="H7770" t="s">
        <v>8273</v>
      </c>
      <c r="I7770" t="s">
        <v>9552</v>
      </c>
      <c r="J7770" t="s">
        <v>14586</v>
      </c>
      <c r="K7770" t="s">
        <v>18925</v>
      </c>
      <c r="L7770">
        <f>HYPERLINK("https://www2.assemblee-nationale.fr/sycomore/fiche/(num_dept)/5473", "5473")</f>
        <v>0</v>
      </c>
      <c r="M7770">
        <f>HYPERLINK("https://www.senat.fr/senateur-3eme-republique/mulac_auguste0397r3.html", "mulac_auguste0397r3")</f>
        <v>0</v>
      </c>
      <c r="N7770">
        <f>HYPERLINK("https://www.wikidata.org/wiki/Q2871332", "Q2871332")</f>
        <v>0</v>
      </c>
      <c r="O7770" t="s">
        <v>20031</v>
      </c>
      <c r="P7770" t="s">
        <v>20401</v>
      </c>
      <c r="Q7770" t="s">
        <v>18994</v>
      </c>
      <c r="R7770" t="s">
        <v>420</v>
      </c>
      <c r="S7770">
        <v>1481</v>
      </c>
    </row>
    <row r="7771" spans="1:19">
      <c r="A7771" t="s">
        <v>30</v>
      </c>
      <c r="B7771" t="s">
        <v>148</v>
      </c>
      <c r="C7771" t="s">
        <v>162</v>
      </c>
      <c r="D7771" t="s">
        <v>291</v>
      </c>
      <c r="E7771" t="s">
        <v>420</v>
      </c>
      <c r="F7771">
        <f>HYPERLINK("https://www.wikidata.org/wiki/Q33323082", "Q33323082")</f>
        <v>0</v>
      </c>
      <c r="G7771" t="s">
        <v>755</v>
      </c>
      <c r="H7771" t="s">
        <v>5513</v>
      </c>
      <c r="I7771" t="s">
        <v>9500</v>
      </c>
      <c r="J7771" t="s">
        <v>11503</v>
      </c>
      <c r="K7771" t="s">
        <v>15906</v>
      </c>
      <c r="L7771">
        <f>HYPERLINK("https://www2.assemblee-nationale.fr/sycomore/fiche/(num_dept)/5779", "5779")</f>
        <v>0</v>
      </c>
      <c r="M7771">
        <f>HYPERLINK("https://www.senat.fr/senateur-3eme-republique/peret_raoul1766r3.html", "peret_raoul1766r3")</f>
        <v>0</v>
      </c>
      <c r="N7771">
        <f>HYPERLINK("https://www.wikidata.org/wiki/Q3419252", "Q3419252")</f>
        <v>0</v>
      </c>
      <c r="O7771" t="s">
        <v>19982</v>
      </c>
      <c r="P7771" t="s">
        <v>20401</v>
      </c>
      <c r="Q7771" t="s">
        <v>18994</v>
      </c>
      <c r="R7771" t="s">
        <v>420</v>
      </c>
      <c r="S7771">
        <v>1481</v>
      </c>
    </row>
    <row r="7772" spans="1:19">
      <c r="A7772" t="s">
        <v>30</v>
      </c>
      <c r="B7772" t="s">
        <v>148</v>
      </c>
      <c r="C7772" t="s">
        <v>162</v>
      </c>
      <c r="D7772" t="s">
        <v>291</v>
      </c>
      <c r="E7772" t="s">
        <v>420</v>
      </c>
      <c r="F7772">
        <f>HYPERLINK("https://www.wikidata.org/wiki/Q33323082", "Q33323082")</f>
        <v>0</v>
      </c>
      <c r="G7772" t="s">
        <v>757</v>
      </c>
      <c r="H7772" t="s">
        <v>5515</v>
      </c>
      <c r="I7772" t="s">
        <v>7140</v>
      </c>
      <c r="J7772" t="s">
        <v>11505</v>
      </c>
      <c r="K7772" t="s">
        <v>15908</v>
      </c>
      <c r="L7772">
        <f>HYPERLINK("https://www2.assemblee-nationale.fr/sycomore/fiche/(num_dept)/5788", "5788")</f>
        <v>0</v>
      </c>
      <c r="N7772">
        <f>HYPERLINK("https://www.wikidata.org/wiki/Q8306474", "Q8306474")</f>
        <v>0</v>
      </c>
      <c r="O7772" t="s">
        <v>19994</v>
      </c>
      <c r="P7772" t="s">
        <v>20401</v>
      </c>
      <c r="Q7772" t="s">
        <v>18994</v>
      </c>
      <c r="R7772" t="s">
        <v>420</v>
      </c>
      <c r="S7772">
        <v>1481</v>
      </c>
    </row>
    <row r="7773" spans="1:19">
      <c r="A7773" t="s">
        <v>30</v>
      </c>
      <c r="B7773" t="s">
        <v>148</v>
      </c>
      <c r="C7773" t="s">
        <v>162</v>
      </c>
      <c r="D7773" t="s">
        <v>291</v>
      </c>
      <c r="E7773" t="s">
        <v>420</v>
      </c>
      <c r="F7773">
        <f>HYPERLINK("https://www.wikidata.org/wiki/Q33323082", "Q33323082")</f>
        <v>0</v>
      </c>
      <c r="G7773" t="s">
        <v>4130</v>
      </c>
      <c r="H7773" t="s">
        <v>6259</v>
      </c>
      <c r="I7773" t="s">
        <v>11126</v>
      </c>
      <c r="J7773" t="s">
        <v>14663</v>
      </c>
      <c r="K7773" t="s">
        <v>18999</v>
      </c>
      <c r="L7773">
        <f>HYPERLINK("https://www2.assemblee-nationale.fr/sycomore/fiche/(num_dept)/5844", "5844")</f>
        <v>0</v>
      </c>
      <c r="N7773">
        <f>HYPERLINK("https://www.wikidata.org/wiki/Q16638922", "Q16638922")</f>
        <v>0</v>
      </c>
      <c r="O7773" t="s">
        <v>20002</v>
      </c>
      <c r="P7773" t="s">
        <v>20401</v>
      </c>
      <c r="Q7773" t="s">
        <v>18994</v>
      </c>
      <c r="R7773" t="s">
        <v>18999</v>
      </c>
      <c r="S7773">
        <v>816</v>
      </c>
    </row>
    <row r="7774" spans="1:19">
      <c r="A7774" t="s">
        <v>30</v>
      </c>
      <c r="B7774" t="s">
        <v>148</v>
      </c>
      <c r="C7774" t="s">
        <v>162</v>
      </c>
      <c r="D7774" t="s">
        <v>291</v>
      </c>
      <c r="E7774" t="s">
        <v>420</v>
      </c>
      <c r="F7774">
        <f>HYPERLINK("https://www.wikidata.org/wiki/Q33323082", "Q33323082")</f>
        <v>0</v>
      </c>
      <c r="G7774" t="s">
        <v>4131</v>
      </c>
      <c r="H7774" t="s">
        <v>8336</v>
      </c>
      <c r="I7774" t="s">
        <v>10386</v>
      </c>
      <c r="J7774" t="s">
        <v>14664</v>
      </c>
      <c r="K7774" t="s">
        <v>19000</v>
      </c>
      <c r="L7774">
        <f>HYPERLINK("https://www2.assemblee-nationale.fr/sycomore/fiche/(num_dept)/5902", "5902")</f>
        <v>0</v>
      </c>
      <c r="N7774">
        <f>HYPERLINK("https://www.wikidata.org/wiki/Q16026340", "Q16026340")</f>
        <v>0</v>
      </c>
      <c r="O7774" t="s">
        <v>20006</v>
      </c>
      <c r="P7774" t="s">
        <v>20410</v>
      </c>
      <c r="Q7774" t="s">
        <v>18994</v>
      </c>
      <c r="R7774" t="s">
        <v>420</v>
      </c>
      <c r="S7774">
        <v>1481</v>
      </c>
    </row>
    <row r="7775" spans="1:19">
      <c r="A7775" t="s">
        <v>30</v>
      </c>
      <c r="B7775" t="s">
        <v>148</v>
      </c>
      <c r="C7775" t="s">
        <v>162</v>
      </c>
      <c r="D7775" t="s">
        <v>291</v>
      </c>
      <c r="E7775" t="s">
        <v>420</v>
      </c>
      <c r="F7775">
        <f>HYPERLINK("https://www.wikidata.org/wiki/Q33323082", "Q33323082")</f>
        <v>0</v>
      </c>
      <c r="G7775" t="s">
        <v>759</v>
      </c>
      <c r="H7775" t="s">
        <v>5517</v>
      </c>
      <c r="I7775" t="s">
        <v>6860</v>
      </c>
      <c r="J7775" t="s">
        <v>11507</v>
      </c>
      <c r="K7775" t="s">
        <v>15910</v>
      </c>
      <c r="L7775">
        <f>HYPERLINK("https://www2.assemblee-nationale.fr/sycomore/fiche/(num_dept)/5903", "5903")</f>
        <v>0</v>
      </c>
      <c r="M7775">
        <f>HYPERLINK("https://www.senat.fr/senateur-3eme-republique/pichery_pierre0386r3.html", "pichery_pierre0386r3")</f>
        <v>0</v>
      </c>
      <c r="N7775">
        <f>HYPERLINK("https://www.wikidata.org/wiki/Q3386607", "Q3386607")</f>
        <v>0</v>
      </c>
      <c r="O7775" t="s">
        <v>20039</v>
      </c>
      <c r="P7775" t="s">
        <v>20401</v>
      </c>
      <c r="Q7775" t="s">
        <v>18994</v>
      </c>
      <c r="R7775" t="s">
        <v>420</v>
      </c>
      <c r="S7775">
        <v>1481</v>
      </c>
    </row>
    <row r="7776" spans="1:19">
      <c r="A7776" t="s">
        <v>30</v>
      </c>
      <c r="B7776" t="s">
        <v>148</v>
      </c>
      <c r="C7776" t="s">
        <v>162</v>
      </c>
      <c r="D7776" t="s">
        <v>291</v>
      </c>
      <c r="E7776" t="s">
        <v>420</v>
      </c>
      <c r="F7776">
        <f>HYPERLINK("https://www.wikidata.org/wiki/Q33323082", "Q33323082")</f>
        <v>0</v>
      </c>
      <c r="G7776" t="s">
        <v>4132</v>
      </c>
      <c r="H7776" t="s">
        <v>8337</v>
      </c>
      <c r="I7776" t="s">
        <v>6200</v>
      </c>
      <c r="J7776" t="s">
        <v>11717</v>
      </c>
      <c r="K7776" t="s">
        <v>19001</v>
      </c>
      <c r="L7776">
        <f>HYPERLINK("https://www2.assemblee-nationale.fr/sycomore/fiche/(num_dept)/5928", "5928")</f>
        <v>0</v>
      </c>
      <c r="N7776">
        <f>HYPERLINK("https://www.wikidata.org/wiki/Q16026343", "Q16026343")</f>
        <v>0</v>
      </c>
      <c r="O7776" t="s">
        <v>19997</v>
      </c>
      <c r="P7776" t="s">
        <v>20514</v>
      </c>
      <c r="Q7776" t="s">
        <v>18994</v>
      </c>
      <c r="R7776" t="s">
        <v>420</v>
      </c>
      <c r="S7776">
        <v>1481</v>
      </c>
    </row>
    <row r="7777" spans="1:19">
      <c r="A7777" t="s">
        <v>30</v>
      </c>
      <c r="B7777" t="s">
        <v>148</v>
      </c>
      <c r="C7777" t="s">
        <v>162</v>
      </c>
      <c r="D7777" t="s">
        <v>291</v>
      </c>
      <c r="E7777" t="s">
        <v>420</v>
      </c>
      <c r="F7777">
        <f>HYPERLINK("https://www.wikidata.org/wiki/Q33323082", "Q33323082")</f>
        <v>0</v>
      </c>
      <c r="G7777" t="s">
        <v>4133</v>
      </c>
      <c r="H7777" t="s">
        <v>8338</v>
      </c>
      <c r="I7777" t="s">
        <v>11127</v>
      </c>
      <c r="J7777" t="s">
        <v>14665</v>
      </c>
      <c r="K7777" t="s">
        <v>16711</v>
      </c>
      <c r="L7777">
        <f>HYPERLINK("https://www2.assemblee-nationale.fr/sycomore/fiche/(num_dept)/5949", "5949")</f>
        <v>0</v>
      </c>
      <c r="N7777">
        <f>HYPERLINK("https://www.wikidata.org/wiki/Q16026346", "Q16026346")</f>
        <v>0</v>
      </c>
      <c r="O7777" t="s">
        <v>20003</v>
      </c>
      <c r="P7777" t="s">
        <v>20495</v>
      </c>
      <c r="Q7777" t="s">
        <v>18994</v>
      </c>
      <c r="R7777" t="s">
        <v>420</v>
      </c>
      <c r="S7777">
        <v>1481</v>
      </c>
    </row>
    <row r="7778" spans="1:19">
      <c r="A7778" t="s">
        <v>30</v>
      </c>
      <c r="B7778" t="s">
        <v>148</v>
      </c>
      <c r="C7778" t="s">
        <v>162</v>
      </c>
      <c r="D7778" t="s">
        <v>291</v>
      </c>
      <c r="E7778" t="s">
        <v>420</v>
      </c>
      <c r="F7778">
        <f>HYPERLINK("https://www.wikidata.org/wiki/Q33323082", "Q33323082")</f>
        <v>0</v>
      </c>
      <c r="G7778" t="s">
        <v>4134</v>
      </c>
      <c r="H7778" t="s">
        <v>8339</v>
      </c>
      <c r="I7778" t="s">
        <v>11128</v>
      </c>
      <c r="J7778" t="s">
        <v>11929</v>
      </c>
      <c r="K7778" t="s">
        <v>19002</v>
      </c>
      <c r="L7778">
        <f>HYPERLINK("https://www2.assemblee-nationale.fr/sycomore/fiche/(num_dept)/6000", "6000")</f>
        <v>0</v>
      </c>
      <c r="N7778">
        <f>HYPERLINK("https://www.wikidata.org/wiki/Q3386637", "Q3386637")</f>
        <v>0</v>
      </c>
      <c r="O7778" t="s">
        <v>20014</v>
      </c>
      <c r="P7778" t="s">
        <v>20481</v>
      </c>
      <c r="Q7778" t="s">
        <v>18994</v>
      </c>
      <c r="R7778" t="s">
        <v>420</v>
      </c>
      <c r="S7778">
        <v>1481</v>
      </c>
    </row>
    <row r="7779" spans="1:19">
      <c r="A7779" t="s">
        <v>30</v>
      </c>
      <c r="B7779" t="s">
        <v>148</v>
      </c>
      <c r="C7779" t="s">
        <v>162</v>
      </c>
      <c r="D7779" t="s">
        <v>291</v>
      </c>
      <c r="E7779" t="s">
        <v>420</v>
      </c>
      <c r="F7779">
        <f>HYPERLINK("https://www.wikidata.org/wiki/Q33323082", "Q33323082")</f>
        <v>0</v>
      </c>
      <c r="G7779" t="s">
        <v>766</v>
      </c>
      <c r="H7779" t="s">
        <v>5524</v>
      </c>
      <c r="I7779" t="s">
        <v>9421</v>
      </c>
      <c r="J7779" t="s">
        <v>11513</v>
      </c>
      <c r="K7779" t="s">
        <v>15917</v>
      </c>
      <c r="L7779">
        <f>HYPERLINK("https://www2.assemblee-nationale.fr/sycomore/fiche/(num_dept)/6027", "6027")</f>
        <v>0</v>
      </c>
      <c r="N7779">
        <f>HYPERLINK("https://www.wikidata.org/wiki/Q3121311", "Q3121311")</f>
        <v>0</v>
      </c>
      <c r="O7779" t="s">
        <v>20023</v>
      </c>
      <c r="P7779" t="s">
        <v>20401</v>
      </c>
      <c r="Q7779" t="s">
        <v>18994</v>
      </c>
      <c r="R7779" t="s">
        <v>420</v>
      </c>
      <c r="S7779">
        <v>1481</v>
      </c>
    </row>
    <row r="7780" spans="1:19">
      <c r="A7780" t="s">
        <v>30</v>
      </c>
      <c r="B7780" t="s">
        <v>148</v>
      </c>
      <c r="C7780" t="s">
        <v>162</v>
      </c>
      <c r="D7780" t="s">
        <v>291</v>
      </c>
      <c r="E7780" t="s">
        <v>420</v>
      </c>
      <c r="F7780">
        <f>HYPERLINK("https://www.wikidata.org/wiki/Q33323082", "Q33323082")</f>
        <v>0</v>
      </c>
      <c r="G7780" t="s">
        <v>1030</v>
      </c>
      <c r="H7780" t="s">
        <v>5779</v>
      </c>
      <c r="I7780" t="s">
        <v>9628</v>
      </c>
      <c r="J7780" t="s">
        <v>11767</v>
      </c>
      <c r="K7780" t="s">
        <v>16168</v>
      </c>
      <c r="L7780">
        <f>HYPERLINK("https://www2.assemblee-nationale.fr/sycomore/fiche/(num_dept)/6107", "6107")</f>
        <v>0</v>
      </c>
      <c r="N7780">
        <f>HYPERLINK("https://www.wikidata.org/wiki/Q2410604", "Q2410604")</f>
        <v>0</v>
      </c>
      <c r="O7780" t="s">
        <v>19969</v>
      </c>
      <c r="Q7780" t="s">
        <v>18994</v>
      </c>
      <c r="R7780" t="s">
        <v>420</v>
      </c>
      <c r="S7780">
        <v>1481</v>
      </c>
    </row>
    <row r="7781" spans="1:19">
      <c r="A7781" t="s">
        <v>30</v>
      </c>
      <c r="B7781" t="s">
        <v>148</v>
      </c>
      <c r="C7781" t="s">
        <v>162</v>
      </c>
      <c r="D7781" t="s">
        <v>291</v>
      </c>
      <c r="E7781" t="s">
        <v>420</v>
      </c>
      <c r="F7781">
        <f>HYPERLINK("https://www.wikidata.org/wiki/Q33323082", "Q33323082")</f>
        <v>0</v>
      </c>
      <c r="G7781" t="s">
        <v>4135</v>
      </c>
      <c r="H7781" t="s">
        <v>8340</v>
      </c>
      <c r="I7781" t="s">
        <v>11129</v>
      </c>
      <c r="J7781" t="s">
        <v>14666</v>
      </c>
      <c r="K7781" t="s">
        <v>19003</v>
      </c>
      <c r="L7781">
        <f>HYPERLINK("https://www2.assemblee-nationale.fr/sycomore/fiche/(num_dept)/6109", "6109")</f>
        <v>0</v>
      </c>
      <c r="M7781">
        <f>HYPERLINK("https://www.senat.fr/senateur-3eme-republique/rouby_hippolyte0467r3.html", "rouby_hippolyte0467r3")</f>
        <v>0</v>
      </c>
      <c r="N7781">
        <f>HYPERLINK("https://www.wikidata.org/wiki/Q3136121", "Q3136121")</f>
        <v>0</v>
      </c>
      <c r="O7781" t="s">
        <v>20020</v>
      </c>
      <c r="Q7781" t="s">
        <v>18994</v>
      </c>
      <c r="R7781" t="s">
        <v>420</v>
      </c>
      <c r="S7781">
        <v>1481</v>
      </c>
    </row>
    <row r="7782" spans="1:19">
      <c r="A7782" t="s">
        <v>30</v>
      </c>
      <c r="B7782" t="s">
        <v>148</v>
      </c>
      <c r="C7782" t="s">
        <v>162</v>
      </c>
      <c r="D7782" t="s">
        <v>291</v>
      </c>
      <c r="E7782" t="s">
        <v>420</v>
      </c>
      <c r="F7782">
        <f>HYPERLINK("https://www.wikidata.org/wiki/Q33323082", "Q33323082")</f>
        <v>0</v>
      </c>
      <c r="G7782" t="s">
        <v>4136</v>
      </c>
      <c r="H7782" t="s">
        <v>8341</v>
      </c>
      <c r="I7782" t="s">
        <v>6584</v>
      </c>
      <c r="J7782" t="s">
        <v>11772</v>
      </c>
      <c r="K7782" t="s">
        <v>16224</v>
      </c>
      <c r="L7782">
        <f>HYPERLINK("https://www2.assemblee-nationale.fr/sycomore/fiche/(num_dept)/6134", "6134")</f>
        <v>0</v>
      </c>
      <c r="M7782">
        <f>HYPERLINK("https://www.senat.fr/senateur-3eme-republique/rouse_albert1671r3.html", "rouse_albert1671r3")</f>
        <v>0</v>
      </c>
      <c r="N7782">
        <f>HYPERLINK("https://www.wikidata.org/wiki/Q2831515", "Q2831515")</f>
        <v>0</v>
      </c>
      <c r="O7782" t="s">
        <v>20012</v>
      </c>
      <c r="P7782" t="s">
        <v>20401</v>
      </c>
      <c r="Q7782" t="s">
        <v>18994</v>
      </c>
      <c r="R7782" t="s">
        <v>420</v>
      </c>
      <c r="S7782">
        <v>1481</v>
      </c>
    </row>
    <row r="7783" spans="1:19">
      <c r="A7783" t="s">
        <v>30</v>
      </c>
      <c r="B7783" t="s">
        <v>148</v>
      </c>
      <c r="C7783" t="s">
        <v>162</v>
      </c>
      <c r="D7783" t="s">
        <v>291</v>
      </c>
      <c r="E7783" t="s">
        <v>420</v>
      </c>
      <c r="F7783">
        <f>HYPERLINK("https://www.wikidata.org/wiki/Q33323082", "Q33323082")</f>
        <v>0</v>
      </c>
      <c r="G7783" t="s">
        <v>1033</v>
      </c>
      <c r="H7783" t="s">
        <v>5782</v>
      </c>
      <c r="I7783" t="s">
        <v>9630</v>
      </c>
      <c r="J7783" t="s">
        <v>11770</v>
      </c>
      <c r="K7783" t="s">
        <v>16171</v>
      </c>
      <c r="L7783">
        <f>HYPERLINK("https://www2.assemblee-nationale.fr/sycomore/fiche/(num_dept)/6179", "6179")</f>
        <v>0</v>
      </c>
      <c r="N7783">
        <f>HYPERLINK("https://www.wikidata.org/wiki/Q13077219", "Q13077219")</f>
        <v>0</v>
      </c>
      <c r="O7783" t="s">
        <v>20022</v>
      </c>
      <c r="Q7783" t="s">
        <v>18994</v>
      </c>
      <c r="R7783" t="s">
        <v>420</v>
      </c>
      <c r="S7783">
        <v>1481</v>
      </c>
    </row>
    <row r="7784" spans="1:19">
      <c r="A7784" t="s">
        <v>30</v>
      </c>
      <c r="B7784" t="s">
        <v>148</v>
      </c>
      <c r="C7784" t="s">
        <v>162</v>
      </c>
      <c r="D7784" t="s">
        <v>291</v>
      </c>
      <c r="E7784" t="s">
        <v>420</v>
      </c>
      <c r="F7784">
        <f>HYPERLINK("https://www.wikidata.org/wiki/Q33323082", "Q33323082")</f>
        <v>0</v>
      </c>
      <c r="G7784" t="s">
        <v>2658</v>
      </c>
      <c r="H7784" t="s">
        <v>7198</v>
      </c>
      <c r="I7784" t="s">
        <v>10345</v>
      </c>
      <c r="J7784" t="s">
        <v>13299</v>
      </c>
      <c r="K7784" t="s">
        <v>17699</v>
      </c>
      <c r="L7784">
        <f>HYPERLINK("https://www2.assemblee-nationale.fr/sycomore/fiche/(num_dept)/6250", "6250")</f>
        <v>0</v>
      </c>
      <c r="N7784">
        <f>HYPERLINK("https://www.wikidata.org/wiki/Q16026472", "Q16026472")</f>
        <v>0</v>
      </c>
      <c r="O7784" t="s">
        <v>7411</v>
      </c>
      <c r="P7784" t="s">
        <v>20401</v>
      </c>
      <c r="Q7784" t="s">
        <v>18994</v>
      </c>
      <c r="R7784" t="s">
        <v>420</v>
      </c>
      <c r="S7784">
        <v>1481</v>
      </c>
    </row>
    <row r="7785" spans="1:19">
      <c r="A7785" t="s">
        <v>30</v>
      </c>
      <c r="B7785" t="s">
        <v>148</v>
      </c>
      <c r="C7785" t="s">
        <v>162</v>
      </c>
      <c r="D7785" t="s">
        <v>291</v>
      </c>
      <c r="E7785" t="s">
        <v>420</v>
      </c>
      <c r="F7785">
        <f>HYPERLINK("https://www.wikidata.org/wiki/Q33323082", "Q33323082")</f>
        <v>0</v>
      </c>
      <c r="G7785" t="s">
        <v>4137</v>
      </c>
      <c r="H7785" t="s">
        <v>7498</v>
      </c>
      <c r="I7785" t="s">
        <v>6584</v>
      </c>
      <c r="J7785" t="s">
        <v>14667</v>
      </c>
      <c r="K7785" t="s">
        <v>19004</v>
      </c>
      <c r="L7785">
        <f>HYPERLINK("https://www2.assemblee-nationale.fr/sycomore/fiche/(num_dept)/6269", "6269")</f>
        <v>0</v>
      </c>
      <c r="N7785">
        <f>HYPERLINK("https://www.wikidata.org/wiki/Q16026478", "Q16026478")</f>
        <v>0</v>
      </c>
      <c r="O7785" t="s">
        <v>19959</v>
      </c>
      <c r="P7785" t="s">
        <v>20401</v>
      </c>
      <c r="Q7785" t="s">
        <v>18994</v>
      </c>
      <c r="R7785" t="s">
        <v>420</v>
      </c>
      <c r="S7785">
        <v>1481</v>
      </c>
    </row>
    <row r="7786" spans="1:19">
      <c r="A7786" t="s">
        <v>30</v>
      </c>
      <c r="B7786" t="s">
        <v>148</v>
      </c>
      <c r="C7786" t="s">
        <v>162</v>
      </c>
      <c r="D7786" t="s">
        <v>291</v>
      </c>
      <c r="E7786" t="s">
        <v>420</v>
      </c>
      <c r="F7786">
        <f>HYPERLINK("https://www.wikidata.org/wiki/Q33323082", "Q33323082")</f>
        <v>0</v>
      </c>
      <c r="G7786" t="s">
        <v>1035</v>
      </c>
      <c r="H7786" t="s">
        <v>5784</v>
      </c>
      <c r="I7786" t="s">
        <v>6860</v>
      </c>
      <c r="J7786" t="s">
        <v>11772</v>
      </c>
      <c r="K7786" t="s">
        <v>16173</v>
      </c>
      <c r="L7786">
        <f>HYPERLINK("https://www2.assemblee-nationale.fr/sycomore/fiche/(num_dept)/6294", "6294")</f>
        <v>0</v>
      </c>
      <c r="N7786">
        <f>HYPERLINK("https://www.wikidata.org/wiki/Q3386933", "Q3386933")</f>
        <v>0</v>
      </c>
      <c r="O7786" t="s">
        <v>20010</v>
      </c>
      <c r="Q7786" t="s">
        <v>18994</v>
      </c>
      <c r="R7786" t="s">
        <v>420</v>
      </c>
      <c r="S7786">
        <v>1481</v>
      </c>
    </row>
    <row r="7787" spans="1:19">
      <c r="A7787" t="s">
        <v>30</v>
      </c>
      <c r="B7787" t="s">
        <v>148</v>
      </c>
      <c r="C7787" t="s">
        <v>162</v>
      </c>
      <c r="D7787" t="s">
        <v>291</v>
      </c>
      <c r="E7787" t="s">
        <v>420</v>
      </c>
      <c r="F7787">
        <f>HYPERLINK("https://www.wikidata.org/wiki/Q33323082", "Q33323082")</f>
        <v>0</v>
      </c>
      <c r="G7787" t="s">
        <v>779</v>
      </c>
      <c r="H7787" t="s">
        <v>5537</v>
      </c>
      <c r="I7787" t="s">
        <v>6175</v>
      </c>
      <c r="J7787" t="s">
        <v>11526</v>
      </c>
      <c r="K7787" t="s">
        <v>15930</v>
      </c>
      <c r="L7787">
        <f>HYPERLINK("https://www2.assemblee-nationale.fr/sycomore/fiche/(num_dept)/6306", "6306")</f>
        <v>0</v>
      </c>
      <c r="N7787">
        <f>HYPERLINK("https://www.wikidata.org/wiki/Q16026484", "Q16026484")</f>
        <v>0</v>
      </c>
      <c r="O7787" t="s">
        <v>20010</v>
      </c>
      <c r="Q7787" t="s">
        <v>18994</v>
      </c>
      <c r="R7787" t="s">
        <v>420</v>
      </c>
      <c r="S7787">
        <v>1481</v>
      </c>
    </row>
    <row r="7788" spans="1:19">
      <c r="A7788" t="s">
        <v>30</v>
      </c>
      <c r="B7788" t="s">
        <v>148</v>
      </c>
      <c r="C7788" t="s">
        <v>162</v>
      </c>
      <c r="D7788" t="s">
        <v>291</v>
      </c>
      <c r="E7788" t="s">
        <v>420</v>
      </c>
      <c r="F7788">
        <f>HYPERLINK("https://www.wikidata.org/wiki/Q33323082", "Q33323082")</f>
        <v>0</v>
      </c>
      <c r="G7788" t="s">
        <v>785</v>
      </c>
      <c r="H7788" t="s">
        <v>5542</v>
      </c>
      <c r="I7788" t="s">
        <v>9522</v>
      </c>
      <c r="J7788" t="s">
        <v>11532</v>
      </c>
      <c r="K7788" t="s">
        <v>15936</v>
      </c>
      <c r="L7788">
        <f>HYPERLINK("https://www2.assemblee-nationale.fr/sycomore/fiche/(num_dept)/6376", "6376")</f>
        <v>0</v>
      </c>
      <c r="N7788">
        <f>HYPERLINK("https://www.wikidata.org/wiki/Q16026494", "Q16026494")</f>
        <v>0</v>
      </c>
      <c r="O7788" t="s">
        <v>20013</v>
      </c>
      <c r="P7788" t="s">
        <v>20446</v>
      </c>
      <c r="Q7788" t="s">
        <v>18994</v>
      </c>
      <c r="R7788" t="s">
        <v>420</v>
      </c>
      <c r="S7788">
        <v>1481</v>
      </c>
    </row>
    <row r="7789" spans="1:19">
      <c r="A7789" t="s">
        <v>30</v>
      </c>
      <c r="B7789" t="s">
        <v>148</v>
      </c>
      <c r="C7789" t="s">
        <v>162</v>
      </c>
      <c r="D7789" t="s">
        <v>291</v>
      </c>
      <c r="E7789" t="s">
        <v>420</v>
      </c>
      <c r="F7789">
        <f>HYPERLINK("https://www.wikidata.org/wiki/Q33323082", "Q33323082")</f>
        <v>0</v>
      </c>
      <c r="G7789" t="s">
        <v>4138</v>
      </c>
      <c r="H7789" t="s">
        <v>8342</v>
      </c>
      <c r="I7789" t="s">
        <v>11130</v>
      </c>
      <c r="J7789" t="s">
        <v>14668</v>
      </c>
      <c r="K7789" t="s">
        <v>19005</v>
      </c>
      <c r="L7789">
        <f>HYPERLINK("https://www2.assemblee-nationale.fr/sycomore/fiche/(num_dept)/6493", "6493")</f>
        <v>0</v>
      </c>
      <c r="N7789">
        <f>HYPERLINK("https://www.wikidata.org/wiki/Q3081753", "Q3081753")</f>
        <v>0</v>
      </c>
      <c r="O7789" t="s">
        <v>19965</v>
      </c>
      <c r="P7789" t="s">
        <v>20485</v>
      </c>
      <c r="Q7789" t="s">
        <v>18994</v>
      </c>
      <c r="R7789" t="s">
        <v>420</v>
      </c>
      <c r="S7789">
        <v>1481</v>
      </c>
    </row>
    <row r="7790" spans="1:19">
      <c r="A7790" t="s">
        <v>30</v>
      </c>
      <c r="B7790" t="s">
        <v>148</v>
      </c>
      <c r="C7790" t="s">
        <v>162</v>
      </c>
      <c r="D7790" t="s">
        <v>291</v>
      </c>
      <c r="E7790" t="s">
        <v>420</v>
      </c>
      <c r="F7790">
        <f>HYPERLINK("https://www.wikidata.org/wiki/Q33323082", "Q33323082")</f>
        <v>0</v>
      </c>
      <c r="G7790" t="s">
        <v>4048</v>
      </c>
      <c r="H7790" t="s">
        <v>6024</v>
      </c>
      <c r="I7790" t="s">
        <v>9552</v>
      </c>
      <c r="J7790" t="s">
        <v>14588</v>
      </c>
      <c r="K7790" t="s">
        <v>18928</v>
      </c>
      <c r="L7790">
        <f>HYPERLINK("https://www2.assemblee-nationale.fr/sycomore/fiche/(num_dept)/6517", "6517")</f>
        <v>0</v>
      </c>
      <c r="N7790">
        <f>HYPERLINK("https://www.wikidata.org/wiki/Q2871365", "Q2871365")</f>
        <v>0</v>
      </c>
      <c r="O7790" t="s">
        <v>19988</v>
      </c>
      <c r="P7790" t="s">
        <v>20410</v>
      </c>
      <c r="Q7790" t="s">
        <v>18994</v>
      </c>
      <c r="R7790" t="s">
        <v>420</v>
      </c>
      <c r="S7790">
        <v>1481</v>
      </c>
    </row>
    <row r="7791" spans="1:19">
      <c r="A7791" t="s">
        <v>30</v>
      </c>
      <c r="B7791" t="s">
        <v>148</v>
      </c>
      <c r="C7791" t="s">
        <v>162</v>
      </c>
      <c r="D7791" t="s">
        <v>291</v>
      </c>
      <c r="E7791" t="s">
        <v>420</v>
      </c>
      <c r="F7791">
        <f>HYPERLINK("https://www.wikidata.org/wiki/Q33323082", "Q33323082")</f>
        <v>0</v>
      </c>
      <c r="G7791" t="s">
        <v>792</v>
      </c>
      <c r="H7791" t="s">
        <v>5549</v>
      </c>
      <c r="I7791" t="s">
        <v>6495</v>
      </c>
      <c r="J7791" t="s">
        <v>11539</v>
      </c>
      <c r="K7791" t="s">
        <v>15943</v>
      </c>
      <c r="L7791">
        <f>HYPERLINK("https://www2.assemblee-nationale.fr/sycomore/fiche/(num_dept)/6531", "6531")</f>
        <v>0</v>
      </c>
      <c r="N7791">
        <f>HYPERLINK("https://www.wikidata.org/wiki/Q3262963", "Q3262963")</f>
        <v>0</v>
      </c>
      <c r="O7791" t="s">
        <v>19969</v>
      </c>
      <c r="P7791" t="s">
        <v>20401</v>
      </c>
      <c r="Q7791" t="s">
        <v>18994</v>
      </c>
      <c r="R7791" t="s">
        <v>420</v>
      </c>
      <c r="S7791">
        <v>1481</v>
      </c>
    </row>
    <row r="7792" spans="1:19">
      <c r="A7792" t="s">
        <v>30</v>
      </c>
      <c r="B7792" t="s">
        <v>148</v>
      </c>
      <c r="C7792" t="s">
        <v>162</v>
      </c>
      <c r="D7792" t="s">
        <v>291</v>
      </c>
      <c r="E7792" t="s">
        <v>420</v>
      </c>
      <c r="F7792">
        <f>HYPERLINK("https://www.wikidata.org/wiki/Q33323082", "Q33323082")</f>
        <v>0</v>
      </c>
      <c r="G7792" t="s">
        <v>793</v>
      </c>
      <c r="H7792" t="s">
        <v>5550</v>
      </c>
      <c r="I7792" t="s">
        <v>9526</v>
      </c>
      <c r="J7792" t="s">
        <v>11540</v>
      </c>
      <c r="K7792" t="s">
        <v>15944</v>
      </c>
      <c r="L7792">
        <f>HYPERLINK("https://www2.assemblee-nationale.fr/sycomore/fiche/(num_dept)/6535", "6535")</f>
        <v>0</v>
      </c>
      <c r="N7792">
        <f>HYPERLINK("https://www.wikidata.org/wiki/Q13089737", "Q13089737")</f>
        <v>0</v>
      </c>
      <c r="O7792" t="s">
        <v>19969</v>
      </c>
      <c r="P7792" t="s">
        <v>20420</v>
      </c>
      <c r="Q7792" t="s">
        <v>18994</v>
      </c>
      <c r="R7792" t="s">
        <v>420</v>
      </c>
      <c r="S7792">
        <v>1481</v>
      </c>
    </row>
    <row r="7793" spans="1:19">
      <c r="A7793" t="s">
        <v>30</v>
      </c>
      <c r="B7793" t="s">
        <v>148</v>
      </c>
      <c r="C7793" t="s">
        <v>162</v>
      </c>
      <c r="D7793" t="s">
        <v>291</v>
      </c>
      <c r="E7793" t="s">
        <v>420</v>
      </c>
      <c r="F7793">
        <f>HYPERLINK("https://www.wikidata.org/wiki/Q33323082", "Q33323082")</f>
        <v>0</v>
      </c>
      <c r="G7793" t="s">
        <v>3726</v>
      </c>
      <c r="H7793" t="s">
        <v>8035</v>
      </c>
      <c r="I7793" t="s">
        <v>10949</v>
      </c>
      <c r="J7793" t="s">
        <v>14301</v>
      </c>
      <c r="K7793" t="s">
        <v>18655</v>
      </c>
      <c r="L7793">
        <f>HYPERLINK("https://www2.assemblee-nationale.fr/sycomore/fiche/(num_dept)/6580", "6580")</f>
        <v>0</v>
      </c>
      <c r="N7793">
        <f>HYPERLINK("https://www.wikidata.org/wiki/Q16026390", "Q16026390")</f>
        <v>0</v>
      </c>
      <c r="O7793" t="s">
        <v>20039</v>
      </c>
      <c r="P7793" t="s">
        <v>20471</v>
      </c>
      <c r="Q7793" t="s">
        <v>18994</v>
      </c>
      <c r="R7793" t="s">
        <v>420</v>
      </c>
      <c r="S7793">
        <v>1481</v>
      </c>
    </row>
    <row r="7794" spans="1:19">
      <c r="A7794" t="s">
        <v>30</v>
      </c>
      <c r="B7794" t="s">
        <v>148</v>
      </c>
      <c r="C7794" t="s">
        <v>162</v>
      </c>
      <c r="D7794" t="s">
        <v>291</v>
      </c>
      <c r="E7794" t="s">
        <v>420</v>
      </c>
      <c r="F7794">
        <f>HYPERLINK("https://www.wikidata.org/wiki/Q33323082", "Q33323082")</f>
        <v>0</v>
      </c>
      <c r="G7794" t="s">
        <v>1045</v>
      </c>
      <c r="H7794" t="s">
        <v>5793</v>
      </c>
      <c r="I7794" t="s">
        <v>9639</v>
      </c>
      <c r="J7794" t="s">
        <v>11782</v>
      </c>
      <c r="K7794" t="s">
        <v>16183</v>
      </c>
      <c r="L7794">
        <f>HYPERLINK("https://www2.assemblee-nationale.fr/sycomore/fiche/(num_dept)/6593", "6593")</f>
        <v>0</v>
      </c>
      <c r="N7794">
        <f>HYPERLINK("https://www.wikidata.org/wiki/Q3069386", "Q3069386")</f>
        <v>0</v>
      </c>
      <c r="O7794" t="s">
        <v>20014</v>
      </c>
      <c r="P7794" t="s">
        <v>20408</v>
      </c>
      <c r="Q7794" t="s">
        <v>18994</v>
      </c>
      <c r="R7794" t="s">
        <v>420</v>
      </c>
      <c r="S7794">
        <v>1481</v>
      </c>
    </row>
    <row r="7795" spans="1:19">
      <c r="A7795" t="s">
        <v>30</v>
      </c>
      <c r="B7795" t="s">
        <v>148</v>
      </c>
      <c r="C7795" t="s">
        <v>162</v>
      </c>
      <c r="D7795" t="s">
        <v>291</v>
      </c>
      <c r="E7795" t="s">
        <v>420</v>
      </c>
      <c r="F7795">
        <f>HYPERLINK("https://www.wikidata.org/wiki/Q33323082", "Q33323082")</f>
        <v>0</v>
      </c>
      <c r="G7795" t="s">
        <v>1050</v>
      </c>
      <c r="H7795" t="s">
        <v>5797</v>
      </c>
      <c r="I7795" t="s">
        <v>9643</v>
      </c>
      <c r="J7795" t="s">
        <v>11787</v>
      </c>
      <c r="K7795" t="s">
        <v>16188</v>
      </c>
      <c r="L7795">
        <f>HYPERLINK("https://www2.assemblee-nationale.fr/sycomore/fiche/(num_dept)/6693", "6693")</f>
        <v>0</v>
      </c>
      <c r="M7795">
        <f>HYPERLINK("https://www.senat.fr/senateur-3eme-republique/reveillaud_eugene0407r3.html", "reveillaud_eugene0407r3")</f>
        <v>0</v>
      </c>
      <c r="N7795">
        <f>HYPERLINK("https://www.wikidata.org/wiki/Q3060161", "Q3060161")</f>
        <v>0</v>
      </c>
      <c r="O7795" t="s">
        <v>20037</v>
      </c>
      <c r="P7795" t="s">
        <v>20401</v>
      </c>
      <c r="Q7795" t="s">
        <v>18994</v>
      </c>
      <c r="R7795" t="s">
        <v>420</v>
      </c>
      <c r="S7795">
        <v>1481</v>
      </c>
    </row>
    <row r="7796" spans="1:19">
      <c r="A7796" t="s">
        <v>30</v>
      </c>
      <c r="B7796" t="s">
        <v>148</v>
      </c>
      <c r="C7796" t="s">
        <v>162</v>
      </c>
      <c r="D7796" t="s">
        <v>291</v>
      </c>
      <c r="E7796" t="s">
        <v>420</v>
      </c>
      <c r="F7796">
        <f>HYPERLINK("https://www.wikidata.org/wiki/Q33323082", "Q33323082")</f>
        <v>0</v>
      </c>
      <c r="G7796" t="s">
        <v>4139</v>
      </c>
      <c r="H7796" t="s">
        <v>8343</v>
      </c>
      <c r="I7796" t="s">
        <v>11131</v>
      </c>
      <c r="J7796" t="s">
        <v>14669</v>
      </c>
      <c r="K7796" t="s">
        <v>19006</v>
      </c>
      <c r="L7796">
        <f>HYPERLINK("https://www2.assemblee-nationale.fr/sycomore/fiche/(num_dept)/6787", "6787")</f>
        <v>0</v>
      </c>
      <c r="N7796">
        <f>HYPERLINK("https://www.wikidata.org/wiki/Q3164404", "Q3164404")</f>
        <v>0</v>
      </c>
      <c r="O7796" t="s">
        <v>19990</v>
      </c>
      <c r="Q7796" t="s">
        <v>18994</v>
      </c>
      <c r="R7796" t="s">
        <v>420</v>
      </c>
      <c r="S7796">
        <v>1481</v>
      </c>
    </row>
    <row r="7797" spans="1:19">
      <c r="A7797" t="s">
        <v>30</v>
      </c>
      <c r="B7797" t="s">
        <v>148</v>
      </c>
      <c r="C7797" t="s">
        <v>162</v>
      </c>
      <c r="D7797" t="s">
        <v>291</v>
      </c>
      <c r="E7797" t="s">
        <v>420</v>
      </c>
      <c r="F7797">
        <f>HYPERLINK("https://www.wikidata.org/wiki/Q33323082", "Q33323082")</f>
        <v>0</v>
      </c>
      <c r="G7797" t="s">
        <v>1052</v>
      </c>
      <c r="H7797" t="s">
        <v>5799</v>
      </c>
      <c r="I7797" t="s">
        <v>9449</v>
      </c>
      <c r="J7797" t="s">
        <v>11789</v>
      </c>
      <c r="K7797" t="s">
        <v>16190</v>
      </c>
      <c r="L7797">
        <f>HYPERLINK("https://www2.assemblee-nationale.fr/sycomore/fiche/(num_dept)/6832", "6832")</f>
        <v>0</v>
      </c>
      <c r="M7797">
        <f>HYPERLINK("https://www.senat.fr/senateur-3eme-republique/siegfried_jules1584r3.html", "siegfried_jules1584r3")</f>
        <v>0</v>
      </c>
      <c r="N7797">
        <f>HYPERLINK("https://www.wikidata.org/wiki/Q3188910", "Q3188910")</f>
        <v>0</v>
      </c>
      <c r="O7797" t="s">
        <v>19978</v>
      </c>
      <c r="Q7797" t="s">
        <v>18994</v>
      </c>
      <c r="R7797" t="s">
        <v>420</v>
      </c>
      <c r="S7797">
        <v>1481</v>
      </c>
    </row>
    <row r="7798" spans="1:19">
      <c r="A7798" t="s">
        <v>30</v>
      </c>
      <c r="B7798" t="s">
        <v>148</v>
      </c>
      <c r="C7798" t="s">
        <v>162</v>
      </c>
      <c r="D7798" t="s">
        <v>291</v>
      </c>
      <c r="E7798" t="s">
        <v>420</v>
      </c>
      <c r="F7798">
        <f>HYPERLINK("https://www.wikidata.org/wiki/Q33323082", "Q33323082")</f>
        <v>0</v>
      </c>
      <c r="G7798" t="s">
        <v>812</v>
      </c>
      <c r="H7798" t="s">
        <v>5569</v>
      </c>
      <c r="I7798" t="s">
        <v>5528</v>
      </c>
      <c r="J7798" t="s">
        <v>11559</v>
      </c>
      <c r="K7798" t="s">
        <v>15963</v>
      </c>
      <c r="L7798">
        <f>HYPERLINK("https://www2.assemblee-nationale.fr/sycomore/fiche/(num_dept)/6857", "6857")</f>
        <v>0</v>
      </c>
      <c r="M7798">
        <f>HYPERLINK("https://www.senat.fr/senateur-3eme-republique/sireyjol_leon0664r3.html", "sireyjol_leon0664r3")</f>
        <v>0</v>
      </c>
      <c r="N7798">
        <f>HYPERLINK("https://www.wikidata.org/wiki/Q3271332", "Q3271332")</f>
        <v>0</v>
      </c>
      <c r="O7798" t="s">
        <v>20010</v>
      </c>
      <c r="Q7798" t="s">
        <v>18994</v>
      </c>
      <c r="R7798" t="s">
        <v>420</v>
      </c>
      <c r="S7798">
        <v>1481</v>
      </c>
    </row>
    <row r="7799" spans="1:19">
      <c r="A7799" t="s">
        <v>30</v>
      </c>
      <c r="B7799" t="s">
        <v>148</v>
      </c>
      <c r="C7799" t="s">
        <v>162</v>
      </c>
      <c r="D7799" t="s">
        <v>291</v>
      </c>
      <c r="E7799" t="s">
        <v>420</v>
      </c>
      <c r="F7799">
        <f>HYPERLINK("https://www.wikidata.org/wiki/Q33323082", "Q33323082")</f>
        <v>0</v>
      </c>
      <c r="G7799" t="s">
        <v>1058</v>
      </c>
      <c r="H7799" t="s">
        <v>5804</v>
      </c>
      <c r="I7799" t="s">
        <v>6200</v>
      </c>
      <c r="J7799" t="s">
        <v>11795</v>
      </c>
      <c r="K7799" t="s">
        <v>16196</v>
      </c>
      <c r="L7799">
        <f>HYPERLINK("https://www2.assemblee-nationale.fr/sycomore/fiche/(num_dept)/6970", "6970")</f>
        <v>0</v>
      </c>
      <c r="N7799">
        <f>HYPERLINK("https://www.wikidata.org/wiki/Q16026538", "Q16026538")</f>
        <v>0</v>
      </c>
      <c r="O7799" t="s">
        <v>20020</v>
      </c>
      <c r="P7799" t="s">
        <v>20477</v>
      </c>
      <c r="Q7799" t="s">
        <v>18994</v>
      </c>
      <c r="R7799" t="s">
        <v>420</v>
      </c>
      <c r="S7799">
        <v>1481</v>
      </c>
    </row>
    <row r="7800" spans="1:19">
      <c r="A7800" t="s">
        <v>30</v>
      </c>
      <c r="B7800" t="s">
        <v>148</v>
      </c>
      <c r="C7800" t="s">
        <v>162</v>
      </c>
      <c r="D7800" t="s">
        <v>291</v>
      </c>
      <c r="E7800" t="s">
        <v>420</v>
      </c>
      <c r="F7800">
        <f>HYPERLINK("https://www.wikidata.org/wiki/Q33323082", "Q33323082")</f>
        <v>0</v>
      </c>
      <c r="G7800" t="s">
        <v>3641</v>
      </c>
      <c r="H7800" t="s">
        <v>7973</v>
      </c>
      <c r="I7800" t="s">
        <v>9458</v>
      </c>
      <c r="J7800" t="s">
        <v>14221</v>
      </c>
      <c r="K7800" t="s">
        <v>18584</v>
      </c>
      <c r="L7800">
        <f>HYPERLINK("https://www2.assemblee-nationale.fr/sycomore/fiche/(num_dept)/7082", "7082")</f>
        <v>0</v>
      </c>
      <c r="N7800">
        <f>HYPERLINK("https://www.wikidata.org/wiki/Q8337934", "Q8337934")</f>
        <v>0</v>
      </c>
      <c r="O7800" t="s">
        <v>20008</v>
      </c>
      <c r="P7800" t="s">
        <v>20401</v>
      </c>
      <c r="Q7800" t="s">
        <v>18994</v>
      </c>
      <c r="R7800" t="s">
        <v>420</v>
      </c>
      <c r="S7800">
        <v>1481</v>
      </c>
    </row>
    <row r="7801" spans="1:19">
      <c r="A7801" t="s">
        <v>30</v>
      </c>
      <c r="B7801" t="s">
        <v>148</v>
      </c>
      <c r="C7801" t="s">
        <v>162</v>
      </c>
      <c r="D7801" t="s">
        <v>291</v>
      </c>
      <c r="E7801" t="s">
        <v>420</v>
      </c>
      <c r="F7801">
        <f>HYPERLINK("https://www.wikidata.org/wiki/Q33323082", "Q33323082")</f>
        <v>0</v>
      </c>
      <c r="G7801" t="s">
        <v>1063</v>
      </c>
      <c r="H7801" t="s">
        <v>5809</v>
      </c>
      <c r="I7801" t="s">
        <v>9649</v>
      </c>
      <c r="J7801" t="s">
        <v>11800</v>
      </c>
      <c r="K7801" t="s">
        <v>16200</v>
      </c>
      <c r="L7801">
        <f>HYPERLINK("https://www2.assemblee-nationale.fr/sycomore/fiche/(num_dept)/7114", "7114")</f>
        <v>0</v>
      </c>
      <c r="N7801">
        <f>HYPERLINK("https://www.wikidata.org/wiki/Q13080889", "Q13080889")</f>
        <v>0</v>
      </c>
      <c r="O7801" t="s">
        <v>19969</v>
      </c>
      <c r="Q7801" t="s">
        <v>18994</v>
      </c>
      <c r="R7801" t="s">
        <v>420</v>
      </c>
      <c r="S7801">
        <v>1481</v>
      </c>
    </row>
    <row r="7802" spans="1:19">
      <c r="A7802" t="s">
        <v>30</v>
      </c>
      <c r="B7802" t="s">
        <v>148</v>
      </c>
      <c r="C7802" t="s">
        <v>162</v>
      </c>
      <c r="D7802" t="s">
        <v>291</v>
      </c>
      <c r="E7802" t="s">
        <v>420</v>
      </c>
      <c r="F7802">
        <f>HYPERLINK("https://www.wikidata.org/wiki/Q33323082", "Q33323082")</f>
        <v>0</v>
      </c>
      <c r="G7802" t="s">
        <v>820</v>
      </c>
      <c r="H7802" t="s">
        <v>5577</v>
      </c>
      <c r="I7802" t="s">
        <v>9538</v>
      </c>
      <c r="J7802" t="s">
        <v>11567</v>
      </c>
      <c r="K7802" t="s">
        <v>15880</v>
      </c>
      <c r="L7802">
        <f>HYPERLINK("https://www2.assemblee-nationale.fr/sycomore/fiche/(num_dept)/7164", "7164")</f>
        <v>0</v>
      </c>
      <c r="N7802">
        <f>HYPERLINK("https://www.wikidata.org/wiki/Q15235896", "Q15235896")</f>
        <v>0</v>
      </c>
      <c r="O7802" t="s">
        <v>20000</v>
      </c>
      <c r="P7802" t="s">
        <v>20477</v>
      </c>
      <c r="Q7802" t="s">
        <v>18994</v>
      </c>
      <c r="R7802" t="s">
        <v>420</v>
      </c>
      <c r="S7802">
        <v>1481</v>
      </c>
    </row>
    <row r="7803" spans="1:19">
      <c r="A7803" t="s">
        <v>30</v>
      </c>
      <c r="B7803" t="s">
        <v>148</v>
      </c>
      <c r="C7803" t="s">
        <v>162</v>
      </c>
      <c r="D7803" t="s">
        <v>291</v>
      </c>
      <c r="E7803" t="s">
        <v>420</v>
      </c>
      <c r="F7803">
        <f>HYPERLINK("https://www.wikidata.org/wiki/Q33323082", "Q33323082")</f>
        <v>0</v>
      </c>
      <c r="G7803" t="s">
        <v>4140</v>
      </c>
      <c r="H7803" t="s">
        <v>8344</v>
      </c>
      <c r="I7803" t="s">
        <v>11132</v>
      </c>
      <c r="J7803" t="s">
        <v>14670</v>
      </c>
      <c r="L7803">
        <f>HYPERLINK("https://www2.assemblee-nationale.fr/sycomore/fiche/(num_dept)/7168", "7168")</f>
        <v>0</v>
      </c>
      <c r="N7803">
        <f>HYPERLINK("https://www.wikidata.org/wiki/Q16026574", "Q16026574")</f>
        <v>0</v>
      </c>
      <c r="O7803" t="s">
        <v>19968</v>
      </c>
      <c r="Q7803" t="s">
        <v>18994</v>
      </c>
      <c r="R7803" t="s">
        <v>21600</v>
      </c>
      <c r="S7803">
        <v>321</v>
      </c>
    </row>
    <row r="7804" spans="1:19">
      <c r="A7804" t="s">
        <v>30</v>
      </c>
      <c r="B7804" t="s">
        <v>148</v>
      </c>
      <c r="C7804" t="s">
        <v>162</v>
      </c>
      <c r="D7804" t="s">
        <v>291</v>
      </c>
      <c r="E7804" t="s">
        <v>420</v>
      </c>
      <c r="F7804">
        <f>HYPERLINK("https://www.wikidata.org/wiki/Q33323082", "Q33323082")</f>
        <v>0</v>
      </c>
      <c r="G7804" t="s">
        <v>823</v>
      </c>
      <c r="H7804" t="s">
        <v>5580</v>
      </c>
      <c r="I7804" t="s">
        <v>7642</v>
      </c>
      <c r="J7804" t="s">
        <v>11570</v>
      </c>
      <c r="K7804" t="s">
        <v>15973</v>
      </c>
      <c r="L7804">
        <f>HYPERLINK("https://www2.assemblee-nationale.fr/sycomore/fiche/(num_dept)/7238", "7238")</f>
        <v>0</v>
      </c>
      <c r="M7804">
        <f>HYPERLINK("https://www.senat.fr/senateur-3eme-republique/viollette_maurice0773r3.html", "viollette_maurice0773r3")</f>
        <v>0</v>
      </c>
      <c r="N7804">
        <f>HYPERLINK("https://www.wikidata.org/wiki/Q3301513", "Q3301513")</f>
        <v>0</v>
      </c>
      <c r="O7804" t="s">
        <v>19971</v>
      </c>
      <c r="Q7804" t="s">
        <v>18994</v>
      </c>
      <c r="R7804" t="s">
        <v>420</v>
      </c>
      <c r="S7804">
        <v>1481</v>
      </c>
    </row>
    <row r="7805" spans="1:19">
      <c r="A7805" t="s">
        <v>30</v>
      </c>
      <c r="B7805" t="s">
        <v>148</v>
      </c>
      <c r="C7805" t="s">
        <v>162</v>
      </c>
      <c r="D7805" t="s">
        <v>291</v>
      </c>
      <c r="E7805" t="s">
        <v>420</v>
      </c>
      <c r="F7805">
        <f>HYPERLINK("https://www.wikidata.org/wiki/Q33323082", "Q33323082")</f>
        <v>0</v>
      </c>
      <c r="G7805" t="s">
        <v>1070</v>
      </c>
      <c r="H7805" t="s">
        <v>5815</v>
      </c>
      <c r="I7805" t="s">
        <v>6584</v>
      </c>
      <c r="J7805" t="s">
        <v>11806</v>
      </c>
      <c r="K7805" t="s">
        <v>16207</v>
      </c>
      <c r="L7805">
        <f>HYPERLINK("https://www2.assemblee-nationale.fr/sycomore/fiche/(num_dept)/7390", "7390")</f>
        <v>0</v>
      </c>
      <c r="N7805">
        <f>HYPERLINK("https://www.wikidata.org/wiki/Q13080029", "Q13080029")</f>
        <v>0</v>
      </c>
      <c r="O7805" t="s">
        <v>19969</v>
      </c>
      <c r="P7805" t="s">
        <v>20446</v>
      </c>
      <c r="Q7805" t="s">
        <v>18994</v>
      </c>
      <c r="R7805" t="s">
        <v>420</v>
      </c>
      <c r="S7805">
        <v>1481</v>
      </c>
    </row>
    <row r="7806" spans="1:19">
      <c r="A7806" t="s">
        <v>30</v>
      </c>
      <c r="B7806" t="s">
        <v>148</v>
      </c>
      <c r="C7806" t="s">
        <v>162</v>
      </c>
      <c r="D7806" t="s">
        <v>291</v>
      </c>
      <c r="E7806" t="s">
        <v>420</v>
      </c>
      <c r="F7806">
        <f>HYPERLINK("https://www.wikidata.org/wiki/Q33323082", "Q33323082")</f>
        <v>0</v>
      </c>
      <c r="G7806" t="s">
        <v>1071</v>
      </c>
      <c r="H7806" t="s">
        <v>5816</v>
      </c>
      <c r="I7806" t="s">
        <v>9445</v>
      </c>
      <c r="J7806" t="s">
        <v>11807</v>
      </c>
      <c r="K7806" t="s">
        <v>16208</v>
      </c>
      <c r="L7806">
        <f>HYPERLINK("https://www2.assemblee-nationale.fr/sycomore/fiche/(num_dept)/7391", "7391")</f>
        <v>0</v>
      </c>
      <c r="N7806">
        <f>HYPERLINK("https://www.wikidata.org/wiki/Q13078835", "Q13078835")</f>
        <v>0</v>
      </c>
      <c r="O7806" t="s">
        <v>19969</v>
      </c>
      <c r="P7806" t="s">
        <v>20439</v>
      </c>
      <c r="Q7806" t="s">
        <v>18994</v>
      </c>
      <c r="R7806" t="s">
        <v>420</v>
      </c>
      <c r="S7806">
        <v>1481</v>
      </c>
    </row>
    <row r="7807" spans="1:19">
      <c r="A7807" t="s">
        <v>30</v>
      </c>
      <c r="B7807" t="s">
        <v>148</v>
      </c>
      <c r="C7807" t="s">
        <v>162</v>
      </c>
      <c r="D7807" t="s">
        <v>291</v>
      </c>
      <c r="E7807" t="s">
        <v>420</v>
      </c>
      <c r="F7807">
        <f>HYPERLINK("https://www.wikidata.org/wiki/Q33323082", "Q33323082")</f>
        <v>0</v>
      </c>
      <c r="G7807" t="s">
        <v>829</v>
      </c>
      <c r="H7807" t="s">
        <v>5586</v>
      </c>
      <c r="I7807" t="s">
        <v>9468</v>
      </c>
      <c r="J7807" t="s">
        <v>11576</v>
      </c>
      <c r="K7807" t="s">
        <v>15978</v>
      </c>
      <c r="L7807">
        <f>HYPERLINK("https://www2.assemblee-nationale.fr/sycomore/fiche/(num_dept)/7393", "7393")</f>
        <v>0</v>
      </c>
      <c r="N7807">
        <f>HYPERLINK("https://www.wikidata.org/wiki/Q16026605", "Q16026605")</f>
        <v>0</v>
      </c>
      <c r="O7807" t="s">
        <v>20042</v>
      </c>
      <c r="P7807" t="s">
        <v>20485</v>
      </c>
      <c r="Q7807" t="s">
        <v>18994</v>
      </c>
      <c r="R7807" t="s">
        <v>420</v>
      </c>
      <c r="S7807">
        <v>1481</v>
      </c>
    </row>
    <row r="7808" spans="1:19">
      <c r="A7808" t="s">
        <v>30</v>
      </c>
      <c r="B7808" t="s">
        <v>148</v>
      </c>
      <c r="C7808" t="s">
        <v>162</v>
      </c>
      <c r="D7808" t="s">
        <v>291</v>
      </c>
      <c r="E7808" t="s">
        <v>420</v>
      </c>
      <c r="F7808">
        <f>HYPERLINK("https://www.wikidata.org/wiki/Q33323082", "Q33323082")</f>
        <v>0</v>
      </c>
      <c r="G7808" t="s">
        <v>3836</v>
      </c>
      <c r="H7808" t="s">
        <v>8114</v>
      </c>
      <c r="I7808" t="s">
        <v>9465</v>
      </c>
      <c r="J7808" t="s">
        <v>14398</v>
      </c>
      <c r="K7808" t="s">
        <v>18752</v>
      </c>
      <c r="L7808">
        <f>HYPERLINK("https://www2.assemblee-nationale.fr/sycomore/fiche/(num_dept)/7431", "7431")</f>
        <v>0</v>
      </c>
      <c r="N7808">
        <f>HYPERLINK("https://www.wikidata.org/wiki/Q16026607", "Q16026607")</f>
        <v>0</v>
      </c>
      <c r="O7808" t="s">
        <v>20034</v>
      </c>
      <c r="P7808" t="s">
        <v>20401</v>
      </c>
      <c r="Q7808" t="s">
        <v>18994</v>
      </c>
      <c r="R7808" t="s">
        <v>420</v>
      </c>
      <c r="S7808">
        <v>1481</v>
      </c>
    </row>
    <row r="7809" spans="1:19">
      <c r="A7809" t="s">
        <v>30</v>
      </c>
      <c r="B7809" t="s">
        <v>148</v>
      </c>
      <c r="C7809" t="s">
        <v>162</v>
      </c>
      <c r="D7809" t="s">
        <v>291</v>
      </c>
      <c r="E7809" t="s">
        <v>420</v>
      </c>
      <c r="F7809">
        <f>HYPERLINK("https://www.wikidata.org/wiki/Q33323082", "Q33323082")</f>
        <v>0</v>
      </c>
      <c r="G7809" t="s">
        <v>4141</v>
      </c>
      <c r="H7809" t="s">
        <v>8345</v>
      </c>
      <c r="I7809" t="s">
        <v>9388</v>
      </c>
      <c r="J7809" t="s">
        <v>14671</v>
      </c>
      <c r="K7809" t="s">
        <v>19007</v>
      </c>
      <c r="L7809">
        <f>HYPERLINK("https://www2.assemblee-nationale.fr/sycomore/fiche/(num_dept)/7438", "7438")</f>
        <v>0</v>
      </c>
      <c r="N7809">
        <f>HYPERLINK("https://www.wikidata.org/wiki/Q3372369", "Q3372369")</f>
        <v>0</v>
      </c>
      <c r="O7809" t="s">
        <v>20047</v>
      </c>
      <c r="P7809" t="s">
        <v>20477</v>
      </c>
      <c r="Q7809" t="s">
        <v>18994</v>
      </c>
      <c r="R7809" t="s">
        <v>420</v>
      </c>
      <c r="S7809">
        <v>1481</v>
      </c>
    </row>
    <row r="7810" spans="1:19">
      <c r="A7810" t="s">
        <v>30</v>
      </c>
      <c r="B7810" t="s">
        <v>148</v>
      </c>
      <c r="C7810" t="s">
        <v>162</v>
      </c>
      <c r="D7810" t="s">
        <v>291</v>
      </c>
      <c r="E7810" t="s">
        <v>420</v>
      </c>
      <c r="F7810">
        <f>HYPERLINK("https://www.wikidata.org/wiki/Q33323082", "Q33323082")</f>
        <v>0</v>
      </c>
      <c r="G7810" t="s">
        <v>4142</v>
      </c>
      <c r="H7810" t="s">
        <v>8346</v>
      </c>
      <c r="I7810" t="s">
        <v>11133</v>
      </c>
      <c r="J7810" t="s">
        <v>14672</v>
      </c>
      <c r="K7810" t="s">
        <v>19008</v>
      </c>
      <c r="L7810">
        <f>HYPERLINK("https://www2.assemblee-nationale.fr/sycomore/fiche/(num_dept)/7500", "7500")</f>
        <v>0</v>
      </c>
      <c r="N7810">
        <f>HYPERLINK("https://www.wikidata.org/wiki/Q8342132", "Q8342132")</f>
        <v>0</v>
      </c>
      <c r="O7810" t="s">
        <v>19960</v>
      </c>
      <c r="P7810" t="s">
        <v>20409</v>
      </c>
      <c r="Q7810" t="s">
        <v>18994</v>
      </c>
      <c r="R7810" t="s">
        <v>420</v>
      </c>
      <c r="S7810">
        <v>1481</v>
      </c>
    </row>
    <row r="7811" spans="1:19">
      <c r="A7811" t="s">
        <v>30</v>
      </c>
      <c r="B7811" t="s">
        <v>148</v>
      </c>
      <c r="C7811" t="s">
        <v>162</v>
      </c>
      <c r="D7811" t="s">
        <v>291</v>
      </c>
      <c r="E7811" t="s">
        <v>420</v>
      </c>
      <c r="F7811">
        <f>HYPERLINK("https://www.wikidata.org/wiki/Q33323082", "Q33323082")</f>
        <v>0</v>
      </c>
      <c r="G7811" t="s">
        <v>3741</v>
      </c>
      <c r="H7811" t="s">
        <v>8046</v>
      </c>
      <c r="I7811" t="s">
        <v>9465</v>
      </c>
      <c r="J7811" t="s">
        <v>14316</v>
      </c>
      <c r="K7811" t="s">
        <v>18667</v>
      </c>
      <c r="L7811">
        <f>HYPERLINK("https://www2.assemblee-nationale.fr/sycomore/fiche/(num_dept)/7699", "7699")</f>
        <v>0</v>
      </c>
      <c r="N7811">
        <f>HYPERLINK("https://www.wikidata.org/wiki/Q8338896", "Q8338896")</f>
        <v>0</v>
      </c>
      <c r="O7811" t="s">
        <v>20008</v>
      </c>
      <c r="P7811" t="s">
        <v>20401</v>
      </c>
      <c r="Q7811" t="s">
        <v>18994</v>
      </c>
      <c r="R7811" t="s">
        <v>420</v>
      </c>
      <c r="S7811">
        <v>1481</v>
      </c>
    </row>
    <row r="7812" spans="1:19">
      <c r="A7812" t="s">
        <v>30</v>
      </c>
      <c r="B7812" t="s">
        <v>148</v>
      </c>
      <c r="C7812" t="s">
        <v>162</v>
      </c>
      <c r="D7812" t="s">
        <v>291</v>
      </c>
      <c r="E7812" t="s">
        <v>420</v>
      </c>
      <c r="F7812">
        <f>HYPERLINK("https://www.wikidata.org/wiki/Q33323082", "Q33323082")</f>
        <v>0</v>
      </c>
      <c r="G7812" t="s">
        <v>4143</v>
      </c>
      <c r="H7812" t="s">
        <v>8347</v>
      </c>
      <c r="I7812" t="s">
        <v>9602</v>
      </c>
      <c r="J7812" t="s">
        <v>14590</v>
      </c>
      <c r="K7812" t="s">
        <v>19009</v>
      </c>
      <c r="L7812">
        <f>HYPERLINK("https://www2.assemblee-nationale.fr/sycomore/fiche/(num_dept)/7777", "7777")</f>
        <v>0</v>
      </c>
      <c r="N7812">
        <f>HYPERLINK("https://www.wikidata.org/wiki/Q3047902", "Q3047902")</f>
        <v>0</v>
      </c>
      <c r="O7812" t="s">
        <v>19969</v>
      </c>
      <c r="P7812" t="s">
        <v>20495</v>
      </c>
      <c r="Q7812" t="s">
        <v>18994</v>
      </c>
      <c r="R7812" t="s">
        <v>420</v>
      </c>
      <c r="S7812">
        <v>1481</v>
      </c>
    </row>
    <row r="7813" spans="1:19">
      <c r="A7813" t="s">
        <v>30</v>
      </c>
      <c r="B7813" t="s">
        <v>148</v>
      </c>
      <c r="C7813" t="s">
        <v>162</v>
      </c>
      <c r="D7813" t="s">
        <v>291</v>
      </c>
      <c r="E7813" t="s">
        <v>420</v>
      </c>
      <c r="F7813">
        <f>HYPERLINK("https://www.wikidata.org/wiki/Q33323082", "Q33323082")</f>
        <v>0</v>
      </c>
      <c r="G7813" t="s">
        <v>3743</v>
      </c>
      <c r="H7813" t="s">
        <v>8048</v>
      </c>
      <c r="I7813" t="s">
        <v>10955</v>
      </c>
      <c r="J7813" t="s">
        <v>14318</v>
      </c>
      <c r="K7813" t="s">
        <v>18669</v>
      </c>
      <c r="L7813">
        <f>HYPERLINK("https://www2.assemblee-nationale.fr/sycomore/fiche/(num_dept)/7784", "7784")</f>
        <v>0</v>
      </c>
      <c r="N7813">
        <f>HYPERLINK("https://www.wikidata.org/wiki/Q16025987", "Q16025987")</f>
        <v>0</v>
      </c>
      <c r="O7813" t="s">
        <v>20013</v>
      </c>
      <c r="Q7813" t="s">
        <v>18994</v>
      </c>
      <c r="R7813" t="s">
        <v>420</v>
      </c>
      <c r="S7813">
        <v>1481</v>
      </c>
    </row>
    <row r="7814" spans="1:19">
      <c r="A7814" t="s">
        <v>30</v>
      </c>
      <c r="B7814" t="s">
        <v>148</v>
      </c>
      <c r="C7814" t="s">
        <v>162</v>
      </c>
      <c r="D7814" t="s">
        <v>291</v>
      </c>
      <c r="E7814" t="s">
        <v>420</v>
      </c>
      <c r="F7814">
        <f>HYPERLINK("https://www.wikidata.org/wiki/Q33323082", "Q33323082")</f>
        <v>0</v>
      </c>
      <c r="G7814" t="s">
        <v>3294</v>
      </c>
      <c r="H7814" t="s">
        <v>7705</v>
      </c>
      <c r="I7814" t="s">
        <v>10485</v>
      </c>
      <c r="J7814" t="s">
        <v>13908</v>
      </c>
      <c r="K7814" t="s">
        <v>18279</v>
      </c>
      <c r="L7814">
        <f>HYPERLINK("https://www2.assemblee-nationale.fr/sycomore/fiche/(num_dept)/7807", "7807")</f>
        <v>0</v>
      </c>
      <c r="N7814">
        <f>HYPERLINK("https://www.wikidata.org/wiki/Q2941050", "Q2941050")</f>
        <v>0</v>
      </c>
      <c r="O7814" t="s">
        <v>19996</v>
      </c>
      <c r="P7814" t="s">
        <v>20477</v>
      </c>
      <c r="Q7814" t="s">
        <v>18994</v>
      </c>
      <c r="R7814" t="s">
        <v>420</v>
      </c>
      <c r="S7814">
        <v>1481</v>
      </c>
    </row>
    <row r="7815" spans="1:19">
      <c r="A7815" t="s">
        <v>30</v>
      </c>
      <c r="B7815" t="s">
        <v>148</v>
      </c>
      <c r="C7815" t="s">
        <v>162</v>
      </c>
      <c r="D7815" t="s">
        <v>291</v>
      </c>
      <c r="E7815" t="s">
        <v>420</v>
      </c>
      <c r="F7815">
        <f>HYPERLINK("https://www.wikidata.org/wiki/Q33323082", "Q33323082")</f>
        <v>0</v>
      </c>
      <c r="G7815" t="s">
        <v>2716</v>
      </c>
      <c r="H7815" t="s">
        <v>7242</v>
      </c>
      <c r="I7815" t="s">
        <v>10381</v>
      </c>
      <c r="J7815" t="s">
        <v>13357</v>
      </c>
      <c r="K7815" t="s">
        <v>17757</v>
      </c>
      <c r="L7815">
        <f>HYPERLINK("https://www2.assemblee-nationale.fr/sycomore/fiche/(num_dept)/7831", "7831")</f>
        <v>0</v>
      </c>
      <c r="N7815">
        <f>HYPERLINK("https://www.wikidata.org/wiki/Q8316737", "Q8316737")</f>
        <v>0</v>
      </c>
      <c r="O7815" t="s">
        <v>19997</v>
      </c>
      <c r="P7815" t="s">
        <v>20401</v>
      </c>
      <c r="Q7815" t="s">
        <v>18994</v>
      </c>
      <c r="R7815" t="s">
        <v>420</v>
      </c>
      <c r="S7815">
        <v>1481</v>
      </c>
    </row>
    <row r="7816" spans="1:19">
      <c r="A7816" t="s">
        <v>30</v>
      </c>
      <c r="B7816" t="s">
        <v>148</v>
      </c>
      <c r="C7816" t="s">
        <v>162</v>
      </c>
      <c r="D7816" t="s">
        <v>291</v>
      </c>
      <c r="E7816" t="s">
        <v>420</v>
      </c>
      <c r="F7816">
        <f>HYPERLINK("https://www.wikidata.org/wiki/Q33323082", "Q33323082")</f>
        <v>0</v>
      </c>
      <c r="G7816" t="s">
        <v>4018</v>
      </c>
      <c r="H7816" t="s">
        <v>8252</v>
      </c>
      <c r="I7816" t="s">
        <v>11069</v>
      </c>
      <c r="J7816" t="s">
        <v>14562</v>
      </c>
      <c r="K7816" t="s">
        <v>18907</v>
      </c>
      <c r="L7816">
        <f>HYPERLINK("https://www2.assemblee-nationale.fr/sycomore/fiche/(num_dept)/7836", "7836")</f>
        <v>0</v>
      </c>
      <c r="N7816">
        <f>HYPERLINK("https://www.wikidata.org/wiki/Q13084932", "Q13084932")</f>
        <v>0</v>
      </c>
      <c r="O7816" t="s">
        <v>19969</v>
      </c>
      <c r="P7816" t="s">
        <v>20477</v>
      </c>
      <c r="Q7816" t="s">
        <v>18994</v>
      </c>
      <c r="R7816" t="s">
        <v>420</v>
      </c>
      <c r="S7816">
        <v>1481</v>
      </c>
    </row>
    <row r="7817" spans="1:19">
      <c r="A7817" t="s">
        <v>30</v>
      </c>
      <c r="B7817" t="s">
        <v>148</v>
      </c>
      <c r="C7817" t="s">
        <v>162</v>
      </c>
      <c r="D7817" t="s">
        <v>291</v>
      </c>
      <c r="E7817" t="s">
        <v>420</v>
      </c>
      <c r="F7817">
        <f>HYPERLINK("https://www.wikidata.org/wiki/Q33323082", "Q33323082")</f>
        <v>0</v>
      </c>
      <c r="G7817" t="s">
        <v>857</v>
      </c>
      <c r="H7817" t="s">
        <v>5613</v>
      </c>
      <c r="I7817" t="s">
        <v>6175</v>
      </c>
      <c r="J7817" t="s">
        <v>11603</v>
      </c>
      <c r="K7817" t="s">
        <v>16005</v>
      </c>
      <c r="L7817">
        <f>HYPERLINK("https://www2.assemblee-nationale.fr/sycomore/fiche/(num_dept)/7840", "7840")</f>
        <v>0</v>
      </c>
      <c r="N7817">
        <f>HYPERLINK("https://www.wikidata.org/wiki/Q728806", "Q728806")</f>
        <v>0</v>
      </c>
      <c r="O7817" t="s">
        <v>20043</v>
      </c>
      <c r="P7817" t="s">
        <v>20457</v>
      </c>
      <c r="Q7817" t="s">
        <v>18994</v>
      </c>
      <c r="R7817" t="s">
        <v>420</v>
      </c>
      <c r="S7817">
        <v>1481</v>
      </c>
    </row>
    <row r="7818" spans="1:19">
      <c r="A7818" t="s">
        <v>30</v>
      </c>
      <c r="B7818" t="s">
        <v>148</v>
      </c>
      <c r="C7818" t="s">
        <v>162</v>
      </c>
      <c r="D7818" t="s">
        <v>291</v>
      </c>
      <c r="E7818" t="s">
        <v>420</v>
      </c>
      <c r="F7818">
        <f>HYPERLINK("https://www.wikidata.org/wiki/Q33323082", "Q33323082")</f>
        <v>0</v>
      </c>
      <c r="G7818" t="s">
        <v>4144</v>
      </c>
      <c r="H7818" t="s">
        <v>7761</v>
      </c>
      <c r="I7818" t="s">
        <v>11134</v>
      </c>
      <c r="J7818" t="s">
        <v>14673</v>
      </c>
      <c r="K7818" t="s">
        <v>19010</v>
      </c>
      <c r="L7818">
        <f>HYPERLINK("https://www2.assemblee-nationale.fr/sycomore/fiche/(num_dept)/2555", "2555")</f>
        <v>0</v>
      </c>
      <c r="N7818">
        <f>HYPERLINK("https://www.wikidata.org/wiki/Q16025606", "Q16025606")</f>
        <v>0</v>
      </c>
      <c r="O7818" t="s">
        <v>19997</v>
      </c>
      <c r="P7818" t="s">
        <v>20457</v>
      </c>
      <c r="Q7818" t="s">
        <v>20884</v>
      </c>
      <c r="R7818" t="s">
        <v>19010</v>
      </c>
      <c r="S7818">
        <v>248</v>
      </c>
    </row>
    <row r="7819" spans="1:19">
      <c r="A7819" t="s">
        <v>30</v>
      </c>
      <c r="B7819" t="s">
        <v>148</v>
      </c>
      <c r="C7819" t="s">
        <v>162</v>
      </c>
      <c r="D7819" t="s">
        <v>291</v>
      </c>
      <c r="E7819" t="s">
        <v>420</v>
      </c>
      <c r="F7819">
        <f>HYPERLINK("https://www.wikidata.org/wiki/Q33323082", "Q33323082")</f>
        <v>0</v>
      </c>
      <c r="G7819" t="s">
        <v>4145</v>
      </c>
      <c r="H7819" t="s">
        <v>8348</v>
      </c>
      <c r="I7819" t="s">
        <v>11135</v>
      </c>
      <c r="J7819" t="s">
        <v>14674</v>
      </c>
      <c r="K7819" t="s">
        <v>19011</v>
      </c>
      <c r="L7819">
        <f>HYPERLINK("https://www2.assemblee-nationale.fr/sycomore/fiche/(num_dept)/959", "959")</f>
        <v>0</v>
      </c>
      <c r="N7819">
        <f>HYPERLINK("https://www.wikidata.org/wiki/Q15973768", "Q15973768")</f>
        <v>0</v>
      </c>
      <c r="O7819" t="s">
        <v>20013</v>
      </c>
      <c r="P7819" t="s">
        <v>20479</v>
      </c>
      <c r="Q7819" t="s">
        <v>20885</v>
      </c>
      <c r="R7819" t="s">
        <v>420</v>
      </c>
      <c r="S7819">
        <v>1397</v>
      </c>
    </row>
    <row r="7820" spans="1:19">
      <c r="A7820" t="s">
        <v>30</v>
      </c>
      <c r="B7820" t="s">
        <v>148</v>
      </c>
      <c r="C7820" t="s">
        <v>162</v>
      </c>
      <c r="D7820" t="s">
        <v>291</v>
      </c>
      <c r="E7820" t="s">
        <v>420</v>
      </c>
      <c r="F7820">
        <f>HYPERLINK("https://www.wikidata.org/wiki/Q33323082", "Q33323082")</f>
        <v>0</v>
      </c>
      <c r="G7820" t="s">
        <v>1181</v>
      </c>
      <c r="H7820" t="s">
        <v>5912</v>
      </c>
      <c r="I7820" t="s">
        <v>6860</v>
      </c>
      <c r="J7820" t="s">
        <v>11914</v>
      </c>
      <c r="K7820" t="s">
        <v>314</v>
      </c>
      <c r="L7820">
        <f>HYPERLINK("https://www2.assemblee-nationale.fr/sycomore/fiche/(num_dept)/3891", "3891")</f>
        <v>0</v>
      </c>
      <c r="N7820">
        <f>HYPERLINK("https://www.wikidata.org/wiki/Q16025855", "Q16025855")</f>
        <v>0</v>
      </c>
      <c r="O7820" t="s">
        <v>19966</v>
      </c>
      <c r="P7820" t="s">
        <v>20477</v>
      </c>
      <c r="Q7820" t="s">
        <v>20886</v>
      </c>
      <c r="R7820" t="s">
        <v>420</v>
      </c>
      <c r="S7820">
        <v>1390</v>
      </c>
    </row>
    <row r="7821" spans="1:19">
      <c r="A7821" t="s">
        <v>30</v>
      </c>
      <c r="B7821" t="s">
        <v>148</v>
      </c>
      <c r="C7821" t="s">
        <v>162</v>
      </c>
      <c r="D7821" t="s">
        <v>291</v>
      </c>
      <c r="E7821" t="s">
        <v>420</v>
      </c>
      <c r="F7821">
        <f>HYPERLINK("https://www.wikidata.org/wiki/Q33323082", "Q33323082")</f>
        <v>0</v>
      </c>
      <c r="G7821" t="s">
        <v>4146</v>
      </c>
      <c r="H7821" t="s">
        <v>8349</v>
      </c>
      <c r="I7821" t="s">
        <v>11136</v>
      </c>
      <c r="J7821" t="s">
        <v>14675</v>
      </c>
      <c r="K7821" t="s">
        <v>19012</v>
      </c>
      <c r="L7821">
        <f>HYPERLINK("https://www2.assemblee-nationale.fr/sycomore/fiche/(num_dept)/6050", "6050")</f>
        <v>0</v>
      </c>
      <c r="N7821">
        <f>HYPERLINK("https://www.wikidata.org/wiki/Q8321107", "Q8321107")</f>
        <v>0</v>
      </c>
      <c r="O7821" t="s">
        <v>19976</v>
      </c>
      <c r="P7821" t="s">
        <v>20410</v>
      </c>
      <c r="Q7821" t="s">
        <v>20886</v>
      </c>
      <c r="R7821" t="s">
        <v>420</v>
      </c>
      <c r="S7821">
        <v>1390</v>
      </c>
    </row>
    <row r="7822" spans="1:19">
      <c r="A7822" t="s">
        <v>30</v>
      </c>
      <c r="B7822" t="s">
        <v>148</v>
      </c>
      <c r="C7822" t="s">
        <v>162</v>
      </c>
      <c r="D7822" t="s">
        <v>291</v>
      </c>
      <c r="E7822" t="s">
        <v>420</v>
      </c>
      <c r="F7822">
        <f>HYPERLINK("https://www.wikidata.org/wiki/Q33323082", "Q33323082")</f>
        <v>0</v>
      </c>
      <c r="G7822" t="s">
        <v>4147</v>
      </c>
      <c r="H7822" t="s">
        <v>8350</v>
      </c>
      <c r="I7822" t="s">
        <v>9438</v>
      </c>
      <c r="J7822" t="s">
        <v>14676</v>
      </c>
      <c r="K7822" t="s">
        <v>19013</v>
      </c>
      <c r="L7822">
        <f>HYPERLINK("https://www2.assemblee-nationale.fr/sycomore/fiche/(num_dept)/6801", "6801")</f>
        <v>0</v>
      </c>
      <c r="N7822">
        <f>HYPERLINK("https://www.wikidata.org/wiki/Q16026498", "Q16026498")</f>
        <v>0</v>
      </c>
      <c r="O7822" t="s">
        <v>20016</v>
      </c>
      <c r="P7822" t="s">
        <v>20477</v>
      </c>
      <c r="Q7822" t="s">
        <v>13097</v>
      </c>
      <c r="R7822" t="s">
        <v>19013</v>
      </c>
      <c r="S7822">
        <v>1230</v>
      </c>
    </row>
    <row r="7823" spans="1:19">
      <c r="A7823" t="s">
        <v>30</v>
      </c>
      <c r="B7823" t="s">
        <v>148</v>
      </c>
      <c r="C7823" t="s">
        <v>162</v>
      </c>
      <c r="D7823" t="s">
        <v>291</v>
      </c>
      <c r="E7823" t="s">
        <v>420</v>
      </c>
      <c r="F7823">
        <f>HYPERLINK("https://www.wikidata.org/wiki/Q33323082", "Q33323082")</f>
        <v>0</v>
      </c>
      <c r="G7823" t="s">
        <v>985</v>
      </c>
      <c r="H7823" t="s">
        <v>5737</v>
      </c>
      <c r="I7823" t="s">
        <v>9446</v>
      </c>
      <c r="J7823" t="s">
        <v>11723</v>
      </c>
      <c r="K7823" t="s">
        <v>16127</v>
      </c>
      <c r="L7823">
        <f>HYPERLINK("https://www2.assemblee-nationale.fr/sycomore/fiche/(num_dept)/4368", "4368")</f>
        <v>0</v>
      </c>
      <c r="N7823">
        <f>HYPERLINK("https://www.wikidata.org/wiki/Q16025943", "Q16025943")</f>
        <v>0</v>
      </c>
      <c r="O7823" t="s">
        <v>20037</v>
      </c>
      <c r="P7823" t="s">
        <v>20457</v>
      </c>
      <c r="Q7823" t="s">
        <v>20887</v>
      </c>
      <c r="R7823" t="s">
        <v>420</v>
      </c>
      <c r="S7823">
        <v>1362</v>
      </c>
    </row>
    <row r="7824" spans="1:19">
      <c r="A7824" t="s">
        <v>30</v>
      </c>
      <c r="B7824" t="s">
        <v>148</v>
      </c>
      <c r="C7824" t="s">
        <v>162</v>
      </c>
      <c r="D7824" t="s">
        <v>291</v>
      </c>
      <c r="E7824" t="s">
        <v>420</v>
      </c>
      <c r="F7824">
        <f>HYPERLINK("https://www.wikidata.org/wiki/Q33323082", "Q33323082")</f>
        <v>0</v>
      </c>
      <c r="G7824" t="s">
        <v>3720</v>
      </c>
      <c r="H7824" t="s">
        <v>5504</v>
      </c>
      <c r="I7824" t="s">
        <v>9442</v>
      </c>
      <c r="J7824" t="s">
        <v>14295</v>
      </c>
      <c r="K7824" t="s">
        <v>15930</v>
      </c>
      <c r="L7824">
        <f>HYPERLINK("https://www2.assemblee-nationale.fr/sycomore/fiche/(num_dept)/5564", "5564")</f>
        <v>0</v>
      </c>
      <c r="M7824">
        <f>HYPERLINK("https://www.senat.fr/senateur-3eme-republique/noel_charles0885r3.html", "noel_charles0885r3")</f>
        <v>0</v>
      </c>
      <c r="N7824">
        <f>HYPERLINK("https://www.wikidata.org/wiki/Q2959917", "Q2959917")</f>
        <v>0</v>
      </c>
      <c r="O7824" t="s">
        <v>19989</v>
      </c>
      <c r="Q7824" t="s">
        <v>20888</v>
      </c>
      <c r="R7824" t="s">
        <v>21597</v>
      </c>
      <c r="S7824">
        <v>1208</v>
      </c>
    </row>
    <row r="7825" spans="1:19">
      <c r="A7825" t="s">
        <v>30</v>
      </c>
      <c r="B7825" t="s">
        <v>148</v>
      </c>
      <c r="C7825" t="s">
        <v>162</v>
      </c>
      <c r="D7825" t="s">
        <v>291</v>
      </c>
      <c r="E7825" t="s">
        <v>420</v>
      </c>
      <c r="F7825">
        <f>HYPERLINK("https://www.wikidata.org/wiki/Q33323082", "Q33323082")</f>
        <v>0</v>
      </c>
      <c r="G7825" t="s">
        <v>610</v>
      </c>
      <c r="H7825" t="s">
        <v>5370</v>
      </c>
      <c r="I7825" t="s">
        <v>6166</v>
      </c>
      <c r="J7825" t="s">
        <v>11361</v>
      </c>
      <c r="K7825" t="s">
        <v>15762</v>
      </c>
      <c r="L7825">
        <f>HYPERLINK("https://www2.assemblee-nationale.fr/sycomore/fiche/(num_dept)/2292", "2292")</f>
        <v>0</v>
      </c>
      <c r="N7825">
        <f>HYPERLINK("https://www.wikidata.org/wiki/Q16025549", "Q16025549")</f>
        <v>0</v>
      </c>
      <c r="O7825" t="s">
        <v>19968</v>
      </c>
      <c r="Q7825" t="s">
        <v>20889</v>
      </c>
      <c r="R7825" t="s">
        <v>420</v>
      </c>
      <c r="S7825">
        <v>1236</v>
      </c>
    </row>
    <row r="7826" spans="1:19">
      <c r="A7826" t="s">
        <v>30</v>
      </c>
      <c r="B7826" t="s">
        <v>148</v>
      </c>
      <c r="C7826" t="s">
        <v>162</v>
      </c>
      <c r="D7826" t="s">
        <v>291</v>
      </c>
      <c r="E7826" t="s">
        <v>420</v>
      </c>
      <c r="F7826">
        <f>HYPERLINK("https://www.wikidata.org/wiki/Q33323082", "Q33323082")</f>
        <v>0</v>
      </c>
      <c r="G7826" t="s">
        <v>3900</v>
      </c>
      <c r="H7826" t="s">
        <v>8160</v>
      </c>
      <c r="I7826" t="s">
        <v>11020</v>
      </c>
      <c r="J7826" t="s">
        <v>14457</v>
      </c>
      <c r="K7826" t="s">
        <v>18807</v>
      </c>
      <c r="L7826">
        <f>HYPERLINK("https://www2.assemblee-nationale.fr/sycomore/fiche/(num_dept)/1502", "1502")</f>
        <v>0</v>
      </c>
      <c r="N7826">
        <f>HYPERLINK("https://www.wikidata.org/wiki/Q2910117", "Q2910117")</f>
        <v>0</v>
      </c>
      <c r="O7826" t="s">
        <v>20033</v>
      </c>
      <c r="P7826" t="s">
        <v>20504</v>
      </c>
      <c r="Q7826" t="s">
        <v>20890</v>
      </c>
      <c r="R7826" t="s">
        <v>420</v>
      </c>
      <c r="S7826">
        <v>1222</v>
      </c>
    </row>
    <row r="7827" spans="1:19">
      <c r="A7827" t="s">
        <v>30</v>
      </c>
      <c r="B7827" t="s">
        <v>148</v>
      </c>
      <c r="C7827" t="s">
        <v>162</v>
      </c>
      <c r="D7827" t="s">
        <v>291</v>
      </c>
      <c r="E7827" t="s">
        <v>420</v>
      </c>
      <c r="F7827">
        <f>HYPERLINK("https://www.wikidata.org/wiki/Q33323082", "Q33323082")</f>
        <v>0</v>
      </c>
      <c r="G7827" t="s">
        <v>4148</v>
      </c>
      <c r="H7827" t="s">
        <v>8351</v>
      </c>
      <c r="I7827" t="s">
        <v>6483</v>
      </c>
      <c r="J7827" t="s">
        <v>14677</v>
      </c>
      <c r="K7827" t="s">
        <v>19014</v>
      </c>
      <c r="L7827">
        <f>HYPERLINK("https://www2.assemblee-nationale.fr/sycomore/fiche/(num_dept)/4930", "4930")</f>
        <v>0</v>
      </c>
      <c r="N7827">
        <f>HYPERLINK("https://www.wikidata.org/wiki/Q8313386", "Q8313386")</f>
        <v>0</v>
      </c>
      <c r="O7827" t="s">
        <v>20044</v>
      </c>
      <c r="Q7827" t="s">
        <v>20891</v>
      </c>
      <c r="R7827" t="s">
        <v>420</v>
      </c>
      <c r="S7827">
        <v>1208</v>
      </c>
    </row>
    <row r="7828" spans="1:19">
      <c r="A7828" t="s">
        <v>30</v>
      </c>
      <c r="B7828" t="s">
        <v>148</v>
      </c>
      <c r="C7828" t="s">
        <v>162</v>
      </c>
      <c r="D7828" t="s">
        <v>291</v>
      </c>
      <c r="E7828" t="s">
        <v>420</v>
      </c>
      <c r="F7828">
        <f>HYPERLINK("https://www.wikidata.org/wiki/Q33323082", "Q33323082")</f>
        <v>0</v>
      </c>
      <c r="G7828" t="s">
        <v>4149</v>
      </c>
      <c r="H7828" t="s">
        <v>8352</v>
      </c>
      <c r="I7828" t="s">
        <v>11137</v>
      </c>
      <c r="J7828" t="s">
        <v>14678</v>
      </c>
      <c r="K7828" t="s">
        <v>19015</v>
      </c>
      <c r="L7828">
        <f>HYPERLINK("https://www2.assemblee-nationale.fr/sycomore/fiche/(num_dept)/7102", "7102")</f>
        <v>0</v>
      </c>
      <c r="N7828">
        <f>HYPERLINK("https://www.wikidata.org/wiki/Q16026563", "Q16026563")</f>
        <v>0</v>
      </c>
      <c r="O7828" t="s">
        <v>20037</v>
      </c>
      <c r="P7828" t="s">
        <v>20401</v>
      </c>
      <c r="Q7828" t="s">
        <v>20892</v>
      </c>
      <c r="R7828" t="s">
        <v>420</v>
      </c>
      <c r="S7828">
        <v>1201</v>
      </c>
    </row>
    <row r="7829" spans="1:19">
      <c r="A7829" t="s">
        <v>30</v>
      </c>
      <c r="B7829" t="s">
        <v>148</v>
      </c>
      <c r="C7829" t="s">
        <v>162</v>
      </c>
      <c r="D7829" t="s">
        <v>291</v>
      </c>
      <c r="E7829" t="s">
        <v>420</v>
      </c>
      <c r="F7829">
        <f>HYPERLINK("https://www.wikidata.org/wiki/Q33323082", "Q33323082")</f>
        <v>0</v>
      </c>
      <c r="G7829" t="s">
        <v>514</v>
      </c>
      <c r="H7829" t="s">
        <v>5279</v>
      </c>
      <c r="I7829" t="s">
        <v>9382</v>
      </c>
      <c r="J7829" t="s">
        <v>11266</v>
      </c>
      <c r="K7829" t="s">
        <v>15666</v>
      </c>
      <c r="L7829">
        <f>HYPERLINK("https://www2.assemblee-nationale.fr/sycomore/fiche/(num_dept)/488", "488")</f>
        <v>0</v>
      </c>
      <c r="M7829">
        <f>HYPERLINK("https://www.senat.fr/senateur-3eme-republique/baudet_charles0578r3.html", "baudet_charles0578r3")</f>
        <v>0</v>
      </c>
      <c r="N7829">
        <f>HYPERLINK("https://www.wikidata.org/wiki/Q2958489", "Q2958489")</f>
        <v>0</v>
      </c>
      <c r="O7829" t="s">
        <v>19964</v>
      </c>
      <c r="P7829" t="s">
        <v>20401</v>
      </c>
      <c r="Q7829" t="s">
        <v>20893</v>
      </c>
      <c r="R7829" t="s">
        <v>420</v>
      </c>
      <c r="S7829">
        <v>1194</v>
      </c>
    </row>
    <row r="7830" spans="1:19">
      <c r="A7830" t="s">
        <v>30</v>
      </c>
      <c r="B7830" t="s">
        <v>148</v>
      </c>
      <c r="C7830" t="s">
        <v>162</v>
      </c>
      <c r="D7830" t="s">
        <v>291</v>
      </c>
      <c r="E7830" t="s">
        <v>420</v>
      </c>
      <c r="F7830">
        <f>HYPERLINK("https://www.wikidata.org/wiki/Q33323082", "Q33323082")</f>
        <v>0</v>
      </c>
      <c r="G7830" t="s">
        <v>810</v>
      </c>
      <c r="H7830" t="s">
        <v>5567</v>
      </c>
      <c r="I7830" t="s">
        <v>9534</v>
      </c>
      <c r="J7830" t="s">
        <v>11557</v>
      </c>
      <c r="K7830" t="s">
        <v>15961</v>
      </c>
      <c r="L7830">
        <f>HYPERLINK("https://www2.assemblee-nationale.fr/sycomore/fiche/(num_dept)/6847", "6847")</f>
        <v>0</v>
      </c>
      <c r="M7830">
        <f>HYPERLINK("https://www.senat.fr/senateur-3eme-republique/simonet_hippolyte0626r3.html", "simonet_hippolyte0626r3")</f>
        <v>0</v>
      </c>
      <c r="N7830">
        <f>HYPERLINK("https://www.wikidata.org/wiki/Q3136130", "Q3136130")</f>
        <v>0</v>
      </c>
      <c r="O7830" t="s">
        <v>19979</v>
      </c>
      <c r="P7830" t="s">
        <v>20477</v>
      </c>
      <c r="Q7830" t="s">
        <v>20893</v>
      </c>
      <c r="R7830" t="s">
        <v>420</v>
      </c>
      <c r="S7830">
        <v>1194</v>
      </c>
    </row>
    <row r="7831" spans="1:19">
      <c r="A7831" t="s">
        <v>30</v>
      </c>
      <c r="B7831" t="s">
        <v>148</v>
      </c>
      <c r="C7831" t="s">
        <v>162</v>
      </c>
      <c r="D7831" t="s">
        <v>291</v>
      </c>
      <c r="E7831" t="s">
        <v>420</v>
      </c>
      <c r="F7831">
        <f>HYPERLINK("https://www.wikidata.org/wiki/Q33323082", "Q33323082")</f>
        <v>0</v>
      </c>
      <c r="G7831" t="s">
        <v>1148</v>
      </c>
      <c r="H7831" t="s">
        <v>5883</v>
      </c>
      <c r="I7831" t="s">
        <v>9678</v>
      </c>
      <c r="J7831" t="s">
        <v>11882</v>
      </c>
      <c r="K7831" t="s">
        <v>16284</v>
      </c>
      <c r="L7831">
        <f>HYPERLINK("https://www2.assemblee-nationale.fr/sycomore/fiche/(num_dept)/169", "169")</f>
        <v>0</v>
      </c>
      <c r="N7831">
        <f>HYPERLINK("https://www.wikidata.org/wiki/Q3385585", "Q3385585")</f>
        <v>0</v>
      </c>
      <c r="O7831" t="s">
        <v>20024</v>
      </c>
      <c r="Q7831" t="s">
        <v>20894</v>
      </c>
      <c r="R7831" t="s">
        <v>420</v>
      </c>
      <c r="S7831">
        <v>1187</v>
      </c>
    </row>
    <row r="7832" spans="1:19">
      <c r="A7832" t="s">
        <v>30</v>
      </c>
      <c r="B7832" t="s">
        <v>148</v>
      </c>
      <c r="C7832" t="s">
        <v>162</v>
      </c>
      <c r="D7832" t="s">
        <v>291</v>
      </c>
      <c r="E7832" t="s">
        <v>420</v>
      </c>
      <c r="F7832">
        <f>HYPERLINK("https://www.wikidata.org/wiki/Q33323082", "Q33323082")</f>
        <v>0</v>
      </c>
      <c r="G7832" t="s">
        <v>4150</v>
      </c>
      <c r="H7832" t="s">
        <v>8353</v>
      </c>
      <c r="I7832" t="s">
        <v>11138</v>
      </c>
      <c r="J7832" t="s">
        <v>14679</v>
      </c>
      <c r="K7832" t="s">
        <v>19016</v>
      </c>
      <c r="L7832">
        <f>HYPERLINK("https://www2.assemblee-nationale.fr/sycomore/fiche/(num_dept)/197", "197")</f>
        <v>0</v>
      </c>
      <c r="N7832">
        <f>HYPERLINK("https://www.wikidata.org/wiki/Q15973324", "Q15973324")</f>
        <v>0</v>
      </c>
      <c r="O7832" t="s">
        <v>20045</v>
      </c>
      <c r="P7832" t="s">
        <v>20410</v>
      </c>
      <c r="Q7832" t="s">
        <v>20894</v>
      </c>
      <c r="R7832" t="s">
        <v>420</v>
      </c>
      <c r="S7832">
        <v>1187</v>
      </c>
    </row>
    <row r="7833" spans="1:19">
      <c r="A7833" t="s">
        <v>30</v>
      </c>
      <c r="B7833" t="s">
        <v>148</v>
      </c>
      <c r="C7833" t="s">
        <v>162</v>
      </c>
      <c r="D7833" t="s">
        <v>291</v>
      </c>
      <c r="E7833" t="s">
        <v>420</v>
      </c>
      <c r="F7833">
        <f>HYPERLINK("https://www.wikidata.org/wiki/Q33323082", "Q33323082")</f>
        <v>0</v>
      </c>
      <c r="G7833" t="s">
        <v>4151</v>
      </c>
      <c r="H7833" t="s">
        <v>8354</v>
      </c>
      <c r="I7833" t="s">
        <v>6584</v>
      </c>
      <c r="J7833" t="s">
        <v>14680</v>
      </c>
      <c r="K7833" t="s">
        <v>19017</v>
      </c>
      <c r="L7833">
        <f>HYPERLINK("https://www2.assemblee-nationale.fr/sycomore/fiche/(num_dept)/5294", "5294")</f>
        <v>0</v>
      </c>
      <c r="N7833">
        <f>HYPERLINK("https://www.wikidata.org/wiki/Q16026108", "Q16026108")</f>
        <v>0</v>
      </c>
      <c r="O7833" t="s">
        <v>19999</v>
      </c>
      <c r="P7833" t="s">
        <v>20477</v>
      </c>
      <c r="Q7833" t="s">
        <v>20894</v>
      </c>
      <c r="R7833" t="s">
        <v>420</v>
      </c>
      <c r="S7833">
        <v>1187</v>
      </c>
    </row>
    <row r="7834" spans="1:19">
      <c r="A7834" t="s">
        <v>30</v>
      </c>
      <c r="B7834" t="s">
        <v>148</v>
      </c>
      <c r="C7834" t="s">
        <v>162</v>
      </c>
      <c r="D7834" t="s">
        <v>291</v>
      </c>
      <c r="E7834" t="s">
        <v>420</v>
      </c>
      <c r="F7834">
        <f>HYPERLINK("https://www.wikidata.org/wiki/Q33323082", "Q33323082")</f>
        <v>0</v>
      </c>
      <c r="G7834" t="s">
        <v>4152</v>
      </c>
      <c r="H7834" t="s">
        <v>8355</v>
      </c>
      <c r="I7834" t="s">
        <v>9523</v>
      </c>
      <c r="J7834" t="s">
        <v>14681</v>
      </c>
      <c r="K7834" t="s">
        <v>19018</v>
      </c>
      <c r="L7834">
        <f>HYPERLINK("https://www2.assemblee-nationale.fr/sycomore/fiche/(num_dept)/6654", "6654")</f>
        <v>0</v>
      </c>
      <c r="M7834">
        <f>HYPERLINK("https://www.senat.fr/senateur-3eme-republique/regnier_marcel0044r3.html", "regnier_marcel0044r3")</f>
        <v>0</v>
      </c>
      <c r="N7834">
        <f>HYPERLINK("https://www.wikidata.org/wiki/Q3289373", "Q3289373")</f>
        <v>0</v>
      </c>
      <c r="O7834" t="s">
        <v>19999</v>
      </c>
      <c r="P7834" t="s">
        <v>20401</v>
      </c>
      <c r="Q7834" t="s">
        <v>20894</v>
      </c>
      <c r="R7834" t="s">
        <v>420</v>
      </c>
      <c r="S7834">
        <v>1187</v>
      </c>
    </row>
    <row r="7835" spans="1:19">
      <c r="A7835" t="s">
        <v>30</v>
      </c>
      <c r="B7835" t="s">
        <v>148</v>
      </c>
      <c r="C7835" t="s">
        <v>162</v>
      </c>
      <c r="D7835" t="s">
        <v>291</v>
      </c>
      <c r="E7835" t="s">
        <v>420</v>
      </c>
      <c r="F7835">
        <f>HYPERLINK("https://www.wikidata.org/wiki/Q33323082", "Q33323082")</f>
        <v>0</v>
      </c>
      <c r="G7835" t="s">
        <v>670</v>
      </c>
      <c r="H7835" t="s">
        <v>5429</v>
      </c>
      <c r="I7835" t="s">
        <v>9476</v>
      </c>
      <c r="J7835" t="s">
        <v>11420</v>
      </c>
      <c r="K7835" t="s">
        <v>15821</v>
      </c>
      <c r="L7835">
        <f>HYPERLINK("https://www2.assemblee-nationale.fr/sycomore/fiche/(num_dept)/3603", "3603")</f>
        <v>0</v>
      </c>
      <c r="M7835">
        <f>HYPERLINK("https://www.senat.fr/senateur-3eme-republique/grosdidier_auguste1025r3.html", "grosdidier_auguste1025r3")</f>
        <v>0</v>
      </c>
      <c r="N7835">
        <f>HYPERLINK("https://www.wikidata.org/wiki/Q2871212", "Q2871212")</f>
        <v>0</v>
      </c>
      <c r="O7835" t="s">
        <v>20030</v>
      </c>
      <c r="P7835" t="s">
        <v>20401</v>
      </c>
      <c r="Q7835" t="s">
        <v>20895</v>
      </c>
      <c r="R7835" t="s">
        <v>420</v>
      </c>
      <c r="S7835">
        <v>1166</v>
      </c>
    </row>
    <row r="7836" spans="1:19">
      <c r="A7836" t="s">
        <v>30</v>
      </c>
      <c r="B7836" t="s">
        <v>148</v>
      </c>
      <c r="C7836" t="s">
        <v>162</v>
      </c>
      <c r="D7836" t="s">
        <v>291</v>
      </c>
      <c r="E7836" t="s">
        <v>420</v>
      </c>
      <c r="F7836">
        <f>HYPERLINK("https://www.wikidata.org/wiki/Q33323082", "Q33323082")</f>
        <v>0</v>
      </c>
      <c r="G7836" t="s">
        <v>3858</v>
      </c>
      <c r="H7836" t="s">
        <v>7908</v>
      </c>
      <c r="I7836" t="s">
        <v>7911</v>
      </c>
      <c r="J7836" t="s">
        <v>14417</v>
      </c>
      <c r="K7836" t="s">
        <v>18770</v>
      </c>
      <c r="L7836">
        <f>HYPERLINK("https://www2.assemblee-nationale.fr/sycomore/fiche/(num_dept)/2480", "2480")</f>
        <v>0</v>
      </c>
      <c r="N7836">
        <f>HYPERLINK("https://www.wikidata.org/wiki/Q1489558", "Q1489558")</f>
        <v>0</v>
      </c>
      <c r="O7836" t="s">
        <v>19969</v>
      </c>
      <c r="P7836" t="s">
        <v>20485</v>
      </c>
      <c r="Q7836" t="s">
        <v>17545</v>
      </c>
      <c r="R7836" t="s">
        <v>420</v>
      </c>
      <c r="S7836">
        <v>1152</v>
      </c>
    </row>
    <row r="7837" spans="1:19">
      <c r="A7837" t="s">
        <v>30</v>
      </c>
      <c r="B7837" t="s">
        <v>148</v>
      </c>
      <c r="C7837" t="s">
        <v>162</v>
      </c>
      <c r="D7837" t="s">
        <v>291</v>
      </c>
      <c r="E7837" t="s">
        <v>420</v>
      </c>
      <c r="F7837">
        <f>HYPERLINK("https://www.wikidata.org/wiki/Q33323082", "Q33323082")</f>
        <v>0</v>
      </c>
      <c r="G7837" t="s">
        <v>3440</v>
      </c>
      <c r="H7837" t="s">
        <v>6165</v>
      </c>
      <c r="I7837" t="s">
        <v>9681</v>
      </c>
      <c r="J7837" t="s">
        <v>14044</v>
      </c>
      <c r="K7837" t="s">
        <v>18412</v>
      </c>
      <c r="L7837">
        <f>HYPERLINK("https://www2.assemblee-nationale.fr/sycomore/fiche/(num_dept)/3081", "3081")</f>
        <v>0</v>
      </c>
      <c r="N7837">
        <f>HYPERLINK("https://www.wikidata.org/wiki/Q2411428", "Q2411428")</f>
        <v>0</v>
      </c>
      <c r="O7837" t="s">
        <v>20027</v>
      </c>
      <c r="P7837" t="s">
        <v>20401</v>
      </c>
      <c r="Q7837" t="s">
        <v>17545</v>
      </c>
      <c r="R7837" t="s">
        <v>420</v>
      </c>
      <c r="S7837">
        <v>1152</v>
      </c>
    </row>
    <row r="7838" spans="1:19">
      <c r="A7838" t="s">
        <v>30</v>
      </c>
      <c r="B7838" t="s">
        <v>148</v>
      </c>
      <c r="C7838" t="s">
        <v>162</v>
      </c>
      <c r="D7838" t="s">
        <v>291</v>
      </c>
      <c r="E7838" t="s">
        <v>420</v>
      </c>
      <c r="F7838">
        <f>HYPERLINK("https://www.wikidata.org/wiki/Q33323082", "Q33323082")</f>
        <v>0</v>
      </c>
      <c r="G7838" t="s">
        <v>1472</v>
      </c>
      <c r="H7838" t="s">
        <v>6171</v>
      </c>
      <c r="I7838" t="s">
        <v>9401</v>
      </c>
      <c r="J7838" t="s">
        <v>12191</v>
      </c>
      <c r="K7838" t="s">
        <v>16597</v>
      </c>
      <c r="L7838">
        <f>HYPERLINK("https://www2.assemblee-nationale.fr/sycomore/fiche/(num_dept)/3314", "3314")</f>
        <v>0</v>
      </c>
      <c r="M7838">
        <f>HYPERLINK("https://www.senat.fr/senateur-3eme-republique/gavini_antoine0491r3.html", "gavini_antoine0491r3")</f>
        <v>0</v>
      </c>
      <c r="N7838">
        <f>HYPERLINK("https://www.wikidata.org/wiki/Q2853978", "Q2853978")</f>
        <v>0</v>
      </c>
      <c r="O7838" t="s">
        <v>19955</v>
      </c>
      <c r="Q7838" t="s">
        <v>18198</v>
      </c>
      <c r="R7838" t="s">
        <v>420</v>
      </c>
      <c r="S7838">
        <v>1138</v>
      </c>
    </row>
    <row r="7839" spans="1:19">
      <c r="A7839" t="s">
        <v>30</v>
      </c>
      <c r="B7839" t="s">
        <v>148</v>
      </c>
      <c r="C7839" t="s">
        <v>162</v>
      </c>
      <c r="D7839" t="s">
        <v>291</v>
      </c>
      <c r="E7839" t="s">
        <v>420</v>
      </c>
      <c r="F7839">
        <f>HYPERLINK("https://www.wikidata.org/wiki/Q33323082", "Q33323082")</f>
        <v>0</v>
      </c>
      <c r="G7839" t="s">
        <v>1009</v>
      </c>
      <c r="H7839" t="s">
        <v>5498</v>
      </c>
      <c r="I7839" t="s">
        <v>9483</v>
      </c>
      <c r="J7839" t="s">
        <v>11746</v>
      </c>
      <c r="K7839" t="s">
        <v>16149</v>
      </c>
      <c r="L7839">
        <f>HYPERLINK("https://www2.assemblee-nationale.fr/sycomore/fiche/(num_dept)/5414", "5414")</f>
        <v>0</v>
      </c>
      <c r="N7839">
        <f>HYPERLINK("https://www.wikidata.org/wiki/Q16026151", "Q16026151")</f>
        <v>0</v>
      </c>
      <c r="O7839" t="s">
        <v>19968</v>
      </c>
      <c r="P7839" t="s">
        <v>20457</v>
      </c>
      <c r="Q7839" t="s">
        <v>20896</v>
      </c>
      <c r="R7839" t="s">
        <v>420</v>
      </c>
      <c r="S7839">
        <v>1117</v>
      </c>
    </row>
    <row r="7840" spans="1:19">
      <c r="A7840" t="s">
        <v>30</v>
      </c>
      <c r="B7840" t="s">
        <v>148</v>
      </c>
      <c r="C7840" t="s">
        <v>162</v>
      </c>
      <c r="D7840" t="s">
        <v>291</v>
      </c>
      <c r="E7840" t="s">
        <v>420</v>
      </c>
      <c r="F7840">
        <f>HYPERLINK("https://www.wikidata.org/wiki/Q33323082", "Q33323082")</f>
        <v>0</v>
      </c>
      <c r="G7840" t="s">
        <v>805</v>
      </c>
      <c r="H7840" t="s">
        <v>5562</v>
      </c>
      <c r="I7840" t="s">
        <v>9499</v>
      </c>
      <c r="J7840" t="s">
        <v>11552</v>
      </c>
      <c r="K7840" t="s">
        <v>15956</v>
      </c>
      <c r="L7840">
        <f>HYPERLINK("https://www2.assemblee-nationale.fr/sycomore/fiche/(num_dept)/6696", "6696")</f>
        <v>0</v>
      </c>
      <c r="N7840">
        <f>HYPERLINK("https://www.wikidata.org/wiki/Q3288371", "Q3288371")</f>
        <v>0</v>
      </c>
      <c r="O7840" t="s">
        <v>19973</v>
      </c>
      <c r="P7840" t="s">
        <v>20401</v>
      </c>
      <c r="Q7840" t="s">
        <v>20897</v>
      </c>
      <c r="R7840" t="s">
        <v>420</v>
      </c>
      <c r="S7840">
        <v>1103</v>
      </c>
    </row>
    <row r="7841" spans="1:19">
      <c r="A7841" t="s">
        <v>30</v>
      </c>
      <c r="B7841" t="s">
        <v>148</v>
      </c>
      <c r="C7841" t="s">
        <v>162</v>
      </c>
      <c r="D7841" t="s">
        <v>291</v>
      </c>
      <c r="E7841" t="s">
        <v>420</v>
      </c>
      <c r="F7841">
        <f>HYPERLINK("https://www.wikidata.org/wiki/Q33323082", "Q33323082")</f>
        <v>0</v>
      </c>
      <c r="G7841" t="s">
        <v>4153</v>
      </c>
      <c r="H7841" t="s">
        <v>7835</v>
      </c>
      <c r="I7841" t="s">
        <v>11139</v>
      </c>
      <c r="J7841" t="s">
        <v>14682</v>
      </c>
      <c r="K7841" t="s">
        <v>16636</v>
      </c>
      <c r="L7841">
        <f>HYPERLINK("https://www2.assemblee-nationale.fr/sycomore/fiche/(num_dept)/3944", "3944")</f>
        <v>0</v>
      </c>
      <c r="N7841">
        <f>HYPERLINK("https://www.wikidata.org/wiki/Q8314865", "Q8314865")</f>
        <v>0</v>
      </c>
      <c r="O7841" t="s">
        <v>20033</v>
      </c>
      <c r="P7841" t="s">
        <v>20485</v>
      </c>
      <c r="Q7841" t="s">
        <v>20898</v>
      </c>
      <c r="R7841" t="s">
        <v>420</v>
      </c>
      <c r="S7841">
        <v>1096</v>
      </c>
    </row>
    <row r="7842" spans="1:19">
      <c r="A7842" t="s">
        <v>30</v>
      </c>
      <c r="B7842" t="s">
        <v>148</v>
      </c>
      <c r="C7842" t="s">
        <v>162</v>
      </c>
      <c r="D7842" t="s">
        <v>291</v>
      </c>
      <c r="E7842" t="s">
        <v>420</v>
      </c>
      <c r="F7842">
        <f>HYPERLINK("https://www.wikidata.org/wiki/Q33323082", "Q33323082")</f>
        <v>0</v>
      </c>
      <c r="G7842" t="s">
        <v>1203</v>
      </c>
      <c r="H7842" t="s">
        <v>5932</v>
      </c>
      <c r="I7842" t="s">
        <v>9705</v>
      </c>
      <c r="J7842" t="s">
        <v>11936</v>
      </c>
      <c r="K7842" t="s">
        <v>16337</v>
      </c>
      <c r="L7842">
        <f>HYPERLINK("https://www2.assemblee-nationale.fr/sycomore/fiche/(num_dept)/6764", "6764")</f>
        <v>0</v>
      </c>
      <c r="N7842">
        <f>HYPERLINK("https://www.wikidata.org/wiki/Q16026426", "Q16026426")</f>
        <v>0</v>
      </c>
      <c r="O7842" t="s">
        <v>19966</v>
      </c>
      <c r="P7842" t="s">
        <v>20477</v>
      </c>
      <c r="Q7842" t="s">
        <v>20899</v>
      </c>
      <c r="R7842" t="s">
        <v>420</v>
      </c>
      <c r="S7842">
        <v>1089</v>
      </c>
    </row>
    <row r="7843" spans="1:19">
      <c r="A7843" t="s">
        <v>30</v>
      </c>
      <c r="B7843" t="s">
        <v>148</v>
      </c>
      <c r="C7843" t="s">
        <v>162</v>
      </c>
      <c r="D7843" t="s">
        <v>291</v>
      </c>
      <c r="E7843" t="s">
        <v>420</v>
      </c>
      <c r="F7843">
        <f>HYPERLINK("https://www.wikidata.org/wiki/Q33323082", "Q33323082")</f>
        <v>0</v>
      </c>
      <c r="G7843" t="s">
        <v>4154</v>
      </c>
      <c r="H7843" t="s">
        <v>8356</v>
      </c>
      <c r="I7843" t="s">
        <v>9407</v>
      </c>
      <c r="J7843" t="s">
        <v>14683</v>
      </c>
      <c r="K7843" t="s">
        <v>19019</v>
      </c>
      <c r="L7843">
        <f>HYPERLINK("https://www2.assemblee-nationale.fr/sycomore/fiche/(num_dept)/5620", "5620")</f>
        <v>0</v>
      </c>
      <c r="N7843">
        <f>HYPERLINK("https://www.wikidata.org/wiki/Q3185434", "Q3185434")</f>
        <v>0</v>
      </c>
      <c r="O7843" t="s">
        <v>19997</v>
      </c>
      <c r="P7843" t="s">
        <v>20459</v>
      </c>
      <c r="Q7843" t="s">
        <v>20900</v>
      </c>
      <c r="R7843" t="s">
        <v>420</v>
      </c>
      <c r="S7843">
        <v>1075</v>
      </c>
    </row>
    <row r="7844" spans="1:19">
      <c r="A7844" t="s">
        <v>30</v>
      </c>
      <c r="B7844" t="s">
        <v>148</v>
      </c>
      <c r="C7844" t="s">
        <v>162</v>
      </c>
      <c r="D7844" t="s">
        <v>291</v>
      </c>
      <c r="E7844" t="s">
        <v>420</v>
      </c>
      <c r="F7844">
        <f>HYPERLINK("https://www.wikidata.org/wiki/Q33323082", "Q33323082")</f>
        <v>0</v>
      </c>
      <c r="G7844" t="s">
        <v>4155</v>
      </c>
      <c r="H7844" t="s">
        <v>8357</v>
      </c>
      <c r="I7844" t="s">
        <v>7911</v>
      </c>
      <c r="J7844" t="s">
        <v>14684</v>
      </c>
      <c r="K7844" t="s">
        <v>19020</v>
      </c>
      <c r="L7844">
        <f>HYPERLINK("https://www2.assemblee-nationale.fr/sycomore/fiche/(num_dept)/6930", "6930")</f>
        <v>0</v>
      </c>
      <c r="N7844">
        <f>HYPERLINK("https://www.wikidata.org/wiki/Q595086", "Q595086")</f>
        <v>0</v>
      </c>
      <c r="O7844" t="s">
        <v>19969</v>
      </c>
      <c r="P7844" t="s">
        <v>20495</v>
      </c>
      <c r="Q7844" t="s">
        <v>20900</v>
      </c>
      <c r="R7844" t="s">
        <v>19020</v>
      </c>
      <c r="S7844">
        <v>536</v>
      </c>
    </row>
    <row r="7845" spans="1:19">
      <c r="A7845" t="s">
        <v>30</v>
      </c>
      <c r="B7845" t="s">
        <v>148</v>
      </c>
      <c r="C7845" t="s">
        <v>162</v>
      </c>
      <c r="D7845" t="s">
        <v>291</v>
      </c>
      <c r="E7845" t="s">
        <v>420</v>
      </c>
      <c r="F7845">
        <f>HYPERLINK("https://www.wikidata.org/wiki/Q33323082", "Q33323082")</f>
        <v>0</v>
      </c>
      <c r="G7845" t="s">
        <v>4156</v>
      </c>
      <c r="H7845" t="s">
        <v>8358</v>
      </c>
      <c r="I7845" t="s">
        <v>11140</v>
      </c>
      <c r="J7845" t="s">
        <v>14685</v>
      </c>
      <c r="K7845" t="s">
        <v>19021</v>
      </c>
      <c r="L7845">
        <f>HYPERLINK("https://www2.assemblee-nationale.fr/sycomore/fiche/(num_dept)/7435", "7435")</f>
        <v>0</v>
      </c>
      <c r="N7845">
        <f>HYPERLINK("https://www.wikidata.org/wiki/Q16026600", "Q16026600")</f>
        <v>0</v>
      </c>
      <c r="O7845" t="s">
        <v>19987</v>
      </c>
      <c r="P7845" t="s">
        <v>20457</v>
      </c>
      <c r="Q7845" t="s">
        <v>20901</v>
      </c>
      <c r="R7845" t="s">
        <v>420</v>
      </c>
      <c r="S7845">
        <v>1054</v>
      </c>
    </row>
    <row r="7846" spans="1:19">
      <c r="A7846" t="s">
        <v>30</v>
      </c>
      <c r="B7846" t="s">
        <v>148</v>
      </c>
      <c r="C7846" t="s">
        <v>162</v>
      </c>
      <c r="D7846" t="s">
        <v>291</v>
      </c>
      <c r="E7846" t="s">
        <v>420</v>
      </c>
      <c r="F7846">
        <f>HYPERLINK("https://www.wikidata.org/wiki/Q33323082", "Q33323082")</f>
        <v>0</v>
      </c>
      <c r="G7846" t="s">
        <v>4157</v>
      </c>
      <c r="H7846" t="s">
        <v>8359</v>
      </c>
      <c r="I7846" t="s">
        <v>9385</v>
      </c>
      <c r="J7846" t="s">
        <v>13173</v>
      </c>
      <c r="K7846" t="s">
        <v>18703</v>
      </c>
      <c r="L7846">
        <f>HYPERLINK("https://www2.assemblee-nationale.fr/sycomore/fiche/(num_dept)/3789", "3789")</f>
        <v>0</v>
      </c>
      <c r="N7846">
        <f>HYPERLINK("https://www.wikidata.org/wiki/Q2861326", "Q2861326")</f>
        <v>0</v>
      </c>
      <c r="O7846" t="s">
        <v>19969</v>
      </c>
      <c r="P7846" t="s">
        <v>20409</v>
      </c>
      <c r="Q7846" t="s">
        <v>20902</v>
      </c>
      <c r="R7846" t="s">
        <v>420</v>
      </c>
      <c r="S7846">
        <v>1033</v>
      </c>
    </row>
    <row r="7847" spans="1:19">
      <c r="A7847" t="s">
        <v>30</v>
      </c>
      <c r="B7847" t="s">
        <v>148</v>
      </c>
      <c r="C7847" t="s">
        <v>162</v>
      </c>
      <c r="D7847" t="s">
        <v>291</v>
      </c>
      <c r="E7847" t="s">
        <v>420</v>
      </c>
      <c r="F7847">
        <f>HYPERLINK("https://www.wikidata.org/wiki/Q33323082", "Q33323082")</f>
        <v>0</v>
      </c>
      <c r="G7847" t="s">
        <v>551</v>
      </c>
      <c r="H7847" t="s">
        <v>5314</v>
      </c>
      <c r="I7847" t="s">
        <v>9409</v>
      </c>
      <c r="J7847" t="s">
        <v>11285</v>
      </c>
      <c r="K7847" t="s">
        <v>15703</v>
      </c>
      <c r="L7847">
        <f>HYPERLINK("https://www2.assemblee-nationale.fr/sycomore/fiche/(num_dept)/1162", "1162")</f>
        <v>0</v>
      </c>
      <c r="N7847">
        <f>HYPERLINK("https://www.wikidata.org/wiki/Q15973942", "Q15973942")</f>
        <v>0</v>
      </c>
      <c r="O7847" t="s">
        <v>19986</v>
      </c>
      <c r="P7847" t="s">
        <v>20401</v>
      </c>
      <c r="Q7847" t="s">
        <v>20903</v>
      </c>
      <c r="R7847" t="s">
        <v>420</v>
      </c>
      <c r="S7847">
        <v>956</v>
      </c>
    </row>
    <row r="7848" spans="1:19">
      <c r="A7848" t="s">
        <v>30</v>
      </c>
      <c r="B7848" t="s">
        <v>148</v>
      </c>
      <c r="C7848" t="s">
        <v>162</v>
      </c>
      <c r="D7848" t="s">
        <v>291</v>
      </c>
      <c r="E7848" t="s">
        <v>420</v>
      </c>
      <c r="F7848">
        <f>HYPERLINK("https://www.wikidata.org/wiki/Q33323082", "Q33323082")</f>
        <v>0</v>
      </c>
      <c r="G7848" t="s">
        <v>4158</v>
      </c>
      <c r="H7848" t="s">
        <v>8360</v>
      </c>
      <c r="I7848" t="s">
        <v>11141</v>
      </c>
      <c r="J7848" t="s">
        <v>14686</v>
      </c>
      <c r="K7848" t="s">
        <v>19022</v>
      </c>
      <c r="L7848">
        <f>HYPERLINK("https://www2.assemblee-nationale.fr/sycomore/fiche/(num_dept)/6087", "6087")</f>
        <v>0</v>
      </c>
      <c r="N7848">
        <f>HYPERLINK("https://www.wikidata.org/wiki/Q3420987", "Q3420987")</f>
        <v>0</v>
      </c>
      <c r="O7848" t="s">
        <v>19964</v>
      </c>
      <c r="Q7848" t="s">
        <v>20904</v>
      </c>
      <c r="R7848" t="s">
        <v>420</v>
      </c>
      <c r="S7848">
        <v>914</v>
      </c>
    </row>
    <row r="7849" spans="1:19">
      <c r="A7849" t="s">
        <v>30</v>
      </c>
      <c r="B7849" t="s">
        <v>148</v>
      </c>
      <c r="C7849" t="s">
        <v>162</v>
      </c>
      <c r="D7849" t="s">
        <v>291</v>
      </c>
      <c r="E7849" t="s">
        <v>420</v>
      </c>
      <c r="F7849">
        <f>HYPERLINK("https://www.wikidata.org/wiki/Q33323082", "Q33323082")</f>
        <v>0</v>
      </c>
      <c r="G7849" t="s">
        <v>745</v>
      </c>
      <c r="H7849" t="s">
        <v>5503</v>
      </c>
      <c r="I7849" t="s">
        <v>9506</v>
      </c>
      <c r="J7849" t="s">
        <v>11494</v>
      </c>
      <c r="K7849" t="s">
        <v>15896</v>
      </c>
      <c r="L7849">
        <f>HYPERLINK("https://www2.assemblee-nationale.fr/sycomore/fiche/(num_dept)/5548", "5548")</f>
        <v>0</v>
      </c>
      <c r="N7849">
        <f>HYPERLINK("https://www.wikidata.org/wiki/Q16026195", "Q16026195")</f>
        <v>0</v>
      </c>
      <c r="O7849" t="s">
        <v>20037</v>
      </c>
      <c r="P7849" t="s">
        <v>20401</v>
      </c>
      <c r="Q7849" t="s">
        <v>20905</v>
      </c>
      <c r="R7849" t="s">
        <v>420</v>
      </c>
      <c r="S7849">
        <v>893</v>
      </c>
    </row>
    <row r="7850" spans="1:19">
      <c r="A7850" t="s">
        <v>30</v>
      </c>
      <c r="B7850" t="s">
        <v>148</v>
      </c>
      <c r="C7850" t="s">
        <v>162</v>
      </c>
      <c r="D7850" t="s">
        <v>291</v>
      </c>
      <c r="E7850" t="s">
        <v>420</v>
      </c>
      <c r="F7850">
        <f>HYPERLINK("https://www.wikidata.org/wiki/Q33323082", "Q33323082")</f>
        <v>0</v>
      </c>
      <c r="G7850" t="s">
        <v>4159</v>
      </c>
      <c r="H7850" t="s">
        <v>8361</v>
      </c>
      <c r="I7850" t="s">
        <v>11142</v>
      </c>
      <c r="J7850" t="s">
        <v>14490</v>
      </c>
      <c r="K7850" t="s">
        <v>19023</v>
      </c>
      <c r="L7850">
        <f>HYPERLINK("https://www2.assemblee-nationale.fr/sycomore/fiche/(num_dept)/4904", "4904")</f>
        <v>0</v>
      </c>
      <c r="N7850">
        <f>HYPERLINK("https://www.wikidata.org/wiki/Q3261098", "Q3261098")</f>
        <v>0</v>
      </c>
      <c r="O7850" t="s">
        <v>19980</v>
      </c>
      <c r="P7850" t="s">
        <v>20410</v>
      </c>
      <c r="Q7850" t="s">
        <v>20906</v>
      </c>
      <c r="R7850" t="s">
        <v>420</v>
      </c>
      <c r="S7850">
        <v>886</v>
      </c>
    </row>
    <row r="7851" spans="1:19">
      <c r="A7851" t="s">
        <v>30</v>
      </c>
      <c r="B7851" t="s">
        <v>148</v>
      </c>
      <c r="C7851" t="s">
        <v>162</v>
      </c>
      <c r="D7851" t="s">
        <v>291</v>
      </c>
      <c r="E7851" t="s">
        <v>420</v>
      </c>
      <c r="F7851">
        <f>HYPERLINK("https://www.wikidata.org/wiki/Q33323082", "Q33323082")</f>
        <v>0</v>
      </c>
      <c r="G7851" t="s">
        <v>4016</v>
      </c>
      <c r="H7851" t="s">
        <v>8250</v>
      </c>
      <c r="I7851" t="s">
        <v>11067</v>
      </c>
      <c r="J7851" t="s">
        <v>14560</v>
      </c>
      <c r="K7851" t="s">
        <v>18905</v>
      </c>
      <c r="L7851">
        <f>HYPERLINK("https://www2.assemblee-nationale.fr/sycomore/fiche/(num_dept)/7422", "7422")</f>
        <v>0</v>
      </c>
      <c r="N7851">
        <f>HYPERLINK("https://www.wikidata.org/wiki/Q2834151", "Q2834151")</f>
        <v>0</v>
      </c>
      <c r="O7851" t="s">
        <v>20006</v>
      </c>
      <c r="P7851" t="s">
        <v>20485</v>
      </c>
      <c r="Q7851" t="s">
        <v>17963</v>
      </c>
      <c r="R7851" t="s">
        <v>420</v>
      </c>
      <c r="S7851">
        <v>809</v>
      </c>
    </row>
    <row r="7852" spans="1:19">
      <c r="A7852" t="s">
        <v>30</v>
      </c>
      <c r="B7852" t="s">
        <v>148</v>
      </c>
      <c r="C7852" t="s">
        <v>162</v>
      </c>
      <c r="D7852" t="s">
        <v>291</v>
      </c>
      <c r="E7852" t="s">
        <v>420</v>
      </c>
      <c r="F7852">
        <f>HYPERLINK("https://www.wikidata.org/wiki/Q33323082", "Q33323082")</f>
        <v>0</v>
      </c>
      <c r="G7852" t="s">
        <v>799</v>
      </c>
      <c r="H7852" t="s">
        <v>5556</v>
      </c>
      <c r="I7852" t="s">
        <v>9530</v>
      </c>
      <c r="J7852" t="s">
        <v>11546</v>
      </c>
      <c r="K7852" t="s">
        <v>15950</v>
      </c>
      <c r="L7852">
        <f>HYPERLINK("https://www2.assemblee-nationale.fr/sycomore/fiche/(num_dept)/6614", "6614")</f>
        <v>0</v>
      </c>
      <c r="N7852">
        <f>HYPERLINK("https://www.wikidata.org/wiki/Q3289321", "Q3289321")</f>
        <v>0</v>
      </c>
      <c r="O7852" t="s">
        <v>19985</v>
      </c>
      <c r="P7852" t="s">
        <v>20420</v>
      </c>
      <c r="Q7852" t="s">
        <v>20907</v>
      </c>
      <c r="R7852" t="s">
        <v>420</v>
      </c>
      <c r="S7852">
        <v>781</v>
      </c>
    </row>
    <row r="7853" spans="1:19">
      <c r="A7853" t="s">
        <v>30</v>
      </c>
      <c r="B7853" t="s">
        <v>148</v>
      </c>
      <c r="C7853" t="s">
        <v>162</v>
      </c>
      <c r="D7853" t="s">
        <v>291</v>
      </c>
      <c r="E7853" t="s">
        <v>420</v>
      </c>
      <c r="F7853">
        <f>HYPERLINK("https://www.wikidata.org/wiki/Q33323082", "Q33323082")</f>
        <v>0</v>
      </c>
      <c r="G7853" t="s">
        <v>644</v>
      </c>
      <c r="H7853" t="s">
        <v>5403</v>
      </c>
      <c r="I7853" t="s">
        <v>7642</v>
      </c>
      <c r="J7853" t="s">
        <v>11394</v>
      </c>
      <c r="K7853" t="s">
        <v>15796</v>
      </c>
      <c r="L7853">
        <f>HYPERLINK("https://www2.assemblee-nationale.fr/sycomore/fiche/(num_dept)/3025", "3025")</f>
        <v>0</v>
      </c>
      <c r="M7853">
        <f>HYPERLINK("https://www.senat.fr/senateur-3eme-republique/flayelle_maurice1800r3.html", "flayelle_maurice1800r3")</f>
        <v>0</v>
      </c>
      <c r="N7853">
        <f>HYPERLINK("https://www.wikidata.org/wiki/Q3300781", "Q3300781")</f>
        <v>0</v>
      </c>
      <c r="O7853" t="s">
        <v>20017</v>
      </c>
      <c r="Q7853" t="s">
        <v>20908</v>
      </c>
      <c r="R7853" t="s">
        <v>420</v>
      </c>
      <c r="S7853">
        <v>767</v>
      </c>
    </row>
    <row r="7854" spans="1:19">
      <c r="A7854" t="s">
        <v>30</v>
      </c>
      <c r="B7854" t="s">
        <v>148</v>
      </c>
      <c r="C7854" t="s">
        <v>162</v>
      </c>
      <c r="D7854" t="s">
        <v>291</v>
      </c>
      <c r="E7854" t="s">
        <v>420</v>
      </c>
      <c r="F7854">
        <f>HYPERLINK("https://www.wikidata.org/wiki/Q33323082", "Q33323082")</f>
        <v>0</v>
      </c>
      <c r="G7854" t="s">
        <v>4160</v>
      </c>
      <c r="H7854" t="s">
        <v>8362</v>
      </c>
      <c r="I7854" t="s">
        <v>11143</v>
      </c>
      <c r="J7854" t="s">
        <v>14687</v>
      </c>
      <c r="K7854" t="s">
        <v>19024</v>
      </c>
      <c r="L7854">
        <f>HYPERLINK("https://www2.assemblee-nationale.fr/sycomore/fiche/(num_dept)/5577", "5577")</f>
        <v>0</v>
      </c>
      <c r="N7854">
        <f>HYPERLINK("https://www.wikidata.org/wiki/Q16026209", "Q16026209")</f>
        <v>0</v>
      </c>
      <c r="O7854" t="s">
        <v>19965</v>
      </c>
      <c r="P7854" t="s">
        <v>20485</v>
      </c>
      <c r="Q7854" t="s">
        <v>20909</v>
      </c>
      <c r="R7854" t="s">
        <v>420</v>
      </c>
      <c r="S7854">
        <v>704</v>
      </c>
    </row>
    <row r="7855" spans="1:19">
      <c r="A7855" t="s">
        <v>30</v>
      </c>
      <c r="B7855" t="s">
        <v>148</v>
      </c>
      <c r="C7855" t="s">
        <v>162</v>
      </c>
      <c r="D7855" t="s">
        <v>291</v>
      </c>
      <c r="E7855" t="s">
        <v>420</v>
      </c>
      <c r="F7855">
        <f>HYPERLINK("https://www.wikidata.org/wiki/Q33323082", "Q33323082")</f>
        <v>0</v>
      </c>
      <c r="G7855" t="s">
        <v>925</v>
      </c>
      <c r="H7855" t="s">
        <v>5681</v>
      </c>
      <c r="I7855" t="s">
        <v>9591</v>
      </c>
      <c r="J7855" t="s">
        <v>11667</v>
      </c>
      <c r="K7855" t="s">
        <v>16068</v>
      </c>
      <c r="L7855">
        <f>HYPERLINK("https://www2.assemblee-nationale.fr/sycomore/fiche/(num_dept)/2327", "2327")</f>
        <v>0</v>
      </c>
      <c r="M7855">
        <f>HYPERLINK("https://www.senat.fr/senateur-3eme-republique/deloncle_charles1374r3.html", "deloncle_charles1374r3")</f>
        <v>0</v>
      </c>
      <c r="N7855">
        <f>HYPERLINK("https://www.wikidata.org/wiki/Q2958871", "Q2958871")</f>
        <v>0</v>
      </c>
      <c r="O7855" t="s">
        <v>19969</v>
      </c>
      <c r="P7855" t="s">
        <v>20477</v>
      </c>
      <c r="Q7855" t="s">
        <v>20910</v>
      </c>
      <c r="R7855" t="s">
        <v>420</v>
      </c>
      <c r="S7855">
        <v>676</v>
      </c>
    </row>
    <row r="7856" spans="1:19">
      <c r="A7856" t="s">
        <v>30</v>
      </c>
      <c r="B7856" t="s">
        <v>148</v>
      </c>
      <c r="C7856" t="s">
        <v>162</v>
      </c>
      <c r="D7856" t="s">
        <v>291</v>
      </c>
      <c r="E7856" t="s">
        <v>420</v>
      </c>
      <c r="F7856">
        <f>HYPERLINK("https://www.wikidata.org/wiki/Q33323082", "Q33323082")</f>
        <v>0</v>
      </c>
      <c r="G7856" t="s">
        <v>814</v>
      </c>
      <c r="H7856" t="s">
        <v>5571</v>
      </c>
      <c r="I7856" t="s">
        <v>9533</v>
      </c>
      <c r="J7856" t="s">
        <v>11561</v>
      </c>
      <c r="K7856" t="s">
        <v>15965</v>
      </c>
      <c r="L7856">
        <f>HYPERLINK("https://www2.assemblee-nationale.fr/sycomore/fiche/(num_dept)/6904", "6904")</f>
        <v>0</v>
      </c>
      <c r="M7856">
        <f>HYPERLINK("https://www.senat.fr/senateur-3eme-republique/steeg_theodore1554r3.html", "steeg_theodore1554r3")</f>
        <v>0</v>
      </c>
      <c r="N7856">
        <f>HYPERLINK("https://www.wikidata.org/wiki/Q717905", "Q717905")</f>
        <v>0</v>
      </c>
      <c r="O7856" t="s">
        <v>19969</v>
      </c>
      <c r="P7856" t="s">
        <v>20477</v>
      </c>
      <c r="Q7856" t="s">
        <v>20910</v>
      </c>
      <c r="R7856" t="s">
        <v>420</v>
      </c>
      <c r="S7856">
        <v>676</v>
      </c>
    </row>
    <row r="7857" spans="1:19">
      <c r="A7857" t="s">
        <v>30</v>
      </c>
      <c r="B7857" t="s">
        <v>148</v>
      </c>
      <c r="C7857" t="s">
        <v>162</v>
      </c>
      <c r="D7857" t="s">
        <v>291</v>
      </c>
      <c r="E7857" t="s">
        <v>420</v>
      </c>
      <c r="F7857">
        <f>HYPERLINK("https://www.wikidata.org/wiki/Q33323082", "Q33323082")</f>
        <v>0</v>
      </c>
      <c r="G7857" t="s">
        <v>850</v>
      </c>
      <c r="H7857" t="s">
        <v>5607</v>
      </c>
      <c r="I7857" t="s">
        <v>8494</v>
      </c>
      <c r="J7857" t="s">
        <v>11596</v>
      </c>
      <c r="K7857" t="s">
        <v>15998</v>
      </c>
      <c r="L7857">
        <f>HYPERLINK("https://www2.assemblee-nationale.fr/sycomore/fiche/(num_dept)/7692", "7692")</f>
        <v>0</v>
      </c>
      <c r="M7857">
        <f>HYPERLINK("https://www.senat.fr/senateur-3eme-republique/lefevre_abel0761r3.html", "lefevre_abel0761r3")</f>
        <v>0</v>
      </c>
      <c r="N7857">
        <f>HYPERLINK("https://www.wikidata.org/wiki/Q2821523", "Q2821523")</f>
        <v>0</v>
      </c>
      <c r="O7857" t="s">
        <v>19992</v>
      </c>
      <c r="P7857" t="s">
        <v>20402</v>
      </c>
      <c r="Q7857" t="s">
        <v>18881</v>
      </c>
      <c r="R7857" t="s">
        <v>420</v>
      </c>
      <c r="S7857">
        <v>606</v>
      </c>
    </row>
    <row r="7858" spans="1:19">
      <c r="A7858" t="s">
        <v>30</v>
      </c>
      <c r="B7858" t="s">
        <v>148</v>
      </c>
      <c r="C7858" t="s">
        <v>162</v>
      </c>
      <c r="D7858" t="s">
        <v>291</v>
      </c>
      <c r="E7858" t="s">
        <v>420</v>
      </c>
      <c r="F7858">
        <f>HYPERLINK("https://www.wikidata.org/wiki/Q33323082", "Q33323082")</f>
        <v>0</v>
      </c>
      <c r="G7858" t="s">
        <v>4161</v>
      </c>
      <c r="H7858" t="s">
        <v>8363</v>
      </c>
      <c r="I7858" t="s">
        <v>9990</v>
      </c>
      <c r="J7858" t="s">
        <v>13874</v>
      </c>
      <c r="K7858" t="s">
        <v>18640</v>
      </c>
      <c r="L7858">
        <f>HYPERLINK("https://www2.assemblee-nationale.fr/sycomore/fiche/(num_dept)/71", "71")</f>
        <v>0</v>
      </c>
      <c r="N7858">
        <f>HYPERLINK("https://www.wikidata.org/wiki/Q8320752", "Q8320752")</f>
        <v>0</v>
      </c>
      <c r="O7858" t="s">
        <v>19991</v>
      </c>
      <c r="P7858" t="s">
        <v>20401</v>
      </c>
      <c r="Q7858" t="s">
        <v>20911</v>
      </c>
      <c r="R7858" t="s">
        <v>18640</v>
      </c>
      <c r="S7858">
        <v>313</v>
      </c>
    </row>
    <row r="7859" spans="1:19">
      <c r="A7859" t="s">
        <v>30</v>
      </c>
      <c r="B7859" t="s">
        <v>148</v>
      </c>
      <c r="C7859" t="s">
        <v>162</v>
      </c>
      <c r="D7859" t="s">
        <v>291</v>
      </c>
      <c r="E7859" t="s">
        <v>420</v>
      </c>
      <c r="F7859">
        <f>HYPERLINK("https://www.wikidata.org/wiki/Q33323082", "Q33323082")</f>
        <v>0</v>
      </c>
      <c r="G7859" t="s">
        <v>504</v>
      </c>
      <c r="H7859" t="s">
        <v>5269</v>
      </c>
      <c r="I7859" t="s">
        <v>9374</v>
      </c>
      <c r="J7859" t="s">
        <v>11256</v>
      </c>
      <c r="K7859" t="s">
        <v>15656</v>
      </c>
      <c r="L7859">
        <f>HYPERLINK("https://www2.assemblee-nationale.fr/sycomore/fiche/(num_dept)/261", "261")</f>
        <v>0</v>
      </c>
      <c r="N7859">
        <f>HYPERLINK("https://www.wikidata.org/wiki/Q653621", "Q653621")</f>
        <v>0</v>
      </c>
      <c r="O7859" t="s">
        <v>19965</v>
      </c>
      <c r="Q7859" t="s">
        <v>20912</v>
      </c>
      <c r="R7859" t="s">
        <v>21595</v>
      </c>
      <c r="S7859">
        <v>362</v>
      </c>
    </row>
    <row r="7860" spans="1:19">
      <c r="A7860" t="s">
        <v>30</v>
      </c>
      <c r="B7860" t="s">
        <v>148</v>
      </c>
      <c r="C7860" t="s">
        <v>162</v>
      </c>
      <c r="D7860" t="s">
        <v>291</v>
      </c>
      <c r="E7860" t="s">
        <v>420</v>
      </c>
      <c r="F7860">
        <f>HYPERLINK("https://www.wikidata.org/wiki/Q33323082", "Q33323082")</f>
        <v>0</v>
      </c>
      <c r="G7860" t="s">
        <v>4162</v>
      </c>
      <c r="H7860" t="s">
        <v>8364</v>
      </c>
      <c r="I7860" t="s">
        <v>6860</v>
      </c>
      <c r="J7860" t="s">
        <v>14688</v>
      </c>
      <c r="K7860" t="s">
        <v>19025</v>
      </c>
      <c r="L7860">
        <f>HYPERLINK("https://www2.assemblee-nationale.fr/sycomore/fiche/(num_dept)/2662", "2662")</f>
        <v>0</v>
      </c>
      <c r="M7860">
        <f>HYPERLINK("https://www.senat.fr/senateur-3eme-republique/dudouyt_pierre1037r3.html", "dudouyt_pierre1037r3")</f>
        <v>0</v>
      </c>
      <c r="N7860">
        <f>HYPERLINK("https://www.wikidata.org/wiki/Q3384838", "Q3384838")</f>
        <v>0</v>
      </c>
      <c r="O7860" t="s">
        <v>19985</v>
      </c>
      <c r="P7860" t="s">
        <v>20459</v>
      </c>
      <c r="Q7860" t="s">
        <v>20912</v>
      </c>
      <c r="R7860" t="s">
        <v>420</v>
      </c>
      <c r="S7860">
        <v>571</v>
      </c>
    </row>
    <row r="7861" spans="1:19">
      <c r="A7861" t="s">
        <v>30</v>
      </c>
      <c r="B7861" t="s">
        <v>148</v>
      </c>
      <c r="C7861" t="s">
        <v>162</v>
      </c>
      <c r="D7861" t="s">
        <v>291</v>
      </c>
      <c r="E7861" t="s">
        <v>420</v>
      </c>
      <c r="F7861">
        <f>HYPERLINK("https://www.wikidata.org/wiki/Q33323082", "Q33323082")</f>
        <v>0</v>
      </c>
      <c r="G7861" t="s">
        <v>4163</v>
      </c>
      <c r="H7861" t="s">
        <v>6840</v>
      </c>
      <c r="I7861" t="s">
        <v>9401</v>
      </c>
      <c r="J7861" t="s">
        <v>14689</v>
      </c>
      <c r="K7861" t="s">
        <v>19026</v>
      </c>
      <c r="L7861">
        <f>HYPERLINK("https://www2.assemblee-nationale.fr/sycomore/fiche/(num_dept)/6254", "6254")</f>
        <v>0</v>
      </c>
      <c r="N7861">
        <f>HYPERLINK("https://www.wikidata.org/wiki/Q16026474", "Q16026474")</f>
        <v>0</v>
      </c>
      <c r="O7861" t="s">
        <v>19957</v>
      </c>
      <c r="P7861" t="s">
        <v>20479</v>
      </c>
      <c r="Q7861" t="s">
        <v>20912</v>
      </c>
      <c r="R7861" t="s">
        <v>420</v>
      </c>
      <c r="S7861">
        <v>571</v>
      </c>
    </row>
    <row r="7862" spans="1:19">
      <c r="A7862" t="s">
        <v>30</v>
      </c>
      <c r="B7862" t="s">
        <v>148</v>
      </c>
      <c r="C7862" t="s">
        <v>162</v>
      </c>
      <c r="D7862" t="s">
        <v>291</v>
      </c>
      <c r="E7862" t="s">
        <v>420</v>
      </c>
      <c r="F7862">
        <f>HYPERLINK("https://www.wikidata.org/wiki/Q33323082", "Q33323082")</f>
        <v>0</v>
      </c>
      <c r="G7862" t="s">
        <v>4164</v>
      </c>
      <c r="H7862" t="s">
        <v>8365</v>
      </c>
      <c r="I7862" t="s">
        <v>9457</v>
      </c>
      <c r="J7862" t="s">
        <v>13855</v>
      </c>
      <c r="K7862" t="s">
        <v>19027</v>
      </c>
      <c r="L7862">
        <f>HYPERLINK("https://www2.assemblee-nationale.fr/sycomore/fiche/(num_dept)/6984", "6984")</f>
        <v>0</v>
      </c>
      <c r="N7862">
        <f>HYPERLINK("https://www.wikidata.org/wiki/Q16026544", "Q16026544")</f>
        <v>0</v>
      </c>
      <c r="O7862" t="s">
        <v>20002</v>
      </c>
      <c r="Q7862" t="s">
        <v>19224</v>
      </c>
      <c r="R7862" t="s">
        <v>420</v>
      </c>
      <c r="S7862">
        <v>564</v>
      </c>
    </row>
    <row r="7863" spans="1:19">
      <c r="A7863" t="s">
        <v>30</v>
      </c>
      <c r="B7863" t="s">
        <v>148</v>
      </c>
      <c r="C7863" t="s">
        <v>162</v>
      </c>
      <c r="D7863" t="s">
        <v>291</v>
      </c>
      <c r="E7863" t="s">
        <v>420</v>
      </c>
      <c r="F7863">
        <f>HYPERLINK("https://www.wikidata.org/wiki/Q33323082", "Q33323082")</f>
        <v>0</v>
      </c>
      <c r="G7863" t="s">
        <v>801</v>
      </c>
      <c r="H7863" t="s">
        <v>5558</v>
      </c>
      <c r="I7863" t="s">
        <v>9532</v>
      </c>
      <c r="J7863" t="s">
        <v>11548</v>
      </c>
      <c r="K7863" t="s">
        <v>15952</v>
      </c>
      <c r="L7863">
        <f>HYPERLINK("https://www2.assemblee-nationale.fr/sycomore/fiche/(num_dept)/6637", "6637")</f>
        <v>0</v>
      </c>
      <c r="N7863">
        <f>HYPERLINK("https://www.wikidata.org/wiki/Q3188327", "Q3188327")</f>
        <v>0</v>
      </c>
      <c r="O7863" t="s">
        <v>7411</v>
      </c>
      <c r="P7863" t="s">
        <v>20477</v>
      </c>
      <c r="Q7863" t="s">
        <v>20913</v>
      </c>
      <c r="R7863" t="s">
        <v>420</v>
      </c>
      <c r="S7863">
        <v>529</v>
      </c>
    </row>
    <row r="7864" spans="1:19">
      <c r="A7864" t="s">
        <v>30</v>
      </c>
      <c r="B7864" t="s">
        <v>148</v>
      </c>
      <c r="C7864" t="s">
        <v>162</v>
      </c>
      <c r="D7864" t="s">
        <v>291</v>
      </c>
      <c r="E7864" t="s">
        <v>420</v>
      </c>
      <c r="F7864">
        <f>HYPERLINK("https://www.wikidata.org/wiki/Q33323082", "Q33323082")</f>
        <v>0</v>
      </c>
      <c r="G7864" t="s">
        <v>527</v>
      </c>
      <c r="H7864" t="s">
        <v>5291</v>
      </c>
      <c r="I7864" t="s">
        <v>9393</v>
      </c>
      <c r="J7864" t="s">
        <v>11279</v>
      </c>
      <c r="K7864" t="s">
        <v>15679</v>
      </c>
      <c r="L7864">
        <f>HYPERLINK("https://www2.assemblee-nationale.fr/sycomore/fiche/(num_dept)/789", "789")</f>
        <v>0</v>
      </c>
      <c r="N7864">
        <f>HYPERLINK("https://www.wikidata.org/wiki/Q2844627", "Q2844627")</f>
        <v>0</v>
      </c>
      <c r="O7864" t="s">
        <v>19969</v>
      </c>
      <c r="P7864" t="s">
        <v>20504</v>
      </c>
      <c r="Q7864" t="s">
        <v>20914</v>
      </c>
      <c r="R7864" t="s">
        <v>420</v>
      </c>
      <c r="S7864">
        <v>508</v>
      </c>
    </row>
    <row r="7865" spans="1:19">
      <c r="A7865" t="s">
        <v>30</v>
      </c>
      <c r="B7865" t="s">
        <v>148</v>
      </c>
      <c r="C7865" t="s">
        <v>162</v>
      </c>
      <c r="D7865" t="s">
        <v>291</v>
      </c>
      <c r="E7865" t="s">
        <v>420</v>
      </c>
      <c r="F7865">
        <f>HYPERLINK("https://www.wikidata.org/wiki/Q33323082", "Q33323082")</f>
        <v>0</v>
      </c>
      <c r="G7865" t="s">
        <v>3439</v>
      </c>
      <c r="H7865" t="s">
        <v>7817</v>
      </c>
      <c r="I7865" t="s">
        <v>9636</v>
      </c>
      <c r="J7865" t="s">
        <v>14043</v>
      </c>
      <c r="K7865" t="s">
        <v>18411</v>
      </c>
      <c r="L7865">
        <f>HYPERLINK("https://www2.assemblee-nationale.fr/sycomore/fiche/(num_dept)/3052", "3052")</f>
        <v>0</v>
      </c>
      <c r="M7865">
        <f>HYPERLINK("https://www.senat.fr/senateur-3eme-republique/forcioli_dominique0691r3.html", "forcioli_dominique0691r3")</f>
        <v>0</v>
      </c>
      <c r="N7865">
        <f>HYPERLINK("https://www.wikidata.org/wiki/Q16025715", "Q16025715")</f>
        <v>0</v>
      </c>
      <c r="O7865" t="s">
        <v>19955</v>
      </c>
      <c r="P7865" t="s">
        <v>20477</v>
      </c>
      <c r="Q7865" t="s">
        <v>20915</v>
      </c>
      <c r="R7865" t="s">
        <v>420</v>
      </c>
      <c r="S7865">
        <v>494</v>
      </c>
    </row>
    <row r="7866" spans="1:19">
      <c r="A7866" t="s">
        <v>30</v>
      </c>
      <c r="B7866" t="s">
        <v>148</v>
      </c>
      <c r="C7866" t="s">
        <v>162</v>
      </c>
      <c r="D7866" t="s">
        <v>291</v>
      </c>
      <c r="E7866" t="s">
        <v>420</v>
      </c>
      <c r="F7866">
        <f>HYPERLINK("https://www.wikidata.org/wiki/Q33323082", "Q33323082")</f>
        <v>0</v>
      </c>
      <c r="G7866" t="s">
        <v>4165</v>
      </c>
      <c r="H7866" t="s">
        <v>5844</v>
      </c>
      <c r="I7866" t="s">
        <v>11144</v>
      </c>
      <c r="J7866" t="s">
        <v>14287</v>
      </c>
      <c r="K7866" t="s">
        <v>19028</v>
      </c>
      <c r="L7866">
        <f>HYPERLINK("https://www2.assemblee-nationale.fr/sycomore/fiche/(num_dept)/266", "266")</f>
        <v>0</v>
      </c>
      <c r="N7866">
        <f>HYPERLINK("https://www.wikidata.org/wiki/Q9296511", "Q9296511")</f>
        <v>0</v>
      </c>
      <c r="O7866" t="s">
        <v>19997</v>
      </c>
      <c r="P7866" t="s">
        <v>20515</v>
      </c>
      <c r="Q7866" t="s">
        <v>20916</v>
      </c>
      <c r="R7866" t="s">
        <v>420</v>
      </c>
      <c r="S7866">
        <v>473</v>
      </c>
    </row>
    <row r="7867" spans="1:19">
      <c r="A7867" t="s">
        <v>30</v>
      </c>
      <c r="B7867" t="s">
        <v>148</v>
      </c>
      <c r="C7867" t="s">
        <v>162</v>
      </c>
      <c r="D7867" t="s">
        <v>291</v>
      </c>
      <c r="E7867" t="s">
        <v>420</v>
      </c>
      <c r="F7867">
        <f>HYPERLINK("https://www.wikidata.org/wiki/Q33323082", "Q33323082")</f>
        <v>0</v>
      </c>
      <c r="G7867" t="s">
        <v>1216</v>
      </c>
      <c r="H7867" t="s">
        <v>5944</v>
      </c>
      <c r="I7867" t="s">
        <v>9708</v>
      </c>
      <c r="J7867" t="s">
        <v>11948</v>
      </c>
      <c r="K7867" t="s">
        <v>16350</v>
      </c>
      <c r="L7867">
        <f>HYPERLINK("https://www2.assemblee-nationale.fr/sycomore/fiche/(num_dept)/236", "236")</f>
        <v>0</v>
      </c>
      <c r="N7867">
        <f>HYPERLINK("https://www.wikidata.org/wiki/Q7125983", "Q7125983")</f>
        <v>0</v>
      </c>
      <c r="O7867" t="s">
        <v>19956</v>
      </c>
      <c r="Q7867" t="s">
        <v>20917</v>
      </c>
      <c r="R7867" t="s">
        <v>420</v>
      </c>
      <c r="S7867">
        <v>466</v>
      </c>
    </row>
    <row r="7868" spans="1:19">
      <c r="A7868" t="s">
        <v>30</v>
      </c>
      <c r="B7868" t="s">
        <v>148</v>
      </c>
      <c r="C7868" t="s">
        <v>162</v>
      </c>
      <c r="D7868" t="s">
        <v>291</v>
      </c>
      <c r="E7868" t="s">
        <v>420</v>
      </c>
      <c r="F7868">
        <f>HYPERLINK("https://www.wikidata.org/wiki/Q33323082", "Q33323082")</f>
        <v>0</v>
      </c>
      <c r="G7868" t="s">
        <v>3487</v>
      </c>
      <c r="H7868" t="s">
        <v>7860</v>
      </c>
      <c r="I7868" t="s">
        <v>9449</v>
      </c>
      <c r="J7868" t="s">
        <v>14086</v>
      </c>
      <c r="K7868" t="s">
        <v>16985</v>
      </c>
      <c r="L7868">
        <f>HYPERLINK("https://www2.assemblee-nationale.fr/sycomore/fiche/(num_dept)/5700", "5700")</f>
        <v>0</v>
      </c>
      <c r="N7868">
        <f>HYPERLINK("https://www.wikidata.org/wiki/Q15971936", "Q15971936")</f>
        <v>0</v>
      </c>
      <c r="O7868" t="s">
        <v>20015</v>
      </c>
      <c r="P7868" t="s">
        <v>20410</v>
      </c>
      <c r="Q7868" t="s">
        <v>20918</v>
      </c>
      <c r="R7868" t="s">
        <v>420</v>
      </c>
      <c r="S7868">
        <v>452</v>
      </c>
    </row>
    <row r="7869" spans="1:19">
      <c r="A7869" t="s">
        <v>30</v>
      </c>
      <c r="B7869" t="s">
        <v>148</v>
      </c>
      <c r="C7869" t="s">
        <v>162</v>
      </c>
      <c r="D7869" t="s">
        <v>291</v>
      </c>
      <c r="E7869" t="s">
        <v>420</v>
      </c>
      <c r="F7869">
        <f>HYPERLINK("https://www.wikidata.org/wiki/Q33323082", "Q33323082")</f>
        <v>0</v>
      </c>
      <c r="G7869" t="s">
        <v>1042</v>
      </c>
      <c r="H7869" t="s">
        <v>5790</v>
      </c>
      <c r="I7869" t="s">
        <v>9388</v>
      </c>
      <c r="J7869" t="s">
        <v>11779</v>
      </c>
      <c r="K7869" t="s">
        <v>16180</v>
      </c>
      <c r="L7869">
        <f>HYPERLINK("https://www2.assemblee-nationale.fr/sycomore/fiche/(num_dept)/6538", "6538")</f>
        <v>0</v>
      </c>
      <c r="N7869">
        <f>HYPERLINK("https://www.wikidata.org/wiki/Q16026383", "Q16026383")</f>
        <v>0</v>
      </c>
      <c r="O7869" t="s">
        <v>20001</v>
      </c>
      <c r="P7869" t="s">
        <v>20477</v>
      </c>
      <c r="Q7869" t="s">
        <v>20919</v>
      </c>
      <c r="R7869" t="s">
        <v>420</v>
      </c>
      <c r="S7869">
        <v>438</v>
      </c>
    </row>
    <row r="7870" spans="1:19">
      <c r="A7870" t="s">
        <v>30</v>
      </c>
      <c r="B7870" t="s">
        <v>148</v>
      </c>
      <c r="C7870" t="s">
        <v>162</v>
      </c>
      <c r="D7870" t="s">
        <v>291</v>
      </c>
      <c r="E7870" t="s">
        <v>420</v>
      </c>
      <c r="F7870">
        <f>HYPERLINK("https://www.wikidata.org/wiki/Q33323082", "Q33323082")</f>
        <v>0</v>
      </c>
      <c r="G7870" t="s">
        <v>794</v>
      </c>
      <c r="H7870" t="s">
        <v>5551</v>
      </c>
      <c r="I7870" t="s">
        <v>6495</v>
      </c>
      <c r="J7870" t="s">
        <v>11541</v>
      </c>
      <c r="K7870" t="s">
        <v>15945</v>
      </c>
      <c r="L7870">
        <f>HYPERLINK("https://www2.assemblee-nationale.fr/sycomore/fiche/(num_dept)/6551", "6551")</f>
        <v>0</v>
      </c>
      <c r="M7870">
        <f>HYPERLINK("https://www.senat.fr/senateur-3eme-republique/quesnel_louis1575r3.html", "quesnel_louis1575r3")</f>
        <v>0</v>
      </c>
      <c r="N7870">
        <f>HYPERLINK("https://www.wikidata.org/wiki/Q3262977", "Q3262977")</f>
        <v>0</v>
      </c>
      <c r="O7870" t="s">
        <v>19978</v>
      </c>
      <c r="P7870" t="s">
        <v>20479</v>
      </c>
      <c r="Q7870" t="s">
        <v>20919</v>
      </c>
      <c r="R7870" t="s">
        <v>420</v>
      </c>
      <c r="S7870">
        <v>438</v>
      </c>
    </row>
    <row r="7871" spans="1:19">
      <c r="A7871" t="s">
        <v>30</v>
      </c>
      <c r="B7871" t="s">
        <v>148</v>
      </c>
      <c r="C7871" t="s">
        <v>162</v>
      </c>
      <c r="D7871" t="s">
        <v>291</v>
      </c>
      <c r="E7871" t="s">
        <v>420</v>
      </c>
      <c r="F7871">
        <f>HYPERLINK("https://www.wikidata.org/wiki/Q33323082", "Q33323082")</f>
        <v>0</v>
      </c>
      <c r="G7871" t="s">
        <v>4166</v>
      </c>
      <c r="H7871" t="s">
        <v>8366</v>
      </c>
      <c r="I7871" t="s">
        <v>11145</v>
      </c>
      <c r="J7871" t="s">
        <v>14690</v>
      </c>
      <c r="K7871" t="s">
        <v>19029</v>
      </c>
      <c r="L7871">
        <f>HYPERLINK("https://www2.assemblee-nationale.fr/sycomore/fiche/(num_dept)/1511", "1511")</f>
        <v>0</v>
      </c>
      <c r="N7871">
        <f>HYPERLINK("https://www.wikidata.org/wiki/Q15974170", "Q15974170")</f>
        <v>0</v>
      </c>
      <c r="O7871" t="s">
        <v>20013</v>
      </c>
      <c r="Q7871" t="s">
        <v>20920</v>
      </c>
      <c r="R7871" t="s">
        <v>420</v>
      </c>
      <c r="S7871">
        <v>382</v>
      </c>
    </row>
    <row r="7872" spans="1:19">
      <c r="A7872" t="s">
        <v>30</v>
      </c>
      <c r="B7872" t="s">
        <v>148</v>
      </c>
      <c r="C7872" t="s">
        <v>162</v>
      </c>
      <c r="D7872" t="s">
        <v>291</v>
      </c>
      <c r="E7872" t="s">
        <v>420</v>
      </c>
      <c r="F7872">
        <f>HYPERLINK("https://www.wikidata.org/wiki/Q33323082", "Q33323082")</f>
        <v>0</v>
      </c>
      <c r="G7872" t="s">
        <v>4167</v>
      </c>
      <c r="H7872" t="s">
        <v>8367</v>
      </c>
      <c r="I7872" t="s">
        <v>9457</v>
      </c>
      <c r="J7872" t="s">
        <v>11419</v>
      </c>
      <c r="K7872" t="s">
        <v>19030</v>
      </c>
      <c r="L7872">
        <f>HYPERLINK("https://www2.assemblee-nationale.fr/sycomore/fiche/(num_dept)/7430", "7430")</f>
        <v>0</v>
      </c>
      <c r="N7872">
        <f>HYPERLINK("https://www.wikidata.org/wiki/Q16026617", "Q16026617")</f>
        <v>0</v>
      </c>
      <c r="O7872" t="s">
        <v>20012</v>
      </c>
      <c r="P7872" t="s">
        <v>20459</v>
      </c>
      <c r="Q7872" t="s">
        <v>20921</v>
      </c>
      <c r="R7872" t="s">
        <v>420</v>
      </c>
      <c r="S7872">
        <v>375</v>
      </c>
    </row>
    <row r="7873" spans="1:19">
      <c r="A7873" t="s">
        <v>30</v>
      </c>
      <c r="B7873" t="s">
        <v>148</v>
      </c>
      <c r="C7873" t="s">
        <v>162</v>
      </c>
      <c r="D7873" t="s">
        <v>291</v>
      </c>
      <c r="E7873" t="s">
        <v>420</v>
      </c>
      <c r="F7873">
        <f>HYPERLINK("https://www.wikidata.org/wiki/Q33323082", "Q33323082")</f>
        <v>0</v>
      </c>
      <c r="G7873" t="s">
        <v>4168</v>
      </c>
      <c r="H7873" t="s">
        <v>8368</v>
      </c>
      <c r="I7873" t="s">
        <v>11146</v>
      </c>
      <c r="J7873" t="s">
        <v>14691</v>
      </c>
      <c r="K7873" t="s">
        <v>19031</v>
      </c>
      <c r="L7873">
        <f>HYPERLINK("https://www2.assemblee-nationale.fr/sycomore/fiche/(num_dept)/229", "229")</f>
        <v>0</v>
      </c>
      <c r="M7873">
        <f>HYPERLINK("https://www.senat.fr/senateur-3eme-republique/auber_joseph0851r3.html", "auber_joseph0851r3")</f>
        <v>0</v>
      </c>
      <c r="N7873">
        <f>HYPERLINK("https://www.wikidata.org/wiki/Q3188407", "Q3188407")</f>
        <v>0</v>
      </c>
      <c r="O7873" t="s">
        <v>19963</v>
      </c>
      <c r="P7873" t="s">
        <v>20477</v>
      </c>
      <c r="Q7873" t="s">
        <v>20922</v>
      </c>
      <c r="R7873" t="s">
        <v>420</v>
      </c>
      <c r="S7873">
        <v>354</v>
      </c>
    </row>
    <row r="7874" spans="1:19">
      <c r="A7874" t="s">
        <v>30</v>
      </c>
      <c r="B7874" t="s">
        <v>148</v>
      </c>
      <c r="C7874" t="s">
        <v>162</v>
      </c>
      <c r="D7874" t="s">
        <v>291</v>
      </c>
      <c r="E7874" t="s">
        <v>420</v>
      </c>
      <c r="F7874">
        <f>HYPERLINK("https://www.wikidata.org/wiki/Q33323082", "Q33323082")</f>
        <v>0</v>
      </c>
      <c r="G7874" t="s">
        <v>639</v>
      </c>
      <c r="H7874" t="s">
        <v>5398</v>
      </c>
      <c r="I7874" t="s">
        <v>9389</v>
      </c>
      <c r="J7874" t="s">
        <v>11389</v>
      </c>
      <c r="K7874" t="s">
        <v>15791</v>
      </c>
      <c r="L7874">
        <f>HYPERLINK("https://www2.assemblee-nationale.fr/sycomore/fiche/(num_dept)/2938", "2938")</f>
        <v>0</v>
      </c>
      <c r="N7874">
        <f>HYPERLINK("https://www.wikidata.org/wiki/Q3588494", "Q3588494")</f>
        <v>0</v>
      </c>
      <c r="O7874" t="s">
        <v>20018</v>
      </c>
      <c r="P7874" t="s">
        <v>20485</v>
      </c>
      <c r="Q7874" t="s">
        <v>18675</v>
      </c>
      <c r="R7874" t="s">
        <v>420</v>
      </c>
      <c r="S7874">
        <v>325</v>
      </c>
    </row>
    <row r="7875" spans="1:19">
      <c r="A7875" t="s">
        <v>30</v>
      </c>
      <c r="B7875" t="s">
        <v>148</v>
      </c>
      <c r="C7875" t="s">
        <v>162</v>
      </c>
      <c r="D7875" t="s">
        <v>291</v>
      </c>
      <c r="E7875" t="s">
        <v>420</v>
      </c>
      <c r="F7875">
        <f>HYPERLINK("https://www.wikidata.org/wiki/Q33323082", "Q33323082")</f>
        <v>0</v>
      </c>
      <c r="G7875" t="s">
        <v>733</v>
      </c>
      <c r="H7875" t="s">
        <v>5491</v>
      </c>
      <c r="I7875" t="s">
        <v>6158</v>
      </c>
      <c r="J7875" t="s">
        <v>11482</v>
      </c>
      <c r="K7875" t="s">
        <v>15884</v>
      </c>
      <c r="L7875">
        <f>HYPERLINK("https://www2.assemblee-nationale.fr/sycomore/fiche/(num_dept)/5288", "5288")</f>
        <v>0</v>
      </c>
      <c r="N7875">
        <f>HYPERLINK("https://www.wikidata.org/wiki/Q8300260", "Q8300260")</f>
        <v>0</v>
      </c>
      <c r="O7875" t="s">
        <v>20034</v>
      </c>
      <c r="P7875" t="s">
        <v>20477</v>
      </c>
      <c r="Q7875" t="s">
        <v>20923</v>
      </c>
      <c r="R7875" t="s">
        <v>420</v>
      </c>
      <c r="S7875">
        <v>291</v>
      </c>
    </row>
    <row r="7876" spans="1:19">
      <c r="A7876" t="s">
        <v>30</v>
      </c>
      <c r="B7876" t="s">
        <v>148</v>
      </c>
      <c r="C7876" t="s">
        <v>162</v>
      </c>
      <c r="D7876" t="s">
        <v>291</v>
      </c>
      <c r="E7876" t="s">
        <v>420</v>
      </c>
      <c r="F7876">
        <f>HYPERLINK("https://www.wikidata.org/wiki/Q33323082", "Q33323082")</f>
        <v>0</v>
      </c>
      <c r="G7876" t="s">
        <v>2225</v>
      </c>
      <c r="H7876" t="s">
        <v>6834</v>
      </c>
      <c r="I7876" t="s">
        <v>6495</v>
      </c>
      <c r="J7876" t="s">
        <v>12886</v>
      </c>
      <c r="K7876" t="s">
        <v>17298</v>
      </c>
      <c r="L7876">
        <f>HYPERLINK("https://www2.assemblee-nationale.fr/sycomore/fiche/(num_dept)/4826", "4826")</f>
        <v>0</v>
      </c>
      <c r="M7876">
        <f>HYPERLINK("https://www.senat.fr/senateur-3eme-republique/louis_dreyfus_louis0119r3.html", "louis_dreyfus_louis0119r3")</f>
        <v>0</v>
      </c>
      <c r="N7876">
        <f>HYPERLINK("https://www.wikidata.org/wiki/Q3262554", "Q3262554")</f>
        <v>0</v>
      </c>
      <c r="O7876" t="s">
        <v>20004</v>
      </c>
      <c r="P7876" t="s">
        <v>20477</v>
      </c>
      <c r="Q7876" t="s">
        <v>20924</v>
      </c>
      <c r="R7876" t="s">
        <v>420</v>
      </c>
      <c r="S7876">
        <v>242</v>
      </c>
    </row>
    <row r="7877" spans="1:19">
      <c r="A7877" t="s">
        <v>30</v>
      </c>
      <c r="B7877" t="s">
        <v>148</v>
      </c>
      <c r="C7877" t="s">
        <v>162</v>
      </c>
      <c r="D7877" t="s">
        <v>291</v>
      </c>
      <c r="E7877" t="s">
        <v>420</v>
      </c>
      <c r="F7877">
        <f>HYPERLINK("https://www.wikidata.org/wiki/Q33323082", "Q33323082")</f>
        <v>0</v>
      </c>
      <c r="G7877" t="s">
        <v>724</v>
      </c>
      <c r="H7877" t="s">
        <v>5482</v>
      </c>
      <c r="I7877" t="s">
        <v>6495</v>
      </c>
      <c r="J7877" t="s">
        <v>11473</v>
      </c>
      <c r="K7877" t="s">
        <v>15875</v>
      </c>
      <c r="L7877">
        <f>HYPERLINK("https://www2.assemblee-nationale.fr/sycomore/fiche/(num_dept)/5001", "5001")</f>
        <v>0</v>
      </c>
      <c r="N7877">
        <f>HYPERLINK("https://www.wikidata.org/wiki/Q1229977", "Q1229977")</f>
        <v>0</v>
      </c>
      <c r="O7877" t="s">
        <v>20007</v>
      </c>
      <c r="P7877" t="s">
        <v>20479</v>
      </c>
      <c r="Q7877" t="s">
        <v>20925</v>
      </c>
      <c r="R7877" t="s">
        <v>420</v>
      </c>
      <c r="S7877">
        <v>235</v>
      </c>
    </row>
    <row r="7878" spans="1:19">
      <c r="A7878" t="s">
        <v>30</v>
      </c>
      <c r="B7878" t="s">
        <v>148</v>
      </c>
      <c r="C7878" t="s">
        <v>162</v>
      </c>
      <c r="D7878" t="s">
        <v>291</v>
      </c>
      <c r="E7878" t="s">
        <v>420</v>
      </c>
      <c r="F7878">
        <f>HYPERLINK("https://www.wikidata.org/wiki/Q33323082", "Q33323082")</f>
        <v>0</v>
      </c>
      <c r="G7878" t="s">
        <v>765</v>
      </c>
      <c r="H7878" t="s">
        <v>5523</v>
      </c>
      <c r="I7878" t="s">
        <v>9515</v>
      </c>
      <c r="J7878" t="s">
        <v>11512</v>
      </c>
      <c r="K7878" t="s">
        <v>15916</v>
      </c>
      <c r="L7878">
        <f>HYPERLINK("https://www2.assemblee-nationale.fr/sycomore/fiche/(num_dept)/6022", "6022")</f>
        <v>0</v>
      </c>
      <c r="N7878">
        <f>HYPERLINK("https://www.wikidata.org/wiki/Q16026432", "Q16026432")</f>
        <v>0</v>
      </c>
      <c r="O7878" t="s">
        <v>20032</v>
      </c>
      <c r="Q7878" t="s">
        <v>20925</v>
      </c>
      <c r="R7878" t="s">
        <v>420</v>
      </c>
      <c r="S7878">
        <v>235</v>
      </c>
    </row>
    <row r="7879" spans="1:19">
      <c r="A7879" t="s">
        <v>30</v>
      </c>
      <c r="B7879" t="s">
        <v>148</v>
      </c>
      <c r="C7879" t="s">
        <v>162</v>
      </c>
      <c r="D7879" t="s">
        <v>291</v>
      </c>
      <c r="E7879" t="s">
        <v>420</v>
      </c>
      <c r="F7879">
        <f>HYPERLINK("https://www.wikidata.org/wiki/Q33323082", "Q33323082")</f>
        <v>0</v>
      </c>
      <c r="G7879" t="s">
        <v>546</v>
      </c>
      <c r="H7879" t="s">
        <v>5309</v>
      </c>
      <c r="I7879" t="s">
        <v>9405</v>
      </c>
      <c r="J7879" t="s">
        <v>11298</v>
      </c>
      <c r="K7879" t="s">
        <v>15698</v>
      </c>
      <c r="L7879">
        <f>HYPERLINK("https://www2.assemblee-nationale.fr/sycomore/fiche/(num_dept)/1076", "1076")</f>
        <v>0</v>
      </c>
      <c r="N7879">
        <f>HYPERLINK("https://www.wikidata.org/wiki/Q3587968", "Q3587968")</f>
        <v>0</v>
      </c>
      <c r="O7879" t="s">
        <v>19991</v>
      </c>
      <c r="P7879" t="s">
        <v>20477</v>
      </c>
      <c r="Q7879" t="s">
        <v>20926</v>
      </c>
      <c r="R7879" t="s">
        <v>420</v>
      </c>
      <c r="S7879">
        <v>221</v>
      </c>
    </row>
    <row r="7880" spans="1:19">
      <c r="A7880" t="s">
        <v>30</v>
      </c>
      <c r="B7880" t="s">
        <v>148</v>
      </c>
      <c r="C7880" t="s">
        <v>162</v>
      </c>
      <c r="D7880" t="s">
        <v>291</v>
      </c>
      <c r="E7880" t="s">
        <v>420</v>
      </c>
      <c r="F7880">
        <f>HYPERLINK("https://www.wikidata.org/wiki/Q33323082", "Q33323082")</f>
        <v>0</v>
      </c>
      <c r="G7880" t="s">
        <v>674</v>
      </c>
      <c r="H7880" t="s">
        <v>5433</v>
      </c>
      <c r="I7880" t="s">
        <v>5528</v>
      </c>
      <c r="J7880" t="s">
        <v>11424</v>
      </c>
      <c r="K7880" t="s">
        <v>15825</v>
      </c>
      <c r="L7880">
        <f>HYPERLINK("https://www2.assemblee-nationale.fr/sycomore/fiche/(num_dept)/3654", "3654")</f>
        <v>0</v>
      </c>
      <c r="N7880">
        <f>HYPERLINK("https://www.wikidata.org/wiki/Q16025827", "Q16025827")</f>
        <v>0</v>
      </c>
      <c r="O7880" t="s">
        <v>19970</v>
      </c>
      <c r="P7880" t="s">
        <v>20479</v>
      </c>
      <c r="Q7880" t="s">
        <v>20926</v>
      </c>
      <c r="R7880" t="s">
        <v>420</v>
      </c>
      <c r="S7880">
        <v>221</v>
      </c>
    </row>
    <row r="7881" spans="1:19">
      <c r="A7881" t="s">
        <v>30</v>
      </c>
      <c r="B7881" t="s">
        <v>148</v>
      </c>
      <c r="C7881" t="s">
        <v>162</v>
      </c>
      <c r="D7881" t="s">
        <v>291</v>
      </c>
      <c r="E7881" t="s">
        <v>420</v>
      </c>
      <c r="F7881">
        <f>HYPERLINK("https://www.wikidata.org/wiki/Q33323082", "Q33323082")</f>
        <v>0</v>
      </c>
      <c r="G7881" t="s">
        <v>495</v>
      </c>
      <c r="H7881" t="s">
        <v>5260</v>
      </c>
      <c r="I7881" t="s">
        <v>7642</v>
      </c>
      <c r="J7881" t="s">
        <v>11247</v>
      </c>
      <c r="K7881" t="s">
        <v>15647</v>
      </c>
      <c r="L7881">
        <f>HYPERLINK("https://www2.assemblee-nationale.fr/sycomore/fiche/(num_dept)/61", "61")</f>
        <v>0</v>
      </c>
      <c r="M7881">
        <f>HYPERLINK("https://www.senat.fr/senateur-3eme-republique/ajam_pierre1240r3.html", "ajam_pierre1240r3")</f>
        <v>0</v>
      </c>
      <c r="N7881">
        <f>HYPERLINK("https://www.wikidata.org/wiki/Q3383653", "Q3383653")</f>
        <v>0</v>
      </c>
      <c r="O7881" t="s">
        <v>19956</v>
      </c>
      <c r="P7881" t="s">
        <v>20401</v>
      </c>
      <c r="Q7881" t="s">
        <v>20927</v>
      </c>
      <c r="R7881" t="s">
        <v>420</v>
      </c>
      <c r="S7881">
        <v>214</v>
      </c>
    </row>
    <row r="7882" spans="1:19">
      <c r="A7882" t="s">
        <v>30</v>
      </c>
      <c r="B7882" t="s">
        <v>148</v>
      </c>
      <c r="C7882" t="s">
        <v>162</v>
      </c>
      <c r="D7882" t="s">
        <v>291</v>
      </c>
      <c r="E7882" t="s">
        <v>420</v>
      </c>
      <c r="F7882">
        <f>HYPERLINK("https://www.wikidata.org/wiki/Q33323082", "Q33323082")</f>
        <v>0</v>
      </c>
      <c r="G7882" t="s">
        <v>4169</v>
      </c>
      <c r="H7882" t="s">
        <v>8369</v>
      </c>
      <c r="I7882" t="s">
        <v>9603</v>
      </c>
      <c r="J7882" t="s">
        <v>11697</v>
      </c>
      <c r="K7882" t="s">
        <v>18584</v>
      </c>
      <c r="L7882">
        <f>HYPERLINK("https://www2.assemblee-nationale.fr/sycomore/fiche/(num_dept)/379", "379")</f>
        <v>0</v>
      </c>
      <c r="N7882">
        <f>HYPERLINK("https://www.wikidata.org/wiki/Q8321160", "Q8321160")</f>
        <v>0</v>
      </c>
      <c r="O7882" t="s">
        <v>19975</v>
      </c>
      <c r="P7882" t="s">
        <v>20479</v>
      </c>
      <c r="Q7882" t="s">
        <v>20928</v>
      </c>
      <c r="R7882" t="s">
        <v>420</v>
      </c>
      <c r="S7882">
        <v>199</v>
      </c>
    </row>
    <row r="7883" spans="1:19">
      <c r="A7883" t="s">
        <v>30</v>
      </c>
      <c r="B7883" t="s">
        <v>148</v>
      </c>
      <c r="C7883" t="s">
        <v>162</v>
      </c>
      <c r="D7883" t="s">
        <v>291</v>
      </c>
      <c r="E7883" t="s">
        <v>420</v>
      </c>
      <c r="F7883">
        <f>HYPERLINK("https://www.wikidata.org/wiki/Q33323082", "Q33323082")</f>
        <v>0</v>
      </c>
      <c r="G7883" t="s">
        <v>621</v>
      </c>
      <c r="H7883" t="s">
        <v>5381</v>
      </c>
      <c r="I7883" t="s">
        <v>9459</v>
      </c>
      <c r="J7883" t="s">
        <v>11371</v>
      </c>
      <c r="K7883" t="s">
        <v>15773</v>
      </c>
      <c r="L7883">
        <f>HYPERLINK("https://www2.assemblee-nationale.fr/sycomore/fiche/(num_dept)/2585", "2585")</f>
        <v>0</v>
      </c>
      <c r="N7883">
        <f>HYPERLINK("https://www.wikidata.org/wiki/Q16025610", "Q16025610")</f>
        <v>0</v>
      </c>
      <c r="O7883" t="s">
        <v>20025</v>
      </c>
      <c r="P7883" t="s">
        <v>20402</v>
      </c>
      <c r="Q7883" t="s">
        <v>20929</v>
      </c>
      <c r="R7883" t="s">
        <v>420</v>
      </c>
      <c r="S7883">
        <v>179</v>
      </c>
    </row>
    <row r="7884" spans="1:19">
      <c r="A7884" t="s">
        <v>30</v>
      </c>
      <c r="B7884" t="s">
        <v>148</v>
      </c>
      <c r="C7884" t="s">
        <v>162</v>
      </c>
      <c r="D7884" t="s">
        <v>291</v>
      </c>
      <c r="E7884" t="s">
        <v>420</v>
      </c>
      <c r="F7884">
        <f>HYPERLINK("https://www.wikidata.org/wiki/Q33323082", "Q33323082")</f>
        <v>0</v>
      </c>
      <c r="G7884" t="s">
        <v>4170</v>
      </c>
      <c r="H7884" t="s">
        <v>8370</v>
      </c>
      <c r="I7884" t="s">
        <v>9483</v>
      </c>
      <c r="J7884" t="s">
        <v>12120</v>
      </c>
      <c r="K7884" t="s">
        <v>19032</v>
      </c>
      <c r="L7884">
        <f>HYPERLINK("https://www2.assemblee-nationale.fr/sycomore/fiche/(num_dept)/3064", "3064")</f>
        <v>0</v>
      </c>
      <c r="N7884">
        <f>HYPERLINK("https://www.wikidata.org/wiki/Q16025717", "Q16025717")</f>
        <v>0</v>
      </c>
      <c r="O7884" t="s">
        <v>19965</v>
      </c>
      <c r="P7884" t="s">
        <v>20446</v>
      </c>
      <c r="Q7884" t="s">
        <v>20930</v>
      </c>
      <c r="R7884" t="s">
        <v>420</v>
      </c>
      <c r="S7884">
        <v>172</v>
      </c>
    </row>
    <row r="7885" spans="1:19">
      <c r="A7885" t="s">
        <v>30</v>
      </c>
      <c r="B7885" t="s">
        <v>148</v>
      </c>
      <c r="C7885" t="s">
        <v>162</v>
      </c>
      <c r="D7885" t="s">
        <v>291</v>
      </c>
      <c r="E7885" t="s">
        <v>420</v>
      </c>
      <c r="F7885">
        <f>HYPERLINK("https://www.wikidata.org/wiki/Q33323082", "Q33323082")</f>
        <v>0</v>
      </c>
      <c r="G7885" t="s">
        <v>1079</v>
      </c>
      <c r="H7885" t="s">
        <v>5823</v>
      </c>
      <c r="I7885" t="s">
        <v>9506</v>
      </c>
      <c r="J7885" t="s">
        <v>11815</v>
      </c>
      <c r="K7885" t="s">
        <v>16216</v>
      </c>
      <c r="L7885">
        <f>HYPERLINK("https://www2.assemblee-nationale.fr/sycomore/fiche/(num_dept)/7762", "7762")</f>
        <v>0</v>
      </c>
      <c r="N7885">
        <f>HYPERLINK("https://www.wikidata.org/wiki/Q2934989", "Q2934989")</f>
        <v>0</v>
      </c>
      <c r="O7885" t="s">
        <v>20025</v>
      </c>
      <c r="P7885" t="s">
        <v>20485</v>
      </c>
      <c r="Q7885" t="s">
        <v>20931</v>
      </c>
      <c r="R7885" t="s">
        <v>420</v>
      </c>
      <c r="S7885">
        <v>165</v>
      </c>
    </row>
    <row r="7886" spans="1:19">
      <c r="A7886" t="s">
        <v>30</v>
      </c>
      <c r="B7886" t="s">
        <v>148</v>
      </c>
      <c r="C7886" t="s">
        <v>162</v>
      </c>
      <c r="D7886" t="s">
        <v>291</v>
      </c>
      <c r="E7886" t="s">
        <v>420</v>
      </c>
      <c r="F7886">
        <f>HYPERLINK("https://www.wikidata.org/wiki/Q33323082", "Q33323082")</f>
        <v>0</v>
      </c>
      <c r="G7886" t="s">
        <v>4171</v>
      </c>
      <c r="H7886" t="s">
        <v>8371</v>
      </c>
      <c r="I7886" t="s">
        <v>9407</v>
      </c>
      <c r="J7886" t="s">
        <v>14692</v>
      </c>
      <c r="K7886" t="s">
        <v>19033</v>
      </c>
      <c r="L7886">
        <f>HYPERLINK("https://www2.assemblee-nationale.fr/sycomore/fiche/(num_dept)/2006", "2006")</f>
        <v>0</v>
      </c>
      <c r="N7886">
        <f>HYPERLINK("https://www.wikidata.org/wiki/Q3184792", "Q3184792")</f>
        <v>0</v>
      </c>
      <c r="O7886" t="s">
        <v>20016</v>
      </c>
      <c r="P7886" t="s">
        <v>20477</v>
      </c>
      <c r="Q7886" t="s">
        <v>20932</v>
      </c>
      <c r="R7886" t="s">
        <v>420</v>
      </c>
      <c r="S7886">
        <v>151</v>
      </c>
    </row>
    <row r="7887" spans="1:19">
      <c r="A7887" t="s">
        <v>31</v>
      </c>
      <c r="B7887" t="s">
        <v>148</v>
      </c>
      <c r="C7887" t="s">
        <v>163</v>
      </c>
      <c r="D7887" t="s">
        <v>292</v>
      </c>
      <c r="E7887" t="s">
        <v>421</v>
      </c>
      <c r="F7887">
        <f>HYPERLINK("https://www.wikidata.org/wiki/Q33323183", "Q33323183")</f>
        <v>0</v>
      </c>
      <c r="G7887" t="s">
        <v>495</v>
      </c>
      <c r="H7887" t="s">
        <v>5260</v>
      </c>
      <c r="I7887" t="s">
        <v>7642</v>
      </c>
      <c r="J7887" t="s">
        <v>11247</v>
      </c>
      <c r="K7887" t="s">
        <v>15647</v>
      </c>
      <c r="L7887">
        <f>HYPERLINK("https://www2.assemblee-nationale.fr/sycomore/fiche/(num_dept)/61", "61")</f>
        <v>0</v>
      </c>
      <c r="M7887">
        <f>HYPERLINK("https://www.senat.fr/senateur-3eme-republique/ajam_pierre1240r3.html", "ajam_pierre1240r3")</f>
        <v>0</v>
      </c>
      <c r="N7887">
        <f>HYPERLINK("https://www.wikidata.org/wiki/Q3383653", "Q3383653")</f>
        <v>0</v>
      </c>
      <c r="O7887" t="s">
        <v>19956</v>
      </c>
      <c r="P7887" t="s">
        <v>20401</v>
      </c>
      <c r="Q7887" t="s">
        <v>20933</v>
      </c>
      <c r="R7887" t="s">
        <v>421</v>
      </c>
      <c r="S7887">
        <v>1611</v>
      </c>
    </row>
    <row r="7888" spans="1:19">
      <c r="A7888" t="s">
        <v>31</v>
      </c>
      <c r="B7888" t="s">
        <v>148</v>
      </c>
      <c r="C7888" t="s">
        <v>163</v>
      </c>
      <c r="D7888" t="s">
        <v>292</v>
      </c>
      <c r="E7888" t="s">
        <v>421</v>
      </c>
      <c r="F7888">
        <f>HYPERLINK("https://www.wikidata.org/wiki/Q33323183", "Q33323183")</f>
        <v>0</v>
      </c>
      <c r="G7888" t="s">
        <v>3950</v>
      </c>
      <c r="H7888" t="s">
        <v>8201</v>
      </c>
      <c r="I7888" t="s">
        <v>11037</v>
      </c>
      <c r="J7888" t="s">
        <v>14501</v>
      </c>
      <c r="K7888" t="s">
        <v>18849</v>
      </c>
      <c r="L7888">
        <f>HYPERLINK("https://www2.assemblee-nationale.fr/sycomore/fiche/(num_dept)/17", "17")</f>
        <v>0</v>
      </c>
      <c r="N7888">
        <f>HYPERLINK("https://www.wikidata.org/wiki/Q3588300", "Q3588300")</f>
        <v>0</v>
      </c>
      <c r="O7888" t="s">
        <v>20047</v>
      </c>
      <c r="P7888" t="s">
        <v>20489</v>
      </c>
      <c r="Q7888" t="s">
        <v>20934</v>
      </c>
      <c r="R7888" t="s">
        <v>18849</v>
      </c>
      <c r="S7888">
        <v>1316</v>
      </c>
    </row>
    <row r="7889" spans="1:19">
      <c r="A7889" t="s">
        <v>31</v>
      </c>
      <c r="B7889" t="s">
        <v>148</v>
      </c>
      <c r="C7889" t="s">
        <v>163</v>
      </c>
      <c r="D7889" t="s">
        <v>292</v>
      </c>
      <c r="E7889" t="s">
        <v>421</v>
      </c>
      <c r="F7889">
        <f>HYPERLINK("https://www.wikidata.org/wiki/Q33323183", "Q33323183")</f>
        <v>0</v>
      </c>
      <c r="G7889" t="s">
        <v>496</v>
      </c>
      <c r="H7889" t="s">
        <v>5261</v>
      </c>
      <c r="I7889" t="s">
        <v>9367</v>
      </c>
      <c r="J7889" t="s">
        <v>11248</v>
      </c>
      <c r="K7889" t="s">
        <v>15648</v>
      </c>
      <c r="L7889">
        <f>HYPERLINK("https://www2.assemblee-nationale.fr/sycomore/fiche/(num_dept)/39", "39")</f>
        <v>0</v>
      </c>
      <c r="N7889">
        <f>HYPERLINK("https://www.wikidata.org/wiki/Q15973142", "Q15973142")</f>
        <v>0</v>
      </c>
      <c r="O7889" t="s">
        <v>19957</v>
      </c>
      <c r="P7889" t="s">
        <v>20516</v>
      </c>
      <c r="Q7889" t="s">
        <v>20934</v>
      </c>
      <c r="R7889" t="s">
        <v>421</v>
      </c>
      <c r="S7889">
        <v>1486</v>
      </c>
    </row>
    <row r="7890" spans="1:19">
      <c r="A7890" t="s">
        <v>31</v>
      </c>
      <c r="B7890" t="s">
        <v>148</v>
      </c>
      <c r="C7890" t="s">
        <v>163</v>
      </c>
      <c r="D7890" t="s">
        <v>292</v>
      </c>
      <c r="E7890" t="s">
        <v>421</v>
      </c>
      <c r="F7890">
        <f>HYPERLINK("https://www.wikidata.org/wiki/Q33323183", "Q33323183")</f>
        <v>0</v>
      </c>
      <c r="G7890" t="s">
        <v>498</v>
      </c>
      <c r="H7890" t="s">
        <v>5263</v>
      </c>
      <c r="I7890" t="s">
        <v>9369</v>
      </c>
      <c r="J7890" t="s">
        <v>11250</v>
      </c>
      <c r="K7890" t="s">
        <v>15650</v>
      </c>
      <c r="L7890">
        <f>HYPERLINK("https://www2.assemblee-nationale.fr/sycomore/fiche/(num_dept)/72", "72")</f>
        <v>0</v>
      </c>
      <c r="N7890">
        <f>HYPERLINK("https://www.wikidata.org/wiki/Q3099819", "Q3099819")</f>
        <v>0</v>
      </c>
      <c r="O7890" t="s">
        <v>19959</v>
      </c>
      <c r="P7890" t="s">
        <v>20515</v>
      </c>
      <c r="Q7890" t="s">
        <v>20934</v>
      </c>
      <c r="R7890" t="s">
        <v>421</v>
      </c>
      <c r="S7890">
        <v>1486</v>
      </c>
    </row>
    <row r="7891" spans="1:19">
      <c r="A7891" t="s">
        <v>31</v>
      </c>
      <c r="B7891" t="s">
        <v>148</v>
      </c>
      <c r="C7891" t="s">
        <v>163</v>
      </c>
      <c r="D7891" t="s">
        <v>292</v>
      </c>
      <c r="E7891" t="s">
        <v>421</v>
      </c>
      <c r="F7891">
        <f>HYPERLINK("https://www.wikidata.org/wiki/Q33323183", "Q33323183")</f>
        <v>0</v>
      </c>
      <c r="G7891" t="s">
        <v>499</v>
      </c>
      <c r="H7891" t="s">
        <v>5264</v>
      </c>
      <c r="I7891" t="s">
        <v>9370</v>
      </c>
      <c r="J7891" t="s">
        <v>11251</v>
      </c>
      <c r="K7891" t="s">
        <v>15651</v>
      </c>
      <c r="L7891">
        <f>HYPERLINK("https://www2.assemblee-nationale.fr/sycomore/fiche/(num_dept)/80", "80")</f>
        <v>0</v>
      </c>
      <c r="N7891">
        <f>HYPERLINK("https://www.wikidata.org/wiki/Q12948740", "Q12948740")</f>
        <v>0</v>
      </c>
      <c r="O7891" t="s">
        <v>19960</v>
      </c>
      <c r="P7891" t="s">
        <v>20515</v>
      </c>
      <c r="Q7891" t="s">
        <v>20934</v>
      </c>
      <c r="R7891" t="s">
        <v>421</v>
      </c>
      <c r="S7891">
        <v>1486</v>
      </c>
    </row>
    <row r="7892" spans="1:19">
      <c r="A7892" t="s">
        <v>31</v>
      </c>
      <c r="B7892" t="s">
        <v>148</v>
      </c>
      <c r="C7892" t="s">
        <v>163</v>
      </c>
      <c r="D7892" t="s">
        <v>292</v>
      </c>
      <c r="E7892" t="s">
        <v>421</v>
      </c>
      <c r="F7892">
        <f>HYPERLINK("https://www.wikidata.org/wiki/Q33323183", "Q33323183")</f>
        <v>0</v>
      </c>
      <c r="G7892" t="s">
        <v>2485</v>
      </c>
      <c r="H7892" t="s">
        <v>7058</v>
      </c>
      <c r="I7892" t="s">
        <v>10238</v>
      </c>
      <c r="J7892" t="s">
        <v>13129</v>
      </c>
      <c r="K7892" t="s">
        <v>17539</v>
      </c>
      <c r="L7892">
        <f>HYPERLINK("https://www2.assemblee-nationale.fr/sycomore/fiche/(num_dept)/85", "85")</f>
        <v>0</v>
      </c>
      <c r="N7892">
        <f>HYPERLINK("https://www.wikidata.org/wiki/Q15973226", "Q15973226")</f>
        <v>0</v>
      </c>
      <c r="O7892" t="s">
        <v>20027</v>
      </c>
      <c r="P7892" t="s">
        <v>20517</v>
      </c>
      <c r="Q7892" t="s">
        <v>20934</v>
      </c>
      <c r="R7892" t="s">
        <v>421</v>
      </c>
      <c r="S7892">
        <v>1486</v>
      </c>
    </row>
    <row r="7893" spans="1:19">
      <c r="A7893" t="s">
        <v>31</v>
      </c>
      <c r="B7893" t="s">
        <v>148</v>
      </c>
      <c r="C7893" t="s">
        <v>163</v>
      </c>
      <c r="D7893" t="s">
        <v>292</v>
      </c>
      <c r="E7893" t="s">
        <v>421</v>
      </c>
      <c r="F7893">
        <f>HYPERLINK("https://www.wikidata.org/wiki/Q33323183", "Q33323183")</f>
        <v>0</v>
      </c>
      <c r="G7893" t="s">
        <v>3951</v>
      </c>
      <c r="H7893" t="s">
        <v>8202</v>
      </c>
      <c r="I7893" t="s">
        <v>11038</v>
      </c>
      <c r="J7893" t="s">
        <v>14502</v>
      </c>
      <c r="K7893" t="s">
        <v>18850</v>
      </c>
      <c r="L7893">
        <f>HYPERLINK("https://www2.assemblee-nationale.fr/sycomore/fiche/(num_dept)/88", "88")</f>
        <v>0</v>
      </c>
      <c r="N7893">
        <f>HYPERLINK("https://www.wikidata.org/wiki/Q3300310", "Q3300310")</f>
        <v>0</v>
      </c>
      <c r="O7893" t="s">
        <v>20042</v>
      </c>
      <c r="P7893" t="s">
        <v>20515</v>
      </c>
      <c r="Q7893" t="s">
        <v>20934</v>
      </c>
      <c r="R7893" t="s">
        <v>421</v>
      </c>
      <c r="S7893">
        <v>1486</v>
      </c>
    </row>
    <row r="7894" spans="1:19">
      <c r="A7894" t="s">
        <v>31</v>
      </c>
      <c r="B7894" t="s">
        <v>148</v>
      </c>
      <c r="C7894" t="s">
        <v>163</v>
      </c>
      <c r="D7894" t="s">
        <v>292</v>
      </c>
      <c r="E7894" t="s">
        <v>421</v>
      </c>
      <c r="F7894">
        <f>HYPERLINK("https://www.wikidata.org/wiki/Q33323183", "Q33323183")</f>
        <v>0</v>
      </c>
      <c r="G7894" t="s">
        <v>3829</v>
      </c>
      <c r="H7894" t="s">
        <v>8109</v>
      </c>
      <c r="I7894" t="s">
        <v>10992</v>
      </c>
      <c r="J7894" t="s">
        <v>14393</v>
      </c>
      <c r="K7894" t="s">
        <v>18746</v>
      </c>
      <c r="L7894">
        <f>HYPERLINK("https://www2.assemblee-nationale.fr/sycomore/fiche/(num_dept)/103", "103")</f>
        <v>0</v>
      </c>
      <c r="M7894">
        <f>HYPERLINK("https://www.senat.fr/senateur-3eme-republique/comte_d_alsace_thierry1812r3.html", "comte_d_alsace_thierry1812r3")</f>
        <v>0</v>
      </c>
      <c r="N7894">
        <f>HYPERLINK("https://www.wikidata.org/wiki/Q3524185", "Q3524185")</f>
        <v>0</v>
      </c>
      <c r="O7894" t="s">
        <v>20017</v>
      </c>
      <c r="P7894" t="s">
        <v>20517</v>
      </c>
      <c r="Q7894" t="s">
        <v>20934</v>
      </c>
      <c r="R7894" t="s">
        <v>399</v>
      </c>
      <c r="S7894">
        <v>973</v>
      </c>
    </row>
    <row r="7895" spans="1:19">
      <c r="A7895" t="s">
        <v>31</v>
      </c>
      <c r="B7895" t="s">
        <v>148</v>
      </c>
      <c r="C7895" t="s">
        <v>163</v>
      </c>
      <c r="D7895" t="s">
        <v>292</v>
      </c>
      <c r="E7895" t="s">
        <v>421</v>
      </c>
      <c r="F7895">
        <f>HYPERLINK("https://www.wikidata.org/wiki/Q33323183", "Q33323183")</f>
        <v>0</v>
      </c>
      <c r="G7895" t="s">
        <v>1146</v>
      </c>
      <c r="H7895" t="s">
        <v>5881</v>
      </c>
      <c r="I7895" t="s">
        <v>5592</v>
      </c>
      <c r="J7895" t="s">
        <v>11880</v>
      </c>
      <c r="K7895" t="s">
        <v>16282</v>
      </c>
      <c r="L7895">
        <f>HYPERLINK("https://www2.assemblee-nationale.fr/sycomore/fiche/(num_dept)/116", "116")</f>
        <v>0</v>
      </c>
      <c r="N7895">
        <f>HYPERLINK("https://www.wikidata.org/wiki/Q2380639", "Q2380639")</f>
        <v>0</v>
      </c>
      <c r="O7895" t="s">
        <v>19976</v>
      </c>
      <c r="P7895" t="s">
        <v>20517</v>
      </c>
      <c r="Q7895" t="s">
        <v>20934</v>
      </c>
      <c r="R7895" t="s">
        <v>421</v>
      </c>
      <c r="S7895">
        <v>1486</v>
      </c>
    </row>
    <row r="7896" spans="1:19">
      <c r="A7896" t="s">
        <v>31</v>
      </c>
      <c r="B7896" t="s">
        <v>148</v>
      </c>
      <c r="C7896" t="s">
        <v>163</v>
      </c>
      <c r="D7896" t="s">
        <v>292</v>
      </c>
      <c r="E7896" t="s">
        <v>421</v>
      </c>
      <c r="F7896">
        <f>HYPERLINK("https://www.wikidata.org/wiki/Q33323183", "Q33323183")</f>
        <v>0</v>
      </c>
      <c r="G7896" t="s">
        <v>501</v>
      </c>
      <c r="H7896" t="s">
        <v>5266</v>
      </c>
      <c r="I7896" t="s">
        <v>9372</v>
      </c>
      <c r="J7896" t="s">
        <v>11253</v>
      </c>
      <c r="K7896" t="s">
        <v>15653</v>
      </c>
      <c r="L7896">
        <f>HYPERLINK("https://www2.assemblee-nationale.fr/sycomore/fiche/(num_dept)/137", "137")</f>
        <v>0</v>
      </c>
      <c r="M7896">
        <f>HYPERLINK("https://www.senat.fr/senateur-3eme-republique/andrieu_edouard1688r3.html", "andrieu_edouard1688r3")</f>
        <v>0</v>
      </c>
      <c r="N7896">
        <f>HYPERLINK("https://www.wikidata.org/wiki/Q3579721", "Q3579721")</f>
        <v>0</v>
      </c>
      <c r="O7896" t="s">
        <v>19962</v>
      </c>
      <c r="P7896" t="s">
        <v>20489</v>
      </c>
      <c r="Q7896" t="s">
        <v>20934</v>
      </c>
      <c r="R7896" t="s">
        <v>421</v>
      </c>
      <c r="S7896">
        <v>1486</v>
      </c>
    </row>
    <row r="7897" spans="1:19">
      <c r="A7897" t="s">
        <v>31</v>
      </c>
      <c r="B7897" t="s">
        <v>148</v>
      </c>
      <c r="C7897" t="s">
        <v>163</v>
      </c>
      <c r="D7897" t="s">
        <v>292</v>
      </c>
      <c r="E7897" t="s">
        <v>421</v>
      </c>
      <c r="F7897">
        <f>HYPERLINK("https://www.wikidata.org/wiki/Q33323183", "Q33323183")</f>
        <v>0</v>
      </c>
      <c r="G7897" t="s">
        <v>1148</v>
      </c>
      <c r="H7897" t="s">
        <v>5883</v>
      </c>
      <c r="I7897" t="s">
        <v>9678</v>
      </c>
      <c r="J7897" t="s">
        <v>11882</v>
      </c>
      <c r="K7897" t="s">
        <v>16284</v>
      </c>
      <c r="L7897">
        <f>HYPERLINK("https://www2.assemblee-nationale.fr/sycomore/fiche/(num_dept)/169", "169")</f>
        <v>0</v>
      </c>
      <c r="N7897">
        <f>HYPERLINK("https://www.wikidata.org/wiki/Q3385585", "Q3385585")</f>
        <v>0</v>
      </c>
      <c r="O7897" t="s">
        <v>20024</v>
      </c>
      <c r="P7897" t="s">
        <v>20459</v>
      </c>
      <c r="Q7897" t="s">
        <v>20934</v>
      </c>
      <c r="R7897" t="s">
        <v>421</v>
      </c>
      <c r="S7897">
        <v>1486</v>
      </c>
    </row>
    <row r="7898" spans="1:19">
      <c r="A7898" t="s">
        <v>31</v>
      </c>
      <c r="B7898" t="s">
        <v>148</v>
      </c>
      <c r="C7898" t="s">
        <v>163</v>
      </c>
      <c r="D7898" t="s">
        <v>292</v>
      </c>
      <c r="E7898" t="s">
        <v>421</v>
      </c>
      <c r="F7898">
        <f>HYPERLINK("https://www.wikidata.org/wiki/Q33323183", "Q33323183")</f>
        <v>0</v>
      </c>
      <c r="G7898" t="s">
        <v>3522</v>
      </c>
      <c r="H7898" t="s">
        <v>7886</v>
      </c>
      <c r="I7898" t="s">
        <v>10862</v>
      </c>
      <c r="J7898" t="s">
        <v>14117</v>
      </c>
      <c r="K7898" t="s">
        <v>18484</v>
      </c>
      <c r="L7898">
        <f>HYPERLINK("https://www2.assemblee-nationale.fr/sycomore/fiche/(num_dept)/190", "190")</f>
        <v>0</v>
      </c>
      <c r="N7898">
        <f>HYPERLINK("https://www.wikidata.org/wiki/Q3170409", "Q3170409")</f>
        <v>0</v>
      </c>
      <c r="O7898" t="s">
        <v>19976</v>
      </c>
      <c r="P7898" t="s">
        <v>20459</v>
      </c>
      <c r="Q7898" t="s">
        <v>20934</v>
      </c>
      <c r="R7898" t="s">
        <v>421</v>
      </c>
      <c r="S7898">
        <v>1486</v>
      </c>
    </row>
    <row r="7899" spans="1:19">
      <c r="A7899" t="s">
        <v>31</v>
      </c>
      <c r="B7899" t="s">
        <v>148</v>
      </c>
      <c r="C7899" t="s">
        <v>163</v>
      </c>
      <c r="D7899" t="s">
        <v>292</v>
      </c>
      <c r="E7899" t="s">
        <v>421</v>
      </c>
      <c r="F7899">
        <f>HYPERLINK("https://www.wikidata.org/wiki/Q33323183", "Q33323183")</f>
        <v>0</v>
      </c>
      <c r="G7899" t="s">
        <v>503</v>
      </c>
      <c r="H7899" t="s">
        <v>5268</v>
      </c>
      <c r="I7899" t="s">
        <v>6495</v>
      </c>
      <c r="J7899" t="s">
        <v>11255</v>
      </c>
      <c r="K7899" t="s">
        <v>15655</v>
      </c>
      <c r="L7899">
        <f>HYPERLINK("https://www2.assemblee-nationale.fr/sycomore/fiche/(num_dept)/195", "195")</f>
        <v>0</v>
      </c>
      <c r="N7899">
        <f>HYPERLINK("https://www.wikidata.org/wiki/Q3261103", "Q3261103")</f>
        <v>0</v>
      </c>
      <c r="O7899" t="s">
        <v>19964</v>
      </c>
      <c r="P7899" t="s">
        <v>20457</v>
      </c>
      <c r="Q7899" t="s">
        <v>20934</v>
      </c>
      <c r="R7899" t="s">
        <v>421</v>
      </c>
      <c r="S7899">
        <v>1486</v>
      </c>
    </row>
    <row r="7900" spans="1:19">
      <c r="A7900" t="s">
        <v>31</v>
      </c>
      <c r="B7900" t="s">
        <v>148</v>
      </c>
      <c r="C7900" t="s">
        <v>163</v>
      </c>
      <c r="D7900" t="s">
        <v>292</v>
      </c>
      <c r="E7900" t="s">
        <v>421</v>
      </c>
      <c r="F7900">
        <f>HYPERLINK("https://www.wikidata.org/wiki/Q33323183", "Q33323183")</f>
        <v>0</v>
      </c>
      <c r="G7900" t="s">
        <v>866</v>
      </c>
      <c r="H7900" t="s">
        <v>5622</v>
      </c>
      <c r="I7900" t="s">
        <v>9564</v>
      </c>
      <c r="J7900" t="s">
        <v>11612</v>
      </c>
      <c r="K7900" t="s">
        <v>16014</v>
      </c>
      <c r="L7900">
        <f>HYPERLINK("https://www2.assemblee-nationale.fr/sycomore/fiche/(num_dept)/284", "284")</f>
        <v>0</v>
      </c>
      <c r="N7900">
        <f>HYPERLINK("https://www.wikidata.org/wiki/Q3130593", "Q3130593")</f>
        <v>0</v>
      </c>
      <c r="O7900" t="s">
        <v>20016</v>
      </c>
      <c r="P7900" t="s">
        <v>20410</v>
      </c>
      <c r="Q7900" t="s">
        <v>20934</v>
      </c>
      <c r="R7900" t="s">
        <v>421</v>
      </c>
      <c r="S7900">
        <v>1486</v>
      </c>
    </row>
    <row r="7901" spans="1:19">
      <c r="A7901" t="s">
        <v>31</v>
      </c>
      <c r="B7901" t="s">
        <v>148</v>
      </c>
      <c r="C7901" t="s">
        <v>163</v>
      </c>
      <c r="D7901" t="s">
        <v>292</v>
      </c>
      <c r="E7901" t="s">
        <v>421</v>
      </c>
      <c r="F7901">
        <f>HYPERLINK("https://www.wikidata.org/wiki/Q33323183", "Q33323183")</f>
        <v>0</v>
      </c>
      <c r="G7901" t="s">
        <v>505</v>
      </c>
      <c r="H7901" t="s">
        <v>5270</v>
      </c>
      <c r="I7901" t="s">
        <v>9375</v>
      </c>
      <c r="J7901" t="s">
        <v>11257</v>
      </c>
      <c r="K7901" t="s">
        <v>15657</v>
      </c>
      <c r="L7901">
        <f>HYPERLINK("https://www2.assemblee-nationale.fr/sycomore/fiche/(num_dept)/305", "305")</f>
        <v>0</v>
      </c>
      <c r="N7901">
        <f>HYPERLINK("https://www.wikidata.org/wiki/Q3579728", "Q3579728")</f>
        <v>0</v>
      </c>
      <c r="O7901" t="s">
        <v>19965</v>
      </c>
      <c r="P7901" t="s">
        <v>20517</v>
      </c>
      <c r="Q7901" t="s">
        <v>20934</v>
      </c>
      <c r="R7901" t="s">
        <v>421</v>
      </c>
      <c r="S7901">
        <v>1486</v>
      </c>
    </row>
    <row r="7902" spans="1:19">
      <c r="A7902" t="s">
        <v>31</v>
      </c>
      <c r="B7902" t="s">
        <v>148</v>
      </c>
      <c r="C7902" t="s">
        <v>163</v>
      </c>
      <c r="D7902" t="s">
        <v>292</v>
      </c>
      <c r="E7902" t="s">
        <v>421</v>
      </c>
      <c r="F7902">
        <f>HYPERLINK("https://www.wikidata.org/wiki/Q33323183", "Q33323183")</f>
        <v>0</v>
      </c>
      <c r="G7902" t="s">
        <v>867</v>
      </c>
      <c r="H7902" t="s">
        <v>5623</v>
      </c>
      <c r="I7902" t="s">
        <v>9565</v>
      </c>
      <c r="J7902" t="s">
        <v>11613</v>
      </c>
      <c r="K7902" t="s">
        <v>16015</v>
      </c>
      <c r="L7902">
        <f>HYPERLINK("https://www2.assemblee-nationale.fr/sycomore/fiche/(num_dept)/310", "310")</f>
        <v>0</v>
      </c>
      <c r="N7902">
        <f>HYPERLINK("https://www.wikidata.org/wiki/Q2853627", "Q2853627")</f>
        <v>0</v>
      </c>
      <c r="O7902" t="s">
        <v>20031</v>
      </c>
      <c r="P7902" t="s">
        <v>20457</v>
      </c>
      <c r="Q7902" t="s">
        <v>20934</v>
      </c>
      <c r="R7902" t="s">
        <v>421</v>
      </c>
      <c r="S7902">
        <v>1486</v>
      </c>
    </row>
    <row r="7903" spans="1:19">
      <c r="A7903" t="s">
        <v>31</v>
      </c>
      <c r="B7903" t="s">
        <v>148</v>
      </c>
      <c r="C7903" t="s">
        <v>163</v>
      </c>
      <c r="D7903" t="s">
        <v>292</v>
      </c>
      <c r="E7903" t="s">
        <v>421</v>
      </c>
      <c r="F7903">
        <f>HYPERLINK("https://www.wikidata.org/wiki/Q33323183", "Q33323183")</f>
        <v>0</v>
      </c>
      <c r="G7903" t="s">
        <v>506</v>
      </c>
      <c r="H7903" t="s">
        <v>5271</v>
      </c>
      <c r="I7903" t="s">
        <v>9376</v>
      </c>
      <c r="J7903" t="s">
        <v>11258</v>
      </c>
      <c r="K7903" t="s">
        <v>15658</v>
      </c>
      <c r="L7903">
        <f>HYPERLINK("https://www2.assemblee-nationale.fr/sycomore/fiche/(num_dept)/326", "326")</f>
        <v>0</v>
      </c>
      <c r="N7903">
        <f>HYPERLINK("https://www.wikidata.org/wiki/Q15973431", "Q15973431")</f>
        <v>0</v>
      </c>
      <c r="O7903" t="s">
        <v>19966</v>
      </c>
      <c r="P7903" t="s">
        <v>20401</v>
      </c>
      <c r="Q7903" t="s">
        <v>20934</v>
      </c>
      <c r="R7903" t="s">
        <v>421</v>
      </c>
      <c r="S7903">
        <v>1486</v>
      </c>
    </row>
    <row r="7904" spans="1:19">
      <c r="A7904" t="s">
        <v>31</v>
      </c>
      <c r="B7904" t="s">
        <v>148</v>
      </c>
      <c r="C7904" t="s">
        <v>163</v>
      </c>
      <c r="D7904" t="s">
        <v>292</v>
      </c>
      <c r="E7904" t="s">
        <v>421</v>
      </c>
      <c r="F7904">
        <f>HYPERLINK("https://www.wikidata.org/wiki/Q33323183", "Q33323183")</f>
        <v>0</v>
      </c>
      <c r="G7904" t="s">
        <v>508</v>
      </c>
      <c r="H7904" t="s">
        <v>5273</v>
      </c>
      <c r="I7904" t="s">
        <v>9378</v>
      </c>
      <c r="J7904" t="s">
        <v>11260</v>
      </c>
      <c r="K7904" t="s">
        <v>15660</v>
      </c>
      <c r="L7904">
        <f>HYPERLINK("https://www2.assemblee-nationale.fr/sycomore/fiche/(num_dept)/362", "362")</f>
        <v>0</v>
      </c>
      <c r="N7904">
        <f>HYPERLINK("https://www.wikidata.org/wiki/Q2834951", "Q2834951")</f>
        <v>0</v>
      </c>
      <c r="O7904" t="s">
        <v>19957</v>
      </c>
      <c r="P7904" t="s">
        <v>20459</v>
      </c>
      <c r="Q7904" t="s">
        <v>20934</v>
      </c>
      <c r="R7904" t="s">
        <v>421</v>
      </c>
      <c r="S7904">
        <v>1486</v>
      </c>
    </row>
    <row r="7905" spans="1:19">
      <c r="A7905" t="s">
        <v>31</v>
      </c>
      <c r="B7905" t="s">
        <v>148</v>
      </c>
      <c r="C7905" t="s">
        <v>163</v>
      </c>
      <c r="D7905" t="s">
        <v>292</v>
      </c>
      <c r="E7905" t="s">
        <v>421</v>
      </c>
      <c r="F7905">
        <f>HYPERLINK("https://www.wikidata.org/wiki/Q33323183", "Q33323183")</f>
        <v>0</v>
      </c>
      <c r="G7905" t="s">
        <v>3877</v>
      </c>
      <c r="H7905" t="s">
        <v>6075</v>
      </c>
      <c r="I7905" t="s">
        <v>11008</v>
      </c>
      <c r="J7905" t="s">
        <v>14435</v>
      </c>
      <c r="K7905" t="s">
        <v>18787</v>
      </c>
      <c r="L7905">
        <f>HYPERLINK("https://www2.assemblee-nationale.fr/sycomore/fiche/(num_dept)/424", "424")</f>
        <v>0</v>
      </c>
      <c r="N7905">
        <f>HYPERLINK("https://www.wikidata.org/wiki/Q15465747", "Q15465747")</f>
        <v>0</v>
      </c>
      <c r="O7905" t="s">
        <v>19990</v>
      </c>
      <c r="P7905" t="s">
        <v>20485</v>
      </c>
      <c r="Q7905" t="s">
        <v>20934</v>
      </c>
      <c r="R7905" t="s">
        <v>421</v>
      </c>
      <c r="S7905">
        <v>1486</v>
      </c>
    </row>
    <row r="7906" spans="1:19">
      <c r="A7906" t="s">
        <v>31</v>
      </c>
      <c r="B7906" t="s">
        <v>148</v>
      </c>
      <c r="C7906" t="s">
        <v>163</v>
      </c>
      <c r="D7906" t="s">
        <v>292</v>
      </c>
      <c r="E7906" t="s">
        <v>421</v>
      </c>
      <c r="F7906">
        <f>HYPERLINK("https://www.wikidata.org/wiki/Q33323183", "Q33323183")</f>
        <v>0</v>
      </c>
      <c r="G7906" t="s">
        <v>510</v>
      </c>
      <c r="H7906" t="s">
        <v>5275</v>
      </c>
      <c r="I7906" t="s">
        <v>9380</v>
      </c>
      <c r="J7906" t="s">
        <v>11262</v>
      </c>
      <c r="K7906" t="s">
        <v>15662</v>
      </c>
      <c r="L7906">
        <f>HYPERLINK("https://www2.assemblee-nationale.fr/sycomore/fiche/(num_dept)/434", "434")</f>
        <v>0</v>
      </c>
      <c r="N7906">
        <f>HYPERLINK("https://www.wikidata.org/wiki/Q314957", "Q314957")</f>
        <v>0</v>
      </c>
      <c r="O7906" t="s">
        <v>19969</v>
      </c>
      <c r="P7906" t="s">
        <v>20409</v>
      </c>
      <c r="Q7906" t="s">
        <v>20934</v>
      </c>
      <c r="R7906" t="s">
        <v>421</v>
      </c>
      <c r="S7906">
        <v>1486</v>
      </c>
    </row>
    <row r="7907" spans="1:19">
      <c r="A7907" t="s">
        <v>31</v>
      </c>
      <c r="B7907" t="s">
        <v>148</v>
      </c>
      <c r="C7907" t="s">
        <v>163</v>
      </c>
      <c r="D7907" t="s">
        <v>292</v>
      </c>
      <c r="E7907" t="s">
        <v>421</v>
      </c>
      <c r="F7907">
        <f>HYPERLINK("https://www.wikidata.org/wiki/Q33323183", "Q33323183")</f>
        <v>0</v>
      </c>
      <c r="G7907" t="s">
        <v>512</v>
      </c>
      <c r="H7907" t="s">
        <v>5277</v>
      </c>
      <c r="I7907" t="s">
        <v>6495</v>
      </c>
      <c r="J7907" t="s">
        <v>11264</v>
      </c>
      <c r="K7907" t="s">
        <v>15664</v>
      </c>
      <c r="L7907">
        <f>HYPERLINK("https://www2.assemblee-nationale.fr/sycomore/fiche/(num_dept)/451", "451")</f>
        <v>0</v>
      </c>
      <c r="M7907">
        <f>HYPERLINK("https://www.senat.fr/senateur-3eme-republique/barthou_louis1071r3.html", "barthou_louis1071r3")</f>
        <v>0</v>
      </c>
      <c r="N7907">
        <f>HYPERLINK("https://www.wikidata.org/wiki/Q271887", "Q271887")</f>
        <v>0</v>
      </c>
      <c r="O7907" t="s">
        <v>19970</v>
      </c>
      <c r="P7907" t="s">
        <v>20457</v>
      </c>
      <c r="Q7907" t="s">
        <v>20934</v>
      </c>
      <c r="R7907" t="s">
        <v>421</v>
      </c>
      <c r="S7907">
        <v>1486</v>
      </c>
    </row>
    <row r="7908" spans="1:19">
      <c r="A7908" t="s">
        <v>31</v>
      </c>
      <c r="B7908" t="s">
        <v>148</v>
      </c>
      <c r="C7908" t="s">
        <v>163</v>
      </c>
      <c r="D7908" t="s">
        <v>292</v>
      </c>
      <c r="E7908" t="s">
        <v>421</v>
      </c>
      <c r="F7908">
        <f>HYPERLINK("https://www.wikidata.org/wiki/Q33323183", "Q33323183")</f>
        <v>0</v>
      </c>
      <c r="G7908" t="s">
        <v>3526</v>
      </c>
      <c r="H7908" t="s">
        <v>7890</v>
      </c>
      <c r="I7908" t="s">
        <v>9602</v>
      </c>
      <c r="J7908" t="s">
        <v>11641</v>
      </c>
      <c r="K7908" t="s">
        <v>18487</v>
      </c>
      <c r="L7908">
        <f>HYPERLINK("https://www2.assemblee-nationale.fr/sycomore/fiche/(num_dept)/452", "452")</f>
        <v>0</v>
      </c>
      <c r="N7908">
        <f>HYPERLINK("https://www.wikidata.org/wiki/Q15973515", "Q15973515")</f>
        <v>0</v>
      </c>
      <c r="O7908" t="s">
        <v>20001</v>
      </c>
      <c r="P7908" t="s">
        <v>20479</v>
      </c>
      <c r="Q7908" t="s">
        <v>20934</v>
      </c>
      <c r="R7908" t="s">
        <v>421</v>
      </c>
      <c r="S7908">
        <v>1486</v>
      </c>
    </row>
    <row r="7909" spans="1:19">
      <c r="A7909" t="s">
        <v>31</v>
      </c>
      <c r="B7909" t="s">
        <v>148</v>
      </c>
      <c r="C7909" t="s">
        <v>163</v>
      </c>
      <c r="D7909" t="s">
        <v>292</v>
      </c>
      <c r="E7909" t="s">
        <v>421</v>
      </c>
      <c r="F7909">
        <f>HYPERLINK("https://www.wikidata.org/wiki/Q33323183", "Q33323183")</f>
        <v>0</v>
      </c>
      <c r="G7909" t="s">
        <v>513</v>
      </c>
      <c r="H7909" t="s">
        <v>5278</v>
      </c>
      <c r="I7909" t="s">
        <v>9381</v>
      </c>
      <c r="J7909" t="s">
        <v>11265</v>
      </c>
      <c r="K7909" t="s">
        <v>15665</v>
      </c>
      <c r="L7909">
        <f>HYPERLINK("https://www2.assemblee-nationale.fr/sycomore/fiche/(num_dept)/462", "462")</f>
        <v>0</v>
      </c>
      <c r="N7909">
        <f>HYPERLINK("https://www.wikidata.org/wiki/Q3588329", "Q3588329")</f>
        <v>0</v>
      </c>
      <c r="O7909" t="s">
        <v>19968</v>
      </c>
      <c r="P7909" t="s">
        <v>20515</v>
      </c>
      <c r="Q7909" t="s">
        <v>20934</v>
      </c>
      <c r="R7909" t="s">
        <v>421</v>
      </c>
      <c r="S7909">
        <v>1486</v>
      </c>
    </row>
    <row r="7910" spans="1:19">
      <c r="A7910" t="s">
        <v>31</v>
      </c>
      <c r="B7910" t="s">
        <v>148</v>
      </c>
      <c r="C7910" t="s">
        <v>163</v>
      </c>
      <c r="D7910" t="s">
        <v>292</v>
      </c>
      <c r="E7910" t="s">
        <v>421</v>
      </c>
      <c r="F7910">
        <f>HYPERLINK("https://www.wikidata.org/wiki/Q33323183", "Q33323183")</f>
        <v>0</v>
      </c>
      <c r="G7910" t="s">
        <v>514</v>
      </c>
      <c r="H7910" t="s">
        <v>5279</v>
      </c>
      <c r="I7910" t="s">
        <v>9382</v>
      </c>
      <c r="J7910" t="s">
        <v>11266</v>
      </c>
      <c r="K7910" t="s">
        <v>15666</v>
      </c>
      <c r="L7910">
        <f>HYPERLINK("https://www2.assemblee-nationale.fr/sycomore/fiche/(num_dept)/488", "488")</f>
        <v>0</v>
      </c>
      <c r="M7910">
        <f>HYPERLINK("https://www.senat.fr/senateur-3eme-republique/baudet_charles0578r3.html", "baudet_charles0578r3")</f>
        <v>0</v>
      </c>
      <c r="N7910">
        <f>HYPERLINK("https://www.wikidata.org/wiki/Q2958489", "Q2958489")</f>
        <v>0</v>
      </c>
      <c r="O7910" t="s">
        <v>19964</v>
      </c>
      <c r="P7910" t="s">
        <v>20401</v>
      </c>
      <c r="Q7910" t="s">
        <v>20934</v>
      </c>
      <c r="R7910" t="s">
        <v>421</v>
      </c>
      <c r="S7910">
        <v>1486</v>
      </c>
    </row>
    <row r="7911" spans="1:19">
      <c r="A7911" t="s">
        <v>31</v>
      </c>
      <c r="B7911" t="s">
        <v>148</v>
      </c>
      <c r="C7911" t="s">
        <v>163</v>
      </c>
      <c r="D7911" t="s">
        <v>292</v>
      </c>
      <c r="E7911" t="s">
        <v>421</v>
      </c>
      <c r="F7911">
        <f>HYPERLINK("https://www.wikidata.org/wiki/Q33323183", "Q33323183")</f>
        <v>0</v>
      </c>
      <c r="G7911" t="s">
        <v>515</v>
      </c>
      <c r="H7911" t="s">
        <v>5279</v>
      </c>
      <c r="I7911" t="s">
        <v>9383</v>
      </c>
      <c r="J7911" t="s">
        <v>11267</v>
      </c>
      <c r="K7911" t="s">
        <v>15667</v>
      </c>
      <c r="L7911">
        <f>HYPERLINK("https://www2.assemblee-nationale.fr/sycomore/fiche/(num_dept)/489", "489")</f>
        <v>0</v>
      </c>
      <c r="M7911">
        <f>HYPERLINK("https://www.senat.fr/senateur-3eme-republique/baudet_louis0776r3.html", "baudet_louis0776r3")</f>
        <v>0</v>
      </c>
      <c r="N7911">
        <f>HYPERLINK("https://www.wikidata.org/wiki/Q3261189", "Q3261189")</f>
        <v>0</v>
      </c>
      <c r="O7911" t="s">
        <v>19971</v>
      </c>
      <c r="P7911" t="s">
        <v>20401</v>
      </c>
      <c r="Q7911" t="s">
        <v>20934</v>
      </c>
      <c r="R7911" t="s">
        <v>421</v>
      </c>
      <c r="S7911">
        <v>1486</v>
      </c>
    </row>
    <row r="7912" spans="1:19">
      <c r="A7912" t="s">
        <v>31</v>
      </c>
      <c r="B7912" t="s">
        <v>148</v>
      </c>
      <c r="C7912" t="s">
        <v>163</v>
      </c>
      <c r="D7912" t="s">
        <v>292</v>
      </c>
      <c r="E7912" t="s">
        <v>421</v>
      </c>
      <c r="F7912">
        <f>HYPERLINK("https://www.wikidata.org/wiki/Q33323183", "Q33323183")</f>
        <v>0</v>
      </c>
      <c r="G7912" t="s">
        <v>3953</v>
      </c>
      <c r="H7912" t="s">
        <v>7891</v>
      </c>
      <c r="I7912" t="s">
        <v>6860</v>
      </c>
      <c r="J7912" t="s">
        <v>14504</v>
      </c>
      <c r="K7912" t="s">
        <v>18851</v>
      </c>
      <c r="L7912">
        <f>HYPERLINK("https://www2.assemblee-nationale.fr/sycomore/fiche/(num_dept)/491", "491")</f>
        <v>0</v>
      </c>
      <c r="M7912">
        <f>HYPERLINK("https://www.senat.fr/senateur-3eme-republique/baudin_pierre0016r3.html", "baudin_pierre0016r3")</f>
        <v>0</v>
      </c>
      <c r="N7912">
        <f>HYPERLINK("https://www.wikidata.org/wiki/Q2993834", "Q2993834")</f>
        <v>0</v>
      </c>
      <c r="O7912" t="s">
        <v>19986</v>
      </c>
      <c r="P7912" t="s">
        <v>20489</v>
      </c>
      <c r="Q7912" t="s">
        <v>20934</v>
      </c>
      <c r="R7912" t="s">
        <v>21625</v>
      </c>
      <c r="S7912">
        <v>991</v>
      </c>
    </row>
    <row r="7913" spans="1:19">
      <c r="A7913" t="s">
        <v>31</v>
      </c>
      <c r="B7913" t="s">
        <v>148</v>
      </c>
      <c r="C7913" t="s">
        <v>163</v>
      </c>
      <c r="D7913" t="s">
        <v>292</v>
      </c>
      <c r="E7913" t="s">
        <v>421</v>
      </c>
      <c r="F7913">
        <f>HYPERLINK("https://www.wikidata.org/wiki/Q33323183", "Q33323183")</f>
        <v>0</v>
      </c>
      <c r="G7913" t="s">
        <v>516</v>
      </c>
      <c r="H7913" t="s">
        <v>5280</v>
      </c>
      <c r="I7913" t="s">
        <v>9384</v>
      </c>
      <c r="J7913" t="s">
        <v>11268</v>
      </c>
      <c r="K7913" t="s">
        <v>15668</v>
      </c>
      <c r="L7913">
        <f>HYPERLINK("https://www2.assemblee-nationale.fr/sycomore/fiche/(num_dept)/501", "501")</f>
        <v>0</v>
      </c>
      <c r="N7913">
        <f>HYPERLINK("https://www.wikidata.org/wiki/Q2861911", "Q2861911")</f>
        <v>0</v>
      </c>
      <c r="O7913" t="s">
        <v>19972</v>
      </c>
      <c r="P7913" t="s">
        <v>20409</v>
      </c>
      <c r="Q7913" t="s">
        <v>20934</v>
      </c>
      <c r="R7913" t="s">
        <v>421</v>
      </c>
      <c r="S7913">
        <v>1486</v>
      </c>
    </row>
    <row r="7914" spans="1:19">
      <c r="A7914" t="s">
        <v>31</v>
      </c>
      <c r="B7914" t="s">
        <v>148</v>
      </c>
      <c r="C7914" t="s">
        <v>163</v>
      </c>
      <c r="D7914" t="s">
        <v>292</v>
      </c>
      <c r="E7914" t="s">
        <v>421</v>
      </c>
      <c r="F7914">
        <f>HYPERLINK("https://www.wikidata.org/wiki/Q33323183", "Q33323183")</f>
        <v>0</v>
      </c>
      <c r="G7914" t="s">
        <v>517</v>
      </c>
      <c r="H7914" t="s">
        <v>5281</v>
      </c>
      <c r="I7914" t="s">
        <v>9385</v>
      </c>
      <c r="J7914" t="s">
        <v>11269</v>
      </c>
      <c r="K7914" t="s">
        <v>15669</v>
      </c>
      <c r="L7914">
        <f>HYPERLINK("https://www2.assemblee-nationale.fr/sycomore/fiche/(num_dept)/538", "538")</f>
        <v>0</v>
      </c>
      <c r="N7914">
        <f>HYPERLINK("https://www.wikidata.org/wiki/Q2958509", "Q2958509")</f>
        <v>0</v>
      </c>
      <c r="O7914" t="s">
        <v>19973</v>
      </c>
      <c r="P7914" t="s">
        <v>20489</v>
      </c>
      <c r="Q7914" t="s">
        <v>20934</v>
      </c>
      <c r="R7914" t="s">
        <v>421</v>
      </c>
      <c r="S7914">
        <v>1486</v>
      </c>
    </row>
    <row r="7915" spans="1:19">
      <c r="A7915" t="s">
        <v>31</v>
      </c>
      <c r="B7915" t="s">
        <v>148</v>
      </c>
      <c r="C7915" t="s">
        <v>163</v>
      </c>
      <c r="D7915" t="s">
        <v>292</v>
      </c>
      <c r="E7915" t="s">
        <v>421</v>
      </c>
      <c r="F7915">
        <f>HYPERLINK("https://www.wikidata.org/wiki/Q33323183", "Q33323183")</f>
        <v>0</v>
      </c>
      <c r="G7915" t="s">
        <v>518</v>
      </c>
      <c r="H7915" t="s">
        <v>5282</v>
      </c>
      <c r="I7915" t="s">
        <v>9386</v>
      </c>
      <c r="J7915" t="s">
        <v>11270</v>
      </c>
      <c r="K7915" t="s">
        <v>15670</v>
      </c>
      <c r="L7915">
        <f>HYPERLINK("https://www2.assemblee-nationale.fr/sycomore/fiche/(num_dept)/540", "540")</f>
        <v>0</v>
      </c>
      <c r="N7915">
        <f>HYPERLINK("https://www.wikidata.org/wiki/Q3370596", "Q3370596")</f>
        <v>0</v>
      </c>
      <c r="O7915" t="s">
        <v>19969</v>
      </c>
      <c r="P7915" t="s">
        <v>20517</v>
      </c>
      <c r="Q7915" t="s">
        <v>20934</v>
      </c>
      <c r="R7915" t="s">
        <v>421</v>
      </c>
      <c r="S7915">
        <v>1486</v>
      </c>
    </row>
    <row r="7916" spans="1:19">
      <c r="A7916" t="s">
        <v>31</v>
      </c>
      <c r="B7916" t="s">
        <v>148</v>
      </c>
      <c r="C7916" t="s">
        <v>163</v>
      </c>
      <c r="D7916" t="s">
        <v>292</v>
      </c>
      <c r="E7916" t="s">
        <v>421</v>
      </c>
      <c r="F7916">
        <f>HYPERLINK("https://www.wikidata.org/wiki/Q33323183", "Q33323183")</f>
        <v>0</v>
      </c>
      <c r="G7916" t="s">
        <v>4095</v>
      </c>
      <c r="H7916" t="s">
        <v>8308</v>
      </c>
      <c r="I7916" t="s">
        <v>11107</v>
      </c>
      <c r="J7916" t="s">
        <v>14633</v>
      </c>
      <c r="K7916" t="s">
        <v>18969</v>
      </c>
      <c r="L7916">
        <f>HYPERLINK("https://www2.assemblee-nationale.fr/sycomore/fiche/(num_dept)/591", "591")</f>
        <v>0</v>
      </c>
      <c r="N7916">
        <f>HYPERLINK("https://www.wikidata.org/wiki/Q8306708", "Q8306708")</f>
        <v>0</v>
      </c>
      <c r="O7916" t="s">
        <v>19975</v>
      </c>
      <c r="P7916" t="s">
        <v>20401</v>
      </c>
      <c r="Q7916" t="s">
        <v>20934</v>
      </c>
      <c r="R7916" t="s">
        <v>421</v>
      </c>
      <c r="S7916">
        <v>1486</v>
      </c>
    </row>
    <row r="7917" spans="1:19">
      <c r="A7917" t="s">
        <v>31</v>
      </c>
      <c r="B7917" t="s">
        <v>148</v>
      </c>
      <c r="C7917" t="s">
        <v>163</v>
      </c>
      <c r="D7917" t="s">
        <v>292</v>
      </c>
      <c r="E7917" t="s">
        <v>421</v>
      </c>
      <c r="F7917">
        <f>HYPERLINK("https://www.wikidata.org/wiki/Q33323183", "Q33323183")</f>
        <v>0</v>
      </c>
      <c r="G7917" t="s">
        <v>520</v>
      </c>
      <c r="H7917" t="s">
        <v>5284</v>
      </c>
      <c r="I7917" t="s">
        <v>9388</v>
      </c>
      <c r="J7917" t="s">
        <v>11272</v>
      </c>
      <c r="K7917" t="s">
        <v>15672</v>
      </c>
      <c r="L7917">
        <f>HYPERLINK("https://www2.assemblee-nationale.fr/sycomore/fiche/(num_dept)/608", "608")</f>
        <v>0</v>
      </c>
      <c r="M7917">
        <f>HYPERLINK("https://www.senat.fr/senateur-3eme-republique/benazet_paul_louis0281r3.html", "benazet_paul_louis0281r3")</f>
        <v>0</v>
      </c>
      <c r="N7917">
        <f>HYPERLINK("https://www.wikidata.org/wiki/Q3370779", "Q3370779")</f>
        <v>0</v>
      </c>
      <c r="O7917" t="s">
        <v>19975</v>
      </c>
      <c r="P7917" t="s">
        <v>20401</v>
      </c>
      <c r="Q7917" t="s">
        <v>20934</v>
      </c>
      <c r="R7917" t="s">
        <v>421</v>
      </c>
      <c r="S7917">
        <v>1486</v>
      </c>
    </row>
    <row r="7918" spans="1:19">
      <c r="A7918" t="s">
        <v>31</v>
      </c>
      <c r="B7918" t="s">
        <v>148</v>
      </c>
      <c r="C7918" t="s">
        <v>163</v>
      </c>
      <c r="D7918" t="s">
        <v>292</v>
      </c>
      <c r="E7918" t="s">
        <v>421</v>
      </c>
      <c r="F7918">
        <f>HYPERLINK("https://www.wikidata.org/wiki/Q33323183", "Q33323183")</f>
        <v>0</v>
      </c>
      <c r="G7918" t="s">
        <v>872</v>
      </c>
      <c r="H7918" t="s">
        <v>5628</v>
      </c>
      <c r="I7918" t="s">
        <v>9567</v>
      </c>
      <c r="J7918" t="s">
        <v>11618</v>
      </c>
      <c r="K7918" t="s">
        <v>16020</v>
      </c>
      <c r="L7918">
        <f>HYPERLINK("https://www2.assemblee-nationale.fr/sycomore/fiche/(num_dept)/629", "629")</f>
        <v>0</v>
      </c>
      <c r="N7918">
        <f>HYPERLINK("https://www.wikidata.org/wiki/Q2958523", "Q2958523")</f>
        <v>0</v>
      </c>
      <c r="O7918" t="s">
        <v>19969</v>
      </c>
      <c r="P7918" t="s">
        <v>20517</v>
      </c>
      <c r="Q7918" t="s">
        <v>20934</v>
      </c>
      <c r="R7918" t="s">
        <v>421</v>
      </c>
      <c r="S7918">
        <v>1486</v>
      </c>
    </row>
    <row r="7919" spans="1:19">
      <c r="A7919" t="s">
        <v>31</v>
      </c>
      <c r="B7919" t="s">
        <v>148</v>
      </c>
      <c r="C7919" t="s">
        <v>163</v>
      </c>
      <c r="D7919" t="s">
        <v>292</v>
      </c>
      <c r="E7919" t="s">
        <v>421</v>
      </c>
      <c r="F7919">
        <f>HYPERLINK("https://www.wikidata.org/wiki/Q33323183", "Q33323183")</f>
        <v>0</v>
      </c>
      <c r="G7919" t="s">
        <v>3677</v>
      </c>
      <c r="H7919" t="s">
        <v>8003</v>
      </c>
      <c r="I7919" t="s">
        <v>10930</v>
      </c>
      <c r="J7919" t="s">
        <v>14254</v>
      </c>
      <c r="K7919" t="s">
        <v>18615</v>
      </c>
      <c r="L7919">
        <f>HYPERLINK("https://www2.assemblee-nationale.fr/sycomore/fiche/(num_dept)/642", "642")</f>
        <v>0</v>
      </c>
      <c r="M7919">
        <f>HYPERLINK("https://www.senat.fr/senateur-3eme-republique/bepmale_jean0103r3.html", "bepmale_jean0103r3")</f>
        <v>0</v>
      </c>
      <c r="N7919">
        <f>HYPERLINK("https://www.wikidata.org/wiki/Q3170701", "Q3170701")</f>
        <v>0</v>
      </c>
      <c r="O7919" t="s">
        <v>20016</v>
      </c>
      <c r="P7919" t="s">
        <v>20489</v>
      </c>
      <c r="Q7919" t="s">
        <v>20934</v>
      </c>
      <c r="R7919" t="s">
        <v>17583</v>
      </c>
      <c r="S7919">
        <v>492</v>
      </c>
    </row>
    <row r="7920" spans="1:19">
      <c r="A7920" t="s">
        <v>31</v>
      </c>
      <c r="B7920" t="s">
        <v>148</v>
      </c>
      <c r="C7920" t="s">
        <v>163</v>
      </c>
      <c r="D7920" t="s">
        <v>292</v>
      </c>
      <c r="E7920" t="s">
        <v>421</v>
      </c>
      <c r="F7920">
        <f>HYPERLINK("https://www.wikidata.org/wiki/Q33323183", "Q33323183")</f>
        <v>0</v>
      </c>
      <c r="G7920" t="s">
        <v>3678</v>
      </c>
      <c r="H7920" t="s">
        <v>5286</v>
      </c>
      <c r="I7920" t="s">
        <v>9553</v>
      </c>
      <c r="J7920" t="s">
        <v>14255</v>
      </c>
      <c r="K7920" t="s">
        <v>18616</v>
      </c>
      <c r="L7920">
        <f>HYPERLINK("https://www2.assemblee-nationale.fr/sycomore/fiche/(num_dept)/647", "647")</f>
        <v>0</v>
      </c>
      <c r="M7920">
        <f>HYPERLINK("https://www.senat.fr/senateur-3eme-republique/berard_alexandre0019r3.html", "berard_alexandre0019r3")</f>
        <v>0</v>
      </c>
      <c r="N7920">
        <f>HYPERLINK("https://www.wikidata.org/wiki/Q2833511", "Q2833511")</f>
        <v>0</v>
      </c>
      <c r="O7920" t="s">
        <v>19986</v>
      </c>
      <c r="P7920" t="s">
        <v>20401</v>
      </c>
      <c r="Q7920" t="s">
        <v>20934</v>
      </c>
      <c r="R7920" t="s">
        <v>21626</v>
      </c>
      <c r="S7920">
        <v>648</v>
      </c>
    </row>
    <row r="7921" spans="1:19">
      <c r="A7921" t="s">
        <v>31</v>
      </c>
      <c r="B7921" t="s">
        <v>148</v>
      </c>
      <c r="C7921" t="s">
        <v>163</v>
      </c>
      <c r="D7921" t="s">
        <v>292</v>
      </c>
      <c r="E7921" t="s">
        <v>421</v>
      </c>
      <c r="F7921">
        <f>HYPERLINK("https://www.wikidata.org/wiki/Q33323183", "Q33323183")</f>
        <v>0</v>
      </c>
      <c r="G7921" t="s">
        <v>3530</v>
      </c>
      <c r="H7921" t="s">
        <v>5946</v>
      </c>
      <c r="I7921" t="s">
        <v>10866</v>
      </c>
      <c r="J7921" t="s">
        <v>14124</v>
      </c>
      <c r="K7921" t="s">
        <v>18490</v>
      </c>
      <c r="L7921">
        <f>HYPERLINK("https://www2.assemblee-nationale.fr/sycomore/fiche/(num_dept)/664", "664")</f>
        <v>0</v>
      </c>
      <c r="N7921">
        <f>HYPERLINK("https://www.wikidata.org/wiki/Q13080880", "Q13080880")</f>
        <v>0</v>
      </c>
      <c r="O7921" t="s">
        <v>19969</v>
      </c>
      <c r="P7921" t="s">
        <v>20517</v>
      </c>
      <c r="Q7921" t="s">
        <v>20934</v>
      </c>
      <c r="R7921" t="s">
        <v>421</v>
      </c>
      <c r="S7921">
        <v>1486</v>
      </c>
    </row>
    <row r="7922" spans="1:19">
      <c r="A7922" t="s">
        <v>31</v>
      </c>
      <c r="B7922" t="s">
        <v>148</v>
      </c>
      <c r="C7922" t="s">
        <v>163</v>
      </c>
      <c r="D7922" t="s">
        <v>292</v>
      </c>
      <c r="E7922" t="s">
        <v>421</v>
      </c>
      <c r="F7922">
        <f>HYPERLINK("https://www.wikidata.org/wiki/Q33323183", "Q33323183")</f>
        <v>0</v>
      </c>
      <c r="G7922" t="s">
        <v>1219</v>
      </c>
      <c r="H7922" t="s">
        <v>5946</v>
      </c>
      <c r="I7922" t="s">
        <v>9710</v>
      </c>
      <c r="J7922" t="s">
        <v>11951</v>
      </c>
      <c r="K7922" t="s">
        <v>16353</v>
      </c>
      <c r="L7922">
        <f>HYPERLINK("https://www2.assemblee-nationale.fr/sycomore/fiche/(num_dept)/668", "668")</f>
        <v>0</v>
      </c>
      <c r="M7922">
        <f>HYPERLINK("https://www.senat.fr/senateur-3eme-republique/berger_pierre0378r3.html", "berger_pierre0378r3")</f>
        <v>0</v>
      </c>
      <c r="N7922">
        <f>HYPERLINK("https://www.wikidata.org/wiki/Q3383934", "Q3383934")</f>
        <v>0</v>
      </c>
      <c r="O7922" t="s">
        <v>20039</v>
      </c>
      <c r="P7922" t="s">
        <v>20401</v>
      </c>
      <c r="Q7922" t="s">
        <v>20934</v>
      </c>
      <c r="R7922" t="s">
        <v>421</v>
      </c>
      <c r="S7922">
        <v>1486</v>
      </c>
    </row>
    <row r="7923" spans="1:19">
      <c r="A7923" t="s">
        <v>31</v>
      </c>
      <c r="B7923" t="s">
        <v>148</v>
      </c>
      <c r="C7923" t="s">
        <v>163</v>
      </c>
      <c r="D7923" t="s">
        <v>292</v>
      </c>
      <c r="E7923" t="s">
        <v>421</v>
      </c>
      <c r="F7923">
        <f>HYPERLINK("https://www.wikidata.org/wiki/Q33323183", "Q33323183")</f>
        <v>0</v>
      </c>
      <c r="G7923" t="s">
        <v>524</v>
      </c>
      <c r="H7923" t="s">
        <v>5288</v>
      </c>
      <c r="I7923" t="s">
        <v>9392</v>
      </c>
      <c r="J7923" t="s">
        <v>11276</v>
      </c>
      <c r="K7923" t="s">
        <v>15676</v>
      </c>
      <c r="L7923">
        <f>HYPERLINK("https://www2.assemblee-nationale.fr/sycomore/fiche/(num_dept)/715", "715")</f>
        <v>0</v>
      </c>
      <c r="N7923">
        <f>HYPERLINK("https://www.wikidata.org/wiki/Q3102282", "Q3102282")</f>
        <v>0</v>
      </c>
      <c r="O7923" t="s">
        <v>19969</v>
      </c>
      <c r="P7923" t="s">
        <v>20495</v>
      </c>
      <c r="Q7923" t="s">
        <v>20934</v>
      </c>
      <c r="R7923" t="s">
        <v>421</v>
      </c>
      <c r="S7923">
        <v>1486</v>
      </c>
    </row>
    <row r="7924" spans="1:19">
      <c r="A7924" t="s">
        <v>31</v>
      </c>
      <c r="B7924" t="s">
        <v>148</v>
      </c>
      <c r="C7924" t="s">
        <v>163</v>
      </c>
      <c r="D7924" t="s">
        <v>292</v>
      </c>
      <c r="E7924" t="s">
        <v>421</v>
      </c>
      <c r="F7924">
        <f>HYPERLINK("https://www.wikidata.org/wiki/Q33323183", "Q33323183")</f>
        <v>0</v>
      </c>
      <c r="G7924" t="s">
        <v>525</v>
      </c>
      <c r="H7924" t="s">
        <v>5289</v>
      </c>
      <c r="I7924" t="s">
        <v>7642</v>
      </c>
      <c r="J7924" t="s">
        <v>11277</v>
      </c>
      <c r="K7924" t="s">
        <v>15677</v>
      </c>
      <c r="L7924">
        <f>HYPERLINK("https://www2.assemblee-nationale.fr/sycomore/fiche/(num_dept)/720", "720")</f>
        <v>0</v>
      </c>
      <c r="N7924">
        <f>HYPERLINK("https://www.wikidata.org/wiki/Q3300415", "Q3300415")</f>
        <v>0</v>
      </c>
      <c r="O7924" t="s">
        <v>19976</v>
      </c>
      <c r="P7924" t="s">
        <v>20489</v>
      </c>
      <c r="Q7924" t="s">
        <v>20934</v>
      </c>
      <c r="R7924" t="s">
        <v>421</v>
      </c>
      <c r="S7924">
        <v>1486</v>
      </c>
    </row>
    <row r="7925" spans="1:19">
      <c r="A7925" t="s">
        <v>31</v>
      </c>
      <c r="B7925" t="s">
        <v>148</v>
      </c>
      <c r="C7925" t="s">
        <v>163</v>
      </c>
      <c r="D7925" t="s">
        <v>292</v>
      </c>
      <c r="E7925" t="s">
        <v>421</v>
      </c>
      <c r="F7925">
        <f>HYPERLINK("https://www.wikidata.org/wiki/Q33323183", "Q33323183")</f>
        <v>0</v>
      </c>
      <c r="G7925" t="s">
        <v>3893</v>
      </c>
      <c r="H7925" t="s">
        <v>8129</v>
      </c>
      <c r="I7925" t="s">
        <v>5528</v>
      </c>
      <c r="J7925" t="s">
        <v>11853</v>
      </c>
      <c r="K7925" t="s">
        <v>18801</v>
      </c>
      <c r="L7925">
        <f>HYPERLINK("https://www2.assemblee-nationale.fr/sycomore/fiche/(num_dept)/725", "725")</f>
        <v>0</v>
      </c>
      <c r="N7925">
        <f>HYPERLINK("https://www.wikidata.org/wiki/Q3270733", "Q3270733")</f>
        <v>0</v>
      </c>
      <c r="O7925" t="s">
        <v>20018</v>
      </c>
      <c r="P7925" t="s">
        <v>20489</v>
      </c>
      <c r="Q7925" t="s">
        <v>20934</v>
      </c>
      <c r="R7925" t="s">
        <v>421</v>
      </c>
      <c r="S7925">
        <v>1486</v>
      </c>
    </row>
    <row r="7926" spans="1:19">
      <c r="A7926" t="s">
        <v>31</v>
      </c>
      <c r="B7926" t="s">
        <v>148</v>
      </c>
      <c r="C7926" t="s">
        <v>163</v>
      </c>
      <c r="D7926" t="s">
        <v>292</v>
      </c>
      <c r="E7926" t="s">
        <v>421</v>
      </c>
      <c r="F7926">
        <f>HYPERLINK("https://www.wikidata.org/wiki/Q33323183", "Q33323183")</f>
        <v>0</v>
      </c>
      <c r="G7926" t="s">
        <v>874</v>
      </c>
      <c r="H7926" t="s">
        <v>5630</v>
      </c>
      <c r="I7926" t="s">
        <v>9569</v>
      </c>
      <c r="J7926" t="s">
        <v>11620</v>
      </c>
      <c r="K7926" t="s">
        <v>16022</v>
      </c>
      <c r="L7926">
        <f>HYPERLINK("https://www2.assemblee-nationale.fr/sycomore/fiche/(num_dept)/746", "746")</f>
        <v>0</v>
      </c>
      <c r="N7926">
        <f>HYPERLINK("https://www.wikidata.org/wiki/Q15973707", "Q15973707")</f>
        <v>0</v>
      </c>
      <c r="O7926" t="s">
        <v>20044</v>
      </c>
      <c r="P7926" t="s">
        <v>20489</v>
      </c>
      <c r="Q7926" t="s">
        <v>20934</v>
      </c>
      <c r="R7926" t="s">
        <v>421</v>
      </c>
      <c r="S7926">
        <v>1486</v>
      </c>
    </row>
    <row r="7927" spans="1:19">
      <c r="A7927" t="s">
        <v>31</v>
      </c>
      <c r="B7927" t="s">
        <v>148</v>
      </c>
      <c r="C7927" t="s">
        <v>163</v>
      </c>
      <c r="D7927" t="s">
        <v>292</v>
      </c>
      <c r="E7927" t="s">
        <v>421</v>
      </c>
      <c r="F7927">
        <f>HYPERLINK("https://www.wikidata.org/wiki/Q33323183", "Q33323183")</f>
        <v>0</v>
      </c>
      <c r="G7927" t="s">
        <v>3406</v>
      </c>
      <c r="H7927" t="s">
        <v>5630</v>
      </c>
      <c r="I7927" t="s">
        <v>10815</v>
      </c>
      <c r="J7927" t="s">
        <v>11427</v>
      </c>
      <c r="K7927" t="s">
        <v>18381</v>
      </c>
      <c r="L7927">
        <f>HYPERLINK("https://www2.assemblee-nationale.fr/sycomore/fiche/(num_dept)/747", "747")</f>
        <v>0</v>
      </c>
      <c r="N7927">
        <f>HYPERLINK("https://www.wikidata.org/wiki/Q16011065", "Q16011065")</f>
        <v>0</v>
      </c>
      <c r="O7927" t="s">
        <v>20025</v>
      </c>
      <c r="P7927" t="s">
        <v>20409</v>
      </c>
      <c r="Q7927" t="s">
        <v>20934</v>
      </c>
      <c r="R7927" t="s">
        <v>421</v>
      </c>
      <c r="S7927">
        <v>1486</v>
      </c>
    </row>
    <row r="7928" spans="1:19">
      <c r="A7928" t="s">
        <v>31</v>
      </c>
      <c r="B7928" t="s">
        <v>148</v>
      </c>
      <c r="C7928" t="s">
        <v>163</v>
      </c>
      <c r="D7928" t="s">
        <v>292</v>
      </c>
      <c r="E7928" t="s">
        <v>421</v>
      </c>
      <c r="F7928">
        <f>HYPERLINK("https://www.wikidata.org/wiki/Q33323183", "Q33323183")</f>
        <v>0</v>
      </c>
      <c r="G7928" t="s">
        <v>526</v>
      </c>
      <c r="H7928" t="s">
        <v>5290</v>
      </c>
      <c r="I7928" t="s">
        <v>5528</v>
      </c>
      <c r="J7928" t="s">
        <v>11278</v>
      </c>
      <c r="K7928" t="s">
        <v>15678</v>
      </c>
      <c r="L7928">
        <f>HYPERLINK("https://www2.assemblee-nationale.fr/sycomore/fiche/(num_dept)/768", "768")</f>
        <v>0</v>
      </c>
      <c r="M7928">
        <f>HYPERLINK("https://www.senat.fr/senateur-3eme-republique/betoulle_leon1788r3.html", "betoulle_leon1788r3")</f>
        <v>0</v>
      </c>
      <c r="N7928">
        <f>HYPERLINK("https://www.wikidata.org/wiki/Q3270743", "Q3270743")</f>
        <v>0</v>
      </c>
      <c r="O7928" t="s">
        <v>19977</v>
      </c>
      <c r="P7928" t="s">
        <v>20515</v>
      </c>
      <c r="Q7928" t="s">
        <v>20934</v>
      </c>
      <c r="R7928" t="s">
        <v>421</v>
      </c>
      <c r="S7928">
        <v>1486</v>
      </c>
    </row>
    <row r="7929" spans="1:19">
      <c r="A7929" t="s">
        <v>31</v>
      </c>
      <c r="B7929" t="s">
        <v>148</v>
      </c>
      <c r="C7929" t="s">
        <v>163</v>
      </c>
      <c r="D7929" t="s">
        <v>292</v>
      </c>
      <c r="E7929" t="s">
        <v>421</v>
      </c>
      <c r="F7929">
        <f>HYPERLINK("https://www.wikidata.org/wiki/Q33323183", "Q33323183")</f>
        <v>0</v>
      </c>
      <c r="G7929" t="s">
        <v>527</v>
      </c>
      <c r="H7929" t="s">
        <v>5291</v>
      </c>
      <c r="I7929" t="s">
        <v>9393</v>
      </c>
      <c r="J7929" t="s">
        <v>11279</v>
      </c>
      <c r="K7929" t="s">
        <v>15679</v>
      </c>
      <c r="L7929">
        <f>HYPERLINK("https://www2.assemblee-nationale.fr/sycomore/fiche/(num_dept)/789", "789")</f>
        <v>0</v>
      </c>
      <c r="N7929">
        <f>HYPERLINK("https://www.wikidata.org/wiki/Q2844627", "Q2844627")</f>
        <v>0</v>
      </c>
      <c r="O7929" t="s">
        <v>19969</v>
      </c>
      <c r="P7929" t="s">
        <v>20495</v>
      </c>
      <c r="Q7929" t="s">
        <v>20934</v>
      </c>
      <c r="R7929" t="s">
        <v>421</v>
      </c>
      <c r="S7929">
        <v>1486</v>
      </c>
    </row>
    <row r="7930" spans="1:19">
      <c r="A7930" t="s">
        <v>31</v>
      </c>
      <c r="B7930" t="s">
        <v>148</v>
      </c>
      <c r="C7930" t="s">
        <v>163</v>
      </c>
      <c r="D7930" t="s">
        <v>292</v>
      </c>
      <c r="E7930" t="s">
        <v>421</v>
      </c>
      <c r="F7930">
        <f>HYPERLINK("https://www.wikidata.org/wiki/Q33323183", "Q33323183")</f>
        <v>0</v>
      </c>
      <c r="G7930" t="s">
        <v>528</v>
      </c>
      <c r="H7930" t="s">
        <v>5292</v>
      </c>
      <c r="I7930" t="s">
        <v>9388</v>
      </c>
      <c r="J7930" t="s">
        <v>11280</v>
      </c>
      <c r="K7930" t="s">
        <v>15680</v>
      </c>
      <c r="L7930">
        <f>HYPERLINK("https://www2.assemblee-nationale.fr/sycomore/fiche/(num_dept)/799", "799")</f>
        <v>0</v>
      </c>
      <c r="M7930">
        <f>HYPERLINK("https://www.senat.fr/senateur-3eme-republique/bignon_paul1577r3.html", "bignon_paul1577r3")</f>
        <v>0</v>
      </c>
      <c r="N7930">
        <f>HYPERLINK("https://www.wikidata.org/wiki/Q3370646", "Q3370646")</f>
        <v>0</v>
      </c>
      <c r="O7930" t="s">
        <v>19978</v>
      </c>
      <c r="P7930" t="s">
        <v>20517</v>
      </c>
      <c r="Q7930" t="s">
        <v>20934</v>
      </c>
      <c r="R7930" t="s">
        <v>421</v>
      </c>
      <c r="S7930">
        <v>1486</v>
      </c>
    </row>
    <row r="7931" spans="1:19">
      <c r="A7931" t="s">
        <v>31</v>
      </c>
      <c r="B7931" t="s">
        <v>148</v>
      </c>
      <c r="C7931" t="s">
        <v>163</v>
      </c>
      <c r="D7931" t="s">
        <v>292</v>
      </c>
      <c r="E7931" t="s">
        <v>421</v>
      </c>
      <c r="F7931">
        <f>HYPERLINK("https://www.wikidata.org/wiki/Q33323183", "Q33323183")</f>
        <v>0</v>
      </c>
      <c r="G7931" t="s">
        <v>529</v>
      </c>
      <c r="H7931" t="s">
        <v>5293</v>
      </c>
      <c r="I7931" t="s">
        <v>9394</v>
      </c>
      <c r="J7931" t="s">
        <v>11281</v>
      </c>
      <c r="K7931" t="s">
        <v>15681</v>
      </c>
      <c r="L7931">
        <f>HYPERLINK("https://www2.assemblee-nationale.fr/sycomore/fiche/(num_dept)/817", "817")</f>
        <v>0</v>
      </c>
      <c r="N7931">
        <f>HYPERLINK("https://www.wikidata.org/wiki/Q3300423", "Q3300423")</f>
        <v>0</v>
      </c>
      <c r="O7931" t="s">
        <v>19969</v>
      </c>
      <c r="P7931" t="s">
        <v>20409</v>
      </c>
      <c r="Q7931" t="s">
        <v>20934</v>
      </c>
      <c r="R7931" t="s">
        <v>421</v>
      </c>
      <c r="S7931">
        <v>1486</v>
      </c>
    </row>
    <row r="7932" spans="1:19">
      <c r="A7932" t="s">
        <v>31</v>
      </c>
      <c r="B7932" t="s">
        <v>148</v>
      </c>
      <c r="C7932" t="s">
        <v>163</v>
      </c>
      <c r="D7932" t="s">
        <v>292</v>
      </c>
      <c r="E7932" t="s">
        <v>421</v>
      </c>
      <c r="F7932">
        <f>HYPERLINK("https://www.wikidata.org/wiki/Q33323183", "Q33323183")</f>
        <v>0</v>
      </c>
      <c r="G7932" t="s">
        <v>531</v>
      </c>
      <c r="H7932" t="s">
        <v>5295</v>
      </c>
      <c r="I7932" t="s">
        <v>9395</v>
      </c>
      <c r="J7932" t="s">
        <v>11283</v>
      </c>
      <c r="K7932" t="s">
        <v>15683</v>
      </c>
      <c r="L7932">
        <f>HYPERLINK("https://www2.assemblee-nationale.fr/sycomore/fiche/(num_dept)/836", "836")</f>
        <v>0</v>
      </c>
      <c r="N7932">
        <f>HYPERLINK("https://www.wikidata.org/wiki/Q8322001", "Q8322001")</f>
        <v>0</v>
      </c>
      <c r="O7932" t="s">
        <v>19980</v>
      </c>
      <c r="P7932" t="s">
        <v>20409</v>
      </c>
      <c r="Q7932" t="s">
        <v>20934</v>
      </c>
      <c r="R7932" t="s">
        <v>421</v>
      </c>
      <c r="S7932">
        <v>1486</v>
      </c>
    </row>
    <row r="7933" spans="1:19">
      <c r="A7933" t="s">
        <v>31</v>
      </c>
      <c r="B7933" t="s">
        <v>148</v>
      </c>
      <c r="C7933" t="s">
        <v>163</v>
      </c>
      <c r="D7933" t="s">
        <v>292</v>
      </c>
      <c r="E7933" t="s">
        <v>421</v>
      </c>
      <c r="F7933">
        <f>HYPERLINK("https://www.wikidata.org/wiki/Q33323183", "Q33323183")</f>
        <v>0</v>
      </c>
      <c r="G7933" t="s">
        <v>4098</v>
      </c>
      <c r="H7933" t="s">
        <v>8311</v>
      </c>
      <c r="I7933" t="s">
        <v>11109</v>
      </c>
      <c r="J7933" t="s">
        <v>14636</v>
      </c>
      <c r="K7933" t="s">
        <v>17315</v>
      </c>
      <c r="L7933">
        <f>HYPERLINK("https://www2.assemblee-nationale.fr/sycomore/fiche/(num_dept)/911", "911")</f>
        <v>0</v>
      </c>
      <c r="N7933">
        <f>HYPERLINK("https://www.wikidata.org/wiki/Q3122291", "Q3122291")</f>
        <v>0</v>
      </c>
      <c r="O7933" t="s">
        <v>19961</v>
      </c>
      <c r="P7933" t="s">
        <v>20410</v>
      </c>
      <c r="Q7933" t="s">
        <v>20934</v>
      </c>
      <c r="R7933" t="s">
        <v>421</v>
      </c>
      <c r="S7933">
        <v>1486</v>
      </c>
    </row>
    <row r="7934" spans="1:19">
      <c r="A7934" t="s">
        <v>31</v>
      </c>
      <c r="B7934" t="s">
        <v>148</v>
      </c>
      <c r="C7934" t="s">
        <v>163</v>
      </c>
      <c r="D7934" t="s">
        <v>292</v>
      </c>
      <c r="E7934" t="s">
        <v>421</v>
      </c>
      <c r="F7934">
        <f>HYPERLINK("https://www.wikidata.org/wiki/Q33323183", "Q33323183")</f>
        <v>0</v>
      </c>
      <c r="G7934" t="s">
        <v>538</v>
      </c>
      <c r="H7934" t="s">
        <v>5302</v>
      </c>
      <c r="I7934" t="s">
        <v>5592</v>
      </c>
      <c r="J7934" t="s">
        <v>11290</v>
      </c>
      <c r="K7934" t="s">
        <v>15690</v>
      </c>
      <c r="L7934">
        <f>HYPERLINK("https://www2.assemblee-nationale.fr/sycomore/fiche/(num_dept)/955", "955")</f>
        <v>0</v>
      </c>
      <c r="M7934">
        <f>HYPERLINK("https://www.senat.fr/senateur-3eme-republique/bonnevay_laurent1123r3.html", "bonnevay_laurent1123r3")</f>
        <v>0</v>
      </c>
      <c r="N7934">
        <f>HYPERLINK("https://www.wikidata.org/wiki/Q3219051", "Q3219051")</f>
        <v>0</v>
      </c>
      <c r="O7934" t="s">
        <v>19965</v>
      </c>
      <c r="P7934" t="s">
        <v>20517</v>
      </c>
      <c r="Q7934" t="s">
        <v>20934</v>
      </c>
      <c r="R7934" t="s">
        <v>421</v>
      </c>
      <c r="S7934">
        <v>1486</v>
      </c>
    </row>
    <row r="7935" spans="1:19">
      <c r="A7935" t="s">
        <v>31</v>
      </c>
      <c r="B7935" t="s">
        <v>148</v>
      </c>
      <c r="C7935" t="s">
        <v>163</v>
      </c>
      <c r="D7935" t="s">
        <v>292</v>
      </c>
      <c r="E7935" t="s">
        <v>421</v>
      </c>
      <c r="F7935">
        <f>HYPERLINK("https://www.wikidata.org/wiki/Q33323183", "Q33323183")</f>
        <v>0</v>
      </c>
      <c r="G7935" t="s">
        <v>877</v>
      </c>
      <c r="H7935" t="s">
        <v>5633</v>
      </c>
      <c r="I7935" t="s">
        <v>9483</v>
      </c>
      <c r="J7935" t="s">
        <v>11623</v>
      </c>
      <c r="K7935" t="s">
        <v>343</v>
      </c>
      <c r="L7935">
        <f>HYPERLINK("https://www2.assemblee-nationale.fr/sycomore/fiche/(num_dept)/956", "956")</f>
        <v>0</v>
      </c>
      <c r="M7935">
        <f>HYPERLINK("https://www.senat.fr/senateur-3eme-republique/bonniard_victor0085r3.html", "bonniard_victor0085r3")</f>
        <v>0</v>
      </c>
      <c r="N7935">
        <f>HYPERLINK("https://www.wikidata.org/wiki/Q3557172", "Q3557172")</f>
        <v>0</v>
      </c>
      <c r="O7935" t="s">
        <v>19981</v>
      </c>
      <c r="P7935" t="s">
        <v>20410</v>
      </c>
      <c r="Q7935" t="s">
        <v>20934</v>
      </c>
      <c r="R7935" t="s">
        <v>421</v>
      </c>
      <c r="S7935">
        <v>1486</v>
      </c>
    </row>
    <row r="7936" spans="1:19">
      <c r="A7936" t="s">
        <v>31</v>
      </c>
      <c r="B7936" t="s">
        <v>148</v>
      </c>
      <c r="C7936" t="s">
        <v>163</v>
      </c>
      <c r="D7936" t="s">
        <v>292</v>
      </c>
      <c r="E7936" t="s">
        <v>421</v>
      </c>
      <c r="F7936">
        <f>HYPERLINK("https://www.wikidata.org/wiki/Q33323183", "Q33323183")</f>
        <v>0</v>
      </c>
      <c r="G7936" t="s">
        <v>3409</v>
      </c>
      <c r="H7936" t="s">
        <v>7796</v>
      </c>
      <c r="I7936" t="s">
        <v>9401</v>
      </c>
      <c r="J7936" t="s">
        <v>14015</v>
      </c>
      <c r="K7936" t="s">
        <v>18383</v>
      </c>
      <c r="L7936">
        <f>HYPERLINK("https://www2.assemblee-nationale.fr/sycomore/fiche/(num_dept)/965", "965")</f>
        <v>0</v>
      </c>
      <c r="M7936">
        <f>HYPERLINK("https://www.senat.fr/senateur-3eme-republique/bony_cisternes_antoine0999r3.html", "bony_cisternes_antoine0999r3")</f>
        <v>0</v>
      </c>
      <c r="N7936">
        <f>HYPERLINK("https://www.wikidata.org/wiki/Q2853703", "Q2853703")</f>
        <v>0</v>
      </c>
      <c r="O7936" t="s">
        <v>20005</v>
      </c>
      <c r="P7936" t="s">
        <v>20489</v>
      </c>
      <c r="Q7936" t="s">
        <v>20934</v>
      </c>
      <c r="R7936" t="s">
        <v>21627</v>
      </c>
      <c r="S7936">
        <v>431</v>
      </c>
    </row>
    <row r="7937" spans="1:19">
      <c r="A7937" t="s">
        <v>31</v>
      </c>
      <c r="B7937" t="s">
        <v>148</v>
      </c>
      <c r="C7937" t="s">
        <v>163</v>
      </c>
      <c r="D7937" t="s">
        <v>292</v>
      </c>
      <c r="E7937" t="s">
        <v>421</v>
      </c>
      <c r="F7937">
        <f>HYPERLINK("https://www.wikidata.org/wiki/Q33323183", "Q33323183")</f>
        <v>0</v>
      </c>
      <c r="G7937" t="s">
        <v>3410</v>
      </c>
      <c r="H7937" t="s">
        <v>7544</v>
      </c>
      <c r="I7937" t="s">
        <v>6478</v>
      </c>
      <c r="J7937" t="s">
        <v>14016</v>
      </c>
      <c r="K7937" t="s">
        <v>18384</v>
      </c>
      <c r="L7937">
        <f>HYPERLINK("https://www2.assemblee-nationale.fr/sycomore/fiche/(num_dept)/1008", "1008")</f>
        <v>0</v>
      </c>
      <c r="M7937">
        <f>HYPERLINK("https://www.senat.fr/senateur-3eme-republique/boucher_henry1805r3.html", "boucher_henry1805r3")</f>
        <v>0</v>
      </c>
      <c r="N7937">
        <f>HYPERLINK("https://www.wikidata.org/wiki/Q3132647", "Q3132647")</f>
        <v>0</v>
      </c>
      <c r="O7937" t="s">
        <v>20017</v>
      </c>
      <c r="P7937" t="s">
        <v>20517</v>
      </c>
      <c r="Q7937" t="s">
        <v>20934</v>
      </c>
      <c r="R7937" t="s">
        <v>21625</v>
      </c>
      <c r="S7937">
        <v>991</v>
      </c>
    </row>
    <row r="7938" spans="1:19">
      <c r="A7938" t="s">
        <v>31</v>
      </c>
      <c r="B7938" t="s">
        <v>148</v>
      </c>
      <c r="C7938" t="s">
        <v>163</v>
      </c>
      <c r="D7938" t="s">
        <v>292</v>
      </c>
      <c r="E7938" t="s">
        <v>421</v>
      </c>
      <c r="F7938">
        <f>HYPERLINK("https://www.wikidata.org/wiki/Q33323183", "Q33323183")</f>
        <v>0</v>
      </c>
      <c r="G7938" t="s">
        <v>541</v>
      </c>
      <c r="H7938" t="s">
        <v>5305</v>
      </c>
      <c r="I7938" t="s">
        <v>9402</v>
      </c>
      <c r="J7938" t="s">
        <v>11293</v>
      </c>
      <c r="K7938" t="s">
        <v>15693</v>
      </c>
      <c r="L7938">
        <f>HYPERLINK("https://www2.assemblee-nationale.fr/sycomore/fiche/(num_dept)/1016", "1016")</f>
        <v>0</v>
      </c>
      <c r="M7938">
        <f>HYPERLINK("https://www.senat.fr/senateur-3eme-republique/bouctot_georges1611r3.html", "bouctot_georges1611r3")</f>
        <v>0</v>
      </c>
      <c r="N7938">
        <f>HYPERLINK("https://www.wikidata.org/wiki/Q3102338", "Q3102338")</f>
        <v>0</v>
      </c>
      <c r="O7938" t="s">
        <v>19978</v>
      </c>
      <c r="P7938" t="s">
        <v>20517</v>
      </c>
      <c r="Q7938" t="s">
        <v>20934</v>
      </c>
      <c r="R7938" t="s">
        <v>421</v>
      </c>
      <c r="S7938">
        <v>1486</v>
      </c>
    </row>
    <row r="7939" spans="1:19">
      <c r="A7939" t="s">
        <v>31</v>
      </c>
      <c r="B7939" t="s">
        <v>148</v>
      </c>
      <c r="C7939" t="s">
        <v>163</v>
      </c>
      <c r="D7939" t="s">
        <v>292</v>
      </c>
      <c r="E7939" t="s">
        <v>421</v>
      </c>
      <c r="F7939">
        <f>HYPERLINK("https://www.wikidata.org/wiki/Q33323183", "Q33323183")</f>
        <v>0</v>
      </c>
      <c r="G7939" t="s">
        <v>542</v>
      </c>
      <c r="H7939" t="s">
        <v>5306</v>
      </c>
      <c r="I7939" t="s">
        <v>9403</v>
      </c>
      <c r="J7939" t="s">
        <v>11294</v>
      </c>
      <c r="K7939" t="s">
        <v>15694</v>
      </c>
      <c r="L7939">
        <f>HYPERLINK("https://www2.assemblee-nationale.fr/sycomore/fiche/(num_dept)/1028", "1028")</f>
        <v>0</v>
      </c>
      <c r="N7939">
        <f>HYPERLINK("https://www.wikidata.org/wiki/Q3092384", "Q3092384")</f>
        <v>0</v>
      </c>
      <c r="O7939" t="s">
        <v>19989</v>
      </c>
      <c r="P7939" t="s">
        <v>20489</v>
      </c>
      <c r="Q7939" t="s">
        <v>20934</v>
      </c>
      <c r="R7939" t="s">
        <v>421</v>
      </c>
      <c r="S7939">
        <v>1486</v>
      </c>
    </row>
    <row r="7940" spans="1:19">
      <c r="A7940" t="s">
        <v>31</v>
      </c>
      <c r="B7940" t="s">
        <v>148</v>
      </c>
      <c r="C7940" t="s">
        <v>163</v>
      </c>
      <c r="D7940" t="s">
        <v>292</v>
      </c>
      <c r="E7940" t="s">
        <v>421</v>
      </c>
      <c r="F7940">
        <f>HYPERLINK("https://www.wikidata.org/wiki/Q33323183", "Q33323183")</f>
        <v>0</v>
      </c>
      <c r="G7940" t="s">
        <v>544</v>
      </c>
      <c r="H7940" t="s">
        <v>5308</v>
      </c>
      <c r="I7940" t="s">
        <v>9376</v>
      </c>
      <c r="J7940" t="s">
        <v>11296</v>
      </c>
      <c r="K7940" t="s">
        <v>15696</v>
      </c>
      <c r="L7940">
        <f>HYPERLINK("https://www2.assemblee-nationale.fr/sycomore/fiche/(num_dept)/1030", "1030")</f>
        <v>0</v>
      </c>
      <c r="M7940">
        <f>HYPERLINK("https://www.senat.fr/senateur-3eme-republique/bougere_ferdinand1163r3.html", "bougere_ferdinand1163r3")</f>
        <v>0</v>
      </c>
      <c r="N7940">
        <f>HYPERLINK("https://www.wikidata.org/wiki/Q8299130", "Q8299130")</f>
        <v>0</v>
      </c>
      <c r="O7940" t="s">
        <v>19980</v>
      </c>
      <c r="P7940" t="s">
        <v>20410</v>
      </c>
      <c r="Q7940" t="s">
        <v>20934</v>
      </c>
      <c r="R7940" t="s">
        <v>421</v>
      </c>
      <c r="S7940">
        <v>1486</v>
      </c>
    </row>
    <row r="7941" spans="1:19">
      <c r="A7941" t="s">
        <v>31</v>
      </c>
      <c r="B7941" t="s">
        <v>148</v>
      </c>
      <c r="C7941" t="s">
        <v>163</v>
      </c>
      <c r="D7941" t="s">
        <v>292</v>
      </c>
      <c r="E7941" t="s">
        <v>421</v>
      </c>
      <c r="F7941">
        <f>HYPERLINK("https://www.wikidata.org/wiki/Q33323183", "Q33323183")</f>
        <v>0</v>
      </c>
      <c r="G7941" t="s">
        <v>545</v>
      </c>
      <c r="H7941" t="s">
        <v>5308</v>
      </c>
      <c r="I7941" t="s">
        <v>5592</v>
      </c>
      <c r="J7941" t="s">
        <v>11297</v>
      </c>
      <c r="K7941" t="s">
        <v>15697</v>
      </c>
      <c r="L7941">
        <f>HYPERLINK("https://www2.assemblee-nationale.fr/sycomore/fiche/(num_dept)/1031", "1031")</f>
        <v>0</v>
      </c>
      <c r="N7941">
        <f>HYPERLINK("https://www.wikidata.org/wiki/Q8299131", "Q8299131")</f>
        <v>0</v>
      </c>
      <c r="O7941" t="s">
        <v>19980</v>
      </c>
      <c r="P7941" t="s">
        <v>20410</v>
      </c>
      <c r="Q7941" t="s">
        <v>20934</v>
      </c>
      <c r="R7941" t="s">
        <v>421</v>
      </c>
      <c r="S7941">
        <v>1486</v>
      </c>
    </row>
    <row r="7942" spans="1:19">
      <c r="A7942" t="s">
        <v>31</v>
      </c>
      <c r="B7942" t="s">
        <v>148</v>
      </c>
      <c r="C7942" t="s">
        <v>163</v>
      </c>
      <c r="D7942" t="s">
        <v>292</v>
      </c>
      <c r="E7942" t="s">
        <v>421</v>
      </c>
      <c r="F7942">
        <f>HYPERLINK("https://www.wikidata.org/wiki/Q33323183", "Q33323183")</f>
        <v>0</v>
      </c>
      <c r="G7942" t="s">
        <v>546</v>
      </c>
      <c r="H7942" t="s">
        <v>5309</v>
      </c>
      <c r="I7942" t="s">
        <v>9405</v>
      </c>
      <c r="J7942" t="s">
        <v>11298</v>
      </c>
      <c r="K7942" t="s">
        <v>15698</v>
      </c>
      <c r="L7942">
        <f>HYPERLINK("https://www2.assemblee-nationale.fr/sycomore/fiche/(num_dept)/1076", "1076")</f>
        <v>0</v>
      </c>
      <c r="N7942">
        <f>HYPERLINK("https://www.wikidata.org/wiki/Q3587968", "Q3587968")</f>
        <v>0</v>
      </c>
      <c r="O7942" t="s">
        <v>19991</v>
      </c>
      <c r="P7942" t="s">
        <v>20489</v>
      </c>
      <c r="Q7942" t="s">
        <v>20934</v>
      </c>
      <c r="R7942" t="s">
        <v>421</v>
      </c>
      <c r="S7942">
        <v>1486</v>
      </c>
    </row>
    <row r="7943" spans="1:19">
      <c r="A7943" t="s">
        <v>31</v>
      </c>
      <c r="B7943" t="s">
        <v>148</v>
      </c>
      <c r="C7943" t="s">
        <v>163</v>
      </c>
      <c r="D7943" t="s">
        <v>292</v>
      </c>
      <c r="E7943" t="s">
        <v>421</v>
      </c>
      <c r="F7943">
        <f>HYPERLINK("https://www.wikidata.org/wiki/Q33323183", "Q33323183")</f>
        <v>0</v>
      </c>
      <c r="G7943" t="s">
        <v>3849</v>
      </c>
      <c r="H7943" t="s">
        <v>8123</v>
      </c>
      <c r="I7943" t="s">
        <v>10999</v>
      </c>
      <c r="J7943" t="s">
        <v>14409</v>
      </c>
      <c r="K7943" t="s">
        <v>18761</v>
      </c>
      <c r="L7943">
        <f>HYPERLINK("https://www2.assemblee-nationale.fr/sycomore/fiche/(num_dept)/1103", "1103")</f>
        <v>0</v>
      </c>
      <c r="N7943">
        <f>HYPERLINK("https://www.wikidata.org/wiki/Q14240790", "Q14240790")</f>
        <v>0</v>
      </c>
      <c r="O7943" t="s">
        <v>20001</v>
      </c>
      <c r="P7943" t="s">
        <v>20489</v>
      </c>
      <c r="Q7943" t="s">
        <v>20934</v>
      </c>
      <c r="R7943" t="s">
        <v>18761</v>
      </c>
      <c r="S7943">
        <v>1186</v>
      </c>
    </row>
    <row r="7944" spans="1:19">
      <c r="A7944" t="s">
        <v>31</v>
      </c>
      <c r="B7944" t="s">
        <v>148</v>
      </c>
      <c r="C7944" t="s">
        <v>163</v>
      </c>
      <c r="D7944" t="s">
        <v>292</v>
      </c>
      <c r="E7944" t="s">
        <v>421</v>
      </c>
      <c r="F7944">
        <f>HYPERLINK("https://www.wikidata.org/wiki/Q33323183", "Q33323183")</f>
        <v>0</v>
      </c>
      <c r="G7944" t="s">
        <v>547</v>
      </c>
      <c r="H7944" t="s">
        <v>5310</v>
      </c>
      <c r="I7944" t="s">
        <v>9406</v>
      </c>
      <c r="J7944" t="s">
        <v>11299</v>
      </c>
      <c r="K7944" t="s">
        <v>15699</v>
      </c>
      <c r="L7944">
        <f>HYPERLINK("https://www2.assemblee-nationale.fr/sycomore/fiche/(num_dept)/1107", "1107")</f>
        <v>0</v>
      </c>
      <c r="N7944">
        <f>HYPERLINK("https://www.wikidata.org/wiki/Q2958427", "Q2958427")</f>
        <v>0</v>
      </c>
      <c r="O7944" t="s">
        <v>19992</v>
      </c>
      <c r="P7944" t="s">
        <v>20517</v>
      </c>
      <c r="Q7944" t="s">
        <v>20934</v>
      </c>
      <c r="R7944" t="s">
        <v>421</v>
      </c>
      <c r="S7944">
        <v>1486</v>
      </c>
    </row>
    <row r="7945" spans="1:19">
      <c r="A7945" t="s">
        <v>31</v>
      </c>
      <c r="B7945" t="s">
        <v>148</v>
      </c>
      <c r="C7945" t="s">
        <v>163</v>
      </c>
      <c r="D7945" t="s">
        <v>292</v>
      </c>
      <c r="E7945" t="s">
        <v>421</v>
      </c>
      <c r="F7945">
        <f>HYPERLINK("https://www.wikidata.org/wiki/Q33323183", "Q33323183")</f>
        <v>0</v>
      </c>
      <c r="G7945" t="s">
        <v>3896</v>
      </c>
      <c r="H7945" t="s">
        <v>8156</v>
      </c>
      <c r="I7945" t="s">
        <v>10808</v>
      </c>
      <c r="J7945" t="s">
        <v>14453</v>
      </c>
      <c r="K7945" t="s">
        <v>18804</v>
      </c>
      <c r="L7945">
        <f>HYPERLINK("https://www2.assemblee-nationale.fr/sycomore/fiche/(num_dept)/1120", "1120")</f>
        <v>0</v>
      </c>
      <c r="N7945">
        <f>HYPERLINK("https://www.wikidata.org/wiki/Q15973923", "Q15973923")</f>
        <v>0</v>
      </c>
      <c r="O7945" t="s">
        <v>19977</v>
      </c>
      <c r="P7945" t="s">
        <v>20401</v>
      </c>
      <c r="Q7945" t="s">
        <v>20934</v>
      </c>
      <c r="R7945" t="s">
        <v>421</v>
      </c>
      <c r="S7945">
        <v>1486</v>
      </c>
    </row>
    <row r="7946" spans="1:19">
      <c r="A7946" t="s">
        <v>31</v>
      </c>
      <c r="B7946" t="s">
        <v>148</v>
      </c>
      <c r="C7946" t="s">
        <v>163</v>
      </c>
      <c r="D7946" t="s">
        <v>292</v>
      </c>
      <c r="E7946" t="s">
        <v>421</v>
      </c>
      <c r="F7946">
        <f>HYPERLINK("https://www.wikidata.org/wiki/Q33323183", "Q33323183")</f>
        <v>0</v>
      </c>
      <c r="G7946" t="s">
        <v>549</v>
      </c>
      <c r="H7946" t="s">
        <v>5312</v>
      </c>
      <c r="I7946" t="s">
        <v>6200</v>
      </c>
      <c r="J7946" t="s">
        <v>11301</v>
      </c>
      <c r="K7946" t="s">
        <v>15701</v>
      </c>
      <c r="L7946">
        <f>HYPERLINK("https://www2.assemblee-nationale.fr/sycomore/fiche/(num_dept)/1138", "1138")</f>
        <v>0</v>
      </c>
      <c r="M7946">
        <f>HYPERLINK("https://www.senat.fr/senateur-3eme-republique/bouveri_jean1220r3.html", "bouveri_jean1220r3")</f>
        <v>0</v>
      </c>
      <c r="N7946">
        <f>HYPERLINK("https://www.wikidata.org/wiki/Q3170948", "Q3170948")</f>
        <v>0</v>
      </c>
      <c r="O7946" t="s">
        <v>19994</v>
      </c>
      <c r="P7946" t="s">
        <v>20515</v>
      </c>
      <c r="Q7946" t="s">
        <v>20934</v>
      </c>
      <c r="R7946" t="s">
        <v>421</v>
      </c>
      <c r="S7946">
        <v>1486</v>
      </c>
    </row>
    <row r="7947" spans="1:19">
      <c r="A7947" t="s">
        <v>31</v>
      </c>
      <c r="B7947" t="s">
        <v>148</v>
      </c>
      <c r="C7947" t="s">
        <v>163</v>
      </c>
      <c r="D7947" t="s">
        <v>292</v>
      </c>
      <c r="E7947" t="s">
        <v>421</v>
      </c>
      <c r="F7947">
        <f>HYPERLINK("https://www.wikidata.org/wiki/Q33323183", "Q33323183")</f>
        <v>0</v>
      </c>
      <c r="G7947" t="s">
        <v>3235</v>
      </c>
      <c r="H7947" t="s">
        <v>6405</v>
      </c>
      <c r="I7947" t="s">
        <v>10722</v>
      </c>
      <c r="J7947" t="s">
        <v>13853</v>
      </c>
      <c r="K7947" t="s">
        <v>18225</v>
      </c>
      <c r="L7947">
        <f>HYPERLINK("https://www2.assemblee-nationale.fr/sycomore/fiche/(num_dept)/1150", "1150")</f>
        <v>0</v>
      </c>
      <c r="M7947">
        <f>HYPERLINK("https://www.senat.fr/senateur-3eme-republique/boyer_antide0317r3.html", "boyer_antide0317r3")</f>
        <v>0</v>
      </c>
      <c r="N7947">
        <f>HYPERLINK("https://www.wikidata.org/wiki/Q575028", "Q575028")</f>
        <v>0</v>
      </c>
      <c r="O7947" t="s">
        <v>19990</v>
      </c>
      <c r="P7947" t="s">
        <v>20409</v>
      </c>
      <c r="Q7947" t="s">
        <v>20934</v>
      </c>
      <c r="R7947" t="s">
        <v>19105</v>
      </c>
      <c r="S7947">
        <v>995</v>
      </c>
    </row>
    <row r="7948" spans="1:19">
      <c r="A7948" t="s">
        <v>31</v>
      </c>
      <c r="B7948" t="s">
        <v>148</v>
      </c>
      <c r="C7948" t="s">
        <v>163</v>
      </c>
      <c r="D7948" t="s">
        <v>292</v>
      </c>
      <c r="E7948" t="s">
        <v>421</v>
      </c>
      <c r="F7948">
        <f>HYPERLINK("https://www.wikidata.org/wiki/Q33323183", "Q33323183")</f>
        <v>0</v>
      </c>
      <c r="G7948" t="s">
        <v>551</v>
      </c>
      <c r="H7948" t="s">
        <v>5314</v>
      </c>
      <c r="I7948" t="s">
        <v>9409</v>
      </c>
      <c r="J7948" t="s">
        <v>11285</v>
      </c>
      <c r="K7948" t="s">
        <v>15703</v>
      </c>
      <c r="L7948">
        <f>HYPERLINK("https://www2.assemblee-nationale.fr/sycomore/fiche/(num_dept)/1162", "1162")</f>
        <v>0</v>
      </c>
      <c r="N7948">
        <f>HYPERLINK("https://www.wikidata.org/wiki/Q15973942", "Q15973942")</f>
        <v>0</v>
      </c>
      <c r="O7948" t="s">
        <v>19986</v>
      </c>
      <c r="P7948" t="s">
        <v>20401</v>
      </c>
      <c r="Q7948" t="s">
        <v>20934</v>
      </c>
      <c r="R7948" t="s">
        <v>421</v>
      </c>
      <c r="S7948">
        <v>1486</v>
      </c>
    </row>
    <row r="7949" spans="1:19">
      <c r="A7949" t="s">
        <v>31</v>
      </c>
      <c r="B7949" t="s">
        <v>148</v>
      </c>
      <c r="C7949" t="s">
        <v>163</v>
      </c>
      <c r="D7949" t="s">
        <v>292</v>
      </c>
      <c r="E7949" t="s">
        <v>421</v>
      </c>
      <c r="F7949">
        <f>HYPERLINK("https://www.wikidata.org/wiki/Q33323183", "Q33323183")</f>
        <v>0</v>
      </c>
      <c r="G7949" t="s">
        <v>3538</v>
      </c>
      <c r="H7949" t="s">
        <v>7899</v>
      </c>
      <c r="I7949" t="s">
        <v>10871</v>
      </c>
      <c r="J7949" t="s">
        <v>14130</v>
      </c>
      <c r="K7949" t="s">
        <v>18496</v>
      </c>
      <c r="L7949">
        <f>HYPERLINK("https://www2.assemblee-nationale.fr/sycomore/fiche/(num_dept)/1182", "1182")</f>
        <v>0</v>
      </c>
      <c r="N7949">
        <f>HYPERLINK("https://www.wikidata.org/wiki/Q15973911", "Q15973911")</f>
        <v>0</v>
      </c>
      <c r="O7949" t="s">
        <v>20037</v>
      </c>
      <c r="P7949" t="s">
        <v>20401</v>
      </c>
      <c r="Q7949" t="s">
        <v>20934</v>
      </c>
      <c r="R7949" t="s">
        <v>421</v>
      </c>
      <c r="S7949">
        <v>1486</v>
      </c>
    </row>
    <row r="7950" spans="1:19">
      <c r="A7950" t="s">
        <v>31</v>
      </c>
      <c r="B7950" t="s">
        <v>148</v>
      </c>
      <c r="C7950" t="s">
        <v>163</v>
      </c>
      <c r="D7950" t="s">
        <v>292</v>
      </c>
      <c r="E7950" t="s">
        <v>421</v>
      </c>
      <c r="F7950">
        <f>HYPERLINK("https://www.wikidata.org/wiki/Q33323183", "Q33323183")</f>
        <v>0</v>
      </c>
      <c r="G7950" t="s">
        <v>552</v>
      </c>
      <c r="H7950" t="s">
        <v>5315</v>
      </c>
      <c r="I7950" t="s">
        <v>9410</v>
      </c>
      <c r="J7950" t="s">
        <v>11303</v>
      </c>
      <c r="K7950" t="s">
        <v>15704</v>
      </c>
      <c r="L7950">
        <f>HYPERLINK("https://www2.assemblee-nationale.fr/sycomore/fiche/(num_dept)/1203", "1203")</f>
        <v>0</v>
      </c>
      <c r="M7950">
        <f>HYPERLINK("https://www.senat.fr/senateur-3eme-republique/breton_jules0441r3.html", "breton_jules0441r3")</f>
        <v>0</v>
      </c>
      <c r="N7950">
        <f>HYPERLINK("https://www.wikidata.org/wiki/Q3188368", "Q3188368")</f>
        <v>0</v>
      </c>
      <c r="O7950" t="s">
        <v>19996</v>
      </c>
      <c r="P7950" t="s">
        <v>20515</v>
      </c>
      <c r="Q7950" t="s">
        <v>20934</v>
      </c>
      <c r="R7950" t="s">
        <v>421</v>
      </c>
      <c r="S7950">
        <v>1486</v>
      </c>
    </row>
    <row r="7951" spans="1:19">
      <c r="A7951" t="s">
        <v>31</v>
      </c>
      <c r="B7951" t="s">
        <v>148</v>
      </c>
      <c r="C7951" t="s">
        <v>163</v>
      </c>
      <c r="D7951" t="s">
        <v>292</v>
      </c>
      <c r="E7951" t="s">
        <v>421</v>
      </c>
      <c r="F7951">
        <f>HYPERLINK("https://www.wikidata.org/wiki/Q33323183", "Q33323183")</f>
        <v>0</v>
      </c>
      <c r="G7951" t="s">
        <v>553</v>
      </c>
      <c r="H7951" t="s">
        <v>5316</v>
      </c>
      <c r="I7951" t="s">
        <v>9411</v>
      </c>
      <c r="J7951" t="s">
        <v>11304</v>
      </c>
      <c r="K7951" t="s">
        <v>15705</v>
      </c>
      <c r="L7951">
        <f>HYPERLINK("https://www2.assemblee-nationale.fr/sycomore/fiche/(num_dept)/1211", "1211")</f>
        <v>0</v>
      </c>
      <c r="N7951">
        <f>HYPERLINK("https://www.wikidata.org/wiki/Q179888", "Q179888")</f>
        <v>0</v>
      </c>
      <c r="O7951" t="s">
        <v>19997</v>
      </c>
      <c r="P7951" t="s">
        <v>20485</v>
      </c>
      <c r="Q7951" t="s">
        <v>20934</v>
      </c>
      <c r="R7951" t="s">
        <v>421</v>
      </c>
      <c r="S7951">
        <v>1486</v>
      </c>
    </row>
    <row r="7952" spans="1:19">
      <c r="A7952" t="s">
        <v>31</v>
      </c>
      <c r="B7952" t="s">
        <v>148</v>
      </c>
      <c r="C7952" t="s">
        <v>163</v>
      </c>
      <c r="D7952" t="s">
        <v>292</v>
      </c>
      <c r="E7952" t="s">
        <v>421</v>
      </c>
      <c r="F7952">
        <f>HYPERLINK("https://www.wikidata.org/wiki/Q33323183", "Q33323183")</f>
        <v>0</v>
      </c>
      <c r="G7952" t="s">
        <v>554</v>
      </c>
      <c r="H7952" t="s">
        <v>5317</v>
      </c>
      <c r="I7952" t="s">
        <v>9412</v>
      </c>
      <c r="J7952" t="s">
        <v>11305</v>
      </c>
      <c r="K7952" t="s">
        <v>15706</v>
      </c>
      <c r="L7952">
        <f>HYPERLINK("https://www2.assemblee-nationale.fr/sycomore/fiche/(num_dept)/1220", "1220")</f>
        <v>0</v>
      </c>
      <c r="N7952">
        <f>HYPERLINK("https://www.wikidata.org/wiki/Q3426418", "Q3426418")</f>
        <v>0</v>
      </c>
      <c r="O7952" t="s">
        <v>19998</v>
      </c>
      <c r="P7952" t="s">
        <v>20517</v>
      </c>
      <c r="Q7952" t="s">
        <v>20934</v>
      </c>
      <c r="R7952" t="s">
        <v>421</v>
      </c>
      <c r="S7952">
        <v>1486</v>
      </c>
    </row>
    <row r="7953" spans="1:19">
      <c r="A7953" t="s">
        <v>31</v>
      </c>
      <c r="B7953" t="s">
        <v>148</v>
      </c>
      <c r="C7953" t="s">
        <v>163</v>
      </c>
      <c r="D7953" t="s">
        <v>292</v>
      </c>
      <c r="E7953" t="s">
        <v>421</v>
      </c>
      <c r="F7953">
        <f>HYPERLINK("https://www.wikidata.org/wiki/Q33323183", "Q33323183")</f>
        <v>0</v>
      </c>
      <c r="G7953" t="s">
        <v>890</v>
      </c>
      <c r="H7953" t="s">
        <v>5646</v>
      </c>
      <c r="I7953" t="s">
        <v>9577</v>
      </c>
      <c r="J7953" t="s">
        <v>11636</v>
      </c>
      <c r="K7953" t="s">
        <v>16036</v>
      </c>
      <c r="L7953">
        <f>HYPERLINK("https://www2.assemblee-nationale.fr/sycomore/fiche/(num_dept)/1234", "1234")</f>
        <v>0</v>
      </c>
      <c r="M7953">
        <f>HYPERLINK("https://www.senat.fr/senateur-3eme-republique/brindeau_louis1617r3.html", "brindeau_louis1617r3")</f>
        <v>0</v>
      </c>
      <c r="N7953">
        <f>HYPERLINK("https://www.wikidata.org/wiki/Q3261358", "Q3261358")</f>
        <v>0</v>
      </c>
      <c r="O7953" t="s">
        <v>19978</v>
      </c>
      <c r="P7953" t="s">
        <v>20517</v>
      </c>
      <c r="Q7953" t="s">
        <v>20934</v>
      </c>
      <c r="R7953" t="s">
        <v>421</v>
      </c>
      <c r="S7953">
        <v>1486</v>
      </c>
    </row>
    <row r="7954" spans="1:19">
      <c r="A7954" t="s">
        <v>31</v>
      </c>
      <c r="B7954" t="s">
        <v>148</v>
      </c>
      <c r="C7954" t="s">
        <v>163</v>
      </c>
      <c r="D7954" t="s">
        <v>292</v>
      </c>
      <c r="E7954" t="s">
        <v>421</v>
      </c>
      <c r="F7954">
        <f>HYPERLINK("https://www.wikidata.org/wiki/Q33323183", "Q33323183")</f>
        <v>0</v>
      </c>
      <c r="G7954" t="s">
        <v>892</v>
      </c>
      <c r="H7954" t="s">
        <v>5648</v>
      </c>
      <c r="I7954" t="s">
        <v>9457</v>
      </c>
      <c r="J7954" t="s">
        <v>11638</v>
      </c>
      <c r="K7954" t="s">
        <v>16038</v>
      </c>
      <c r="L7954">
        <f>HYPERLINK("https://www2.assemblee-nationale.fr/sycomore/fiche/(num_dept)/1240", "1240")</f>
        <v>0</v>
      </c>
      <c r="N7954">
        <f>HYPERLINK("https://www.wikidata.org/wiki/Q669725", "Q669725")</f>
        <v>0</v>
      </c>
      <c r="O7954" t="s">
        <v>19990</v>
      </c>
      <c r="P7954" t="s">
        <v>20401</v>
      </c>
      <c r="Q7954" t="s">
        <v>20934</v>
      </c>
      <c r="R7954" t="s">
        <v>421</v>
      </c>
      <c r="S7954">
        <v>1486</v>
      </c>
    </row>
    <row r="7955" spans="1:19">
      <c r="A7955" t="s">
        <v>31</v>
      </c>
      <c r="B7955" t="s">
        <v>148</v>
      </c>
      <c r="C7955" t="s">
        <v>163</v>
      </c>
      <c r="D7955" t="s">
        <v>292</v>
      </c>
      <c r="E7955" t="s">
        <v>421</v>
      </c>
      <c r="F7955">
        <f>HYPERLINK("https://www.wikidata.org/wiki/Q33323183", "Q33323183")</f>
        <v>0</v>
      </c>
      <c r="G7955" t="s">
        <v>3685</v>
      </c>
      <c r="H7955" t="s">
        <v>8008</v>
      </c>
      <c r="I7955" t="s">
        <v>10936</v>
      </c>
      <c r="J7955" t="s">
        <v>14261</v>
      </c>
      <c r="K7955" t="s">
        <v>18622</v>
      </c>
      <c r="L7955">
        <f>HYPERLINK("https://www2.assemblee-nationale.fr/sycomore/fiche/(num_dept)/1251", "1251")</f>
        <v>0</v>
      </c>
      <c r="N7955">
        <f>HYPERLINK("https://www.wikidata.org/wiki/Q1871376", "Q1871376")</f>
        <v>0</v>
      </c>
      <c r="O7955" t="s">
        <v>19984</v>
      </c>
      <c r="P7955" t="s">
        <v>20409</v>
      </c>
      <c r="Q7955" t="s">
        <v>20934</v>
      </c>
      <c r="R7955" t="s">
        <v>18622</v>
      </c>
      <c r="S7955">
        <v>112</v>
      </c>
    </row>
    <row r="7956" spans="1:19">
      <c r="A7956" t="s">
        <v>31</v>
      </c>
      <c r="B7956" t="s">
        <v>148</v>
      </c>
      <c r="C7956" t="s">
        <v>163</v>
      </c>
      <c r="D7956" t="s">
        <v>292</v>
      </c>
      <c r="E7956" t="s">
        <v>421</v>
      </c>
      <c r="F7956">
        <f>HYPERLINK("https://www.wikidata.org/wiki/Q33323183", "Q33323183")</f>
        <v>0</v>
      </c>
      <c r="G7956" t="s">
        <v>557</v>
      </c>
      <c r="H7956" t="s">
        <v>5320</v>
      </c>
      <c r="I7956" t="s">
        <v>9414</v>
      </c>
      <c r="J7956" t="s">
        <v>11308</v>
      </c>
      <c r="K7956" t="s">
        <v>15709</v>
      </c>
      <c r="L7956">
        <f>HYPERLINK("https://www2.assemblee-nationale.fr/sycomore/fiche/(num_dept)/1260", "1260")</f>
        <v>0</v>
      </c>
      <c r="N7956">
        <f>HYPERLINK("https://www.wikidata.org/wiki/Q3052603", "Q3052603")</f>
        <v>0</v>
      </c>
      <c r="O7956" t="s">
        <v>20001</v>
      </c>
      <c r="P7956" t="s">
        <v>20402</v>
      </c>
      <c r="Q7956" t="s">
        <v>20934</v>
      </c>
      <c r="R7956" t="s">
        <v>421</v>
      </c>
      <c r="S7956">
        <v>1486</v>
      </c>
    </row>
    <row r="7957" spans="1:19">
      <c r="A7957" t="s">
        <v>31</v>
      </c>
      <c r="B7957" t="s">
        <v>148</v>
      </c>
      <c r="C7957" t="s">
        <v>163</v>
      </c>
      <c r="D7957" t="s">
        <v>292</v>
      </c>
      <c r="E7957" t="s">
        <v>421</v>
      </c>
      <c r="F7957">
        <f>HYPERLINK("https://www.wikidata.org/wiki/Q33323183", "Q33323183")</f>
        <v>0</v>
      </c>
      <c r="G7957" t="s">
        <v>4172</v>
      </c>
      <c r="H7957" t="s">
        <v>5320</v>
      </c>
      <c r="I7957" t="s">
        <v>11147</v>
      </c>
      <c r="J7957" t="s">
        <v>14693</v>
      </c>
      <c r="K7957" t="s">
        <v>19034</v>
      </c>
      <c r="L7957">
        <f>HYPERLINK("https://www2.assemblee-nationale.fr/sycomore/fiche/(num_dept)/1262", "1262")</f>
        <v>0</v>
      </c>
      <c r="N7957">
        <f>HYPERLINK("https://www.wikidata.org/wiki/Q1153056", "Q1153056")</f>
        <v>0</v>
      </c>
      <c r="O7957" t="s">
        <v>19969</v>
      </c>
      <c r="P7957" t="s">
        <v>20515</v>
      </c>
      <c r="Q7957" t="s">
        <v>20934</v>
      </c>
      <c r="R7957" t="s">
        <v>421</v>
      </c>
      <c r="S7957">
        <v>1486</v>
      </c>
    </row>
    <row r="7958" spans="1:19">
      <c r="A7958" t="s">
        <v>31</v>
      </c>
      <c r="B7958" t="s">
        <v>148</v>
      </c>
      <c r="C7958" t="s">
        <v>163</v>
      </c>
      <c r="D7958" t="s">
        <v>292</v>
      </c>
      <c r="E7958" t="s">
        <v>421</v>
      </c>
      <c r="F7958">
        <f>HYPERLINK("https://www.wikidata.org/wiki/Q33323183", "Q33323183")</f>
        <v>0</v>
      </c>
      <c r="G7958" t="s">
        <v>893</v>
      </c>
      <c r="H7958" t="s">
        <v>5649</v>
      </c>
      <c r="I7958" t="s">
        <v>9578</v>
      </c>
      <c r="J7958" t="s">
        <v>11639</v>
      </c>
      <c r="K7958" t="s">
        <v>15822</v>
      </c>
      <c r="L7958">
        <f>HYPERLINK("https://www2.assemblee-nationale.fr/sycomore/fiche/(num_dept)/1275", "1275")</f>
        <v>0</v>
      </c>
      <c r="N7958">
        <f>HYPERLINK("https://www.wikidata.org/wiki/Q15973958", "Q15973958")</f>
        <v>0</v>
      </c>
      <c r="O7958" t="s">
        <v>19966</v>
      </c>
      <c r="P7958" t="s">
        <v>20401</v>
      </c>
      <c r="Q7958" t="s">
        <v>20934</v>
      </c>
      <c r="R7958" t="s">
        <v>421</v>
      </c>
      <c r="S7958">
        <v>1486</v>
      </c>
    </row>
    <row r="7959" spans="1:19">
      <c r="A7959" t="s">
        <v>31</v>
      </c>
      <c r="B7959" t="s">
        <v>148</v>
      </c>
      <c r="C7959" t="s">
        <v>163</v>
      </c>
      <c r="D7959" t="s">
        <v>292</v>
      </c>
      <c r="E7959" t="s">
        <v>421</v>
      </c>
      <c r="F7959">
        <f>HYPERLINK("https://www.wikidata.org/wiki/Q33323183", "Q33323183")</f>
        <v>0</v>
      </c>
      <c r="G7959" t="s">
        <v>4101</v>
      </c>
      <c r="H7959" t="s">
        <v>8313</v>
      </c>
      <c r="I7959" t="s">
        <v>9449</v>
      </c>
      <c r="J7959" t="s">
        <v>14639</v>
      </c>
      <c r="K7959" t="s">
        <v>18974</v>
      </c>
      <c r="L7959">
        <f>HYPERLINK("https://www2.assemblee-nationale.fr/sycomore/fiche/(num_dept)/1278", "1278")</f>
        <v>0</v>
      </c>
      <c r="N7959">
        <f>HYPERLINK("https://www.wikidata.org/wiki/Q13640063", "Q13640063")</f>
        <v>0</v>
      </c>
      <c r="O7959" t="s">
        <v>19965</v>
      </c>
      <c r="P7959" t="s">
        <v>20489</v>
      </c>
      <c r="Q7959" t="s">
        <v>20934</v>
      </c>
      <c r="R7959" t="s">
        <v>421</v>
      </c>
      <c r="S7959">
        <v>1486</v>
      </c>
    </row>
    <row r="7960" spans="1:19">
      <c r="A7960" t="s">
        <v>31</v>
      </c>
      <c r="B7960" t="s">
        <v>148</v>
      </c>
      <c r="C7960" t="s">
        <v>163</v>
      </c>
      <c r="D7960" t="s">
        <v>292</v>
      </c>
      <c r="E7960" t="s">
        <v>421</v>
      </c>
      <c r="F7960">
        <f>HYPERLINK("https://www.wikidata.org/wiki/Q33323183", "Q33323183")</f>
        <v>0</v>
      </c>
      <c r="G7960" t="s">
        <v>558</v>
      </c>
      <c r="H7960" t="s">
        <v>5321</v>
      </c>
      <c r="I7960" t="s">
        <v>9415</v>
      </c>
      <c r="J7960" t="s">
        <v>11309</v>
      </c>
      <c r="K7960" t="s">
        <v>15710</v>
      </c>
      <c r="L7960">
        <f>HYPERLINK("https://www2.assemblee-nationale.fr/sycomore/fiche/(num_dept)/1325", "1325")</f>
        <v>0</v>
      </c>
      <c r="N7960">
        <f>HYPERLINK("https://www.wikidata.org/wiki/Q15974084", "Q15974084")</f>
        <v>0</v>
      </c>
      <c r="O7960" t="s">
        <v>19969</v>
      </c>
      <c r="P7960" t="s">
        <v>20489</v>
      </c>
      <c r="Q7960" t="s">
        <v>20934</v>
      </c>
      <c r="R7960" t="s">
        <v>421</v>
      </c>
      <c r="S7960">
        <v>1486</v>
      </c>
    </row>
    <row r="7961" spans="1:19">
      <c r="A7961" t="s">
        <v>31</v>
      </c>
      <c r="B7961" t="s">
        <v>148</v>
      </c>
      <c r="C7961" t="s">
        <v>163</v>
      </c>
      <c r="D7961" t="s">
        <v>292</v>
      </c>
      <c r="E7961" t="s">
        <v>421</v>
      </c>
      <c r="F7961">
        <f>HYPERLINK("https://www.wikidata.org/wiki/Q33323183", "Q33323183")</f>
        <v>0</v>
      </c>
      <c r="G7961" t="s">
        <v>3897</v>
      </c>
      <c r="H7961" t="s">
        <v>8157</v>
      </c>
      <c r="I7961" t="s">
        <v>11019</v>
      </c>
      <c r="J7961" t="s">
        <v>14454</v>
      </c>
      <c r="K7961" t="s">
        <v>16205</v>
      </c>
      <c r="L7961">
        <f>HYPERLINK("https://www2.assemblee-nationale.fr/sycomore/fiche/(num_dept)/1327", "1327")</f>
        <v>0</v>
      </c>
      <c r="M7961">
        <f>HYPERLINK("https://www.senat.fr/senateur-3eme-republique/bussiere_etienne0457r3.html", "bussiere_etienne0457r3")</f>
        <v>0</v>
      </c>
      <c r="N7961">
        <f>HYPERLINK("https://www.wikidata.org/wiki/Q3592092", "Q3592092")</f>
        <v>0</v>
      </c>
      <c r="O7961" t="s">
        <v>20020</v>
      </c>
      <c r="P7961" t="s">
        <v>20489</v>
      </c>
      <c r="Q7961" t="s">
        <v>20934</v>
      </c>
      <c r="R7961" t="s">
        <v>421</v>
      </c>
      <c r="S7961">
        <v>1486</v>
      </c>
    </row>
    <row r="7962" spans="1:19">
      <c r="A7962" t="s">
        <v>31</v>
      </c>
      <c r="B7962" t="s">
        <v>148</v>
      </c>
      <c r="C7962" t="s">
        <v>163</v>
      </c>
      <c r="D7962" t="s">
        <v>292</v>
      </c>
      <c r="E7962" t="s">
        <v>421</v>
      </c>
      <c r="F7962">
        <f>HYPERLINK("https://www.wikidata.org/wiki/Q33323183", "Q33323183")</f>
        <v>0</v>
      </c>
      <c r="G7962" t="s">
        <v>1233</v>
      </c>
      <c r="H7962" t="s">
        <v>5958</v>
      </c>
      <c r="I7962" t="s">
        <v>9718</v>
      </c>
      <c r="J7962" t="s">
        <v>11965</v>
      </c>
      <c r="K7962" t="s">
        <v>16367</v>
      </c>
      <c r="L7962">
        <f>HYPERLINK("https://www2.assemblee-nationale.fr/sycomore/fiche/(num_dept)/1330", "1330")</f>
        <v>0</v>
      </c>
      <c r="N7962">
        <f>HYPERLINK("https://www.wikidata.org/wiki/Q3348818", "Q3348818")</f>
        <v>0</v>
      </c>
      <c r="O7962" t="s">
        <v>19989</v>
      </c>
      <c r="P7962" t="s">
        <v>20401</v>
      </c>
      <c r="Q7962" t="s">
        <v>20934</v>
      </c>
      <c r="R7962" t="s">
        <v>421</v>
      </c>
      <c r="S7962">
        <v>1486</v>
      </c>
    </row>
    <row r="7963" spans="1:19">
      <c r="A7963" t="s">
        <v>31</v>
      </c>
      <c r="B7963" t="s">
        <v>148</v>
      </c>
      <c r="C7963" t="s">
        <v>163</v>
      </c>
      <c r="D7963" t="s">
        <v>292</v>
      </c>
      <c r="E7963" t="s">
        <v>421</v>
      </c>
      <c r="F7963">
        <f>HYPERLINK("https://www.wikidata.org/wiki/Q33323183", "Q33323183")</f>
        <v>0</v>
      </c>
      <c r="G7963" t="s">
        <v>2024</v>
      </c>
      <c r="H7963" t="s">
        <v>6656</v>
      </c>
      <c r="I7963" t="s">
        <v>10053</v>
      </c>
      <c r="J7963" t="s">
        <v>12699</v>
      </c>
      <c r="K7963" t="s">
        <v>17111</v>
      </c>
      <c r="L7963">
        <f>HYPERLINK("https://www2.assemblee-nationale.fr/sycomore/fiche/(num_dept)/1333", "1333")</f>
        <v>0</v>
      </c>
      <c r="N7963">
        <f>HYPERLINK("https://www.wikidata.org/wiki/Q3261382", "Q3261382")</f>
        <v>0</v>
      </c>
      <c r="O7963" t="s">
        <v>20006</v>
      </c>
      <c r="P7963" t="s">
        <v>20489</v>
      </c>
      <c r="Q7963" t="s">
        <v>20934</v>
      </c>
      <c r="R7963" t="s">
        <v>421</v>
      </c>
      <c r="S7963">
        <v>1486</v>
      </c>
    </row>
    <row r="7964" spans="1:19">
      <c r="A7964" t="s">
        <v>31</v>
      </c>
      <c r="B7964" t="s">
        <v>148</v>
      </c>
      <c r="C7964" t="s">
        <v>163</v>
      </c>
      <c r="D7964" t="s">
        <v>292</v>
      </c>
      <c r="E7964" t="s">
        <v>421</v>
      </c>
      <c r="F7964">
        <f>HYPERLINK("https://www.wikidata.org/wiki/Q33323183", "Q33323183")</f>
        <v>0</v>
      </c>
      <c r="G7964" t="s">
        <v>4102</v>
      </c>
      <c r="H7964" t="s">
        <v>8314</v>
      </c>
      <c r="I7964" t="s">
        <v>11111</v>
      </c>
      <c r="J7964" t="s">
        <v>14640</v>
      </c>
      <c r="K7964" t="s">
        <v>18975</v>
      </c>
      <c r="L7964">
        <f>HYPERLINK("https://www2.assemblee-nationale.fr/sycomore/fiche/(num_dept)/1343", "1343")</f>
        <v>0</v>
      </c>
      <c r="M7964">
        <f>HYPERLINK("https://www.senat.fr/senateur-3eme-republique/cachet_louis0907r3.html", "cachet_louis0907r3")</f>
        <v>0</v>
      </c>
      <c r="N7964">
        <f>HYPERLINK("https://www.wikidata.org/wiki/Q3261399", "Q3261399")</f>
        <v>0</v>
      </c>
      <c r="O7964" t="s">
        <v>19957</v>
      </c>
      <c r="P7964" t="s">
        <v>20410</v>
      </c>
      <c r="Q7964" t="s">
        <v>20934</v>
      </c>
      <c r="R7964" t="s">
        <v>421</v>
      </c>
      <c r="S7964">
        <v>1486</v>
      </c>
    </row>
    <row r="7965" spans="1:19">
      <c r="A7965" t="s">
        <v>31</v>
      </c>
      <c r="B7965" t="s">
        <v>148</v>
      </c>
      <c r="C7965" t="s">
        <v>163</v>
      </c>
      <c r="D7965" t="s">
        <v>292</v>
      </c>
      <c r="E7965" t="s">
        <v>421</v>
      </c>
      <c r="F7965">
        <f>HYPERLINK("https://www.wikidata.org/wiki/Q33323183", "Q33323183")</f>
        <v>0</v>
      </c>
      <c r="G7965" t="s">
        <v>559</v>
      </c>
      <c r="H7965" t="s">
        <v>5322</v>
      </c>
      <c r="I7965" t="s">
        <v>5948</v>
      </c>
      <c r="J7965" t="s">
        <v>11310</v>
      </c>
      <c r="K7965" t="s">
        <v>15711</v>
      </c>
      <c r="L7965">
        <f>HYPERLINK("https://www2.assemblee-nationale.fr/sycomore/fiche/(num_dept)/1347", "1347")</f>
        <v>0</v>
      </c>
      <c r="N7965">
        <f>HYPERLINK("https://www.wikidata.org/wiki/Q822341", "Q822341")</f>
        <v>0</v>
      </c>
      <c r="O7965" t="s">
        <v>19990</v>
      </c>
      <c r="P7965" t="s">
        <v>20515</v>
      </c>
      <c r="Q7965" t="s">
        <v>20934</v>
      </c>
      <c r="R7965" t="s">
        <v>421</v>
      </c>
      <c r="S7965">
        <v>1486</v>
      </c>
    </row>
    <row r="7966" spans="1:19">
      <c r="A7966" t="s">
        <v>31</v>
      </c>
      <c r="B7966" t="s">
        <v>148</v>
      </c>
      <c r="C7966" t="s">
        <v>163</v>
      </c>
      <c r="D7966" t="s">
        <v>292</v>
      </c>
      <c r="E7966" t="s">
        <v>421</v>
      </c>
      <c r="F7966">
        <f>HYPERLINK("https://www.wikidata.org/wiki/Q33323183", "Q33323183")</f>
        <v>0</v>
      </c>
      <c r="G7966" t="s">
        <v>560</v>
      </c>
      <c r="H7966" t="s">
        <v>5323</v>
      </c>
      <c r="I7966" t="s">
        <v>9407</v>
      </c>
      <c r="J7966" t="s">
        <v>11311</v>
      </c>
      <c r="K7966" t="s">
        <v>15712</v>
      </c>
      <c r="L7966">
        <f>HYPERLINK("https://www2.assemblee-nationale.fr/sycomore/fiche/(num_dept)/1366", "1366")</f>
        <v>0</v>
      </c>
      <c r="M7966">
        <f>HYPERLINK("https://www.senat.fr/senateur-3eme-republique/caillaux_joseph1254r3.html", "caillaux_joseph1254r3")</f>
        <v>0</v>
      </c>
      <c r="N7966">
        <f>HYPERLINK("https://www.wikidata.org/wiki/Q450463", "Q450463")</f>
        <v>0</v>
      </c>
      <c r="O7966" t="s">
        <v>19956</v>
      </c>
      <c r="P7966" t="s">
        <v>20457</v>
      </c>
      <c r="Q7966" t="s">
        <v>20934</v>
      </c>
      <c r="R7966" t="s">
        <v>421</v>
      </c>
      <c r="S7966">
        <v>1486</v>
      </c>
    </row>
    <row r="7967" spans="1:19">
      <c r="A7967" t="s">
        <v>31</v>
      </c>
      <c r="B7967" t="s">
        <v>148</v>
      </c>
      <c r="C7967" t="s">
        <v>163</v>
      </c>
      <c r="D7967" t="s">
        <v>292</v>
      </c>
      <c r="E7967" t="s">
        <v>421</v>
      </c>
      <c r="F7967">
        <f>HYPERLINK("https://www.wikidata.org/wiki/Q33323183", "Q33323183")</f>
        <v>0</v>
      </c>
      <c r="G7967" t="s">
        <v>561</v>
      </c>
      <c r="H7967" t="s">
        <v>5324</v>
      </c>
      <c r="I7967" t="s">
        <v>9416</v>
      </c>
      <c r="J7967" t="s">
        <v>11312</v>
      </c>
      <c r="K7967" t="s">
        <v>15713</v>
      </c>
      <c r="L7967">
        <f>HYPERLINK("https://www2.assemblee-nationale.fr/sycomore/fiche/(num_dept)/1408", "1408")</f>
        <v>0</v>
      </c>
      <c r="N7967">
        <f>HYPERLINK("https://www.wikidata.org/wiki/Q15974169", "Q15974169")</f>
        <v>0</v>
      </c>
      <c r="O7967" t="s">
        <v>20002</v>
      </c>
      <c r="P7967" t="s">
        <v>20485</v>
      </c>
      <c r="Q7967" t="s">
        <v>20934</v>
      </c>
      <c r="R7967" t="s">
        <v>421</v>
      </c>
      <c r="S7967">
        <v>1486</v>
      </c>
    </row>
    <row r="7968" spans="1:19">
      <c r="A7968" t="s">
        <v>31</v>
      </c>
      <c r="B7968" t="s">
        <v>148</v>
      </c>
      <c r="C7968" t="s">
        <v>163</v>
      </c>
      <c r="D7968" t="s">
        <v>292</v>
      </c>
      <c r="E7968" t="s">
        <v>421</v>
      </c>
      <c r="F7968">
        <f>HYPERLINK("https://www.wikidata.org/wiki/Q33323183", "Q33323183")</f>
        <v>0</v>
      </c>
      <c r="G7968" t="s">
        <v>3823</v>
      </c>
      <c r="H7968" t="s">
        <v>8105</v>
      </c>
      <c r="I7968" t="s">
        <v>10990</v>
      </c>
      <c r="J7968" t="s">
        <v>14389</v>
      </c>
      <c r="K7968" t="s">
        <v>18741</v>
      </c>
      <c r="L7968">
        <f>HYPERLINK("https://www2.assemblee-nationale.fr/sycomore/fiche/(num_dept)/1448", "1448")</f>
        <v>0</v>
      </c>
      <c r="N7968">
        <f>HYPERLINK("https://www.wikidata.org/wiki/Q15974162", "Q15974162")</f>
        <v>0</v>
      </c>
      <c r="O7968" t="s">
        <v>19990</v>
      </c>
      <c r="P7968" t="s">
        <v>20485</v>
      </c>
      <c r="Q7968" t="s">
        <v>20934</v>
      </c>
      <c r="R7968" t="s">
        <v>421</v>
      </c>
      <c r="S7968">
        <v>1486</v>
      </c>
    </row>
    <row r="7969" spans="1:19">
      <c r="A7969" t="s">
        <v>31</v>
      </c>
      <c r="B7969" t="s">
        <v>148</v>
      </c>
      <c r="C7969" t="s">
        <v>163</v>
      </c>
      <c r="D7969" t="s">
        <v>292</v>
      </c>
      <c r="E7969" t="s">
        <v>421</v>
      </c>
      <c r="F7969">
        <f>HYPERLINK("https://www.wikidata.org/wiki/Q33323183", "Q33323183")</f>
        <v>0</v>
      </c>
      <c r="G7969" t="s">
        <v>562</v>
      </c>
      <c r="H7969" t="s">
        <v>5325</v>
      </c>
      <c r="I7969" t="s">
        <v>9417</v>
      </c>
      <c r="J7969" t="s">
        <v>11313</v>
      </c>
      <c r="K7969" t="s">
        <v>15714</v>
      </c>
      <c r="L7969">
        <f>HYPERLINK("https://www2.assemblee-nationale.fr/sycomore/fiche/(num_dept)/1451", "1451")</f>
        <v>0</v>
      </c>
      <c r="N7969">
        <f>HYPERLINK("https://www.wikidata.org/wiki/Q8322772", "Q8322772")</f>
        <v>0</v>
      </c>
      <c r="O7969" t="s">
        <v>20002</v>
      </c>
      <c r="P7969" t="s">
        <v>20517</v>
      </c>
      <c r="Q7969" t="s">
        <v>20934</v>
      </c>
      <c r="R7969" t="s">
        <v>421</v>
      </c>
      <c r="S7969">
        <v>1486</v>
      </c>
    </row>
    <row r="7970" spans="1:19">
      <c r="A7970" t="s">
        <v>31</v>
      </c>
      <c r="B7970" t="s">
        <v>148</v>
      </c>
      <c r="C7970" t="s">
        <v>163</v>
      </c>
      <c r="D7970" t="s">
        <v>292</v>
      </c>
      <c r="E7970" t="s">
        <v>421</v>
      </c>
      <c r="F7970">
        <f>HYPERLINK("https://www.wikidata.org/wiki/Q33323183", "Q33323183")</f>
        <v>0</v>
      </c>
      <c r="G7970" t="s">
        <v>899</v>
      </c>
      <c r="H7970" t="s">
        <v>5655</v>
      </c>
      <c r="I7970" t="s">
        <v>6166</v>
      </c>
      <c r="J7970" t="s">
        <v>11645</v>
      </c>
      <c r="K7970" t="s">
        <v>16043</v>
      </c>
      <c r="L7970">
        <f>HYPERLINK("https://www2.assemblee-nationale.fr/sycomore/fiche/(num_dept)/1461", "1461")</f>
        <v>0</v>
      </c>
      <c r="N7970">
        <f>HYPERLINK("https://www.wikidata.org/wiki/Q3084180", "Q3084180")</f>
        <v>0</v>
      </c>
      <c r="O7970" t="s">
        <v>20046</v>
      </c>
      <c r="P7970" t="s">
        <v>20402</v>
      </c>
      <c r="Q7970" t="s">
        <v>20934</v>
      </c>
      <c r="R7970" t="s">
        <v>421</v>
      </c>
      <c r="S7970">
        <v>1486</v>
      </c>
    </row>
    <row r="7971" spans="1:19">
      <c r="A7971" t="s">
        <v>31</v>
      </c>
      <c r="B7971" t="s">
        <v>148</v>
      </c>
      <c r="C7971" t="s">
        <v>163</v>
      </c>
      <c r="D7971" t="s">
        <v>292</v>
      </c>
      <c r="E7971" t="s">
        <v>421</v>
      </c>
      <c r="F7971">
        <f>HYPERLINK("https://www.wikidata.org/wiki/Q33323183", "Q33323183")</f>
        <v>0</v>
      </c>
      <c r="G7971" t="s">
        <v>4055</v>
      </c>
      <c r="H7971" t="s">
        <v>5961</v>
      </c>
      <c r="I7971" t="s">
        <v>11083</v>
      </c>
      <c r="J7971" t="s">
        <v>14595</v>
      </c>
      <c r="K7971" t="s">
        <v>18933</v>
      </c>
      <c r="L7971">
        <f>HYPERLINK("https://www2.assemblee-nationale.fr/sycomore/fiche/(num_dept)/1509", "1509")</f>
        <v>0</v>
      </c>
      <c r="N7971">
        <f>HYPERLINK("https://www.wikidata.org/wiki/Q3271623", "Q3271623")</f>
        <v>0</v>
      </c>
      <c r="O7971" t="s">
        <v>19967</v>
      </c>
      <c r="P7971" t="s">
        <v>20410</v>
      </c>
      <c r="Q7971" t="s">
        <v>20934</v>
      </c>
      <c r="R7971" t="s">
        <v>18933</v>
      </c>
      <c r="S7971">
        <v>1058</v>
      </c>
    </row>
    <row r="7972" spans="1:19">
      <c r="A7972" t="s">
        <v>31</v>
      </c>
      <c r="B7972" t="s">
        <v>148</v>
      </c>
      <c r="C7972" t="s">
        <v>163</v>
      </c>
      <c r="D7972" t="s">
        <v>292</v>
      </c>
      <c r="E7972" t="s">
        <v>421</v>
      </c>
      <c r="F7972">
        <f>HYPERLINK("https://www.wikidata.org/wiki/Q33323183", "Q33323183")</f>
        <v>0</v>
      </c>
      <c r="G7972" t="s">
        <v>3688</v>
      </c>
      <c r="H7972" t="s">
        <v>8010</v>
      </c>
      <c r="I7972" t="s">
        <v>6478</v>
      </c>
      <c r="J7972" t="s">
        <v>14264</v>
      </c>
      <c r="K7972" t="s">
        <v>18625</v>
      </c>
      <c r="L7972">
        <f>HYPERLINK("https://www2.assemblee-nationale.fr/sycomore/fiche/(num_dept)/1512", "1512")</f>
        <v>0</v>
      </c>
      <c r="M7972">
        <f>HYPERLINK("https://www.senat.fr/senateur-3eme-republique/castillard_henri0222r3.html", "castillard_henri0222r3")</f>
        <v>0</v>
      </c>
      <c r="N7972">
        <f>HYPERLINK("https://www.wikidata.org/wiki/Q3130800", "Q3130800")</f>
        <v>0</v>
      </c>
      <c r="O7972" t="s">
        <v>8449</v>
      </c>
      <c r="P7972" t="s">
        <v>20457</v>
      </c>
      <c r="Q7972" t="s">
        <v>20934</v>
      </c>
      <c r="R7972" t="s">
        <v>21205</v>
      </c>
      <c r="S7972">
        <v>1127</v>
      </c>
    </row>
    <row r="7973" spans="1:19">
      <c r="A7973" t="s">
        <v>31</v>
      </c>
      <c r="B7973" t="s">
        <v>148</v>
      </c>
      <c r="C7973" t="s">
        <v>163</v>
      </c>
      <c r="D7973" t="s">
        <v>292</v>
      </c>
      <c r="E7973" t="s">
        <v>421</v>
      </c>
      <c r="F7973">
        <f>HYPERLINK("https://www.wikidata.org/wiki/Q33323183", "Q33323183")</f>
        <v>0</v>
      </c>
      <c r="G7973" t="s">
        <v>563</v>
      </c>
      <c r="H7973" t="s">
        <v>5326</v>
      </c>
      <c r="I7973" t="s">
        <v>9418</v>
      </c>
      <c r="J7973" t="s">
        <v>11314</v>
      </c>
      <c r="K7973" t="s">
        <v>15715</v>
      </c>
      <c r="L7973">
        <f>HYPERLINK("https://www2.assemblee-nationale.fr/sycomore/fiche/(num_dept)/1555", "1555")</f>
        <v>0</v>
      </c>
      <c r="N7973">
        <f>HYPERLINK("https://www.wikidata.org/wiki/Q15974261", "Q15974261")</f>
        <v>0</v>
      </c>
      <c r="O7973" t="s">
        <v>19987</v>
      </c>
      <c r="P7973" t="s">
        <v>20402</v>
      </c>
      <c r="Q7973" t="s">
        <v>20934</v>
      </c>
      <c r="R7973" t="s">
        <v>421</v>
      </c>
      <c r="S7973">
        <v>1486</v>
      </c>
    </row>
    <row r="7974" spans="1:19">
      <c r="A7974" t="s">
        <v>31</v>
      </c>
      <c r="B7974" t="s">
        <v>148</v>
      </c>
      <c r="C7974" t="s">
        <v>163</v>
      </c>
      <c r="D7974" t="s">
        <v>292</v>
      </c>
      <c r="E7974" t="s">
        <v>421</v>
      </c>
      <c r="F7974">
        <f>HYPERLINK("https://www.wikidata.org/wiki/Q33323183", "Q33323183")</f>
        <v>0</v>
      </c>
      <c r="G7974" t="s">
        <v>4106</v>
      </c>
      <c r="H7974" t="s">
        <v>8318</v>
      </c>
      <c r="I7974" t="s">
        <v>11114</v>
      </c>
      <c r="J7974" t="s">
        <v>11285</v>
      </c>
      <c r="K7974" t="s">
        <v>18977</v>
      </c>
      <c r="L7974">
        <f>HYPERLINK("https://www2.assemblee-nationale.fr/sycomore/fiche/(num_dept)/1563", "1563")</f>
        <v>0</v>
      </c>
      <c r="M7974">
        <f>HYPERLINK("https://www.senat.fr/senateur-3eme-republique/cazeneuve_paul1143r3.html", "cazeneuve_paul1143r3")</f>
        <v>0</v>
      </c>
      <c r="N7974">
        <f>HYPERLINK("https://www.wikidata.org/wiki/Q3370828", "Q3370828")</f>
        <v>0</v>
      </c>
      <c r="O7974" t="s">
        <v>19965</v>
      </c>
      <c r="P7974" t="s">
        <v>20489</v>
      </c>
      <c r="Q7974" t="s">
        <v>20934</v>
      </c>
      <c r="R7974" t="s">
        <v>399</v>
      </c>
      <c r="S7974">
        <v>973</v>
      </c>
    </row>
    <row r="7975" spans="1:19">
      <c r="A7975" t="s">
        <v>31</v>
      </c>
      <c r="B7975" t="s">
        <v>148</v>
      </c>
      <c r="C7975" t="s">
        <v>163</v>
      </c>
      <c r="D7975" t="s">
        <v>292</v>
      </c>
      <c r="E7975" t="s">
        <v>421</v>
      </c>
      <c r="F7975">
        <f>HYPERLINK("https://www.wikidata.org/wiki/Q33323183", "Q33323183")</f>
        <v>0</v>
      </c>
      <c r="G7975" t="s">
        <v>564</v>
      </c>
      <c r="H7975" t="s">
        <v>5327</v>
      </c>
      <c r="I7975" t="s">
        <v>5574</v>
      </c>
      <c r="J7975" t="s">
        <v>11315</v>
      </c>
      <c r="K7975" t="s">
        <v>15716</v>
      </c>
      <c r="L7975">
        <f>HYPERLINK("https://www2.assemblee-nationale.fr/sycomore/fiche/(num_dept)/1565", "1565")</f>
        <v>0</v>
      </c>
      <c r="N7975">
        <f>HYPERLINK("https://www.wikidata.org/wiki/Q15974262", "Q15974262")</f>
        <v>0</v>
      </c>
      <c r="O7975" t="s">
        <v>20003</v>
      </c>
      <c r="P7975" t="s">
        <v>20489</v>
      </c>
      <c r="Q7975" t="s">
        <v>20934</v>
      </c>
      <c r="R7975" t="s">
        <v>421</v>
      </c>
      <c r="S7975">
        <v>1486</v>
      </c>
    </row>
    <row r="7976" spans="1:19">
      <c r="A7976" t="s">
        <v>31</v>
      </c>
      <c r="B7976" t="s">
        <v>148</v>
      </c>
      <c r="C7976" t="s">
        <v>163</v>
      </c>
      <c r="D7976" t="s">
        <v>292</v>
      </c>
      <c r="E7976" t="s">
        <v>421</v>
      </c>
      <c r="F7976">
        <f>HYPERLINK("https://www.wikidata.org/wiki/Q33323183", "Q33323183")</f>
        <v>0</v>
      </c>
      <c r="G7976" t="s">
        <v>565</v>
      </c>
      <c r="H7976" t="s">
        <v>5328</v>
      </c>
      <c r="I7976" t="s">
        <v>6860</v>
      </c>
      <c r="J7976" t="s">
        <v>11316</v>
      </c>
      <c r="K7976" t="s">
        <v>15717</v>
      </c>
      <c r="L7976">
        <f>HYPERLINK("https://www2.assemblee-nationale.fr/sycomore/fiche/(num_dept)/1623", "1623")</f>
        <v>0</v>
      </c>
      <c r="M7976">
        <f>HYPERLINK("https://www.senat.fr/senateur-3eme-republique/de_chambrun_pierre0856r3.html", "de_chambrun_pierre0856r3")</f>
        <v>0</v>
      </c>
      <c r="N7976">
        <f>HYPERLINK("https://www.wikidata.org/wiki/Q3042196", "Q3042196")</f>
        <v>0</v>
      </c>
      <c r="O7976" t="s">
        <v>20004</v>
      </c>
      <c r="P7976" t="s">
        <v>20517</v>
      </c>
      <c r="Q7976" t="s">
        <v>20934</v>
      </c>
      <c r="R7976" t="s">
        <v>421</v>
      </c>
      <c r="S7976">
        <v>1486</v>
      </c>
    </row>
    <row r="7977" spans="1:19">
      <c r="A7977" t="s">
        <v>31</v>
      </c>
      <c r="B7977" t="s">
        <v>148</v>
      </c>
      <c r="C7977" t="s">
        <v>163</v>
      </c>
      <c r="D7977" t="s">
        <v>292</v>
      </c>
      <c r="E7977" t="s">
        <v>421</v>
      </c>
      <c r="F7977">
        <f>HYPERLINK("https://www.wikidata.org/wiki/Q33323183", "Q33323183")</f>
        <v>0</v>
      </c>
      <c r="G7977" t="s">
        <v>566</v>
      </c>
      <c r="H7977" t="s">
        <v>5329</v>
      </c>
      <c r="I7977" t="s">
        <v>9419</v>
      </c>
      <c r="J7977" t="s">
        <v>11317</v>
      </c>
      <c r="K7977" t="s">
        <v>15718</v>
      </c>
      <c r="L7977">
        <f>HYPERLINK("https://www2.assemblee-nationale.fr/sycomore/fiche/(num_dept)/1624", "1624")</f>
        <v>0</v>
      </c>
      <c r="N7977">
        <f>HYPERLINK("https://www.wikidata.org/wiki/Q3345786", "Q3345786")</f>
        <v>0</v>
      </c>
      <c r="O7977" t="s">
        <v>20005</v>
      </c>
      <c r="P7977" t="s">
        <v>20489</v>
      </c>
      <c r="Q7977" t="s">
        <v>20934</v>
      </c>
      <c r="R7977" t="s">
        <v>421</v>
      </c>
      <c r="S7977">
        <v>1486</v>
      </c>
    </row>
    <row r="7978" spans="1:19">
      <c r="A7978" t="s">
        <v>31</v>
      </c>
      <c r="B7978" t="s">
        <v>148</v>
      </c>
      <c r="C7978" t="s">
        <v>163</v>
      </c>
      <c r="D7978" t="s">
        <v>292</v>
      </c>
      <c r="E7978" t="s">
        <v>421</v>
      </c>
      <c r="F7978">
        <f>HYPERLINK("https://www.wikidata.org/wiki/Q33323183", "Q33323183")</f>
        <v>0</v>
      </c>
      <c r="G7978" t="s">
        <v>904</v>
      </c>
      <c r="H7978" t="s">
        <v>5660</v>
      </c>
      <c r="I7978" t="s">
        <v>9583</v>
      </c>
      <c r="J7978" t="s">
        <v>11649</v>
      </c>
      <c r="K7978" t="s">
        <v>16048</v>
      </c>
      <c r="L7978">
        <f>HYPERLINK("https://www2.assemblee-nationale.fr/sycomore/fiche/(num_dept)/1634", "1634")</f>
        <v>0</v>
      </c>
      <c r="M7978">
        <f>HYPERLINK("https://www.senat.fr/senateur-3eme-republique/chanal_jean0017r3.html", "chanal_jean0017r3")</f>
        <v>0</v>
      </c>
      <c r="N7978">
        <f>HYPERLINK("https://www.wikidata.org/wiki/Q3059763", "Q3059763")</f>
        <v>0</v>
      </c>
      <c r="O7978" t="s">
        <v>19986</v>
      </c>
      <c r="P7978" t="s">
        <v>20401</v>
      </c>
      <c r="Q7978" t="s">
        <v>20934</v>
      </c>
      <c r="R7978" t="s">
        <v>421</v>
      </c>
      <c r="S7978">
        <v>1486</v>
      </c>
    </row>
    <row r="7979" spans="1:19">
      <c r="A7979" t="s">
        <v>31</v>
      </c>
      <c r="B7979" t="s">
        <v>148</v>
      </c>
      <c r="C7979" t="s">
        <v>163</v>
      </c>
      <c r="D7979" t="s">
        <v>292</v>
      </c>
      <c r="E7979" t="s">
        <v>421</v>
      </c>
      <c r="F7979">
        <f>HYPERLINK("https://www.wikidata.org/wiki/Q33323183", "Q33323183")</f>
        <v>0</v>
      </c>
      <c r="G7979" t="s">
        <v>3689</v>
      </c>
      <c r="H7979" t="s">
        <v>8011</v>
      </c>
      <c r="I7979" t="s">
        <v>10937</v>
      </c>
      <c r="J7979" t="s">
        <v>13857</v>
      </c>
      <c r="K7979" t="s">
        <v>17751</v>
      </c>
      <c r="L7979">
        <f>HYPERLINK("https://www2.assemblee-nationale.fr/sycomore/fiche/(num_dept)/1637", "1637")</f>
        <v>0</v>
      </c>
      <c r="N7979">
        <f>HYPERLINK("https://www.wikidata.org/wiki/Q7122126", "Q7122126")</f>
        <v>0</v>
      </c>
      <c r="O7979" t="s">
        <v>20032</v>
      </c>
      <c r="P7979" t="s">
        <v>20401</v>
      </c>
      <c r="Q7979" t="s">
        <v>20934</v>
      </c>
      <c r="R7979" t="s">
        <v>421</v>
      </c>
      <c r="S7979">
        <v>1486</v>
      </c>
    </row>
    <row r="7980" spans="1:19">
      <c r="A7980" t="s">
        <v>31</v>
      </c>
      <c r="B7980" t="s">
        <v>148</v>
      </c>
      <c r="C7980" t="s">
        <v>163</v>
      </c>
      <c r="D7980" t="s">
        <v>292</v>
      </c>
      <c r="E7980" t="s">
        <v>421</v>
      </c>
      <c r="F7980">
        <f>HYPERLINK("https://www.wikidata.org/wiki/Q33323183", "Q33323183")</f>
        <v>0</v>
      </c>
      <c r="G7980" t="s">
        <v>567</v>
      </c>
      <c r="H7980" t="s">
        <v>5330</v>
      </c>
      <c r="I7980" t="s">
        <v>9420</v>
      </c>
      <c r="J7980" t="s">
        <v>11318</v>
      </c>
      <c r="K7980" t="s">
        <v>15719</v>
      </c>
      <c r="L7980">
        <f>HYPERLINK("https://www2.assemblee-nationale.fr/sycomore/fiche/(num_dept)/1640", "1640")</f>
        <v>0</v>
      </c>
      <c r="N7980">
        <f>HYPERLINK("https://www.wikidata.org/wiki/Q15974297", "Q15974297")</f>
        <v>0</v>
      </c>
      <c r="O7980" t="s">
        <v>20006</v>
      </c>
      <c r="P7980" t="s">
        <v>20489</v>
      </c>
      <c r="Q7980" t="s">
        <v>20934</v>
      </c>
      <c r="R7980" t="s">
        <v>421</v>
      </c>
      <c r="S7980">
        <v>1486</v>
      </c>
    </row>
    <row r="7981" spans="1:19">
      <c r="A7981" t="s">
        <v>31</v>
      </c>
      <c r="B7981" t="s">
        <v>148</v>
      </c>
      <c r="C7981" t="s">
        <v>163</v>
      </c>
      <c r="D7981" t="s">
        <v>292</v>
      </c>
      <c r="E7981" t="s">
        <v>421</v>
      </c>
      <c r="F7981">
        <f>HYPERLINK("https://www.wikidata.org/wiki/Q33323183", "Q33323183")</f>
        <v>0</v>
      </c>
      <c r="G7981" t="s">
        <v>568</v>
      </c>
      <c r="H7981" t="s">
        <v>5331</v>
      </c>
      <c r="I7981" t="s">
        <v>9421</v>
      </c>
      <c r="J7981" t="s">
        <v>11319</v>
      </c>
      <c r="K7981" t="s">
        <v>15720</v>
      </c>
      <c r="L7981">
        <f>HYPERLINK("https://www2.assemblee-nationale.fr/sycomore/fiche/(num_dept)/1650", "1650")</f>
        <v>0</v>
      </c>
      <c r="M7981">
        <f>HYPERLINK("https://www.senat.fr/senateur-3eme-republique/chapuis_gustave0947r3.html", "chapuis_gustave0947r3")</f>
        <v>0</v>
      </c>
      <c r="N7981">
        <f>HYPERLINK("https://www.wikidata.org/wiki/Q3121135", "Q3121135")</f>
        <v>0</v>
      </c>
      <c r="O7981" t="s">
        <v>20007</v>
      </c>
      <c r="P7981" t="s">
        <v>20401</v>
      </c>
      <c r="Q7981" t="s">
        <v>20934</v>
      </c>
      <c r="R7981" t="s">
        <v>421</v>
      </c>
      <c r="S7981">
        <v>1486</v>
      </c>
    </row>
    <row r="7982" spans="1:19">
      <c r="A7982" t="s">
        <v>31</v>
      </c>
      <c r="B7982" t="s">
        <v>148</v>
      </c>
      <c r="C7982" t="s">
        <v>163</v>
      </c>
      <c r="D7982" t="s">
        <v>292</v>
      </c>
      <c r="E7982" t="s">
        <v>421</v>
      </c>
      <c r="F7982">
        <f>HYPERLINK("https://www.wikidata.org/wiki/Q33323183", "Q33323183")</f>
        <v>0</v>
      </c>
      <c r="G7982" t="s">
        <v>3752</v>
      </c>
      <c r="H7982" t="s">
        <v>5964</v>
      </c>
      <c r="I7982" t="s">
        <v>10961</v>
      </c>
      <c r="J7982" t="s">
        <v>14326</v>
      </c>
      <c r="K7982" t="s">
        <v>18677</v>
      </c>
      <c r="L7982">
        <f>HYPERLINK("https://www2.assemblee-nationale.fr/sycomore/fiche/(num_dept)/1675", "1675")</f>
        <v>0</v>
      </c>
      <c r="N7982">
        <f>HYPERLINK("https://www.wikidata.org/wiki/Q16025426", "Q16025426")</f>
        <v>0</v>
      </c>
      <c r="O7982" t="s">
        <v>19997</v>
      </c>
      <c r="P7982" t="s">
        <v>20485</v>
      </c>
      <c r="Q7982" t="s">
        <v>20934</v>
      </c>
      <c r="R7982" t="s">
        <v>421</v>
      </c>
      <c r="S7982">
        <v>1486</v>
      </c>
    </row>
    <row r="7983" spans="1:19">
      <c r="A7983" t="s">
        <v>31</v>
      </c>
      <c r="B7983" t="s">
        <v>148</v>
      </c>
      <c r="C7983" t="s">
        <v>163</v>
      </c>
      <c r="D7983" t="s">
        <v>292</v>
      </c>
      <c r="E7983" t="s">
        <v>421</v>
      </c>
      <c r="F7983">
        <f>HYPERLINK("https://www.wikidata.org/wiki/Q33323183", "Q33323183")</f>
        <v>0</v>
      </c>
      <c r="G7983" t="s">
        <v>570</v>
      </c>
      <c r="H7983" t="s">
        <v>5333</v>
      </c>
      <c r="I7983" t="s">
        <v>9423</v>
      </c>
      <c r="J7983" t="s">
        <v>11321</v>
      </c>
      <c r="K7983" t="s">
        <v>15722</v>
      </c>
      <c r="L7983">
        <f>HYPERLINK("https://www2.assemblee-nationale.fr/sycomore/fiche/(num_dept)/1701", "1701")</f>
        <v>0</v>
      </c>
      <c r="M7983">
        <f>HYPERLINK("https://www.senat.fr/senateur-3eme-republique/chastenet_de_castaing_guillaume0201r3.html", "chastenet_de_castaing_guillaume0201r3")</f>
        <v>0</v>
      </c>
      <c r="N7983">
        <f>HYPERLINK("https://www.wikidata.org/wiki/Q3119745", "Q3119745")</f>
        <v>0</v>
      </c>
      <c r="O7983" t="s">
        <v>19987</v>
      </c>
      <c r="P7983" t="s">
        <v>20457</v>
      </c>
      <c r="Q7983" t="s">
        <v>20934</v>
      </c>
      <c r="R7983" t="s">
        <v>421</v>
      </c>
      <c r="S7983">
        <v>1486</v>
      </c>
    </row>
    <row r="7984" spans="1:19">
      <c r="A7984" t="s">
        <v>31</v>
      </c>
      <c r="B7984" t="s">
        <v>148</v>
      </c>
      <c r="C7984" t="s">
        <v>163</v>
      </c>
      <c r="D7984" t="s">
        <v>292</v>
      </c>
      <c r="E7984" t="s">
        <v>421</v>
      </c>
      <c r="F7984">
        <f>HYPERLINK("https://www.wikidata.org/wiki/Q33323183", "Q33323183")</f>
        <v>0</v>
      </c>
      <c r="G7984" t="s">
        <v>573</v>
      </c>
      <c r="H7984" t="s">
        <v>5336</v>
      </c>
      <c r="I7984" t="s">
        <v>9385</v>
      </c>
      <c r="J7984" t="s">
        <v>11324</v>
      </c>
      <c r="K7984" t="s">
        <v>15725</v>
      </c>
      <c r="L7984">
        <f>HYPERLINK("https://www2.assemblee-nationale.fr/sycomore/fiche/(num_dept)/1716", "1716")</f>
        <v>0</v>
      </c>
      <c r="M7984">
        <f>HYPERLINK("https://www.senat.fr/senateur-3eme-republique/chaumet_jean0195r3.html", "chaumet_jean0195r3")</f>
        <v>0</v>
      </c>
      <c r="N7984">
        <f>HYPERLINK("https://www.wikidata.org/wiki/Q2958718", "Q2958718")</f>
        <v>0</v>
      </c>
      <c r="O7984" t="s">
        <v>19987</v>
      </c>
      <c r="P7984" t="s">
        <v>20402</v>
      </c>
      <c r="Q7984" t="s">
        <v>20934</v>
      </c>
      <c r="R7984" t="s">
        <v>421</v>
      </c>
      <c r="S7984">
        <v>1486</v>
      </c>
    </row>
    <row r="7985" spans="1:19">
      <c r="A7985" t="s">
        <v>31</v>
      </c>
      <c r="B7985" t="s">
        <v>148</v>
      </c>
      <c r="C7985" t="s">
        <v>163</v>
      </c>
      <c r="D7985" t="s">
        <v>292</v>
      </c>
      <c r="E7985" t="s">
        <v>421</v>
      </c>
      <c r="F7985">
        <f>HYPERLINK("https://www.wikidata.org/wiki/Q33323183", "Q33323183")</f>
        <v>0</v>
      </c>
      <c r="G7985" t="s">
        <v>907</v>
      </c>
      <c r="H7985" t="s">
        <v>5663</v>
      </c>
      <c r="I7985" t="s">
        <v>7419</v>
      </c>
      <c r="J7985" t="s">
        <v>11651</v>
      </c>
      <c r="K7985" t="s">
        <v>385</v>
      </c>
      <c r="L7985">
        <f>HYPERLINK("https://www2.assemblee-nationale.fr/sycomore/fiche/(num_dept)/1720", "1720")</f>
        <v>0</v>
      </c>
      <c r="N7985">
        <f>HYPERLINK("https://www.wikidata.org/wiki/Q16025433", "Q16025433")</f>
        <v>0</v>
      </c>
      <c r="O7985" t="s">
        <v>19994</v>
      </c>
      <c r="P7985" t="s">
        <v>20489</v>
      </c>
      <c r="Q7985" t="s">
        <v>20934</v>
      </c>
      <c r="R7985" t="s">
        <v>421</v>
      </c>
      <c r="S7985">
        <v>1486</v>
      </c>
    </row>
    <row r="7986" spans="1:19">
      <c r="A7986" t="s">
        <v>31</v>
      </c>
      <c r="B7986" t="s">
        <v>148</v>
      </c>
      <c r="C7986" t="s">
        <v>163</v>
      </c>
      <c r="D7986" t="s">
        <v>292</v>
      </c>
      <c r="E7986" t="s">
        <v>421</v>
      </c>
      <c r="F7986">
        <f>HYPERLINK("https://www.wikidata.org/wiki/Q33323183", "Q33323183")</f>
        <v>0</v>
      </c>
      <c r="G7986" t="s">
        <v>4173</v>
      </c>
      <c r="H7986" t="s">
        <v>8372</v>
      </c>
      <c r="I7986" t="s">
        <v>11148</v>
      </c>
      <c r="J7986" t="s">
        <v>14694</v>
      </c>
      <c r="K7986" t="s">
        <v>19035</v>
      </c>
      <c r="L7986">
        <f>HYPERLINK("https://www2.assemblee-nationale.fr/sycomore/fiche/(num_dept)/1724", "1724")</f>
        <v>0</v>
      </c>
      <c r="N7986">
        <f>HYPERLINK("https://www.wikidata.org/wiki/Q16025434", "Q16025434")</f>
        <v>0</v>
      </c>
      <c r="O7986" t="s">
        <v>19969</v>
      </c>
      <c r="P7986" t="s">
        <v>20489</v>
      </c>
      <c r="Q7986" t="s">
        <v>20934</v>
      </c>
      <c r="R7986" t="s">
        <v>421</v>
      </c>
      <c r="S7986">
        <v>1486</v>
      </c>
    </row>
    <row r="7987" spans="1:19">
      <c r="A7987" t="s">
        <v>31</v>
      </c>
      <c r="B7987" t="s">
        <v>148</v>
      </c>
      <c r="C7987" t="s">
        <v>163</v>
      </c>
      <c r="D7987" t="s">
        <v>292</v>
      </c>
      <c r="E7987" t="s">
        <v>421</v>
      </c>
      <c r="F7987">
        <f>HYPERLINK("https://www.wikidata.org/wiki/Q33323183", "Q33323183")</f>
        <v>0</v>
      </c>
      <c r="G7987" t="s">
        <v>574</v>
      </c>
      <c r="H7987" t="s">
        <v>5337</v>
      </c>
      <c r="I7987" t="s">
        <v>9426</v>
      </c>
      <c r="J7987" t="s">
        <v>11325</v>
      </c>
      <c r="K7987" t="s">
        <v>15726</v>
      </c>
      <c r="L7987">
        <f>HYPERLINK("https://www2.assemblee-nationale.fr/sycomore/fiche/(num_dept)/1725", "1725")</f>
        <v>0</v>
      </c>
      <c r="M7987">
        <f>HYPERLINK("https://www.senat.fr/senateur-3eme-republique/chautemps_alphonse0309r3.html", "chautemps_alphonse0309r3")</f>
        <v>0</v>
      </c>
      <c r="N7987">
        <f>HYPERLINK("https://www.wikidata.org/wiki/Q2839734", "Q2839734")</f>
        <v>0</v>
      </c>
      <c r="O7987" t="s">
        <v>20008</v>
      </c>
      <c r="P7987" t="s">
        <v>20401</v>
      </c>
      <c r="Q7987" t="s">
        <v>20934</v>
      </c>
      <c r="R7987" t="s">
        <v>421</v>
      </c>
      <c r="S7987">
        <v>1486</v>
      </c>
    </row>
    <row r="7988" spans="1:19">
      <c r="A7988" t="s">
        <v>31</v>
      </c>
      <c r="B7988" t="s">
        <v>148</v>
      </c>
      <c r="C7988" t="s">
        <v>163</v>
      </c>
      <c r="D7988" t="s">
        <v>292</v>
      </c>
      <c r="E7988" t="s">
        <v>421</v>
      </c>
      <c r="F7988">
        <f>HYPERLINK("https://www.wikidata.org/wiki/Q33323183", "Q33323183")</f>
        <v>0</v>
      </c>
      <c r="G7988" t="s">
        <v>575</v>
      </c>
      <c r="H7988" t="s">
        <v>5337</v>
      </c>
      <c r="I7988" t="s">
        <v>9427</v>
      </c>
      <c r="J7988" t="s">
        <v>11326</v>
      </c>
      <c r="K7988" t="s">
        <v>15727</v>
      </c>
      <c r="L7988">
        <f>HYPERLINK("https://www2.assemblee-nationale.fr/sycomore/fiche/(num_dept)/1728", "1728")</f>
        <v>0</v>
      </c>
      <c r="N7988">
        <f>HYPERLINK("https://www.wikidata.org/wiki/Q8323100", "Q8323100")</f>
        <v>0</v>
      </c>
      <c r="O7988" t="s">
        <v>19988</v>
      </c>
      <c r="P7988" t="s">
        <v>20489</v>
      </c>
      <c r="Q7988" t="s">
        <v>20934</v>
      </c>
      <c r="R7988" t="s">
        <v>421</v>
      </c>
      <c r="S7988">
        <v>1486</v>
      </c>
    </row>
    <row r="7989" spans="1:19">
      <c r="A7989" t="s">
        <v>31</v>
      </c>
      <c r="B7989" t="s">
        <v>148</v>
      </c>
      <c r="C7989" t="s">
        <v>163</v>
      </c>
      <c r="D7989" t="s">
        <v>292</v>
      </c>
      <c r="E7989" t="s">
        <v>421</v>
      </c>
      <c r="F7989">
        <f>HYPERLINK("https://www.wikidata.org/wiki/Q33323183", "Q33323183")</f>
        <v>0</v>
      </c>
      <c r="G7989" t="s">
        <v>908</v>
      </c>
      <c r="H7989" t="s">
        <v>5664</v>
      </c>
      <c r="I7989" t="s">
        <v>9585</v>
      </c>
      <c r="J7989" t="s">
        <v>11652</v>
      </c>
      <c r="K7989" t="s">
        <v>16051</v>
      </c>
      <c r="L7989">
        <f>HYPERLINK("https://www2.assemblee-nationale.fr/sycomore/fiche/(num_dept)/1734", "1734")</f>
        <v>0</v>
      </c>
      <c r="N7989">
        <f>HYPERLINK("https://www.wikidata.org/wiki/Q13080861", "Q13080861")</f>
        <v>0</v>
      </c>
      <c r="O7989" t="s">
        <v>19969</v>
      </c>
      <c r="P7989" t="s">
        <v>20515</v>
      </c>
      <c r="Q7989" t="s">
        <v>20934</v>
      </c>
      <c r="R7989" t="s">
        <v>421</v>
      </c>
      <c r="S7989">
        <v>1486</v>
      </c>
    </row>
    <row r="7990" spans="1:19">
      <c r="A7990" t="s">
        <v>31</v>
      </c>
      <c r="B7990" t="s">
        <v>148</v>
      </c>
      <c r="C7990" t="s">
        <v>163</v>
      </c>
      <c r="D7990" t="s">
        <v>292</v>
      </c>
      <c r="E7990" t="s">
        <v>421</v>
      </c>
      <c r="F7990">
        <f>HYPERLINK("https://www.wikidata.org/wiki/Q33323183", "Q33323183")</f>
        <v>0</v>
      </c>
      <c r="G7990" t="s">
        <v>3961</v>
      </c>
      <c r="H7990" t="s">
        <v>6427</v>
      </c>
      <c r="I7990" t="s">
        <v>9389</v>
      </c>
      <c r="J7990" t="s">
        <v>14512</v>
      </c>
      <c r="K7990" t="s">
        <v>15891</v>
      </c>
      <c r="L7990">
        <f>HYPERLINK("https://www2.assemblee-nationale.fr/sycomore/fiche/(num_dept)/1736", "1736")</f>
        <v>0</v>
      </c>
      <c r="N7990">
        <f>HYPERLINK("https://www.wikidata.org/wiki/Q16025436", "Q16025436")</f>
        <v>0</v>
      </c>
      <c r="O7990" t="s">
        <v>20026</v>
      </c>
      <c r="P7990" t="s">
        <v>20489</v>
      </c>
      <c r="Q7990" t="s">
        <v>20934</v>
      </c>
      <c r="R7990" t="s">
        <v>21628</v>
      </c>
      <c r="S7990">
        <v>1325</v>
      </c>
    </row>
    <row r="7991" spans="1:19">
      <c r="A7991" t="s">
        <v>31</v>
      </c>
      <c r="B7991" t="s">
        <v>148</v>
      </c>
      <c r="C7991" t="s">
        <v>163</v>
      </c>
      <c r="D7991" t="s">
        <v>292</v>
      </c>
      <c r="E7991" t="s">
        <v>421</v>
      </c>
      <c r="F7991">
        <f>HYPERLINK("https://www.wikidata.org/wiki/Q33323183", "Q33323183")</f>
        <v>0</v>
      </c>
      <c r="G7991" t="s">
        <v>909</v>
      </c>
      <c r="H7991" t="s">
        <v>5665</v>
      </c>
      <c r="I7991" t="s">
        <v>9586</v>
      </c>
      <c r="J7991" t="s">
        <v>11653</v>
      </c>
      <c r="K7991" t="s">
        <v>16052</v>
      </c>
      <c r="L7991">
        <f>HYPERLINK("https://www2.assemblee-nationale.fr/sycomore/fiche/(num_dept)/1743", "1743")</f>
        <v>0</v>
      </c>
      <c r="N7991">
        <f>HYPERLINK("https://www.wikidata.org/wiki/Q8312689", "Q8312689")</f>
        <v>0</v>
      </c>
      <c r="O7991" t="s">
        <v>19994</v>
      </c>
      <c r="P7991" t="s">
        <v>20401</v>
      </c>
      <c r="Q7991" t="s">
        <v>20934</v>
      </c>
      <c r="R7991" t="s">
        <v>421</v>
      </c>
      <c r="S7991">
        <v>1486</v>
      </c>
    </row>
    <row r="7992" spans="1:19">
      <c r="A7992" t="s">
        <v>31</v>
      </c>
      <c r="B7992" t="s">
        <v>148</v>
      </c>
      <c r="C7992" t="s">
        <v>163</v>
      </c>
      <c r="D7992" t="s">
        <v>292</v>
      </c>
      <c r="E7992" t="s">
        <v>421</v>
      </c>
      <c r="F7992">
        <f>HYPERLINK("https://www.wikidata.org/wiki/Q33323183", "Q33323183")</f>
        <v>0</v>
      </c>
      <c r="G7992" t="s">
        <v>1159</v>
      </c>
      <c r="H7992" t="s">
        <v>5893</v>
      </c>
      <c r="I7992" t="s">
        <v>9687</v>
      </c>
      <c r="J7992" t="s">
        <v>11892</v>
      </c>
      <c r="K7992" t="s">
        <v>16294</v>
      </c>
      <c r="L7992">
        <f>HYPERLINK("https://www2.assemblee-nationale.fr/sycomore/fiche/(num_dept)/1744", "1744")</f>
        <v>0</v>
      </c>
      <c r="N7992">
        <f>HYPERLINK("https://www.wikidata.org/wiki/Q16025440", "Q16025440")</f>
        <v>0</v>
      </c>
      <c r="O7992" t="s">
        <v>20010</v>
      </c>
      <c r="P7992" t="s">
        <v>20402</v>
      </c>
      <c r="Q7992" t="s">
        <v>20934</v>
      </c>
      <c r="R7992" t="s">
        <v>421</v>
      </c>
      <c r="S7992">
        <v>1486</v>
      </c>
    </row>
    <row r="7993" spans="1:19">
      <c r="A7993" t="s">
        <v>31</v>
      </c>
      <c r="B7993" t="s">
        <v>148</v>
      </c>
      <c r="C7993" t="s">
        <v>163</v>
      </c>
      <c r="D7993" t="s">
        <v>292</v>
      </c>
      <c r="E7993" t="s">
        <v>421</v>
      </c>
      <c r="F7993">
        <f>HYPERLINK("https://www.wikidata.org/wiki/Q33323183", "Q33323183")</f>
        <v>0</v>
      </c>
      <c r="G7993" t="s">
        <v>576</v>
      </c>
      <c r="H7993" t="s">
        <v>5338</v>
      </c>
      <c r="I7993" t="s">
        <v>6478</v>
      </c>
      <c r="J7993" t="s">
        <v>11327</v>
      </c>
      <c r="K7993" t="s">
        <v>15728</v>
      </c>
      <c r="L7993">
        <f>HYPERLINK("https://www2.assemblee-nationale.fr/sycomore/fiche/(num_dept)/1768", "1768")</f>
        <v>0</v>
      </c>
      <c r="M7993">
        <f>HYPERLINK("https://www.senat.fr/senateur-3eme-republique/cheron_henry0337r3.html", "cheron_henry0337r3")</f>
        <v>0</v>
      </c>
      <c r="N7993">
        <f>HYPERLINK("https://www.wikidata.org/wiki/Q3132698", "Q3132698")</f>
        <v>0</v>
      </c>
      <c r="O7993" t="s">
        <v>20009</v>
      </c>
      <c r="P7993" t="s">
        <v>20402</v>
      </c>
      <c r="Q7993" t="s">
        <v>20934</v>
      </c>
      <c r="R7993" t="s">
        <v>421</v>
      </c>
      <c r="S7993">
        <v>1486</v>
      </c>
    </row>
    <row r="7994" spans="1:19">
      <c r="A7994" t="s">
        <v>31</v>
      </c>
      <c r="B7994" t="s">
        <v>148</v>
      </c>
      <c r="C7994" t="s">
        <v>163</v>
      </c>
      <c r="D7994" t="s">
        <v>292</v>
      </c>
      <c r="E7994" t="s">
        <v>421</v>
      </c>
      <c r="F7994">
        <f>HYPERLINK("https://www.wikidata.org/wiki/Q33323183", "Q33323183")</f>
        <v>0</v>
      </c>
      <c r="G7994" t="s">
        <v>912</v>
      </c>
      <c r="H7994" t="s">
        <v>5668</v>
      </c>
      <c r="I7994" t="s">
        <v>9421</v>
      </c>
      <c r="J7994" t="s">
        <v>11656</v>
      </c>
      <c r="K7994" t="s">
        <v>16055</v>
      </c>
      <c r="L7994">
        <f>HYPERLINK("https://www2.assemblee-nationale.fr/sycomore/fiche/(num_dept)/1811", "1811")</f>
        <v>0</v>
      </c>
      <c r="N7994">
        <f>HYPERLINK("https://www.wikidata.org/wiki/Q3121138", "Q3121138")</f>
        <v>0</v>
      </c>
      <c r="O7994" t="s">
        <v>19989</v>
      </c>
      <c r="P7994" t="s">
        <v>20401</v>
      </c>
      <c r="Q7994" t="s">
        <v>20934</v>
      </c>
      <c r="R7994" t="s">
        <v>421</v>
      </c>
      <c r="S7994">
        <v>1486</v>
      </c>
    </row>
    <row r="7995" spans="1:19">
      <c r="A7995" t="s">
        <v>31</v>
      </c>
      <c r="B7995" t="s">
        <v>148</v>
      </c>
      <c r="C7995" t="s">
        <v>163</v>
      </c>
      <c r="D7995" t="s">
        <v>292</v>
      </c>
      <c r="E7995" t="s">
        <v>421</v>
      </c>
      <c r="F7995">
        <f>HYPERLINK("https://www.wikidata.org/wiki/Q33323183", "Q33323183")</f>
        <v>0</v>
      </c>
      <c r="G7995" t="s">
        <v>577</v>
      </c>
      <c r="H7995" t="s">
        <v>5339</v>
      </c>
      <c r="I7995" t="s">
        <v>9428</v>
      </c>
      <c r="J7995" t="s">
        <v>11328</v>
      </c>
      <c r="K7995" t="s">
        <v>15729</v>
      </c>
      <c r="L7995">
        <f>HYPERLINK("https://www2.assemblee-nationale.fr/sycomore/fiche/(num_dept)/1822", "1822")</f>
        <v>0</v>
      </c>
      <c r="N7995">
        <f>HYPERLINK("https://www.wikidata.org/wiki/Q2835023", "Q2835023")</f>
        <v>0</v>
      </c>
      <c r="O7995" t="s">
        <v>19967</v>
      </c>
      <c r="P7995" t="s">
        <v>20402</v>
      </c>
      <c r="Q7995" t="s">
        <v>20934</v>
      </c>
      <c r="R7995" t="s">
        <v>421</v>
      </c>
      <c r="S7995">
        <v>1486</v>
      </c>
    </row>
    <row r="7996" spans="1:19">
      <c r="A7996" t="s">
        <v>31</v>
      </c>
      <c r="B7996" t="s">
        <v>148</v>
      </c>
      <c r="C7996" t="s">
        <v>163</v>
      </c>
      <c r="D7996" t="s">
        <v>292</v>
      </c>
      <c r="E7996" t="s">
        <v>421</v>
      </c>
      <c r="F7996">
        <f>HYPERLINK("https://www.wikidata.org/wiki/Q33323183", "Q33323183")</f>
        <v>0</v>
      </c>
      <c r="G7996" t="s">
        <v>578</v>
      </c>
      <c r="H7996" t="s">
        <v>5340</v>
      </c>
      <c r="I7996" t="s">
        <v>9429</v>
      </c>
      <c r="J7996" t="s">
        <v>11329</v>
      </c>
      <c r="K7996" t="s">
        <v>15730</v>
      </c>
      <c r="L7996">
        <f>HYPERLINK("https://www2.assemblee-nationale.fr/sycomore/fiche/(num_dept)/1831", "1831")</f>
        <v>0</v>
      </c>
      <c r="N7996">
        <f>HYPERLINK("https://www.wikidata.org/wiki/Q16025454", "Q16025454")</f>
        <v>0</v>
      </c>
      <c r="O7996" t="s">
        <v>20010</v>
      </c>
      <c r="P7996" t="s">
        <v>20402</v>
      </c>
      <c r="Q7996" t="s">
        <v>20934</v>
      </c>
      <c r="R7996" t="s">
        <v>421</v>
      </c>
      <c r="S7996">
        <v>1486</v>
      </c>
    </row>
    <row r="7997" spans="1:19">
      <c r="A7997" t="s">
        <v>31</v>
      </c>
      <c r="B7997" t="s">
        <v>148</v>
      </c>
      <c r="C7997" t="s">
        <v>163</v>
      </c>
      <c r="D7997" t="s">
        <v>292</v>
      </c>
      <c r="E7997" t="s">
        <v>421</v>
      </c>
      <c r="F7997">
        <f>HYPERLINK("https://www.wikidata.org/wiki/Q33323183", "Q33323183")</f>
        <v>0</v>
      </c>
      <c r="G7997" t="s">
        <v>579</v>
      </c>
      <c r="H7997" t="s">
        <v>5341</v>
      </c>
      <c r="I7997" t="s">
        <v>5394</v>
      </c>
      <c r="J7997" t="s">
        <v>11330</v>
      </c>
      <c r="K7997" t="s">
        <v>15731</v>
      </c>
      <c r="L7997">
        <f>HYPERLINK("https://www2.assemblee-nationale.fr/sycomore/fiche/(num_dept)/1849", "1849")</f>
        <v>0</v>
      </c>
      <c r="M7997">
        <f>HYPERLINK("https://www.senat.fr/senateur-3eme-republique/clementel_etienne1006r3.html", "clementel_etienne1006r3")</f>
        <v>0</v>
      </c>
      <c r="N7997">
        <f>HYPERLINK("https://www.wikidata.org/wiki/Q3592114", "Q3592114")</f>
        <v>0</v>
      </c>
      <c r="O7997" t="s">
        <v>20005</v>
      </c>
      <c r="P7997" t="s">
        <v>20401</v>
      </c>
      <c r="Q7997" t="s">
        <v>20934</v>
      </c>
      <c r="R7997" t="s">
        <v>421</v>
      </c>
      <c r="S7997">
        <v>1486</v>
      </c>
    </row>
    <row r="7998" spans="1:19">
      <c r="A7998" t="s">
        <v>31</v>
      </c>
      <c r="B7998" t="s">
        <v>148</v>
      </c>
      <c r="C7998" t="s">
        <v>163</v>
      </c>
      <c r="D7998" t="s">
        <v>292</v>
      </c>
      <c r="E7998" t="s">
        <v>421</v>
      </c>
      <c r="F7998">
        <f>HYPERLINK("https://www.wikidata.org/wiki/Q33323183", "Q33323183")</f>
        <v>0</v>
      </c>
      <c r="G7998" t="s">
        <v>581</v>
      </c>
      <c r="H7998" t="s">
        <v>5343</v>
      </c>
      <c r="I7998" t="s">
        <v>9431</v>
      </c>
      <c r="J7998" t="s">
        <v>11332</v>
      </c>
      <c r="K7998" t="s">
        <v>15733</v>
      </c>
      <c r="L7998">
        <f>HYPERLINK("https://www2.assemblee-nationale.fr/sycomore/fiche/(num_dept)/1865", "1865")</f>
        <v>0</v>
      </c>
      <c r="N7998">
        <f>HYPERLINK("https://www.wikidata.org/wiki/Q16025465", "Q16025465")</f>
        <v>0</v>
      </c>
      <c r="O7998" t="s">
        <v>20012</v>
      </c>
      <c r="P7998" t="s">
        <v>20459</v>
      </c>
      <c r="Q7998" t="s">
        <v>20934</v>
      </c>
      <c r="R7998" t="s">
        <v>421</v>
      </c>
      <c r="S7998">
        <v>1486</v>
      </c>
    </row>
    <row r="7999" spans="1:19">
      <c r="A7999" t="s">
        <v>31</v>
      </c>
      <c r="B7999" t="s">
        <v>148</v>
      </c>
      <c r="C7999" t="s">
        <v>163</v>
      </c>
      <c r="D7999" t="s">
        <v>292</v>
      </c>
      <c r="E7999" t="s">
        <v>421</v>
      </c>
      <c r="F7999">
        <f>HYPERLINK("https://www.wikidata.org/wiki/Q33323183", "Q33323183")</f>
        <v>0</v>
      </c>
      <c r="G7999" t="s">
        <v>582</v>
      </c>
      <c r="H7999" t="s">
        <v>5344</v>
      </c>
      <c r="I7999" t="s">
        <v>6175</v>
      </c>
      <c r="J7999" t="s">
        <v>11333</v>
      </c>
      <c r="K7999" t="s">
        <v>15734</v>
      </c>
      <c r="L7999">
        <f>HYPERLINK("https://www2.assemblee-nationale.fr/sycomore/fiche/(num_dept)/1869", "1869")</f>
        <v>0</v>
      </c>
      <c r="N7999">
        <f>HYPERLINK("https://www.wikidata.org/wiki/Q2599226", "Q2599226")</f>
        <v>0</v>
      </c>
      <c r="O7999" t="s">
        <v>19958</v>
      </c>
      <c r="P7999" t="s">
        <v>20457</v>
      </c>
      <c r="Q7999" t="s">
        <v>20934</v>
      </c>
      <c r="R7999" t="s">
        <v>421</v>
      </c>
      <c r="S7999">
        <v>1486</v>
      </c>
    </row>
    <row r="8000" spans="1:19">
      <c r="A8000" t="s">
        <v>31</v>
      </c>
      <c r="B8000" t="s">
        <v>148</v>
      </c>
      <c r="C8000" t="s">
        <v>163</v>
      </c>
      <c r="D8000" t="s">
        <v>292</v>
      </c>
      <c r="E8000" t="s">
        <v>421</v>
      </c>
      <c r="F8000">
        <f>HYPERLINK("https://www.wikidata.org/wiki/Q33323183", "Q33323183")</f>
        <v>0</v>
      </c>
      <c r="G8000" t="s">
        <v>583</v>
      </c>
      <c r="H8000" t="s">
        <v>5345</v>
      </c>
      <c r="I8000" t="s">
        <v>9432</v>
      </c>
      <c r="J8000" t="s">
        <v>11334</v>
      </c>
      <c r="K8000" t="s">
        <v>15735</v>
      </c>
      <c r="L8000">
        <f>HYPERLINK("https://www2.assemblee-nationale.fr/sycomore/fiche/(num_dept)/1874", "1874")</f>
        <v>0</v>
      </c>
      <c r="N8000">
        <f>HYPERLINK("https://www.wikidata.org/wiki/Q3023401", "Q3023401")</f>
        <v>0</v>
      </c>
      <c r="O8000" t="s">
        <v>19969</v>
      </c>
      <c r="P8000" t="s">
        <v>20410</v>
      </c>
      <c r="Q8000" t="s">
        <v>20934</v>
      </c>
      <c r="R8000" t="s">
        <v>421</v>
      </c>
      <c r="S8000">
        <v>1486</v>
      </c>
    </row>
    <row r="8001" spans="1:19">
      <c r="A8001" t="s">
        <v>31</v>
      </c>
      <c r="B8001" t="s">
        <v>148</v>
      </c>
      <c r="C8001" t="s">
        <v>163</v>
      </c>
      <c r="D8001" t="s">
        <v>292</v>
      </c>
      <c r="E8001" t="s">
        <v>421</v>
      </c>
      <c r="F8001">
        <f>HYPERLINK("https://www.wikidata.org/wiki/Q33323183", "Q33323183")</f>
        <v>0</v>
      </c>
      <c r="G8001" t="s">
        <v>584</v>
      </c>
      <c r="H8001" t="s">
        <v>5345</v>
      </c>
      <c r="I8001" t="s">
        <v>9433</v>
      </c>
      <c r="J8001" t="s">
        <v>11335</v>
      </c>
      <c r="K8001" t="s">
        <v>15736</v>
      </c>
      <c r="L8001">
        <f>HYPERLINK("https://www2.assemblee-nationale.fr/sycomore/fiche/(num_dept)/1875", "1875")</f>
        <v>0</v>
      </c>
      <c r="N8001">
        <f>HYPERLINK("https://www.wikidata.org/wiki/Q3132702", "Q3132702")</f>
        <v>0</v>
      </c>
      <c r="O8001" t="s">
        <v>20013</v>
      </c>
      <c r="P8001" t="s">
        <v>20410</v>
      </c>
      <c r="Q8001" t="s">
        <v>20934</v>
      </c>
      <c r="R8001" t="s">
        <v>421</v>
      </c>
      <c r="S8001">
        <v>1486</v>
      </c>
    </row>
    <row r="8002" spans="1:19">
      <c r="A8002" t="s">
        <v>31</v>
      </c>
      <c r="B8002" t="s">
        <v>148</v>
      </c>
      <c r="C8002" t="s">
        <v>163</v>
      </c>
      <c r="D8002" t="s">
        <v>292</v>
      </c>
      <c r="E8002" t="s">
        <v>421</v>
      </c>
      <c r="F8002">
        <f>HYPERLINK("https://www.wikidata.org/wiki/Q33323183", "Q33323183")</f>
        <v>0</v>
      </c>
      <c r="G8002" t="s">
        <v>2540</v>
      </c>
      <c r="H8002" t="s">
        <v>7100</v>
      </c>
      <c r="I8002" t="s">
        <v>10276</v>
      </c>
      <c r="J8002" t="s">
        <v>13184</v>
      </c>
      <c r="K8002" t="s">
        <v>17589</v>
      </c>
      <c r="L8002">
        <f>HYPERLINK("https://www2.assemblee-nationale.fr/sycomore/fiche/(num_dept)/1878", "1878")</f>
        <v>0</v>
      </c>
      <c r="M8002">
        <f>HYPERLINK("https://www.senat.fr/senateur-3eme-republique/codet_jean1786r3.html", "codet_jean1786r3")</f>
        <v>0</v>
      </c>
      <c r="N8002">
        <f>HYPERLINK("https://www.wikidata.org/wiki/Q3171361", "Q3171361")</f>
        <v>0</v>
      </c>
      <c r="O8002" t="s">
        <v>19977</v>
      </c>
      <c r="P8002" t="s">
        <v>20402</v>
      </c>
      <c r="Q8002" t="s">
        <v>20934</v>
      </c>
      <c r="R8002" t="s">
        <v>21629</v>
      </c>
      <c r="S8002">
        <v>988</v>
      </c>
    </row>
    <row r="8003" spans="1:19">
      <c r="A8003" t="s">
        <v>31</v>
      </c>
      <c r="B8003" t="s">
        <v>148</v>
      </c>
      <c r="C8003" t="s">
        <v>163</v>
      </c>
      <c r="D8003" t="s">
        <v>292</v>
      </c>
      <c r="E8003" t="s">
        <v>421</v>
      </c>
      <c r="F8003">
        <f>HYPERLINK("https://www.wikidata.org/wiki/Q33323183", "Q33323183")</f>
        <v>0</v>
      </c>
      <c r="G8003" t="s">
        <v>585</v>
      </c>
      <c r="H8003" t="s">
        <v>5346</v>
      </c>
      <c r="I8003" t="s">
        <v>9434</v>
      </c>
      <c r="J8003" t="s">
        <v>11336</v>
      </c>
      <c r="K8003" t="s">
        <v>15737</v>
      </c>
      <c r="L8003">
        <f>HYPERLINK("https://www2.assemblee-nationale.fr/sycomore/fiche/(num_dept)/1897", "1897")</f>
        <v>0</v>
      </c>
      <c r="M8003">
        <f>HYPERLINK("https://www.senat.fr/senateur-3eme-republique/colin_maurice0839r3.html", "colin_maurice0839r3")</f>
        <v>0</v>
      </c>
      <c r="N8003">
        <f>HYPERLINK("https://www.wikidata.org/wiki/Q16938256", "Q16938256")</f>
        <v>0</v>
      </c>
      <c r="O8003" t="s">
        <v>20000</v>
      </c>
      <c r="P8003" t="s">
        <v>20457</v>
      </c>
      <c r="Q8003" t="s">
        <v>20934</v>
      </c>
      <c r="R8003" t="s">
        <v>421</v>
      </c>
      <c r="S8003">
        <v>1486</v>
      </c>
    </row>
    <row r="8004" spans="1:19">
      <c r="A8004" t="s">
        <v>31</v>
      </c>
      <c r="B8004" t="s">
        <v>148</v>
      </c>
      <c r="C8004" t="s">
        <v>163</v>
      </c>
      <c r="D8004" t="s">
        <v>292</v>
      </c>
      <c r="E8004" t="s">
        <v>421</v>
      </c>
      <c r="F8004">
        <f>HYPERLINK("https://www.wikidata.org/wiki/Q33323183", "Q33323183")</f>
        <v>0</v>
      </c>
      <c r="G8004" t="s">
        <v>913</v>
      </c>
      <c r="H8004" t="s">
        <v>5669</v>
      </c>
      <c r="I8004" t="s">
        <v>6860</v>
      </c>
      <c r="J8004" t="s">
        <v>11657</v>
      </c>
      <c r="K8004" t="s">
        <v>16056</v>
      </c>
      <c r="L8004">
        <f>HYPERLINK("https://www2.assemblee-nationale.fr/sycomore/fiche/(num_dept)/1906", "1906")</f>
        <v>0</v>
      </c>
      <c r="N8004">
        <f>HYPERLINK("https://www.wikidata.org/wiki/Q3384481", "Q3384481")</f>
        <v>0</v>
      </c>
      <c r="O8004" t="s">
        <v>19965</v>
      </c>
      <c r="P8004" t="s">
        <v>20485</v>
      </c>
      <c r="Q8004" t="s">
        <v>20934</v>
      </c>
      <c r="R8004" t="s">
        <v>421</v>
      </c>
      <c r="S8004">
        <v>1486</v>
      </c>
    </row>
    <row r="8005" spans="1:19">
      <c r="A8005" t="s">
        <v>31</v>
      </c>
      <c r="B8005" t="s">
        <v>148</v>
      </c>
      <c r="C8005" t="s">
        <v>163</v>
      </c>
      <c r="D8005" t="s">
        <v>292</v>
      </c>
      <c r="E8005" t="s">
        <v>421</v>
      </c>
      <c r="F8005">
        <f>HYPERLINK("https://www.wikidata.org/wiki/Q33323183", "Q33323183")</f>
        <v>0</v>
      </c>
      <c r="G8005" t="s">
        <v>586</v>
      </c>
      <c r="H8005" t="s">
        <v>5347</v>
      </c>
      <c r="I8005" t="s">
        <v>9435</v>
      </c>
      <c r="J8005" t="s">
        <v>11337</v>
      </c>
      <c r="K8005" t="s">
        <v>15738</v>
      </c>
      <c r="L8005">
        <f>HYPERLINK("https://www2.assemblee-nationale.fr/sycomore/fiche/(num_dept)/1926", "1926")</f>
        <v>0</v>
      </c>
      <c r="N8005">
        <f>HYPERLINK("https://www.wikidata.org/wiki/Q16025476", "Q16025476")</f>
        <v>0</v>
      </c>
      <c r="O8005" t="s">
        <v>19987</v>
      </c>
      <c r="P8005" t="s">
        <v>20402</v>
      </c>
      <c r="Q8005" t="s">
        <v>20934</v>
      </c>
      <c r="R8005" t="s">
        <v>421</v>
      </c>
      <c r="S8005">
        <v>1486</v>
      </c>
    </row>
    <row r="8006" spans="1:19">
      <c r="A8006" t="s">
        <v>31</v>
      </c>
      <c r="B8006" t="s">
        <v>148</v>
      </c>
      <c r="C8006" t="s">
        <v>163</v>
      </c>
      <c r="D8006" t="s">
        <v>292</v>
      </c>
      <c r="E8006" t="s">
        <v>421</v>
      </c>
      <c r="F8006">
        <f>HYPERLINK("https://www.wikidata.org/wiki/Q33323183", "Q33323183")</f>
        <v>0</v>
      </c>
      <c r="G8006" t="s">
        <v>1161</v>
      </c>
      <c r="H8006" t="s">
        <v>5867</v>
      </c>
      <c r="I8006" t="s">
        <v>9689</v>
      </c>
      <c r="J8006" t="s">
        <v>11894</v>
      </c>
      <c r="K8006" t="s">
        <v>16296</v>
      </c>
      <c r="L8006">
        <f>HYPERLINK("https://www2.assemblee-nationale.fr/sycomore/fiche/(num_dept)/1944", "1944")</f>
        <v>0</v>
      </c>
      <c r="N8006">
        <f>HYPERLINK("https://www.wikidata.org/wiki/Q3370923", "Q3370923")</f>
        <v>0</v>
      </c>
      <c r="O8006" t="s">
        <v>19999</v>
      </c>
      <c r="P8006" t="s">
        <v>20515</v>
      </c>
      <c r="Q8006" t="s">
        <v>20934</v>
      </c>
      <c r="R8006" t="s">
        <v>421</v>
      </c>
      <c r="S8006">
        <v>1486</v>
      </c>
    </row>
    <row r="8007" spans="1:19">
      <c r="A8007" t="s">
        <v>31</v>
      </c>
      <c r="B8007" t="s">
        <v>148</v>
      </c>
      <c r="C8007" t="s">
        <v>163</v>
      </c>
      <c r="D8007" t="s">
        <v>292</v>
      </c>
      <c r="E8007" t="s">
        <v>421</v>
      </c>
      <c r="F8007">
        <f>HYPERLINK("https://www.wikidata.org/wiki/Q33323183", "Q33323183")</f>
        <v>0</v>
      </c>
      <c r="G8007" t="s">
        <v>588</v>
      </c>
      <c r="H8007" t="s">
        <v>5349</v>
      </c>
      <c r="I8007" t="s">
        <v>9437</v>
      </c>
      <c r="J8007" t="s">
        <v>11339</v>
      </c>
      <c r="K8007" t="s">
        <v>15740</v>
      </c>
      <c r="L8007">
        <f>HYPERLINK("https://www2.assemblee-nationale.fr/sycomore/fiche/(num_dept)/1947", "1947")</f>
        <v>0</v>
      </c>
      <c r="N8007">
        <f>HYPERLINK("https://www.wikidata.org/wiki/Q3588426", "Q3588426")</f>
        <v>0</v>
      </c>
      <c r="O8007" t="s">
        <v>19987</v>
      </c>
      <c r="P8007" t="s">
        <v>20402</v>
      </c>
      <c r="Q8007" t="s">
        <v>20934</v>
      </c>
      <c r="R8007" t="s">
        <v>421</v>
      </c>
      <c r="S8007">
        <v>1486</v>
      </c>
    </row>
    <row r="8008" spans="1:19">
      <c r="A8008" t="s">
        <v>31</v>
      </c>
      <c r="B8008" t="s">
        <v>148</v>
      </c>
      <c r="C8008" t="s">
        <v>163</v>
      </c>
      <c r="D8008" t="s">
        <v>292</v>
      </c>
      <c r="E8008" t="s">
        <v>421</v>
      </c>
      <c r="F8008">
        <f>HYPERLINK("https://www.wikidata.org/wiki/Q33323183", "Q33323183")</f>
        <v>0</v>
      </c>
      <c r="G8008" t="s">
        <v>3863</v>
      </c>
      <c r="H8008" t="s">
        <v>8133</v>
      </c>
      <c r="I8008" t="s">
        <v>9455</v>
      </c>
      <c r="J8008" t="s">
        <v>14422</v>
      </c>
      <c r="K8008" t="s">
        <v>18775</v>
      </c>
      <c r="L8008">
        <f>HYPERLINK("https://www2.assemblee-nationale.fr/sycomore/fiche/(num_dept)/1969", "1969")</f>
        <v>0</v>
      </c>
      <c r="M8008">
        <f>HYPERLINK("https://www.senat.fr/senateur-3eme-republique/cornet_lucien1850r3.html", "cornet_lucien1850r3")</f>
        <v>0</v>
      </c>
      <c r="N8008">
        <f>HYPERLINK("https://www.wikidata.org/wiki/Q3265439", "Q3265439")</f>
        <v>0</v>
      </c>
      <c r="O8008" t="s">
        <v>20034</v>
      </c>
      <c r="P8008" t="s">
        <v>20489</v>
      </c>
      <c r="Q8008" t="s">
        <v>20934</v>
      </c>
      <c r="R8008" t="s">
        <v>21630</v>
      </c>
      <c r="S8008">
        <v>992</v>
      </c>
    </row>
    <row r="8009" spans="1:19">
      <c r="A8009" t="s">
        <v>31</v>
      </c>
      <c r="B8009" t="s">
        <v>148</v>
      </c>
      <c r="C8009" t="s">
        <v>163</v>
      </c>
      <c r="D8009" t="s">
        <v>292</v>
      </c>
      <c r="E8009" t="s">
        <v>421</v>
      </c>
      <c r="F8009">
        <f>HYPERLINK("https://www.wikidata.org/wiki/Q33323183", "Q33323183")</f>
        <v>0</v>
      </c>
      <c r="G8009" t="s">
        <v>589</v>
      </c>
      <c r="H8009" t="s">
        <v>5350</v>
      </c>
      <c r="I8009" t="s">
        <v>9438</v>
      </c>
      <c r="J8009" t="s">
        <v>11340</v>
      </c>
      <c r="K8009" t="s">
        <v>15741</v>
      </c>
      <c r="L8009">
        <f>HYPERLINK("https://www2.assemblee-nationale.fr/sycomore/fiche/(num_dept)/1979", "1979")</f>
        <v>0</v>
      </c>
      <c r="M8009">
        <f>HYPERLINK("https://www.senat.fr/senateur-3eme-republique/cornudet_des_chaumettes_honore1635r3.html", "cornudet_des_chaumettes_honore1635r3")</f>
        <v>0</v>
      </c>
      <c r="N8009">
        <f>HYPERLINK("https://www.wikidata.org/wiki/Q3140215", "Q3140215")</f>
        <v>0</v>
      </c>
      <c r="O8009" t="s">
        <v>19976</v>
      </c>
      <c r="P8009" t="s">
        <v>20517</v>
      </c>
      <c r="Q8009" t="s">
        <v>20934</v>
      </c>
      <c r="R8009" t="s">
        <v>421</v>
      </c>
      <c r="S8009">
        <v>1486</v>
      </c>
    </row>
    <row r="8010" spans="1:19">
      <c r="A8010" t="s">
        <v>31</v>
      </c>
      <c r="B8010" t="s">
        <v>148</v>
      </c>
      <c r="C8010" t="s">
        <v>163</v>
      </c>
      <c r="D8010" t="s">
        <v>292</v>
      </c>
      <c r="E8010" t="s">
        <v>421</v>
      </c>
      <c r="F8010">
        <f>HYPERLINK("https://www.wikidata.org/wiki/Q33323183", "Q33323183")</f>
        <v>0</v>
      </c>
      <c r="G8010" t="s">
        <v>592</v>
      </c>
      <c r="H8010" t="s">
        <v>5353</v>
      </c>
      <c r="I8010" t="s">
        <v>9441</v>
      </c>
      <c r="J8010" t="s">
        <v>11343</v>
      </c>
      <c r="K8010" t="s">
        <v>15744</v>
      </c>
      <c r="L8010">
        <f>HYPERLINK("https://www2.assemblee-nationale.fr/sycomore/fiche/(num_dept)/2048", "2048")</f>
        <v>0</v>
      </c>
      <c r="N8010">
        <f>HYPERLINK("https://www.wikidata.org/wiki/Q16025498", "Q16025498")</f>
        <v>0</v>
      </c>
      <c r="O8010" t="s">
        <v>19969</v>
      </c>
      <c r="P8010" t="s">
        <v>20515</v>
      </c>
      <c r="Q8010" t="s">
        <v>20934</v>
      </c>
      <c r="R8010" t="s">
        <v>421</v>
      </c>
      <c r="S8010">
        <v>1486</v>
      </c>
    </row>
    <row r="8011" spans="1:19">
      <c r="A8011" t="s">
        <v>31</v>
      </c>
      <c r="B8011" t="s">
        <v>148</v>
      </c>
      <c r="C8011" t="s">
        <v>163</v>
      </c>
      <c r="D8011" t="s">
        <v>292</v>
      </c>
      <c r="E8011" t="s">
        <v>421</v>
      </c>
      <c r="F8011">
        <f>HYPERLINK("https://www.wikidata.org/wiki/Q33323183", "Q33323183")</f>
        <v>0</v>
      </c>
      <c r="G8011" t="s">
        <v>3873</v>
      </c>
      <c r="H8011" t="s">
        <v>8141</v>
      </c>
      <c r="I8011" t="s">
        <v>7642</v>
      </c>
      <c r="J8011" t="s">
        <v>12605</v>
      </c>
      <c r="K8011" t="s">
        <v>18784</v>
      </c>
      <c r="L8011">
        <f>HYPERLINK("https://www2.assemblee-nationale.fr/sycomore/fiche/(num_dept)/2057", "2057")</f>
        <v>0</v>
      </c>
      <c r="M8011">
        <f>HYPERLINK("https://www.senat.fr/senateur-3eme-republique/couyba_charles1178r3.html", "couyba_charles1178r3")</f>
        <v>0</v>
      </c>
      <c r="N8011">
        <f>HYPERLINK("https://www.wikidata.org/wiki/Q1750410", "Q1750410")</f>
        <v>0</v>
      </c>
      <c r="O8011" t="s">
        <v>20036</v>
      </c>
      <c r="P8011" t="s">
        <v>20489</v>
      </c>
      <c r="Q8011" t="s">
        <v>20934</v>
      </c>
      <c r="R8011" t="s">
        <v>21627</v>
      </c>
      <c r="S8011">
        <v>431</v>
      </c>
    </row>
    <row r="8012" spans="1:19">
      <c r="A8012" t="s">
        <v>31</v>
      </c>
      <c r="B8012" t="s">
        <v>148</v>
      </c>
      <c r="C8012" t="s">
        <v>163</v>
      </c>
      <c r="D8012" t="s">
        <v>292</v>
      </c>
      <c r="E8012" t="s">
        <v>421</v>
      </c>
      <c r="F8012">
        <f>HYPERLINK("https://www.wikidata.org/wiki/Q33323183", "Q33323183")</f>
        <v>0</v>
      </c>
      <c r="G8012" t="s">
        <v>596</v>
      </c>
      <c r="H8012" t="s">
        <v>5357</v>
      </c>
      <c r="I8012" t="s">
        <v>9443</v>
      </c>
      <c r="J8012" t="s">
        <v>11347</v>
      </c>
      <c r="K8012" t="s">
        <v>15748</v>
      </c>
      <c r="L8012">
        <f>HYPERLINK("https://www2.assemblee-nationale.fr/sycomore/fiche/(num_dept)/2091", "2091")</f>
        <v>0</v>
      </c>
      <c r="M8012">
        <f>HYPERLINK("https://www.senat.fr/senateur-3eme-republique/cuttoli_paul0695r3.html", "cuttoli_paul0695r3")</f>
        <v>0</v>
      </c>
      <c r="N8012">
        <f>HYPERLINK("https://www.wikidata.org/wiki/Q3370965", "Q3370965")</f>
        <v>0</v>
      </c>
      <c r="O8012" t="s">
        <v>20000</v>
      </c>
      <c r="P8012" t="s">
        <v>20402</v>
      </c>
      <c r="Q8012" t="s">
        <v>20934</v>
      </c>
      <c r="R8012" t="s">
        <v>421</v>
      </c>
      <c r="S8012">
        <v>1486</v>
      </c>
    </row>
    <row r="8013" spans="1:19">
      <c r="A8013" t="s">
        <v>31</v>
      </c>
      <c r="B8013" t="s">
        <v>148</v>
      </c>
      <c r="C8013" t="s">
        <v>163</v>
      </c>
      <c r="D8013" t="s">
        <v>292</v>
      </c>
      <c r="E8013" t="s">
        <v>421</v>
      </c>
      <c r="F8013">
        <f>HYPERLINK("https://www.wikidata.org/wiki/Q33323183", "Q33323183")</f>
        <v>0</v>
      </c>
      <c r="G8013" t="s">
        <v>597</v>
      </c>
      <c r="H8013" t="s">
        <v>5358</v>
      </c>
      <c r="I8013" t="s">
        <v>6584</v>
      </c>
      <c r="J8013" t="s">
        <v>11348</v>
      </c>
      <c r="K8013" t="s">
        <v>15749</v>
      </c>
      <c r="L8013">
        <f>HYPERLINK("https://www2.assemblee-nationale.fr/sycomore/fiche/(num_dept)/2110", "2110")</f>
        <v>0</v>
      </c>
      <c r="N8013">
        <f>HYPERLINK("https://www.wikidata.org/wiki/Q2831073", "Q2831073")</f>
        <v>0</v>
      </c>
      <c r="O8013" t="s">
        <v>19976</v>
      </c>
      <c r="P8013" t="s">
        <v>20489</v>
      </c>
      <c r="Q8013" t="s">
        <v>20934</v>
      </c>
      <c r="R8013" t="s">
        <v>421</v>
      </c>
      <c r="S8013">
        <v>1486</v>
      </c>
    </row>
    <row r="8014" spans="1:19">
      <c r="A8014" t="s">
        <v>31</v>
      </c>
      <c r="B8014" t="s">
        <v>148</v>
      </c>
      <c r="C8014" t="s">
        <v>163</v>
      </c>
      <c r="D8014" t="s">
        <v>292</v>
      </c>
      <c r="E8014" t="s">
        <v>421</v>
      </c>
      <c r="F8014">
        <f>HYPERLINK("https://www.wikidata.org/wiki/Q33323183", "Q33323183")</f>
        <v>0</v>
      </c>
      <c r="G8014" t="s">
        <v>598</v>
      </c>
      <c r="H8014" t="s">
        <v>5359</v>
      </c>
      <c r="I8014" t="s">
        <v>9444</v>
      </c>
      <c r="J8014" t="s">
        <v>11349</v>
      </c>
      <c r="K8014" t="s">
        <v>15750</v>
      </c>
      <c r="L8014">
        <f>HYPERLINK("https://www2.assemblee-nationale.fr/sycomore/fiche/(num_dept)/2127", "2127")</f>
        <v>0</v>
      </c>
      <c r="N8014">
        <f>HYPERLINK("https://www.wikidata.org/wiki/Q16025516", "Q16025516")</f>
        <v>0</v>
      </c>
      <c r="O8014" t="s">
        <v>20013</v>
      </c>
      <c r="P8014" t="s">
        <v>20410</v>
      </c>
      <c r="Q8014" t="s">
        <v>20934</v>
      </c>
      <c r="R8014" t="s">
        <v>421</v>
      </c>
      <c r="S8014">
        <v>1486</v>
      </c>
    </row>
    <row r="8015" spans="1:19">
      <c r="A8015" t="s">
        <v>31</v>
      </c>
      <c r="B8015" t="s">
        <v>148</v>
      </c>
      <c r="C8015" t="s">
        <v>163</v>
      </c>
      <c r="D8015" t="s">
        <v>292</v>
      </c>
      <c r="E8015" t="s">
        <v>421</v>
      </c>
      <c r="F8015">
        <f>HYPERLINK("https://www.wikidata.org/wiki/Q33323183", "Q33323183")</f>
        <v>0</v>
      </c>
      <c r="G8015" t="s">
        <v>4174</v>
      </c>
      <c r="H8015" t="s">
        <v>6445</v>
      </c>
      <c r="I8015" t="s">
        <v>9457</v>
      </c>
      <c r="J8015" t="s">
        <v>14695</v>
      </c>
      <c r="K8015" t="s">
        <v>19036</v>
      </c>
      <c r="L8015">
        <f>HYPERLINK("https://www2.assemblee-nationale.fr/sycomore/fiche/(num_dept)/2163", "2163")</f>
        <v>0</v>
      </c>
      <c r="M8015">
        <f>HYPERLINK("https://www.senat.fr/senateur-3eme-republique/dauthy_henry0275r3.html", "dauthy_henry0275r3")</f>
        <v>0</v>
      </c>
      <c r="N8015">
        <f>HYPERLINK("https://www.wikidata.org/wiki/Q3132716", "Q3132716")</f>
        <v>0</v>
      </c>
      <c r="O8015" t="s">
        <v>19975</v>
      </c>
      <c r="P8015" t="s">
        <v>20401</v>
      </c>
      <c r="Q8015" t="s">
        <v>20934</v>
      </c>
      <c r="R8015" t="s">
        <v>421</v>
      </c>
      <c r="S8015">
        <v>1486</v>
      </c>
    </row>
    <row r="8016" spans="1:19">
      <c r="A8016" t="s">
        <v>31</v>
      </c>
      <c r="B8016" t="s">
        <v>148</v>
      </c>
      <c r="C8016" t="s">
        <v>163</v>
      </c>
      <c r="D8016" t="s">
        <v>292</v>
      </c>
      <c r="E8016" t="s">
        <v>421</v>
      </c>
      <c r="F8016">
        <f>HYPERLINK("https://www.wikidata.org/wiki/Q33323183", "Q33323183")</f>
        <v>0</v>
      </c>
      <c r="G8016" t="s">
        <v>600</v>
      </c>
      <c r="H8016" t="s">
        <v>5361</v>
      </c>
      <c r="I8016" t="s">
        <v>9446</v>
      </c>
      <c r="J8016" t="s">
        <v>11351</v>
      </c>
      <c r="K8016" t="s">
        <v>15752</v>
      </c>
      <c r="L8016">
        <f>HYPERLINK("https://www2.assemblee-nationale.fr/sycomore/fiche/(num_dept)/2171", "2171")</f>
        <v>0</v>
      </c>
      <c r="M8016">
        <f>HYPERLINK("https://www.senat.fr/senateur-3eme-republique/david_fernand1309r3.html", "david_fernand1309r3")</f>
        <v>0</v>
      </c>
      <c r="N8016">
        <f>HYPERLINK("https://www.wikidata.org/wiki/Q3069115", "Q3069115")</f>
        <v>0</v>
      </c>
      <c r="O8016" t="s">
        <v>20018</v>
      </c>
      <c r="P8016" t="s">
        <v>20402</v>
      </c>
      <c r="Q8016" t="s">
        <v>20934</v>
      </c>
      <c r="R8016" t="s">
        <v>421</v>
      </c>
      <c r="S8016">
        <v>1486</v>
      </c>
    </row>
    <row r="8017" spans="1:19">
      <c r="A8017" t="s">
        <v>31</v>
      </c>
      <c r="B8017" t="s">
        <v>148</v>
      </c>
      <c r="C8017" t="s">
        <v>163</v>
      </c>
      <c r="D8017" t="s">
        <v>292</v>
      </c>
      <c r="E8017" t="s">
        <v>421</v>
      </c>
      <c r="F8017">
        <f>HYPERLINK("https://www.wikidata.org/wiki/Q33323183", "Q33323183")</f>
        <v>0</v>
      </c>
      <c r="G8017" t="s">
        <v>3964</v>
      </c>
      <c r="H8017" t="s">
        <v>8212</v>
      </c>
      <c r="I8017" t="s">
        <v>11045</v>
      </c>
      <c r="J8017" t="s">
        <v>14514</v>
      </c>
      <c r="K8017" t="s">
        <v>18858</v>
      </c>
      <c r="L8017">
        <f>HYPERLINK("https://www2.assemblee-nationale.fr/sycomore/fiche/(num_dept)/2198", "2198")</f>
        <v>0</v>
      </c>
      <c r="N8017">
        <f>HYPERLINK("https://www.wikidata.org/wiki/Q16025530", "Q16025530")</f>
        <v>0</v>
      </c>
      <c r="O8017" t="s">
        <v>20002</v>
      </c>
      <c r="P8017" t="s">
        <v>20401</v>
      </c>
      <c r="Q8017" t="s">
        <v>20934</v>
      </c>
      <c r="R8017" t="s">
        <v>18858</v>
      </c>
      <c r="S8017">
        <v>89</v>
      </c>
    </row>
    <row r="8018" spans="1:19">
      <c r="A8018" t="s">
        <v>31</v>
      </c>
      <c r="B8018" t="s">
        <v>148</v>
      </c>
      <c r="C8018" t="s">
        <v>163</v>
      </c>
      <c r="D8018" t="s">
        <v>292</v>
      </c>
      <c r="E8018" t="s">
        <v>421</v>
      </c>
      <c r="F8018">
        <f>HYPERLINK("https://www.wikidata.org/wiki/Q33323183", "Q33323183")</f>
        <v>0</v>
      </c>
      <c r="G8018" t="s">
        <v>3761</v>
      </c>
      <c r="H8018" t="s">
        <v>8059</v>
      </c>
      <c r="I8018" t="s">
        <v>10966</v>
      </c>
      <c r="J8018" t="s">
        <v>12240</v>
      </c>
      <c r="K8018" t="s">
        <v>18686</v>
      </c>
      <c r="L8018">
        <f>HYPERLINK("https://www2.assemblee-nationale.fr/sycomore/fiche/(num_dept)/2207", "2207")</f>
        <v>0</v>
      </c>
      <c r="M8018">
        <f>HYPERLINK("https://www.senat.fr/senateur-3eme-republique/decker_david_paul0148r3.html", "decker_david_paul0148r3")</f>
        <v>0</v>
      </c>
      <c r="N8018">
        <f>HYPERLINK("https://www.wikidata.org/wiki/Q3370999", "Q3370999")</f>
        <v>0</v>
      </c>
      <c r="O8018" t="s">
        <v>20003</v>
      </c>
      <c r="P8018" t="s">
        <v>20489</v>
      </c>
      <c r="Q8018" t="s">
        <v>20934</v>
      </c>
      <c r="R8018" t="s">
        <v>421</v>
      </c>
      <c r="S8018">
        <v>1486</v>
      </c>
    </row>
    <row r="8019" spans="1:19">
      <c r="A8019" t="s">
        <v>31</v>
      </c>
      <c r="B8019" t="s">
        <v>148</v>
      </c>
      <c r="C8019" t="s">
        <v>163</v>
      </c>
      <c r="D8019" t="s">
        <v>292</v>
      </c>
      <c r="E8019" t="s">
        <v>421</v>
      </c>
      <c r="F8019">
        <f>HYPERLINK("https://www.wikidata.org/wiki/Q33323183", "Q33323183")</f>
        <v>0</v>
      </c>
      <c r="G8019" t="s">
        <v>602</v>
      </c>
      <c r="H8019" t="s">
        <v>5362</v>
      </c>
      <c r="I8019" t="s">
        <v>6158</v>
      </c>
      <c r="J8019" t="s">
        <v>11353</v>
      </c>
      <c r="K8019" t="s">
        <v>15754</v>
      </c>
      <c r="L8019">
        <f>HYPERLINK("https://www2.assemblee-nationale.fr/sycomore/fiche/(num_dept)/2217", "2217")</f>
        <v>0</v>
      </c>
      <c r="N8019">
        <f>HYPERLINK("https://www.wikidata.org/wiki/Q16025535", "Q16025535")</f>
        <v>0</v>
      </c>
      <c r="O8019" t="s">
        <v>20013</v>
      </c>
      <c r="P8019" t="s">
        <v>20489</v>
      </c>
      <c r="Q8019" t="s">
        <v>20934</v>
      </c>
      <c r="R8019" t="s">
        <v>421</v>
      </c>
      <c r="S8019">
        <v>1486</v>
      </c>
    </row>
    <row r="8020" spans="1:19">
      <c r="A8020" t="s">
        <v>31</v>
      </c>
      <c r="B8020" t="s">
        <v>148</v>
      </c>
      <c r="C8020" t="s">
        <v>163</v>
      </c>
      <c r="D8020" t="s">
        <v>292</v>
      </c>
      <c r="E8020" t="s">
        <v>421</v>
      </c>
      <c r="F8020">
        <f>HYPERLINK("https://www.wikidata.org/wiki/Q33323183", "Q33323183")</f>
        <v>0</v>
      </c>
      <c r="G8020" t="s">
        <v>3693</v>
      </c>
      <c r="H8020" t="s">
        <v>8015</v>
      </c>
      <c r="I8020" t="s">
        <v>10940</v>
      </c>
      <c r="J8020" t="s">
        <v>14268</v>
      </c>
      <c r="K8020" t="s">
        <v>16493</v>
      </c>
      <c r="L8020">
        <f>HYPERLINK("https://www2.assemblee-nationale.fr/sycomore/fiche/(num_dept)/2224", "2224")</f>
        <v>0</v>
      </c>
      <c r="M8020">
        <f>HYPERLINK("https://www.senat.fr/senateur-3eme-republique/defumade_alphonse0619r3.html", "defumade_alphonse0619r3")</f>
        <v>0</v>
      </c>
      <c r="N8020">
        <f>HYPERLINK("https://www.wikidata.org/wiki/Q2839764", "Q2839764")</f>
        <v>0</v>
      </c>
      <c r="O8020" t="s">
        <v>19979</v>
      </c>
      <c r="Q8020" t="s">
        <v>20934</v>
      </c>
      <c r="R8020" t="s">
        <v>21631</v>
      </c>
      <c r="S8020">
        <v>537</v>
      </c>
    </row>
    <row r="8021" spans="1:19">
      <c r="A8021" t="s">
        <v>31</v>
      </c>
      <c r="B8021" t="s">
        <v>148</v>
      </c>
      <c r="C8021" t="s">
        <v>163</v>
      </c>
      <c r="D8021" t="s">
        <v>292</v>
      </c>
      <c r="E8021" t="s">
        <v>421</v>
      </c>
      <c r="F8021">
        <f>HYPERLINK("https://www.wikidata.org/wiki/Q33323183", "Q33323183")</f>
        <v>0</v>
      </c>
      <c r="G8021" t="s">
        <v>4175</v>
      </c>
      <c r="H8021" t="s">
        <v>8373</v>
      </c>
      <c r="I8021" t="s">
        <v>11149</v>
      </c>
      <c r="J8021" t="s">
        <v>14696</v>
      </c>
      <c r="K8021" t="s">
        <v>16544</v>
      </c>
      <c r="L8021">
        <f>HYPERLINK("https://www2.assemblee-nationale.fr/sycomore/fiche/(num_dept)/2235", "2235")</f>
        <v>0</v>
      </c>
      <c r="M8021">
        <f>HYPERLINK("https://www.senat.fr/senateur-3eme-republique/dehove_joseph1380r3.html", "dehove_joseph1380r3")</f>
        <v>0</v>
      </c>
      <c r="N8021">
        <f>HYPERLINK("https://www.wikidata.org/wiki/Q3184820", "Q3184820")</f>
        <v>0</v>
      </c>
      <c r="O8021" t="s">
        <v>20013</v>
      </c>
      <c r="P8021" t="s">
        <v>20489</v>
      </c>
      <c r="Q8021" t="s">
        <v>20934</v>
      </c>
      <c r="R8021" t="s">
        <v>421</v>
      </c>
      <c r="S8021">
        <v>1486</v>
      </c>
    </row>
    <row r="8022" spans="1:19">
      <c r="A8022" t="s">
        <v>31</v>
      </c>
      <c r="B8022" t="s">
        <v>148</v>
      </c>
      <c r="C8022" t="s">
        <v>163</v>
      </c>
      <c r="D8022" t="s">
        <v>292</v>
      </c>
      <c r="E8022" t="s">
        <v>421</v>
      </c>
      <c r="F8022">
        <f>HYPERLINK("https://www.wikidata.org/wiki/Q33323183", "Q33323183")</f>
        <v>0</v>
      </c>
      <c r="G8022" t="s">
        <v>603</v>
      </c>
      <c r="H8022" t="s">
        <v>5363</v>
      </c>
      <c r="I8022" t="s">
        <v>9447</v>
      </c>
      <c r="J8022" t="s">
        <v>11354</v>
      </c>
      <c r="K8022" t="s">
        <v>15755</v>
      </c>
      <c r="L8022">
        <f>HYPERLINK("https://www2.assemblee-nationale.fr/sycomore/fiche/(num_dept)/2240", "2240")</f>
        <v>0</v>
      </c>
      <c r="N8022">
        <f>HYPERLINK("https://www.wikidata.org/wiki/Q11954687", "Q11954687")</f>
        <v>0</v>
      </c>
      <c r="O8022" t="s">
        <v>19969</v>
      </c>
      <c r="P8022" t="s">
        <v>20515</v>
      </c>
      <c r="Q8022" t="s">
        <v>20934</v>
      </c>
      <c r="R8022" t="s">
        <v>421</v>
      </c>
      <c r="S8022">
        <v>1486</v>
      </c>
    </row>
    <row r="8023" spans="1:19">
      <c r="A8023" t="s">
        <v>31</v>
      </c>
      <c r="B8023" t="s">
        <v>148</v>
      </c>
      <c r="C8023" t="s">
        <v>163</v>
      </c>
      <c r="D8023" t="s">
        <v>292</v>
      </c>
      <c r="E8023" t="s">
        <v>421</v>
      </c>
      <c r="F8023">
        <f>HYPERLINK("https://www.wikidata.org/wiki/Q33323183", "Q33323183")</f>
        <v>0</v>
      </c>
      <c r="G8023" t="s">
        <v>605</v>
      </c>
      <c r="H8023" t="s">
        <v>5365</v>
      </c>
      <c r="I8023" t="s">
        <v>9449</v>
      </c>
      <c r="J8023" t="s">
        <v>11356</v>
      </c>
      <c r="K8023" t="s">
        <v>15757</v>
      </c>
      <c r="L8023">
        <f>HYPERLINK("https://www2.assemblee-nationale.fr/sycomore/fiche/(num_dept)/2249", "2249")</f>
        <v>0</v>
      </c>
      <c r="N8023">
        <f>HYPERLINK("https://www.wikidata.org/wiki/Q3188520", "Q3188520")</f>
        <v>0</v>
      </c>
      <c r="O8023" t="s">
        <v>20009</v>
      </c>
      <c r="P8023" t="s">
        <v>20410</v>
      </c>
      <c r="Q8023" t="s">
        <v>20934</v>
      </c>
      <c r="R8023" t="s">
        <v>421</v>
      </c>
      <c r="S8023">
        <v>1486</v>
      </c>
    </row>
    <row r="8024" spans="1:19">
      <c r="A8024" t="s">
        <v>31</v>
      </c>
      <c r="B8024" t="s">
        <v>148</v>
      </c>
      <c r="C8024" t="s">
        <v>163</v>
      </c>
      <c r="D8024" t="s">
        <v>292</v>
      </c>
      <c r="E8024" t="s">
        <v>421</v>
      </c>
      <c r="F8024">
        <f>HYPERLINK("https://www.wikidata.org/wiki/Q33323183", "Q33323183")</f>
        <v>0</v>
      </c>
      <c r="G8024" t="s">
        <v>607</v>
      </c>
      <c r="H8024" t="s">
        <v>5367</v>
      </c>
      <c r="I8024" t="s">
        <v>9450</v>
      </c>
      <c r="J8024" t="s">
        <v>11358</v>
      </c>
      <c r="K8024" t="s">
        <v>15759</v>
      </c>
      <c r="L8024">
        <f>HYPERLINK("https://www2.assemblee-nationale.fr/sycomore/fiche/(num_dept)/2261", "2261")</f>
        <v>0</v>
      </c>
      <c r="N8024">
        <f>HYPERLINK("https://www.wikidata.org/wiki/Q8323934", "Q8323934")</f>
        <v>0</v>
      </c>
      <c r="O8024" t="s">
        <v>8449</v>
      </c>
      <c r="P8024" t="s">
        <v>20517</v>
      </c>
      <c r="Q8024" t="s">
        <v>20934</v>
      </c>
      <c r="R8024" t="s">
        <v>421</v>
      </c>
      <c r="S8024">
        <v>1486</v>
      </c>
    </row>
    <row r="8025" spans="1:19">
      <c r="A8025" t="s">
        <v>31</v>
      </c>
      <c r="B8025" t="s">
        <v>148</v>
      </c>
      <c r="C8025" t="s">
        <v>163</v>
      </c>
      <c r="D8025" t="s">
        <v>292</v>
      </c>
      <c r="E8025" t="s">
        <v>421</v>
      </c>
      <c r="F8025">
        <f>HYPERLINK("https://www.wikidata.org/wiki/Q33323183", "Q33323183")</f>
        <v>0</v>
      </c>
      <c r="G8025" t="s">
        <v>4176</v>
      </c>
      <c r="H8025" t="s">
        <v>7805</v>
      </c>
      <c r="I8025" t="s">
        <v>11150</v>
      </c>
      <c r="J8025" t="s">
        <v>11536</v>
      </c>
      <c r="K8025" t="s">
        <v>19037</v>
      </c>
      <c r="L8025">
        <f>HYPERLINK("https://www2.assemblee-nationale.fr/sycomore/fiche/(num_dept)/2276", "2276")</f>
        <v>0</v>
      </c>
      <c r="N8025">
        <f>HYPERLINK("https://www.wikidata.org/wiki/Q3419432", "Q3419432")</f>
        <v>0</v>
      </c>
      <c r="O8025" t="s">
        <v>19958</v>
      </c>
      <c r="P8025" t="s">
        <v>20489</v>
      </c>
      <c r="Q8025" t="s">
        <v>20934</v>
      </c>
      <c r="R8025" t="s">
        <v>421</v>
      </c>
      <c r="S8025">
        <v>1486</v>
      </c>
    </row>
    <row r="8026" spans="1:19">
      <c r="A8026" t="s">
        <v>31</v>
      </c>
      <c r="B8026" t="s">
        <v>148</v>
      </c>
      <c r="C8026" t="s">
        <v>163</v>
      </c>
      <c r="D8026" t="s">
        <v>292</v>
      </c>
      <c r="E8026" t="s">
        <v>421</v>
      </c>
      <c r="F8026">
        <f>HYPERLINK("https://www.wikidata.org/wiki/Q33323183", "Q33323183")</f>
        <v>0</v>
      </c>
      <c r="G8026" t="s">
        <v>3763</v>
      </c>
      <c r="H8026" t="s">
        <v>8061</v>
      </c>
      <c r="I8026" t="s">
        <v>10967</v>
      </c>
      <c r="J8026" t="s">
        <v>14334</v>
      </c>
      <c r="K8026" t="s">
        <v>18687</v>
      </c>
      <c r="L8026">
        <f>HYPERLINK("https://www2.assemblee-nationale.fr/sycomore/fiche/(num_dept)/2280", "2280")</f>
        <v>0</v>
      </c>
      <c r="N8026">
        <f>HYPERLINK("https://www.wikidata.org/wiki/Q3056919", "Q3056919")</f>
        <v>0</v>
      </c>
      <c r="O8026" t="s">
        <v>20026</v>
      </c>
      <c r="P8026" t="s">
        <v>20401</v>
      </c>
      <c r="Q8026" t="s">
        <v>20934</v>
      </c>
      <c r="R8026" t="s">
        <v>18687</v>
      </c>
      <c r="S8026">
        <v>948</v>
      </c>
    </row>
    <row r="8027" spans="1:19">
      <c r="A8027" t="s">
        <v>31</v>
      </c>
      <c r="B8027" t="s">
        <v>148</v>
      </c>
      <c r="C8027" t="s">
        <v>163</v>
      </c>
      <c r="D8027" t="s">
        <v>292</v>
      </c>
      <c r="E8027" t="s">
        <v>421</v>
      </c>
      <c r="F8027">
        <f>HYPERLINK("https://www.wikidata.org/wiki/Q33323183", "Q33323183")</f>
        <v>0</v>
      </c>
      <c r="G8027" t="s">
        <v>608</v>
      </c>
      <c r="H8027" t="s">
        <v>5368</v>
      </c>
      <c r="I8027" t="s">
        <v>9451</v>
      </c>
      <c r="J8027" t="s">
        <v>11359</v>
      </c>
      <c r="K8027" t="s">
        <v>15760</v>
      </c>
      <c r="L8027">
        <f>HYPERLINK("https://www2.assemblee-nationale.fr/sycomore/fiche/(num_dept)/2283", "2283")</f>
        <v>0</v>
      </c>
      <c r="N8027">
        <f>HYPERLINK("https://www.wikidata.org/wiki/Q503827", "Q503827")</f>
        <v>0</v>
      </c>
      <c r="O8027" t="s">
        <v>20019</v>
      </c>
      <c r="P8027" t="s">
        <v>20401</v>
      </c>
      <c r="Q8027" t="s">
        <v>20934</v>
      </c>
      <c r="R8027" t="s">
        <v>421</v>
      </c>
      <c r="S8027">
        <v>1486</v>
      </c>
    </row>
    <row r="8028" spans="1:19">
      <c r="A8028" t="s">
        <v>31</v>
      </c>
      <c r="B8028" t="s">
        <v>148</v>
      </c>
      <c r="C8028" t="s">
        <v>163</v>
      </c>
      <c r="D8028" t="s">
        <v>292</v>
      </c>
      <c r="E8028" t="s">
        <v>421</v>
      </c>
      <c r="F8028">
        <f>HYPERLINK("https://www.wikidata.org/wiki/Q33323183", "Q33323183")</f>
        <v>0</v>
      </c>
      <c r="G8028" t="s">
        <v>610</v>
      </c>
      <c r="H8028" t="s">
        <v>5370</v>
      </c>
      <c r="I8028" t="s">
        <v>6166</v>
      </c>
      <c r="J8028" t="s">
        <v>11361</v>
      </c>
      <c r="K8028" t="s">
        <v>15762</v>
      </c>
      <c r="L8028">
        <f>HYPERLINK("https://www2.assemblee-nationale.fr/sycomore/fiche/(num_dept)/2292", "2292")</f>
        <v>0</v>
      </c>
      <c r="N8028">
        <f>HYPERLINK("https://www.wikidata.org/wiki/Q16025549", "Q16025549")</f>
        <v>0</v>
      </c>
      <c r="O8028" t="s">
        <v>19968</v>
      </c>
      <c r="P8028" t="s">
        <v>20402</v>
      </c>
      <c r="Q8028" t="s">
        <v>20934</v>
      </c>
      <c r="R8028" t="s">
        <v>421</v>
      </c>
      <c r="S8028">
        <v>1486</v>
      </c>
    </row>
    <row r="8029" spans="1:19">
      <c r="A8029" t="s">
        <v>31</v>
      </c>
      <c r="B8029" t="s">
        <v>148</v>
      </c>
      <c r="C8029" t="s">
        <v>163</v>
      </c>
      <c r="D8029" t="s">
        <v>292</v>
      </c>
      <c r="E8029" t="s">
        <v>421</v>
      </c>
      <c r="F8029">
        <f>HYPERLINK("https://www.wikidata.org/wiki/Q33323183", "Q33323183")</f>
        <v>0</v>
      </c>
      <c r="G8029" t="s">
        <v>611</v>
      </c>
      <c r="H8029" t="s">
        <v>5371</v>
      </c>
      <c r="I8029" t="s">
        <v>9452</v>
      </c>
      <c r="J8029" t="s">
        <v>11362</v>
      </c>
      <c r="K8029" t="s">
        <v>15763</v>
      </c>
      <c r="L8029">
        <f>HYPERLINK("https://www2.assemblee-nationale.fr/sycomore/fiche/(num_dept)/2311", "2311")</f>
        <v>0</v>
      </c>
      <c r="N8029">
        <f>HYPERLINK("https://www.wikidata.org/wiki/Q16025554", "Q16025554")</f>
        <v>0</v>
      </c>
      <c r="O8029" t="s">
        <v>20020</v>
      </c>
      <c r="P8029" t="s">
        <v>20489</v>
      </c>
      <c r="Q8029" t="s">
        <v>20934</v>
      </c>
      <c r="R8029" t="s">
        <v>421</v>
      </c>
      <c r="S8029">
        <v>1486</v>
      </c>
    </row>
    <row r="8030" spans="1:19">
      <c r="A8030" t="s">
        <v>31</v>
      </c>
      <c r="B8030" t="s">
        <v>148</v>
      </c>
      <c r="C8030" t="s">
        <v>163</v>
      </c>
      <c r="D8030" t="s">
        <v>292</v>
      </c>
      <c r="E8030" t="s">
        <v>421</v>
      </c>
      <c r="F8030">
        <f>HYPERLINK("https://www.wikidata.org/wiki/Q33323183", "Q33323183")</f>
        <v>0</v>
      </c>
      <c r="G8030" t="s">
        <v>925</v>
      </c>
      <c r="H8030" t="s">
        <v>5681</v>
      </c>
      <c r="I8030" t="s">
        <v>9591</v>
      </c>
      <c r="J8030" t="s">
        <v>11667</v>
      </c>
      <c r="K8030" t="s">
        <v>16068</v>
      </c>
      <c r="L8030">
        <f>HYPERLINK("https://www2.assemblee-nationale.fr/sycomore/fiche/(num_dept)/2327", "2327")</f>
        <v>0</v>
      </c>
      <c r="M8030">
        <f>HYPERLINK("https://www.senat.fr/senateur-3eme-republique/deloncle_charles1374r3.html", "deloncle_charles1374r3")</f>
        <v>0</v>
      </c>
      <c r="N8030">
        <f>HYPERLINK("https://www.wikidata.org/wiki/Q2958871", "Q2958871")</f>
        <v>0</v>
      </c>
      <c r="O8030" t="s">
        <v>19969</v>
      </c>
      <c r="P8030" t="s">
        <v>20489</v>
      </c>
      <c r="Q8030" t="s">
        <v>20934</v>
      </c>
      <c r="R8030" t="s">
        <v>421</v>
      </c>
      <c r="S8030">
        <v>1486</v>
      </c>
    </row>
    <row r="8031" spans="1:19">
      <c r="A8031" t="s">
        <v>31</v>
      </c>
      <c r="B8031" t="s">
        <v>148</v>
      </c>
      <c r="C8031" t="s">
        <v>163</v>
      </c>
      <c r="D8031" t="s">
        <v>292</v>
      </c>
      <c r="E8031" t="s">
        <v>421</v>
      </c>
      <c r="F8031">
        <f>HYPERLINK("https://www.wikidata.org/wiki/Q33323183", "Q33323183")</f>
        <v>0</v>
      </c>
      <c r="G8031" t="s">
        <v>1121</v>
      </c>
      <c r="H8031" t="s">
        <v>5681</v>
      </c>
      <c r="I8031" t="s">
        <v>6166</v>
      </c>
      <c r="J8031" t="s">
        <v>11855</v>
      </c>
      <c r="K8031" t="s">
        <v>16257</v>
      </c>
      <c r="L8031">
        <f>HYPERLINK("https://www2.assemblee-nationale.fr/sycomore/fiche/(num_dept)/2328", "2328")</f>
        <v>0</v>
      </c>
      <c r="N8031">
        <f>HYPERLINK("https://www.wikidata.org/wiki/Q3084405", "Q3084405")</f>
        <v>0</v>
      </c>
      <c r="O8031" t="s">
        <v>20038</v>
      </c>
      <c r="P8031" t="s">
        <v>20402</v>
      </c>
      <c r="Q8031" t="s">
        <v>20934</v>
      </c>
      <c r="R8031" t="s">
        <v>421</v>
      </c>
      <c r="S8031">
        <v>1486</v>
      </c>
    </row>
    <row r="8032" spans="1:19">
      <c r="A8032" t="s">
        <v>31</v>
      </c>
      <c r="B8032" t="s">
        <v>148</v>
      </c>
      <c r="C8032" t="s">
        <v>163</v>
      </c>
      <c r="D8032" t="s">
        <v>292</v>
      </c>
      <c r="E8032" t="s">
        <v>421</v>
      </c>
      <c r="F8032">
        <f>HYPERLINK("https://www.wikidata.org/wiki/Q33323183", "Q33323183")</f>
        <v>0</v>
      </c>
      <c r="G8032" t="s">
        <v>926</v>
      </c>
      <c r="H8032" t="s">
        <v>5682</v>
      </c>
      <c r="I8032" t="s">
        <v>9421</v>
      </c>
      <c r="J8032" t="s">
        <v>11668</v>
      </c>
      <c r="K8032" t="s">
        <v>16069</v>
      </c>
      <c r="L8032">
        <f>HYPERLINK("https://www2.assemblee-nationale.fr/sycomore/fiche/(num_dept)/2335", "2335")</f>
        <v>0</v>
      </c>
      <c r="N8032">
        <f>HYPERLINK("https://www.wikidata.org/wiki/Q3121159", "Q3121159")</f>
        <v>0</v>
      </c>
      <c r="O8032" t="s">
        <v>20013</v>
      </c>
      <c r="P8032" t="s">
        <v>20515</v>
      </c>
      <c r="Q8032" t="s">
        <v>20934</v>
      </c>
      <c r="R8032" t="s">
        <v>421</v>
      </c>
      <c r="S8032">
        <v>1486</v>
      </c>
    </row>
    <row r="8033" spans="1:19">
      <c r="A8033" t="s">
        <v>31</v>
      </c>
      <c r="B8033" t="s">
        <v>148</v>
      </c>
      <c r="C8033" t="s">
        <v>163</v>
      </c>
      <c r="D8033" t="s">
        <v>292</v>
      </c>
      <c r="E8033" t="s">
        <v>421</v>
      </c>
      <c r="F8033">
        <f>HYPERLINK("https://www.wikidata.org/wiki/Q33323183", "Q33323183")</f>
        <v>0</v>
      </c>
      <c r="G8033" t="s">
        <v>612</v>
      </c>
      <c r="H8033" t="s">
        <v>5372</v>
      </c>
      <c r="I8033" t="s">
        <v>6495</v>
      </c>
      <c r="J8033" t="s">
        <v>11363</v>
      </c>
      <c r="K8033" t="s">
        <v>15764</v>
      </c>
      <c r="L8033">
        <f>HYPERLINK("https://www2.assemblee-nationale.fr/sycomore/fiche/(num_dept)/2362", "2362")</f>
        <v>0</v>
      </c>
      <c r="M8033">
        <f>HYPERLINK("https://www.senat.fr/senateur-3eme-republique/demellier_louis1641r3.html", "demellier_louis1641r3")</f>
        <v>0</v>
      </c>
      <c r="N8033">
        <f>HYPERLINK("https://www.wikidata.org/wiki/Q3261694", "Q3261694")</f>
        <v>0</v>
      </c>
      <c r="O8033" t="s">
        <v>20021</v>
      </c>
      <c r="P8033" t="s">
        <v>20401</v>
      </c>
      <c r="Q8033" t="s">
        <v>20934</v>
      </c>
      <c r="R8033" t="s">
        <v>421</v>
      </c>
      <c r="S8033">
        <v>1486</v>
      </c>
    </row>
    <row r="8034" spans="1:19">
      <c r="A8034" t="s">
        <v>31</v>
      </c>
      <c r="B8034" t="s">
        <v>148</v>
      </c>
      <c r="C8034" t="s">
        <v>163</v>
      </c>
      <c r="D8034" t="s">
        <v>292</v>
      </c>
      <c r="E8034" t="s">
        <v>421</v>
      </c>
      <c r="F8034">
        <f>HYPERLINK("https://www.wikidata.org/wiki/Q33323183", "Q33323183")</f>
        <v>0</v>
      </c>
      <c r="G8034" t="s">
        <v>3697</v>
      </c>
      <c r="H8034" t="s">
        <v>5834</v>
      </c>
      <c r="I8034" t="s">
        <v>9533</v>
      </c>
      <c r="J8034" t="s">
        <v>14272</v>
      </c>
      <c r="K8034" t="s">
        <v>18631</v>
      </c>
      <c r="L8034">
        <f>HYPERLINK("https://www2.assemblee-nationale.fr/sycomore/fiche/(num_dept)/2382", "2382")</f>
        <v>0</v>
      </c>
      <c r="N8034">
        <f>HYPERLINK("https://www.wikidata.org/wiki/Q3526409", "Q3526409")</f>
        <v>0</v>
      </c>
      <c r="O8034" t="s">
        <v>19995</v>
      </c>
      <c r="Q8034" t="s">
        <v>20934</v>
      </c>
      <c r="R8034" t="s">
        <v>18631</v>
      </c>
      <c r="S8034">
        <v>783</v>
      </c>
    </row>
    <row r="8035" spans="1:19">
      <c r="A8035" t="s">
        <v>31</v>
      </c>
      <c r="B8035" t="s">
        <v>148</v>
      </c>
      <c r="C8035" t="s">
        <v>163</v>
      </c>
      <c r="D8035" t="s">
        <v>292</v>
      </c>
      <c r="E8035" t="s">
        <v>421</v>
      </c>
      <c r="F8035">
        <f>HYPERLINK("https://www.wikidata.org/wiki/Q33323183", "Q33323183")</f>
        <v>0</v>
      </c>
      <c r="G8035" t="s">
        <v>929</v>
      </c>
      <c r="H8035" t="s">
        <v>5685</v>
      </c>
      <c r="I8035" t="s">
        <v>9465</v>
      </c>
      <c r="J8035" t="s">
        <v>11671</v>
      </c>
      <c r="K8035" t="s">
        <v>16072</v>
      </c>
      <c r="L8035">
        <f>HYPERLINK("https://www2.assemblee-nationale.fr/sycomore/fiche/(num_dept)/2411", "2411")</f>
        <v>0</v>
      </c>
      <c r="N8035">
        <f>HYPERLINK("https://www.wikidata.org/wiki/Q16025569", "Q16025569")</f>
        <v>0</v>
      </c>
      <c r="O8035" t="s">
        <v>20026</v>
      </c>
      <c r="P8035" t="s">
        <v>20489</v>
      </c>
      <c r="Q8035" t="s">
        <v>20934</v>
      </c>
      <c r="R8035" t="s">
        <v>421</v>
      </c>
      <c r="S8035">
        <v>1486</v>
      </c>
    </row>
    <row r="8036" spans="1:19">
      <c r="A8036" t="s">
        <v>31</v>
      </c>
      <c r="B8036" t="s">
        <v>148</v>
      </c>
      <c r="C8036" t="s">
        <v>163</v>
      </c>
      <c r="D8036" t="s">
        <v>292</v>
      </c>
      <c r="E8036" t="s">
        <v>421</v>
      </c>
      <c r="F8036">
        <f>HYPERLINK("https://www.wikidata.org/wiki/Q33323183", "Q33323183")</f>
        <v>0</v>
      </c>
      <c r="G8036" t="s">
        <v>613</v>
      </c>
      <c r="H8036" t="s">
        <v>5373</v>
      </c>
      <c r="I8036" t="s">
        <v>9388</v>
      </c>
      <c r="J8036" t="s">
        <v>11364</v>
      </c>
      <c r="K8036" t="s">
        <v>15765</v>
      </c>
      <c r="L8036">
        <f>HYPERLINK("https://www2.assemblee-nationale.fr/sycomore/fiche/(num_dept)/2425", "2425")</f>
        <v>0</v>
      </c>
      <c r="M8036">
        <f>HYPERLINK("https://www.senat.fr/senateur-3eme-republique/deschanel_paul0768r3.html", "deschanel_paul0768r3")</f>
        <v>0</v>
      </c>
      <c r="N8036">
        <f>HYPERLINK("https://www.wikidata.org/wiki/Q309995", "Q309995")</f>
        <v>0</v>
      </c>
      <c r="O8036" t="s">
        <v>19971</v>
      </c>
      <c r="P8036" t="s">
        <v>20457</v>
      </c>
      <c r="Q8036" t="s">
        <v>20934</v>
      </c>
      <c r="R8036" t="s">
        <v>421</v>
      </c>
      <c r="S8036">
        <v>1486</v>
      </c>
    </row>
    <row r="8037" spans="1:19">
      <c r="A8037" t="s">
        <v>31</v>
      </c>
      <c r="B8037" t="s">
        <v>148</v>
      </c>
      <c r="C8037" t="s">
        <v>163</v>
      </c>
      <c r="D8037" t="s">
        <v>292</v>
      </c>
      <c r="E8037" t="s">
        <v>421</v>
      </c>
      <c r="F8037">
        <f>HYPERLINK("https://www.wikidata.org/wiki/Q33323183", "Q33323183")</f>
        <v>0</v>
      </c>
      <c r="G8037" t="s">
        <v>930</v>
      </c>
      <c r="H8037" t="s">
        <v>5686</v>
      </c>
      <c r="I8037" t="s">
        <v>9449</v>
      </c>
      <c r="J8037" t="s">
        <v>11672</v>
      </c>
      <c r="K8037" t="s">
        <v>371</v>
      </c>
      <c r="L8037">
        <f>HYPERLINK("https://www2.assemblee-nationale.fr/sycomore/fiche/(num_dept)/2443", "2443")</f>
        <v>0</v>
      </c>
      <c r="N8037">
        <f>HYPERLINK("https://www.wikidata.org/wiki/Q3188533", "Q3188533")</f>
        <v>0</v>
      </c>
      <c r="O8037" t="s">
        <v>20015</v>
      </c>
      <c r="P8037" t="s">
        <v>20410</v>
      </c>
      <c r="Q8037" t="s">
        <v>20934</v>
      </c>
      <c r="R8037" t="s">
        <v>421</v>
      </c>
      <c r="S8037">
        <v>1486</v>
      </c>
    </row>
    <row r="8038" spans="1:19">
      <c r="A8038" t="s">
        <v>31</v>
      </c>
      <c r="B8038" t="s">
        <v>148</v>
      </c>
      <c r="C8038" t="s">
        <v>163</v>
      </c>
      <c r="D8038" t="s">
        <v>292</v>
      </c>
      <c r="E8038" t="s">
        <v>421</v>
      </c>
      <c r="F8038">
        <f>HYPERLINK("https://www.wikidata.org/wiki/Q33323183", "Q33323183")</f>
        <v>0</v>
      </c>
      <c r="G8038" t="s">
        <v>931</v>
      </c>
      <c r="H8038" t="s">
        <v>5687</v>
      </c>
      <c r="I8038" t="s">
        <v>6175</v>
      </c>
      <c r="J8038" t="s">
        <v>11673</v>
      </c>
      <c r="K8038" t="s">
        <v>16073</v>
      </c>
      <c r="L8038">
        <f>HYPERLINK("https://www2.assemblee-nationale.fr/sycomore/fiche/(num_dept)/2450", "2450")</f>
        <v>0</v>
      </c>
      <c r="N8038">
        <f>HYPERLINK("https://www.wikidata.org/wiki/Q3102597", "Q3102597")</f>
        <v>0</v>
      </c>
      <c r="O8038" t="s">
        <v>19969</v>
      </c>
      <c r="P8038" t="s">
        <v>20489</v>
      </c>
      <c r="Q8038" t="s">
        <v>20934</v>
      </c>
      <c r="R8038" t="s">
        <v>421</v>
      </c>
      <c r="S8038">
        <v>1486</v>
      </c>
    </row>
    <row r="8039" spans="1:19">
      <c r="A8039" t="s">
        <v>31</v>
      </c>
      <c r="B8039" t="s">
        <v>148</v>
      </c>
      <c r="C8039" t="s">
        <v>163</v>
      </c>
      <c r="D8039" t="s">
        <v>292</v>
      </c>
      <c r="E8039" t="s">
        <v>421</v>
      </c>
      <c r="F8039">
        <f>HYPERLINK("https://www.wikidata.org/wiki/Q33323183", "Q33323183")</f>
        <v>0</v>
      </c>
      <c r="G8039" t="s">
        <v>614</v>
      </c>
      <c r="H8039" t="s">
        <v>5374</v>
      </c>
      <c r="I8039" t="s">
        <v>9453</v>
      </c>
      <c r="J8039" t="s">
        <v>11365</v>
      </c>
      <c r="K8039" t="s">
        <v>15766</v>
      </c>
      <c r="L8039">
        <f>HYPERLINK("https://www2.assemblee-nationale.fr/sycomore/fiche/(num_dept)/2457", "2457")</f>
        <v>0</v>
      </c>
      <c r="N8039">
        <f>HYPERLINK("https://www.wikidata.org/wiki/Q2865038", "Q2865038")</f>
        <v>0</v>
      </c>
      <c r="O8039" t="s">
        <v>20022</v>
      </c>
      <c r="P8039" t="s">
        <v>20401</v>
      </c>
      <c r="Q8039" t="s">
        <v>20934</v>
      </c>
      <c r="R8039" t="s">
        <v>421</v>
      </c>
      <c r="S8039">
        <v>1486</v>
      </c>
    </row>
    <row r="8040" spans="1:19">
      <c r="A8040" t="s">
        <v>31</v>
      </c>
      <c r="B8040" t="s">
        <v>148</v>
      </c>
      <c r="C8040" t="s">
        <v>163</v>
      </c>
      <c r="D8040" t="s">
        <v>292</v>
      </c>
      <c r="E8040" t="s">
        <v>421</v>
      </c>
      <c r="F8040">
        <f>HYPERLINK("https://www.wikidata.org/wiki/Q33323183", "Q33323183")</f>
        <v>0</v>
      </c>
      <c r="G8040" t="s">
        <v>615</v>
      </c>
      <c r="H8040" t="s">
        <v>5375</v>
      </c>
      <c r="I8040" t="s">
        <v>9454</v>
      </c>
      <c r="J8040" t="s">
        <v>11354</v>
      </c>
      <c r="K8040" t="s">
        <v>15767</v>
      </c>
      <c r="L8040">
        <f>HYPERLINK("https://www2.assemblee-nationale.fr/sycomore/fiche/(num_dept)/2482", "2482")</f>
        <v>0</v>
      </c>
      <c r="M8040">
        <f>HYPERLINK("https://www.senat.fr/senateur-3eme-republique/devins_louis0521r3.html", "devins_louis0521r3")</f>
        <v>0</v>
      </c>
      <c r="N8040">
        <f>HYPERLINK("https://www.wikidata.org/wiki/Q3261724", "Q3261724")</f>
        <v>0</v>
      </c>
      <c r="O8040" t="s">
        <v>19993</v>
      </c>
      <c r="P8040" t="s">
        <v>20401</v>
      </c>
      <c r="Q8040" t="s">
        <v>20934</v>
      </c>
      <c r="R8040" t="s">
        <v>421</v>
      </c>
      <c r="S8040">
        <v>1486</v>
      </c>
    </row>
    <row r="8041" spans="1:19">
      <c r="A8041" t="s">
        <v>31</v>
      </c>
      <c r="B8041" t="s">
        <v>148</v>
      </c>
      <c r="C8041" t="s">
        <v>163</v>
      </c>
      <c r="D8041" t="s">
        <v>292</v>
      </c>
      <c r="E8041" t="s">
        <v>421</v>
      </c>
      <c r="F8041">
        <f>HYPERLINK("https://www.wikidata.org/wiki/Q33323183", "Q33323183")</f>
        <v>0</v>
      </c>
      <c r="G8041" t="s">
        <v>616</v>
      </c>
      <c r="H8041" t="s">
        <v>5376</v>
      </c>
      <c r="I8041" t="s">
        <v>6584</v>
      </c>
      <c r="J8041" t="s">
        <v>11366</v>
      </c>
      <c r="K8041" t="s">
        <v>15768</v>
      </c>
      <c r="L8041">
        <f>HYPERLINK("https://www2.assemblee-nationale.fr/sycomore/fiche/(num_dept)/2521", "2521")</f>
        <v>0</v>
      </c>
      <c r="M8041">
        <f>HYPERLINK("https://www.senat.fr/senateur-3eme-republique/de_dion_albert1292r3.html", "de_dion_albert1292r3")</f>
        <v>0</v>
      </c>
      <c r="N8041">
        <f>HYPERLINK("https://www.wikidata.org/wiki/Q971548", "Q971548")</f>
        <v>0</v>
      </c>
      <c r="O8041" t="s">
        <v>20023</v>
      </c>
      <c r="P8041" t="s">
        <v>20495</v>
      </c>
      <c r="Q8041" t="s">
        <v>20934</v>
      </c>
      <c r="R8041" t="s">
        <v>421</v>
      </c>
      <c r="S8041">
        <v>1486</v>
      </c>
    </row>
    <row r="8042" spans="1:19">
      <c r="A8042" t="s">
        <v>31</v>
      </c>
      <c r="B8042" t="s">
        <v>148</v>
      </c>
      <c r="C8042" t="s">
        <v>163</v>
      </c>
      <c r="D8042" t="s">
        <v>292</v>
      </c>
      <c r="E8042" t="s">
        <v>421</v>
      </c>
      <c r="F8042">
        <f>HYPERLINK("https://www.wikidata.org/wiki/Q33323183", "Q33323183")</f>
        <v>0</v>
      </c>
      <c r="G8042" t="s">
        <v>617</v>
      </c>
      <c r="H8042" t="s">
        <v>5377</v>
      </c>
      <c r="I8042" t="s">
        <v>9455</v>
      </c>
      <c r="J8042" t="s">
        <v>11367</v>
      </c>
      <c r="K8042" t="s">
        <v>15769</v>
      </c>
      <c r="L8042">
        <f>HYPERLINK("https://www2.assemblee-nationale.fr/sycomore/fiche/(num_dept)/2522", "2522")</f>
        <v>0</v>
      </c>
      <c r="N8042">
        <f>HYPERLINK("https://www.wikidata.org/wiki/Q3265475", "Q3265475")</f>
        <v>0</v>
      </c>
      <c r="O8042" t="s">
        <v>19985</v>
      </c>
      <c r="P8042" t="s">
        <v>20402</v>
      </c>
      <c r="Q8042" t="s">
        <v>20934</v>
      </c>
      <c r="R8042" t="s">
        <v>421</v>
      </c>
      <c r="S8042">
        <v>1486</v>
      </c>
    </row>
    <row r="8043" spans="1:19">
      <c r="A8043" t="s">
        <v>31</v>
      </c>
      <c r="B8043" t="s">
        <v>148</v>
      </c>
      <c r="C8043" t="s">
        <v>163</v>
      </c>
      <c r="D8043" t="s">
        <v>292</v>
      </c>
      <c r="E8043" t="s">
        <v>421</v>
      </c>
      <c r="F8043">
        <f>HYPERLINK("https://www.wikidata.org/wiki/Q33323183", "Q33323183")</f>
        <v>0</v>
      </c>
      <c r="G8043" t="s">
        <v>618</v>
      </c>
      <c r="H8043" t="s">
        <v>5378</v>
      </c>
      <c r="I8043" t="s">
        <v>9456</v>
      </c>
      <c r="J8043" t="s">
        <v>11368</v>
      </c>
      <c r="K8043" t="s">
        <v>15770</v>
      </c>
      <c r="L8043">
        <f>HYPERLINK("https://www2.assemblee-nationale.fr/sycomore/fiche/(num_dept)/2524", "2524")</f>
        <v>0</v>
      </c>
      <c r="N8043">
        <f>HYPERLINK("https://www.wikidata.org/wiki/Q16025600", "Q16025600")</f>
        <v>0</v>
      </c>
      <c r="O8043" t="s">
        <v>20021</v>
      </c>
      <c r="P8043" t="s">
        <v>20517</v>
      </c>
      <c r="Q8043" t="s">
        <v>20934</v>
      </c>
      <c r="R8043" t="s">
        <v>421</v>
      </c>
      <c r="S8043">
        <v>1486</v>
      </c>
    </row>
    <row r="8044" spans="1:19">
      <c r="A8044" t="s">
        <v>31</v>
      </c>
      <c r="B8044" t="s">
        <v>148</v>
      </c>
      <c r="C8044" t="s">
        <v>163</v>
      </c>
      <c r="D8044" t="s">
        <v>292</v>
      </c>
      <c r="E8044" t="s">
        <v>421</v>
      </c>
      <c r="F8044">
        <f>HYPERLINK("https://www.wikidata.org/wiki/Q33323183", "Q33323183")</f>
        <v>0</v>
      </c>
      <c r="G8044" t="s">
        <v>620</v>
      </c>
      <c r="H8044" t="s">
        <v>5380</v>
      </c>
      <c r="I8044" t="s">
        <v>9458</v>
      </c>
      <c r="J8044" t="s">
        <v>11370</v>
      </c>
      <c r="K8044" t="s">
        <v>15772</v>
      </c>
      <c r="L8044">
        <f>HYPERLINK("https://www2.assemblee-nationale.fr/sycomore/fiche/(num_dept)/2546", "2546")</f>
        <v>0</v>
      </c>
      <c r="M8044">
        <f>HYPERLINK("https://www.senat.fr/senateur-3eme-republique/donadei_alfred0125r3.html", "donadei_alfred0125r3")</f>
        <v>0</v>
      </c>
      <c r="N8044">
        <f>HYPERLINK("https://www.wikidata.org/wiki/Q2835074", "Q2835074")</f>
        <v>0</v>
      </c>
      <c r="O8044" t="s">
        <v>20024</v>
      </c>
      <c r="P8044" t="s">
        <v>20401</v>
      </c>
      <c r="Q8044" t="s">
        <v>20934</v>
      </c>
      <c r="R8044" t="s">
        <v>421</v>
      </c>
      <c r="S8044">
        <v>1486</v>
      </c>
    </row>
    <row r="8045" spans="1:19">
      <c r="A8045" t="s">
        <v>31</v>
      </c>
      <c r="B8045" t="s">
        <v>148</v>
      </c>
      <c r="C8045" t="s">
        <v>163</v>
      </c>
      <c r="D8045" t="s">
        <v>292</v>
      </c>
      <c r="E8045" t="s">
        <v>421</v>
      </c>
      <c r="F8045">
        <f>HYPERLINK("https://www.wikidata.org/wiki/Q33323183", "Q33323183")</f>
        <v>0</v>
      </c>
      <c r="G8045" t="s">
        <v>3381</v>
      </c>
      <c r="H8045" t="s">
        <v>7773</v>
      </c>
      <c r="I8045" t="s">
        <v>9388</v>
      </c>
      <c r="J8045" t="s">
        <v>13991</v>
      </c>
      <c r="K8045" t="s">
        <v>18361</v>
      </c>
      <c r="L8045">
        <f>HYPERLINK("https://www2.assemblee-nationale.fr/sycomore/fiche/(num_dept)/2569", "2569")</f>
        <v>0</v>
      </c>
      <c r="M8045">
        <f>HYPERLINK("https://www.senat.fr/senateur-3eme-republique/doumer_paul0473r3.html", "doumer_paul0473r3")</f>
        <v>0</v>
      </c>
      <c r="N8045">
        <f>HYPERLINK("https://www.wikidata.org/wiki/Q12680", "Q12680")</f>
        <v>0</v>
      </c>
      <c r="O8045" t="s">
        <v>20015</v>
      </c>
      <c r="P8045" t="s">
        <v>20401</v>
      </c>
      <c r="Q8045" t="s">
        <v>20934</v>
      </c>
      <c r="R8045" t="s">
        <v>421</v>
      </c>
      <c r="S8045">
        <v>1486</v>
      </c>
    </row>
    <row r="8046" spans="1:19">
      <c r="A8046" t="s">
        <v>31</v>
      </c>
      <c r="B8046" t="s">
        <v>148</v>
      </c>
      <c r="C8046" t="s">
        <v>163</v>
      </c>
      <c r="D8046" t="s">
        <v>292</v>
      </c>
      <c r="E8046" t="s">
        <v>421</v>
      </c>
      <c r="F8046">
        <f>HYPERLINK("https://www.wikidata.org/wiki/Q33323183", "Q33323183")</f>
        <v>0</v>
      </c>
      <c r="G8046" t="s">
        <v>3819</v>
      </c>
      <c r="H8046" t="s">
        <v>8103</v>
      </c>
      <c r="I8046" t="s">
        <v>9470</v>
      </c>
      <c r="J8046" t="s">
        <v>14385</v>
      </c>
      <c r="K8046" t="s">
        <v>18737</v>
      </c>
      <c r="L8046">
        <f>HYPERLINK("https://www2.assemblee-nationale.fr/sycomore/fiche/(num_dept)/2570", "2570")</f>
        <v>0</v>
      </c>
      <c r="M8046">
        <f>HYPERLINK("https://www.senat.fr/senateur-3eme-republique/doumergue_gaston0833r3.html", "doumergue_gaston0833r3")</f>
        <v>0</v>
      </c>
      <c r="N8046">
        <f>HYPERLINK("https://www.wikidata.org/wiki/Q296064", "Q296064")</f>
        <v>0</v>
      </c>
      <c r="O8046" t="s">
        <v>20014</v>
      </c>
      <c r="P8046" t="s">
        <v>20489</v>
      </c>
      <c r="Q8046" t="s">
        <v>20934</v>
      </c>
      <c r="R8046" t="s">
        <v>421</v>
      </c>
      <c r="S8046">
        <v>1486</v>
      </c>
    </row>
    <row r="8047" spans="1:19">
      <c r="A8047" t="s">
        <v>31</v>
      </c>
      <c r="B8047" t="s">
        <v>148</v>
      </c>
      <c r="C8047" t="s">
        <v>163</v>
      </c>
      <c r="D8047" t="s">
        <v>292</v>
      </c>
      <c r="E8047" t="s">
        <v>421</v>
      </c>
      <c r="F8047">
        <f>HYPERLINK("https://www.wikidata.org/wiki/Q33323183", "Q33323183")</f>
        <v>0</v>
      </c>
      <c r="G8047" t="s">
        <v>621</v>
      </c>
      <c r="H8047" t="s">
        <v>5381</v>
      </c>
      <c r="I8047" t="s">
        <v>9459</v>
      </c>
      <c r="J8047" t="s">
        <v>11371</v>
      </c>
      <c r="K8047" t="s">
        <v>15773</v>
      </c>
      <c r="L8047">
        <f>HYPERLINK("https://www2.assemblee-nationale.fr/sycomore/fiche/(num_dept)/2585", "2585")</f>
        <v>0</v>
      </c>
      <c r="N8047">
        <f>HYPERLINK("https://www.wikidata.org/wiki/Q16025610", "Q16025610")</f>
        <v>0</v>
      </c>
      <c r="O8047" t="s">
        <v>20025</v>
      </c>
      <c r="P8047" t="s">
        <v>20402</v>
      </c>
      <c r="Q8047" t="s">
        <v>20934</v>
      </c>
      <c r="R8047" t="s">
        <v>421</v>
      </c>
      <c r="S8047">
        <v>1486</v>
      </c>
    </row>
    <row r="8048" spans="1:19">
      <c r="A8048" t="s">
        <v>31</v>
      </c>
      <c r="B8048" t="s">
        <v>148</v>
      </c>
      <c r="C8048" t="s">
        <v>163</v>
      </c>
      <c r="D8048" t="s">
        <v>292</v>
      </c>
      <c r="E8048" t="s">
        <v>421</v>
      </c>
      <c r="F8048">
        <f>HYPERLINK("https://www.wikidata.org/wiki/Q33323183", "Q33323183")</f>
        <v>0</v>
      </c>
      <c r="G8048" t="s">
        <v>1165</v>
      </c>
      <c r="H8048" t="s">
        <v>5897</v>
      </c>
      <c r="I8048" t="s">
        <v>9446</v>
      </c>
      <c r="J8048" t="s">
        <v>11898</v>
      </c>
      <c r="K8048" t="s">
        <v>16300</v>
      </c>
      <c r="L8048">
        <f>HYPERLINK("https://www2.assemblee-nationale.fr/sycomore/fiche/(num_dept)/2610", "2610")</f>
        <v>0</v>
      </c>
      <c r="N8048">
        <f>HYPERLINK("https://www.wikidata.org/wiki/Q2646670", "Q2646670")</f>
        <v>0</v>
      </c>
      <c r="O8048" t="s">
        <v>19994</v>
      </c>
      <c r="P8048" t="s">
        <v>20489</v>
      </c>
      <c r="Q8048" t="s">
        <v>20934</v>
      </c>
      <c r="R8048" t="s">
        <v>421</v>
      </c>
      <c r="S8048">
        <v>1486</v>
      </c>
    </row>
    <row r="8049" spans="1:19">
      <c r="A8049" t="s">
        <v>31</v>
      </c>
      <c r="B8049" t="s">
        <v>148</v>
      </c>
      <c r="C8049" t="s">
        <v>163</v>
      </c>
      <c r="D8049" t="s">
        <v>292</v>
      </c>
      <c r="E8049" t="s">
        <v>421</v>
      </c>
      <c r="F8049">
        <f>HYPERLINK("https://www.wikidata.org/wiki/Q33323183", "Q33323183")</f>
        <v>0</v>
      </c>
      <c r="G8049" t="s">
        <v>4177</v>
      </c>
      <c r="H8049" t="s">
        <v>5695</v>
      </c>
      <c r="I8049" t="s">
        <v>11151</v>
      </c>
      <c r="J8049" t="s">
        <v>14697</v>
      </c>
      <c r="K8049" t="s">
        <v>19038</v>
      </c>
      <c r="L8049">
        <f>HYPERLINK("https://www2.assemblee-nationale.fr/sycomore/fiche/(num_dept)/2615", "2615")</f>
        <v>0</v>
      </c>
      <c r="N8049">
        <f>HYPERLINK("https://www.wikidata.org/wiki/Q13080807", "Q13080807")</f>
        <v>0</v>
      </c>
      <c r="O8049" t="s">
        <v>19969</v>
      </c>
      <c r="P8049" t="s">
        <v>20515</v>
      </c>
      <c r="Q8049" t="s">
        <v>20934</v>
      </c>
      <c r="R8049" t="s">
        <v>421</v>
      </c>
      <c r="S8049">
        <v>1486</v>
      </c>
    </row>
    <row r="8050" spans="1:19">
      <c r="A8050" t="s">
        <v>31</v>
      </c>
      <c r="B8050" t="s">
        <v>148</v>
      </c>
      <c r="C8050" t="s">
        <v>163</v>
      </c>
      <c r="D8050" t="s">
        <v>292</v>
      </c>
      <c r="E8050" t="s">
        <v>421</v>
      </c>
      <c r="F8050">
        <f>HYPERLINK("https://www.wikidata.org/wiki/Q33323183", "Q33323183")</f>
        <v>0</v>
      </c>
      <c r="G8050" t="s">
        <v>942</v>
      </c>
      <c r="H8050" t="s">
        <v>5698</v>
      </c>
      <c r="I8050" t="s">
        <v>9449</v>
      </c>
      <c r="J8050" t="s">
        <v>11683</v>
      </c>
      <c r="K8050" t="s">
        <v>16084</v>
      </c>
      <c r="L8050">
        <f>HYPERLINK("https://www2.assemblee-nationale.fr/sycomore/fiche/(num_dept)/2651", "2651")</f>
        <v>0</v>
      </c>
      <c r="M8050">
        <f>HYPERLINK("https://www.senat.fr/senateur-3eme-republique/duclaux_monteil_jules0135r3.html", "duclaux_monteil_jules0135r3")</f>
        <v>0</v>
      </c>
      <c r="N8050">
        <f>HYPERLINK("https://www.wikidata.org/wiki/Q3188550", "Q3188550")</f>
        <v>0</v>
      </c>
      <c r="O8050" t="s">
        <v>19991</v>
      </c>
      <c r="P8050" t="s">
        <v>20517</v>
      </c>
      <c r="Q8050" t="s">
        <v>20934</v>
      </c>
      <c r="R8050" t="s">
        <v>421</v>
      </c>
      <c r="S8050">
        <v>1486</v>
      </c>
    </row>
    <row r="8051" spans="1:19">
      <c r="A8051" t="s">
        <v>31</v>
      </c>
      <c r="B8051" t="s">
        <v>148</v>
      </c>
      <c r="C8051" t="s">
        <v>163</v>
      </c>
      <c r="D8051" t="s">
        <v>292</v>
      </c>
      <c r="E8051" t="s">
        <v>421</v>
      </c>
      <c r="F8051">
        <f>HYPERLINK("https://www.wikidata.org/wiki/Q33323183", "Q33323183")</f>
        <v>0</v>
      </c>
      <c r="G8051" t="s">
        <v>4162</v>
      </c>
      <c r="H8051" t="s">
        <v>8364</v>
      </c>
      <c r="I8051" t="s">
        <v>6860</v>
      </c>
      <c r="J8051" t="s">
        <v>14688</v>
      </c>
      <c r="K8051" t="s">
        <v>19025</v>
      </c>
      <c r="L8051">
        <f>HYPERLINK("https://www2.assemblee-nationale.fr/sycomore/fiche/(num_dept)/2662", "2662")</f>
        <v>0</v>
      </c>
      <c r="M8051">
        <f>HYPERLINK("https://www.senat.fr/senateur-3eme-republique/dudouyt_pierre1037r3.html", "dudouyt_pierre1037r3")</f>
        <v>0</v>
      </c>
      <c r="N8051">
        <f>HYPERLINK("https://www.wikidata.org/wiki/Q3384838", "Q3384838")</f>
        <v>0</v>
      </c>
      <c r="O8051" t="s">
        <v>19985</v>
      </c>
      <c r="P8051" t="s">
        <v>20459</v>
      </c>
      <c r="Q8051" t="s">
        <v>20934</v>
      </c>
      <c r="R8051" t="s">
        <v>421</v>
      </c>
      <c r="S8051">
        <v>1486</v>
      </c>
    </row>
    <row r="8052" spans="1:19">
      <c r="A8052" t="s">
        <v>31</v>
      </c>
      <c r="B8052" t="s">
        <v>148</v>
      </c>
      <c r="C8052" t="s">
        <v>163</v>
      </c>
      <c r="D8052" t="s">
        <v>292</v>
      </c>
      <c r="E8052" t="s">
        <v>421</v>
      </c>
      <c r="F8052">
        <f>HYPERLINK("https://www.wikidata.org/wiki/Q33323183", "Q33323183")</f>
        <v>0</v>
      </c>
      <c r="G8052" t="s">
        <v>623</v>
      </c>
      <c r="H8052" t="s">
        <v>5383</v>
      </c>
      <c r="I8052" t="s">
        <v>5394</v>
      </c>
      <c r="J8052" t="s">
        <v>11373</v>
      </c>
      <c r="K8052" t="s">
        <v>15775</v>
      </c>
      <c r="L8052">
        <f>HYPERLINK("https://www2.assemblee-nationale.fr/sycomore/fiche/(num_dept)/2685", "2685")</f>
        <v>0</v>
      </c>
      <c r="M8052">
        <f>HYPERLINK("https://www.senat.fr/senateur-3eme-republique/dujardin_beaumetz_henri0274r3.html", "dujardin_beaumetz_henri0274r3")</f>
        <v>0</v>
      </c>
      <c r="N8052">
        <f>HYPERLINK("https://www.wikidata.org/wiki/Q289596", "Q289596")</f>
        <v>0</v>
      </c>
      <c r="O8052" t="s">
        <v>19960</v>
      </c>
      <c r="P8052" t="s">
        <v>20401</v>
      </c>
      <c r="Q8052" t="s">
        <v>20934</v>
      </c>
      <c r="R8052" t="s">
        <v>421</v>
      </c>
      <c r="S8052">
        <v>1486</v>
      </c>
    </row>
    <row r="8053" spans="1:19">
      <c r="A8053" t="s">
        <v>31</v>
      </c>
      <c r="B8053" t="s">
        <v>148</v>
      </c>
      <c r="C8053" t="s">
        <v>163</v>
      </c>
      <c r="D8053" t="s">
        <v>292</v>
      </c>
      <c r="E8053" t="s">
        <v>421</v>
      </c>
      <c r="F8053">
        <f>HYPERLINK("https://www.wikidata.org/wiki/Q33323183", "Q33323183")</f>
        <v>0</v>
      </c>
      <c r="G8053" t="s">
        <v>4178</v>
      </c>
      <c r="H8053" t="s">
        <v>8374</v>
      </c>
      <c r="I8053" t="s">
        <v>11152</v>
      </c>
      <c r="J8053" t="s">
        <v>14698</v>
      </c>
      <c r="K8053" t="s">
        <v>19039</v>
      </c>
      <c r="L8053">
        <f>HYPERLINK("https://www2.assemblee-nationale.fr/sycomore/fiche/(num_dept)/2726", "2726")</f>
        <v>0</v>
      </c>
      <c r="N8053">
        <f>HYPERLINK("https://www.wikidata.org/wiki/Q16025825", "Q16025825")</f>
        <v>0</v>
      </c>
      <c r="O8053" t="s">
        <v>19970</v>
      </c>
      <c r="P8053" t="s">
        <v>20517</v>
      </c>
      <c r="Q8053" t="s">
        <v>20934</v>
      </c>
      <c r="R8053" t="s">
        <v>421</v>
      </c>
      <c r="S8053">
        <v>1486</v>
      </c>
    </row>
    <row r="8054" spans="1:19">
      <c r="A8054" t="s">
        <v>31</v>
      </c>
      <c r="B8054" t="s">
        <v>148</v>
      </c>
      <c r="C8054" t="s">
        <v>163</v>
      </c>
      <c r="D8054" t="s">
        <v>292</v>
      </c>
      <c r="E8054" t="s">
        <v>421</v>
      </c>
      <c r="F8054">
        <f>HYPERLINK("https://www.wikidata.org/wiki/Q33323183", "Q33323183")</f>
        <v>0</v>
      </c>
      <c r="G8054" t="s">
        <v>627</v>
      </c>
      <c r="H8054" t="s">
        <v>5387</v>
      </c>
      <c r="I8054" t="s">
        <v>6860</v>
      </c>
      <c r="J8054" t="s">
        <v>11377</v>
      </c>
      <c r="K8054" t="s">
        <v>15779</v>
      </c>
      <c r="L8054">
        <f>HYPERLINK("https://www2.assemblee-nationale.fr/sycomore/fiche/(num_dept)/2743", "2743")</f>
        <v>0</v>
      </c>
      <c r="N8054">
        <f>HYPERLINK("https://www.wikidata.org/wiki/Q3384871", "Q3384871")</f>
        <v>0</v>
      </c>
      <c r="O8054" t="s">
        <v>19987</v>
      </c>
      <c r="P8054" t="s">
        <v>20457</v>
      </c>
      <c r="Q8054" t="s">
        <v>20934</v>
      </c>
      <c r="R8054" t="s">
        <v>421</v>
      </c>
      <c r="S8054">
        <v>1486</v>
      </c>
    </row>
    <row r="8055" spans="1:19">
      <c r="A8055" t="s">
        <v>31</v>
      </c>
      <c r="B8055" t="s">
        <v>148</v>
      </c>
      <c r="C8055" t="s">
        <v>163</v>
      </c>
      <c r="D8055" t="s">
        <v>292</v>
      </c>
      <c r="E8055" t="s">
        <v>421</v>
      </c>
      <c r="F8055">
        <f>HYPERLINK("https://www.wikidata.org/wiki/Q33323183", "Q33323183")</f>
        <v>0</v>
      </c>
      <c r="G8055" t="s">
        <v>3972</v>
      </c>
      <c r="H8055" t="s">
        <v>8217</v>
      </c>
      <c r="I8055" t="s">
        <v>11048</v>
      </c>
      <c r="J8055" t="s">
        <v>14521</v>
      </c>
      <c r="K8055" t="s">
        <v>18865</v>
      </c>
      <c r="L8055">
        <f>HYPERLINK("https://www2.assemblee-nationale.fr/sycomore/fiche/(num_dept)/2746", "2746")</f>
        <v>0</v>
      </c>
      <c r="N8055">
        <f>HYPERLINK("https://www.wikidata.org/wiki/Q3357269", "Q3357269")</f>
        <v>0</v>
      </c>
      <c r="O8055" t="s">
        <v>20035</v>
      </c>
      <c r="P8055" t="s">
        <v>20459</v>
      </c>
      <c r="Q8055" t="s">
        <v>20934</v>
      </c>
      <c r="R8055" t="s">
        <v>421</v>
      </c>
      <c r="S8055">
        <v>1486</v>
      </c>
    </row>
    <row r="8056" spans="1:19">
      <c r="A8056" t="s">
        <v>31</v>
      </c>
      <c r="B8056" t="s">
        <v>148</v>
      </c>
      <c r="C8056" t="s">
        <v>163</v>
      </c>
      <c r="D8056" t="s">
        <v>292</v>
      </c>
      <c r="E8056" t="s">
        <v>421</v>
      </c>
      <c r="F8056">
        <f>HYPERLINK("https://www.wikidata.org/wiki/Q33323183", "Q33323183")</f>
        <v>0</v>
      </c>
      <c r="G8056" t="s">
        <v>629</v>
      </c>
      <c r="H8056" t="s">
        <v>5388</v>
      </c>
      <c r="I8056" t="s">
        <v>9462</v>
      </c>
      <c r="J8056" t="s">
        <v>11379</v>
      </c>
      <c r="K8056" t="s">
        <v>15781</v>
      </c>
      <c r="L8056">
        <f>HYPERLINK("https://www2.assemblee-nationale.fr/sycomore/fiche/(num_dept)/2758", "2758")</f>
        <v>0</v>
      </c>
      <c r="N8056">
        <f>HYPERLINK("https://www.wikidata.org/wiki/Q16025655", "Q16025655")</f>
        <v>0</v>
      </c>
      <c r="O8056" t="s">
        <v>19993</v>
      </c>
      <c r="P8056" t="s">
        <v>20517</v>
      </c>
      <c r="Q8056" t="s">
        <v>20934</v>
      </c>
      <c r="R8056" t="s">
        <v>421</v>
      </c>
      <c r="S8056">
        <v>1486</v>
      </c>
    </row>
    <row r="8057" spans="1:19">
      <c r="A8057" t="s">
        <v>31</v>
      </c>
      <c r="B8057" t="s">
        <v>148</v>
      </c>
      <c r="C8057" t="s">
        <v>163</v>
      </c>
      <c r="D8057" t="s">
        <v>292</v>
      </c>
      <c r="E8057" t="s">
        <v>421</v>
      </c>
      <c r="F8057">
        <f>HYPERLINK("https://www.wikidata.org/wiki/Q33323183", "Q33323183")</f>
        <v>0</v>
      </c>
      <c r="G8057" t="s">
        <v>631</v>
      </c>
      <c r="H8057" t="s">
        <v>5390</v>
      </c>
      <c r="I8057" t="s">
        <v>7642</v>
      </c>
      <c r="J8057" t="s">
        <v>11381</v>
      </c>
      <c r="K8057" t="s">
        <v>15783</v>
      </c>
      <c r="L8057">
        <f>HYPERLINK("https://www2.assemblee-nationale.fr/sycomore/fiche/(num_dept)/2795", "2795")</f>
        <v>0</v>
      </c>
      <c r="N8057">
        <f>HYPERLINK("https://www.wikidata.org/wiki/Q3300740", "Q3300740")</f>
        <v>0</v>
      </c>
      <c r="O8057" t="s">
        <v>19984</v>
      </c>
      <c r="P8057" t="s">
        <v>20410</v>
      </c>
      <c r="Q8057" t="s">
        <v>20934</v>
      </c>
      <c r="R8057" t="s">
        <v>421</v>
      </c>
      <c r="S8057">
        <v>1486</v>
      </c>
    </row>
    <row r="8058" spans="1:19">
      <c r="A8058" t="s">
        <v>31</v>
      </c>
      <c r="B8058" t="s">
        <v>148</v>
      </c>
      <c r="C8058" t="s">
        <v>163</v>
      </c>
      <c r="D8058" t="s">
        <v>292</v>
      </c>
      <c r="E8058" t="s">
        <v>421</v>
      </c>
      <c r="F8058">
        <f>HYPERLINK("https://www.wikidata.org/wiki/Q33323183", "Q33323183")</f>
        <v>0</v>
      </c>
      <c r="G8058" t="s">
        <v>4029</v>
      </c>
      <c r="H8058" t="s">
        <v>8261</v>
      </c>
      <c r="I8058" t="s">
        <v>11071</v>
      </c>
      <c r="J8058" t="s">
        <v>13694</v>
      </c>
      <c r="K8058" t="s">
        <v>18915</v>
      </c>
      <c r="L8058">
        <f>HYPERLINK("https://www2.assemblee-nationale.fr/sycomore/fiche/(num_dept)/2826", "2826")</f>
        <v>0</v>
      </c>
      <c r="M8058">
        <f>HYPERLINK("https://www.senat.fr/senateur-3eme-republique/empereur_cesar1301r3.html", "empereur_cesar1301r3")</f>
        <v>0</v>
      </c>
      <c r="N8058">
        <f>HYPERLINK("https://www.wikidata.org/wiki/Q3010447", "Q3010447")</f>
        <v>0</v>
      </c>
      <c r="O8058" t="s">
        <v>19988</v>
      </c>
      <c r="Q8058" t="s">
        <v>20934</v>
      </c>
      <c r="R8058" t="s">
        <v>21632</v>
      </c>
      <c r="S8058">
        <v>1002</v>
      </c>
    </row>
    <row r="8059" spans="1:19">
      <c r="A8059" t="s">
        <v>31</v>
      </c>
      <c r="B8059" t="s">
        <v>148</v>
      </c>
      <c r="C8059" t="s">
        <v>163</v>
      </c>
      <c r="D8059" t="s">
        <v>292</v>
      </c>
      <c r="E8059" t="s">
        <v>421</v>
      </c>
      <c r="F8059">
        <f>HYPERLINK("https://www.wikidata.org/wiki/Q33323183", "Q33323183")</f>
        <v>0</v>
      </c>
      <c r="G8059" t="s">
        <v>633</v>
      </c>
      <c r="H8059" t="s">
        <v>5392</v>
      </c>
      <c r="I8059" t="s">
        <v>9446</v>
      </c>
      <c r="J8059" t="s">
        <v>11383</v>
      </c>
      <c r="K8059" t="s">
        <v>15785</v>
      </c>
      <c r="L8059">
        <f>HYPERLINK("https://www2.assemblee-nationale.fr/sycomore/fiche/(num_dept)/2829", "2829")</f>
        <v>0</v>
      </c>
      <c r="N8059">
        <f>HYPERLINK("https://www.wikidata.org/wiki/Q3069139", "Q3069139")</f>
        <v>0</v>
      </c>
      <c r="O8059" t="s">
        <v>20009</v>
      </c>
      <c r="P8059" t="s">
        <v>20495</v>
      </c>
      <c r="Q8059" t="s">
        <v>20934</v>
      </c>
      <c r="R8059" t="s">
        <v>421</v>
      </c>
      <c r="S8059">
        <v>1486</v>
      </c>
    </row>
    <row r="8060" spans="1:19">
      <c r="A8060" t="s">
        <v>31</v>
      </c>
      <c r="B8060" t="s">
        <v>148</v>
      </c>
      <c r="C8060" t="s">
        <v>163</v>
      </c>
      <c r="D8060" t="s">
        <v>292</v>
      </c>
      <c r="E8060" t="s">
        <v>421</v>
      </c>
      <c r="F8060">
        <f>HYPERLINK("https://www.wikidata.org/wiki/Q33323183", "Q33323183")</f>
        <v>0</v>
      </c>
      <c r="G8060" t="s">
        <v>635</v>
      </c>
      <c r="H8060" t="s">
        <v>5394</v>
      </c>
      <c r="I8060" t="s">
        <v>9465</v>
      </c>
      <c r="J8060" t="s">
        <v>11385</v>
      </c>
      <c r="K8060" t="s">
        <v>15787</v>
      </c>
      <c r="L8060">
        <f>HYPERLINK("https://www2.assemblee-nationale.fr/sycomore/fiche/(num_dept)/2861", "2861")</f>
        <v>0</v>
      </c>
      <c r="M8060">
        <f>HYPERLINK("https://www.senat.fr/senateur-3eme-republique/etienne_eugene1824r3.html", "etienne_eugene1824r3")</f>
        <v>0</v>
      </c>
      <c r="N8060">
        <f>HYPERLINK("https://www.wikidata.org/wiki/Q2612305", "Q2612305")</f>
        <v>0</v>
      </c>
      <c r="O8060" t="s">
        <v>20000</v>
      </c>
      <c r="P8060" t="s">
        <v>20457</v>
      </c>
      <c r="Q8060" t="s">
        <v>20934</v>
      </c>
      <c r="R8060" t="s">
        <v>421</v>
      </c>
      <c r="S8060">
        <v>1486</v>
      </c>
    </row>
    <row r="8061" spans="1:19">
      <c r="A8061" t="s">
        <v>31</v>
      </c>
      <c r="B8061" t="s">
        <v>148</v>
      </c>
      <c r="C8061" t="s">
        <v>163</v>
      </c>
      <c r="D8061" t="s">
        <v>292</v>
      </c>
      <c r="E8061" t="s">
        <v>421</v>
      </c>
      <c r="F8061">
        <f>HYPERLINK("https://www.wikidata.org/wiki/Q33323183", "Q33323183")</f>
        <v>0</v>
      </c>
      <c r="G8061" t="s">
        <v>3437</v>
      </c>
      <c r="H8061" t="s">
        <v>7815</v>
      </c>
      <c r="I8061" t="s">
        <v>9612</v>
      </c>
      <c r="J8061" t="s">
        <v>14041</v>
      </c>
      <c r="K8061" t="s">
        <v>18409</v>
      </c>
      <c r="L8061">
        <f>HYPERLINK("https://www2.assemblee-nationale.fr/sycomore/fiche/(num_dept)/2864", "2864")</f>
        <v>0</v>
      </c>
      <c r="N8061">
        <f>HYPERLINK("https://www.wikidata.org/wiki/Q16025675", "Q16025675")</f>
        <v>0</v>
      </c>
      <c r="O8061" t="s">
        <v>19981</v>
      </c>
      <c r="P8061" t="s">
        <v>20489</v>
      </c>
      <c r="Q8061" t="s">
        <v>20934</v>
      </c>
      <c r="R8061" t="s">
        <v>421</v>
      </c>
      <c r="S8061">
        <v>1486</v>
      </c>
    </row>
    <row r="8062" spans="1:19">
      <c r="A8062" t="s">
        <v>31</v>
      </c>
      <c r="B8062" t="s">
        <v>148</v>
      </c>
      <c r="C8062" t="s">
        <v>163</v>
      </c>
      <c r="D8062" t="s">
        <v>292</v>
      </c>
      <c r="E8062" t="s">
        <v>421</v>
      </c>
      <c r="F8062">
        <f>HYPERLINK("https://www.wikidata.org/wiki/Q33323183", "Q33323183")</f>
        <v>0</v>
      </c>
      <c r="G8062" t="s">
        <v>637</v>
      </c>
      <c r="H8062" t="s">
        <v>5396</v>
      </c>
      <c r="I8062" t="s">
        <v>9466</v>
      </c>
      <c r="J8062" t="s">
        <v>11387</v>
      </c>
      <c r="K8062" t="s">
        <v>15789</v>
      </c>
      <c r="L8062">
        <f>HYPERLINK("https://www2.assemblee-nationale.fr/sycomore/fiche/(num_dept)/2892", "2892")</f>
        <v>0</v>
      </c>
      <c r="N8062">
        <f>HYPERLINK("https://www.wikidata.org/wiki/Q16025680", "Q16025680")</f>
        <v>0</v>
      </c>
      <c r="O8062" t="s">
        <v>19969</v>
      </c>
      <c r="P8062" t="s">
        <v>20459</v>
      </c>
      <c r="Q8062" t="s">
        <v>20934</v>
      </c>
      <c r="R8062" t="s">
        <v>421</v>
      </c>
      <c r="S8062">
        <v>1486</v>
      </c>
    </row>
    <row r="8063" spans="1:19">
      <c r="A8063" t="s">
        <v>31</v>
      </c>
      <c r="B8063" t="s">
        <v>148</v>
      </c>
      <c r="C8063" t="s">
        <v>163</v>
      </c>
      <c r="D8063" t="s">
        <v>292</v>
      </c>
      <c r="E8063" t="s">
        <v>421</v>
      </c>
      <c r="F8063">
        <f>HYPERLINK("https://www.wikidata.org/wiki/Q33323183", "Q33323183")</f>
        <v>0</v>
      </c>
      <c r="G8063" t="s">
        <v>639</v>
      </c>
      <c r="H8063" t="s">
        <v>5398</v>
      </c>
      <c r="I8063" t="s">
        <v>9389</v>
      </c>
      <c r="J8063" t="s">
        <v>11389</v>
      </c>
      <c r="K8063" t="s">
        <v>15791</v>
      </c>
      <c r="L8063">
        <f>HYPERLINK("https://www2.assemblee-nationale.fr/sycomore/fiche/(num_dept)/2938", "2938")</f>
        <v>0</v>
      </c>
      <c r="N8063">
        <f>HYPERLINK("https://www.wikidata.org/wiki/Q3588494", "Q3588494")</f>
        <v>0</v>
      </c>
      <c r="O8063" t="s">
        <v>20018</v>
      </c>
      <c r="P8063" t="s">
        <v>20485</v>
      </c>
      <c r="Q8063" t="s">
        <v>20934</v>
      </c>
      <c r="R8063" t="s">
        <v>421</v>
      </c>
      <c r="S8063">
        <v>1486</v>
      </c>
    </row>
    <row r="8064" spans="1:19">
      <c r="A8064" t="s">
        <v>31</v>
      </c>
      <c r="B8064" t="s">
        <v>148</v>
      </c>
      <c r="C8064" t="s">
        <v>163</v>
      </c>
      <c r="D8064" t="s">
        <v>292</v>
      </c>
      <c r="E8064" t="s">
        <v>421</v>
      </c>
      <c r="F8064">
        <f>HYPERLINK("https://www.wikidata.org/wiki/Q33323183", "Q33323183")</f>
        <v>0</v>
      </c>
      <c r="G8064" t="s">
        <v>3975</v>
      </c>
      <c r="H8064" t="s">
        <v>8218</v>
      </c>
      <c r="I8064" t="s">
        <v>9507</v>
      </c>
      <c r="J8064" t="s">
        <v>14524</v>
      </c>
      <c r="K8064" t="s">
        <v>18868</v>
      </c>
      <c r="L8064">
        <f>HYPERLINK("https://www2.assemblee-nationale.fr/sycomore/fiche/(num_dept)/2974", "2974")</f>
        <v>0</v>
      </c>
      <c r="N8064">
        <f>HYPERLINK("https://www.wikidata.org/wiki/Q16025692", "Q16025692")</f>
        <v>0</v>
      </c>
      <c r="O8064" t="s">
        <v>20042</v>
      </c>
      <c r="P8064" t="s">
        <v>20515</v>
      </c>
      <c r="Q8064" t="s">
        <v>20934</v>
      </c>
      <c r="R8064" t="s">
        <v>421</v>
      </c>
      <c r="S8064">
        <v>1486</v>
      </c>
    </row>
    <row r="8065" spans="1:19">
      <c r="A8065" t="s">
        <v>31</v>
      </c>
      <c r="B8065" t="s">
        <v>148</v>
      </c>
      <c r="C8065" t="s">
        <v>163</v>
      </c>
      <c r="D8065" t="s">
        <v>292</v>
      </c>
      <c r="E8065" t="s">
        <v>421</v>
      </c>
      <c r="F8065">
        <f>HYPERLINK("https://www.wikidata.org/wiki/Q33323183", "Q33323183")</f>
        <v>0</v>
      </c>
      <c r="G8065" t="s">
        <v>1461</v>
      </c>
      <c r="H8065" t="s">
        <v>6161</v>
      </c>
      <c r="I8065" t="s">
        <v>9817</v>
      </c>
      <c r="J8065" t="s">
        <v>12180</v>
      </c>
      <c r="K8065" t="s">
        <v>16586</v>
      </c>
      <c r="L8065">
        <f>HYPERLINK("https://www2.assemblee-nationale.fr/sycomore/fiche/(num_dept)/2976", "2976")</f>
        <v>0</v>
      </c>
      <c r="N8065">
        <f>HYPERLINK("https://www.wikidata.org/wiki/Q3132776", "Q3132776")</f>
        <v>0</v>
      </c>
      <c r="O8065" t="s">
        <v>20030</v>
      </c>
      <c r="P8065" t="s">
        <v>20410</v>
      </c>
      <c r="Q8065" t="s">
        <v>20934</v>
      </c>
      <c r="R8065" t="s">
        <v>421</v>
      </c>
      <c r="S8065">
        <v>1486</v>
      </c>
    </row>
    <row r="8066" spans="1:19">
      <c r="A8066" t="s">
        <v>31</v>
      </c>
      <c r="B8066" t="s">
        <v>148</v>
      </c>
      <c r="C8066" t="s">
        <v>163</v>
      </c>
      <c r="D8066" t="s">
        <v>292</v>
      </c>
      <c r="E8066" t="s">
        <v>421</v>
      </c>
      <c r="F8066">
        <f>HYPERLINK("https://www.wikidata.org/wiki/Q33323183", "Q33323183")</f>
        <v>0</v>
      </c>
      <c r="G8066" t="s">
        <v>4118</v>
      </c>
      <c r="H8066" t="s">
        <v>8328</v>
      </c>
      <c r="I8066" t="s">
        <v>9534</v>
      </c>
      <c r="J8066" t="s">
        <v>14652</v>
      </c>
      <c r="K8066" t="s">
        <v>18988</v>
      </c>
      <c r="L8066">
        <f>HYPERLINK("https://www2.assemblee-nationale.fr/sycomore/fiche/(num_dept)/2979", "2979")</f>
        <v>0</v>
      </c>
      <c r="N8066">
        <f>HYPERLINK("https://www.wikidata.org/wiki/Q16025696", "Q16025696")</f>
        <v>0</v>
      </c>
      <c r="O8066" t="s">
        <v>20044</v>
      </c>
      <c r="P8066" t="s">
        <v>20489</v>
      </c>
      <c r="Q8066" t="s">
        <v>20934</v>
      </c>
      <c r="R8066" t="s">
        <v>18988</v>
      </c>
      <c r="S8066">
        <v>32</v>
      </c>
    </row>
    <row r="8067" spans="1:19">
      <c r="A8067" t="s">
        <v>31</v>
      </c>
      <c r="B8067" t="s">
        <v>148</v>
      </c>
      <c r="C8067" t="s">
        <v>163</v>
      </c>
      <c r="D8067" t="s">
        <v>292</v>
      </c>
      <c r="E8067" t="s">
        <v>421</v>
      </c>
      <c r="F8067">
        <f>HYPERLINK("https://www.wikidata.org/wiki/Q33323183", "Q33323183")</f>
        <v>0</v>
      </c>
      <c r="G8067" t="s">
        <v>642</v>
      </c>
      <c r="H8067" t="s">
        <v>5401</v>
      </c>
      <c r="I8067" t="s">
        <v>9407</v>
      </c>
      <c r="J8067" t="s">
        <v>11392</v>
      </c>
      <c r="K8067" t="s">
        <v>15794</v>
      </c>
      <c r="L8067">
        <f>HYPERLINK("https://www2.assemblee-nationale.fr/sycomore/fiche/(num_dept)/3017", "3017")</f>
        <v>0</v>
      </c>
      <c r="N8067">
        <f>HYPERLINK("https://www.wikidata.org/wiki/Q16025704", "Q16025704")</f>
        <v>0</v>
      </c>
      <c r="O8067" t="s">
        <v>20027</v>
      </c>
      <c r="P8067" t="s">
        <v>20489</v>
      </c>
      <c r="Q8067" t="s">
        <v>20934</v>
      </c>
      <c r="R8067" t="s">
        <v>421</v>
      </c>
      <c r="S8067">
        <v>1486</v>
      </c>
    </row>
    <row r="8068" spans="1:19">
      <c r="A8068" t="s">
        <v>31</v>
      </c>
      <c r="B8068" t="s">
        <v>148</v>
      </c>
      <c r="C8068" t="s">
        <v>163</v>
      </c>
      <c r="D8068" t="s">
        <v>292</v>
      </c>
      <c r="E8068" t="s">
        <v>421</v>
      </c>
      <c r="F8068">
        <f>HYPERLINK("https://www.wikidata.org/wiki/Q33323183", "Q33323183")</f>
        <v>0</v>
      </c>
      <c r="G8068" t="s">
        <v>643</v>
      </c>
      <c r="H8068" t="s">
        <v>5402</v>
      </c>
      <c r="I8068" t="s">
        <v>9442</v>
      </c>
      <c r="J8068" t="s">
        <v>11393</v>
      </c>
      <c r="K8068" t="s">
        <v>15795</v>
      </c>
      <c r="L8068">
        <f>HYPERLINK("https://www2.assemblee-nationale.fr/sycomore/fiche/(num_dept)/3021", "3021")</f>
        <v>0</v>
      </c>
      <c r="N8068">
        <f>HYPERLINK("https://www.wikidata.org/wiki/Q3056952", "Q3056952")</f>
        <v>0</v>
      </c>
      <c r="O8068" t="s">
        <v>20009</v>
      </c>
      <c r="P8068" t="s">
        <v>20495</v>
      </c>
      <c r="Q8068" t="s">
        <v>20934</v>
      </c>
      <c r="R8068" t="s">
        <v>421</v>
      </c>
      <c r="S8068">
        <v>1486</v>
      </c>
    </row>
    <row r="8069" spans="1:19">
      <c r="A8069" t="s">
        <v>31</v>
      </c>
      <c r="B8069" t="s">
        <v>148</v>
      </c>
      <c r="C8069" t="s">
        <v>163</v>
      </c>
      <c r="D8069" t="s">
        <v>292</v>
      </c>
      <c r="E8069" t="s">
        <v>421</v>
      </c>
      <c r="F8069">
        <f>HYPERLINK("https://www.wikidata.org/wiki/Q33323183", "Q33323183")</f>
        <v>0</v>
      </c>
      <c r="G8069" t="s">
        <v>3776</v>
      </c>
      <c r="H8069" t="s">
        <v>5402</v>
      </c>
      <c r="I8069" t="s">
        <v>9516</v>
      </c>
      <c r="J8069" t="s">
        <v>14346</v>
      </c>
      <c r="K8069" t="s">
        <v>18698</v>
      </c>
      <c r="L8069">
        <f>HYPERLINK("https://www2.assemblee-nationale.fr/sycomore/fiche/(num_dept)/3022", "3022")</f>
        <v>0</v>
      </c>
      <c r="M8069">
        <f>HYPERLINK("https://www.senat.fr/senateur-3eme-republique/flandin_etienne1832r3.html", "flandin_etienne1832r3")</f>
        <v>0</v>
      </c>
      <c r="N8069">
        <f>HYPERLINK("https://www.wikidata.org/wiki/Q3592162", "Q3592162")</f>
        <v>0</v>
      </c>
      <c r="O8069" t="s">
        <v>20034</v>
      </c>
      <c r="P8069" t="s">
        <v>20459</v>
      </c>
      <c r="Q8069" t="s">
        <v>20934</v>
      </c>
      <c r="R8069" t="s">
        <v>21633</v>
      </c>
      <c r="S8069">
        <v>1062</v>
      </c>
    </row>
    <row r="8070" spans="1:19">
      <c r="A8070" t="s">
        <v>31</v>
      </c>
      <c r="B8070" t="s">
        <v>148</v>
      </c>
      <c r="C8070" t="s">
        <v>163</v>
      </c>
      <c r="D8070" t="s">
        <v>292</v>
      </c>
      <c r="E8070" t="s">
        <v>421</v>
      </c>
      <c r="F8070">
        <f>HYPERLINK("https://www.wikidata.org/wiki/Q33323183", "Q33323183")</f>
        <v>0</v>
      </c>
      <c r="G8070" t="s">
        <v>644</v>
      </c>
      <c r="H8070" t="s">
        <v>5403</v>
      </c>
      <c r="I8070" t="s">
        <v>7642</v>
      </c>
      <c r="J8070" t="s">
        <v>11394</v>
      </c>
      <c r="K8070" t="s">
        <v>15796</v>
      </c>
      <c r="L8070">
        <f>HYPERLINK("https://www2.assemblee-nationale.fr/sycomore/fiche/(num_dept)/3025", "3025")</f>
        <v>0</v>
      </c>
      <c r="M8070">
        <f>HYPERLINK("https://www.senat.fr/senateur-3eme-republique/flayelle_maurice1800r3.html", "flayelle_maurice1800r3")</f>
        <v>0</v>
      </c>
      <c r="N8070">
        <f>HYPERLINK("https://www.wikidata.org/wiki/Q3300781", "Q3300781")</f>
        <v>0</v>
      </c>
      <c r="O8070" t="s">
        <v>20017</v>
      </c>
      <c r="P8070" t="s">
        <v>20409</v>
      </c>
      <c r="Q8070" t="s">
        <v>20934</v>
      </c>
      <c r="R8070" t="s">
        <v>421</v>
      </c>
      <c r="S8070">
        <v>1486</v>
      </c>
    </row>
    <row r="8071" spans="1:19">
      <c r="A8071" t="s">
        <v>31</v>
      </c>
      <c r="B8071" t="s">
        <v>148</v>
      </c>
      <c r="C8071" t="s">
        <v>163</v>
      </c>
      <c r="D8071" t="s">
        <v>292</v>
      </c>
      <c r="E8071" t="s">
        <v>421</v>
      </c>
      <c r="F8071">
        <f>HYPERLINK("https://www.wikidata.org/wiki/Q33323183", "Q33323183")</f>
        <v>0</v>
      </c>
      <c r="G8071" t="s">
        <v>4179</v>
      </c>
      <c r="H8071" t="s">
        <v>8375</v>
      </c>
      <c r="I8071" t="s">
        <v>9389</v>
      </c>
      <c r="J8071" t="s">
        <v>14699</v>
      </c>
      <c r="K8071" t="s">
        <v>19040</v>
      </c>
      <c r="L8071">
        <f>HYPERLINK("https://www2.assemblee-nationale.fr/sycomore/fiche/(num_dept)/3026", "3026")</f>
        <v>0</v>
      </c>
      <c r="N8071">
        <f>HYPERLINK("https://www.wikidata.org/wiki/Q16025706", "Q16025706")</f>
        <v>0</v>
      </c>
      <c r="O8071" t="s">
        <v>20017</v>
      </c>
      <c r="P8071" t="s">
        <v>20401</v>
      </c>
      <c r="Q8071" t="s">
        <v>20934</v>
      </c>
      <c r="R8071" t="s">
        <v>421</v>
      </c>
      <c r="S8071">
        <v>1486</v>
      </c>
    </row>
    <row r="8072" spans="1:19">
      <c r="A8072" t="s">
        <v>31</v>
      </c>
      <c r="B8072" t="s">
        <v>148</v>
      </c>
      <c r="C8072" t="s">
        <v>163</v>
      </c>
      <c r="D8072" t="s">
        <v>292</v>
      </c>
      <c r="E8072" t="s">
        <v>421</v>
      </c>
      <c r="F8072">
        <f>HYPERLINK("https://www.wikidata.org/wiki/Q33323183", "Q33323183")</f>
        <v>0</v>
      </c>
      <c r="G8072" t="s">
        <v>646</v>
      </c>
      <c r="H8072" t="s">
        <v>5405</v>
      </c>
      <c r="I8072" t="s">
        <v>9467</v>
      </c>
      <c r="J8072" t="s">
        <v>11396</v>
      </c>
      <c r="K8072" t="s">
        <v>15798</v>
      </c>
      <c r="L8072">
        <f>HYPERLINK("https://www2.assemblee-nationale.fr/sycomore/fiche/(num_dept)/3039", "3039")</f>
        <v>0</v>
      </c>
      <c r="N8072">
        <f>HYPERLINK("https://www.wikidata.org/wiki/Q3014859", "Q3014859")</f>
        <v>0</v>
      </c>
      <c r="O8072" t="s">
        <v>19978</v>
      </c>
      <c r="P8072" t="s">
        <v>20402</v>
      </c>
      <c r="Q8072" t="s">
        <v>20934</v>
      </c>
      <c r="R8072" t="s">
        <v>421</v>
      </c>
      <c r="S8072">
        <v>1486</v>
      </c>
    </row>
    <row r="8073" spans="1:19">
      <c r="A8073" t="s">
        <v>31</v>
      </c>
      <c r="B8073" t="s">
        <v>148</v>
      </c>
      <c r="C8073" t="s">
        <v>163</v>
      </c>
      <c r="D8073" t="s">
        <v>292</v>
      </c>
      <c r="E8073" t="s">
        <v>421</v>
      </c>
      <c r="F8073">
        <f>HYPERLINK("https://www.wikidata.org/wiki/Q33323183", "Q33323183")</f>
        <v>0</v>
      </c>
      <c r="G8073" t="s">
        <v>1173</v>
      </c>
      <c r="H8073" t="s">
        <v>5904</v>
      </c>
      <c r="I8073" t="s">
        <v>9692</v>
      </c>
      <c r="J8073" t="s">
        <v>11906</v>
      </c>
      <c r="K8073" t="s">
        <v>16308</v>
      </c>
      <c r="L8073">
        <f>HYPERLINK("https://www2.assemblee-nationale.fr/sycomore/fiche/(num_dept)/3045", "3045")</f>
        <v>0</v>
      </c>
      <c r="M8073">
        <f>HYPERLINK("https://www.senat.fr/senateur-3eme-republique/de_fontaines_raymond1746r3.html", "de_fontaines_raymond1746r3")</f>
        <v>0</v>
      </c>
      <c r="N8073">
        <f>HYPERLINK("https://www.wikidata.org/wiki/Q3421220", "Q3421220")</f>
        <v>0</v>
      </c>
      <c r="O8073" t="s">
        <v>19972</v>
      </c>
      <c r="P8073" t="s">
        <v>20410</v>
      </c>
      <c r="Q8073" t="s">
        <v>20934</v>
      </c>
      <c r="R8073" t="s">
        <v>421</v>
      </c>
      <c r="S8073">
        <v>1486</v>
      </c>
    </row>
    <row r="8074" spans="1:19">
      <c r="A8074" t="s">
        <v>31</v>
      </c>
      <c r="B8074" t="s">
        <v>148</v>
      </c>
      <c r="C8074" t="s">
        <v>163</v>
      </c>
      <c r="D8074" t="s">
        <v>292</v>
      </c>
      <c r="E8074" t="s">
        <v>421</v>
      </c>
      <c r="F8074">
        <f>HYPERLINK("https://www.wikidata.org/wiki/Q33323183", "Q33323183")</f>
        <v>0</v>
      </c>
      <c r="G8074" t="s">
        <v>647</v>
      </c>
      <c r="H8074" t="s">
        <v>5406</v>
      </c>
      <c r="I8074" t="s">
        <v>6166</v>
      </c>
      <c r="J8074" t="s">
        <v>11397</v>
      </c>
      <c r="K8074" t="s">
        <v>15799</v>
      </c>
      <c r="L8074">
        <f>HYPERLINK("https://www2.assemblee-nationale.fr/sycomore/fiche/(num_dept)/3054", "3054")</f>
        <v>0</v>
      </c>
      <c r="N8074">
        <f>HYPERLINK("https://www.wikidata.org/wiki/Q3084624", "Q3084624")</f>
        <v>0</v>
      </c>
      <c r="O8074" t="s">
        <v>19961</v>
      </c>
      <c r="P8074" t="s">
        <v>20410</v>
      </c>
      <c r="Q8074" t="s">
        <v>20934</v>
      </c>
      <c r="R8074" t="s">
        <v>421</v>
      </c>
      <c r="S8074">
        <v>1486</v>
      </c>
    </row>
    <row r="8075" spans="1:19">
      <c r="A8075" t="s">
        <v>31</v>
      </c>
      <c r="B8075" t="s">
        <v>148</v>
      </c>
      <c r="C8075" t="s">
        <v>163</v>
      </c>
      <c r="D8075" t="s">
        <v>292</v>
      </c>
      <c r="E8075" t="s">
        <v>421</v>
      </c>
      <c r="F8075">
        <f>HYPERLINK("https://www.wikidata.org/wiki/Q33323183", "Q33323183")</f>
        <v>0</v>
      </c>
      <c r="G8075" t="s">
        <v>4170</v>
      </c>
      <c r="H8075" t="s">
        <v>8370</v>
      </c>
      <c r="I8075" t="s">
        <v>9483</v>
      </c>
      <c r="J8075" t="s">
        <v>12120</v>
      </c>
      <c r="K8075" t="s">
        <v>19032</v>
      </c>
      <c r="L8075">
        <f>HYPERLINK("https://www2.assemblee-nationale.fr/sycomore/fiche/(num_dept)/3064", "3064")</f>
        <v>0</v>
      </c>
      <c r="N8075">
        <f>HYPERLINK("https://www.wikidata.org/wiki/Q16025717", "Q16025717")</f>
        <v>0</v>
      </c>
      <c r="O8075" t="s">
        <v>19965</v>
      </c>
      <c r="P8075" t="s">
        <v>20485</v>
      </c>
      <c r="Q8075" t="s">
        <v>20934</v>
      </c>
      <c r="R8075" t="s">
        <v>421</v>
      </c>
      <c r="S8075">
        <v>1486</v>
      </c>
    </row>
    <row r="8076" spans="1:19">
      <c r="A8076" t="s">
        <v>31</v>
      </c>
      <c r="B8076" t="s">
        <v>148</v>
      </c>
      <c r="C8076" t="s">
        <v>163</v>
      </c>
      <c r="D8076" t="s">
        <v>292</v>
      </c>
      <c r="E8076" t="s">
        <v>421</v>
      </c>
      <c r="F8076">
        <f>HYPERLINK("https://www.wikidata.org/wiki/Q33323183", "Q33323183")</f>
        <v>0</v>
      </c>
      <c r="G8076" t="s">
        <v>650</v>
      </c>
      <c r="H8076" t="s">
        <v>5409</v>
      </c>
      <c r="I8076" t="s">
        <v>9469</v>
      </c>
      <c r="J8076" t="s">
        <v>11400</v>
      </c>
      <c r="K8076" t="s">
        <v>15802</v>
      </c>
      <c r="L8076">
        <f>HYPERLINK("https://www2.assemblee-nationale.fr/sycomore/fiche/(num_dept)/3084", "3084")</f>
        <v>0</v>
      </c>
      <c r="N8076">
        <f>HYPERLINK("https://www.wikidata.org/wiki/Q3261915", "Q3261915")</f>
        <v>0</v>
      </c>
      <c r="O8076" t="s">
        <v>19992</v>
      </c>
      <c r="P8076" t="s">
        <v>20409</v>
      </c>
      <c r="Q8076" t="s">
        <v>20934</v>
      </c>
      <c r="R8076" t="s">
        <v>421</v>
      </c>
      <c r="S8076">
        <v>1486</v>
      </c>
    </row>
    <row r="8077" spans="1:19">
      <c r="A8077" t="s">
        <v>31</v>
      </c>
      <c r="B8077" t="s">
        <v>148</v>
      </c>
      <c r="C8077" t="s">
        <v>163</v>
      </c>
      <c r="D8077" t="s">
        <v>292</v>
      </c>
      <c r="E8077" t="s">
        <v>421</v>
      </c>
      <c r="F8077">
        <f>HYPERLINK("https://www.wikidata.org/wiki/Q33323183", "Q33323183")</f>
        <v>0</v>
      </c>
      <c r="G8077" t="s">
        <v>4180</v>
      </c>
      <c r="H8077" t="s">
        <v>8376</v>
      </c>
      <c r="I8077" t="s">
        <v>11153</v>
      </c>
      <c r="J8077" t="s">
        <v>14700</v>
      </c>
      <c r="K8077" t="s">
        <v>16551</v>
      </c>
      <c r="L8077">
        <f>HYPERLINK("https://www2.assemblee-nationale.fr/sycomore/fiche/(num_dept)/3109", "3109")</f>
        <v>0</v>
      </c>
      <c r="N8077">
        <f>HYPERLINK("https://www.wikidata.org/wiki/Q3526340", "Q3526340")</f>
        <v>0</v>
      </c>
      <c r="O8077" t="s">
        <v>20008</v>
      </c>
      <c r="P8077" t="s">
        <v>20489</v>
      </c>
      <c r="Q8077" t="s">
        <v>20934</v>
      </c>
      <c r="R8077" t="s">
        <v>421</v>
      </c>
      <c r="S8077">
        <v>1486</v>
      </c>
    </row>
    <row r="8078" spans="1:19">
      <c r="A8078" t="s">
        <v>31</v>
      </c>
      <c r="B8078" t="s">
        <v>148</v>
      </c>
      <c r="C8078" t="s">
        <v>163</v>
      </c>
      <c r="D8078" t="s">
        <v>292</v>
      </c>
      <c r="E8078" t="s">
        <v>421</v>
      </c>
      <c r="F8078">
        <f>HYPERLINK("https://www.wikidata.org/wiki/Q33323183", "Q33323183")</f>
        <v>0</v>
      </c>
      <c r="G8078" t="s">
        <v>2581</v>
      </c>
      <c r="H8078" t="s">
        <v>7133</v>
      </c>
      <c r="I8078" t="s">
        <v>9421</v>
      </c>
      <c r="J8078" t="s">
        <v>13225</v>
      </c>
      <c r="K8078" t="s">
        <v>17628</v>
      </c>
      <c r="L8078">
        <f>HYPERLINK("https://www2.assemblee-nationale.fr/sycomore/fiche/(num_dept)/3132", "3132")</f>
        <v>0</v>
      </c>
      <c r="N8078">
        <f>HYPERLINK("https://www.wikidata.org/wiki/Q28123320", "Q28123320")</f>
        <v>0</v>
      </c>
      <c r="O8078" t="s">
        <v>20029</v>
      </c>
      <c r="P8078" t="s">
        <v>20485</v>
      </c>
      <c r="Q8078" t="s">
        <v>20934</v>
      </c>
      <c r="R8078" t="s">
        <v>17628</v>
      </c>
      <c r="S8078">
        <v>1358</v>
      </c>
    </row>
    <row r="8079" spans="1:19">
      <c r="A8079" t="s">
        <v>31</v>
      </c>
      <c r="B8079" t="s">
        <v>148</v>
      </c>
      <c r="C8079" t="s">
        <v>163</v>
      </c>
      <c r="D8079" t="s">
        <v>292</v>
      </c>
      <c r="E8079" t="s">
        <v>421</v>
      </c>
      <c r="F8079">
        <f>HYPERLINK("https://www.wikidata.org/wiki/Q33323183", "Q33323183")</f>
        <v>0</v>
      </c>
      <c r="G8079" t="s">
        <v>4062</v>
      </c>
      <c r="H8079" t="s">
        <v>8285</v>
      </c>
      <c r="I8079" t="s">
        <v>11088</v>
      </c>
      <c r="J8079" t="s">
        <v>14602</v>
      </c>
      <c r="K8079" t="s">
        <v>16720</v>
      </c>
      <c r="L8079">
        <f>HYPERLINK("https://www2.assemblee-nationale.fr/sycomore/fiche/(num_dept)/3190", "3190")</f>
        <v>0</v>
      </c>
      <c r="M8079">
        <f>HYPERLINK("https://www.senat.fr/senateur-3eme-republique/gabrielli_thadee0481r3.html", "gabrielli_thadee0481r3")</f>
        <v>0</v>
      </c>
      <c r="N8079">
        <f>HYPERLINK("https://www.wikidata.org/wiki/Q3519412", "Q3519412")</f>
        <v>0</v>
      </c>
      <c r="O8079" t="s">
        <v>19955</v>
      </c>
      <c r="P8079" t="s">
        <v>20402</v>
      </c>
      <c r="Q8079" t="s">
        <v>20934</v>
      </c>
      <c r="R8079" t="s">
        <v>21625</v>
      </c>
      <c r="S8079">
        <v>991</v>
      </c>
    </row>
    <row r="8080" spans="1:19">
      <c r="A8080" t="s">
        <v>31</v>
      </c>
      <c r="B8080" t="s">
        <v>148</v>
      </c>
      <c r="C8080" t="s">
        <v>163</v>
      </c>
      <c r="D8080" t="s">
        <v>292</v>
      </c>
      <c r="E8080" t="s">
        <v>421</v>
      </c>
      <c r="F8080">
        <f>HYPERLINK("https://www.wikidata.org/wiki/Q33323183", "Q33323183")</f>
        <v>0</v>
      </c>
      <c r="G8080" t="s">
        <v>652</v>
      </c>
      <c r="H8080" t="s">
        <v>5411</v>
      </c>
      <c r="I8080" t="s">
        <v>9375</v>
      </c>
      <c r="J8080" t="s">
        <v>11402</v>
      </c>
      <c r="K8080" t="s">
        <v>15804</v>
      </c>
      <c r="L8080">
        <f>HYPERLINK("https://www2.assemblee-nationale.fr/sycomore/fiche/(num_dept)/3194", "3194")</f>
        <v>0</v>
      </c>
      <c r="N8080">
        <f>HYPERLINK("https://www.wikidata.org/wiki/Q16025739", "Q16025739")</f>
        <v>0</v>
      </c>
      <c r="O8080" t="s">
        <v>19967</v>
      </c>
      <c r="P8080" t="s">
        <v>20517</v>
      </c>
      <c r="Q8080" t="s">
        <v>20934</v>
      </c>
      <c r="R8080" t="s">
        <v>421</v>
      </c>
      <c r="S8080">
        <v>1486</v>
      </c>
    </row>
    <row r="8081" spans="1:19">
      <c r="A8081" t="s">
        <v>31</v>
      </c>
      <c r="B8081" t="s">
        <v>148</v>
      </c>
      <c r="C8081" t="s">
        <v>163</v>
      </c>
      <c r="D8081" t="s">
        <v>292</v>
      </c>
      <c r="E8081" t="s">
        <v>421</v>
      </c>
      <c r="F8081">
        <f>HYPERLINK("https://www.wikidata.org/wiki/Q33323183", "Q33323183")</f>
        <v>0</v>
      </c>
      <c r="G8081" t="s">
        <v>3559</v>
      </c>
      <c r="H8081" t="s">
        <v>7477</v>
      </c>
      <c r="I8081" t="s">
        <v>9449</v>
      </c>
      <c r="J8081" t="s">
        <v>14148</v>
      </c>
      <c r="K8081" t="s">
        <v>18515</v>
      </c>
      <c r="L8081">
        <f>HYPERLINK("https://www2.assemblee-nationale.fr/sycomore/fiche/(num_dept)/3202", "3202")</f>
        <v>0</v>
      </c>
      <c r="N8081">
        <f>HYPERLINK("https://www.wikidata.org/wiki/Q3188600", "Q3188600")</f>
        <v>0</v>
      </c>
      <c r="O8081" t="s">
        <v>19989</v>
      </c>
      <c r="P8081" t="s">
        <v>20410</v>
      </c>
      <c r="Q8081" t="s">
        <v>20934</v>
      </c>
      <c r="R8081" t="s">
        <v>421</v>
      </c>
      <c r="S8081">
        <v>1486</v>
      </c>
    </row>
    <row r="8082" spans="1:19">
      <c r="A8082" t="s">
        <v>31</v>
      </c>
      <c r="B8082" t="s">
        <v>148</v>
      </c>
      <c r="C8082" t="s">
        <v>163</v>
      </c>
      <c r="D8082" t="s">
        <v>292</v>
      </c>
      <c r="E8082" t="s">
        <v>421</v>
      </c>
      <c r="F8082">
        <f>HYPERLINK("https://www.wikidata.org/wiki/Q33323183", "Q33323183")</f>
        <v>0</v>
      </c>
      <c r="G8082" t="s">
        <v>1112</v>
      </c>
      <c r="H8082" t="s">
        <v>5853</v>
      </c>
      <c r="I8082" t="s">
        <v>9666</v>
      </c>
      <c r="J8082" t="s">
        <v>11846</v>
      </c>
      <c r="K8082" t="s">
        <v>16248</v>
      </c>
      <c r="L8082">
        <f>HYPERLINK("https://www2.assemblee-nationale.fr/sycomore/fiche/(num_dept)/3204", "3204")</f>
        <v>0</v>
      </c>
      <c r="N8082">
        <f>HYPERLINK("https://www.wikidata.org/wiki/Q3143609", "Q3143609")</f>
        <v>0</v>
      </c>
      <c r="O8082" t="s">
        <v>19991</v>
      </c>
      <c r="P8082" t="s">
        <v>20410</v>
      </c>
      <c r="Q8082" t="s">
        <v>20934</v>
      </c>
      <c r="R8082" t="s">
        <v>421</v>
      </c>
      <c r="S8082">
        <v>1486</v>
      </c>
    </row>
    <row r="8083" spans="1:19">
      <c r="A8083" t="s">
        <v>31</v>
      </c>
      <c r="B8083" t="s">
        <v>148</v>
      </c>
      <c r="C8083" t="s">
        <v>163</v>
      </c>
      <c r="D8083" t="s">
        <v>292</v>
      </c>
      <c r="E8083" t="s">
        <v>421</v>
      </c>
      <c r="F8083">
        <f>HYPERLINK("https://www.wikidata.org/wiki/Q33323183", "Q33323183")</f>
        <v>0</v>
      </c>
      <c r="G8083" t="s">
        <v>653</v>
      </c>
      <c r="H8083" t="s">
        <v>5412</v>
      </c>
      <c r="I8083" t="s">
        <v>9470</v>
      </c>
      <c r="J8083" t="s">
        <v>11403</v>
      </c>
      <c r="K8083" t="s">
        <v>15805</v>
      </c>
      <c r="L8083">
        <f>HYPERLINK("https://www2.assemblee-nationale.fr/sycomore/fiche/(num_dept)/3229", "3229")</f>
        <v>0</v>
      </c>
      <c r="N8083">
        <f>HYPERLINK("https://www.wikidata.org/wiki/Q8298734", "Q8298734")</f>
        <v>0</v>
      </c>
      <c r="O8083" t="s">
        <v>19956</v>
      </c>
      <c r="P8083" t="s">
        <v>20409</v>
      </c>
      <c r="Q8083" t="s">
        <v>20934</v>
      </c>
      <c r="R8083" t="s">
        <v>421</v>
      </c>
      <c r="S8083">
        <v>1486</v>
      </c>
    </row>
    <row r="8084" spans="1:19">
      <c r="A8084" t="s">
        <v>31</v>
      </c>
      <c r="B8084" t="s">
        <v>148</v>
      </c>
      <c r="C8084" t="s">
        <v>163</v>
      </c>
      <c r="D8084" t="s">
        <v>292</v>
      </c>
      <c r="E8084" t="s">
        <v>421</v>
      </c>
      <c r="F8084">
        <f>HYPERLINK("https://www.wikidata.org/wiki/Q33323183", "Q33323183")</f>
        <v>0</v>
      </c>
      <c r="G8084" t="s">
        <v>3446</v>
      </c>
      <c r="H8084" t="s">
        <v>7820</v>
      </c>
      <c r="I8084" t="s">
        <v>10831</v>
      </c>
      <c r="J8084" t="s">
        <v>14050</v>
      </c>
      <c r="K8084" t="s">
        <v>18418</v>
      </c>
      <c r="L8084">
        <f>HYPERLINK("https://www2.assemblee-nationale.fr/sycomore/fiche/(num_dept)/3305", "3305")</f>
        <v>0</v>
      </c>
      <c r="N8084">
        <f>HYPERLINK("https://www.wikidata.org/wiki/Q8343994", "Q8343994")</f>
        <v>0</v>
      </c>
      <c r="O8084" t="s">
        <v>19976</v>
      </c>
      <c r="P8084" t="s">
        <v>20495</v>
      </c>
      <c r="Q8084" t="s">
        <v>20934</v>
      </c>
      <c r="R8084" t="s">
        <v>421</v>
      </c>
      <c r="S8084">
        <v>1486</v>
      </c>
    </row>
    <row r="8085" spans="1:19">
      <c r="A8085" t="s">
        <v>31</v>
      </c>
      <c r="B8085" t="s">
        <v>148</v>
      </c>
      <c r="C8085" t="s">
        <v>163</v>
      </c>
      <c r="D8085" t="s">
        <v>292</v>
      </c>
      <c r="E8085" t="s">
        <v>421</v>
      </c>
      <c r="F8085">
        <f>HYPERLINK("https://www.wikidata.org/wiki/Q33323183", "Q33323183")</f>
        <v>0</v>
      </c>
      <c r="G8085" t="s">
        <v>4181</v>
      </c>
      <c r="H8085" t="s">
        <v>8116</v>
      </c>
      <c r="I8085" t="s">
        <v>9476</v>
      </c>
      <c r="J8085" t="s">
        <v>11258</v>
      </c>
      <c r="K8085" t="s">
        <v>15971</v>
      </c>
      <c r="L8085">
        <f>HYPERLINK("https://www2.assemblee-nationale.fr/sycomore/fiche/(num_dept)/3313", "3313")</f>
        <v>0</v>
      </c>
      <c r="N8085">
        <f>HYPERLINK("https://www.wikidata.org/wiki/Q8299156", "Q8299156")</f>
        <v>0</v>
      </c>
      <c r="O8085" t="s">
        <v>19980</v>
      </c>
      <c r="P8085" t="s">
        <v>20517</v>
      </c>
      <c r="Q8085" t="s">
        <v>20934</v>
      </c>
      <c r="R8085" t="s">
        <v>421</v>
      </c>
      <c r="S8085">
        <v>1486</v>
      </c>
    </row>
    <row r="8086" spans="1:19">
      <c r="A8086" t="s">
        <v>31</v>
      </c>
      <c r="B8086" t="s">
        <v>148</v>
      </c>
      <c r="C8086" t="s">
        <v>163</v>
      </c>
      <c r="D8086" t="s">
        <v>292</v>
      </c>
      <c r="E8086" t="s">
        <v>421</v>
      </c>
      <c r="F8086">
        <f>HYPERLINK("https://www.wikidata.org/wiki/Q33323183", "Q33323183")</f>
        <v>0</v>
      </c>
      <c r="G8086" t="s">
        <v>1472</v>
      </c>
      <c r="H8086" t="s">
        <v>6171</v>
      </c>
      <c r="I8086" t="s">
        <v>9401</v>
      </c>
      <c r="J8086" t="s">
        <v>12191</v>
      </c>
      <c r="K8086" t="s">
        <v>16597</v>
      </c>
      <c r="L8086">
        <f>HYPERLINK("https://www2.assemblee-nationale.fr/sycomore/fiche/(num_dept)/3314", "3314")</f>
        <v>0</v>
      </c>
      <c r="M8086">
        <f>HYPERLINK("https://www.senat.fr/senateur-3eme-republique/gavini_antoine0491r3.html", "gavini_antoine0491r3")</f>
        <v>0</v>
      </c>
      <c r="N8086">
        <f>HYPERLINK("https://www.wikidata.org/wiki/Q2853978", "Q2853978")</f>
        <v>0</v>
      </c>
      <c r="O8086" t="s">
        <v>19955</v>
      </c>
      <c r="P8086" t="s">
        <v>20402</v>
      </c>
      <c r="Q8086" t="s">
        <v>20934</v>
      </c>
      <c r="R8086" t="s">
        <v>421</v>
      </c>
      <c r="S8086">
        <v>1486</v>
      </c>
    </row>
    <row r="8087" spans="1:19">
      <c r="A8087" t="s">
        <v>31</v>
      </c>
      <c r="B8087" t="s">
        <v>148</v>
      </c>
      <c r="C8087" t="s">
        <v>163</v>
      </c>
      <c r="D8087" t="s">
        <v>292</v>
      </c>
      <c r="E8087" t="s">
        <v>421</v>
      </c>
      <c r="F8087">
        <f>HYPERLINK("https://www.wikidata.org/wiki/Q33323183", "Q33323183")</f>
        <v>0</v>
      </c>
      <c r="G8087" t="s">
        <v>657</v>
      </c>
      <c r="H8087" t="s">
        <v>5416</v>
      </c>
      <c r="I8087" t="s">
        <v>9472</v>
      </c>
      <c r="J8087" t="s">
        <v>11407</v>
      </c>
      <c r="K8087" t="s">
        <v>15809</v>
      </c>
      <c r="L8087">
        <f>HYPERLINK("https://www2.assemblee-nationale.fr/sycomore/fiche/(num_dept)/3325", "3325")</f>
        <v>0</v>
      </c>
      <c r="N8087">
        <f>HYPERLINK("https://www.wikidata.org/wiki/Q2820867", "Q2820867")</f>
        <v>0</v>
      </c>
      <c r="O8087" t="s">
        <v>20011</v>
      </c>
      <c r="P8087" t="s">
        <v>20410</v>
      </c>
      <c r="Q8087" t="s">
        <v>20934</v>
      </c>
      <c r="R8087" t="s">
        <v>421</v>
      </c>
      <c r="S8087">
        <v>1486</v>
      </c>
    </row>
    <row r="8088" spans="1:19">
      <c r="A8088" t="s">
        <v>31</v>
      </c>
      <c r="B8088" t="s">
        <v>148</v>
      </c>
      <c r="C8088" t="s">
        <v>163</v>
      </c>
      <c r="D8088" t="s">
        <v>292</v>
      </c>
      <c r="E8088" t="s">
        <v>421</v>
      </c>
      <c r="F8088">
        <f>HYPERLINK("https://www.wikidata.org/wiki/Q33323183", "Q33323183")</f>
        <v>0</v>
      </c>
      <c r="G8088" t="s">
        <v>3837</v>
      </c>
      <c r="H8088" t="s">
        <v>8115</v>
      </c>
      <c r="I8088" t="s">
        <v>9442</v>
      </c>
      <c r="J8088" t="s">
        <v>14399</v>
      </c>
      <c r="K8088" t="s">
        <v>18753</v>
      </c>
      <c r="L8088">
        <f>HYPERLINK("https://www2.assemblee-nationale.fr/sycomore/fiche/(num_dept)/3330", "3330")</f>
        <v>0</v>
      </c>
      <c r="N8088">
        <f>HYPERLINK("https://www.wikidata.org/wiki/Q16025759", "Q16025759")</f>
        <v>0</v>
      </c>
      <c r="O8088" t="s">
        <v>20012</v>
      </c>
      <c r="P8088" t="s">
        <v>20517</v>
      </c>
      <c r="Q8088" t="s">
        <v>20934</v>
      </c>
      <c r="R8088" t="s">
        <v>18753</v>
      </c>
      <c r="S8088">
        <v>1113</v>
      </c>
    </row>
    <row r="8089" spans="1:19">
      <c r="A8089" t="s">
        <v>31</v>
      </c>
      <c r="B8089" t="s">
        <v>148</v>
      </c>
      <c r="C8089" t="s">
        <v>163</v>
      </c>
      <c r="D8089" t="s">
        <v>292</v>
      </c>
      <c r="E8089" t="s">
        <v>421</v>
      </c>
      <c r="F8089">
        <f>HYPERLINK("https://www.wikidata.org/wiki/Q33323183", "Q33323183")</f>
        <v>0</v>
      </c>
      <c r="G8089" t="s">
        <v>1097</v>
      </c>
      <c r="H8089" t="s">
        <v>5838</v>
      </c>
      <c r="I8089" t="s">
        <v>6175</v>
      </c>
      <c r="J8089" t="s">
        <v>11833</v>
      </c>
      <c r="K8089" t="s">
        <v>16233</v>
      </c>
      <c r="L8089">
        <f>HYPERLINK("https://www2.assemblee-nationale.fr/sycomore/fiche/(num_dept)/3349", "3349")</f>
        <v>0</v>
      </c>
      <c r="N8089">
        <f>HYPERLINK("https://www.wikidata.org/wiki/Q16025763", "Q16025763")</f>
        <v>0</v>
      </c>
      <c r="O8089" t="s">
        <v>20031</v>
      </c>
      <c r="P8089" t="s">
        <v>20402</v>
      </c>
      <c r="Q8089" t="s">
        <v>20934</v>
      </c>
      <c r="R8089" t="s">
        <v>421</v>
      </c>
      <c r="S8089">
        <v>1486</v>
      </c>
    </row>
    <row r="8090" spans="1:19">
      <c r="A8090" t="s">
        <v>31</v>
      </c>
      <c r="B8090" t="s">
        <v>148</v>
      </c>
      <c r="C8090" t="s">
        <v>163</v>
      </c>
      <c r="D8090" t="s">
        <v>292</v>
      </c>
      <c r="E8090" t="s">
        <v>421</v>
      </c>
      <c r="F8090">
        <f>HYPERLINK("https://www.wikidata.org/wiki/Q33323183", "Q33323183")</f>
        <v>0</v>
      </c>
      <c r="G8090" t="s">
        <v>658</v>
      </c>
      <c r="H8090" t="s">
        <v>5417</v>
      </c>
      <c r="I8090" t="s">
        <v>7642</v>
      </c>
      <c r="J8090" t="s">
        <v>11408</v>
      </c>
      <c r="K8090" t="s">
        <v>15810</v>
      </c>
      <c r="L8090">
        <f>HYPERLINK("https://www2.assemblee-nationale.fr/sycomore/fiche/(num_dept)/3362", "3362")</f>
        <v>0</v>
      </c>
      <c r="N8090">
        <f>HYPERLINK("https://www.wikidata.org/wiki/Q3300885", "Q3300885")</f>
        <v>0</v>
      </c>
      <c r="O8090" t="s">
        <v>20009</v>
      </c>
      <c r="P8090" t="s">
        <v>20409</v>
      </c>
      <c r="Q8090" t="s">
        <v>20934</v>
      </c>
      <c r="R8090" t="s">
        <v>421</v>
      </c>
      <c r="S8090">
        <v>1486</v>
      </c>
    </row>
    <row r="8091" spans="1:19">
      <c r="A8091" t="s">
        <v>31</v>
      </c>
      <c r="B8091" t="s">
        <v>148</v>
      </c>
      <c r="C8091" t="s">
        <v>163</v>
      </c>
      <c r="D8091" t="s">
        <v>292</v>
      </c>
      <c r="E8091" t="s">
        <v>421</v>
      </c>
      <c r="F8091">
        <f>HYPERLINK("https://www.wikidata.org/wiki/Q33323183", "Q33323183")</f>
        <v>0</v>
      </c>
      <c r="G8091" t="s">
        <v>659</v>
      </c>
      <c r="H8091" t="s">
        <v>5418</v>
      </c>
      <c r="I8091" t="s">
        <v>9473</v>
      </c>
      <c r="J8091" t="s">
        <v>11409</v>
      </c>
      <c r="K8091" t="s">
        <v>15811</v>
      </c>
      <c r="L8091">
        <f>HYPERLINK("https://www2.assemblee-nationale.fr/sycomore/fiche/(num_dept)/3364", "3364")</f>
        <v>0</v>
      </c>
      <c r="N8091">
        <f>HYPERLINK("https://www.wikidata.org/wiki/Q2835289", "Q2835289")</f>
        <v>0</v>
      </c>
      <c r="O8091" t="s">
        <v>20028</v>
      </c>
      <c r="P8091" t="s">
        <v>20485</v>
      </c>
      <c r="Q8091" t="s">
        <v>20934</v>
      </c>
      <c r="R8091" t="s">
        <v>421</v>
      </c>
      <c r="S8091">
        <v>1486</v>
      </c>
    </row>
    <row r="8092" spans="1:19">
      <c r="A8092" t="s">
        <v>31</v>
      </c>
      <c r="B8092" t="s">
        <v>148</v>
      </c>
      <c r="C8092" t="s">
        <v>163</v>
      </c>
      <c r="D8092" t="s">
        <v>292</v>
      </c>
      <c r="E8092" t="s">
        <v>421</v>
      </c>
      <c r="F8092">
        <f>HYPERLINK("https://www.wikidata.org/wiki/Q33323183", "Q33323183")</f>
        <v>0</v>
      </c>
      <c r="G8092" t="s">
        <v>661</v>
      </c>
      <c r="H8092" t="s">
        <v>5420</v>
      </c>
      <c r="I8092" t="s">
        <v>9385</v>
      </c>
      <c r="J8092" t="s">
        <v>11411</v>
      </c>
      <c r="K8092" t="s">
        <v>15813</v>
      </c>
      <c r="L8092">
        <f>HYPERLINK("https://www2.assemblee-nationale.fr/sycomore/fiche/(num_dept)/3418", "3418")</f>
        <v>0</v>
      </c>
      <c r="N8092">
        <f>HYPERLINK("https://www.wikidata.org/wiki/Q2959214", "Q2959214")</f>
        <v>0</v>
      </c>
      <c r="O8092" t="s">
        <v>20023</v>
      </c>
      <c r="P8092" t="s">
        <v>20495</v>
      </c>
      <c r="Q8092" t="s">
        <v>20934</v>
      </c>
      <c r="R8092" t="s">
        <v>421</v>
      </c>
      <c r="S8092">
        <v>1486</v>
      </c>
    </row>
    <row r="8093" spans="1:19">
      <c r="A8093" t="s">
        <v>31</v>
      </c>
      <c r="B8093" t="s">
        <v>148</v>
      </c>
      <c r="C8093" t="s">
        <v>163</v>
      </c>
      <c r="D8093" t="s">
        <v>292</v>
      </c>
      <c r="E8093" t="s">
        <v>421</v>
      </c>
      <c r="F8093">
        <f>HYPERLINK("https://www.wikidata.org/wiki/Q33323183", "Q33323183")</f>
        <v>0</v>
      </c>
      <c r="G8093" t="s">
        <v>662</v>
      </c>
      <c r="H8093" t="s">
        <v>5421</v>
      </c>
      <c r="I8093" t="s">
        <v>9474</v>
      </c>
      <c r="J8093" t="s">
        <v>11412</v>
      </c>
      <c r="K8093" t="s">
        <v>15814</v>
      </c>
      <c r="L8093">
        <f>HYPERLINK("https://www2.assemblee-nationale.fr/sycomore/fiche/(num_dept)/3421", "3421")</f>
        <v>0</v>
      </c>
      <c r="N8093">
        <f>HYPERLINK("https://www.wikidata.org/wiki/Q16025772", "Q16025772")</f>
        <v>0</v>
      </c>
      <c r="O8093" t="s">
        <v>19980</v>
      </c>
      <c r="P8093" t="s">
        <v>20401</v>
      </c>
      <c r="Q8093" t="s">
        <v>20934</v>
      </c>
      <c r="R8093" t="s">
        <v>421</v>
      </c>
      <c r="S8093">
        <v>1486</v>
      </c>
    </row>
    <row r="8094" spans="1:19">
      <c r="A8094" t="s">
        <v>31</v>
      </c>
      <c r="B8094" t="s">
        <v>148</v>
      </c>
      <c r="C8094" t="s">
        <v>163</v>
      </c>
      <c r="D8094" t="s">
        <v>292</v>
      </c>
      <c r="E8094" t="s">
        <v>421</v>
      </c>
      <c r="F8094">
        <f>HYPERLINK("https://www.wikidata.org/wiki/Q33323183", "Q33323183")</f>
        <v>0</v>
      </c>
      <c r="G8094" t="s">
        <v>663</v>
      </c>
      <c r="H8094" t="s">
        <v>5422</v>
      </c>
      <c r="I8094" t="s">
        <v>9475</v>
      </c>
      <c r="J8094" t="s">
        <v>11413</v>
      </c>
      <c r="K8094" t="s">
        <v>15815</v>
      </c>
      <c r="L8094">
        <f>HYPERLINK("https://www2.assemblee-nationale.fr/sycomore/fiche/(num_dept)/3443", "3443")</f>
        <v>0</v>
      </c>
      <c r="N8094">
        <f>HYPERLINK("https://www.wikidata.org/wiki/Q16025783", "Q16025783")</f>
        <v>0</v>
      </c>
      <c r="O8094" t="s">
        <v>19973</v>
      </c>
      <c r="P8094" t="s">
        <v>20401</v>
      </c>
      <c r="Q8094" t="s">
        <v>20934</v>
      </c>
      <c r="R8094" t="s">
        <v>421</v>
      </c>
      <c r="S8094">
        <v>1486</v>
      </c>
    </row>
    <row r="8095" spans="1:19">
      <c r="A8095" t="s">
        <v>31</v>
      </c>
      <c r="B8095" t="s">
        <v>148</v>
      </c>
      <c r="C8095" t="s">
        <v>163</v>
      </c>
      <c r="D8095" t="s">
        <v>292</v>
      </c>
      <c r="E8095" t="s">
        <v>421</v>
      </c>
      <c r="F8095">
        <f>HYPERLINK("https://www.wikidata.org/wiki/Q33323183", "Q33323183")</f>
        <v>0</v>
      </c>
      <c r="G8095" t="s">
        <v>1259</v>
      </c>
      <c r="H8095" t="s">
        <v>5983</v>
      </c>
      <c r="I8095" t="s">
        <v>9612</v>
      </c>
      <c r="J8095" t="s">
        <v>11989</v>
      </c>
      <c r="K8095" t="s">
        <v>16392</v>
      </c>
      <c r="L8095">
        <f>HYPERLINK("https://www2.assemblee-nationale.fr/sycomore/fiche/(num_dept)/3463", "3463")</f>
        <v>0</v>
      </c>
      <c r="N8095">
        <f>HYPERLINK("https://www.wikidata.org/wiki/Q16025792", "Q16025792")</f>
        <v>0</v>
      </c>
      <c r="O8095" t="s">
        <v>19982</v>
      </c>
      <c r="P8095" t="s">
        <v>20402</v>
      </c>
      <c r="Q8095" t="s">
        <v>20934</v>
      </c>
      <c r="R8095" t="s">
        <v>421</v>
      </c>
      <c r="S8095">
        <v>1486</v>
      </c>
    </row>
    <row r="8096" spans="1:19">
      <c r="A8096" t="s">
        <v>31</v>
      </c>
      <c r="B8096" t="s">
        <v>148</v>
      </c>
      <c r="C8096" t="s">
        <v>163</v>
      </c>
      <c r="D8096" t="s">
        <v>292</v>
      </c>
      <c r="E8096" t="s">
        <v>421</v>
      </c>
      <c r="F8096">
        <f>HYPERLINK("https://www.wikidata.org/wiki/Q33323183", "Q33323183")</f>
        <v>0</v>
      </c>
      <c r="G8096" t="s">
        <v>4182</v>
      </c>
      <c r="H8096" t="s">
        <v>8377</v>
      </c>
      <c r="I8096" t="s">
        <v>11154</v>
      </c>
      <c r="J8096" t="s">
        <v>11741</v>
      </c>
      <c r="K8096" t="s">
        <v>19041</v>
      </c>
      <c r="L8096">
        <f>HYPERLINK("https://www2.assemblee-nationale.fr/sycomore/fiche/(num_dept)/3481", "3481")</f>
        <v>0</v>
      </c>
      <c r="N8096">
        <f>HYPERLINK("https://www.wikidata.org/wiki/Q2898813", "Q2898813")</f>
        <v>0</v>
      </c>
      <c r="O8096" t="s">
        <v>19970</v>
      </c>
      <c r="P8096" t="s">
        <v>20517</v>
      </c>
      <c r="Q8096" t="s">
        <v>20934</v>
      </c>
      <c r="R8096" t="s">
        <v>421</v>
      </c>
      <c r="S8096">
        <v>1486</v>
      </c>
    </row>
    <row r="8097" spans="1:19">
      <c r="A8097" t="s">
        <v>31</v>
      </c>
      <c r="B8097" t="s">
        <v>148</v>
      </c>
      <c r="C8097" t="s">
        <v>163</v>
      </c>
      <c r="D8097" t="s">
        <v>292</v>
      </c>
      <c r="E8097" t="s">
        <v>421</v>
      </c>
      <c r="F8097">
        <f>HYPERLINK("https://www.wikidata.org/wiki/Q33323183", "Q33323183")</f>
        <v>0</v>
      </c>
      <c r="G8097" t="s">
        <v>668</v>
      </c>
      <c r="H8097" t="s">
        <v>5427</v>
      </c>
      <c r="I8097" t="s">
        <v>6175</v>
      </c>
      <c r="J8097" t="s">
        <v>11418</v>
      </c>
      <c r="K8097" t="s">
        <v>15820</v>
      </c>
      <c r="L8097">
        <f>HYPERLINK("https://www2.assemblee-nationale.fr/sycomore/fiche/(num_dept)/3542", "3542")</f>
        <v>0</v>
      </c>
      <c r="M8097">
        <f>HYPERLINK("https://www.senat.fr/senateur-3eme-republique/de_grandmaison_georges1070r3.html", "de_grandmaison_georges1070r3")</f>
        <v>0</v>
      </c>
      <c r="N8097">
        <f>HYPERLINK("https://www.wikidata.org/wiki/Q3103201", "Q3103201")</f>
        <v>0</v>
      </c>
      <c r="O8097" t="s">
        <v>19980</v>
      </c>
      <c r="P8097" t="s">
        <v>20410</v>
      </c>
      <c r="Q8097" t="s">
        <v>20934</v>
      </c>
      <c r="R8097" t="s">
        <v>421</v>
      </c>
      <c r="S8097">
        <v>1486</v>
      </c>
    </row>
    <row r="8098" spans="1:19">
      <c r="A8098" t="s">
        <v>31</v>
      </c>
      <c r="B8098" t="s">
        <v>148</v>
      </c>
      <c r="C8098" t="s">
        <v>163</v>
      </c>
      <c r="D8098" t="s">
        <v>292</v>
      </c>
      <c r="E8098" t="s">
        <v>421</v>
      </c>
      <c r="F8098">
        <f>HYPERLINK("https://www.wikidata.org/wiki/Q33323183", "Q33323183")</f>
        <v>0</v>
      </c>
      <c r="G8098" t="s">
        <v>3783</v>
      </c>
      <c r="H8098" t="s">
        <v>8075</v>
      </c>
      <c r="I8098" t="s">
        <v>9401</v>
      </c>
      <c r="J8098" t="s">
        <v>14353</v>
      </c>
      <c r="K8098" t="s">
        <v>18705</v>
      </c>
      <c r="L8098">
        <f>HYPERLINK("https://www2.assemblee-nationale.fr/sycomore/fiche/(num_dept)/3551", "3551")</f>
        <v>0</v>
      </c>
      <c r="N8098">
        <f>HYPERLINK("https://www.wikidata.org/wiki/Q16025805", "Q16025805")</f>
        <v>0</v>
      </c>
      <c r="O8098" t="s">
        <v>20044</v>
      </c>
      <c r="P8098" t="s">
        <v>20489</v>
      </c>
      <c r="Q8098" t="s">
        <v>20934</v>
      </c>
      <c r="R8098" t="s">
        <v>421</v>
      </c>
      <c r="S8098">
        <v>1486</v>
      </c>
    </row>
    <row r="8099" spans="1:19">
      <c r="A8099" t="s">
        <v>31</v>
      </c>
      <c r="B8099" t="s">
        <v>148</v>
      </c>
      <c r="C8099" t="s">
        <v>163</v>
      </c>
      <c r="D8099" t="s">
        <v>292</v>
      </c>
      <c r="E8099" t="s">
        <v>421</v>
      </c>
      <c r="F8099">
        <f>HYPERLINK("https://www.wikidata.org/wiki/Q33323183", "Q33323183")</f>
        <v>0</v>
      </c>
      <c r="G8099" t="s">
        <v>4183</v>
      </c>
      <c r="H8099" t="s">
        <v>8378</v>
      </c>
      <c r="I8099" t="s">
        <v>6200</v>
      </c>
      <c r="J8099" t="s">
        <v>14701</v>
      </c>
      <c r="K8099" t="s">
        <v>19042</v>
      </c>
      <c r="L8099">
        <f>HYPERLINK("https://www2.assemblee-nationale.fr/sycomore/fiche/(num_dept)/3581", "3581")</f>
        <v>0</v>
      </c>
      <c r="N8099">
        <f>HYPERLINK("https://www.wikidata.org/wiki/Q3172387", "Q3172387")</f>
        <v>0</v>
      </c>
      <c r="O8099" t="s">
        <v>20007</v>
      </c>
      <c r="P8099" t="s">
        <v>20401</v>
      </c>
      <c r="Q8099" t="s">
        <v>20934</v>
      </c>
      <c r="R8099" t="s">
        <v>421</v>
      </c>
      <c r="S8099">
        <v>1486</v>
      </c>
    </row>
    <row r="8100" spans="1:19">
      <c r="A8100" t="s">
        <v>31</v>
      </c>
      <c r="B8100" t="s">
        <v>148</v>
      </c>
      <c r="C8100" t="s">
        <v>163</v>
      </c>
      <c r="D8100" t="s">
        <v>292</v>
      </c>
      <c r="E8100" t="s">
        <v>421</v>
      </c>
      <c r="F8100">
        <f>HYPERLINK("https://www.wikidata.org/wiki/Q33323183", "Q33323183")</f>
        <v>0</v>
      </c>
      <c r="G8100" t="s">
        <v>670</v>
      </c>
      <c r="H8100" t="s">
        <v>5429</v>
      </c>
      <c r="I8100" t="s">
        <v>9476</v>
      </c>
      <c r="J8100" t="s">
        <v>11420</v>
      </c>
      <c r="K8100" t="s">
        <v>15821</v>
      </c>
      <c r="L8100">
        <f>HYPERLINK("https://www2.assemblee-nationale.fr/sycomore/fiche/(num_dept)/3603", "3603")</f>
        <v>0</v>
      </c>
      <c r="M8100">
        <f>HYPERLINK("https://www.senat.fr/senateur-3eme-republique/grosdidier_auguste1025r3.html", "grosdidier_auguste1025r3")</f>
        <v>0</v>
      </c>
      <c r="N8100">
        <f>HYPERLINK("https://www.wikidata.org/wiki/Q2871212", "Q2871212")</f>
        <v>0</v>
      </c>
      <c r="O8100" t="s">
        <v>20030</v>
      </c>
      <c r="P8100" t="s">
        <v>20401</v>
      </c>
      <c r="Q8100" t="s">
        <v>20934</v>
      </c>
      <c r="R8100" t="s">
        <v>421</v>
      </c>
      <c r="S8100">
        <v>1486</v>
      </c>
    </row>
    <row r="8101" spans="1:19">
      <c r="A8101" t="s">
        <v>31</v>
      </c>
      <c r="B8101" t="s">
        <v>148</v>
      </c>
      <c r="C8101" t="s">
        <v>163</v>
      </c>
      <c r="D8101" t="s">
        <v>292</v>
      </c>
      <c r="E8101" t="s">
        <v>421</v>
      </c>
      <c r="F8101">
        <f>HYPERLINK("https://www.wikidata.org/wiki/Q33323183", "Q33323183")</f>
        <v>0</v>
      </c>
      <c r="G8101" t="s">
        <v>671</v>
      </c>
      <c r="H8101" t="s">
        <v>5430</v>
      </c>
      <c r="I8101" t="s">
        <v>9457</v>
      </c>
      <c r="J8101" t="s">
        <v>11421</v>
      </c>
      <c r="K8101" t="s">
        <v>15822</v>
      </c>
      <c r="L8101">
        <f>HYPERLINK("https://www2.assemblee-nationale.fr/sycomore/fiche/(num_dept)/3605", "3605")</f>
        <v>0</v>
      </c>
      <c r="N8101">
        <f>HYPERLINK("https://www.wikidata.org/wiki/Q3130359", "Q3130359")</f>
        <v>0</v>
      </c>
      <c r="O8101" t="s">
        <v>20013</v>
      </c>
      <c r="P8101" t="s">
        <v>20410</v>
      </c>
      <c r="Q8101" t="s">
        <v>20934</v>
      </c>
      <c r="R8101" t="s">
        <v>421</v>
      </c>
      <c r="S8101">
        <v>1486</v>
      </c>
    </row>
    <row r="8102" spans="1:19">
      <c r="A8102" t="s">
        <v>31</v>
      </c>
      <c r="B8102" t="s">
        <v>148</v>
      </c>
      <c r="C8102" t="s">
        <v>163</v>
      </c>
      <c r="D8102" t="s">
        <v>292</v>
      </c>
      <c r="E8102" t="s">
        <v>421</v>
      </c>
      <c r="F8102">
        <f>HYPERLINK("https://www.wikidata.org/wiki/Q33323183", "Q33323183")</f>
        <v>0</v>
      </c>
      <c r="G8102" t="s">
        <v>672</v>
      </c>
      <c r="H8102" t="s">
        <v>5431</v>
      </c>
      <c r="I8102" t="s">
        <v>9385</v>
      </c>
      <c r="J8102" t="s">
        <v>11422</v>
      </c>
      <c r="K8102" t="s">
        <v>15823</v>
      </c>
      <c r="L8102">
        <f>HYPERLINK("https://www2.assemblee-nationale.fr/sycomore/fiche/(num_dept)/3634", "3634")</f>
        <v>0</v>
      </c>
      <c r="N8102">
        <f>HYPERLINK("https://www.wikidata.org/wiki/Q2959267", "Q2959267")</f>
        <v>0</v>
      </c>
      <c r="O8102" t="s">
        <v>19998</v>
      </c>
      <c r="P8102" t="s">
        <v>20402</v>
      </c>
      <c r="Q8102" t="s">
        <v>20934</v>
      </c>
      <c r="R8102" t="s">
        <v>421</v>
      </c>
      <c r="S8102">
        <v>1486</v>
      </c>
    </row>
    <row r="8103" spans="1:19">
      <c r="A8103" t="s">
        <v>31</v>
      </c>
      <c r="B8103" t="s">
        <v>148</v>
      </c>
      <c r="C8103" t="s">
        <v>163</v>
      </c>
      <c r="D8103" t="s">
        <v>292</v>
      </c>
      <c r="E8103" t="s">
        <v>421</v>
      </c>
      <c r="F8103">
        <f>HYPERLINK("https://www.wikidata.org/wiki/Q33323183", "Q33323183")</f>
        <v>0</v>
      </c>
      <c r="G8103" t="s">
        <v>673</v>
      </c>
      <c r="H8103" t="s">
        <v>5432</v>
      </c>
      <c r="I8103" t="s">
        <v>9449</v>
      </c>
      <c r="J8103" t="s">
        <v>11423</v>
      </c>
      <c r="K8103" t="s">
        <v>15824</v>
      </c>
      <c r="L8103">
        <f>HYPERLINK("https://www2.assemblee-nationale.fr/sycomore/fiche/(num_dept)/3638", "3638")</f>
        <v>0</v>
      </c>
      <c r="N8103">
        <f>HYPERLINK("https://www.wikidata.org/wiki/Q379699", "Q379699")</f>
        <v>0</v>
      </c>
      <c r="O8103" t="s">
        <v>20013</v>
      </c>
      <c r="P8103" t="s">
        <v>20515</v>
      </c>
      <c r="Q8103" t="s">
        <v>20934</v>
      </c>
      <c r="R8103" t="s">
        <v>421</v>
      </c>
      <c r="S8103">
        <v>1486</v>
      </c>
    </row>
    <row r="8104" spans="1:19">
      <c r="A8104" t="s">
        <v>31</v>
      </c>
      <c r="B8104" t="s">
        <v>148</v>
      </c>
      <c r="C8104" t="s">
        <v>163</v>
      </c>
      <c r="D8104" t="s">
        <v>292</v>
      </c>
      <c r="E8104" t="s">
        <v>421</v>
      </c>
      <c r="F8104">
        <f>HYPERLINK("https://www.wikidata.org/wiki/Q33323183", "Q33323183")</f>
        <v>0</v>
      </c>
      <c r="G8104" t="s">
        <v>674</v>
      </c>
      <c r="H8104" t="s">
        <v>5433</v>
      </c>
      <c r="I8104" t="s">
        <v>5528</v>
      </c>
      <c r="J8104" t="s">
        <v>11424</v>
      </c>
      <c r="K8104" t="s">
        <v>15825</v>
      </c>
      <c r="L8104">
        <f>HYPERLINK("https://www2.assemblee-nationale.fr/sycomore/fiche/(num_dept)/3654", "3654")</f>
        <v>0</v>
      </c>
      <c r="N8104">
        <f>HYPERLINK("https://www.wikidata.org/wiki/Q16025827", "Q16025827")</f>
        <v>0</v>
      </c>
      <c r="O8104" t="s">
        <v>19970</v>
      </c>
      <c r="P8104" t="s">
        <v>20517</v>
      </c>
      <c r="Q8104" t="s">
        <v>20934</v>
      </c>
      <c r="R8104" t="s">
        <v>421</v>
      </c>
      <c r="S8104">
        <v>1486</v>
      </c>
    </row>
    <row r="8105" spans="1:19">
      <c r="A8105" t="s">
        <v>31</v>
      </c>
      <c r="B8105" t="s">
        <v>148</v>
      </c>
      <c r="C8105" t="s">
        <v>163</v>
      </c>
      <c r="D8105" t="s">
        <v>292</v>
      </c>
      <c r="E8105" t="s">
        <v>421</v>
      </c>
      <c r="F8105">
        <f>HYPERLINK("https://www.wikidata.org/wiki/Q33323183", "Q33323183")</f>
        <v>0</v>
      </c>
      <c r="G8105" t="s">
        <v>3862</v>
      </c>
      <c r="H8105" t="s">
        <v>8132</v>
      </c>
      <c r="I8105" t="s">
        <v>9401</v>
      </c>
      <c r="J8105" t="s">
        <v>14421</v>
      </c>
      <c r="K8105" t="s">
        <v>18774</v>
      </c>
      <c r="L8105">
        <f>HYPERLINK("https://www2.assemblee-nationale.fr/sycomore/fiche/(num_dept)/3668", "3668")</f>
        <v>0</v>
      </c>
      <c r="N8105">
        <f>HYPERLINK("https://www.wikidata.org/wiki/Q3074087", "Q3074087")</f>
        <v>0</v>
      </c>
      <c r="O8105" t="s">
        <v>20013</v>
      </c>
      <c r="P8105" t="s">
        <v>20517</v>
      </c>
      <c r="Q8105" t="s">
        <v>20934</v>
      </c>
      <c r="R8105" t="s">
        <v>421</v>
      </c>
      <c r="S8105">
        <v>1486</v>
      </c>
    </row>
    <row r="8106" spans="1:19">
      <c r="A8106" t="s">
        <v>31</v>
      </c>
      <c r="B8106" t="s">
        <v>148</v>
      </c>
      <c r="C8106" t="s">
        <v>163</v>
      </c>
      <c r="D8106" t="s">
        <v>292</v>
      </c>
      <c r="E8106" t="s">
        <v>421</v>
      </c>
      <c r="F8106">
        <f>HYPERLINK("https://www.wikidata.org/wiki/Q33323183", "Q33323183")</f>
        <v>0</v>
      </c>
      <c r="G8106" t="s">
        <v>4122</v>
      </c>
      <c r="H8106" t="s">
        <v>8330</v>
      </c>
      <c r="I8106" t="s">
        <v>6200</v>
      </c>
      <c r="J8106" t="s">
        <v>14656</v>
      </c>
      <c r="K8106" t="s">
        <v>18991</v>
      </c>
      <c r="L8106">
        <f>HYPERLINK("https://www2.assemblee-nationale.fr/sycomore/fiche/(num_dept)/3687", "3687")</f>
        <v>0</v>
      </c>
      <c r="M8106">
        <f>HYPERLINK("https://www.senat.fr/senateur-3eme-republique/guilloteaux_jean0909r3.html", "guilloteaux_jean0909r3")</f>
        <v>0</v>
      </c>
      <c r="N8106">
        <f>HYPERLINK("https://www.wikidata.org/wiki/Q3172435", "Q3172435")</f>
        <v>0</v>
      </c>
      <c r="O8106" t="s">
        <v>19961</v>
      </c>
      <c r="P8106" t="s">
        <v>20410</v>
      </c>
      <c r="Q8106" t="s">
        <v>20934</v>
      </c>
      <c r="R8106" t="s">
        <v>421</v>
      </c>
      <c r="S8106">
        <v>1486</v>
      </c>
    </row>
    <row r="8107" spans="1:19">
      <c r="A8107" t="s">
        <v>31</v>
      </c>
      <c r="B8107" t="s">
        <v>148</v>
      </c>
      <c r="C8107" t="s">
        <v>163</v>
      </c>
      <c r="D8107" t="s">
        <v>292</v>
      </c>
      <c r="E8107" t="s">
        <v>421</v>
      </c>
      <c r="F8107">
        <f>HYPERLINK("https://www.wikidata.org/wiki/Q33323183", "Q33323183")</f>
        <v>0</v>
      </c>
      <c r="G8107" t="s">
        <v>4184</v>
      </c>
      <c r="H8107" t="s">
        <v>7278</v>
      </c>
      <c r="I8107" t="s">
        <v>11155</v>
      </c>
      <c r="J8107" t="s">
        <v>14702</v>
      </c>
      <c r="K8107" t="s">
        <v>19043</v>
      </c>
      <c r="L8107">
        <f>HYPERLINK("https://www2.assemblee-nationale.fr/sycomore/fiche/(num_dept)/3712", "3712")</f>
        <v>0</v>
      </c>
      <c r="N8107">
        <f>HYPERLINK("https://www.wikidata.org/wiki/Q2934951", "Q2934951")</f>
        <v>0</v>
      </c>
      <c r="O8107" t="s">
        <v>20033</v>
      </c>
      <c r="P8107" t="s">
        <v>20410</v>
      </c>
      <c r="Q8107" t="s">
        <v>20934</v>
      </c>
      <c r="R8107" t="s">
        <v>421</v>
      </c>
      <c r="S8107">
        <v>1486</v>
      </c>
    </row>
    <row r="8108" spans="1:19">
      <c r="A8108" t="s">
        <v>31</v>
      </c>
      <c r="B8108" t="s">
        <v>148</v>
      </c>
      <c r="C8108" t="s">
        <v>163</v>
      </c>
      <c r="D8108" t="s">
        <v>292</v>
      </c>
      <c r="E8108" t="s">
        <v>421</v>
      </c>
      <c r="F8108">
        <f>HYPERLINK("https://www.wikidata.org/wiki/Q33323183", "Q33323183")</f>
        <v>0</v>
      </c>
      <c r="G8108" t="s">
        <v>3255</v>
      </c>
      <c r="H8108" t="s">
        <v>7675</v>
      </c>
      <c r="I8108" t="s">
        <v>6200</v>
      </c>
      <c r="J8108" t="s">
        <v>13872</v>
      </c>
      <c r="K8108" t="s">
        <v>18243</v>
      </c>
      <c r="L8108">
        <f>HYPERLINK("https://www2.assemblee-nationale.fr/sycomore/fiche/(num_dept)/3714", "3714")</f>
        <v>0</v>
      </c>
      <c r="N8108">
        <f>HYPERLINK("https://www.wikidata.org/wiki/Q3172111", "Q3172111")</f>
        <v>0</v>
      </c>
      <c r="O8108" t="s">
        <v>20005</v>
      </c>
      <c r="P8108" t="s">
        <v>20401</v>
      </c>
      <c r="Q8108" t="s">
        <v>20934</v>
      </c>
      <c r="R8108" t="s">
        <v>18243</v>
      </c>
      <c r="S8108">
        <v>604</v>
      </c>
    </row>
    <row r="8109" spans="1:19">
      <c r="A8109" t="s">
        <v>31</v>
      </c>
      <c r="B8109" t="s">
        <v>148</v>
      </c>
      <c r="C8109" t="s">
        <v>163</v>
      </c>
      <c r="D8109" t="s">
        <v>292</v>
      </c>
      <c r="E8109" t="s">
        <v>421</v>
      </c>
      <c r="F8109">
        <f>HYPERLINK("https://www.wikidata.org/wiki/Q33323183", "Q33323183")</f>
        <v>0</v>
      </c>
      <c r="G8109" t="s">
        <v>676</v>
      </c>
      <c r="H8109" t="s">
        <v>5435</v>
      </c>
      <c r="I8109" t="s">
        <v>9421</v>
      </c>
      <c r="J8109" t="s">
        <v>11426</v>
      </c>
      <c r="K8109" t="s">
        <v>15827</v>
      </c>
      <c r="L8109">
        <f>HYPERLINK("https://www2.assemblee-nationale.fr/sycomore/fiche/(num_dept)/3726", "3726")</f>
        <v>0</v>
      </c>
      <c r="N8109">
        <f>HYPERLINK("https://www.wikidata.org/wiki/Q16025836", "Q16025836")</f>
        <v>0</v>
      </c>
      <c r="O8109" t="s">
        <v>20025</v>
      </c>
      <c r="P8109" t="s">
        <v>20402</v>
      </c>
      <c r="Q8109" t="s">
        <v>20934</v>
      </c>
      <c r="R8109" t="s">
        <v>421</v>
      </c>
      <c r="S8109">
        <v>1486</v>
      </c>
    </row>
    <row r="8110" spans="1:19">
      <c r="A8110" t="s">
        <v>31</v>
      </c>
      <c r="B8110" t="s">
        <v>148</v>
      </c>
      <c r="C8110" t="s">
        <v>163</v>
      </c>
      <c r="D8110" t="s">
        <v>292</v>
      </c>
      <c r="E8110" t="s">
        <v>421</v>
      </c>
      <c r="F8110">
        <f>HYPERLINK("https://www.wikidata.org/wiki/Q33323183", "Q33323183")</f>
        <v>0</v>
      </c>
      <c r="G8110" t="s">
        <v>677</v>
      </c>
      <c r="H8110" t="s">
        <v>5436</v>
      </c>
      <c r="I8110" t="s">
        <v>9477</v>
      </c>
      <c r="J8110" t="s">
        <v>11427</v>
      </c>
      <c r="K8110" t="s">
        <v>15828</v>
      </c>
      <c r="L8110">
        <f>HYPERLINK("https://www2.assemblee-nationale.fr/sycomore/fiche/(num_dept)/3731", "3731")</f>
        <v>0</v>
      </c>
      <c r="N8110">
        <f>HYPERLINK("https://www.wikidata.org/wiki/Q3301571", "Q3301571")</f>
        <v>0</v>
      </c>
      <c r="O8110" t="s">
        <v>19998</v>
      </c>
      <c r="P8110" t="s">
        <v>20410</v>
      </c>
      <c r="Q8110" t="s">
        <v>20934</v>
      </c>
      <c r="R8110" t="s">
        <v>421</v>
      </c>
      <c r="S8110">
        <v>1486</v>
      </c>
    </row>
    <row r="8111" spans="1:19">
      <c r="A8111" t="s">
        <v>31</v>
      </c>
      <c r="B8111" t="s">
        <v>148</v>
      </c>
      <c r="C8111" t="s">
        <v>163</v>
      </c>
      <c r="D8111" t="s">
        <v>292</v>
      </c>
      <c r="E8111" t="s">
        <v>421</v>
      </c>
      <c r="F8111">
        <f>HYPERLINK("https://www.wikidata.org/wiki/Q33323183", "Q33323183")</f>
        <v>0</v>
      </c>
      <c r="G8111" t="s">
        <v>680</v>
      </c>
      <c r="H8111" t="s">
        <v>5439</v>
      </c>
      <c r="I8111" t="s">
        <v>6495</v>
      </c>
      <c r="J8111" t="s">
        <v>11430</v>
      </c>
      <c r="K8111" t="s">
        <v>15831</v>
      </c>
      <c r="L8111">
        <f>HYPERLINK("https://www2.assemblee-nationale.fr/sycomore/fiche/(num_dept)/3790", "3790")</f>
        <v>0</v>
      </c>
      <c r="M8111">
        <f>HYPERLINK("https://www.senat.fr/senateur-3eme-republique/hemon_louis0801r3.html", "hemon_louis0801r3")</f>
        <v>0</v>
      </c>
      <c r="N8111">
        <f>HYPERLINK("https://www.wikidata.org/wiki/Q3262222", "Q3262222")</f>
        <v>0</v>
      </c>
      <c r="O8111" t="s">
        <v>20011</v>
      </c>
      <c r="P8111" t="s">
        <v>20517</v>
      </c>
      <c r="Q8111" t="s">
        <v>20934</v>
      </c>
      <c r="R8111" t="s">
        <v>421</v>
      </c>
      <c r="S8111">
        <v>1486</v>
      </c>
    </row>
    <row r="8112" spans="1:19">
      <c r="A8112" t="s">
        <v>31</v>
      </c>
      <c r="B8112" t="s">
        <v>148</v>
      </c>
      <c r="C8112" t="s">
        <v>163</v>
      </c>
      <c r="D8112" t="s">
        <v>292</v>
      </c>
      <c r="E8112" t="s">
        <v>421</v>
      </c>
      <c r="F8112">
        <f>HYPERLINK("https://www.wikidata.org/wiki/Q33323183", "Q33323183")</f>
        <v>0</v>
      </c>
      <c r="G8112" t="s">
        <v>683</v>
      </c>
      <c r="H8112" t="s">
        <v>5441</v>
      </c>
      <c r="I8112" t="s">
        <v>9479</v>
      </c>
      <c r="J8112" t="s">
        <v>11433</v>
      </c>
      <c r="K8112" t="s">
        <v>15834</v>
      </c>
      <c r="L8112">
        <f>HYPERLINK("https://www2.assemblee-nationale.fr/sycomore/fiche/(num_dept)/3809", "3809")</f>
        <v>0</v>
      </c>
      <c r="N8112">
        <f>HYPERLINK("https://www.wikidata.org/wiki/Q3552173", "Q3552173")</f>
        <v>0</v>
      </c>
      <c r="O8112" t="s">
        <v>19984</v>
      </c>
      <c r="P8112" t="s">
        <v>20410</v>
      </c>
      <c r="Q8112" t="s">
        <v>20934</v>
      </c>
      <c r="R8112" t="s">
        <v>421</v>
      </c>
      <c r="S8112">
        <v>1486</v>
      </c>
    </row>
    <row r="8113" spans="1:19">
      <c r="A8113" t="s">
        <v>31</v>
      </c>
      <c r="B8113" t="s">
        <v>148</v>
      </c>
      <c r="C8113" t="s">
        <v>163</v>
      </c>
      <c r="D8113" t="s">
        <v>292</v>
      </c>
      <c r="E8113" t="s">
        <v>421</v>
      </c>
      <c r="F8113">
        <f>HYPERLINK("https://www.wikidata.org/wiki/Q33323183", "Q33323183")</f>
        <v>0</v>
      </c>
      <c r="G8113" t="s">
        <v>687</v>
      </c>
      <c r="H8113" t="s">
        <v>5445</v>
      </c>
      <c r="I8113" t="s">
        <v>9455</v>
      </c>
      <c r="J8113" t="s">
        <v>11437</v>
      </c>
      <c r="K8113" t="s">
        <v>15838</v>
      </c>
      <c r="L8113">
        <f>HYPERLINK("https://www2.assemblee-nationale.fr/sycomore/fiche/(num_dept)/3885", "3885")</f>
        <v>0</v>
      </c>
      <c r="M8113">
        <f>HYPERLINK("https://www.senat.fr/senateur-3eme-republique/hubert_lucien0176r3.html", "hubert_lucien0176r3")</f>
        <v>0</v>
      </c>
      <c r="N8113">
        <f>HYPERLINK("https://www.wikidata.org/wiki/Q2117075", "Q2117075")</f>
        <v>0</v>
      </c>
      <c r="O8113" t="s">
        <v>19959</v>
      </c>
      <c r="P8113" t="s">
        <v>20401</v>
      </c>
      <c r="Q8113" t="s">
        <v>20934</v>
      </c>
      <c r="R8113" t="s">
        <v>421</v>
      </c>
      <c r="S8113">
        <v>1486</v>
      </c>
    </row>
    <row r="8114" spans="1:19">
      <c r="A8114" t="s">
        <v>31</v>
      </c>
      <c r="B8114" t="s">
        <v>148</v>
      </c>
      <c r="C8114" t="s">
        <v>163</v>
      </c>
      <c r="D8114" t="s">
        <v>292</v>
      </c>
      <c r="E8114" t="s">
        <v>421</v>
      </c>
      <c r="F8114">
        <f>HYPERLINK("https://www.wikidata.org/wiki/Q33323183", "Q33323183")</f>
        <v>0</v>
      </c>
      <c r="G8114" t="s">
        <v>1181</v>
      </c>
      <c r="H8114" t="s">
        <v>5912</v>
      </c>
      <c r="I8114" t="s">
        <v>6860</v>
      </c>
      <c r="J8114" t="s">
        <v>11914</v>
      </c>
      <c r="K8114" t="s">
        <v>314</v>
      </c>
      <c r="L8114">
        <f>HYPERLINK("https://www2.assemblee-nationale.fr/sycomore/fiche/(num_dept)/3891", "3891")</f>
        <v>0</v>
      </c>
      <c r="N8114">
        <f>HYPERLINK("https://www.wikidata.org/wiki/Q16025855", "Q16025855")</f>
        <v>0</v>
      </c>
      <c r="O8114" t="s">
        <v>19966</v>
      </c>
      <c r="P8114" t="s">
        <v>20401</v>
      </c>
      <c r="Q8114" t="s">
        <v>20934</v>
      </c>
      <c r="R8114" t="s">
        <v>421</v>
      </c>
      <c r="S8114">
        <v>1486</v>
      </c>
    </row>
    <row r="8115" spans="1:19">
      <c r="A8115" t="s">
        <v>31</v>
      </c>
      <c r="B8115" t="s">
        <v>148</v>
      </c>
      <c r="C8115" t="s">
        <v>163</v>
      </c>
      <c r="D8115" t="s">
        <v>292</v>
      </c>
      <c r="E8115" t="s">
        <v>421</v>
      </c>
      <c r="F8115">
        <f>HYPERLINK("https://www.wikidata.org/wiki/Q33323183", "Q33323183")</f>
        <v>0</v>
      </c>
      <c r="G8115" t="s">
        <v>4185</v>
      </c>
      <c r="H8115" t="s">
        <v>7575</v>
      </c>
      <c r="I8115" t="s">
        <v>9385</v>
      </c>
      <c r="J8115" t="s">
        <v>14703</v>
      </c>
      <c r="K8115" t="s">
        <v>16206</v>
      </c>
      <c r="L8115">
        <f>HYPERLINK("https://www2.assemblee-nationale.fr/sycomore/fiche/(num_dept)/3908", "3908")</f>
        <v>0</v>
      </c>
      <c r="M8115">
        <f>HYPERLINK("https://www.senat.fr/senateur-3eme-republique/humbert_charles1020r3.html", "humbert_charles1020r3")</f>
        <v>0</v>
      </c>
      <c r="N8115">
        <f>HYPERLINK("https://www.wikidata.org/wiki/Q766065", "Q766065")</f>
        <v>0</v>
      </c>
      <c r="O8115" t="s">
        <v>20030</v>
      </c>
      <c r="P8115" t="s">
        <v>20457</v>
      </c>
      <c r="Q8115" t="s">
        <v>20934</v>
      </c>
      <c r="R8115" t="s">
        <v>21634</v>
      </c>
      <c r="S8115">
        <v>634</v>
      </c>
    </row>
    <row r="8116" spans="1:19">
      <c r="A8116" t="s">
        <v>31</v>
      </c>
      <c r="B8116" t="s">
        <v>148</v>
      </c>
      <c r="C8116" t="s">
        <v>163</v>
      </c>
      <c r="D8116" t="s">
        <v>292</v>
      </c>
      <c r="E8116" t="s">
        <v>421</v>
      </c>
      <c r="F8116">
        <f>HYPERLINK("https://www.wikidata.org/wiki/Q33323183", "Q33323183")</f>
        <v>0</v>
      </c>
      <c r="G8116" t="s">
        <v>4153</v>
      </c>
      <c r="H8116" t="s">
        <v>7835</v>
      </c>
      <c r="I8116" t="s">
        <v>11139</v>
      </c>
      <c r="J8116" t="s">
        <v>14682</v>
      </c>
      <c r="K8116" t="s">
        <v>16636</v>
      </c>
      <c r="L8116">
        <f>HYPERLINK("https://www2.assemblee-nationale.fr/sycomore/fiche/(num_dept)/3944", "3944")</f>
        <v>0</v>
      </c>
      <c r="N8116">
        <f>HYPERLINK("https://www.wikidata.org/wiki/Q8314865", "Q8314865")</f>
        <v>0</v>
      </c>
      <c r="O8116" t="s">
        <v>20033</v>
      </c>
      <c r="P8116" t="s">
        <v>20485</v>
      </c>
      <c r="Q8116" t="s">
        <v>20934</v>
      </c>
      <c r="R8116" t="s">
        <v>421</v>
      </c>
      <c r="S8116">
        <v>1486</v>
      </c>
    </row>
    <row r="8117" spans="1:19">
      <c r="A8117" t="s">
        <v>31</v>
      </c>
      <c r="B8117" t="s">
        <v>148</v>
      </c>
      <c r="C8117" t="s">
        <v>163</v>
      </c>
      <c r="D8117" t="s">
        <v>292</v>
      </c>
      <c r="E8117" t="s">
        <v>421</v>
      </c>
      <c r="F8117">
        <f>HYPERLINK("https://www.wikidata.org/wiki/Q33323183", "Q33323183")</f>
        <v>0</v>
      </c>
      <c r="G8117" t="s">
        <v>3918</v>
      </c>
      <c r="H8117" t="s">
        <v>8175</v>
      </c>
      <c r="I8117" t="s">
        <v>7790</v>
      </c>
      <c r="J8117" t="s">
        <v>14474</v>
      </c>
      <c r="K8117" t="s">
        <v>18823</v>
      </c>
      <c r="L8117">
        <f>HYPERLINK("https://www2.assemblee-nationale.fr/sycomore/fiche/(num_dept)/3969", "3969")</f>
        <v>0</v>
      </c>
      <c r="N8117">
        <f>HYPERLINK("https://www.wikidata.org/wiki/Q2861874", "Q2861874")</f>
        <v>0</v>
      </c>
      <c r="O8117" t="s">
        <v>19995</v>
      </c>
      <c r="P8117" t="s">
        <v>20495</v>
      </c>
      <c r="Q8117" t="s">
        <v>20934</v>
      </c>
      <c r="R8117" t="s">
        <v>421</v>
      </c>
      <c r="S8117">
        <v>1486</v>
      </c>
    </row>
    <row r="8118" spans="1:19">
      <c r="A8118" t="s">
        <v>31</v>
      </c>
      <c r="B8118" t="s">
        <v>148</v>
      </c>
      <c r="C8118" t="s">
        <v>163</v>
      </c>
      <c r="D8118" t="s">
        <v>292</v>
      </c>
      <c r="E8118" t="s">
        <v>421</v>
      </c>
      <c r="F8118">
        <f>HYPERLINK("https://www.wikidata.org/wiki/Q33323183", "Q33323183")</f>
        <v>0</v>
      </c>
      <c r="G8118" t="s">
        <v>4067</v>
      </c>
      <c r="H8118" t="s">
        <v>8287</v>
      </c>
      <c r="I8118" t="s">
        <v>11090</v>
      </c>
      <c r="J8118" t="s">
        <v>14607</v>
      </c>
      <c r="K8118" t="s">
        <v>18944</v>
      </c>
      <c r="L8118">
        <f>HYPERLINK("https://www2.assemblee-nationale.fr/sycomore/fiche/(num_dept)/3989", "3989")</f>
        <v>0</v>
      </c>
      <c r="N8118">
        <f>HYPERLINK("https://www.wikidata.org/wiki/Q3271074", "Q3271074")</f>
        <v>0</v>
      </c>
      <c r="O8118" t="s">
        <v>19973</v>
      </c>
      <c r="P8118" t="s">
        <v>20401</v>
      </c>
      <c r="Q8118" t="s">
        <v>20934</v>
      </c>
      <c r="R8118" t="s">
        <v>18944</v>
      </c>
      <c r="S8118">
        <v>1272</v>
      </c>
    </row>
    <row r="8119" spans="1:19">
      <c r="A8119" t="s">
        <v>31</v>
      </c>
      <c r="B8119" t="s">
        <v>148</v>
      </c>
      <c r="C8119" t="s">
        <v>163</v>
      </c>
      <c r="D8119" t="s">
        <v>292</v>
      </c>
      <c r="E8119" t="s">
        <v>421</v>
      </c>
      <c r="F8119">
        <f>HYPERLINK("https://www.wikidata.org/wiki/Q33323183", "Q33323183")</f>
        <v>0</v>
      </c>
      <c r="G8119" t="s">
        <v>690</v>
      </c>
      <c r="H8119" t="s">
        <v>5448</v>
      </c>
      <c r="I8119" t="s">
        <v>6200</v>
      </c>
      <c r="J8119" t="s">
        <v>11440</v>
      </c>
      <c r="K8119" t="s">
        <v>15841</v>
      </c>
      <c r="L8119">
        <f>HYPERLINK("https://www2.assemblee-nationale.fr/sycomore/fiche/(num_dept)/4011", "4011")</f>
        <v>0</v>
      </c>
      <c r="N8119">
        <f>HYPERLINK("https://www.wikidata.org/wiki/Q12688", "Q12688")</f>
        <v>0</v>
      </c>
      <c r="O8119" t="s">
        <v>19962</v>
      </c>
      <c r="P8119" t="s">
        <v>20515</v>
      </c>
      <c r="Q8119" t="s">
        <v>20934</v>
      </c>
      <c r="R8119" t="s">
        <v>421</v>
      </c>
      <c r="S8119">
        <v>1486</v>
      </c>
    </row>
    <row r="8120" spans="1:19">
      <c r="A8120" t="s">
        <v>31</v>
      </c>
      <c r="B8120" t="s">
        <v>148</v>
      </c>
      <c r="C8120" t="s">
        <v>163</v>
      </c>
      <c r="D8120" t="s">
        <v>292</v>
      </c>
      <c r="E8120" t="s">
        <v>421</v>
      </c>
      <c r="F8120">
        <f>HYPERLINK("https://www.wikidata.org/wiki/Q33323183", "Q33323183")</f>
        <v>0</v>
      </c>
      <c r="G8120" t="s">
        <v>4068</v>
      </c>
      <c r="H8120" t="s">
        <v>8288</v>
      </c>
      <c r="I8120" t="s">
        <v>9449</v>
      </c>
      <c r="J8120" t="s">
        <v>14608</v>
      </c>
      <c r="K8120" t="s">
        <v>18945</v>
      </c>
      <c r="L8120">
        <f>HYPERLINK("https://www2.assemblee-nationale.fr/sycomore/fiche/(num_dept)/4024", "4024")</f>
        <v>0</v>
      </c>
      <c r="M8120">
        <f>HYPERLINK("https://www.senat.fr/senateur-3eme-republique/jeanneney_jules1206r3.html", "jeanneney_jules1206r3")</f>
        <v>0</v>
      </c>
      <c r="N8120">
        <f>HYPERLINK("https://www.wikidata.org/wiki/Q3188688", "Q3188688")</f>
        <v>0</v>
      </c>
      <c r="O8120" t="s">
        <v>20036</v>
      </c>
      <c r="P8120" t="s">
        <v>20489</v>
      </c>
      <c r="Q8120" t="s">
        <v>20934</v>
      </c>
      <c r="R8120" t="s">
        <v>21630</v>
      </c>
      <c r="S8120">
        <v>992</v>
      </c>
    </row>
    <row r="8121" spans="1:19">
      <c r="A8121" t="s">
        <v>31</v>
      </c>
      <c r="B8121" t="s">
        <v>148</v>
      </c>
      <c r="C8121" t="s">
        <v>163</v>
      </c>
      <c r="D8121" t="s">
        <v>292</v>
      </c>
      <c r="E8121" t="s">
        <v>421</v>
      </c>
      <c r="F8121">
        <f>HYPERLINK("https://www.wikidata.org/wiki/Q33323183", "Q33323183")</f>
        <v>0</v>
      </c>
      <c r="G8121" t="s">
        <v>692</v>
      </c>
      <c r="H8121" t="s">
        <v>5450</v>
      </c>
      <c r="I8121" t="s">
        <v>9385</v>
      </c>
      <c r="J8121" t="s">
        <v>11442</v>
      </c>
      <c r="K8121" t="s">
        <v>15843</v>
      </c>
      <c r="L8121">
        <f>HYPERLINK("https://www2.assemblee-nationale.fr/sycomore/fiche/(num_dept)/4047", "4047")</f>
        <v>0</v>
      </c>
      <c r="M8121">
        <f>HYPERLINK("https://www.senat.fr/senateur-3eme-republique/jonnart_celestin0975r3.html", "jonnart_celestin0975r3")</f>
        <v>0</v>
      </c>
      <c r="N8121">
        <f>HYPERLINK("https://www.wikidata.org/wiki/Q212634", "Q212634")</f>
        <v>0</v>
      </c>
      <c r="O8121" t="s">
        <v>19968</v>
      </c>
      <c r="P8121" t="s">
        <v>20411</v>
      </c>
      <c r="Q8121" t="s">
        <v>20934</v>
      </c>
      <c r="R8121" t="s">
        <v>421</v>
      </c>
      <c r="S8121">
        <v>1486</v>
      </c>
    </row>
    <row r="8122" spans="1:19">
      <c r="A8122" t="s">
        <v>31</v>
      </c>
      <c r="B8122" t="s">
        <v>148</v>
      </c>
      <c r="C8122" t="s">
        <v>163</v>
      </c>
      <c r="D8122" t="s">
        <v>292</v>
      </c>
      <c r="E8122" t="s">
        <v>421</v>
      </c>
      <c r="F8122">
        <f>HYPERLINK("https://www.wikidata.org/wiki/Q33323183", "Q33323183")</f>
        <v>0</v>
      </c>
      <c r="G8122" t="s">
        <v>4186</v>
      </c>
      <c r="H8122" t="s">
        <v>8379</v>
      </c>
      <c r="I8122" t="s">
        <v>6200</v>
      </c>
      <c r="J8122" t="s">
        <v>13815</v>
      </c>
      <c r="K8122" t="s">
        <v>19044</v>
      </c>
      <c r="L8122">
        <f>HYPERLINK("https://www2.assemblee-nationale.fr/sycomore/fiche/(num_dept)/4083", "4083")</f>
        <v>0</v>
      </c>
      <c r="N8122">
        <f>HYPERLINK("https://www.wikidata.org/wiki/Q16025883", "Q16025883")</f>
        <v>0</v>
      </c>
      <c r="O8122" t="s">
        <v>19982</v>
      </c>
      <c r="P8122" t="s">
        <v>20402</v>
      </c>
      <c r="Q8122" t="s">
        <v>20934</v>
      </c>
      <c r="R8122" t="s">
        <v>421</v>
      </c>
      <c r="S8122">
        <v>1486</v>
      </c>
    </row>
    <row r="8123" spans="1:19">
      <c r="A8123" t="s">
        <v>31</v>
      </c>
      <c r="B8123" t="s">
        <v>148</v>
      </c>
      <c r="C8123" t="s">
        <v>163</v>
      </c>
      <c r="D8123" t="s">
        <v>292</v>
      </c>
      <c r="E8123" t="s">
        <v>421</v>
      </c>
      <c r="F8123">
        <f>HYPERLINK("https://www.wikidata.org/wiki/Q33323183", "Q33323183")</f>
        <v>0</v>
      </c>
      <c r="G8123" t="s">
        <v>1084</v>
      </c>
      <c r="H8123" t="s">
        <v>5827</v>
      </c>
      <c r="I8123" t="s">
        <v>7419</v>
      </c>
      <c r="J8123" t="s">
        <v>11820</v>
      </c>
      <c r="K8123" t="s">
        <v>16221</v>
      </c>
      <c r="L8123">
        <f>HYPERLINK("https://www2.assemblee-nationale.fr/sycomore/fiche/(num_dept)/4090", "4090")</f>
        <v>0</v>
      </c>
      <c r="M8123">
        <f>HYPERLINK("https://www.senat.fr/senateur-3eme-republique/de_juigne_jacques1286r3.html", "de_juigne_jacques1286r3")</f>
        <v>0</v>
      </c>
      <c r="N8123">
        <f>HYPERLINK("https://www.wikidata.org/wiki/Q3158160", "Q3158160")</f>
        <v>0</v>
      </c>
      <c r="O8123" t="s">
        <v>20023</v>
      </c>
      <c r="P8123" t="s">
        <v>20409</v>
      </c>
      <c r="Q8123" t="s">
        <v>20934</v>
      </c>
      <c r="R8123" t="s">
        <v>421</v>
      </c>
      <c r="S8123">
        <v>1486</v>
      </c>
    </row>
    <row r="8124" spans="1:19">
      <c r="A8124" t="s">
        <v>31</v>
      </c>
      <c r="B8124" t="s">
        <v>148</v>
      </c>
      <c r="C8124" t="s">
        <v>163</v>
      </c>
      <c r="D8124" t="s">
        <v>292</v>
      </c>
      <c r="E8124" t="s">
        <v>421</v>
      </c>
      <c r="F8124">
        <f>HYPERLINK("https://www.wikidata.org/wiki/Q33323183", "Q33323183")</f>
        <v>0</v>
      </c>
      <c r="G8124" t="s">
        <v>695</v>
      </c>
      <c r="H8124" t="s">
        <v>5453</v>
      </c>
      <c r="I8124" t="s">
        <v>9421</v>
      </c>
      <c r="J8124" t="s">
        <v>11445</v>
      </c>
      <c r="K8124" t="s">
        <v>15846</v>
      </c>
      <c r="L8124">
        <f>HYPERLINK("https://www2.assemblee-nationale.fr/sycomore/fiche/(num_dept)/4128", "4128")</f>
        <v>0</v>
      </c>
      <c r="M8124">
        <f>HYPERLINK("https://www.senat.fr/senateur-3eme-republique/de_kerguezec_gustave0567r3.html", "de_kerguezec_gustave0567r3")</f>
        <v>0</v>
      </c>
      <c r="N8124">
        <f>HYPERLINK("https://www.wikidata.org/wiki/Q3121362", "Q3121362")</f>
        <v>0</v>
      </c>
      <c r="O8124" t="s">
        <v>19964</v>
      </c>
      <c r="P8124" t="s">
        <v>20402</v>
      </c>
      <c r="Q8124" t="s">
        <v>20934</v>
      </c>
      <c r="R8124" t="s">
        <v>421</v>
      </c>
      <c r="S8124">
        <v>1486</v>
      </c>
    </row>
    <row r="8125" spans="1:19">
      <c r="A8125" t="s">
        <v>31</v>
      </c>
      <c r="B8125" t="s">
        <v>148</v>
      </c>
      <c r="C8125" t="s">
        <v>163</v>
      </c>
      <c r="D8125" t="s">
        <v>292</v>
      </c>
      <c r="E8125" t="s">
        <v>421</v>
      </c>
      <c r="F8125">
        <f>HYPERLINK("https://www.wikidata.org/wiki/Q33323183", "Q33323183")</f>
        <v>0</v>
      </c>
      <c r="G8125" t="s">
        <v>3467</v>
      </c>
      <c r="H8125" t="s">
        <v>7840</v>
      </c>
      <c r="I8125" t="s">
        <v>10838</v>
      </c>
      <c r="J8125" t="s">
        <v>14068</v>
      </c>
      <c r="K8125" t="s">
        <v>18436</v>
      </c>
      <c r="L8125">
        <f>HYPERLINK("https://www2.assemblee-nationale.fr/sycomore/fiche/(num_dept)/4130", "4130")</f>
        <v>0</v>
      </c>
      <c r="N8125">
        <f>HYPERLINK("https://www.wikidata.org/wiki/Q3161253", "Q3161253")</f>
        <v>0</v>
      </c>
      <c r="O8125" t="s">
        <v>20011</v>
      </c>
      <c r="P8125" t="s">
        <v>20517</v>
      </c>
      <c r="Q8125" t="s">
        <v>20934</v>
      </c>
      <c r="R8125" t="s">
        <v>18436</v>
      </c>
      <c r="S8125">
        <v>962</v>
      </c>
    </row>
    <row r="8126" spans="1:19">
      <c r="A8126" t="s">
        <v>31</v>
      </c>
      <c r="B8126" t="s">
        <v>148</v>
      </c>
      <c r="C8126" t="s">
        <v>163</v>
      </c>
      <c r="D8126" t="s">
        <v>292</v>
      </c>
      <c r="E8126" t="s">
        <v>421</v>
      </c>
      <c r="F8126">
        <f>HYPERLINK("https://www.wikidata.org/wiki/Q33323183", "Q33323183")</f>
        <v>0</v>
      </c>
      <c r="G8126" t="s">
        <v>696</v>
      </c>
      <c r="H8126" t="s">
        <v>5454</v>
      </c>
      <c r="I8126" t="s">
        <v>9484</v>
      </c>
      <c r="J8126" t="s">
        <v>11446</v>
      </c>
      <c r="K8126" t="s">
        <v>15847</v>
      </c>
      <c r="L8126">
        <f>HYPERLINK("https://www2.assemblee-nationale.fr/sycomore/fiche/(num_dept)/4148", "4148")</f>
        <v>0</v>
      </c>
      <c r="M8126">
        <f>HYPERLINK("https://www.senat.fr/senateur-3eme-republique/klotz_louis1683r3.html", "klotz_louis1683r3")</f>
        <v>0</v>
      </c>
      <c r="N8126">
        <f>HYPERLINK("https://www.wikidata.org/wiki/Q179586", "Q179586")</f>
        <v>0</v>
      </c>
      <c r="O8126" t="s">
        <v>20012</v>
      </c>
      <c r="P8126" t="s">
        <v>20489</v>
      </c>
      <c r="Q8126" t="s">
        <v>20934</v>
      </c>
      <c r="R8126" t="s">
        <v>421</v>
      </c>
      <c r="S8126">
        <v>1486</v>
      </c>
    </row>
    <row r="8127" spans="1:19">
      <c r="A8127" t="s">
        <v>31</v>
      </c>
      <c r="B8127" t="s">
        <v>148</v>
      </c>
      <c r="C8127" t="s">
        <v>163</v>
      </c>
      <c r="D8127" t="s">
        <v>292</v>
      </c>
      <c r="E8127" t="s">
        <v>421</v>
      </c>
      <c r="F8127">
        <f>HYPERLINK("https://www.wikidata.org/wiki/Q33323183", "Q33323183")</f>
        <v>0</v>
      </c>
      <c r="G8127" t="s">
        <v>3637</v>
      </c>
      <c r="H8127" t="s">
        <v>7970</v>
      </c>
      <c r="I8127" t="s">
        <v>9506</v>
      </c>
      <c r="J8127" t="s">
        <v>14217</v>
      </c>
      <c r="K8127" t="s">
        <v>18581</v>
      </c>
      <c r="L8127">
        <f>HYPERLINK("https://www2.assemblee-nationale.fr/sycomore/fiche/(num_dept)/4153", "4153")</f>
        <v>0</v>
      </c>
      <c r="N8127">
        <f>HYPERLINK("https://www.wikidata.org/wiki/Q2934973", "Q2934973")</f>
        <v>0</v>
      </c>
      <c r="O8127" t="s">
        <v>20017</v>
      </c>
      <c r="P8127" t="s">
        <v>20517</v>
      </c>
      <c r="Q8127" t="s">
        <v>20934</v>
      </c>
      <c r="R8127" t="s">
        <v>421</v>
      </c>
      <c r="S8127">
        <v>1486</v>
      </c>
    </row>
    <row r="8128" spans="1:19">
      <c r="A8128" t="s">
        <v>31</v>
      </c>
      <c r="B8128" t="s">
        <v>148</v>
      </c>
      <c r="C8128" t="s">
        <v>163</v>
      </c>
      <c r="D8128" t="s">
        <v>292</v>
      </c>
      <c r="E8128" t="s">
        <v>421</v>
      </c>
      <c r="F8128">
        <f>HYPERLINK("https://www.wikidata.org/wiki/Q33323183", "Q33323183")</f>
        <v>0</v>
      </c>
      <c r="G8128" t="s">
        <v>697</v>
      </c>
      <c r="H8128" t="s">
        <v>5455</v>
      </c>
      <c r="I8128" t="s">
        <v>9485</v>
      </c>
      <c r="J8128" t="s">
        <v>11447</v>
      </c>
      <c r="K8128" t="s">
        <v>15848</v>
      </c>
      <c r="L8128">
        <f>HYPERLINK("https://www2.assemblee-nationale.fr/sycomore/fiche/(num_dept)/4166", "4166")</f>
        <v>0</v>
      </c>
      <c r="N8128">
        <f>HYPERLINK("https://www.wikidata.org/wiki/Q3455687", "Q3455687")</f>
        <v>0</v>
      </c>
      <c r="O8128" t="s">
        <v>19961</v>
      </c>
      <c r="P8128" t="s">
        <v>20410</v>
      </c>
      <c r="Q8128" t="s">
        <v>20934</v>
      </c>
      <c r="R8128" t="s">
        <v>421</v>
      </c>
      <c r="S8128">
        <v>1486</v>
      </c>
    </row>
    <row r="8129" spans="1:19">
      <c r="A8129" t="s">
        <v>31</v>
      </c>
      <c r="B8129" t="s">
        <v>148</v>
      </c>
      <c r="C8129" t="s">
        <v>163</v>
      </c>
      <c r="D8129" t="s">
        <v>292</v>
      </c>
      <c r="E8129" t="s">
        <v>421</v>
      </c>
      <c r="F8129">
        <f>HYPERLINK("https://www.wikidata.org/wiki/Q33323183", "Q33323183")</f>
        <v>0</v>
      </c>
      <c r="G8129" t="s">
        <v>698</v>
      </c>
      <c r="H8129" t="s">
        <v>5456</v>
      </c>
      <c r="I8129" t="s">
        <v>9421</v>
      </c>
      <c r="J8129" t="s">
        <v>11448</v>
      </c>
      <c r="K8129" t="s">
        <v>15849</v>
      </c>
      <c r="L8129">
        <f>HYPERLINK("https://www2.assemblee-nationale.fr/sycomore/fiche/(num_dept)/4168", "4168")</f>
        <v>0</v>
      </c>
      <c r="M8129">
        <f>HYPERLINK("https://www.senat.fr/senateur-3eme-republique/lhopiteau_gustave0772r3.html", "lhopiteau_gustave0772r3")</f>
        <v>0</v>
      </c>
      <c r="N8129">
        <f>HYPERLINK("https://www.wikidata.org/wiki/Q3121244", "Q3121244")</f>
        <v>0</v>
      </c>
      <c r="O8129" t="s">
        <v>19971</v>
      </c>
      <c r="P8129" t="s">
        <v>20457</v>
      </c>
      <c r="Q8129" t="s">
        <v>20934</v>
      </c>
      <c r="R8129" t="s">
        <v>421</v>
      </c>
      <c r="S8129">
        <v>1486</v>
      </c>
    </row>
    <row r="8130" spans="1:19">
      <c r="A8130" t="s">
        <v>31</v>
      </c>
      <c r="B8130" t="s">
        <v>148</v>
      </c>
      <c r="C8130" t="s">
        <v>163</v>
      </c>
      <c r="D8130" t="s">
        <v>292</v>
      </c>
      <c r="E8130" t="s">
        <v>421</v>
      </c>
      <c r="F8130">
        <f>HYPERLINK("https://www.wikidata.org/wiki/Q33323183", "Q33323183")</f>
        <v>0</v>
      </c>
      <c r="G8130" t="s">
        <v>699</v>
      </c>
      <c r="H8130" t="s">
        <v>5457</v>
      </c>
      <c r="I8130" t="s">
        <v>9376</v>
      </c>
      <c r="J8130" t="s">
        <v>11449</v>
      </c>
      <c r="K8130" t="s">
        <v>15850</v>
      </c>
      <c r="L8130">
        <f>HYPERLINK("https://www2.assemblee-nationale.fr/sycomore/fiche/(num_dept)/4171", "4171")</f>
        <v>0</v>
      </c>
      <c r="M8130">
        <f>HYPERLINK("https://www.senat.fr/senateur-3eme-republique/de_la_batut_ferdinand0668r3.html", "de_la_batut_ferdinand0668r3")</f>
        <v>0</v>
      </c>
      <c r="N8130">
        <f>HYPERLINK("https://www.wikidata.org/wiki/Q3068680", "Q3068680")</f>
        <v>0</v>
      </c>
      <c r="O8130" t="s">
        <v>20010</v>
      </c>
      <c r="P8130" t="s">
        <v>20457</v>
      </c>
      <c r="Q8130" t="s">
        <v>20934</v>
      </c>
      <c r="R8130" t="s">
        <v>421</v>
      </c>
      <c r="S8130">
        <v>1486</v>
      </c>
    </row>
    <row r="8131" spans="1:19">
      <c r="A8131" t="s">
        <v>31</v>
      </c>
      <c r="B8131" t="s">
        <v>148</v>
      </c>
      <c r="C8131" t="s">
        <v>163</v>
      </c>
      <c r="D8131" t="s">
        <v>292</v>
      </c>
      <c r="E8131" t="s">
        <v>421</v>
      </c>
      <c r="F8131">
        <f>HYPERLINK("https://www.wikidata.org/wiki/Q33323183", "Q33323183")</f>
        <v>0</v>
      </c>
      <c r="G8131" t="s">
        <v>3138</v>
      </c>
      <c r="H8131" t="s">
        <v>5458</v>
      </c>
      <c r="I8131" t="s">
        <v>10654</v>
      </c>
      <c r="J8131" t="s">
        <v>13760</v>
      </c>
      <c r="K8131" t="s">
        <v>18137</v>
      </c>
      <c r="L8131">
        <f>HYPERLINK("https://www2.assemblee-nationale.fr/sycomore/fiche/(num_dept)/4178", "4178")</f>
        <v>0</v>
      </c>
      <c r="N8131">
        <f>HYPERLINK("https://www.wikidata.org/wiki/Q3131569", "Q3131569")</f>
        <v>0</v>
      </c>
      <c r="O8131" t="s">
        <v>20023</v>
      </c>
      <c r="Q8131" t="s">
        <v>20934</v>
      </c>
      <c r="R8131" t="s">
        <v>18137</v>
      </c>
      <c r="S8131">
        <v>507</v>
      </c>
    </row>
    <row r="8132" spans="1:19">
      <c r="A8132" t="s">
        <v>31</v>
      </c>
      <c r="B8132" t="s">
        <v>148</v>
      </c>
      <c r="C8132" t="s">
        <v>163</v>
      </c>
      <c r="D8132" t="s">
        <v>292</v>
      </c>
      <c r="E8132" t="s">
        <v>421</v>
      </c>
      <c r="F8132">
        <f>HYPERLINK("https://www.wikidata.org/wiki/Q33323183", "Q33323183")</f>
        <v>0</v>
      </c>
      <c r="G8132" t="s">
        <v>702</v>
      </c>
      <c r="H8132" t="s">
        <v>5460</v>
      </c>
      <c r="I8132" t="s">
        <v>9487</v>
      </c>
      <c r="J8132" t="s">
        <v>11452</v>
      </c>
      <c r="K8132" t="s">
        <v>15853</v>
      </c>
      <c r="L8132">
        <f>HYPERLINK("https://www2.assemblee-nationale.fr/sycomore/fiche/(num_dept)/4189", "4189")</f>
        <v>0</v>
      </c>
      <c r="N8132">
        <f>HYPERLINK("https://www.wikidata.org/wiki/Q3261483", "Q3261483")</f>
        <v>0</v>
      </c>
      <c r="O8132" t="s">
        <v>19987</v>
      </c>
      <c r="P8132" t="s">
        <v>20402</v>
      </c>
      <c r="Q8132" t="s">
        <v>20934</v>
      </c>
      <c r="R8132" t="s">
        <v>421</v>
      </c>
      <c r="S8132">
        <v>1486</v>
      </c>
    </row>
    <row r="8133" spans="1:19">
      <c r="A8133" t="s">
        <v>31</v>
      </c>
      <c r="B8133" t="s">
        <v>148</v>
      </c>
      <c r="C8133" t="s">
        <v>163</v>
      </c>
      <c r="D8133" t="s">
        <v>292</v>
      </c>
      <c r="E8133" t="s">
        <v>421</v>
      </c>
      <c r="F8133">
        <f>HYPERLINK("https://www.wikidata.org/wiki/Q33323183", "Q33323183")</f>
        <v>0</v>
      </c>
      <c r="G8133" t="s">
        <v>703</v>
      </c>
      <c r="H8133" t="s">
        <v>5461</v>
      </c>
      <c r="I8133" t="s">
        <v>9375</v>
      </c>
      <c r="J8133" t="s">
        <v>11453</v>
      </c>
      <c r="K8133" t="s">
        <v>15854</v>
      </c>
      <c r="L8133">
        <f>HYPERLINK("https://www2.assemblee-nationale.fr/sycomore/fiche/(num_dept)/4220", "4220")</f>
        <v>0</v>
      </c>
      <c r="N8133">
        <f>HYPERLINK("https://www.wikidata.org/wiki/Q16025910", "Q16025910")</f>
        <v>0</v>
      </c>
      <c r="O8133" t="s">
        <v>20020</v>
      </c>
      <c r="P8133" t="s">
        <v>20401</v>
      </c>
      <c r="Q8133" t="s">
        <v>20934</v>
      </c>
      <c r="R8133" t="s">
        <v>421</v>
      </c>
      <c r="S8133">
        <v>1486</v>
      </c>
    </row>
    <row r="8134" spans="1:19">
      <c r="A8134" t="s">
        <v>31</v>
      </c>
      <c r="B8134" t="s">
        <v>148</v>
      </c>
      <c r="C8134" t="s">
        <v>163</v>
      </c>
      <c r="D8134" t="s">
        <v>292</v>
      </c>
      <c r="E8134" t="s">
        <v>421</v>
      </c>
      <c r="F8134">
        <f>HYPERLINK("https://www.wikidata.org/wiki/Q33323183", "Q33323183")</f>
        <v>0</v>
      </c>
      <c r="G8134" t="s">
        <v>707</v>
      </c>
      <c r="H8134" t="s">
        <v>5465</v>
      </c>
      <c r="I8134" t="s">
        <v>9453</v>
      </c>
      <c r="J8134" t="s">
        <v>11457</v>
      </c>
      <c r="K8134" t="s">
        <v>15858</v>
      </c>
      <c r="L8134">
        <f>HYPERLINK("https://www2.assemblee-nationale.fr/sycomore/fiche/(num_dept)/4312", "4312")</f>
        <v>0</v>
      </c>
      <c r="N8134">
        <f>HYPERLINK("https://www.wikidata.org/wiki/Q2865188", "Q2865188")</f>
        <v>0</v>
      </c>
      <c r="O8134" t="s">
        <v>19968</v>
      </c>
      <c r="P8134" t="s">
        <v>20515</v>
      </c>
      <c r="Q8134" t="s">
        <v>20934</v>
      </c>
      <c r="R8134" t="s">
        <v>421</v>
      </c>
      <c r="S8134">
        <v>1486</v>
      </c>
    </row>
    <row r="8135" spans="1:19">
      <c r="A8135" t="s">
        <v>31</v>
      </c>
      <c r="B8135" t="s">
        <v>148</v>
      </c>
      <c r="C8135" t="s">
        <v>163</v>
      </c>
      <c r="D8135" t="s">
        <v>292</v>
      </c>
      <c r="E8135" t="s">
        <v>421</v>
      </c>
      <c r="F8135">
        <f>HYPERLINK("https://www.wikidata.org/wiki/Q33323183", "Q33323183")</f>
        <v>0</v>
      </c>
      <c r="G8135" t="s">
        <v>708</v>
      </c>
      <c r="H8135" t="s">
        <v>5466</v>
      </c>
      <c r="I8135" t="s">
        <v>9442</v>
      </c>
      <c r="J8135" t="s">
        <v>11458</v>
      </c>
      <c r="K8135" t="s">
        <v>15859</v>
      </c>
      <c r="L8135">
        <f>HYPERLINK("https://www2.assemblee-nationale.fr/sycomore/fiche/(num_dept)/4320", "4320")</f>
        <v>0</v>
      </c>
      <c r="M8135">
        <f>HYPERLINK("https://www.senat.fr/senateur-3eme-republique/lamy_ernest0911r3.html", "lamy_ernest0911r3")</f>
        <v>0</v>
      </c>
      <c r="N8135">
        <f>HYPERLINK("https://www.wikidata.org/wiki/Q3057035", "Q3057035")</f>
        <v>0</v>
      </c>
      <c r="O8135" t="s">
        <v>19961</v>
      </c>
      <c r="P8135" t="s">
        <v>20410</v>
      </c>
      <c r="Q8135" t="s">
        <v>20934</v>
      </c>
      <c r="R8135" t="s">
        <v>421</v>
      </c>
      <c r="S8135">
        <v>1486</v>
      </c>
    </row>
    <row r="8136" spans="1:19">
      <c r="A8136" t="s">
        <v>31</v>
      </c>
      <c r="B8136" t="s">
        <v>148</v>
      </c>
      <c r="C8136" t="s">
        <v>163</v>
      </c>
      <c r="D8136" t="s">
        <v>292</v>
      </c>
      <c r="E8136" t="s">
        <v>421</v>
      </c>
      <c r="F8136">
        <f>HYPERLINK("https://www.wikidata.org/wiki/Q33323183", "Q33323183")</f>
        <v>0</v>
      </c>
      <c r="G8136" t="s">
        <v>709</v>
      </c>
      <c r="H8136" t="s">
        <v>5467</v>
      </c>
      <c r="I8136" t="s">
        <v>9457</v>
      </c>
      <c r="J8136" t="s">
        <v>11267</v>
      </c>
      <c r="K8136" t="s">
        <v>15860</v>
      </c>
      <c r="L8136">
        <f>HYPERLINK("https://www2.assemblee-nationale.fr/sycomore/fiche/(num_dept)/4337", "4337")</f>
        <v>0</v>
      </c>
      <c r="N8136">
        <f>HYPERLINK("https://www.wikidata.org/wiki/Q3131419", "Q3131419")</f>
        <v>0</v>
      </c>
      <c r="O8136" t="s">
        <v>20009</v>
      </c>
      <c r="P8136" t="s">
        <v>20517</v>
      </c>
      <c r="Q8136" t="s">
        <v>20934</v>
      </c>
      <c r="R8136" t="s">
        <v>421</v>
      </c>
      <c r="S8136">
        <v>1486</v>
      </c>
    </row>
    <row r="8137" spans="1:19">
      <c r="A8137" t="s">
        <v>31</v>
      </c>
      <c r="B8137" t="s">
        <v>148</v>
      </c>
      <c r="C8137" t="s">
        <v>163</v>
      </c>
      <c r="D8137" t="s">
        <v>292</v>
      </c>
      <c r="E8137" t="s">
        <v>421</v>
      </c>
      <c r="F8137">
        <f>HYPERLINK("https://www.wikidata.org/wiki/Q33323183", "Q33323183")</f>
        <v>0</v>
      </c>
      <c r="G8137" t="s">
        <v>710</v>
      </c>
      <c r="H8137" t="s">
        <v>5468</v>
      </c>
      <c r="I8137" t="s">
        <v>9491</v>
      </c>
      <c r="J8137" t="s">
        <v>11459</v>
      </c>
      <c r="K8137" t="s">
        <v>15861</v>
      </c>
      <c r="L8137">
        <f>HYPERLINK("https://www2.assemblee-nationale.fr/sycomore/fiche/(num_dept)/4339", "4339")</f>
        <v>0</v>
      </c>
      <c r="N8137">
        <f>HYPERLINK("https://www.wikidata.org/wiki/Q3370301", "Q3370301")</f>
        <v>0</v>
      </c>
      <c r="O8137" t="s">
        <v>19961</v>
      </c>
      <c r="P8137" t="s">
        <v>20409</v>
      </c>
      <c r="Q8137" t="s">
        <v>20934</v>
      </c>
      <c r="R8137" t="s">
        <v>421</v>
      </c>
      <c r="S8137">
        <v>1486</v>
      </c>
    </row>
    <row r="8138" spans="1:19">
      <c r="A8138" t="s">
        <v>31</v>
      </c>
      <c r="B8138" t="s">
        <v>148</v>
      </c>
      <c r="C8138" t="s">
        <v>163</v>
      </c>
      <c r="D8138" t="s">
        <v>292</v>
      </c>
      <c r="E8138" t="s">
        <v>421</v>
      </c>
      <c r="F8138">
        <f>HYPERLINK("https://www.wikidata.org/wiki/Q33323183", "Q33323183")</f>
        <v>0</v>
      </c>
      <c r="G8138" t="s">
        <v>712</v>
      </c>
      <c r="H8138" t="s">
        <v>5470</v>
      </c>
      <c r="I8138" t="s">
        <v>9472</v>
      </c>
      <c r="J8138" t="s">
        <v>11461</v>
      </c>
      <c r="K8138" t="s">
        <v>15863</v>
      </c>
      <c r="L8138">
        <f>HYPERLINK("https://www2.assemblee-nationale.fr/sycomore/fiche/(num_dept)/4362", "4362")</f>
        <v>0</v>
      </c>
      <c r="N8138">
        <f>HYPERLINK("https://www.wikidata.org/wiki/Q8313321", "Q8313321")</f>
        <v>0</v>
      </c>
      <c r="O8138" t="s">
        <v>19956</v>
      </c>
      <c r="P8138" t="s">
        <v>20401</v>
      </c>
      <c r="Q8138" t="s">
        <v>20934</v>
      </c>
      <c r="R8138" t="s">
        <v>421</v>
      </c>
      <c r="S8138">
        <v>1486</v>
      </c>
    </row>
    <row r="8139" spans="1:19">
      <c r="A8139" t="s">
        <v>31</v>
      </c>
      <c r="B8139" t="s">
        <v>148</v>
      </c>
      <c r="C8139" t="s">
        <v>163</v>
      </c>
      <c r="D8139" t="s">
        <v>292</v>
      </c>
      <c r="E8139" t="s">
        <v>421</v>
      </c>
      <c r="F8139">
        <f>HYPERLINK("https://www.wikidata.org/wiki/Q33323183", "Q33323183")</f>
        <v>0</v>
      </c>
      <c r="G8139" t="s">
        <v>985</v>
      </c>
      <c r="H8139" t="s">
        <v>5737</v>
      </c>
      <c r="I8139" t="s">
        <v>9446</v>
      </c>
      <c r="J8139" t="s">
        <v>11723</v>
      </c>
      <c r="K8139" t="s">
        <v>16127</v>
      </c>
      <c r="L8139">
        <f>HYPERLINK("https://www2.assemblee-nationale.fr/sycomore/fiche/(num_dept)/4368", "4368")</f>
        <v>0</v>
      </c>
      <c r="N8139">
        <f>HYPERLINK("https://www.wikidata.org/wiki/Q16025943", "Q16025943")</f>
        <v>0</v>
      </c>
      <c r="O8139" t="s">
        <v>20037</v>
      </c>
      <c r="P8139" t="s">
        <v>20401</v>
      </c>
      <c r="Q8139" t="s">
        <v>20934</v>
      </c>
      <c r="R8139" t="s">
        <v>421</v>
      </c>
      <c r="S8139">
        <v>1486</v>
      </c>
    </row>
    <row r="8140" spans="1:19">
      <c r="A8140" t="s">
        <v>31</v>
      </c>
      <c r="B8140" t="s">
        <v>148</v>
      </c>
      <c r="C8140" t="s">
        <v>163</v>
      </c>
      <c r="D8140" t="s">
        <v>292</v>
      </c>
      <c r="E8140" t="s">
        <v>421</v>
      </c>
      <c r="F8140">
        <f>HYPERLINK("https://www.wikidata.org/wiki/Q33323183", "Q33323183")</f>
        <v>0</v>
      </c>
      <c r="G8140" t="s">
        <v>1185</v>
      </c>
      <c r="H8140" t="s">
        <v>5915</v>
      </c>
      <c r="I8140" t="s">
        <v>9407</v>
      </c>
      <c r="J8140" t="s">
        <v>11918</v>
      </c>
      <c r="K8140" t="s">
        <v>16319</v>
      </c>
      <c r="L8140">
        <f>HYPERLINK("https://www2.assemblee-nationale.fr/sycomore/fiche/(num_dept)/4377", "4377")</f>
        <v>0</v>
      </c>
      <c r="N8140">
        <f>HYPERLINK("https://www.wikidata.org/wiki/Q3185212", "Q3185212")</f>
        <v>0</v>
      </c>
      <c r="O8140" t="s">
        <v>20003</v>
      </c>
      <c r="P8140" t="s">
        <v>20495</v>
      </c>
      <c r="Q8140" t="s">
        <v>20934</v>
      </c>
      <c r="R8140" t="s">
        <v>421</v>
      </c>
      <c r="S8140">
        <v>1486</v>
      </c>
    </row>
    <row r="8141" spans="1:19">
      <c r="A8141" t="s">
        <v>31</v>
      </c>
      <c r="B8141" t="s">
        <v>148</v>
      </c>
      <c r="C8141" t="s">
        <v>163</v>
      </c>
      <c r="D8141" t="s">
        <v>292</v>
      </c>
      <c r="E8141" t="s">
        <v>421</v>
      </c>
      <c r="F8141">
        <f>HYPERLINK("https://www.wikidata.org/wiki/Q33323183", "Q33323183")</f>
        <v>0</v>
      </c>
      <c r="G8141" t="s">
        <v>3922</v>
      </c>
      <c r="H8141" t="s">
        <v>6494</v>
      </c>
      <c r="I8141" t="s">
        <v>9821</v>
      </c>
      <c r="J8141" t="s">
        <v>14478</v>
      </c>
      <c r="K8141" t="s">
        <v>18827</v>
      </c>
      <c r="L8141">
        <f>HYPERLINK("https://www2.assemblee-nationale.fr/sycomore/fiche/(num_dept)/4379", "4379")</f>
        <v>0</v>
      </c>
      <c r="N8141">
        <f>HYPERLINK("https://www.wikidata.org/wiki/Q16011445", "Q16011445")</f>
        <v>0</v>
      </c>
      <c r="O8141" t="s">
        <v>19959</v>
      </c>
      <c r="P8141" t="s">
        <v>20515</v>
      </c>
      <c r="Q8141" t="s">
        <v>20934</v>
      </c>
      <c r="R8141" t="s">
        <v>421</v>
      </c>
      <c r="S8141">
        <v>1486</v>
      </c>
    </row>
    <row r="8142" spans="1:19">
      <c r="A8142" t="s">
        <v>31</v>
      </c>
      <c r="B8142" t="s">
        <v>148</v>
      </c>
      <c r="C8142" t="s">
        <v>163</v>
      </c>
      <c r="D8142" t="s">
        <v>292</v>
      </c>
      <c r="E8142" t="s">
        <v>421</v>
      </c>
      <c r="F8142">
        <f>HYPERLINK("https://www.wikidata.org/wiki/Q33323183", "Q33323183")</f>
        <v>0</v>
      </c>
      <c r="G8142" t="s">
        <v>714</v>
      </c>
      <c r="H8142" t="s">
        <v>5472</v>
      </c>
      <c r="I8142" t="s">
        <v>9493</v>
      </c>
      <c r="J8142" t="s">
        <v>11463</v>
      </c>
      <c r="K8142" t="s">
        <v>15865</v>
      </c>
      <c r="L8142">
        <f>HYPERLINK("https://www2.assemblee-nationale.fr/sycomore/fiche/(num_dept)/4848", "4848")</f>
        <v>0</v>
      </c>
      <c r="N8142">
        <f>HYPERLINK("https://www.wikidata.org/wiki/Q3069783", "Q3069783")</f>
        <v>0</v>
      </c>
      <c r="O8142" t="s">
        <v>20007</v>
      </c>
      <c r="P8142" t="s">
        <v>20410</v>
      </c>
      <c r="Q8142" t="s">
        <v>20934</v>
      </c>
      <c r="R8142" t="s">
        <v>421</v>
      </c>
      <c r="S8142">
        <v>1486</v>
      </c>
    </row>
    <row r="8143" spans="1:19">
      <c r="A8143" t="s">
        <v>31</v>
      </c>
      <c r="B8143" t="s">
        <v>148</v>
      </c>
      <c r="C8143" t="s">
        <v>163</v>
      </c>
      <c r="D8143" t="s">
        <v>292</v>
      </c>
      <c r="E8143" t="s">
        <v>421</v>
      </c>
      <c r="F8143">
        <f>HYPERLINK("https://www.wikidata.org/wiki/Q33323183", "Q33323183")</f>
        <v>0</v>
      </c>
      <c r="G8143" t="s">
        <v>716</v>
      </c>
      <c r="H8143" t="s">
        <v>5474</v>
      </c>
      <c r="I8143" t="s">
        <v>9495</v>
      </c>
      <c r="J8143" t="s">
        <v>11465</v>
      </c>
      <c r="K8143" t="s">
        <v>15867</v>
      </c>
      <c r="L8143">
        <f>HYPERLINK("https://www2.assemblee-nationale.fr/sycomore/fiche/(num_dept)/4868", "4868")</f>
        <v>0</v>
      </c>
      <c r="N8143">
        <f>HYPERLINK("https://www.wikidata.org/wiki/Q2862011", "Q2862011")</f>
        <v>0</v>
      </c>
      <c r="O8143" t="s">
        <v>19957</v>
      </c>
      <c r="P8143" t="s">
        <v>20410</v>
      </c>
      <c r="Q8143" t="s">
        <v>20934</v>
      </c>
      <c r="R8143" t="s">
        <v>421</v>
      </c>
      <c r="S8143">
        <v>1486</v>
      </c>
    </row>
    <row r="8144" spans="1:19">
      <c r="A8144" t="s">
        <v>31</v>
      </c>
      <c r="B8144" t="s">
        <v>148</v>
      </c>
      <c r="C8144" t="s">
        <v>163</v>
      </c>
      <c r="D8144" t="s">
        <v>292</v>
      </c>
      <c r="E8144" t="s">
        <v>421</v>
      </c>
      <c r="F8144">
        <f>HYPERLINK("https://www.wikidata.org/wiki/Q33323183", "Q33323183")</f>
        <v>0</v>
      </c>
      <c r="G8144" t="s">
        <v>4187</v>
      </c>
      <c r="H8144" t="s">
        <v>8380</v>
      </c>
      <c r="I8144" t="s">
        <v>9606</v>
      </c>
      <c r="J8144" t="s">
        <v>14704</v>
      </c>
      <c r="K8144" t="s">
        <v>19045</v>
      </c>
      <c r="L8144">
        <f>HYPERLINK("https://www2.assemblee-nationale.fr/sycomore/fiche/(num_dept)/4884", "4884")</f>
        <v>0</v>
      </c>
      <c r="N8144">
        <f>HYPERLINK("https://www.wikidata.org/wiki/Q3371743", "Q3371743")</f>
        <v>0</v>
      </c>
      <c r="O8144" t="s">
        <v>19969</v>
      </c>
      <c r="P8144" t="s">
        <v>20489</v>
      </c>
      <c r="Q8144" t="s">
        <v>20934</v>
      </c>
      <c r="R8144" t="s">
        <v>421</v>
      </c>
      <c r="S8144">
        <v>1486</v>
      </c>
    </row>
    <row r="8145" spans="1:19">
      <c r="A8145" t="s">
        <v>31</v>
      </c>
      <c r="B8145" t="s">
        <v>148</v>
      </c>
      <c r="C8145" t="s">
        <v>163</v>
      </c>
      <c r="D8145" t="s">
        <v>292</v>
      </c>
      <c r="E8145" t="s">
        <v>421</v>
      </c>
      <c r="F8145">
        <f>HYPERLINK("https://www.wikidata.org/wiki/Q33323183", "Q33323183")</f>
        <v>0</v>
      </c>
      <c r="G8145" t="s">
        <v>990</v>
      </c>
      <c r="H8145" t="s">
        <v>5742</v>
      </c>
      <c r="I8145" t="s">
        <v>9389</v>
      </c>
      <c r="J8145" t="s">
        <v>11728</v>
      </c>
      <c r="K8145" t="s">
        <v>16132</v>
      </c>
      <c r="L8145">
        <f>HYPERLINK("https://www2.assemblee-nationale.fr/sycomore/fiche/(num_dept)/4888", "4888")</f>
        <v>0</v>
      </c>
      <c r="N8145">
        <f>HYPERLINK("https://www.wikidata.org/wiki/Q8327328", "Q8327328")</f>
        <v>0</v>
      </c>
      <c r="O8145" t="s">
        <v>20015</v>
      </c>
      <c r="P8145" t="s">
        <v>20489</v>
      </c>
      <c r="Q8145" t="s">
        <v>20934</v>
      </c>
      <c r="R8145" t="s">
        <v>421</v>
      </c>
      <c r="S8145">
        <v>1486</v>
      </c>
    </row>
    <row r="8146" spans="1:19">
      <c r="A8146" t="s">
        <v>31</v>
      </c>
      <c r="B8146" t="s">
        <v>148</v>
      </c>
      <c r="C8146" t="s">
        <v>163</v>
      </c>
      <c r="D8146" t="s">
        <v>292</v>
      </c>
      <c r="E8146" t="s">
        <v>421</v>
      </c>
      <c r="F8146">
        <f>HYPERLINK("https://www.wikidata.org/wiki/Q33323183", "Q33323183")</f>
        <v>0</v>
      </c>
      <c r="G8146" t="s">
        <v>718</v>
      </c>
      <c r="H8146" t="s">
        <v>5476</v>
      </c>
      <c r="I8146" t="s">
        <v>6584</v>
      </c>
      <c r="J8146" t="s">
        <v>11467</v>
      </c>
      <c r="K8146" t="s">
        <v>15869</v>
      </c>
      <c r="L8146">
        <f>HYPERLINK("https://www2.assemblee-nationale.fr/sycomore/fiche/(num_dept)/4896", "4896")</f>
        <v>0</v>
      </c>
      <c r="N8146">
        <f>HYPERLINK("https://www.wikidata.org/wiki/Q2831366", "Q2831366")</f>
        <v>0</v>
      </c>
      <c r="O8146" t="s">
        <v>19985</v>
      </c>
      <c r="P8146" t="s">
        <v>20485</v>
      </c>
      <c r="Q8146" t="s">
        <v>20934</v>
      </c>
      <c r="R8146" t="s">
        <v>421</v>
      </c>
      <c r="S8146">
        <v>1486</v>
      </c>
    </row>
    <row r="8147" spans="1:19">
      <c r="A8147" t="s">
        <v>31</v>
      </c>
      <c r="B8147" t="s">
        <v>148</v>
      </c>
      <c r="C8147" t="s">
        <v>163</v>
      </c>
      <c r="D8147" t="s">
        <v>292</v>
      </c>
      <c r="E8147" t="s">
        <v>421</v>
      </c>
      <c r="F8147">
        <f>HYPERLINK("https://www.wikidata.org/wiki/Q33323183", "Q33323183")</f>
        <v>0</v>
      </c>
      <c r="G8147" t="s">
        <v>2964</v>
      </c>
      <c r="H8147" t="s">
        <v>7434</v>
      </c>
      <c r="I8147" t="s">
        <v>6166</v>
      </c>
      <c r="J8147" t="s">
        <v>13596</v>
      </c>
      <c r="K8147" t="s">
        <v>17982</v>
      </c>
      <c r="L8147">
        <f>HYPERLINK("https://www2.assemblee-nationale.fr/sycomore/fiche/(num_dept)/4897", "4897")</f>
        <v>0</v>
      </c>
      <c r="N8147">
        <f>HYPERLINK("https://www.wikidata.org/wiki/Q962478", "Q962478")</f>
        <v>0</v>
      </c>
      <c r="O8147" t="s">
        <v>19963</v>
      </c>
      <c r="Q8147" t="s">
        <v>20934</v>
      </c>
      <c r="R8147" t="s">
        <v>17982</v>
      </c>
      <c r="S8147">
        <v>197</v>
      </c>
    </row>
    <row r="8148" spans="1:19">
      <c r="A8148" t="s">
        <v>31</v>
      </c>
      <c r="B8148" t="s">
        <v>148</v>
      </c>
      <c r="C8148" t="s">
        <v>163</v>
      </c>
      <c r="D8148" t="s">
        <v>292</v>
      </c>
      <c r="E8148" t="s">
        <v>421</v>
      </c>
      <c r="F8148">
        <f>HYPERLINK("https://www.wikidata.org/wiki/Q33323183", "Q33323183")</f>
        <v>0</v>
      </c>
      <c r="G8148" t="s">
        <v>4159</v>
      </c>
      <c r="H8148" t="s">
        <v>8361</v>
      </c>
      <c r="I8148" t="s">
        <v>11142</v>
      </c>
      <c r="J8148" t="s">
        <v>14490</v>
      </c>
      <c r="K8148" t="s">
        <v>19023</v>
      </c>
      <c r="L8148">
        <f>HYPERLINK("https://www2.assemblee-nationale.fr/sycomore/fiche/(num_dept)/4904", "4904")</f>
        <v>0</v>
      </c>
      <c r="N8148">
        <f>HYPERLINK("https://www.wikidata.org/wiki/Q3261098", "Q3261098")</f>
        <v>0</v>
      </c>
      <c r="O8148" t="s">
        <v>19980</v>
      </c>
      <c r="P8148" t="s">
        <v>20410</v>
      </c>
      <c r="Q8148" t="s">
        <v>20934</v>
      </c>
      <c r="R8148" t="s">
        <v>19023</v>
      </c>
      <c r="S8148">
        <v>278</v>
      </c>
    </row>
    <row r="8149" spans="1:19">
      <c r="A8149" t="s">
        <v>31</v>
      </c>
      <c r="B8149" t="s">
        <v>148</v>
      </c>
      <c r="C8149" t="s">
        <v>163</v>
      </c>
      <c r="D8149" t="s">
        <v>292</v>
      </c>
      <c r="E8149" t="s">
        <v>421</v>
      </c>
      <c r="F8149">
        <f>HYPERLINK("https://www.wikidata.org/wiki/Q33323183", "Q33323183")</f>
        <v>0</v>
      </c>
      <c r="G8149" t="s">
        <v>721</v>
      </c>
      <c r="H8149" t="s">
        <v>5479</v>
      </c>
      <c r="I8149" t="s">
        <v>6495</v>
      </c>
      <c r="J8149" t="s">
        <v>11470</v>
      </c>
      <c r="K8149" t="s">
        <v>15872</v>
      </c>
      <c r="L8149">
        <f>HYPERLINK("https://www2.assemblee-nationale.fr/sycomore/fiche/(num_dept)/4940", "4940")</f>
        <v>0</v>
      </c>
      <c r="N8149">
        <f>HYPERLINK("https://www.wikidata.org/wiki/Q3262600", "Q3262600")</f>
        <v>0</v>
      </c>
      <c r="O8149" t="s">
        <v>19974</v>
      </c>
      <c r="P8149" t="s">
        <v>20489</v>
      </c>
      <c r="Q8149" t="s">
        <v>20934</v>
      </c>
      <c r="R8149" t="s">
        <v>421</v>
      </c>
      <c r="S8149">
        <v>1486</v>
      </c>
    </row>
    <row r="8150" spans="1:19">
      <c r="A8150" t="s">
        <v>31</v>
      </c>
      <c r="B8150" t="s">
        <v>148</v>
      </c>
      <c r="C8150" t="s">
        <v>163</v>
      </c>
      <c r="D8150" t="s">
        <v>292</v>
      </c>
      <c r="E8150" t="s">
        <v>421</v>
      </c>
      <c r="F8150">
        <f>HYPERLINK("https://www.wikidata.org/wiki/Q33323183", "Q33323183")</f>
        <v>0</v>
      </c>
      <c r="G8150" t="s">
        <v>722</v>
      </c>
      <c r="H8150" t="s">
        <v>5480</v>
      </c>
      <c r="I8150" t="s">
        <v>9465</v>
      </c>
      <c r="J8150" t="s">
        <v>11471</v>
      </c>
      <c r="K8150" t="s">
        <v>15873</v>
      </c>
      <c r="L8150">
        <f>HYPERLINK("https://www2.assemblee-nationale.fr/sycomore/fiche/(num_dept)/4954", "4954")</f>
        <v>0</v>
      </c>
      <c r="M8150">
        <f>HYPERLINK("https://www.senat.fr/senateur-3eme-republique/mando_eugene0573r3.html", "mando_eugene0573r3")</f>
        <v>0</v>
      </c>
      <c r="N8150">
        <f>HYPERLINK("https://www.wikidata.org/wiki/Q3060013", "Q3060013")</f>
        <v>0</v>
      </c>
      <c r="O8150" t="s">
        <v>19964</v>
      </c>
      <c r="P8150" t="s">
        <v>20517</v>
      </c>
      <c r="Q8150" t="s">
        <v>20934</v>
      </c>
      <c r="R8150" t="s">
        <v>421</v>
      </c>
      <c r="S8150">
        <v>1486</v>
      </c>
    </row>
    <row r="8151" spans="1:19">
      <c r="A8151" t="s">
        <v>31</v>
      </c>
      <c r="B8151" t="s">
        <v>148</v>
      </c>
      <c r="C8151" t="s">
        <v>163</v>
      </c>
      <c r="D8151" t="s">
        <v>292</v>
      </c>
      <c r="E8151" t="s">
        <v>421</v>
      </c>
      <c r="F8151">
        <f>HYPERLINK("https://www.wikidata.org/wiki/Q33323183", "Q33323183")</f>
        <v>0</v>
      </c>
      <c r="G8151" t="s">
        <v>724</v>
      </c>
      <c r="H8151" t="s">
        <v>5482</v>
      </c>
      <c r="I8151" t="s">
        <v>6495</v>
      </c>
      <c r="J8151" t="s">
        <v>11473</v>
      </c>
      <c r="K8151" t="s">
        <v>15875</v>
      </c>
      <c r="L8151">
        <f>HYPERLINK("https://www2.assemblee-nationale.fr/sycomore/fiche/(num_dept)/5001", "5001")</f>
        <v>0</v>
      </c>
      <c r="N8151">
        <f>HYPERLINK("https://www.wikidata.org/wiki/Q1229977", "Q1229977")</f>
        <v>0</v>
      </c>
      <c r="O8151" t="s">
        <v>20007</v>
      </c>
      <c r="P8151" t="s">
        <v>20517</v>
      </c>
      <c r="Q8151" t="s">
        <v>20934</v>
      </c>
      <c r="R8151" t="s">
        <v>421</v>
      </c>
      <c r="S8151">
        <v>1486</v>
      </c>
    </row>
    <row r="8152" spans="1:19">
      <c r="A8152" t="s">
        <v>31</v>
      </c>
      <c r="B8152" t="s">
        <v>148</v>
      </c>
      <c r="C8152" t="s">
        <v>163</v>
      </c>
      <c r="D8152" t="s">
        <v>292</v>
      </c>
      <c r="E8152" t="s">
        <v>421</v>
      </c>
      <c r="F8152">
        <f>HYPERLINK("https://www.wikidata.org/wiki/Q33323183", "Q33323183")</f>
        <v>0</v>
      </c>
      <c r="G8152" t="s">
        <v>4039</v>
      </c>
      <c r="H8152" t="s">
        <v>6501</v>
      </c>
      <c r="I8152" t="s">
        <v>6495</v>
      </c>
      <c r="J8152" t="s">
        <v>14580</v>
      </c>
      <c r="K8152" t="s">
        <v>16212</v>
      </c>
      <c r="L8152">
        <f>HYPERLINK("https://www2.assemblee-nationale.fr/sycomore/fiche/(num_dept)/5043", "5043")</f>
        <v>0</v>
      </c>
      <c r="N8152">
        <f>HYPERLINK("https://www.wikidata.org/wiki/Q3262649", "Q3262649")</f>
        <v>0</v>
      </c>
      <c r="O8152" t="s">
        <v>20042</v>
      </c>
      <c r="P8152" t="s">
        <v>20489</v>
      </c>
      <c r="Q8152" t="s">
        <v>20934</v>
      </c>
      <c r="R8152" t="s">
        <v>21625</v>
      </c>
      <c r="S8152">
        <v>991</v>
      </c>
    </row>
    <row r="8153" spans="1:19">
      <c r="A8153" t="s">
        <v>31</v>
      </c>
      <c r="B8153" t="s">
        <v>148</v>
      </c>
      <c r="C8153" t="s">
        <v>163</v>
      </c>
      <c r="D8153" t="s">
        <v>292</v>
      </c>
      <c r="E8153" t="s">
        <v>421</v>
      </c>
      <c r="F8153">
        <f>HYPERLINK("https://www.wikidata.org/wiki/Q33323183", "Q33323183")</f>
        <v>0</v>
      </c>
      <c r="G8153" t="s">
        <v>3476</v>
      </c>
      <c r="H8153" t="s">
        <v>7849</v>
      </c>
      <c r="I8153" t="s">
        <v>9437</v>
      </c>
      <c r="J8153" t="s">
        <v>14076</v>
      </c>
      <c r="K8153" t="s">
        <v>18023</v>
      </c>
      <c r="L8153">
        <f>HYPERLINK("https://www2.assemblee-nationale.fr/sycomore/fiche/(num_dept)/5059", "5059")</f>
        <v>0</v>
      </c>
      <c r="N8153">
        <f>HYPERLINK("https://www.wikidata.org/wiki/Q3588648", "Q3588648")</f>
        <v>0</v>
      </c>
      <c r="O8153" t="s">
        <v>19967</v>
      </c>
      <c r="P8153" t="s">
        <v>20401</v>
      </c>
      <c r="Q8153" t="s">
        <v>20934</v>
      </c>
      <c r="R8153" t="s">
        <v>18023</v>
      </c>
      <c r="S8153">
        <v>900</v>
      </c>
    </row>
    <row r="8154" spans="1:19">
      <c r="A8154" t="s">
        <v>31</v>
      </c>
      <c r="B8154" t="s">
        <v>148</v>
      </c>
      <c r="C8154" t="s">
        <v>163</v>
      </c>
      <c r="D8154" t="s">
        <v>292</v>
      </c>
      <c r="E8154" t="s">
        <v>421</v>
      </c>
      <c r="F8154">
        <f>HYPERLINK("https://www.wikidata.org/wiki/Q33323183", "Q33323183")</f>
        <v>0</v>
      </c>
      <c r="G8154" t="s">
        <v>726</v>
      </c>
      <c r="H8154" t="s">
        <v>5484</v>
      </c>
      <c r="I8154" t="s">
        <v>9498</v>
      </c>
      <c r="J8154" t="s">
        <v>11475</v>
      </c>
      <c r="K8154" t="s">
        <v>15877</v>
      </c>
      <c r="L8154">
        <f>HYPERLINK("https://www2.assemblee-nationale.fr/sycomore/fiche/(num_dept)/5068", "5068")</f>
        <v>0</v>
      </c>
      <c r="M8154">
        <f>HYPERLINK("https://www.senat.fr/senateur-3eme-republique/massabuau_joseph0289r3.html", "massabuau_joseph0289r3")</f>
        <v>0</v>
      </c>
      <c r="N8154">
        <f>HYPERLINK("https://www.wikidata.org/wiki/Q3185335", "Q3185335")</f>
        <v>0</v>
      </c>
      <c r="O8154" t="s">
        <v>19967</v>
      </c>
      <c r="P8154" t="s">
        <v>20410</v>
      </c>
      <c r="Q8154" t="s">
        <v>20934</v>
      </c>
      <c r="R8154" t="s">
        <v>421</v>
      </c>
      <c r="S8154">
        <v>1486</v>
      </c>
    </row>
    <row r="8155" spans="1:19">
      <c r="A8155" t="s">
        <v>31</v>
      </c>
      <c r="B8155" t="s">
        <v>148</v>
      </c>
      <c r="C8155" t="s">
        <v>163</v>
      </c>
      <c r="D8155" t="s">
        <v>292</v>
      </c>
      <c r="E8155" t="s">
        <v>421</v>
      </c>
      <c r="F8155">
        <f>HYPERLINK("https://www.wikidata.org/wiki/Q33323183", "Q33323183")</f>
        <v>0</v>
      </c>
      <c r="G8155" t="s">
        <v>998</v>
      </c>
      <c r="H8155" t="s">
        <v>5750</v>
      </c>
      <c r="I8155" t="s">
        <v>9458</v>
      </c>
      <c r="J8155" t="s">
        <v>11736</v>
      </c>
      <c r="K8155" t="s">
        <v>16139</v>
      </c>
      <c r="L8155">
        <f>HYPERLINK("https://www2.assemblee-nationale.fr/sycomore/fiche/(num_dept)/5071", "5071")</f>
        <v>0</v>
      </c>
      <c r="M8155">
        <f>HYPERLINK("https://www.senat.fr/senateur-3eme-republique/masse_alfred1255r3.html", "masse_alfred1255r3")</f>
        <v>0</v>
      </c>
      <c r="N8155">
        <f>HYPERLINK("https://www.wikidata.org/wiki/Q2835313", "Q2835313")</f>
        <v>0</v>
      </c>
      <c r="O8155" t="s">
        <v>20032</v>
      </c>
      <c r="P8155" t="s">
        <v>20489</v>
      </c>
      <c r="Q8155" t="s">
        <v>20934</v>
      </c>
      <c r="R8155" t="s">
        <v>421</v>
      </c>
      <c r="S8155">
        <v>1486</v>
      </c>
    </row>
    <row r="8156" spans="1:19">
      <c r="A8156" t="s">
        <v>31</v>
      </c>
      <c r="B8156" t="s">
        <v>148</v>
      </c>
      <c r="C8156" t="s">
        <v>163</v>
      </c>
      <c r="D8156" t="s">
        <v>292</v>
      </c>
      <c r="E8156" t="s">
        <v>421</v>
      </c>
      <c r="F8156">
        <f>HYPERLINK("https://www.wikidata.org/wiki/Q33323183", "Q33323183")</f>
        <v>0</v>
      </c>
      <c r="G8156" t="s">
        <v>727</v>
      </c>
      <c r="H8156" t="s">
        <v>5485</v>
      </c>
      <c r="I8156" t="s">
        <v>9499</v>
      </c>
      <c r="J8156" t="s">
        <v>11476</v>
      </c>
      <c r="K8156" t="s">
        <v>15878</v>
      </c>
      <c r="L8156">
        <f>HYPERLINK("https://www2.assemblee-nationale.fr/sycomore/fiche/(num_dept)/5102", "5102")</f>
        <v>0</v>
      </c>
      <c r="N8156">
        <f>HYPERLINK("https://www.wikidata.org/wiki/Q16026067", "Q16026067")</f>
        <v>0</v>
      </c>
      <c r="O8156" t="s">
        <v>20017</v>
      </c>
      <c r="P8156" t="s">
        <v>20401</v>
      </c>
      <c r="Q8156" t="s">
        <v>20934</v>
      </c>
      <c r="R8156" t="s">
        <v>421</v>
      </c>
      <c r="S8156">
        <v>1486</v>
      </c>
    </row>
    <row r="8157" spans="1:19">
      <c r="A8157" t="s">
        <v>31</v>
      </c>
      <c r="B8157" t="s">
        <v>148</v>
      </c>
      <c r="C8157" t="s">
        <v>163</v>
      </c>
      <c r="D8157" t="s">
        <v>292</v>
      </c>
      <c r="E8157" t="s">
        <v>421</v>
      </c>
      <c r="F8157">
        <f>HYPERLINK("https://www.wikidata.org/wiki/Q33323183", "Q33323183")</f>
        <v>0</v>
      </c>
      <c r="G8157" t="s">
        <v>3997</v>
      </c>
      <c r="H8157" t="s">
        <v>6603</v>
      </c>
      <c r="I8157" t="s">
        <v>11055</v>
      </c>
      <c r="J8157" t="s">
        <v>11345</v>
      </c>
      <c r="K8157" t="s">
        <v>18887</v>
      </c>
      <c r="L8157">
        <f>HYPERLINK("https://www2.assemblee-nationale.fr/sycomore/fiche/(num_dept)/5179", "5179")</f>
        <v>0</v>
      </c>
      <c r="M8157">
        <f>HYPERLINK("https://www.senat.fr/senateur-3eme-republique/menier_gaston1610r3.html", "menier_gaston1610r3")</f>
        <v>0</v>
      </c>
      <c r="N8157">
        <f>HYPERLINK("https://www.wikidata.org/wiki/Q3099085", "Q3099085")</f>
        <v>0</v>
      </c>
      <c r="O8157" t="s">
        <v>20026</v>
      </c>
      <c r="P8157" t="s">
        <v>20401</v>
      </c>
      <c r="Q8157" t="s">
        <v>20934</v>
      </c>
      <c r="R8157" t="s">
        <v>21635</v>
      </c>
      <c r="S8157">
        <v>1005</v>
      </c>
    </row>
    <row r="8158" spans="1:19">
      <c r="A8158" t="s">
        <v>31</v>
      </c>
      <c r="B8158" t="s">
        <v>148</v>
      </c>
      <c r="C8158" t="s">
        <v>163</v>
      </c>
      <c r="D8158" t="s">
        <v>292</v>
      </c>
      <c r="E8158" t="s">
        <v>421</v>
      </c>
      <c r="F8158">
        <f>HYPERLINK("https://www.wikidata.org/wiki/Q33323183", "Q33323183")</f>
        <v>0</v>
      </c>
      <c r="G8158" t="s">
        <v>3821</v>
      </c>
      <c r="H8158" t="s">
        <v>6235</v>
      </c>
      <c r="I8158" t="s">
        <v>9449</v>
      </c>
      <c r="J8158" t="s">
        <v>14387</v>
      </c>
      <c r="K8158" t="s">
        <v>18739</v>
      </c>
      <c r="L8158">
        <f>HYPERLINK("https://www2.assemblee-nationale.fr/sycomore/fiche/(num_dept)/5196", "5196")</f>
        <v>0</v>
      </c>
      <c r="M8158">
        <f>HYPERLINK("https://www.senat.fr/senateur-3eme-republique/mercier_jules1308r3.html", "mercier_jules1308r3")</f>
        <v>0</v>
      </c>
      <c r="N8158">
        <f>HYPERLINK("https://www.wikidata.org/wiki/Q3188780", "Q3188780")</f>
        <v>0</v>
      </c>
      <c r="O8158" t="s">
        <v>20018</v>
      </c>
      <c r="P8158" t="s">
        <v>20457</v>
      </c>
      <c r="Q8158" t="s">
        <v>20934</v>
      </c>
      <c r="R8158" t="s">
        <v>21636</v>
      </c>
      <c r="S8158">
        <v>996</v>
      </c>
    </row>
    <row r="8159" spans="1:19">
      <c r="A8159" t="s">
        <v>31</v>
      </c>
      <c r="B8159" t="s">
        <v>148</v>
      </c>
      <c r="C8159" t="s">
        <v>163</v>
      </c>
      <c r="D8159" t="s">
        <v>292</v>
      </c>
      <c r="E8159" t="s">
        <v>421</v>
      </c>
      <c r="F8159">
        <f>HYPERLINK("https://www.wikidata.org/wiki/Q33323183", "Q33323183")</f>
        <v>0</v>
      </c>
      <c r="G8159" t="s">
        <v>1002</v>
      </c>
      <c r="H8159" t="s">
        <v>5753</v>
      </c>
      <c r="I8159" t="s">
        <v>9445</v>
      </c>
      <c r="J8159" t="s">
        <v>11739</v>
      </c>
      <c r="K8159" t="s">
        <v>16143</v>
      </c>
      <c r="L8159">
        <f>HYPERLINK("https://www2.assemblee-nationale.fr/sycomore/fiche/(num_dept)/5213", "5213")</f>
        <v>0</v>
      </c>
      <c r="N8159">
        <f>HYPERLINK("https://www.wikidata.org/wiki/Q16026091", "Q16026091")</f>
        <v>0</v>
      </c>
      <c r="O8159" t="s">
        <v>19969</v>
      </c>
      <c r="P8159" t="s">
        <v>20515</v>
      </c>
      <c r="Q8159" t="s">
        <v>20934</v>
      </c>
      <c r="R8159" t="s">
        <v>421</v>
      </c>
      <c r="S8159">
        <v>1486</v>
      </c>
    </row>
    <row r="8160" spans="1:19">
      <c r="A8160" t="s">
        <v>31</v>
      </c>
      <c r="B8160" t="s">
        <v>148</v>
      </c>
      <c r="C8160" t="s">
        <v>163</v>
      </c>
      <c r="D8160" t="s">
        <v>292</v>
      </c>
      <c r="E8160" t="s">
        <v>421</v>
      </c>
      <c r="F8160">
        <f>HYPERLINK("https://www.wikidata.org/wiki/Q33323183", "Q33323183")</f>
        <v>0</v>
      </c>
      <c r="G8160" t="s">
        <v>731</v>
      </c>
      <c r="H8160" t="s">
        <v>5489</v>
      </c>
      <c r="I8160" t="s">
        <v>9388</v>
      </c>
      <c r="J8160" t="s">
        <v>11480</v>
      </c>
      <c r="K8160" t="s">
        <v>15882</v>
      </c>
      <c r="L8160">
        <f>HYPERLINK("https://www2.assemblee-nationale.fr/sycomore/fiche/(num_dept)/5235", "5235")</f>
        <v>0</v>
      </c>
      <c r="N8160">
        <f>HYPERLINK("https://www.wikidata.org/wiki/Q13089612", "Q13089612")</f>
        <v>0</v>
      </c>
      <c r="O8160" t="s">
        <v>8449</v>
      </c>
      <c r="P8160" t="s">
        <v>20489</v>
      </c>
      <c r="Q8160" t="s">
        <v>20934</v>
      </c>
      <c r="R8160" t="s">
        <v>421</v>
      </c>
      <c r="S8160">
        <v>1486</v>
      </c>
    </row>
    <row r="8161" spans="1:19">
      <c r="A8161" t="s">
        <v>31</v>
      </c>
      <c r="B8161" t="s">
        <v>148</v>
      </c>
      <c r="C8161" t="s">
        <v>163</v>
      </c>
      <c r="D8161" t="s">
        <v>292</v>
      </c>
      <c r="E8161" t="s">
        <v>421</v>
      </c>
      <c r="F8161">
        <f>HYPERLINK("https://www.wikidata.org/wiki/Q33323183", "Q33323183")</f>
        <v>0</v>
      </c>
      <c r="G8161" t="s">
        <v>1005</v>
      </c>
      <c r="H8161" t="s">
        <v>5756</v>
      </c>
      <c r="I8161" t="s">
        <v>9553</v>
      </c>
      <c r="J8161" t="s">
        <v>11742</v>
      </c>
      <c r="K8161" t="s">
        <v>16146</v>
      </c>
      <c r="L8161">
        <f>HYPERLINK("https://www2.assemblee-nationale.fr/sycomore/fiche/(num_dept)/5284", "5284")</f>
        <v>0</v>
      </c>
      <c r="M8161">
        <f>HYPERLINK("https://www.senat.fr/senateur-3eme-republique/millerand_alexandre0910r3.html", "millerand_alexandre0910r3")</f>
        <v>0</v>
      </c>
      <c r="N8161">
        <f>HYPERLINK("https://www.wikidata.org/wiki/Q274540", "Q274540")</f>
        <v>0</v>
      </c>
      <c r="O8161" t="s">
        <v>19969</v>
      </c>
      <c r="P8161" t="s">
        <v>20485</v>
      </c>
      <c r="Q8161" t="s">
        <v>20934</v>
      </c>
      <c r="R8161" t="s">
        <v>421</v>
      </c>
      <c r="S8161">
        <v>1486</v>
      </c>
    </row>
    <row r="8162" spans="1:19">
      <c r="A8162" t="s">
        <v>31</v>
      </c>
      <c r="B8162" t="s">
        <v>148</v>
      </c>
      <c r="C8162" t="s">
        <v>163</v>
      </c>
      <c r="D8162" t="s">
        <v>292</v>
      </c>
      <c r="E8162" t="s">
        <v>421</v>
      </c>
      <c r="F8162">
        <f>HYPERLINK("https://www.wikidata.org/wiki/Q33323183", "Q33323183")</f>
        <v>0</v>
      </c>
      <c r="G8162" t="s">
        <v>732</v>
      </c>
      <c r="H8162" t="s">
        <v>5490</v>
      </c>
      <c r="I8162" t="s">
        <v>9455</v>
      </c>
      <c r="J8162" t="s">
        <v>11481</v>
      </c>
      <c r="K8162" t="s">
        <v>15883</v>
      </c>
      <c r="L8162">
        <f>HYPERLINK("https://www2.assemblee-nationale.fr/sycomore/fiche/(num_dept)/5286", "5286")</f>
        <v>0</v>
      </c>
      <c r="N8162">
        <f>HYPERLINK("https://www.wikidata.org/wiki/Q3265642", "Q3265642")</f>
        <v>0</v>
      </c>
      <c r="O8162" t="s">
        <v>19969</v>
      </c>
      <c r="P8162" t="s">
        <v>20495</v>
      </c>
      <c r="Q8162" t="s">
        <v>20934</v>
      </c>
      <c r="R8162" t="s">
        <v>421</v>
      </c>
      <c r="S8162">
        <v>1486</v>
      </c>
    </row>
    <row r="8163" spans="1:19">
      <c r="A8163" t="s">
        <v>31</v>
      </c>
      <c r="B8163" t="s">
        <v>148</v>
      </c>
      <c r="C8163" t="s">
        <v>163</v>
      </c>
      <c r="D8163" t="s">
        <v>292</v>
      </c>
      <c r="E8163" t="s">
        <v>421</v>
      </c>
      <c r="F8163">
        <f>HYPERLINK("https://www.wikidata.org/wiki/Q33323183", "Q33323183")</f>
        <v>0</v>
      </c>
      <c r="G8163" t="s">
        <v>733</v>
      </c>
      <c r="H8163" t="s">
        <v>5491</v>
      </c>
      <c r="I8163" t="s">
        <v>6158</v>
      </c>
      <c r="J8163" t="s">
        <v>11482</v>
      </c>
      <c r="K8163" t="s">
        <v>15884</v>
      </c>
      <c r="L8163">
        <f>HYPERLINK("https://www2.assemblee-nationale.fr/sycomore/fiche/(num_dept)/5288", "5288")</f>
        <v>0</v>
      </c>
      <c r="N8163">
        <f>HYPERLINK("https://www.wikidata.org/wiki/Q8300260", "Q8300260")</f>
        <v>0</v>
      </c>
      <c r="O8163" t="s">
        <v>20034</v>
      </c>
      <c r="P8163" t="s">
        <v>20489</v>
      </c>
      <c r="Q8163" t="s">
        <v>20934</v>
      </c>
      <c r="R8163" t="s">
        <v>421</v>
      </c>
      <c r="S8163">
        <v>1486</v>
      </c>
    </row>
    <row r="8164" spans="1:19">
      <c r="A8164" t="s">
        <v>31</v>
      </c>
      <c r="B8164" t="s">
        <v>148</v>
      </c>
      <c r="C8164" t="s">
        <v>163</v>
      </c>
      <c r="D8164" t="s">
        <v>292</v>
      </c>
      <c r="E8164" t="s">
        <v>421</v>
      </c>
      <c r="F8164">
        <f>HYPERLINK("https://www.wikidata.org/wiki/Q33323183", "Q33323183")</f>
        <v>0</v>
      </c>
      <c r="G8164" t="s">
        <v>1008</v>
      </c>
      <c r="H8164" t="s">
        <v>5759</v>
      </c>
      <c r="I8164" t="s">
        <v>9619</v>
      </c>
      <c r="J8164" t="s">
        <v>11745</v>
      </c>
      <c r="K8164" t="s">
        <v>16148</v>
      </c>
      <c r="L8164">
        <f>HYPERLINK("https://www2.assemblee-nationale.fr/sycomore/fiche/(num_dept)/5357", "5357")</f>
        <v>0</v>
      </c>
      <c r="M8164">
        <f>HYPERLINK("https://www.senat.fr/senateur-3eme-republique/monsservin_joseph0284r3.html", "monsservin_joseph0284r3")</f>
        <v>0</v>
      </c>
      <c r="N8164">
        <f>HYPERLINK("https://www.wikidata.org/wiki/Q3185378", "Q3185378")</f>
        <v>0</v>
      </c>
      <c r="O8164" t="s">
        <v>19967</v>
      </c>
      <c r="P8164" t="s">
        <v>20517</v>
      </c>
      <c r="Q8164" t="s">
        <v>20934</v>
      </c>
      <c r="R8164" t="s">
        <v>421</v>
      </c>
      <c r="S8164">
        <v>1486</v>
      </c>
    </row>
    <row r="8165" spans="1:19">
      <c r="A8165" t="s">
        <v>31</v>
      </c>
      <c r="B8165" t="s">
        <v>148</v>
      </c>
      <c r="C8165" t="s">
        <v>163</v>
      </c>
      <c r="D8165" t="s">
        <v>292</v>
      </c>
      <c r="E8165" t="s">
        <v>421</v>
      </c>
      <c r="F8165">
        <f>HYPERLINK("https://www.wikidata.org/wiki/Q33323183", "Q33323183")</f>
        <v>0</v>
      </c>
      <c r="G8165" t="s">
        <v>3929</v>
      </c>
      <c r="H8165" t="s">
        <v>8184</v>
      </c>
      <c r="I8165" t="s">
        <v>6860</v>
      </c>
      <c r="J8165" t="s">
        <v>14483</v>
      </c>
      <c r="K8165" t="s">
        <v>18834</v>
      </c>
      <c r="L8165">
        <f>HYPERLINK("https://www2.assemblee-nationale.fr/sycomore/fiche/(num_dept)/5364", "5364")</f>
        <v>0</v>
      </c>
      <c r="M8165">
        <f>HYPERLINK("https://www.senat.fr/senateur-3eme-republique/de_montaigu_pierre1277r3.html", "de_montaigu_pierre1277r3")</f>
        <v>0</v>
      </c>
      <c r="N8165">
        <f>HYPERLINK("https://www.wikidata.org/wiki/Q3387636", "Q3387636")</f>
        <v>0</v>
      </c>
      <c r="O8165" t="s">
        <v>20023</v>
      </c>
      <c r="P8165" t="s">
        <v>20409</v>
      </c>
      <c r="Q8165" t="s">
        <v>20934</v>
      </c>
      <c r="R8165" t="s">
        <v>421</v>
      </c>
      <c r="S8165">
        <v>1486</v>
      </c>
    </row>
    <row r="8166" spans="1:19">
      <c r="A8166" t="s">
        <v>31</v>
      </c>
      <c r="B8166" t="s">
        <v>148</v>
      </c>
      <c r="C8166" t="s">
        <v>163</v>
      </c>
      <c r="D8166" t="s">
        <v>292</v>
      </c>
      <c r="E8166" t="s">
        <v>421</v>
      </c>
      <c r="F8166">
        <f>HYPERLINK("https://www.wikidata.org/wiki/Q33323183", "Q33323183")</f>
        <v>0</v>
      </c>
      <c r="G8166" t="s">
        <v>1188</v>
      </c>
      <c r="H8166" t="s">
        <v>5918</v>
      </c>
      <c r="I8166" t="s">
        <v>9457</v>
      </c>
      <c r="J8166" t="s">
        <v>11921</v>
      </c>
      <c r="K8166" t="s">
        <v>16322</v>
      </c>
      <c r="L8166">
        <f>HYPERLINK("https://www2.assemblee-nationale.fr/sycomore/fiche/(num_dept)/5387", "5387")</f>
        <v>0</v>
      </c>
      <c r="M8166">
        <f>HYPERLINK("https://www.senat.fr/senateur-3eme-republique/de_monti_de_reze_henri0960r3.html", "de_monti_de_reze_henri0960r3")</f>
        <v>0</v>
      </c>
      <c r="N8166">
        <f>HYPERLINK("https://www.wikidata.org/wiki/Q3132339", "Q3132339")</f>
        <v>0</v>
      </c>
      <c r="O8166" t="s">
        <v>19984</v>
      </c>
      <c r="P8166" t="s">
        <v>20410</v>
      </c>
      <c r="Q8166" t="s">
        <v>20934</v>
      </c>
      <c r="R8166" t="s">
        <v>421</v>
      </c>
      <c r="S8166">
        <v>1486</v>
      </c>
    </row>
    <row r="8167" spans="1:19">
      <c r="A8167" t="s">
        <v>31</v>
      </c>
      <c r="B8167" t="s">
        <v>148</v>
      </c>
      <c r="C8167" t="s">
        <v>163</v>
      </c>
      <c r="D8167" t="s">
        <v>292</v>
      </c>
      <c r="E8167" t="s">
        <v>421</v>
      </c>
      <c r="F8167">
        <f>HYPERLINK("https://www.wikidata.org/wiki/Q33323183", "Q33323183")</f>
        <v>0</v>
      </c>
      <c r="G8167" t="s">
        <v>1009</v>
      </c>
      <c r="H8167" t="s">
        <v>5498</v>
      </c>
      <c r="I8167" t="s">
        <v>9483</v>
      </c>
      <c r="J8167" t="s">
        <v>11746</v>
      </c>
      <c r="K8167" t="s">
        <v>16149</v>
      </c>
      <c r="L8167">
        <f>HYPERLINK("https://www2.assemblee-nationale.fr/sycomore/fiche/(num_dept)/5414", "5414")</f>
        <v>0</v>
      </c>
      <c r="N8167">
        <f>HYPERLINK("https://www.wikidata.org/wiki/Q16026151", "Q16026151")</f>
        <v>0</v>
      </c>
      <c r="O8167" t="s">
        <v>19968</v>
      </c>
      <c r="P8167" t="s">
        <v>20402</v>
      </c>
      <c r="Q8167" t="s">
        <v>20934</v>
      </c>
      <c r="R8167" t="s">
        <v>421</v>
      </c>
      <c r="S8167">
        <v>1486</v>
      </c>
    </row>
    <row r="8168" spans="1:19">
      <c r="A8168" t="s">
        <v>31</v>
      </c>
      <c r="B8168" t="s">
        <v>148</v>
      </c>
      <c r="C8168" t="s">
        <v>163</v>
      </c>
      <c r="D8168" t="s">
        <v>292</v>
      </c>
      <c r="E8168" t="s">
        <v>421</v>
      </c>
      <c r="F8168">
        <f>HYPERLINK("https://www.wikidata.org/wiki/Q33323183", "Q33323183")</f>
        <v>0</v>
      </c>
      <c r="G8168" t="s">
        <v>3852</v>
      </c>
      <c r="H8168" t="s">
        <v>8126</v>
      </c>
      <c r="I8168" t="s">
        <v>11000</v>
      </c>
      <c r="J8168" t="s">
        <v>14411</v>
      </c>
      <c r="K8168" t="s">
        <v>18764</v>
      </c>
      <c r="L8168">
        <f>HYPERLINK("https://www2.assemblee-nationale.fr/sycomore/fiche/(num_dept)/5430", "5430")</f>
        <v>0</v>
      </c>
      <c r="N8168">
        <f>HYPERLINK("https://www.wikidata.org/wiki/Q3260940", "Q3260940")</f>
        <v>0</v>
      </c>
      <c r="O8168" t="s">
        <v>20015</v>
      </c>
      <c r="P8168" t="s">
        <v>20489</v>
      </c>
      <c r="Q8168" t="s">
        <v>20934</v>
      </c>
      <c r="R8168" t="s">
        <v>18764</v>
      </c>
      <c r="S8168">
        <v>260</v>
      </c>
    </row>
    <row r="8169" spans="1:19">
      <c r="A8169" t="s">
        <v>31</v>
      </c>
      <c r="B8169" t="s">
        <v>148</v>
      </c>
      <c r="C8169" t="s">
        <v>163</v>
      </c>
      <c r="D8169" t="s">
        <v>292</v>
      </c>
      <c r="E8169" t="s">
        <v>421</v>
      </c>
      <c r="F8169">
        <f>HYPERLINK("https://www.wikidata.org/wiki/Q33323183", "Q33323183")</f>
        <v>0</v>
      </c>
      <c r="G8169" t="s">
        <v>3718</v>
      </c>
      <c r="H8169" t="s">
        <v>8028</v>
      </c>
      <c r="I8169" t="s">
        <v>5528</v>
      </c>
      <c r="J8169" t="s">
        <v>14293</v>
      </c>
      <c r="K8169" t="s">
        <v>18648</v>
      </c>
      <c r="L8169">
        <f>HYPERLINK("https://www2.assemblee-nationale.fr/sycomore/fiche/(num_dept)/5445", "5445")</f>
        <v>0</v>
      </c>
      <c r="M8169">
        <f>HYPERLINK("https://www.senat.fr/senateur-3eme-republique/mougeot_leon0865r3.html", "mougeot_leon0865r3")</f>
        <v>0</v>
      </c>
      <c r="N8169">
        <f>HYPERLINK("https://www.wikidata.org/wiki/Q3271218", "Q3271218")</f>
        <v>0</v>
      </c>
      <c r="O8169" t="s">
        <v>20022</v>
      </c>
      <c r="P8169" t="s">
        <v>20401</v>
      </c>
      <c r="Q8169" t="s">
        <v>20934</v>
      </c>
      <c r="R8169" t="s">
        <v>18436</v>
      </c>
      <c r="S8169">
        <v>962</v>
      </c>
    </row>
    <row r="8170" spans="1:19">
      <c r="A8170" t="s">
        <v>31</v>
      </c>
      <c r="B8170" t="s">
        <v>148</v>
      </c>
      <c r="C8170" t="s">
        <v>163</v>
      </c>
      <c r="D8170" t="s">
        <v>292</v>
      </c>
      <c r="E8170" t="s">
        <v>421</v>
      </c>
      <c r="F8170">
        <f>HYPERLINK("https://www.wikidata.org/wiki/Q33323183", "Q33323183")</f>
        <v>0</v>
      </c>
      <c r="G8170" t="s">
        <v>741</v>
      </c>
      <c r="H8170" t="s">
        <v>5499</v>
      </c>
      <c r="I8170" t="s">
        <v>9476</v>
      </c>
      <c r="J8170" t="s">
        <v>11490</v>
      </c>
      <c r="K8170" t="s">
        <v>15892</v>
      </c>
      <c r="L8170">
        <f>HYPERLINK("https://www2.assemblee-nationale.fr/sycomore/fiche/(num_dept)/5463", "5463")</f>
        <v>0</v>
      </c>
      <c r="M8170">
        <f>HYPERLINK("https://www.senat.fr/senateur-3eme-republique/de_moustier_rene0688r3.html", "de_moustier_rene0688r3")</f>
        <v>0</v>
      </c>
      <c r="N8170">
        <f>HYPERLINK("https://www.wikidata.org/wiki/Q3427071", "Q3427071")</f>
        <v>0</v>
      </c>
      <c r="O8170" t="s">
        <v>19973</v>
      </c>
      <c r="P8170" t="s">
        <v>20517</v>
      </c>
      <c r="Q8170" t="s">
        <v>20934</v>
      </c>
      <c r="R8170" t="s">
        <v>421</v>
      </c>
      <c r="S8170">
        <v>1486</v>
      </c>
    </row>
    <row r="8171" spans="1:19">
      <c r="A8171" t="s">
        <v>31</v>
      </c>
      <c r="B8171" t="s">
        <v>148</v>
      </c>
      <c r="C8171" t="s">
        <v>163</v>
      </c>
      <c r="D8171" t="s">
        <v>292</v>
      </c>
      <c r="E8171" t="s">
        <v>421</v>
      </c>
      <c r="F8171">
        <f>HYPERLINK("https://www.wikidata.org/wiki/Q33323183", "Q33323183")</f>
        <v>0</v>
      </c>
      <c r="G8171" t="s">
        <v>742</v>
      </c>
      <c r="H8171" t="s">
        <v>5500</v>
      </c>
      <c r="I8171" t="s">
        <v>9505</v>
      </c>
      <c r="J8171" t="s">
        <v>11491</v>
      </c>
      <c r="K8171" t="s">
        <v>15893</v>
      </c>
      <c r="L8171">
        <f>HYPERLINK("https://www2.assemblee-nationale.fr/sycomore/fiche/(num_dept)/5482", "5482")</f>
        <v>0</v>
      </c>
      <c r="N8171">
        <f>HYPERLINK("https://www.wikidata.org/wiki/Q2475967", "Q2475967")</f>
        <v>0</v>
      </c>
      <c r="O8171" t="s">
        <v>20011</v>
      </c>
      <c r="P8171" t="s">
        <v>20410</v>
      </c>
      <c r="Q8171" t="s">
        <v>20934</v>
      </c>
      <c r="R8171" t="s">
        <v>421</v>
      </c>
      <c r="S8171">
        <v>1486</v>
      </c>
    </row>
    <row r="8172" spans="1:19">
      <c r="A8172" t="s">
        <v>31</v>
      </c>
      <c r="B8172" t="s">
        <v>148</v>
      </c>
      <c r="C8172" t="s">
        <v>163</v>
      </c>
      <c r="D8172" t="s">
        <v>292</v>
      </c>
      <c r="E8172" t="s">
        <v>421</v>
      </c>
      <c r="F8172">
        <f>HYPERLINK("https://www.wikidata.org/wiki/Q33323183", "Q33323183")</f>
        <v>0</v>
      </c>
      <c r="G8172" t="s">
        <v>3874</v>
      </c>
      <c r="H8172" t="s">
        <v>8142</v>
      </c>
      <c r="I8172" t="s">
        <v>9442</v>
      </c>
      <c r="J8172" t="s">
        <v>14432</v>
      </c>
      <c r="K8172" t="s">
        <v>18612</v>
      </c>
      <c r="L8172">
        <f>HYPERLINK("https://www2.assemblee-nationale.fr/sycomore/fiche/(num_dept)/5484", "5484")</f>
        <v>0</v>
      </c>
      <c r="N8172">
        <f>HYPERLINK("https://www.wikidata.org/wiki/Q16026173", "Q16026173")</f>
        <v>0</v>
      </c>
      <c r="O8172" t="s">
        <v>19974</v>
      </c>
      <c r="P8172" t="s">
        <v>20517</v>
      </c>
      <c r="Q8172" t="s">
        <v>20934</v>
      </c>
      <c r="R8172" t="s">
        <v>18612</v>
      </c>
      <c r="S8172">
        <v>1247</v>
      </c>
    </row>
    <row r="8173" spans="1:19">
      <c r="A8173" t="s">
        <v>31</v>
      </c>
      <c r="B8173" t="s">
        <v>148</v>
      </c>
      <c r="C8173" t="s">
        <v>163</v>
      </c>
      <c r="D8173" t="s">
        <v>292</v>
      </c>
      <c r="E8173" t="s">
        <v>421</v>
      </c>
      <c r="F8173">
        <f>HYPERLINK("https://www.wikidata.org/wiki/Q33323183", "Q33323183")</f>
        <v>0</v>
      </c>
      <c r="G8173" t="s">
        <v>743</v>
      </c>
      <c r="H8173" t="s">
        <v>5501</v>
      </c>
      <c r="I8173" t="s">
        <v>9458</v>
      </c>
      <c r="J8173" t="s">
        <v>11492</v>
      </c>
      <c r="K8173" t="s">
        <v>15894</v>
      </c>
      <c r="L8173">
        <f>HYPERLINK("https://www2.assemblee-nationale.fr/sycomore/fiche/(num_dept)/5491", "5491")</f>
        <v>0</v>
      </c>
      <c r="N8173">
        <f>HYPERLINK("https://www.wikidata.org/wiki/Q8308367", "Q8308367")</f>
        <v>0</v>
      </c>
      <c r="O8173" t="s">
        <v>20002</v>
      </c>
      <c r="P8173" t="s">
        <v>20402</v>
      </c>
      <c r="Q8173" t="s">
        <v>20934</v>
      </c>
      <c r="R8173" t="s">
        <v>421</v>
      </c>
      <c r="S8173">
        <v>1486</v>
      </c>
    </row>
    <row r="8174" spans="1:19">
      <c r="A8174" t="s">
        <v>31</v>
      </c>
      <c r="B8174" t="s">
        <v>148</v>
      </c>
      <c r="C8174" t="s">
        <v>163</v>
      </c>
      <c r="D8174" t="s">
        <v>292</v>
      </c>
      <c r="E8174" t="s">
        <v>421</v>
      </c>
      <c r="F8174">
        <f>HYPERLINK("https://www.wikidata.org/wiki/Q33323183", "Q33323183")</f>
        <v>0</v>
      </c>
      <c r="G8174" t="s">
        <v>1015</v>
      </c>
      <c r="H8174" t="s">
        <v>5765</v>
      </c>
      <c r="I8174" t="s">
        <v>9620</v>
      </c>
      <c r="J8174" t="s">
        <v>11752</v>
      </c>
      <c r="K8174" t="s">
        <v>16155</v>
      </c>
      <c r="L8174">
        <f>HYPERLINK("https://www2.assemblee-nationale.fr/sycomore/fiche/(num_dept)/5544", "5544")</f>
        <v>0</v>
      </c>
      <c r="N8174">
        <f>HYPERLINK("https://www.wikidata.org/wiki/Q16026193", "Q16026193")</f>
        <v>0</v>
      </c>
      <c r="O8174" t="s">
        <v>8449</v>
      </c>
      <c r="P8174" t="s">
        <v>20515</v>
      </c>
      <c r="Q8174" t="s">
        <v>20934</v>
      </c>
      <c r="R8174" t="s">
        <v>421</v>
      </c>
      <c r="S8174">
        <v>1486</v>
      </c>
    </row>
    <row r="8175" spans="1:19">
      <c r="A8175" t="s">
        <v>31</v>
      </c>
      <c r="B8175" t="s">
        <v>148</v>
      </c>
      <c r="C8175" t="s">
        <v>163</v>
      </c>
      <c r="D8175" t="s">
        <v>292</v>
      </c>
      <c r="E8175" t="s">
        <v>421</v>
      </c>
      <c r="F8175">
        <f>HYPERLINK("https://www.wikidata.org/wiki/Q33323183", "Q33323183")</f>
        <v>0</v>
      </c>
      <c r="G8175" t="s">
        <v>745</v>
      </c>
      <c r="H8175" t="s">
        <v>5503</v>
      </c>
      <c r="I8175" t="s">
        <v>9506</v>
      </c>
      <c r="J8175" t="s">
        <v>11494</v>
      </c>
      <c r="K8175" t="s">
        <v>15896</v>
      </c>
      <c r="L8175">
        <f>HYPERLINK("https://www2.assemblee-nationale.fr/sycomore/fiche/(num_dept)/5548", "5548")</f>
        <v>0</v>
      </c>
      <c r="N8175">
        <f>HYPERLINK("https://www.wikidata.org/wiki/Q16026195", "Q16026195")</f>
        <v>0</v>
      </c>
      <c r="O8175" t="s">
        <v>20037</v>
      </c>
      <c r="P8175" t="s">
        <v>20401</v>
      </c>
      <c r="Q8175" t="s">
        <v>20934</v>
      </c>
      <c r="R8175" t="s">
        <v>421</v>
      </c>
      <c r="S8175">
        <v>1486</v>
      </c>
    </row>
    <row r="8176" spans="1:19">
      <c r="A8176" t="s">
        <v>31</v>
      </c>
      <c r="B8176" t="s">
        <v>148</v>
      </c>
      <c r="C8176" t="s">
        <v>163</v>
      </c>
      <c r="D8176" t="s">
        <v>292</v>
      </c>
      <c r="E8176" t="s">
        <v>421</v>
      </c>
      <c r="F8176">
        <f>HYPERLINK("https://www.wikidata.org/wiki/Q33323183", "Q33323183")</f>
        <v>0</v>
      </c>
      <c r="G8176" t="s">
        <v>747</v>
      </c>
      <c r="H8176" t="s">
        <v>5505</v>
      </c>
      <c r="I8176" t="s">
        <v>9507</v>
      </c>
      <c r="J8176" t="s">
        <v>11496</v>
      </c>
      <c r="K8176" t="s">
        <v>15898</v>
      </c>
      <c r="L8176">
        <f>HYPERLINK("https://www2.assemblee-nationale.fr/sycomore/fiche/(num_dept)/5571", "5571")</f>
        <v>0</v>
      </c>
      <c r="M8176">
        <f>HYPERLINK("https://www.senat.fr/senateur-3eme-republique/nogues_louis1080r3.html", "nogues_louis1080r3")</f>
        <v>0</v>
      </c>
      <c r="N8176">
        <f>HYPERLINK("https://www.wikidata.org/wiki/Q3262803", "Q3262803")</f>
        <v>0</v>
      </c>
      <c r="O8176" t="s">
        <v>20027</v>
      </c>
      <c r="P8176" t="s">
        <v>20401</v>
      </c>
      <c r="Q8176" t="s">
        <v>20934</v>
      </c>
      <c r="R8176" t="s">
        <v>421</v>
      </c>
      <c r="S8176">
        <v>1486</v>
      </c>
    </row>
    <row r="8177" spans="1:19">
      <c r="A8177" t="s">
        <v>31</v>
      </c>
      <c r="B8177" t="s">
        <v>148</v>
      </c>
      <c r="C8177" t="s">
        <v>163</v>
      </c>
      <c r="D8177" t="s">
        <v>292</v>
      </c>
      <c r="E8177" t="s">
        <v>421</v>
      </c>
      <c r="F8177">
        <f>HYPERLINK("https://www.wikidata.org/wiki/Q33323183", "Q33323183")</f>
        <v>0</v>
      </c>
      <c r="G8177" t="s">
        <v>4160</v>
      </c>
      <c r="H8177" t="s">
        <v>8362</v>
      </c>
      <c r="I8177" t="s">
        <v>11143</v>
      </c>
      <c r="J8177" t="s">
        <v>14687</v>
      </c>
      <c r="K8177" t="s">
        <v>19024</v>
      </c>
      <c r="L8177">
        <f>HYPERLINK("https://www2.assemblee-nationale.fr/sycomore/fiche/(num_dept)/5577", "5577")</f>
        <v>0</v>
      </c>
      <c r="N8177">
        <f>HYPERLINK("https://www.wikidata.org/wiki/Q16026209", "Q16026209")</f>
        <v>0</v>
      </c>
      <c r="O8177" t="s">
        <v>19965</v>
      </c>
      <c r="P8177" t="s">
        <v>20485</v>
      </c>
      <c r="Q8177" t="s">
        <v>20934</v>
      </c>
      <c r="R8177" t="s">
        <v>421</v>
      </c>
      <c r="S8177">
        <v>1486</v>
      </c>
    </row>
    <row r="8178" spans="1:19">
      <c r="A8178" t="s">
        <v>31</v>
      </c>
      <c r="B8178" t="s">
        <v>148</v>
      </c>
      <c r="C8178" t="s">
        <v>163</v>
      </c>
      <c r="D8178" t="s">
        <v>292</v>
      </c>
      <c r="E8178" t="s">
        <v>421</v>
      </c>
      <c r="F8178">
        <f>HYPERLINK("https://www.wikidata.org/wiki/Q33323183", "Q33323183")</f>
        <v>0</v>
      </c>
      <c r="G8178" t="s">
        <v>748</v>
      </c>
      <c r="H8178" t="s">
        <v>5506</v>
      </c>
      <c r="I8178" t="s">
        <v>9407</v>
      </c>
      <c r="J8178" t="s">
        <v>11330</v>
      </c>
      <c r="K8178" t="s">
        <v>15899</v>
      </c>
      <c r="L8178">
        <f>HYPERLINK("https://www2.assemblee-nationale.fr/sycomore/fiche/(num_dept)/5583", "5583")</f>
        <v>0</v>
      </c>
      <c r="M8178">
        <f>HYPERLINK("https://www.senat.fr/senateur-3eme-republique/noulens_jean_baptiste0149r3.html", "noulens_jean_baptiste0149r3")</f>
        <v>0</v>
      </c>
      <c r="N8178">
        <f>HYPERLINK("https://www.wikidata.org/wiki/Q3185419", "Q3185419")</f>
        <v>0</v>
      </c>
      <c r="O8178" t="s">
        <v>20003</v>
      </c>
      <c r="P8178" t="s">
        <v>20457</v>
      </c>
      <c r="Q8178" t="s">
        <v>20934</v>
      </c>
      <c r="R8178" t="s">
        <v>421</v>
      </c>
      <c r="S8178">
        <v>1486</v>
      </c>
    </row>
    <row r="8179" spans="1:19">
      <c r="A8179" t="s">
        <v>31</v>
      </c>
      <c r="B8179" t="s">
        <v>148</v>
      </c>
      <c r="C8179" t="s">
        <v>163</v>
      </c>
      <c r="D8179" t="s">
        <v>292</v>
      </c>
      <c r="E8179" t="s">
        <v>421</v>
      </c>
      <c r="F8179">
        <f>HYPERLINK("https://www.wikidata.org/wiki/Q33323183", "Q33323183")</f>
        <v>0</v>
      </c>
      <c r="G8179" t="s">
        <v>4076</v>
      </c>
      <c r="H8179" t="s">
        <v>7184</v>
      </c>
      <c r="I8179" t="s">
        <v>11095</v>
      </c>
      <c r="J8179" t="s">
        <v>14615</v>
      </c>
      <c r="K8179" t="s">
        <v>18952</v>
      </c>
      <c r="L8179">
        <f>HYPERLINK("https://www2.assemblee-nationale.fr/sycomore/fiche/(num_dept)/5602", "5602")</f>
        <v>0</v>
      </c>
      <c r="N8179">
        <f>HYPERLINK("https://www.wikidata.org/wiki/Q3261974", "Q3261974")</f>
        <v>0</v>
      </c>
      <c r="O8179" t="s">
        <v>19964</v>
      </c>
      <c r="P8179" t="s">
        <v>20410</v>
      </c>
      <c r="Q8179" t="s">
        <v>20934</v>
      </c>
      <c r="R8179" t="s">
        <v>421</v>
      </c>
      <c r="S8179">
        <v>1486</v>
      </c>
    </row>
    <row r="8180" spans="1:19">
      <c r="A8180" t="s">
        <v>31</v>
      </c>
      <c r="B8180" t="s">
        <v>148</v>
      </c>
      <c r="C8180" t="s">
        <v>163</v>
      </c>
      <c r="D8180" t="s">
        <v>292</v>
      </c>
      <c r="E8180" t="s">
        <v>421</v>
      </c>
      <c r="F8180">
        <f>HYPERLINK("https://www.wikidata.org/wiki/Q33323183", "Q33323183")</f>
        <v>0</v>
      </c>
      <c r="G8180" t="s">
        <v>2641</v>
      </c>
      <c r="H8180" t="s">
        <v>7186</v>
      </c>
      <c r="I8180" t="s">
        <v>10332</v>
      </c>
      <c r="J8180" t="s">
        <v>13283</v>
      </c>
      <c r="K8180" t="s">
        <v>17685</v>
      </c>
      <c r="L8180">
        <f>HYPERLINK("https://www2.assemblee-nationale.fr/sycomore/fiche/(num_dept)/5612", "5612")</f>
        <v>0</v>
      </c>
      <c r="N8180">
        <f>HYPERLINK("https://www.wikidata.org/wiki/Q16025508", "Q16025508")</f>
        <v>0</v>
      </c>
      <c r="O8180" t="s">
        <v>20031</v>
      </c>
      <c r="Q8180" t="s">
        <v>20934</v>
      </c>
      <c r="R8180" t="s">
        <v>17685</v>
      </c>
      <c r="S8180">
        <v>11</v>
      </c>
    </row>
    <row r="8181" spans="1:19">
      <c r="A8181" t="s">
        <v>31</v>
      </c>
      <c r="B8181" t="s">
        <v>148</v>
      </c>
      <c r="C8181" t="s">
        <v>163</v>
      </c>
      <c r="D8181" t="s">
        <v>292</v>
      </c>
      <c r="E8181" t="s">
        <v>421</v>
      </c>
      <c r="F8181">
        <f>HYPERLINK("https://www.wikidata.org/wiki/Q33323183", "Q33323183")</f>
        <v>0</v>
      </c>
      <c r="G8181" t="s">
        <v>4154</v>
      </c>
      <c r="H8181" t="s">
        <v>8356</v>
      </c>
      <c r="I8181" t="s">
        <v>9407</v>
      </c>
      <c r="J8181" t="s">
        <v>14683</v>
      </c>
      <c r="K8181" t="s">
        <v>19019</v>
      </c>
      <c r="L8181">
        <f>HYPERLINK("https://www2.assemblee-nationale.fr/sycomore/fiche/(num_dept)/5620", "5620")</f>
        <v>0</v>
      </c>
      <c r="N8181">
        <f>HYPERLINK("https://www.wikidata.org/wiki/Q3185434", "Q3185434")</f>
        <v>0</v>
      </c>
      <c r="O8181" t="s">
        <v>19997</v>
      </c>
      <c r="P8181" t="s">
        <v>20517</v>
      </c>
      <c r="Q8181" t="s">
        <v>20934</v>
      </c>
      <c r="R8181" t="s">
        <v>421</v>
      </c>
      <c r="S8181">
        <v>1486</v>
      </c>
    </row>
    <row r="8182" spans="1:19">
      <c r="A8182" t="s">
        <v>31</v>
      </c>
      <c r="B8182" t="s">
        <v>148</v>
      </c>
      <c r="C8182" t="s">
        <v>163</v>
      </c>
      <c r="D8182" t="s">
        <v>292</v>
      </c>
      <c r="E8182" t="s">
        <v>421</v>
      </c>
      <c r="F8182">
        <f>HYPERLINK("https://www.wikidata.org/wiki/Q33323183", "Q33323183")</f>
        <v>0</v>
      </c>
      <c r="G8182" t="s">
        <v>4077</v>
      </c>
      <c r="H8182" t="s">
        <v>8293</v>
      </c>
      <c r="I8182" t="s">
        <v>11096</v>
      </c>
      <c r="J8182" t="s">
        <v>14616</v>
      </c>
      <c r="K8182" t="s">
        <v>18953</v>
      </c>
      <c r="L8182">
        <f>HYPERLINK("https://www2.assemblee-nationale.fr/sycomore/fiche/(num_dept)/5621", "5621")</f>
        <v>0</v>
      </c>
      <c r="N8182">
        <f>HYPERLINK("https://www.wikidata.org/wiki/Q3515229", "Q3515229")</f>
        <v>0</v>
      </c>
      <c r="O8182" t="s">
        <v>19992</v>
      </c>
      <c r="P8182" t="s">
        <v>20517</v>
      </c>
      <c r="Q8182" t="s">
        <v>20934</v>
      </c>
      <c r="R8182" t="s">
        <v>421</v>
      </c>
      <c r="S8182">
        <v>1486</v>
      </c>
    </row>
    <row r="8183" spans="1:19">
      <c r="A8183" t="s">
        <v>31</v>
      </c>
      <c r="B8183" t="s">
        <v>148</v>
      </c>
      <c r="C8183" t="s">
        <v>163</v>
      </c>
      <c r="D8183" t="s">
        <v>292</v>
      </c>
      <c r="E8183" t="s">
        <v>421</v>
      </c>
      <c r="F8183">
        <f>HYPERLINK("https://www.wikidata.org/wiki/Q33323183", "Q33323183")</f>
        <v>0</v>
      </c>
      <c r="G8183" t="s">
        <v>3272</v>
      </c>
      <c r="H8183" t="s">
        <v>7687</v>
      </c>
      <c r="I8183" t="s">
        <v>10739</v>
      </c>
      <c r="J8183" t="s">
        <v>13886</v>
      </c>
      <c r="K8183" t="s">
        <v>18259</v>
      </c>
      <c r="L8183">
        <f>HYPERLINK("https://www2.assemblee-nationale.fr/sycomore/fiche/(num_dept)/5657", "5657")</f>
        <v>0</v>
      </c>
      <c r="M8183">
        <f>HYPERLINK("https://www.senat.fr/senateur-3eme-republique/pajot_christophe0430r3.html", "pajot_christophe0430r3")</f>
        <v>0</v>
      </c>
      <c r="N8183">
        <f>HYPERLINK("https://www.wikidata.org/wiki/Q2966424", "Q2966424")</f>
        <v>0</v>
      </c>
      <c r="O8183" t="s">
        <v>19996</v>
      </c>
      <c r="P8183" t="s">
        <v>20489</v>
      </c>
      <c r="Q8183" t="s">
        <v>20934</v>
      </c>
      <c r="R8183" t="s">
        <v>421</v>
      </c>
      <c r="S8183">
        <v>1486</v>
      </c>
    </row>
    <row r="8184" spans="1:19">
      <c r="A8184" t="s">
        <v>31</v>
      </c>
      <c r="B8184" t="s">
        <v>148</v>
      </c>
      <c r="C8184" t="s">
        <v>163</v>
      </c>
      <c r="D8184" t="s">
        <v>292</v>
      </c>
      <c r="E8184" t="s">
        <v>421</v>
      </c>
      <c r="F8184">
        <f>HYPERLINK("https://www.wikidata.org/wiki/Q33323183", "Q33323183")</f>
        <v>0</v>
      </c>
      <c r="G8184" t="s">
        <v>1018</v>
      </c>
      <c r="H8184" t="s">
        <v>5768</v>
      </c>
      <c r="I8184" t="s">
        <v>5528</v>
      </c>
      <c r="J8184" t="s">
        <v>11755</v>
      </c>
      <c r="K8184" t="s">
        <v>16032</v>
      </c>
      <c r="L8184">
        <f>HYPERLINK("https://www2.assemblee-nationale.fr/sycomore/fiche/(num_dept)/5699", "5699")</f>
        <v>0</v>
      </c>
      <c r="M8184">
        <f>HYPERLINK("https://www.senat.fr/senateur-3eme-republique/pasqual_leon1381r3.html", "pasqual_leon1381r3")</f>
        <v>0</v>
      </c>
      <c r="N8184">
        <f>HYPERLINK("https://www.wikidata.org/wiki/Q3271250", "Q3271250")</f>
        <v>0</v>
      </c>
      <c r="O8184" t="s">
        <v>20013</v>
      </c>
      <c r="P8184" t="s">
        <v>20489</v>
      </c>
      <c r="Q8184" t="s">
        <v>20934</v>
      </c>
      <c r="R8184" t="s">
        <v>421</v>
      </c>
      <c r="S8184">
        <v>1486</v>
      </c>
    </row>
    <row r="8185" spans="1:19">
      <c r="A8185" t="s">
        <v>31</v>
      </c>
      <c r="B8185" t="s">
        <v>148</v>
      </c>
      <c r="C8185" t="s">
        <v>163</v>
      </c>
      <c r="D8185" t="s">
        <v>292</v>
      </c>
      <c r="E8185" t="s">
        <v>421</v>
      </c>
      <c r="F8185">
        <f>HYPERLINK("https://www.wikidata.org/wiki/Q33323183", "Q33323183")</f>
        <v>0</v>
      </c>
      <c r="G8185" t="s">
        <v>3487</v>
      </c>
      <c r="H8185" t="s">
        <v>7860</v>
      </c>
      <c r="I8185" t="s">
        <v>9449</v>
      </c>
      <c r="J8185" t="s">
        <v>14086</v>
      </c>
      <c r="K8185" t="s">
        <v>16985</v>
      </c>
      <c r="L8185">
        <f>HYPERLINK("https://www2.assemblee-nationale.fr/sycomore/fiche/(num_dept)/5700", "5700")</f>
        <v>0</v>
      </c>
      <c r="N8185">
        <f>HYPERLINK("https://www.wikidata.org/wiki/Q15971936", "Q15971936")</f>
        <v>0</v>
      </c>
      <c r="O8185" t="s">
        <v>20015</v>
      </c>
      <c r="P8185" t="s">
        <v>20410</v>
      </c>
      <c r="Q8185" t="s">
        <v>20934</v>
      </c>
      <c r="R8185" t="s">
        <v>421</v>
      </c>
      <c r="S8185">
        <v>1486</v>
      </c>
    </row>
    <row r="8186" spans="1:19">
      <c r="A8186" t="s">
        <v>31</v>
      </c>
      <c r="B8186" t="s">
        <v>148</v>
      </c>
      <c r="C8186" t="s">
        <v>163</v>
      </c>
      <c r="D8186" t="s">
        <v>292</v>
      </c>
      <c r="E8186" t="s">
        <v>421</v>
      </c>
      <c r="F8186">
        <f>HYPERLINK("https://www.wikidata.org/wiki/Q33323183", "Q33323183")</f>
        <v>0</v>
      </c>
      <c r="G8186" t="s">
        <v>751</v>
      </c>
      <c r="H8186" t="s">
        <v>5509</v>
      </c>
      <c r="I8186" t="s">
        <v>9509</v>
      </c>
      <c r="J8186" t="s">
        <v>11499</v>
      </c>
      <c r="K8186" t="s">
        <v>15902</v>
      </c>
      <c r="L8186">
        <f>HYPERLINK("https://www2.assemblee-nationale.fr/sycomore/fiche/(num_dept)/5702", "5702")</f>
        <v>0</v>
      </c>
      <c r="N8186">
        <f>HYPERLINK("https://www.wikidata.org/wiki/Q3262846", "Q3262846")</f>
        <v>0</v>
      </c>
      <c r="O8186" t="s">
        <v>19992</v>
      </c>
      <c r="P8186" t="s">
        <v>20410</v>
      </c>
      <c r="Q8186" t="s">
        <v>20934</v>
      </c>
      <c r="R8186" t="s">
        <v>421</v>
      </c>
      <c r="S8186">
        <v>1486</v>
      </c>
    </row>
    <row r="8187" spans="1:19">
      <c r="A8187" t="s">
        <v>31</v>
      </c>
      <c r="B8187" t="s">
        <v>148</v>
      </c>
      <c r="C8187" t="s">
        <v>163</v>
      </c>
      <c r="D8187" t="s">
        <v>292</v>
      </c>
      <c r="E8187" t="s">
        <v>421</v>
      </c>
      <c r="F8187">
        <f>HYPERLINK("https://www.wikidata.org/wiki/Q33323183", "Q33323183")</f>
        <v>0</v>
      </c>
      <c r="G8187" t="s">
        <v>3154</v>
      </c>
      <c r="H8187" t="s">
        <v>7590</v>
      </c>
      <c r="I8187" t="s">
        <v>10664</v>
      </c>
      <c r="J8187" t="s">
        <v>13776</v>
      </c>
      <c r="K8187" t="s">
        <v>18151</v>
      </c>
      <c r="L8187">
        <f>HYPERLINK("https://www2.assemblee-nationale.fr/sycomore/fiche/(num_dept)/5729", "5729")</f>
        <v>0</v>
      </c>
      <c r="N8187">
        <f>HYPERLINK("https://www.wikidata.org/wiki/Q17350275", "Q17350275")</f>
        <v>0</v>
      </c>
      <c r="O8187" t="s">
        <v>20009</v>
      </c>
      <c r="P8187" t="s">
        <v>20410</v>
      </c>
      <c r="Q8187" t="s">
        <v>20934</v>
      </c>
      <c r="R8187" t="s">
        <v>18151</v>
      </c>
      <c r="S8187">
        <v>473</v>
      </c>
    </row>
    <row r="8188" spans="1:19">
      <c r="A8188" t="s">
        <v>31</v>
      </c>
      <c r="B8188" t="s">
        <v>148</v>
      </c>
      <c r="C8188" t="s">
        <v>163</v>
      </c>
      <c r="D8188" t="s">
        <v>292</v>
      </c>
      <c r="E8188" t="s">
        <v>421</v>
      </c>
      <c r="F8188">
        <f>HYPERLINK("https://www.wikidata.org/wiki/Q33323183", "Q33323183")</f>
        <v>0</v>
      </c>
      <c r="G8188" t="s">
        <v>754</v>
      </c>
      <c r="H8188" t="s">
        <v>5512</v>
      </c>
      <c r="I8188" t="s">
        <v>9506</v>
      </c>
      <c r="J8188" t="s">
        <v>11502</v>
      </c>
      <c r="K8188" t="s">
        <v>15905</v>
      </c>
      <c r="L8188">
        <f>HYPERLINK("https://www2.assemblee-nationale.fr/sycomore/fiche/(num_dept)/5764", "5764")</f>
        <v>0</v>
      </c>
      <c r="M8188">
        <f>HYPERLINK("https://www.senat.fr/senateur-3eme-republique/pelletan_camille0312r3.html", "pelletan_camille0312r3")</f>
        <v>0</v>
      </c>
      <c r="N8188">
        <f>HYPERLINK("https://www.wikidata.org/wiki/Q2862434", "Q2862434")</f>
        <v>0</v>
      </c>
      <c r="O8188" t="s">
        <v>19990</v>
      </c>
      <c r="P8188" t="s">
        <v>20489</v>
      </c>
      <c r="Q8188" t="s">
        <v>20934</v>
      </c>
      <c r="R8188" t="s">
        <v>421</v>
      </c>
      <c r="S8188">
        <v>1486</v>
      </c>
    </row>
    <row r="8189" spans="1:19">
      <c r="A8189" t="s">
        <v>31</v>
      </c>
      <c r="B8189" t="s">
        <v>148</v>
      </c>
      <c r="C8189" t="s">
        <v>163</v>
      </c>
      <c r="D8189" t="s">
        <v>292</v>
      </c>
      <c r="E8189" t="s">
        <v>421</v>
      </c>
      <c r="F8189">
        <f>HYPERLINK("https://www.wikidata.org/wiki/Q33323183", "Q33323183")</f>
        <v>0</v>
      </c>
      <c r="G8189" t="s">
        <v>4188</v>
      </c>
      <c r="H8189" t="s">
        <v>8381</v>
      </c>
      <c r="I8189" t="s">
        <v>9465</v>
      </c>
      <c r="J8189" t="s">
        <v>14705</v>
      </c>
      <c r="K8189" t="s">
        <v>19046</v>
      </c>
      <c r="L8189">
        <f>HYPERLINK("https://www2.assemblee-nationale.fr/sycomore/fiche/(num_dept)/5778", "5778")</f>
        <v>0</v>
      </c>
      <c r="M8189">
        <f>HYPERLINK("https://www.senat.fr/senateur-3eme-republique/peres_eugene0189r3.html", "peres_eugene0189r3")</f>
        <v>0</v>
      </c>
      <c r="N8189">
        <f>HYPERLINK("https://www.wikidata.org/wiki/Q3060087", "Q3060087")</f>
        <v>0</v>
      </c>
      <c r="O8189" t="s">
        <v>20019</v>
      </c>
      <c r="P8189" t="s">
        <v>20457</v>
      </c>
      <c r="Q8189" t="s">
        <v>20934</v>
      </c>
      <c r="R8189" t="s">
        <v>421</v>
      </c>
      <c r="S8189">
        <v>1486</v>
      </c>
    </row>
    <row r="8190" spans="1:19">
      <c r="A8190" t="s">
        <v>31</v>
      </c>
      <c r="B8190" t="s">
        <v>148</v>
      </c>
      <c r="C8190" t="s">
        <v>163</v>
      </c>
      <c r="D8190" t="s">
        <v>292</v>
      </c>
      <c r="E8190" t="s">
        <v>421</v>
      </c>
      <c r="F8190">
        <f>HYPERLINK("https://www.wikidata.org/wiki/Q33323183", "Q33323183")</f>
        <v>0</v>
      </c>
      <c r="G8190" t="s">
        <v>755</v>
      </c>
      <c r="H8190" t="s">
        <v>5513</v>
      </c>
      <c r="I8190" t="s">
        <v>9500</v>
      </c>
      <c r="J8190" t="s">
        <v>11503</v>
      </c>
      <c r="K8190" t="s">
        <v>15906</v>
      </c>
      <c r="L8190">
        <f>HYPERLINK("https://www2.assemblee-nationale.fr/sycomore/fiche/(num_dept)/5779", "5779")</f>
        <v>0</v>
      </c>
      <c r="M8190">
        <f>HYPERLINK("https://www.senat.fr/senateur-3eme-republique/peret_raoul1766r3.html", "peret_raoul1766r3")</f>
        <v>0</v>
      </c>
      <c r="N8190">
        <f>HYPERLINK("https://www.wikidata.org/wiki/Q3419252", "Q3419252")</f>
        <v>0</v>
      </c>
      <c r="O8190" t="s">
        <v>19982</v>
      </c>
      <c r="P8190" t="s">
        <v>20401</v>
      </c>
      <c r="Q8190" t="s">
        <v>20934</v>
      </c>
      <c r="R8190" t="s">
        <v>421</v>
      </c>
      <c r="S8190">
        <v>1486</v>
      </c>
    </row>
    <row r="8191" spans="1:19">
      <c r="A8191" t="s">
        <v>31</v>
      </c>
      <c r="B8191" t="s">
        <v>148</v>
      </c>
      <c r="C8191" t="s">
        <v>163</v>
      </c>
      <c r="D8191" t="s">
        <v>292</v>
      </c>
      <c r="E8191" t="s">
        <v>421</v>
      </c>
      <c r="F8191">
        <f>HYPERLINK("https://www.wikidata.org/wiki/Q33323183", "Q33323183")</f>
        <v>0</v>
      </c>
      <c r="G8191" t="s">
        <v>757</v>
      </c>
      <c r="H8191" t="s">
        <v>5515</v>
      </c>
      <c r="I8191" t="s">
        <v>7140</v>
      </c>
      <c r="J8191" t="s">
        <v>11505</v>
      </c>
      <c r="K8191" t="s">
        <v>15908</v>
      </c>
      <c r="L8191">
        <f>HYPERLINK("https://www2.assemblee-nationale.fr/sycomore/fiche/(num_dept)/5788", "5788")</f>
        <v>0</v>
      </c>
      <c r="N8191">
        <f>HYPERLINK("https://www.wikidata.org/wiki/Q8306474", "Q8306474")</f>
        <v>0</v>
      </c>
      <c r="O8191" t="s">
        <v>19994</v>
      </c>
      <c r="P8191" t="s">
        <v>20401</v>
      </c>
      <c r="Q8191" t="s">
        <v>20934</v>
      </c>
      <c r="R8191" t="s">
        <v>421</v>
      </c>
      <c r="S8191">
        <v>1486</v>
      </c>
    </row>
    <row r="8192" spans="1:19">
      <c r="A8192" t="s">
        <v>31</v>
      </c>
      <c r="B8192" t="s">
        <v>148</v>
      </c>
      <c r="C8192" t="s">
        <v>163</v>
      </c>
      <c r="D8192" t="s">
        <v>292</v>
      </c>
      <c r="E8192" t="s">
        <v>421</v>
      </c>
      <c r="F8192">
        <f>HYPERLINK("https://www.wikidata.org/wiki/Q33323183", "Q33323183")</f>
        <v>0</v>
      </c>
      <c r="G8192" t="s">
        <v>3488</v>
      </c>
      <c r="H8192" t="s">
        <v>7861</v>
      </c>
      <c r="I8192" t="s">
        <v>10845</v>
      </c>
      <c r="J8192" t="s">
        <v>14087</v>
      </c>
      <c r="K8192" t="s">
        <v>18452</v>
      </c>
      <c r="L8192">
        <f>HYPERLINK("https://www2.assemblee-nationale.fr/sycomore/fiche/(num_dept)/5789", "5789")</f>
        <v>0</v>
      </c>
      <c r="N8192">
        <f>HYPERLINK("https://www.wikidata.org/wiki/Q16026302", "Q16026302")</f>
        <v>0</v>
      </c>
      <c r="O8192" t="s">
        <v>19987</v>
      </c>
      <c r="P8192" t="s">
        <v>20517</v>
      </c>
      <c r="Q8192" t="s">
        <v>20934</v>
      </c>
      <c r="R8192" t="s">
        <v>18452</v>
      </c>
      <c r="S8192">
        <v>842</v>
      </c>
    </row>
    <row r="8193" spans="1:19">
      <c r="A8193" t="s">
        <v>31</v>
      </c>
      <c r="B8193" t="s">
        <v>148</v>
      </c>
      <c r="C8193" t="s">
        <v>163</v>
      </c>
      <c r="D8193" t="s">
        <v>292</v>
      </c>
      <c r="E8193" t="s">
        <v>421</v>
      </c>
      <c r="F8193">
        <f>HYPERLINK("https://www.wikidata.org/wiki/Q33323183", "Q33323183")</f>
        <v>0</v>
      </c>
      <c r="G8193" t="s">
        <v>3934</v>
      </c>
      <c r="H8193" t="s">
        <v>8188</v>
      </c>
      <c r="I8193" t="s">
        <v>9457</v>
      </c>
      <c r="J8193" t="s">
        <v>14488</v>
      </c>
      <c r="K8193" t="s">
        <v>17869</v>
      </c>
      <c r="L8193">
        <f>HYPERLINK("https://www2.assemblee-nationale.fr/sycomore/fiche/(num_dept)/5803", "5803")</f>
        <v>0</v>
      </c>
      <c r="N8193">
        <f>HYPERLINK("https://www.wikidata.org/wiki/Q16026313", "Q16026313")</f>
        <v>0</v>
      </c>
      <c r="O8193" t="s">
        <v>19999</v>
      </c>
      <c r="P8193" t="s">
        <v>20489</v>
      </c>
      <c r="Q8193" t="s">
        <v>20934</v>
      </c>
      <c r="R8193" t="s">
        <v>17869</v>
      </c>
      <c r="S8193">
        <v>1033</v>
      </c>
    </row>
    <row r="8194" spans="1:19">
      <c r="A8194" t="s">
        <v>31</v>
      </c>
      <c r="B8194" t="s">
        <v>148</v>
      </c>
      <c r="C8194" t="s">
        <v>163</v>
      </c>
      <c r="D8194" t="s">
        <v>292</v>
      </c>
      <c r="E8194" t="s">
        <v>421</v>
      </c>
      <c r="F8194">
        <f>HYPERLINK("https://www.wikidata.org/wiki/Q33323183", "Q33323183")</f>
        <v>0</v>
      </c>
      <c r="G8194" t="s">
        <v>1191</v>
      </c>
      <c r="H8194" t="s">
        <v>5921</v>
      </c>
      <c r="I8194" t="s">
        <v>9699</v>
      </c>
      <c r="J8194" t="s">
        <v>11924</v>
      </c>
      <c r="K8194" t="s">
        <v>16325</v>
      </c>
      <c r="L8194">
        <f>HYPERLINK("https://www2.assemblee-nationale.fr/sycomore/fiche/(num_dept)/5804", "5804")</f>
        <v>0</v>
      </c>
      <c r="N8194">
        <f>HYPERLINK("https://www.wikidata.org/wiki/Q2960060", "Q2960060")</f>
        <v>0</v>
      </c>
      <c r="O8194" t="s">
        <v>19999</v>
      </c>
      <c r="P8194" t="s">
        <v>20489</v>
      </c>
      <c r="Q8194" t="s">
        <v>20934</v>
      </c>
      <c r="R8194" t="s">
        <v>421</v>
      </c>
      <c r="S8194">
        <v>1486</v>
      </c>
    </row>
    <row r="8195" spans="1:19">
      <c r="A8195" t="s">
        <v>31</v>
      </c>
      <c r="B8195" t="s">
        <v>148</v>
      </c>
      <c r="C8195" t="s">
        <v>163</v>
      </c>
      <c r="D8195" t="s">
        <v>292</v>
      </c>
      <c r="E8195" t="s">
        <v>421</v>
      </c>
      <c r="F8195">
        <f>HYPERLINK("https://www.wikidata.org/wiki/Q33323183", "Q33323183")</f>
        <v>0</v>
      </c>
      <c r="G8195" t="s">
        <v>4079</v>
      </c>
      <c r="H8195" t="s">
        <v>8295</v>
      </c>
      <c r="I8195" t="s">
        <v>11097</v>
      </c>
      <c r="J8195" t="s">
        <v>14618</v>
      </c>
      <c r="K8195" t="s">
        <v>18955</v>
      </c>
      <c r="L8195">
        <f>HYPERLINK("https://www2.assemblee-nationale.fr/sycomore/fiche/(num_dept)/5821", "5821")</f>
        <v>0</v>
      </c>
      <c r="N8195">
        <f>HYPERLINK("https://www.wikidata.org/wiki/Q16026321", "Q16026321")</f>
        <v>0</v>
      </c>
      <c r="O8195" t="s">
        <v>20025</v>
      </c>
      <c r="P8195" t="s">
        <v>20517</v>
      </c>
      <c r="Q8195" t="s">
        <v>20934</v>
      </c>
      <c r="R8195" t="s">
        <v>421</v>
      </c>
      <c r="S8195">
        <v>1486</v>
      </c>
    </row>
    <row r="8196" spans="1:19">
      <c r="A8196" t="s">
        <v>31</v>
      </c>
      <c r="B8196" t="s">
        <v>148</v>
      </c>
      <c r="C8196" t="s">
        <v>163</v>
      </c>
      <c r="D8196" t="s">
        <v>292</v>
      </c>
      <c r="E8196" t="s">
        <v>421</v>
      </c>
      <c r="F8196">
        <f>HYPERLINK("https://www.wikidata.org/wiki/Q33323183", "Q33323183")</f>
        <v>0</v>
      </c>
      <c r="G8196" t="s">
        <v>4080</v>
      </c>
      <c r="H8196" t="s">
        <v>6012</v>
      </c>
      <c r="I8196" t="s">
        <v>11098</v>
      </c>
      <c r="J8196" t="s">
        <v>14619</v>
      </c>
      <c r="K8196" t="s">
        <v>18956</v>
      </c>
      <c r="L8196">
        <f>HYPERLINK("https://www2.assemblee-nationale.fr/sycomore/fiche/(num_dept)/5852", "5852")</f>
        <v>0</v>
      </c>
      <c r="M8196">
        <f>HYPERLINK("https://www.senat.fr/senateur-3eme-republique/petitjean_claude1221r3.html", "petitjean_claude1221r3")</f>
        <v>0</v>
      </c>
      <c r="N8196">
        <f>HYPERLINK("https://www.wikidata.org/wiki/Q2977946", "Q2977946")</f>
        <v>0</v>
      </c>
      <c r="O8196" t="s">
        <v>19994</v>
      </c>
      <c r="P8196" t="s">
        <v>20489</v>
      </c>
      <c r="Q8196" t="s">
        <v>20934</v>
      </c>
      <c r="R8196" t="s">
        <v>421</v>
      </c>
      <c r="S8196">
        <v>1486</v>
      </c>
    </row>
    <row r="8197" spans="1:19">
      <c r="A8197" t="s">
        <v>31</v>
      </c>
      <c r="B8197" t="s">
        <v>148</v>
      </c>
      <c r="C8197" t="s">
        <v>163</v>
      </c>
      <c r="D8197" t="s">
        <v>292</v>
      </c>
      <c r="E8197" t="s">
        <v>421</v>
      </c>
      <c r="F8197">
        <f>HYPERLINK("https://www.wikidata.org/wiki/Q33323183", "Q33323183")</f>
        <v>0</v>
      </c>
      <c r="G8197" t="s">
        <v>4081</v>
      </c>
      <c r="H8197" t="s">
        <v>8296</v>
      </c>
      <c r="I8197" t="s">
        <v>11099</v>
      </c>
      <c r="J8197" t="s">
        <v>14620</v>
      </c>
      <c r="K8197" t="s">
        <v>15827</v>
      </c>
      <c r="L8197">
        <f>HYPERLINK("https://www2.assemblee-nationale.fr/sycomore/fiche/(num_dept)/5858", "5858")</f>
        <v>0</v>
      </c>
      <c r="N8197">
        <f>HYPERLINK("https://www.wikidata.org/wiki/Q16026332", "Q16026332")</f>
        <v>0</v>
      </c>
      <c r="O8197" t="s">
        <v>20036</v>
      </c>
      <c r="P8197" t="s">
        <v>20401</v>
      </c>
      <c r="Q8197" t="s">
        <v>20934</v>
      </c>
      <c r="R8197" t="s">
        <v>421</v>
      </c>
      <c r="S8197">
        <v>1486</v>
      </c>
    </row>
    <row r="8198" spans="1:19">
      <c r="A8198" t="s">
        <v>31</v>
      </c>
      <c r="B8198" t="s">
        <v>148</v>
      </c>
      <c r="C8198" t="s">
        <v>163</v>
      </c>
      <c r="D8198" t="s">
        <v>292</v>
      </c>
      <c r="E8198" t="s">
        <v>421</v>
      </c>
      <c r="F8198">
        <f>HYPERLINK("https://www.wikidata.org/wiki/Q33323183", "Q33323183")</f>
        <v>0</v>
      </c>
      <c r="G8198" t="s">
        <v>759</v>
      </c>
      <c r="H8198" t="s">
        <v>5517</v>
      </c>
      <c r="I8198" t="s">
        <v>6860</v>
      </c>
      <c r="J8198" t="s">
        <v>11507</v>
      </c>
      <c r="K8198" t="s">
        <v>15910</v>
      </c>
      <c r="L8198">
        <f>HYPERLINK("https://www2.assemblee-nationale.fr/sycomore/fiche/(num_dept)/5903", "5903")</f>
        <v>0</v>
      </c>
      <c r="M8198">
        <f>HYPERLINK("https://www.senat.fr/senateur-3eme-republique/pichery_pierre0386r3.html", "pichery_pierre0386r3")</f>
        <v>0</v>
      </c>
      <c r="N8198">
        <f>HYPERLINK("https://www.wikidata.org/wiki/Q3386607", "Q3386607")</f>
        <v>0</v>
      </c>
      <c r="O8198" t="s">
        <v>20039</v>
      </c>
      <c r="P8198" t="s">
        <v>20401</v>
      </c>
      <c r="Q8198" t="s">
        <v>20934</v>
      </c>
      <c r="R8198" t="s">
        <v>421</v>
      </c>
      <c r="S8198">
        <v>1486</v>
      </c>
    </row>
    <row r="8199" spans="1:19">
      <c r="A8199" t="s">
        <v>31</v>
      </c>
      <c r="B8199" t="s">
        <v>148</v>
      </c>
      <c r="C8199" t="s">
        <v>163</v>
      </c>
      <c r="D8199" t="s">
        <v>292</v>
      </c>
      <c r="E8199" t="s">
        <v>421</v>
      </c>
      <c r="F8199">
        <f>HYPERLINK("https://www.wikidata.org/wiki/Q33323183", "Q33323183")</f>
        <v>0</v>
      </c>
      <c r="G8199" t="s">
        <v>2140</v>
      </c>
      <c r="H8199" t="s">
        <v>6757</v>
      </c>
      <c r="I8199" t="s">
        <v>10094</v>
      </c>
      <c r="J8199" t="s">
        <v>12804</v>
      </c>
      <c r="K8199" t="s">
        <v>17219</v>
      </c>
      <c r="L8199">
        <f>HYPERLINK("https://www2.assemblee-nationale.fr/sycomore/fiche/(num_dept)/5940", "5940")</f>
        <v>0</v>
      </c>
      <c r="N8199">
        <f>HYPERLINK("https://www.wikidata.org/wiki/Q3592333", "Q3592333")</f>
        <v>0</v>
      </c>
      <c r="O8199" t="s">
        <v>19998</v>
      </c>
      <c r="P8199" t="s">
        <v>20410</v>
      </c>
      <c r="Q8199" t="s">
        <v>20934</v>
      </c>
      <c r="R8199" t="s">
        <v>421</v>
      </c>
      <c r="S8199">
        <v>1486</v>
      </c>
    </row>
    <row r="8200" spans="1:19">
      <c r="A8200" t="s">
        <v>31</v>
      </c>
      <c r="B8200" t="s">
        <v>148</v>
      </c>
      <c r="C8200" t="s">
        <v>163</v>
      </c>
      <c r="D8200" t="s">
        <v>292</v>
      </c>
      <c r="E8200" t="s">
        <v>421</v>
      </c>
      <c r="F8200">
        <f>HYPERLINK("https://www.wikidata.org/wiki/Q33323183", "Q33323183")</f>
        <v>0</v>
      </c>
      <c r="G8200" t="s">
        <v>4133</v>
      </c>
      <c r="H8200" t="s">
        <v>8338</v>
      </c>
      <c r="I8200" t="s">
        <v>11127</v>
      </c>
      <c r="J8200" t="s">
        <v>14665</v>
      </c>
      <c r="K8200" t="s">
        <v>16711</v>
      </c>
      <c r="L8200">
        <f>HYPERLINK("https://www2.assemblee-nationale.fr/sycomore/fiche/(num_dept)/5949", "5949")</f>
        <v>0</v>
      </c>
      <c r="N8200">
        <f>HYPERLINK("https://www.wikidata.org/wiki/Q16026346", "Q16026346")</f>
        <v>0</v>
      </c>
      <c r="O8200" t="s">
        <v>20003</v>
      </c>
      <c r="P8200" t="s">
        <v>20495</v>
      </c>
      <c r="Q8200" t="s">
        <v>20934</v>
      </c>
      <c r="R8200" t="s">
        <v>421</v>
      </c>
      <c r="S8200">
        <v>1486</v>
      </c>
    </row>
    <row r="8201" spans="1:19">
      <c r="A8201" t="s">
        <v>31</v>
      </c>
      <c r="B8201" t="s">
        <v>148</v>
      </c>
      <c r="C8201" t="s">
        <v>163</v>
      </c>
      <c r="D8201" t="s">
        <v>292</v>
      </c>
      <c r="E8201" t="s">
        <v>421</v>
      </c>
      <c r="F8201">
        <f>HYPERLINK("https://www.wikidata.org/wiki/Q33323183", "Q33323183")</f>
        <v>0</v>
      </c>
      <c r="G8201" t="s">
        <v>761</v>
      </c>
      <c r="H8201" t="s">
        <v>5519</v>
      </c>
      <c r="I8201" t="s">
        <v>9513</v>
      </c>
      <c r="J8201" t="s">
        <v>11509</v>
      </c>
      <c r="K8201" t="s">
        <v>15912</v>
      </c>
      <c r="L8201">
        <f>HYPERLINK("https://www2.assemblee-nationale.fr/sycomore/fiche/(num_dept)/5956", "5956")</f>
        <v>0</v>
      </c>
      <c r="N8201">
        <f>HYPERLINK("https://www.wikidata.org/wiki/Q3159775", "Q3159775")</f>
        <v>0</v>
      </c>
      <c r="O8201" t="s">
        <v>20004</v>
      </c>
      <c r="P8201" t="s">
        <v>20410</v>
      </c>
      <c r="Q8201" t="s">
        <v>20934</v>
      </c>
      <c r="R8201" t="s">
        <v>421</v>
      </c>
      <c r="S8201">
        <v>1486</v>
      </c>
    </row>
    <row r="8202" spans="1:19">
      <c r="A8202" t="s">
        <v>31</v>
      </c>
      <c r="B8202" t="s">
        <v>148</v>
      </c>
      <c r="C8202" t="s">
        <v>163</v>
      </c>
      <c r="D8202" t="s">
        <v>292</v>
      </c>
      <c r="E8202" t="s">
        <v>421</v>
      </c>
      <c r="F8202">
        <f>HYPERLINK("https://www.wikidata.org/wiki/Q33323183", "Q33323183")</f>
        <v>0</v>
      </c>
      <c r="G8202" t="s">
        <v>762</v>
      </c>
      <c r="H8202" t="s">
        <v>5520</v>
      </c>
      <c r="I8202" t="s">
        <v>9514</v>
      </c>
      <c r="J8202" t="s">
        <v>11507</v>
      </c>
      <c r="K8202" t="s">
        <v>15913</v>
      </c>
      <c r="L8202">
        <f>HYPERLINK("https://www2.assemblee-nationale.fr/sycomore/fiche/(num_dept)/5981", "5981")</f>
        <v>0</v>
      </c>
      <c r="M8202">
        <f>HYPERLINK("https://www.senat.fr/senateur-3eme-republique/plichon_jean1422r3.html", "plichon_jean1422r3")</f>
        <v>0</v>
      </c>
      <c r="N8202">
        <f>HYPERLINK("https://www.wikidata.org/wiki/Q3174051", "Q3174051")</f>
        <v>0</v>
      </c>
      <c r="O8202" t="s">
        <v>20013</v>
      </c>
      <c r="P8202" t="s">
        <v>20410</v>
      </c>
      <c r="Q8202" t="s">
        <v>20934</v>
      </c>
      <c r="R8202" t="s">
        <v>421</v>
      </c>
      <c r="S8202">
        <v>1486</v>
      </c>
    </row>
    <row r="8203" spans="1:19">
      <c r="A8203" t="s">
        <v>31</v>
      </c>
      <c r="B8203" t="s">
        <v>148</v>
      </c>
      <c r="C8203" t="s">
        <v>163</v>
      </c>
      <c r="D8203" t="s">
        <v>292</v>
      </c>
      <c r="E8203" t="s">
        <v>421</v>
      </c>
      <c r="F8203">
        <f>HYPERLINK("https://www.wikidata.org/wiki/Q33323183", "Q33323183")</f>
        <v>0</v>
      </c>
      <c r="G8203" t="s">
        <v>763</v>
      </c>
      <c r="H8203" t="s">
        <v>5521</v>
      </c>
      <c r="I8203" t="s">
        <v>5800</v>
      </c>
      <c r="J8203" t="s">
        <v>11510</v>
      </c>
      <c r="K8203" t="s">
        <v>15914</v>
      </c>
      <c r="L8203">
        <f>HYPERLINK("https://www2.assemblee-nationale.fr/sycomore/fiche/(num_dept)/5983", "5983")</f>
        <v>0</v>
      </c>
      <c r="N8203">
        <f>HYPERLINK("https://www.wikidata.org/wiki/Q3484416", "Q3484416")</f>
        <v>0</v>
      </c>
      <c r="O8203" t="s">
        <v>20006</v>
      </c>
      <c r="P8203" t="s">
        <v>20402</v>
      </c>
      <c r="Q8203" t="s">
        <v>20934</v>
      </c>
      <c r="R8203" t="s">
        <v>421</v>
      </c>
      <c r="S8203">
        <v>1486</v>
      </c>
    </row>
    <row r="8204" spans="1:19">
      <c r="A8204" t="s">
        <v>31</v>
      </c>
      <c r="B8204" t="s">
        <v>148</v>
      </c>
      <c r="C8204" t="s">
        <v>163</v>
      </c>
      <c r="D8204" t="s">
        <v>292</v>
      </c>
      <c r="E8204" t="s">
        <v>421</v>
      </c>
      <c r="F8204">
        <f>HYPERLINK("https://www.wikidata.org/wiki/Q33323183", "Q33323183")</f>
        <v>0</v>
      </c>
      <c r="G8204" t="s">
        <v>765</v>
      </c>
      <c r="H8204" t="s">
        <v>5523</v>
      </c>
      <c r="I8204" t="s">
        <v>9515</v>
      </c>
      <c r="J8204" t="s">
        <v>11512</v>
      </c>
      <c r="K8204" t="s">
        <v>15916</v>
      </c>
      <c r="L8204">
        <f>HYPERLINK("https://www2.assemblee-nationale.fr/sycomore/fiche/(num_dept)/6022", "6022")</f>
        <v>0</v>
      </c>
      <c r="N8204">
        <f>HYPERLINK("https://www.wikidata.org/wiki/Q16026432", "Q16026432")</f>
        <v>0</v>
      </c>
      <c r="O8204" t="s">
        <v>20032</v>
      </c>
      <c r="P8204" t="s">
        <v>20515</v>
      </c>
      <c r="Q8204" t="s">
        <v>20934</v>
      </c>
      <c r="R8204" t="s">
        <v>421</v>
      </c>
      <c r="S8204">
        <v>1486</v>
      </c>
    </row>
    <row r="8205" spans="1:19">
      <c r="A8205" t="s">
        <v>31</v>
      </c>
      <c r="B8205" t="s">
        <v>148</v>
      </c>
      <c r="C8205" t="s">
        <v>163</v>
      </c>
      <c r="D8205" t="s">
        <v>292</v>
      </c>
      <c r="E8205" t="s">
        <v>421</v>
      </c>
      <c r="F8205">
        <f>HYPERLINK("https://www.wikidata.org/wiki/Q33323183", "Q33323183")</f>
        <v>0</v>
      </c>
      <c r="G8205" t="s">
        <v>766</v>
      </c>
      <c r="H8205" t="s">
        <v>5524</v>
      </c>
      <c r="I8205" t="s">
        <v>9421</v>
      </c>
      <c r="J8205" t="s">
        <v>11513</v>
      </c>
      <c r="K8205" t="s">
        <v>15917</v>
      </c>
      <c r="L8205">
        <f>HYPERLINK("https://www2.assemblee-nationale.fr/sycomore/fiche/(num_dept)/6027", "6027")</f>
        <v>0</v>
      </c>
      <c r="N8205">
        <f>HYPERLINK("https://www.wikidata.org/wiki/Q3121311", "Q3121311")</f>
        <v>0</v>
      </c>
      <c r="O8205" t="s">
        <v>20023</v>
      </c>
      <c r="P8205" t="s">
        <v>20401</v>
      </c>
      <c r="Q8205" t="s">
        <v>20934</v>
      </c>
      <c r="R8205" t="s">
        <v>421</v>
      </c>
      <c r="S8205">
        <v>1486</v>
      </c>
    </row>
    <row r="8206" spans="1:19">
      <c r="A8206" t="s">
        <v>31</v>
      </c>
      <c r="B8206" t="s">
        <v>148</v>
      </c>
      <c r="C8206" t="s">
        <v>163</v>
      </c>
      <c r="D8206" t="s">
        <v>292</v>
      </c>
      <c r="E8206" t="s">
        <v>421</v>
      </c>
      <c r="F8206">
        <f>HYPERLINK("https://www.wikidata.org/wiki/Q33323183", "Q33323183")</f>
        <v>0</v>
      </c>
      <c r="G8206" t="s">
        <v>767</v>
      </c>
      <c r="H8206" t="s">
        <v>5525</v>
      </c>
      <c r="I8206" t="s">
        <v>9449</v>
      </c>
      <c r="J8206" t="s">
        <v>11514</v>
      </c>
      <c r="K8206" t="s">
        <v>15918</v>
      </c>
      <c r="L8206">
        <f>HYPERLINK("https://www2.assemblee-nationale.fr/sycomore/fiche/(num_dept)/6031", "6031")</f>
        <v>0</v>
      </c>
      <c r="N8206">
        <f>HYPERLINK("https://www.wikidata.org/wiki/Q3188891", "Q3188891")</f>
        <v>0</v>
      </c>
      <c r="O8206" t="s">
        <v>19991</v>
      </c>
      <c r="P8206" t="s">
        <v>20517</v>
      </c>
      <c r="Q8206" t="s">
        <v>20934</v>
      </c>
      <c r="R8206" t="s">
        <v>421</v>
      </c>
      <c r="S8206">
        <v>1486</v>
      </c>
    </row>
    <row r="8207" spans="1:19">
      <c r="A8207" t="s">
        <v>31</v>
      </c>
      <c r="B8207" t="s">
        <v>148</v>
      </c>
      <c r="C8207" t="s">
        <v>163</v>
      </c>
      <c r="D8207" t="s">
        <v>292</v>
      </c>
      <c r="E8207" t="s">
        <v>421</v>
      </c>
      <c r="F8207">
        <f>HYPERLINK("https://www.wikidata.org/wiki/Q33323183", "Q33323183")</f>
        <v>0</v>
      </c>
      <c r="G8207" t="s">
        <v>770</v>
      </c>
      <c r="H8207" t="s">
        <v>5528</v>
      </c>
      <c r="I8207" t="s">
        <v>9517</v>
      </c>
      <c r="J8207" t="s">
        <v>11517</v>
      </c>
      <c r="K8207" t="s">
        <v>15921</v>
      </c>
      <c r="L8207">
        <f>HYPERLINK("https://www2.assemblee-nationale.fr/sycomore/fiche/(num_dept)/6054", "6054")</f>
        <v>0</v>
      </c>
      <c r="N8207">
        <f>HYPERLINK("https://www.wikidata.org/wiki/Q2829651", "Q2829651")</f>
        <v>0</v>
      </c>
      <c r="O8207" t="s">
        <v>19961</v>
      </c>
      <c r="P8207" t="s">
        <v>20409</v>
      </c>
      <c r="Q8207" t="s">
        <v>20934</v>
      </c>
      <c r="R8207" t="s">
        <v>421</v>
      </c>
      <c r="S8207">
        <v>1486</v>
      </c>
    </row>
    <row r="8208" spans="1:19">
      <c r="A8208" t="s">
        <v>31</v>
      </c>
      <c r="B8208" t="s">
        <v>148</v>
      </c>
      <c r="C8208" t="s">
        <v>163</v>
      </c>
      <c r="D8208" t="s">
        <v>292</v>
      </c>
      <c r="E8208" t="s">
        <v>421</v>
      </c>
      <c r="F8208">
        <f>HYPERLINK("https://www.wikidata.org/wiki/Q33323183", "Q33323183")</f>
        <v>0</v>
      </c>
      <c r="G8208" t="s">
        <v>4158</v>
      </c>
      <c r="H8208" t="s">
        <v>8360</v>
      </c>
      <c r="I8208" t="s">
        <v>11141</v>
      </c>
      <c r="J8208" t="s">
        <v>14686</v>
      </c>
      <c r="K8208" t="s">
        <v>19022</v>
      </c>
      <c r="L8208">
        <f>HYPERLINK("https://www2.assemblee-nationale.fr/sycomore/fiche/(num_dept)/6087", "6087")</f>
        <v>0</v>
      </c>
      <c r="N8208">
        <f>HYPERLINK("https://www.wikidata.org/wiki/Q3420987", "Q3420987")</f>
        <v>0</v>
      </c>
      <c r="O8208" t="s">
        <v>19964</v>
      </c>
      <c r="P8208" t="s">
        <v>20409</v>
      </c>
      <c r="Q8208" t="s">
        <v>20934</v>
      </c>
      <c r="R8208" t="s">
        <v>421</v>
      </c>
      <c r="S8208">
        <v>1486</v>
      </c>
    </row>
    <row r="8209" spans="1:19">
      <c r="A8209" t="s">
        <v>31</v>
      </c>
      <c r="B8209" t="s">
        <v>148</v>
      </c>
      <c r="C8209" t="s">
        <v>163</v>
      </c>
      <c r="D8209" t="s">
        <v>292</v>
      </c>
      <c r="E8209" t="s">
        <v>421</v>
      </c>
      <c r="F8209">
        <f>HYPERLINK("https://www.wikidata.org/wiki/Q33323183", "Q33323183")</f>
        <v>0</v>
      </c>
      <c r="G8209" t="s">
        <v>1030</v>
      </c>
      <c r="H8209" t="s">
        <v>5779</v>
      </c>
      <c r="I8209" t="s">
        <v>9628</v>
      </c>
      <c r="J8209" t="s">
        <v>11767</v>
      </c>
      <c r="K8209" t="s">
        <v>16168</v>
      </c>
      <c r="L8209">
        <f>HYPERLINK("https://www2.assemblee-nationale.fr/sycomore/fiche/(num_dept)/6107", "6107")</f>
        <v>0</v>
      </c>
      <c r="N8209">
        <f>HYPERLINK("https://www.wikidata.org/wiki/Q2410604", "Q2410604")</f>
        <v>0</v>
      </c>
      <c r="O8209" t="s">
        <v>19969</v>
      </c>
      <c r="P8209" t="s">
        <v>20515</v>
      </c>
      <c r="Q8209" t="s">
        <v>20934</v>
      </c>
      <c r="R8209" t="s">
        <v>421</v>
      </c>
      <c r="S8209">
        <v>1486</v>
      </c>
    </row>
    <row r="8210" spans="1:19">
      <c r="A8210" t="s">
        <v>31</v>
      </c>
      <c r="B8210" t="s">
        <v>148</v>
      </c>
      <c r="C8210" t="s">
        <v>163</v>
      </c>
      <c r="D8210" t="s">
        <v>292</v>
      </c>
      <c r="E8210" t="s">
        <v>421</v>
      </c>
      <c r="F8210">
        <f>HYPERLINK("https://www.wikidata.org/wiki/Q33323183", "Q33323183")</f>
        <v>0</v>
      </c>
      <c r="G8210" t="s">
        <v>4135</v>
      </c>
      <c r="H8210" t="s">
        <v>8340</v>
      </c>
      <c r="I8210" t="s">
        <v>11129</v>
      </c>
      <c r="J8210" t="s">
        <v>14666</v>
      </c>
      <c r="K8210" t="s">
        <v>19003</v>
      </c>
      <c r="L8210">
        <f>HYPERLINK("https://www2.assemblee-nationale.fr/sycomore/fiche/(num_dept)/6109", "6109")</f>
        <v>0</v>
      </c>
      <c r="M8210">
        <f>HYPERLINK("https://www.senat.fr/senateur-3eme-republique/rouby_hippolyte0467r3.html", "rouby_hippolyte0467r3")</f>
        <v>0</v>
      </c>
      <c r="N8210">
        <f>HYPERLINK("https://www.wikidata.org/wiki/Q3136121", "Q3136121")</f>
        <v>0</v>
      </c>
      <c r="O8210" t="s">
        <v>20020</v>
      </c>
      <c r="Q8210" t="s">
        <v>20934</v>
      </c>
      <c r="R8210" t="s">
        <v>21627</v>
      </c>
      <c r="S8210">
        <v>431</v>
      </c>
    </row>
    <row r="8211" spans="1:19">
      <c r="A8211" t="s">
        <v>31</v>
      </c>
      <c r="B8211" t="s">
        <v>148</v>
      </c>
      <c r="C8211" t="s">
        <v>163</v>
      </c>
      <c r="D8211" t="s">
        <v>292</v>
      </c>
      <c r="E8211" t="s">
        <v>421</v>
      </c>
      <c r="F8211">
        <f>HYPERLINK("https://www.wikidata.org/wiki/Q33323183", "Q33323183")</f>
        <v>0</v>
      </c>
      <c r="G8211" t="s">
        <v>773</v>
      </c>
      <c r="H8211" t="s">
        <v>5531</v>
      </c>
      <c r="I8211" t="s">
        <v>9519</v>
      </c>
      <c r="J8211" t="s">
        <v>11520</v>
      </c>
      <c r="K8211" t="s">
        <v>15924</v>
      </c>
      <c r="L8211">
        <f>HYPERLINK("https://www2.assemblee-nationale.fr/sycomore/fiche/(num_dept)/6118", "6118")</f>
        <v>0</v>
      </c>
      <c r="N8211">
        <f>HYPERLINK("https://www.wikidata.org/wiki/Q16026452", "Q16026452")</f>
        <v>0</v>
      </c>
      <c r="O8211" t="s">
        <v>20021</v>
      </c>
      <c r="P8211" t="s">
        <v>20401</v>
      </c>
      <c r="Q8211" t="s">
        <v>20934</v>
      </c>
      <c r="R8211" t="s">
        <v>421</v>
      </c>
      <c r="S8211">
        <v>1486</v>
      </c>
    </row>
    <row r="8212" spans="1:19">
      <c r="A8212" t="s">
        <v>31</v>
      </c>
      <c r="B8212" t="s">
        <v>148</v>
      </c>
      <c r="C8212" t="s">
        <v>163</v>
      </c>
      <c r="D8212" t="s">
        <v>292</v>
      </c>
      <c r="E8212" t="s">
        <v>421</v>
      </c>
      <c r="F8212">
        <f>HYPERLINK("https://www.wikidata.org/wiki/Q33323183", "Q33323183")</f>
        <v>0</v>
      </c>
      <c r="G8212" t="s">
        <v>4136</v>
      </c>
      <c r="H8212" t="s">
        <v>8341</v>
      </c>
      <c r="I8212" t="s">
        <v>6584</v>
      </c>
      <c r="J8212" t="s">
        <v>11772</v>
      </c>
      <c r="K8212" t="s">
        <v>16224</v>
      </c>
      <c r="L8212">
        <f>HYPERLINK("https://www2.assemblee-nationale.fr/sycomore/fiche/(num_dept)/6134", "6134")</f>
        <v>0</v>
      </c>
      <c r="M8212">
        <f>HYPERLINK("https://www.senat.fr/senateur-3eme-republique/rouse_albert1671r3.html", "rouse_albert1671r3")</f>
        <v>0</v>
      </c>
      <c r="N8212">
        <f>HYPERLINK("https://www.wikidata.org/wiki/Q2831515", "Q2831515")</f>
        <v>0</v>
      </c>
      <c r="O8212" t="s">
        <v>20012</v>
      </c>
      <c r="P8212" t="s">
        <v>20401</v>
      </c>
      <c r="Q8212" t="s">
        <v>20934</v>
      </c>
      <c r="R8212" t="s">
        <v>21625</v>
      </c>
      <c r="S8212">
        <v>991</v>
      </c>
    </row>
    <row r="8213" spans="1:19">
      <c r="A8213" t="s">
        <v>31</v>
      </c>
      <c r="B8213" t="s">
        <v>148</v>
      </c>
      <c r="C8213" t="s">
        <v>163</v>
      </c>
      <c r="D8213" t="s">
        <v>292</v>
      </c>
      <c r="E8213" t="s">
        <v>421</v>
      </c>
      <c r="F8213">
        <f>HYPERLINK("https://www.wikidata.org/wiki/Q33323183", "Q33323183")</f>
        <v>0</v>
      </c>
      <c r="G8213" t="s">
        <v>1032</v>
      </c>
      <c r="H8213" t="s">
        <v>5781</v>
      </c>
      <c r="I8213" t="s">
        <v>9457</v>
      </c>
      <c r="J8213" t="s">
        <v>11769</v>
      </c>
      <c r="K8213" t="s">
        <v>16170</v>
      </c>
      <c r="L8213">
        <f>HYPERLINK("https://www2.assemblee-nationale.fr/sycomore/fiche/(num_dept)/6171", "6171")</f>
        <v>0</v>
      </c>
      <c r="M8213">
        <f>HYPERLINK("https://www.senat.fr/senateur-3eme-republique/roy_henri0510r3.html", "roy_henri0510r3")</f>
        <v>0</v>
      </c>
      <c r="N8213">
        <f>HYPERLINK("https://www.wikidata.org/wiki/Q3131955", "Q3131955")</f>
        <v>0</v>
      </c>
      <c r="O8213" t="s">
        <v>19958</v>
      </c>
      <c r="P8213" t="s">
        <v>20489</v>
      </c>
      <c r="Q8213" t="s">
        <v>20934</v>
      </c>
      <c r="R8213" t="s">
        <v>421</v>
      </c>
      <c r="S8213">
        <v>1486</v>
      </c>
    </row>
    <row r="8214" spans="1:19">
      <c r="A8214" t="s">
        <v>31</v>
      </c>
      <c r="B8214" t="s">
        <v>148</v>
      </c>
      <c r="C8214" t="s">
        <v>163</v>
      </c>
      <c r="D8214" t="s">
        <v>292</v>
      </c>
      <c r="E8214" t="s">
        <v>421</v>
      </c>
      <c r="F8214">
        <f>HYPERLINK("https://www.wikidata.org/wiki/Q33323183", "Q33323183")</f>
        <v>0</v>
      </c>
      <c r="G8214" t="s">
        <v>1033</v>
      </c>
      <c r="H8214" t="s">
        <v>5782</v>
      </c>
      <c r="I8214" t="s">
        <v>9630</v>
      </c>
      <c r="J8214" t="s">
        <v>11770</v>
      </c>
      <c r="K8214" t="s">
        <v>16171</v>
      </c>
      <c r="L8214">
        <f>HYPERLINK("https://www2.assemblee-nationale.fr/sycomore/fiche/(num_dept)/6179", "6179")</f>
        <v>0</v>
      </c>
      <c r="N8214">
        <f>HYPERLINK("https://www.wikidata.org/wiki/Q13077219", "Q13077219")</f>
        <v>0</v>
      </c>
      <c r="O8214" t="s">
        <v>20022</v>
      </c>
      <c r="P8214" t="s">
        <v>20457</v>
      </c>
      <c r="Q8214" t="s">
        <v>20934</v>
      </c>
      <c r="R8214" t="s">
        <v>421</v>
      </c>
      <c r="S8214">
        <v>1486</v>
      </c>
    </row>
    <row r="8215" spans="1:19">
      <c r="A8215" t="s">
        <v>31</v>
      </c>
      <c r="B8215" t="s">
        <v>148</v>
      </c>
      <c r="C8215" t="s">
        <v>163</v>
      </c>
      <c r="D8215" t="s">
        <v>292</v>
      </c>
      <c r="E8215" t="s">
        <v>421</v>
      </c>
      <c r="F8215">
        <f>HYPERLINK("https://www.wikidata.org/wiki/Q33323183", "Q33323183")</f>
        <v>0</v>
      </c>
      <c r="G8215" t="s">
        <v>775</v>
      </c>
      <c r="H8215" t="s">
        <v>5533</v>
      </c>
      <c r="I8215" t="s">
        <v>9453</v>
      </c>
      <c r="J8215" t="s">
        <v>11522</v>
      </c>
      <c r="K8215" t="s">
        <v>15926</v>
      </c>
      <c r="L8215">
        <f>HYPERLINK("https://www2.assemblee-nationale.fr/sycomore/fiche/(num_dept)/6180", "6180")</f>
        <v>0</v>
      </c>
      <c r="N8215">
        <f>HYPERLINK("https://www.wikidata.org/wiki/Q2865323", "Q2865323")</f>
        <v>0</v>
      </c>
      <c r="O8215" t="s">
        <v>19969</v>
      </c>
      <c r="P8215" t="s">
        <v>20515</v>
      </c>
      <c r="Q8215" t="s">
        <v>20934</v>
      </c>
      <c r="R8215" t="s">
        <v>421</v>
      </c>
      <c r="S8215">
        <v>1486</v>
      </c>
    </row>
    <row r="8216" spans="1:19">
      <c r="A8216" t="s">
        <v>31</v>
      </c>
      <c r="B8216" t="s">
        <v>148</v>
      </c>
      <c r="C8216" t="s">
        <v>163</v>
      </c>
      <c r="D8216" t="s">
        <v>292</v>
      </c>
      <c r="E8216" t="s">
        <v>421</v>
      </c>
      <c r="F8216">
        <f>HYPERLINK("https://www.wikidata.org/wiki/Q33323183", "Q33323183")</f>
        <v>0</v>
      </c>
      <c r="G8216" t="s">
        <v>776</v>
      </c>
      <c r="H8216" t="s">
        <v>5534</v>
      </c>
      <c r="I8216" t="s">
        <v>9407</v>
      </c>
      <c r="J8216" t="s">
        <v>11523</v>
      </c>
      <c r="K8216" t="s">
        <v>15927</v>
      </c>
      <c r="L8216">
        <f>HYPERLINK("https://www2.assemblee-nationale.fr/sycomore/fiche/(num_dept)/6182", "6182")</f>
        <v>0</v>
      </c>
      <c r="N8216">
        <f>HYPERLINK("https://www.wikidata.org/wiki/Q3185595", "Q3185595")</f>
        <v>0</v>
      </c>
      <c r="O8216" t="s">
        <v>20016</v>
      </c>
      <c r="P8216" t="s">
        <v>20401</v>
      </c>
      <c r="Q8216" t="s">
        <v>20934</v>
      </c>
      <c r="R8216" t="s">
        <v>421</v>
      </c>
      <c r="S8216">
        <v>1486</v>
      </c>
    </row>
    <row r="8217" spans="1:19">
      <c r="A8217" t="s">
        <v>31</v>
      </c>
      <c r="B8217" t="s">
        <v>148</v>
      </c>
      <c r="C8217" t="s">
        <v>163</v>
      </c>
      <c r="D8217" t="s">
        <v>292</v>
      </c>
      <c r="E8217" t="s">
        <v>421</v>
      </c>
      <c r="F8217">
        <f>HYPERLINK("https://www.wikidata.org/wiki/Q33323183", "Q33323183")</f>
        <v>0</v>
      </c>
      <c r="G8217" t="s">
        <v>4084</v>
      </c>
      <c r="H8217" t="s">
        <v>8299</v>
      </c>
      <c r="I8217" t="s">
        <v>11101</v>
      </c>
      <c r="J8217" t="s">
        <v>14623</v>
      </c>
      <c r="K8217" t="s">
        <v>18958</v>
      </c>
      <c r="L8217">
        <f>HYPERLINK("https://www2.assemblee-nationale.fr/sycomore/fiche/(num_dept)/6186", "6186")</f>
        <v>0</v>
      </c>
      <c r="N8217">
        <f>HYPERLINK("https://www.wikidata.org/wiki/Q8329157", "Q8329157")</f>
        <v>0</v>
      </c>
      <c r="O8217" t="s">
        <v>19976</v>
      </c>
      <c r="P8217" t="s">
        <v>20410</v>
      </c>
      <c r="Q8217" t="s">
        <v>20934</v>
      </c>
      <c r="R8217" t="s">
        <v>421</v>
      </c>
      <c r="S8217">
        <v>1486</v>
      </c>
    </row>
    <row r="8218" spans="1:19">
      <c r="A8218" t="s">
        <v>31</v>
      </c>
      <c r="B8218" t="s">
        <v>148</v>
      </c>
      <c r="C8218" t="s">
        <v>163</v>
      </c>
      <c r="D8218" t="s">
        <v>292</v>
      </c>
      <c r="E8218" t="s">
        <v>421</v>
      </c>
      <c r="F8218">
        <f>HYPERLINK("https://www.wikidata.org/wiki/Q33323183", "Q33323183")</f>
        <v>0</v>
      </c>
      <c r="G8218" t="s">
        <v>4085</v>
      </c>
      <c r="H8218" t="s">
        <v>8300</v>
      </c>
      <c r="I8218" t="s">
        <v>9638</v>
      </c>
      <c r="J8218" t="s">
        <v>14624</v>
      </c>
      <c r="K8218" t="s">
        <v>18959</v>
      </c>
      <c r="L8218">
        <f>HYPERLINK("https://www2.assemblee-nationale.fr/sycomore/fiche/(num_dept)/6196", "6196")</f>
        <v>0</v>
      </c>
      <c r="M8218">
        <f>HYPERLINK("https://www.senat.fr/senateur-3eme-republique/sabaterie_pierre_jean0994r3.html", "sabaterie_pierre_jean0994r3")</f>
        <v>0</v>
      </c>
      <c r="N8218">
        <f>HYPERLINK("https://www.wikidata.org/wiki/Q3383181", "Q3383181")</f>
        <v>0</v>
      </c>
      <c r="O8218" t="s">
        <v>20005</v>
      </c>
      <c r="P8218" t="s">
        <v>20401</v>
      </c>
      <c r="Q8218" t="s">
        <v>20934</v>
      </c>
      <c r="R8218" t="s">
        <v>21625</v>
      </c>
      <c r="S8218">
        <v>991</v>
      </c>
    </row>
    <row r="8219" spans="1:19">
      <c r="A8219" t="s">
        <v>31</v>
      </c>
      <c r="B8219" t="s">
        <v>148</v>
      </c>
      <c r="C8219" t="s">
        <v>163</v>
      </c>
      <c r="D8219" t="s">
        <v>292</v>
      </c>
      <c r="E8219" t="s">
        <v>421</v>
      </c>
      <c r="F8219">
        <f>HYPERLINK("https://www.wikidata.org/wiki/Q33323183", "Q33323183")</f>
        <v>0</v>
      </c>
      <c r="G8219" t="s">
        <v>4086</v>
      </c>
      <c r="H8219" t="s">
        <v>8301</v>
      </c>
      <c r="I8219" t="s">
        <v>11102</v>
      </c>
      <c r="J8219" t="s">
        <v>11666</v>
      </c>
      <c r="K8219" t="s">
        <v>18960</v>
      </c>
      <c r="L8219">
        <f>HYPERLINK("https://www2.assemblee-nationale.fr/sycomore/fiche/(num_dept)/6227", "6227")</f>
        <v>0</v>
      </c>
      <c r="N8219">
        <f>HYPERLINK("https://www.wikidata.org/wiki/Q8298112", "Q8298112")</f>
        <v>0</v>
      </c>
      <c r="O8219" t="s">
        <v>19971</v>
      </c>
      <c r="P8219" t="s">
        <v>20410</v>
      </c>
      <c r="Q8219" t="s">
        <v>20934</v>
      </c>
      <c r="R8219" t="s">
        <v>421</v>
      </c>
      <c r="S8219">
        <v>1486</v>
      </c>
    </row>
    <row r="8220" spans="1:19">
      <c r="A8220" t="s">
        <v>31</v>
      </c>
      <c r="B8220" t="s">
        <v>148</v>
      </c>
      <c r="C8220" t="s">
        <v>163</v>
      </c>
      <c r="D8220" t="s">
        <v>292</v>
      </c>
      <c r="E8220" t="s">
        <v>421</v>
      </c>
      <c r="F8220">
        <f>HYPERLINK("https://www.wikidata.org/wiki/Q33323183", "Q33323183")</f>
        <v>0</v>
      </c>
      <c r="G8220" t="s">
        <v>778</v>
      </c>
      <c r="H8220" t="s">
        <v>5536</v>
      </c>
      <c r="I8220" t="s">
        <v>6584</v>
      </c>
      <c r="J8220" t="s">
        <v>11525</v>
      </c>
      <c r="K8220" t="s">
        <v>15929</v>
      </c>
      <c r="L8220">
        <f>HYPERLINK("https://www2.assemblee-nationale.fr/sycomore/fiche/(num_dept)/6293", "6293")</f>
        <v>0</v>
      </c>
      <c r="M8220">
        <f>HYPERLINK("https://www.senat.fr/senateur-3eme-republique/sarraut_albert0265r3.html", "sarraut_albert0265r3")</f>
        <v>0</v>
      </c>
      <c r="N8220">
        <f>HYPERLINK("https://www.wikidata.org/wiki/Q460318", "Q460318")</f>
        <v>0</v>
      </c>
      <c r="O8220" t="s">
        <v>19960</v>
      </c>
      <c r="P8220" t="s">
        <v>20489</v>
      </c>
      <c r="Q8220" t="s">
        <v>20934</v>
      </c>
      <c r="R8220" t="s">
        <v>421</v>
      </c>
      <c r="S8220">
        <v>1486</v>
      </c>
    </row>
    <row r="8221" spans="1:19">
      <c r="A8221" t="s">
        <v>31</v>
      </c>
      <c r="B8221" t="s">
        <v>148</v>
      </c>
      <c r="C8221" t="s">
        <v>163</v>
      </c>
      <c r="D8221" t="s">
        <v>292</v>
      </c>
      <c r="E8221" t="s">
        <v>421</v>
      </c>
      <c r="F8221">
        <f>HYPERLINK("https://www.wikidata.org/wiki/Q33323183", "Q33323183")</f>
        <v>0</v>
      </c>
      <c r="G8221" t="s">
        <v>2659</v>
      </c>
      <c r="H8221" t="s">
        <v>7199</v>
      </c>
      <c r="I8221" t="s">
        <v>9376</v>
      </c>
      <c r="J8221" t="s">
        <v>13300</v>
      </c>
      <c r="K8221" t="s">
        <v>17700</v>
      </c>
      <c r="L8221">
        <f>HYPERLINK("https://www2.assemblee-nationale.fr/sycomore/fiche/(num_dept)/6297", "6297")</f>
        <v>0</v>
      </c>
      <c r="M8221">
        <f>HYPERLINK("https://www.senat.fr/senateur-3eme-republique/sarrien_ferdinand1219r3.html", "sarrien_ferdinand1219r3")</f>
        <v>0</v>
      </c>
      <c r="N8221">
        <f>HYPERLINK("https://www.wikidata.org/wiki/Q718698", "Q718698")</f>
        <v>0</v>
      </c>
      <c r="O8221" t="s">
        <v>19994</v>
      </c>
      <c r="P8221" t="s">
        <v>20401</v>
      </c>
      <c r="Q8221" t="s">
        <v>20934</v>
      </c>
      <c r="R8221" t="s">
        <v>19449</v>
      </c>
      <c r="S8221">
        <v>915</v>
      </c>
    </row>
    <row r="8222" spans="1:19">
      <c r="A8222" t="s">
        <v>31</v>
      </c>
      <c r="B8222" t="s">
        <v>148</v>
      </c>
      <c r="C8222" t="s">
        <v>163</v>
      </c>
      <c r="D8222" t="s">
        <v>292</v>
      </c>
      <c r="E8222" t="s">
        <v>421</v>
      </c>
      <c r="F8222">
        <f>HYPERLINK("https://www.wikidata.org/wiki/Q33323183", "Q33323183")</f>
        <v>0</v>
      </c>
      <c r="G8222" t="s">
        <v>779</v>
      </c>
      <c r="H8222" t="s">
        <v>5537</v>
      </c>
      <c r="I8222" t="s">
        <v>6175</v>
      </c>
      <c r="J8222" t="s">
        <v>11526</v>
      </c>
      <c r="K8222" t="s">
        <v>15930</v>
      </c>
      <c r="L8222">
        <f>HYPERLINK("https://www2.assemblee-nationale.fr/sycomore/fiche/(num_dept)/6306", "6306")</f>
        <v>0</v>
      </c>
      <c r="N8222">
        <f>HYPERLINK("https://www.wikidata.org/wiki/Q16026484", "Q16026484")</f>
        <v>0</v>
      </c>
      <c r="O8222" t="s">
        <v>20010</v>
      </c>
      <c r="P8222" t="s">
        <v>20402</v>
      </c>
      <c r="Q8222" t="s">
        <v>20934</v>
      </c>
      <c r="R8222" t="s">
        <v>421</v>
      </c>
      <c r="S8222">
        <v>1486</v>
      </c>
    </row>
    <row r="8223" spans="1:19">
      <c r="A8223" t="s">
        <v>31</v>
      </c>
      <c r="B8223" t="s">
        <v>148</v>
      </c>
      <c r="C8223" t="s">
        <v>163</v>
      </c>
      <c r="D8223" t="s">
        <v>292</v>
      </c>
      <c r="E8223" t="s">
        <v>421</v>
      </c>
      <c r="F8223">
        <f>HYPERLINK("https://www.wikidata.org/wiki/Q33323183", "Q33323183")</f>
        <v>0</v>
      </c>
      <c r="G8223" t="s">
        <v>780</v>
      </c>
      <c r="H8223" t="s">
        <v>5538</v>
      </c>
      <c r="I8223" t="s">
        <v>9449</v>
      </c>
      <c r="J8223" t="s">
        <v>11527</v>
      </c>
      <c r="K8223" t="s">
        <v>15931</v>
      </c>
      <c r="L8223">
        <f>HYPERLINK("https://www2.assemblee-nationale.fr/sycomore/fiche/(num_dept)/6319", "6319")</f>
        <v>0</v>
      </c>
      <c r="N8223">
        <f>HYPERLINK("https://www.wikidata.org/wiki/Q16026488", "Q16026488")</f>
        <v>0</v>
      </c>
      <c r="O8223" t="s">
        <v>19960</v>
      </c>
      <c r="P8223" t="s">
        <v>20489</v>
      </c>
      <c r="Q8223" t="s">
        <v>20934</v>
      </c>
      <c r="R8223" t="s">
        <v>421</v>
      </c>
      <c r="S8223">
        <v>1486</v>
      </c>
    </row>
    <row r="8224" spans="1:19">
      <c r="A8224" t="s">
        <v>31</v>
      </c>
      <c r="B8224" t="s">
        <v>148</v>
      </c>
      <c r="C8224" t="s">
        <v>163</v>
      </c>
      <c r="D8224" t="s">
        <v>292</v>
      </c>
      <c r="E8224" t="s">
        <v>421</v>
      </c>
      <c r="F8224">
        <f>HYPERLINK("https://www.wikidata.org/wiki/Q33323183", "Q33323183")</f>
        <v>0</v>
      </c>
      <c r="G8224" t="s">
        <v>782</v>
      </c>
      <c r="H8224" t="s">
        <v>5282</v>
      </c>
      <c r="I8224" t="s">
        <v>9521</v>
      </c>
      <c r="J8224" t="s">
        <v>11529</v>
      </c>
      <c r="K8224" t="s">
        <v>15933</v>
      </c>
      <c r="L8224">
        <f>HYPERLINK("https://www2.assemblee-nationale.fr/sycomore/fiche/(num_dept)/6324", "6324")</f>
        <v>0</v>
      </c>
      <c r="N8224">
        <f>HYPERLINK("https://www.wikidata.org/wiki/Q3133056", "Q3133056")</f>
        <v>0</v>
      </c>
      <c r="O8224" t="s">
        <v>20021</v>
      </c>
      <c r="P8224" t="s">
        <v>20410</v>
      </c>
      <c r="Q8224" t="s">
        <v>20934</v>
      </c>
      <c r="R8224" t="s">
        <v>421</v>
      </c>
      <c r="S8224">
        <v>1486</v>
      </c>
    </row>
    <row r="8225" spans="1:19">
      <c r="A8225" t="s">
        <v>31</v>
      </c>
      <c r="B8225" t="s">
        <v>148</v>
      </c>
      <c r="C8225" t="s">
        <v>163</v>
      </c>
      <c r="D8225" t="s">
        <v>292</v>
      </c>
      <c r="E8225" t="s">
        <v>421</v>
      </c>
      <c r="F8225">
        <f>HYPERLINK("https://www.wikidata.org/wiki/Q33323183", "Q33323183")</f>
        <v>0</v>
      </c>
      <c r="G8225" t="s">
        <v>783</v>
      </c>
      <c r="H8225" t="s">
        <v>5540</v>
      </c>
      <c r="I8225" t="s">
        <v>9385</v>
      </c>
      <c r="J8225" t="s">
        <v>11530</v>
      </c>
      <c r="K8225" t="s">
        <v>15934</v>
      </c>
      <c r="L8225">
        <f>HYPERLINK("https://www2.assemblee-nationale.fr/sycomore/fiche/(num_dept)/6350", "6350")</f>
        <v>0</v>
      </c>
      <c r="N8225">
        <f>HYPERLINK("https://www.wikidata.org/wiki/Q2960201", "Q2960201")</f>
        <v>0</v>
      </c>
      <c r="O8225" t="s">
        <v>20040</v>
      </c>
      <c r="P8225" t="s">
        <v>20489</v>
      </c>
      <c r="Q8225" t="s">
        <v>20934</v>
      </c>
      <c r="R8225" t="s">
        <v>421</v>
      </c>
      <c r="S8225">
        <v>1486</v>
      </c>
    </row>
    <row r="8226" spans="1:19">
      <c r="A8226" t="s">
        <v>31</v>
      </c>
      <c r="B8226" t="s">
        <v>148</v>
      </c>
      <c r="C8226" t="s">
        <v>163</v>
      </c>
      <c r="D8226" t="s">
        <v>292</v>
      </c>
      <c r="E8226" t="s">
        <v>421</v>
      </c>
      <c r="F8226">
        <f>HYPERLINK("https://www.wikidata.org/wiki/Q33323183", "Q33323183")</f>
        <v>0</v>
      </c>
      <c r="G8226" t="s">
        <v>3937</v>
      </c>
      <c r="H8226" t="s">
        <v>5540</v>
      </c>
      <c r="I8226" t="s">
        <v>9465</v>
      </c>
      <c r="J8226" t="s">
        <v>14491</v>
      </c>
      <c r="K8226" t="s">
        <v>18839</v>
      </c>
      <c r="L8226">
        <f>HYPERLINK("https://www2.assemblee-nationale.fr/sycomore/fiche/(num_dept)/6351", "6351")</f>
        <v>0</v>
      </c>
      <c r="N8226">
        <f>HYPERLINK("https://www.wikidata.org/wiki/Q3059938", "Q3059938")</f>
        <v>0</v>
      </c>
      <c r="O8226" t="s">
        <v>19994</v>
      </c>
      <c r="P8226" t="s">
        <v>20410</v>
      </c>
      <c r="Q8226" t="s">
        <v>20934</v>
      </c>
      <c r="R8226" t="s">
        <v>421</v>
      </c>
      <c r="S8226">
        <v>1486</v>
      </c>
    </row>
    <row r="8227" spans="1:19">
      <c r="A8227" t="s">
        <v>31</v>
      </c>
      <c r="B8227" t="s">
        <v>148</v>
      </c>
      <c r="C8227" t="s">
        <v>163</v>
      </c>
      <c r="D8227" t="s">
        <v>292</v>
      </c>
      <c r="E8227" t="s">
        <v>421</v>
      </c>
      <c r="F8227">
        <f>HYPERLINK("https://www.wikidata.org/wiki/Q33323183", "Q33323183")</f>
        <v>0</v>
      </c>
      <c r="G8227" t="s">
        <v>785</v>
      </c>
      <c r="H8227" t="s">
        <v>5542</v>
      </c>
      <c r="I8227" t="s">
        <v>9522</v>
      </c>
      <c r="J8227" t="s">
        <v>11532</v>
      </c>
      <c r="K8227" t="s">
        <v>15936</v>
      </c>
      <c r="L8227">
        <f>HYPERLINK("https://www2.assemblee-nationale.fr/sycomore/fiche/(num_dept)/6376", "6376")</f>
        <v>0</v>
      </c>
      <c r="N8227">
        <f>HYPERLINK("https://www.wikidata.org/wiki/Q16026494", "Q16026494")</f>
        <v>0</v>
      </c>
      <c r="O8227" t="s">
        <v>20013</v>
      </c>
      <c r="P8227" t="s">
        <v>20515</v>
      </c>
      <c r="Q8227" t="s">
        <v>20934</v>
      </c>
      <c r="R8227" t="s">
        <v>421</v>
      </c>
      <c r="S8227">
        <v>1486</v>
      </c>
    </row>
    <row r="8228" spans="1:19">
      <c r="A8228" t="s">
        <v>31</v>
      </c>
      <c r="B8228" t="s">
        <v>148</v>
      </c>
      <c r="C8228" t="s">
        <v>163</v>
      </c>
      <c r="D8228" t="s">
        <v>292</v>
      </c>
      <c r="E8228" t="s">
        <v>421</v>
      </c>
      <c r="F8228">
        <f>HYPERLINK("https://www.wikidata.org/wiki/Q33323183", "Q33323183")</f>
        <v>0</v>
      </c>
      <c r="G8228" t="s">
        <v>786</v>
      </c>
      <c r="H8228" t="s">
        <v>5543</v>
      </c>
      <c r="I8228" t="s">
        <v>9523</v>
      </c>
      <c r="J8228" t="s">
        <v>11533</v>
      </c>
      <c r="K8228" t="s">
        <v>15937</v>
      </c>
      <c r="L8228">
        <f>HYPERLINK("https://www2.assemblee-nationale.fr/sycomore/fiche/(num_dept)/6379", "6379")</f>
        <v>0</v>
      </c>
      <c r="N8228">
        <f>HYPERLINK("https://www.wikidata.org/wiki/Q2019775", "Q2019775")</f>
        <v>0</v>
      </c>
      <c r="O8228" t="s">
        <v>19969</v>
      </c>
      <c r="P8228" t="s">
        <v>20515</v>
      </c>
      <c r="Q8228" t="s">
        <v>20934</v>
      </c>
      <c r="R8228" t="s">
        <v>421</v>
      </c>
      <c r="S8228">
        <v>1486</v>
      </c>
    </row>
    <row r="8229" spans="1:19">
      <c r="A8229" t="s">
        <v>31</v>
      </c>
      <c r="B8229" t="s">
        <v>148</v>
      </c>
      <c r="C8229" t="s">
        <v>163</v>
      </c>
      <c r="D8229" t="s">
        <v>292</v>
      </c>
      <c r="E8229" t="s">
        <v>421</v>
      </c>
      <c r="F8229">
        <f>HYPERLINK("https://www.wikidata.org/wiki/Q33323183", "Q33323183")</f>
        <v>0</v>
      </c>
      <c r="G8229" t="s">
        <v>4087</v>
      </c>
      <c r="H8229" t="s">
        <v>6287</v>
      </c>
      <c r="I8229" t="s">
        <v>11103</v>
      </c>
      <c r="J8229" t="s">
        <v>14625</v>
      </c>
      <c r="K8229" t="s">
        <v>18961</v>
      </c>
      <c r="L8229">
        <f>HYPERLINK("https://www2.assemblee-nationale.fr/sycomore/fiche/(num_dept)/6382", "6382")</f>
        <v>0</v>
      </c>
      <c r="N8229">
        <f>HYPERLINK("https://www.wikidata.org/wiki/Q16026495", "Q16026495")</f>
        <v>0</v>
      </c>
      <c r="O8229" t="s">
        <v>20045</v>
      </c>
      <c r="P8229" t="s">
        <v>20489</v>
      </c>
      <c r="Q8229" t="s">
        <v>20934</v>
      </c>
      <c r="R8229" t="s">
        <v>421</v>
      </c>
      <c r="S8229">
        <v>1486</v>
      </c>
    </row>
    <row r="8230" spans="1:19">
      <c r="A8230" t="s">
        <v>31</v>
      </c>
      <c r="B8230" t="s">
        <v>148</v>
      </c>
      <c r="C8230" t="s">
        <v>163</v>
      </c>
      <c r="D8230" t="s">
        <v>292</v>
      </c>
      <c r="E8230" t="s">
        <v>421</v>
      </c>
      <c r="F8230">
        <f>HYPERLINK("https://www.wikidata.org/wiki/Q33323183", "Q33323183")</f>
        <v>0</v>
      </c>
      <c r="G8230" t="s">
        <v>787</v>
      </c>
      <c r="H8230" t="s">
        <v>5544</v>
      </c>
      <c r="I8230" t="s">
        <v>6941</v>
      </c>
      <c r="J8230" t="s">
        <v>11534</v>
      </c>
      <c r="K8230" t="s">
        <v>15938</v>
      </c>
      <c r="L8230">
        <f>HYPERLINK("https://www2.assemblee-nationale.fr/sycomore/fiche/(num_dept)/6407", "6407")</f>
        <v>0</v>
      </c>
      <c r="M8230">
        <f>HYPERLINK("https://www.senat.fr/senateur-3eme-republique/de_pomereu_michel1598r3.html", "de_pomereu_michel1598r3")</f>
        <v>0</v>
      </c>
      <c r="N8230">
        <f>HYPERLINK("https://www.wikidata.org/wiki/Q3436712", "Q3436712")</f>
        <v>0</v>
      </c>
      <c r="O8230" t="s">
        <v>19978</v>
      </c>
      <c r="P8230" t="s">
        <v>20410</v>
      </c>
      <c r="Q8230" t="s">
        <v>20934</v>
      </c>
      <c r="R8230" t="s">
        <v>421</v>
      </c>
      <c r="S8230">
        <v>1486</v>
      </c>
    </row>
    <row r="8231" spans="1:19">
      <c r="A8231" t="s">
        <v>31</v>
      </c>
      <c r="B8231" t="s">
        <v>148</v>
      </c>
      <c r="C8231" t="s">
        <v>163</v>
      </c>
      <c r="D8231" t="s">
        <v>292</v>
      </c>
      <c r="E8231" t="s">
        <v>421</v>
      </c>
      <c r="F8231">
        <f>HYPERLINK("https://www.wikidata.org/wiki/Q33323183", "Q33323183")</f>
        <v>0</v>
      </c>
      <c r="G8231" t="s">
        <v>788</v>
      </c>
      <c r="H8231" t="s">
        <v>5545</v>
      </c>
      <c r="I8231" t="s">
        <v>6175</v>
      </c>
      <c r="J8231" t="s">
        <v>11535</v>
      </c>
      <c r="K8231" t="s">
        <v>15939</v>
      </c>
      <c r="L8231">
        <f>HYPERLINK("https://www2.assemblee-nationale.fr/sycomore/fiche/(num_dept)/6421", "6421")</f>
        <v>0</v>
      </c>
      <c r="N8231">
        <f>HYPERLINK("https://www.wikidata.org/wiki/Q8308559", "Q8308559")</f>
        <v>0</v>
      </c>
      <c r="O8231" t="s">
        <v>20041</v>
      </c>
      <c r="P8231" t="s">
        <v>20489</v>
      </c>
      <c r="Q8231" t="s">
        <v>20934</v>
      </c>
      <c r="R8231" t="s">
        <v>421</v>
      </c>
      <c r="S8231">
        <v>1486</v>
      </c>
    </row>
    <row r="8232" spans="1:19">
      <c r="A8232" t="s">
        <v>31</v>
      </c>
      <c r="B8232" t="s">
        <v>148</v>
      </c>
      <c r="C8232" t="s">
        <v>163</v>
      </c>
      <c r="D8232" t="s">
        <v>292</v>
      </c>
      <c r="E8232" t="s">
        <v>421</v>
      </c>
      <c r="F8232">
        <f>HYPERLINK("https://www.wikidata.org/wiki/Q33323183", "Q33323183")</f>
        <v>0</v>
      </c>
      <c r="G8232" t="s">
        <v>790</v>
      </c>
      <c r="H8232" t="s">
        <v>5547</v>
      </c>
      <c r="I8232" t="s">
        <v>6158</v>
      </c>
      <c r="J8232" t="s">
        <v>11537</v>
      </c>
      <c r="K8232" t="s">
        <v>15941</v>
      </c>
      <c r="L8232">
        <f>HYPERLINK("https://www2.assemblee-nationale.fr/sycomore/fiche/(num_dept)/6451", "6451")</f>
        <v>0</v>
      </c>
      <c r="N8232">
        <f>HYPERLINK("https://www.wikidata.org/wiki/Q3092579", "Q3092579")</f>
        <v>0</v>
      </c>
      <c r="O8232" t="s">
        <v>20024</v>
      </c>
      <c r="P8232" t="s">
        <v>20459</v>
      </c>
      <c r="Q8232" t="s">
        <v>20934</v>
      </c>
      <c r="R8232" t="s">
        <v>421</v>
      </c>
      <c r="S8232">
        <v>1486</v>
      </c>
    </row>
    <row r="8233" spans="1:19">
      <c r="A8233" t="s">
        <v>31</v>
      </c>
      <c r="B8233" t="s">
        <v>148</v>
      </c>
      <c r="C8233" t="s">
        <v>163</v>
      </c>
      <c r="D8233" t="s">
        <v>292</v>
      </c>
      <c r="E8233" t="s">
        <v>421</v>
      </c>
      <c r="F8233">
        <f>HYPERLINK("https://www.wikidata.org/wiki/Q33323183", "Q33323183")</f>
        <v>0</v>
      </c>
      <c r="G8233" t="s">
        <v>3725</v>
      </c>
      <c r="H8233" t="s">
        <v>8034</v>
      </c>
      <c r="I8233" t="s">
        <v>9388</v>
      </c>
      <c r="J8233" t="s">
        <v>14300</v>
      </c>
      <c r="K8233" t="s">
        <v>18654</v>
      </c>
      <c r="L8233">
        <f>HYPERLINK("https://www2.assemblee-nationale.fr/sycomore/fiche/(num_dept)/6459", "6459")</f>
        <v>0</v>
      </c>
      <c r="N8233">
        <f>HYPERLINK("https://www.wikidata.org/wiki/Q16026361", "Q16026361")</f>
        <v>0</v>
      </c>
      <c r="O8233" t="s">
        <v>20010</v>
      </c>
      <c r="P8233" t="s">
        <v>20457</v>
      </c>
      <c r="Q8233" t="s">
        <v>20934</v>
      </c>
      <c r="R8233" t="s">
        <v>421</v>
      </c>
      <c r="S8233">
        <v>1486</v>
      </c>
    </row>
    <row r="8234" spans="1:19">
      <c r="A8234" t="s">
        <v>31</v>
      </c>
      <c r="B8234" t="s">
        <v>148</v>
      </c>
      <c r="C8234" t="s">
        <v>163</v>
      </c>
      <c r="D8234" t="s">
        <v>292</v>
      </c>
      <c r="E8234" t="s">
        <v>421</v>
      </c>
      <c r="F8234">
        <f>HYPERLINK("https://www.wikidata.org/wiki/Q33323183", "Q33323183")</f>
        <v>0</v>
      </c>
      <c r="G8234" t="s">
        <v>4012</v>
      </c>
      <c r="H8234" t="s">
        <v>8248</v>
      </c>
      <c r="I8234" t="s">
        <v>11065</v>
      </c>
      <c r="J8234" t="s">
        <v>14556</v>
      </c>
      <c r="K8234" t="s">
        <v>18901</v>
      </c>
      <c r="L8234">
        <f>HYPERLINK("https://www2.assemblee-nationale.fr/sycomore/fiche/(num_dept)/6473", "6473")</f>
        <v>0</v>
      </c>
      <c r="N8234">
        <f>HYPERLINK("https://www.wikidata.org/wiki/Q3219459", "Q3219459")</f>
        <v>0</v>
      </c>
      <c r="O8234" t="s">
        <v>19969</v>
      </c>
      <c r="P8234" t="s">
        <v>20517</v>
      </c>
      <c r="Q8234" t="s">
        <v>20934</v>
      </c>
      <c r="R8234" t="s">
        <v>421</v>
      </c>
      <c r="S8234">
        <v>1486</v>
      </c>
    </row>
    <row r="8235" spans="1:19">
      <c r="A8235" t="s">
        <v>31</v>
      </c>
      <c r="B8235" t="s">
        <v>148</v>
      </c>
      <c r="C8235" t="s">
        <v>163</v>
      </c>
      <c r="D8235" t="s">
        <v>292</v>
      </c>
      <c r="E8235" t="s">
        <v>421</v>
      </c>
      <c r="F8235">
        <f>HYPERLINK("https://www.wikidata.org/wiki/Q33323183", "Q33323183")</f>
        <v>0</v>
      </c>
      <c r="G8235" t="s">
        <v>791</v>
      </c>
      <c r="H8235" t="s">
        <v>5548</v>
      </c>
      <c r="I8235" t="s">
        <v>9525</v>
      </c>
      <c r="J8235" t="s">
        <v>11538</v>
      </c>
      <c r="K8235" t="s">
        <v>15942</v>
      </c>
      <c r="L8235">
        <f>HYPERLINK("https://www2.assemblee-nationale.fr/sycomore/fiche/(num_dept)/6477", "6477")</f>
        <v>0</v>
      </c>
      <c r="N8235">
        <f>HYPERLINK("https://www.wikidata.org/wiki/Q15233775", "Q15233775")</f>
        <v>0</v>
      </c>
      <c r="O8235" t="s">
        <v>19970</v>
      </c>
      <c r="P8235" t="s">
        <v>20517</v>
      </c>
      <c r="Q8235" t="s">
        <v>20934</v>
      </c>
      <c r="R8235" t="s">
        <v>421</v>
      </c>
      <c r="S8235">
        <v>1486</v>
      </c>
    </row>
    <row r="8236" spans="1:19">
      <c r="A8236" t="s">
        <v>31</v>
      </c>
      <c r="B8236" t="s">
        <v>148</v>
      </c>
      <c r="C8236" t="s">
        <v>163</v>
      </c>
      <c r="D8236" t="s">
        <v>292</v>
      </c>
      <c r="E8236" t="s">
        <v>421</v>
      </c>
      <c r="F8236">
        <f>HYPERLINK("https://www.wikidata.org/wiki/Q33323183", "Q33323183")</f>
        <v>0</v>
      </c>
      <c r="G8236" t="s">
        <v>4138</v>
      </c>
      <c r="H8236" t="s">
        <v>8342</v>
      </c>
      <c r="I8236" t="s">
        <v>11130</v>
      </c>
      <c r="J8236" t="s">
        <v>14668</v>
      </c>
      <c r="K8236" t="s">
        <v>19005</v>
      </c>
      <c r="L8236">
        <f>HYPERLINK("https://www2.assemblee-nationale.fr/sycomore/fiche/(num_dept)/6493", "6493")</f>
        <v>0</v>
      </c>
      <c r="N8236">
        <f>HYPERLINK("https://www.wikidata.org/wiki/Q3081753", "Q3081753")</f>
        <v>0</v>
      </c>
      <c r="O8236" t="s">
        <v>19965</v>
      </c>
      <c r="P8236" t="s">
        <v>20515</v>
      </c>
      <c r="Q8236" t="s">
        <v>20934</v>
      </c>
      <c r="R8236" t="s">
        <v>421</v>
      </c>
      <c r="S8236">
        <v>1486</v>
      </c>
    </row>
    <row r="8237" spans="1:19">
      <c r="A8237" t="s">
        <v>31</v>
      </c>
      <c r="B8237" t="s">
        <v>148</v>
      </c>
      <c r="C8237" t="s">
        <v>163</v>
      </c>
      <c r="D8237" t="s">
        <v>292</v>
      </c>
      <c r="E8237" t="s">
        <v>421</v>
      </c>
      <c r="F8237">
        <f>HYPERLINK("https://www.wikidata.org/wiki/Q33323183", "Q33323183")</f>
        <v>0</v>
      </c>
      <c r="G8237" t="s">
        <v>792</v>
      </c>
      <c r="H8237" t="s">
        <v>5549</v>
      </c>
      <c r="I8237" t="s">
        <v>6495</v>
      </c>
      <c r="J8237" t="s">
        <v>11539</v>
      </c>
      <c r="K8237" t="s">
        <v>15943</v>
      </c>
      <c r="L8237">
        <f>HYPERLINK("https://www2.assemblee-nationale.fr/sycomore/fiche/(num_dept)/6531", "6531")</f>
        <v>0</v>
      </c>
      <c r="N8237">
        <f>HYPERLINK("https://www.wikidata.org/wiki/Q3262963", "Q3262963")</f>
        <v>0</v>
      </c>
      <c r="O8237" t="s">
        <v>19969</v>
      </c>
      <c r="P8237" t="s">
        <v>20489</v>
      </c>
      <c r="Q8237" t="s">
        <v>20934</v>
      </c>
      <c r="R8237" t="s">
        <v>421</v>
      </c>
      <c r="S8237">
        <v>1486</v>
      </c>
    </row>
    <row r="8238" spans="1:19">
      <c r="A8238" t="s">
        <v>31</v>
      </c>
      <c r="B8238" t="s">
        <v>148</v>
      </c>
      <c r="C8238" t="s">
        <v>163</v>
      </c>
      <c r="D8238" t="s">
        <v>292</v>
      </c>
      <c r="E8238" t="s">
        <v>421</v>
      </c>
      <c r="F8238">
        <f>HYPERLINK("https://www.wikidata.org/wiki/Q33323183", "Q33323183")</f>
        <v>0</v>
      </c>
      <c r="G8238" t="s">
        <v>793</v>
      </c>
      <c r="H8238" t="s">
        <v>5550</v>
      </c>
      <c r="I8238" t="s">
        <v>9526</v>
      </c>
      <c r="J8238" t="s">
        <v>11540</v>
      </c>
      <c r="K8238" t="s">
        <v>15944</v>
      </c>
      <c r="L8238">
        <f>HYPERLINK("https://www2.assemblee-nationale.fr/sycomore/fiche/(num_dept)/6535", "6535")</f>
        <v>0</v>
      </c>
      <c r="N8238">
        <f>HYPERLINK("https://www.wikidata.org/wiki/Q13089737", "Q13089737")</f>
        <v>0</v>
      </c>
      <c r="O8238" t="s">
        <v>19969</v>
      </c>
      <c r="P8238" t="s">
        <v>20495</v>
      </c>
      <c r="Q8238" t="s">
        <v>20934</v>
      </c>
      <c r="R8238" t="s">
        <v>421</v>
      </c>
      <c r="S8238">
        <v>1486</v>
      </c>
    </row>
    <row r="8239" spans="1:19">
      <c r="A8239" t="s">
        <v>31</v>
      </c>
      <c r="B8239" t="s">
        <v>148</v>
      </c>
      <c r="C8239" t="s">
        <v>163</v>
      </c>
      <c r="D8239" t="s">
        <v>292</v>
      </c>
      <c r="E8239" t="s">
        <v>421</v>
      </c>
      <c r="F8239">
        <f>HYPERLINK("https://www.wikidata.org/wiki/Q33323183", "Q33323183")</f>
        <v>0</v>
      </c>
      <c r="G8239" t="s">
        <v>794</v>
      </c>
      <c r="H8239" t="s">
        <v>5551</v>
      </c>
      <c r="I8239" t="s">
        <v>6495</v>
      </c>
      <c r="J8239" t="s">
        <v>11541</v>
      </c>
      <c r="K8239" t="s">
        <v>15945</v>
      </c>
      <c r="L8239">
        <f>HYPERLINK("https://www2.assemblee-nationale.fr/sycomore/fiche/(num_dept)/6551", "6551")</f>
        <v>0</v>
      </c>
      <c r="M8239">
        <f>HYPERLINK("https://www.senat.fr/senateur-3eme-republique/quesnel_louis1575r3.html", "quesnel_louis1575r3")</f>
        <v>0</v>
      </c>
      <c r="N8239">
        <f>HYPERLINK("https://www.wikidata.org/wiki/Q3262977", "Q3262977")</f>
        <v>0</v>
      </c>
      <c r="O8239" t="s">
        <v>19978</v>
      </c>
      <c r="P8239" t="s">
        <v>20517</v>
      </c>
      <c r="Q8239" t="s">
        <v>20934</v>
      </c>
      <c r="R8239" t="s">
        <v>421</v>
      </c>
      <c r="S8239">
        <v>1486</v>
      </c>
    </row>
    <row r="8240" spans="1:19">
      <c r="A8240" t="s">
        <v>31</v>
      </c>
      <c r="B8240" t="s">
        <v>148</v>
      </c>
      <c r="C8240" t="s">
        <v>163</v>
      </c>
      <c r="D8240" t="s">
        <v>292</v>
      </c>
      <c r="E8240" t="s">
        <v>421</v>
      </c>
      <c r="F8240">
        <f>HYPERLINK("https://www.wikidata.org/wiki/Q33323183", "Q33323183")</f>
        <v>0</v>
      </c>
      <c r="G8240" t="s">
        <v>795</v>
      </c>
      <c r="H8240" t="s">
        <v>5552</v>
      </c>
      <c r="I8240" t="s">
        <v>9421</v>
      </c>
      <c r="J8240" t="s">
        <v>11542</v>
      </c>
      <c r="K8240" t="s">
        <v>15946</v>
      </c>
      <c r="L8240">
        <f>HYPERLINK("https://www2.assemblee-nationale.fr/sycomore/fiche/(num_dept)/6556", "6556")</f>
        <v>0</v>
      </c>
      <c r="N8240">
        <f>HYPERLINK("https://www.wikidata.org/wiki/Q16026386", "Q16026386")</f>
        <v>0</v>
      </c>
      <c r="O8240" t="s">
        <v>19978</v>
      </c>
      <c r="P8240" t="s">
        <v>20517</v>
      </c>
      <c r="Q8240" t="s">
        <v>20934</v>
      </c>
      <c r="R8240" t="s">
        <v>421</v>
      </c>
      <c r="S8240">
        <v>1486</v>
      </c>
    </row>
    <row r="8241" spans="1:19">
      <c r="A8241" t="s">
        <v>31</v>
      </c>
      <c r="B8241" t="s">
        <v>148</v>
      </c>
      <c r="C8241" t="s">
        <v>163</v>
      </c>
      <c r="D8241" t="s">
        <v>292</v>
      </c>
      <c r="E8241" t="s">
        <v>421</v>
      </c>
      <c r="F8241">
        <f>HYPERLINK("https://www.wikidata.org/wiki/Q33323183", "Q33323183")</f>
        <v>0</v>
      </c>
      <c r="G8241" t="s">
        <v>796</v>
      </c>
      <c r="H8241" t="s">
        <v>5553</v>
      </c>
      <c r="I8241" t="s">
        <v>9527</v>
      </c>
      <c r="J8241" t="s">
        <v>11543</v>
      </c>
      <c r="K8241" t="s">
        <v>15947</v>
      </c>
      <c r="L8241">
        <f>HYPERLINK("https://www2.assemblee-nationale.fr/sycomore/fiche/(num_dept)/6567", "6567")</f>
        <v>0</v>
      </c>
      <c r="M8241">
        <f>HYPERLINK("https://www.senat.fr/senateur-3eme-republique/rabier_fernand0501r3.html", "rabier_fernand0501r3")</f>
        <v>0</v>
      </c>
      <c r="N8241">
        <f>HYPERLINK("https://www.wikidata.org/wiki/Q3069308", "Q3069308")</f>
        <v>0</v>
      </c>
      <c r="O8241" t="s">
        <v>19958</v>
      </c>
      <c r="P8241" t="s">
        <v>20489</v>
      </c>
      <c r="Q8241" t="s">
        <v>20934</v>
      </c>
      <c r="R8241" t="s">
        <v>421</v>
      </c>
      <c r="S8241">
        <v>1486</v>
      </c>
    </row>
    <row r="8242" spans="1:19">
      <c r="A8242" t="s">
        <v>31</v>
      </c>
      <c r="B8242" t="s">
        <v>148</v>
      </c>
      <c r="C8242" t="s">
        <v>163</v>
      </c>
      <c r="D8242" t="s">
        <v>292</v>
      </c>
      <c r="E8242" t="s">
        <v>421</v>
      </c>
      <c r="F8242">
        <f>HYPERLINK("https://www.wikidata.org/wiki/Q33323183", "Q33323183")</f>
        <v>0</v>
      </c>
      <c r="G8242" t="s">
        <v>798</v>
      </c>
      <c r="H8242" t="s">
        <v>5555</v>
      </c>
      <c r="I8242" t="s">
        <v>9529</v>
      </c>
      <c r="J8242" t="s">
        <v>11545</v>
      </c>
      <c r="K8242" t="s">
        <v>15949</v>
      </c>
      <c r="L8242">
        <f>HYPERLINK("https://www2.assemblee-nationale.fr/sycomore/fiche/(num_dept)/6581", "6581")</f>
        <v>0</v>
      </c>
      <c r="M8242">
        <f>HYPERLINK("https://www.senat.fr/senateur-3eme-republique/raiberti_flaminius0124r3.html", "raiberti_flaminius0124r3")</f>
        <v>0</v>
      </c>
      <c r="N8242">
        <f>HYPERLINK("https://www.wikidata.org/wiki/Q3073302", "Q3073302")</f>
        <v>0</v>
      </c>
      <c r="O8242" t="s">
        <v>20024</v>
      </c>
      <c r="P8242" t="s">
        <v>20517</v>
      </c>
      <c r="Q8242" t="s">
        <v>20934</v>
      </c>
      <c r="R8242" t="s">
        <v>421</v>
      </c>
      <c r="S8242">
        <v>1486</v>
      </c>
    </row>
    <row r="8243" spans="1:19">
      <c r="A8243" t="s">
        <v>31</v>
      </c>
      <c r="B8243" t="s">
        <v>148</v>
      </c>
      <c r="C8243" t="s">
        <v>163</v>
      </c>
      <c r="D8243" t="s">
        <v>292</v>
      </c>
      <c r="E8243" t="s">
        <v>421</v>
      </c>
      <c r="F8243">
        <f>HYPERLINK("https://www.wikidata.org/wiki/Q33323183", "Q33323183")</f>
        <v>0</v>
      </c>
      <c r="G8243" t="s">
        <v>1305</v>
      </c>
      <c r="H8243" t="s">
        <v>6026</v>
      </c>
      <c r="I8243" t="s">
        <v>9741</v>
      </c>
      <c r="J8243" t="s">
        <v>12035</v>
      </c>
      <c r="K8243" t="s">
        <v>16436</v>
      </c>
      <c r="L8243">
        <f>HYPERLINK("https://www2.assemblee-nationale.fr/sycomore/fiche/(num_dept)/6585", "6585")</f>
        <v>0</v>
      </c>
      <c r="M8243">
        <f>HYPERLINK("https://www.senat.fr/senateur-3eme-republique/rajon_claude1188r3.html", "rajon_claude1188r3")</f>
        <v>0</v>
      </c>
      <c r="N8243">
        <f>HYPERLINK("https://www.wikidata.org/wiki/Q2978029", "Q2978029")</f>
        <v>0</v>
      </c>
      <c r="O8243" t="s">
        <v>20006</v>
      </c>
      <c r="P8243" t="s">
        <v>20401</v>
      </c>
      <c r="Q8243" t="s">
        <v>20934</v>
      </c>
      <c r="R8243" t="s">
        <v>421</v>
      </c>
      <c r="S8243">
        <v>1486</v>
      </c>
    </row>
    <row r="8244" spans="1:19">
      <c r="A8244" t="s">
        <v>31</v>
      </c>
      <c r="B8244" t="s">
        <v>148</v>
      </c>
      <c r="C8244" t="s">
        <v>163</v>
      </c>
      <c r="D8244" t="s">
        <v>292</v>
      </c>
      <c r="E8244" t="s">
        <v>421</v>
      </c>
      <c r="F8244">
        <f>HYPERLINK("https://www.wikidata.org/wiki/Q33323183", "Q33323183")</f>
        <v>0</v>
      </c>
      <c r="G8244" t="s">
        <v>1045</v>
      </c>
      <c r="H8244" t="s">
        <v>5793</v>
      </c>
      <c r="I8244" t="s">
        <v>9639</v>
      </c>
      <c r="J8244" t="s">
        <v>11782</v>
      </c>
      <c r="K8244" t="s">
        <v>16183</v>
      </c>
      <c r="L8244">
        <f>HYPERLINK("https://www2.assemblee-nationale.fr/sycomore/fiche/(num_dept)/6593", "6593")</f>
        <v>0</v>
      </c>
      <c r="N8244">
        <f>HYPERLINK("https://www.wikidata.org/wiki/Q3069386", "Q3069386")</f>
        <v>0</v>
      </c>
      <c r="O8244" t="s">
        <v>20014</v>
      </c>
      <c r="P8244" t="s">
        <v>20409</v>
      </c>
      <c r="Q8244" t="s">
        <v>20934</v>
      </c>
      <c r="R8244" t="s">
        <v>421</v>
      </c>
      <c r="S8244">
        <v>1486</v>
      </c>
    </row>
    <row r="8245" spans="1:19">
      <c r="A8245" t="s">
        <v>31</v>
      </c>
      <c r="B8245" t="s">
        <v>148</v>
      </c>
      <c r="C8245" t="s">
        <v>163</v>
      </c>
      <c r="D8245" t="s">
        <v>292</v>
      </c>
      <c r="E8245" t="s">
        <v>421</v>
      </c>
      <c r="F8245">
        <f>HYPERLINK("https://www.wikidata.org/wiki/Q33323183", "Q33323183")</f>
        <v>0</v>
      </c>
      <c r="G8245" t="s">
        <v>799</v>
      </c>
      <c r="H8245" t="s">
        <v>5556</v>
      </c>
      <c r="I8245" t="s">
        <v>9530</v>
      </c>
      <c r="J8245" t="s">
        <v>11546</v>
      </c>
      <c r="K8245" t="s">
        <v>15950</v>
      </c>
      <c r="L8245">
        <f>HYPERLINK("https://www2.assemblee-nationale.fr/sycomore/fiche/(num_dept)/6614", "6614")</f>
        <v>0</v>
      </c>
      <c r="N8245">
        <f>HYPERLINK("https://www.wikidata.org/wiki/Q3289321", "Q3289321")</f>
        <v>0</v>
      </c>
      <c r="O8245" t="s">
        <v>19985</v>
      </c>
      <c r="P8245" t="s">
        <v>20409</v>
      </c>
      <c r="Q8245" t="s">
        <v>20934</v>
      </c>
      <c r="R8245" t="s">
        <v>421</v>
      </c>
      <c r="S8245">
        <v>1486</v>
      </c>
    </row>
    <row r="8246" spans="1:19">
      <c r="A8246" t="s">
        <v>31</v>
      </c>
      <c r="B8246" t="s">
        <v>148</v>
      </c>
      <c r="C8246" t="s">
        <v>163</v>
      </c>
      <c r="D8246" t="s">
        <v>292</v>
      </c>
      <c r="E8246" t="s">
        <v>421</v>
      </c>
      <c r="F8246">
        <f>HYPERLINK("https://www.wikidata.org/wiki/Q33323183", "Q33323183")</f>
        <v>0</v>
      </c>
      <c r="G8246" t="s">
        <v>800</v>
      </c>
      <c r="H8246" t="s">
        <v>5557</v>
      </c>
      <c r="I8246" t="s">
        <v>9531</v>
      </c>
      <c r="J8246" t="s">
        <v>11547</v>
      </c>
      <c r="K8246" t="s">
        <v>15951</v>
      </c>
      <c r="L8246">
        <f>HYPERLINK("https://www2.assemblee-nationale.fr/sycomore/fiche/(num_dept)/6635", "6635")</f>
        <v>0</v>
      </c>
      <c r="N8246">
        <f>HYPERLINK("https://www.wikidata.org/wiki/Q2441215", "Q2441215")</f>
        <v>0</v>
      </c>
      <c r="O8246" t="s">
        <v>20031</v>
      </c>
      <c r="P8246" t="s">
        <v>20402</v>
      </c>
      <c r="Q8246" t="s">
        <v>20934</v>
      </c>
      <c r="R8246" t="s">
        <v>421</v>
      </c>
      <c r="S8246">
        <v>1486</v>
      </c>
    </row>
    <row r="8247" spans="1:19">
      <c r="A8247" t="s">
        <v>31</v>
      </c>
      <c r="B8247" t="s">
        <v>148</v>
      </c>
      <c r="C8247" t="s">
        <v>163</v>
      </c>
      <c r="D8247" t="s">
        <v>292</v>
      </c>
      <c r="E8247" t="s">
        <v>421</v>
      </c>
      <c r="F8247">
        <f>HYPERLINK("https://www.wikidata.org/wiki/Q33323183", "Q33323183")</f>
        <v>0</v>
      </c>
      <c r="G8247" t="s">
        <v>801</v>
      </c>
      <c r="H8247" t="s">
        <v>5558</v>
      </c>
      <c r="I8247" t="s">
        <v>9532</v>
      </c>
      <c r="J8247" t="s">
        <v>11548</v>
      </c>
      <c r="K8247" t="s">
        <v>15952</v>
      </c>
      <c r="L8247">
        <f>HYPERLINK("https://www2.assemblee-nationale.fr/sycomore/fiche/(num_dept)/6637", "6637")</f>
        <v>0</v>
      </c>
      <c r="N8247">
        <f>HYPERLINK("https://www.wikidata.org/wiki/Q3188327", "Q3188327")</f>
        <v>0</v>
      </c>
      <c r="O8247" t="s">
        <v>7411</v>
      </c>
      <c r="P8247" t="s">
        <v>20489</v>
      </c>
      <c r="Q8247" t="s">
        <v>20934</v>
      </c>
      <c r="R8247" t="s">
        <v>421</v>
      </c>
      <c r="S8247">
        <v>1486</v>
      </c>
    </row>
    <row r="8248" spans="1:19">
      <c r="A8248" t="s">
        <v>31</v>
      </c>
      <c r="B8248" t="s">
        <v>148</v>
      </c>
      <c r="C8248" t="s">
        <v>163</v>
      </c>
      <c r="D8248" t="s">
        <v>292</v>
      </c>
      <c r="E8248" t="s">
        <v>421</v>
      </c>
      <c r="F8248">
        <f>HYPERLINK("https://www.wikidata.org/wiki/Q33323183", "Q33323183")</f>
        <v>0</v>
      </c>
      <c r="G8248" t="s">
        <v>4152</v>
      </c>
      <c r="H8248" t="s">
        <v>8355</v>
      </c>
      <c r="I8248" t="s">
        <v>9523</v>
      </c>
      <c r="J8248" t="s">
        <v>14681</v>
      </c>
      <c r="K8248" t="s">
        <v>19018</v>
      </c>
      <c r="L8248">
        <f>HYPERLINK("https://www2.assemblee-nationale.fr/sycomore/fiche/(num_dept)/6654", "6654")</f>
        <v>0</v>
      </c>
      <c r="M8248">
        <f>HYPERLINK("https://www.senat.fr/senateur-3eme-republique/regnier_marcel0044r3.html", "regnier_marcel0044r3")</f>
        <v>0</v>
      </c>
      <c r="N8248">
        <f>HYPERLINK("https://www.wikidata.org/wiki/Q3289373", "Q3289373")</f>
        <v>0</v>
      </c>
      <c r="O8248" t="s">
        <v>19999</v>
      </c>
      <c r="P8248" t="s">
        <v>20489</v>
      </c>
      <c r="Q8248" t="s">
        <v>20934</v>
      </c>
      <c r="R8248" t="s">
        <v>421</v>
      </c>
      <c r="S8248">
        <v>1486</v>
      </c>
    </row>
    <row r="8249" spans="1:19">
      <c r="A8249" t="s">
        <v>31</v>
      </c>
      <c r="B8249" t="s">
        <v>148</v>
      </c>
      <c r="C8249" t="s">
        <v>163</v>
      </c>
      <c r="D8249" t="s">
        <v>292</v>
      </c>
      <c r="E8249" t="s">
        <v>421</v>
      </c>
      <c r="F8249">
        <f>HYPERLINK("https://www.wikidata.org/wiki/Q33323183", "Q33323183")</f>
        <v>0</v>
      </c>
      <c r="G8249" t="s">
        <v>802</v>
      </c>
      <c r="H8249" t="s">
        <v>5559</v>
      </c>
      <c r="I8249" t="s">
        <v>9440</v>
      </c>
      <c r="J8249" t="s">
        <v>11549</v>
      </c>
      <c r="K8249" t="s">
        <v>15953</v>
      </c>
      <c r="L8249">
        <f>HYPERLINK("https://www2.assemblee-nationale.fr/sycomore/fiche/(num_dept)/6657", "6657")</f>
        <v>0</v>
      </c>
      <c r="N8249">
        <f>HYPERLINK("https://www.wikidata.org/wiki/Q2844702", "Q2844702")</f>
        <v>0</v>
      </c>
      <c r="O8249" t="s">
        <v>19962</v>
      </c>
      <c r="P8249" t="s">
        <v>20517</v>
      </c>
      <c r="Q8249" t="s">
        <v>20934</v>
      </c>
      <c r="R8249" t="s">
        <v>421</v>
      </c>
      <c r="S8249">
        <v>1486</v>
      </c>
    </row>
    <row r="8250" spans="1:19">
      <c r="A8250" t="s">
        <v>31</v>
      </c>
      <c r="B8250" t="s">
        <v>148</v>
      </c>
      <c r="C8250" t="s">
        <v>163</v>
      </c>
      <c r="D8250" t="s">
        <v>292</v>
      </c>
      <c r="E8250" t="s">
        <v>421</v>
      </c>
      <c r="F8250">
        <f>HYPERLINK("https://www.wikidata.org/wiki/Q33323183", "Q33323183")</f>
        <v>0</v>
      </c>
      <c r="G8250" t="s">
        <v>4013</v>
      </c>
      <c r="H8250" t="s">
        <v>5559</v>
      </c>
      <c r="I8250" t="s">
        <v>9868</v>
      </c>
      <c r="J8250" t="s">
        <v>14557</v>
      </c>
      <c r="K8250" t="s">
        <v>18902</v>
      </c>
      <c r="L8250">
        <f>HYPERLINK("https://www2.assemblee-nationale.fr/sycomore/fiche/(num_dept)/6662", "6662")</f>
        <v>0</v>
      </c>
      <c r="N8250">
        <f>HYPERLINK("https://www.wikidata.org/wiki/Q3570779", "Q3570779")</f>
        <v>0</v>
      </c>
      <c r="O8250" t="s">
        <v>19962</v>
      </c>
      <c r="P8250" t="s">
        <v>20410</v>
      </c>
      <c r="Q8250" t="s">
        <v>20934</v>
      </c>
      <c r="R8250" t="s">
        <v>421</v>
      </c>
      <c r="S8250">
        <v>1486</v>
      </c>
    </row>
    <row r="8251" spans="1:19">
      <c r="A8251" t="s">
        <v>31</v>
      </c>
      <c r="B8251" t="s">
        <v>148</v>
      </c>
      <c r="C8251" t="s">
        <v>163</v>
      </c>
      <c r="D8251" t="s">
        <v>292</v>
      </c>
      <c r="E8251" t="s">
        <v>421</v>
      </c>
      <c r="F8251">
        <f>HYPERLINK("https://www.wikidata.org/wiki/Q33323183", "Q33323183")</f>
        <v>0</v>
      </c>
      <c r="G8251" t="s">
        <v>804</v>
      </c>
      <c r="H8251" t="s">
        <v>5561</v>
      </c>
      <c r="I8251" t="s">
        <v>9476</v>
      </c>
      <c r="J8251" t="s">
        <v>11551</v>
      </c>
      <c r="K8251" t="s">
        <v>15955</v>
      </c>
      <c r="L8251">
        <f>HYPERLINK("https://www2.assemblee-nationale.fr/sycomore/fiche/(num_dept)/6684", "6684")</f>
        <v>0</v>
      </c>
      <c r="M8251">
        <f>HYPERLINK("https://www.senat.fr/senateur-3eme-republique/renoult_rene1734r3.html", "renoult_rene1734r3")</f>
        <v>0</v>
      </c>
      <c r="N8251">
        <f>HYPERLINK("https://www.wikidata.org/wiki/Q3426810", "Q3426810")</f>
        <v>0</v>
      </c>
      <c r="O8251" t="s">
        <v>20036</v>
      </c>
      <c r="P8251" t="s">
        <v>20489</v>
      </c>
      <c r="Q8251" t="s">
        <v>20934</v>
      </c>
      <c r="R8251" t="s">
        <v>421</v>
      </c>
      <c r="S8251">
        <v>1486</v>
      </c>
    </row>
    <row r="8252" spans="1:19">
      <c r="A8252" t="s">
        <v>31</v>
      </c>
      <c r="B8252" t="s">
        <v>148</v>
      </c>
      <c r="C8252" t="s">
        <v>163</v>
      </c>
      <c r="D8252" t="s">
        <v>292</v>
      </c>
      <c r="E8252" t="s">
        <v>421</v>
      </c>
      <c r="F8252">
        <f>HYPERLINK("https://www.wikidata.org/wiki/Q33323183", "Q33323183")</f>
        <v>0</v>
      </c>
      <c r="G8252" t="s">
        <v>1050</v>
      </c>
      <c r="H8252" t="s">
        <v>5797</v>
      </c>
      <c r="I8252" t="s">
        <v>9643</v>
      </c>
      <c r="J8252" t="s">
        <v>11787</v>
      </c>
      <c r="K8252" t="s">
        <v>16188</v>
      </c>
      <c r="L8252">
        <f>HYPERLINK("https://www2.assemblee-nationale.fr/sycomore/fiche/(num_dept)/6693", "6693")</f>
        <v>0</v>
      </c>
      <c r="M8252">
        <f>HYPERLINK("https://www.senat.fr/senateur-3eme-republique/reveillaud_eugene0407r3.html", "reveillaud_eugene0407r3")</f>
        <v>0</v>
      </c>
      <c r="N8252">
        <f>HYPERLINK("https://www.wikidata.org/wiki/Q3060161", "Q3060161")</f>
        <v>0</v>
      </c>
      <c r="O8252" t="s">
        <v>20037</v>
      </c>
      <c r="P8252" t="s">
        <v>20401</v>
      </c>
      <c r="Q8252" t="s">
        <v>20934</v>
      </c>
      <c r="R8252" t="s">
        <v>421</v>
      </c>
      <c r="S8252">
        <v>1486</v>
      </c>
    </row>
    <row r="8253" spans="1:19">
      <c r="A8253" t="s">
        <v>31</v>
      </c>
      <c r="B8253" t="s">
        <v>148</v>
      </c>
      <c r="C8253" t="s">
        <v>163</v>
      </c>
      <c r="D8253" t="s">
        <v>292</v>
      </c>
      <c r="E8253" t="s">
        <v>421</v>
      </c>
      <c r="F8253">
        <f>HYPERLINK("https://www.wikidata.org/wiki/Q33323183", "Q33323183")</f>
        <v>0</v>
      </c>
      <c r="G8253" t="s">
        <v>805</v>
      </c>
      <c r="H8253" t="s">
        <v>5562</v>
      </c>
      <c r="I8253" t="s">
        <v>9499</v>
      </c>
      <c r="J8253" t="s">
        <v>11552</v>
      </c>
      <c r="K8253" t="s">
        <v>15956</v>
      </c>
      <c r="L8253">
        <f>HYPERLINK("https://www2.assemblee-nationale.fr/sycomore/fiche/(num_dept)/6696", "6696")</f>
        <v>0</v>
      </c>
      <c r="N8253">
        <f>HYPERLINK("https://www.wikidata.org/wiki/Q3288371", "Q3288371")</f>
        <v>0</v>
      </c>
      <c r="O8253" t="s">
        <v>19973</v>
      </c>
      <c r="P8253" t="s">
        <v>20401</v>
      </c>
      <c r="Q8253" t="s">
        <v>20934</v>
      </c>
      <c r="R8253" t="s">
        <v>421</v>
      </c>
      <c r="S8253">
        <v>1486</v>
      </c>
    </row>
    <row r="8254" spans="1:19">
      <c r="A8254" t="s">
        <v>31</v>
      </c>
      <c r="B8254" t="s">
        <v>148</v>
      </c>
      <c r="C8254" t="s">
        <v>163</v>
      </c>
      <c r="D8254" t="s">
        <v>292</v>
      </c>
      <c r="E8254" t="s">
        <v>421</v>
      </c>
      <c r="F8254">
        <f>HYPERLINK("https://www.wikidata.org/wiki/Q33323183", "Q33323183")</f>
        <v>0</v>
      </c>
      <c r="G8254" t="s">
        <v>2671</v>
      </c>
      <c r="H8254" t="s">
        <v>7208</v>
      </c>
      <c r="I8254" t="s">
        <v>9553</v>
      </c>
      <c r="J8254" t="s">
        <v>13312</v>
      </c>
      <c r="K8254" t="s">
        <v>17712</v>
      </c>
      <c r="L8254">
        <f>HYPERLINK("https://www2.assemblee-nationale.fr/sycomore/fiche/(num_dept)/6727", "6727")</f>
        <v>0</v>
      </c>
      <c r="M8254">
        <f>HYPERLINK("https://www.senat.fr/senateur-3eme-republique/ribot_alexandre0941r3.html", "ribot_alexandre0941r3")</f>
        <v>0</v>
      </c>
      <c r="N8254">
        <f>HYPERLINK("https://www.wikidata.org/wiki/Q358387", "Q358387")</f>
        <v>0</v>
      </c>
      <c r="O8254" t="s">
        <v>19968</v>
      </c>
      <c r="P8254" t="s">
        <v>20517</v>
      </c>
      <c r="Q8254" t="s">
        <v>20934</v>
      </c>
      <c r="R8254" t="s">
        <v>21629</v>
      </c>
      <c r="S8254">
        <v>988</v>
      </c>
    </row>
    <row r="8255" spans="1:19">
      <c r="A8255" t="s">
        <v>31</v>
      </c>
      <c r="B8255" t="s">
        <v>148</v>
      </c>
      <c r="C8255" t="s">
        <v>163</v>
      </c>
      <c r="D8255" t="s">
        <v>292</v>
      </c>
      <c r="E8255" t="s">
        <v>421</v>
      </c>
      <c r="F8255">
        <f>HYPERLINK("https://www.wikidata.org/wiki/Q33323183", "Q33323183")</f>
        <v>0</v>
      </c>
      <c r="G8255" t="s">
        <v>1203</v>
      </c>
      <c r="H8255" t="s">
        <v>5932</v>
      </c>
      <c r="I8255" t="s">
        <v>9705</v>
      </c>
      <c r="J8255" t="s">
        <v>11936</v>
      </c>
      <c r="K8255" t="s">
        <v>16337</v>
      </c>
      <c r="L8255">
        <f>HYPERLINK("https://www2.assemblee-nationale.fr/sycomore/fiche/(num_dept)/6764", "6764")</f>
        <v>0</v>
      </c>
      <c r="N8255">
        <f>HYPERLINK("https://www.wikidata.org/wiki/Q16026426", "Q16026426")</f>
        <v>0</v>
      </c>
      <c r="O8255" t="s">
        <v>19966</v>
      </c>
      <c r="P8255" t="s">
        <v>20401</v>
      </c>
      <c r="Q8255" t="s">
        <v>20934</v>
      </c>
      <c r="R8255" t="s">
        <v>421</v>
      </c>
      <c r="S8255">
        <v>1486</v>
      </c>
    </row>
    <row r="8256" spans="1:19">
      <c r="A8256" t="s">
        <v>31</v>
      </c>
      <c r="B8256" t="s">
        <v>148</v>
      </c>
      <c r="C8256" t="s">
        <v>163</v>
      </c>
      <c r="D8256" t="s">
        <v>292</v>
      </c>
      <c r="E8256" t="s">
        <v>421</v>
      </c>
      <c r="F8256">
        <f>HYPERLINK("https://www.wikidata.org/wiki/Q33323183", "Q33323183")</f>
        <v>0</v>
      </c>
      <c r="G8256" t="s">
        <v>3068</v>
      </c>
      <c r="H8256" t="s">
        <v>7303</v>
      </c>
      <c r="I8256" t="s">
        <v>10608</v>
      </c>
      <c r="J8256" t="s">
        <v>13692</v>
      </c>
      <c r="K8256" t="s">
        <v>18075</v>
      </c>
      <c r="L8256">
        <f>HYPERLINK("https://www2.assemblee-nationale.fr/sycomore/fiche/(num_dept)/6785", "6785")</f>
        <v>0</v>
      </c>
      <c r="N8256">
        <f>HYPERLINK("https://www.wikidata.org/wiki/Q3090160", "Q3090160")</f>
        <v>0</v>
      </c>
      <c r="O8256" t="s">
        <v>19964</v>
      </c>
      <c r="Q8256" t="s">
        <v>20934</v>
      </c>
      <c r="R8256" t="s">
        <v>421</v>
      </c>
      <c r="S8256">
        <v>1486</v>
      </c>
    </row>
    <row r="8257" spans="1:19">
      <c r="A8257" t="s">
        <v>31</v>
      </c>
      <c r="B8257" t="s">
        <v>148</v>
      </c>
      <c r="C8257" t="s">
        <v>163</v>
      </c>
      <c r="D8257" t="s">
        <v>292</v>
      </c>
      <c r="E8257" t="s">
        <v>421</v>
      </c>
      <c r="F8257">
        <f>HYPERLINK("https://www.wikidata.org/wiki/Q33323183", "Q33323183")</f>
        <v>0</v>
      </c>
      <c r="G8257" t="s">
        <v>809</v>
      </c>
      <c r="H8257" t="s">
        <v>5566</v>
      </c>
      <c r="I8257" t="s">
        <v>7642</v>
      </c>
      <c r="J8257" t="s">
        <v>11556</v>
      </c>
      <c r="K8257" t="s">
        <v>15960</v>
      </c>
      <c r="L8257">
        <f>HYPERLINK("https://www2.assemblee-nationale.fr/sycomore/fiche/(num_dept)/6821", "6821")</f>
        <v>0</v>
      </c>
      <c r="N8257">
        <f>HYPERLINK("https://www.wikidata.org/wiki/Q3301402", "Q3301402")</f>
        <v>0</v>
      </c>
      <c r="O8257" t="s">
        <v>20023</v>
      </c>
      <c r="P8257" t="s">
        <v>20517</v>
      </c>
      <c r="Q8257" t="s">
        <v>20934</v>
      </c>
      <c r="R8257" t="s">
        <v>421</v>
      </c>
      <c r="S8257">
        <v>1486</v>
      </c>
    </row>
    <row r="8258" spans="1:19">
      <c r="A8258" t="s">
        <v>31</v>
      </c>
      <c r="B8258" t="s">
        <v>148</v>
      </c>
      <c r="C8258" t="s">
        <v>163</v>
      </c>
      <c r="D8258" t="s">
        <v>292</v>
      </c>
      <c r="E8258" t="s">
        <v>421</v>
      </c>
      <c r="F8258">
        <f>HYPERLINK("https://www.wikidata.org/wiki/Q33323183", "Q33323183")</f>
        <v>0</v>
      </c>
      <c r="G8258" t="s">
        <v>810</v>
      </c>
      <c r="H8258" t="s">
        <v>5567</v>
      </c>
      <c r="I8258" t="s">
        <v>9534</v>
      </c>
      <c r="J8258" t="s">
        <v>11557</v>
      </c>
      <c r="K8258" t="s">
        <v>15961</v>
      </c>
      <c r="L8258">
        <f>HYPERLINK("https://www2.assemblee-nationale.fr/sycomore/fiche/(num_dept)/6847", "6847")</f>
        <v>0</v>
      </c>
      <c r="M8258">
        <f>HYPERLINK("https://www.senat.fr/senateur-3eme-republique/simonet_hippolyte0626r3.html", "simonet_hippolyte0626r3")</f>
        <v>0</v>
      </c>
      <c r="N8258">
        <f>HYPERLINK("https://www.wikidata.org/wiki/Q3136130", "Q3136130")</f>
        <v>0</v>
      </c>
      <c r="O8258" t="s">
        <v>19979</v>
      </c>
      <c r="P8258" t="s">
        <v>20489</v>
      </c>
      <c r="Q8258" t="s">
        <v>20934</v>
      </c>
      <c r="R8258" t="s">
        <v>421</v>
      </c>
      <c r="S8258">
        <v>1486</v>
      </c>
    </row>
    <row r="8259" spans="1:19">
      <c r="A8259" t="s">
        <v>31</v>
      </c>
      <c r="B8259" t="s">
        <v>148</v>
      </c>
      <c r="C8259" t="s">
        <v>163</v>
      </c>
      <c r="D8259" t="s">
        <v>292</v>
      </c>
      <c r="E8259" t="s">
        <v>421</v>
      </c>
      <c r="F8259">
        <f>HYPERLINK("https://www.wikidata.org/wiki/Q33323183", "Q33323183")</f>
        <v>0</v>
      </c>
      <c r="G8259" t="s">
        <v>811</v>
      </c>
      <c r="H8259" t="s">
        <v>5568</v>
      </c>
      <c r="I8259" t="s">
        <v>9535</v>
      </c>
      <c r="J8259" t="s">
        <v>11558</v>
      </c>
      <c r="K8259" t="s">
        <v>15962</v>
      </c>
      <c r="L8259">
        <f>HYPERLINK("https://www2.assemblee-nationale.fr/sycomore/fiche/(num_dept)/6854", "6854")</f>
        <v>0</v>
      </c>
      <c r="M8259">
        <f>HYPERLINK("https://www.senat.fr/senateur-3eme-republique/simyan_julien1227r3.html", "simyan_julien1227r3")</f>
        <v>0</v>
      </c>
      <c r="N8259">
        <f>HYPERLINK("https://www.wikidata.org/wiki/Q3189661", "Q3189661")</f>
        <v>0</v>
      </c>
      <c r="O8259" t="s">
        <v>19994</v>
      </c>
      <c r="P8259" t="s">
        <v>20489</v>
      </c>
      <c r="Q8259" t="s">
        <v>20934</v>
      </c>
      <c r="R8259" t="s">
        <v>421</v>
      </c>
      <c r="S8259">
        <v>1486</v>
      </c>
    </row>
    <row r="8260" spans="1:19">
      <c r="A8260" t="s">
        <v>31</v>
      </c>
      <c r="B8260" t="s">
        <v>148</v>
      </c>
      <c r="C8260" t="s">
        <v>163</v>
      </c>
      <c r="D8260" t="s">
        <v>292</v>
      </c>
      <c r="E8260" t="s">
        <v>421</v>
      </c>
      <c r="F8260">
        <f>HYPERLINK("https://www.wikidata.org/wiki/Q33323183", "Q33323183")</f>
        <v>0</v>
      </c>
      <c r="G8260" t="s">
        <v>812</v>
      </c>
      <c r="H8260" t="s">
        <v>5569</v>
      </c>
      <c r="I8260" t="s">
        <v>5528</v>
      </c>
      <c r="J8260" t="s">
        <v>11559</v>
      </c>
      <c r="K8260" t="s">
        <v>15963</v>
      </c>
      <c r="L8260">
        <f>HYPERLINK("https://www2.assemblee-nationale.fr/sycomore/fiche/(num_dept)/6857", "6857")</f>
        <v>0</v>
      </c>
      <c r="M8260">
        <f>HYPERLINK("https://www.senat.fr/senateur-3eme-republique/sireyjol_leon0664r3.html", "sireyjol_leon0664r3")</f>
        <v>0</v>
      </c>
      <c r="N8260">
        <f>HYPERLINK("https://www.wikidata.org/wiki/Q3271332", "Q3271332")</f>
        <v>0</v>
      </c>
      <c r="O8260" t="s">
        <v>20010</v>
      </c>
      <c r="P8260" t="s">
        <v>20489</v>
      </c>
      <c r="Q8260" t="s">
        <v>20934</v>
      </c>
      <c r="R8260" t="s">
        <v>421</v>
      </c>
      <c r="S8260">
        <v>1486</v>
      </c>
    </row>
    <row r="8261" spans="1:19">
      <c r="A8261" t="s">
        <v>31</v>
      </c>
      <c r="B8261" t="s">
        <v>148</v>
      </c>
      <c r="C8261" t="s">
        <v>163</v>
      </c>
      <c r="D8261" t="s">
        <v>292</v>
      </c>
      <c r="E8261" t="s">
        <v>421</v>
      </c>
      <c r="F8261">
        <f>HYPERLINK("https://www.wikidata.org/wiki/Q33323183", "Q33323183")</f>
        <v>0</v>
      </c>
      <c r="G8261" t="s">
        <v>813</v>
      </c>
      <c r="H8261" t="s">
        <v>5570</v>
      </c>
      <c r="I8261" t="s">
        <v>7642</v>
      </c>
      <c r="J8261" t="s">
        <v>11560</v>
      </c>
      <c r="K8261" t="s">
        <v>15964</v>
      </c>
      <c r="L8261">
        <f>HYPERLINK("https://www2.assemblee-nationale.fr/sycomore/fiche/(num_dept)/6900", "6900")</f>
        <v>0</v>
      </c>
      <c r="N8261">
        <f>HYPERLINK("https://www.wikidata.org/wiki/Q13085412", "Q13085412")</f>
        <v>0</v>
      </c>
      <c r="O8261" t="s">
        <v>19969</v>
      </c>
      <c r="P8261" t="s">
        <v>20410</v>
      </c>
      <c r="Q8261" t="s">
        <v>20934</v>
      </c>
      <c r="R8261" t="s">
        <v>421</v>
      </c>
      <c r="S8261">
        <v>1486</v>
      </c>
    </row>
    <row r="8262" spans="1:19">
      <c r="A8262" t="s">
        <v>31</v>
      </c>
      <c r="B8262" t="s">
        <v>148</v>
      </c>
      <c r="C8262" t="s">
        <v>163</v>
      </c>
      <c r="D8262" t="s">
        <v>292</v>
      </c>
      <c r="E8262" t="s">
        <v>421</v>
      </c>
      <c r="F8262">
        <f>HYPERLINK("https://www.wikidata.org/wiki/Q33323183", "Q33323183")</f>
        <v>0</v>
      </c>
      <c r="G8262" t="s">
        <v>814</v>
      </c>
      <c r="H8262" t="s">
        <v>5571</v>
      </c>
      <c r="I8262" t="s">
        <v>9533</v>
      </c>
      <c r="J8262" t="s">
        <v>11561</v>
      </c>
      <c r="K8262" t="s">
        <v>15965</v>
      </c>
      <c r="L8262">
        <f>HYPERLINK("https://www2.assemblee-nationale.fr/sycomore/fiche/(num_dept)/6904", "6904")</f>
        <v>0</v>
      </c>
      <c r="M8262">
        <f>HYPERLINK("https://www.senat.fr/senateur-3eme-republique/steeg_theodore1554r3.html", "steeg_theodore1554r3")</f>
        <v>0</v>
      </c>
      <c r="N8262">
        <f>HYPERLINK("https://www.wikidata.org/wiki/Q717905", "Q717905")</f>
        <v>0</v>
      </c>
      <c r="O8262" t="s">
        <v>19969</v>
      </c>
      <c r="P8262" t="s">
        <v>20489</v>
      </c>
      <c r="Q8262" t="s">
        <v>20934</v>
      </c>
      <c r="R8262" t="s">
        <v>421</v>
      </c>
      <c r="S8262">
        <v>1486</v>
      </c>
    </row>
    <row r="8263" spans="1:19">
      <c r="A8263" t="s">
        <v>31</v>
      </c>
      <c r="B8263" t="s">
        <v>148</v>
      </c>
      <c r="C8263" t="s">
        <v>163</v>
      </c>
      <c r="D8263" t="s">
        <v>292</v>
      </c>
      <c r="E8263" t="s">
        <v>421</v>
      </c>
      <c r="F8263">
        <f>HYPERLINK("https://www.wikidata.org/wiki/Q33323183", "Q33323183")</f>
        <v>0</v>
      </c>
      <c r="G8263" t="s">
        <v>3942</v>
      </c>
      <c r="H8263" t="s">
        <v>8194</v>
      </c>
      <c r="I8263" t="s">
        <v>6585</v>
      </c>
      <c r="J8263" t="s">
        <v>14495</v>
      </c>
      <c r="K8263" t="s">
        <v>18843</v>
      </c>
      <c r="L8263">
        <f>HYPERLINK("https://www2.assemblee-nationale.fr/sycomore/fiche/(num_dept)/6916", "6916")</f>
        <v>0</v>
      </c>
      <c r="N8263">
        <f>HYPERLINK("https://www.wikidata.org/wiki/Q14623368", "Q14623368")</f>
        <v>0</v>
      </c>
      <c r="O8263" t="s">
        <v>19978</v>
      </c>
      <c r="P8263" t="s">
        <v>20410</v>
      </c>
      <c r="Q8263" t="s">
        <v>20934</v>
      </c>
      <c r="R8263" t="s">
        <v>421</v>
      </c>
      <c r="S8263">
        <v>1486</v>
      </c>
    </row>
    <row r="8264" spans="1:19">
      <c r="A8264" t="s">
        <v>31</v>
      </c>
      <c r="B8264" t="s">
        <v>148</v>
      </c>
      <c r="C8264" t="s">
        <v>163</v>
      </c>
      <c r="D8264" t="s">
        <v>292</v>
      </c>
      <c r="E8264" t="s">
        <v>421</v>
      </c>
      <c r="F8264">
        <f>HYPERLINK("https://www.wikidata.org/wiki/Q33323183", "Q33323183")</f>
        <v>0</v>
      </c>
      <c r="G8264" t="s">
        <v>815</v>
      </c>
      <c r="H8264" t="s">
        <v>5572</v>
      </c>
      <c r="I8264" t="s">
        <v>6759</v>
      </c>
      <c r="J8264" t="s">
        <v>11562</v>
      </c>
      <c r="K8264" t="s">
        <v>15966</v>
      </c>
      <c r="L8264">
        <f>HYPERLINK("https://www2.assemblee-nationale.fr/sycomore/fiche/(num_dept)/6923", "6923")</f>
        <v>0</v>
      </c>
      <c r="N8264">
        <f>HYPERLINK("https://www.wikidata.org/wiki/Q3435381", "Q3435381")</f>
        <v>0</v>
      </c>
      <c r="O8264" t="s">
        <v>19998</v>
      </c>
      <c r="P8264" t="s">
        <v>20402</v>
      </c>
      <c r="Q8264" t="s">
        <v>20934</v>
      </c>
      <c r="R8264" t="s">
        <v>421</v>
      </c>
      <c r="S8264">
        <v>1486</v>
      </c>
    </row>
    <row r="8265" spans="1:19">
      <c r="A8265" t="s">
        <v>31</v>
      </c>
      <c r="B8265" t="s">
        <v>148</v>
      </c>
      <c r="C8265" t="s">
        <v>163</v>
      </c>
      <c r="D8265" t="s">
        <v>292</v>
      </c>
      <c r="E8265" t="s">
        <v>421</v>
      </c>
      <c r="F8265">
        <f>HYPERLINK("https://www.wikidata.org/wiki/Q33323183", "Q33323183")</f>
        <v>0</v>
      </c>
      <c r="G8265" t="s">
        <v>3170</v>
      </c>
      <c r="H8265" t="s">
        <v>6034</v>
      </c>
      <c r="I8265" t="s">
        <v>10679</v>
      </c>
      <c r="J8265" t="s">
        <v>13791</v>
      </c>
      <c r="K8265" t="s">
        <v>18166</v>
      </c>
      <c r="L8265">
        <f>HYPERLINK("https://www2.assemblee-nationale.fr/sycomore/fiche/(num_dept)/6937", "6937")</f>
        <v>0</v>
      </c>
      <c r="N8265">
        <f>HYPERLINK("https://www.wikidata.org/wiki/Q16026528", "Q16026528")</f>
        <v>0</v>
      </c>
      <c r="O8265" t="s">
        <v>19968</v>
      </c>
      <c r="P8265" t="s">
        <v>20410</v>
      </c>
      <c r="Q8265" t="s">
        <v>20934</v>
      </c>
      <c r="R8265" t="s">
        <v>421</v>
      </c>
      <c r="S8265">
        <v>1486</v>
      </c>
    </row>
    <row r="8266" spans="1:19">
      <c r="A8266" t="s">
        <v>31</v>
      </c>
      <c r="B8266" t="s">
        <v>148</v>
      </c>
      <c r="C8266" t="s">
        <v>163</v>
      </c>
      <c r="D8266" t="s">
        <v>292</v>
      </c>
      <c r="E8266" t="s">
        <v>421</v>
      </c>
      <c r="F8266">
        <f>HYPERLINK("https://www.wikidata.org/wiki/Q33323183", "Q33323183")</f>
        <v>0</v>
      </c>
      <c r="G8266" t="s">
        <v>1058</v>
      </c>
      <c r="H8266" t="s">
        <v>5804</v>
      </c>
      <c r="I8266" t="s">
        <v>6200</v>
      </c>
      <c r="J8266" t="s">
        <v>11795</v>
      </c>
      <c r="K8266" t="s">
        <v>16196</v>
      </c>
      <c r="L8266">
        <f>HYPERLINK("https://www2.assemblee-nationale.fr/sycomore/fiche/(num_dept)/6970", "6970")</f>
        <v>0</v>
      </c>
      <c r="N8266">
        <f>HYPERLINK("https://www.wikidata.org/wiki/Q16026538", "Q16026538")</f>
        <v>0</v>
      </c>
      <c r="O8266" t="s">
        <v>20020</v>
      </c>
      <c r="P8266" t="s">
        <v>20489</v>
      </c>
      <c r="Q8266" t="s">
        <v>20934</v>
      </c>
      <c r="R8266" t="s">
        <v>421</v>
      </c>
      <c r="S8266">
        <v>1486</v>
      </c>
    </row>
    <row r="8267" spans="1:19">
      <c r="A8267" t="s">
        <v>31</v>
      </c>
      <c r="B8267" t="s">
        <v>148</v>
      </c>
      <c r="C8267" t="s">
        <v>163</v>
      </c>
      <c r="D8267" t="s">
        <v>292</v>
      </c>
      <c r="E8267" t="s">
        <v>421</v>
      </c>
      <c r="F8267">
        <f>HYPERLINK("https://www.wikidata.org/wiki/Q33323183", "Q33323183")</f>
        <v>0</v>
      </c>
      <c r="G8267" t="s">
        <v>4164</v>
      </c>
      <c r="H8267" t="s">
        <v>8365</v>
      </c>
      <c r="I8267" t="s">
        <v>9457</v>
      </c>
      <c r="J8267" t="s">
        <v>13855</v>
      </c>
      <c r="K8267" t="s">
        <v>19027</v>
      </c>
      <c r="L8267">
        <f>HYPERLINK("https://www2.assemblee-nationale.fr/sycomore/fiche/(num_dept)/6984", "6984")</f>
        <v>0</v>
      </c>
      <c r="N8267">
        <f>HYPERLINK("https://www.wikidata.org/wiki/Q16026544", "Q16026544")</f>
        <v>0</v>
      </c>
      <c r="O8267" t="s">
        <v>20002</v>
      </c>
      <c r="P8267" t="s">
        <v>20402</v>
      </c>
      <c r="Q8267" t="s">
        <v>20934</v>
      </c>
      <c r="R8267" t="s">
        <v>421</v>
      </c>
      <c r="S8267">
        <v>1486</v>
      </c>
    </row>
    <row r="8268" spans="1:19">
      <c r="A8268" t="s">
        <v>31</v>
      </c>
      <c r="B8268" t="s">
        <v>148</v>
      </c>
      <c r="C8268" t="s">
        <v>163</v>
      </c>
      <c r="D8268" t="s">
        <v>292</v>
      </c>
      <c r="E8268" t="s">
        <v>421</v>
      </c>
      <c r="F8268">
        <f>HYPERLINK("https://www.wikidata.org/wiki/Q33323183", "Q33323183")</f>
        <v>0</v>
      </c>
      <c r="G8268" t="s">
        <v>3286</v>
      </c>
      <c r="H8268" t="s">
        <v>7698</v>
      </c>
      <c r="I8268" t="s">
        <v>9376</v>
      </c>
      <c r="J8268" t="s">
        <v>13900</v>
      </c>
      <c r="K8268" t="s">
        <v>18272</v>
      </c>
      <c r="L8268">
        <f>HYPERLINK("https://www2.assemblee-nationale.fr/sycomore/fiche/(num_dept)/7016", "7016")</f>
        <v>0</v>
      </c>
      <c r="N8268">
        <f>HYPERLINK("https://www.wikidata.org/wiki/Q3068657", "Q3068657")</f>
        <v>0</v>
      </c>
      <c r="O8268" t="s">
        <v>19960</v>
      </c>
      <c r="P8268" t="s">
        <v>20489</v>
      </c>
      <c r="Q8268" t="s">
        <v>20934</v>
      </c>
      <c r="R8268" t="s">
        <v>421</v>
      </c>
      <c r="S8268">
        <v>1486</v>
      </c>
    </row>
    <row r="8269" spans="1:19">
      <c r="A8269" t="s">
        <v>31</v>
      </c>
      <c r="B8269" t="s">
        <v>148</v>
      </c>
      <c r="C8269" t="s">
        <v>163</v>
      </c>
      <c r="D8269" t="s">
        <v>292</v>
      </c>
      <c r="E8269" t="s">
        <v>421</v>
      </c>
      <c r="F8269">
        <f>HYPERLINK("https://www.wikidata.org/wiki/Q33323183", "Q33323183")</f>
        <v>0</v>
      </c>
      <c r="G8269" t="s">
        <v>817</v>
      </c>
      <c r="H8269" t="s">
        <v>5574</v>
      </c>
      <c r="I8269" t="s">
        <v>9407</v>
      </c>
      <c r="J8269" t="s">
        <v>11564</v>
      </c>
      <c r="K8269" t="s">
        <v>15968</v>
      </c>
      <c r="L8269">
        <f>HYPERLINK("https://www2.assemblee-nationale.fr/sycomore/fiche/(num_dept)/7030", "7030")</f>
        <v>0</v>
      </c>
      <c r="N8269">
        <f>HYPERLINK("https://www.wikidata.org/wiki/Q3185677", "Q3185677")</f>
        <v>0</v>
      </c>
      <c r="O8269" t="s">
        <v>19990</v>
      </c>
      <c r="P8269" t="s">
        <v>20517</v>
      </c>
      <c r="Q8269" t="s">
        <v>20934</v>
      </c>
      <c r="R8269" t="s">
        <v>421</v>
      </c>
      <c r="S8269">
        <v>1486</v>
      </c>
    </row>
    <row r="8270" spans="1:19">
      <c r="A8270" t="s">
        <v>31</v>
      </c>
      <c r="B8270" t="s">
        <v>148</v>
      </c>
      <c r="C8270" t="s">
        <v>163</v>
      </c>
      <c r="D8270" t="s">
        <v>292</v>
      </c>
      <c r="E8270" t="s">
        <v>421</v>
      </c>
      <c r="F8270">
        <f>HYPERLINK("https://www.wikidata.org/wiki/Q33323183", "Q33323183")</f>
        <v>0</v>
      </c>
      <c r="G8270" t="s">
        <v>1061</v>
      </c>
      <c r="H8270" t="s">
        <v>5807</v>
      </c>
      <c r="I8270" t="s">
        <v>9647</v>
      </c>
      <c r="J8270" t="s">
        <v>11798</v>
      </c>
      <c r="K8270" t="s">
        <v>16198</v>
      </c>
      <c r="L8270">
        <f>HYPERLINK("https://www2.assemblee-nationale.fr/sycomore/fiche/(num_dept)/7040", "7040")</f>
        <v>0</v>
      </c>
      <c r="N8270">
        <f>HYPERLINK("https://www.wikidata.org/wiki/Q16026554", "Q16026554")</f>
        <v>0</v>
      </c>
      <c r="O8270" t="s">
        <v>19999</v>
      </c>
      <c r="P8270" t="s">
        <v>20515</v>
      </c>
      <c r="Q8270" t="s">
        <v>20934</v>
      </c>
      <c r="R8270" t="s">
        <v>421</v>
      </c>
      <c r="S8270">
        <v>1486</v>
      </c>
    </row>
    <row r="8271" spans="1:19">
      <c r="A8271" t="s">
        <v>31</v>
      </c>
      <c r="B8271" t="s">
        <v>148</v>
      </c>
      <c r="C8271" t="s">
        <v>163</v>
      </c>
      <c r="D8271" t="s">
        <v>292</v>
      </c>
      <c r="E8271" t="s">
        <v>421</v>
      </c>
      <c r="F8271">
        <f>HYPERLINK("https://www.wikidata.org/wiki/Q33323183", "Q33323183")</f>
        <v>0</v>
      </c>
      <c r="G8271" t="s">
        <v>818</v>
      </c>
      <c r="H8271" t="s">
        <v>5575</v>
      </c>
      <c r="I8271" t="s">
        <v>9470</v>
      </c>
      <c r="J8271" t="s">
        <v>11565</v>
      </c>
      <c r="K8271" t="s">
        <v>15969</v>
      </c>
      <c r="L8271">
        <f>HYPERLINK("https://www2.assemblee-nationale.fr/sycomore/fiche/(num_dept)/7055", "7055")</f>
        <v>0</v>
      </c>
      <c r="N8271">
        <f>HYPERLINK("https://www.wikidata.org/wiki/Q2246519", "Q2246519")</f>
        <v>0</v>
      </c>
      <c r="O8271" t="s">
        <v>20000</v>
      </c>
      <c r="P8271" t="s">
        <v>20402</v>
      </c>
      <c r="Q8271" t="s">
        <v>20934</v>
      </c>
      <c r="R8271" t="s">
        <v>421</v>
      </c>
      <c r="S8271">
        <v>1486</v>
      </c>
    </row>
    <row r="8272" spans="1:19">
      <c r="A8272" t="s">
        <v>31</v>
      </c>
      <c r="B8272" t="s">
        <v>148</v>
      </c>
      <c r="C8272" t="s">
        <v>163</v>
      </c>
      <c r="D8272" t="s">
        <v>292</v>
      </c>
      <c r="E8272" t="s">
        <v>421</v>
      </c>
      <c r="F8272">
        <f>HYPERLINK("https://www.wikidata.org/wiki/Q33323183", "Q33323183")</f>
        <v>0</v>
      </c>
      <c r="G8272" t="s">
        <v>4015</v>
      </c>
      <c r="H8272" t="s">
        <v>8249</v>
      </c>
      <c r="I8272" t="s">
        <v>9449</v>
      </c>
      <c r="J8272" t="s">
        <v>14559</v>
      </c>
      <c r="K8272" t="s">
        <v>18904</v>
      </c>
      <c r="L8272">
        <f>HYPERLINK("https://www2.assemblee-nationale.fr/sycomore/fiche/(num_dept)/7113", "7113")</f>
        <v>0</v>
      </c>
      <c r="N8272">
        <f>HYPERLINK("https://www.wikidata.org/wiki/Q16026565", "Q16026565")</f>
        <v>0</v>
      </c>
      <c r="O8272" t="s">
        <v>19977</v>
      </c>
      <c r="P8272" t="s">
        <v>20489</v>
      </c>
      <c r="Q8272" t="s">
        <v>20934</v>
      </c>
      <c r="R8272" t="s">
        <v>18904</v>
      </c>
      <c r="S8272">
        <v>1242</v>
      </c>
    </row>
    <row r="8273" spans="1:19">
      <c r="A8273" t="s">
        <v>31</v>
      </c>
      <c r="B8273" t="s">
        <v>148</v>
      </c>
      <c r="C8273" t="s">
        <v>163</v>
      </c>
      <c r="D8273" t="s">
        <v>292</v>
      </c>
      <c r="E8273" t="s">
        <v>421</v>
      </c>
      <c r="F8273">
        <f>HYPERLINK("https://www.wikidata.org/wiki/Q33323183", "Q33323183")</f>
        <v>0</v>
      </c>
      <c r="G8273" t="s">
        <v>4088</v>
      </c>
      <c r="H8273" t="s">
        <v>8302</v>
      </c>
      <c r="I8273" t="s">
        <v>6584</v>
      </c>
      <c r="J8273" t="s">
        <v>14626</v>
      </c>
      <c r="K8273" t="s">
        <v>18962</v>
      </c>
      <c r="L8273">
        <f>HYPERLINK("https://www2.assemblee-nationale.fr/sycomore/fiche/(num_dept)/7117", "7117")</f>
        <v>0</v>
      </c>
      <c r="N8273">
        <f>HYPERLINK("https://www.wikidata.org/wiki/Q2831585", "Q2831585")</f>
        <v>0</v>
      </c>
      <c r="O8273" t="s">
        <v>20019</v>
      </c>
      <c r="P8273" t="s">
        <v>20489</v>
      </c>
      <c r="Q8273" t="s">
        <v>20934</v>
      </c>
      <c r="R8273" t="s">
        <v>18962</v>
      </c>
      <c r="S8273">
        <v>1216</v>
      </c>
    </row>
    <row r="8274" spans="1:19">
      <c r="A8274" t="s">
        <v>31</v>
      </c>
      <c r="B8274" t="s">
        <v>148</v>
      </c>
      <c r="C8274" t="s">
        <v>163</v>
      </c>
      <c r="D8274" t="s">
        <v>292</v>
      </c>
      <c r="E8274" t="s">
        <v>421</v>
      </c>
      <c r="F8274">
        <f>HYPERLINK("https://www.wikidata.org/wiki/Q33323183", "Q33323183")</f>
        <v>0</v>
      </c>
      <c r="G8274" t="s">
        <v>820</v>
      </c>
      <c r="H8274" t="s">
        <v>5577</v>
      </c>
      <c r="I8274" t="s">
        <v>9538</v>
      </c>
      <c r="J8274" t="s">
        <v>11567</v>
      </c>
      <c r="K8274" t="s">
        <v>15880</v>
      </c>
      <c r="L8274">
        <f>HYPERLINK("https://www2.assemblee-nationale.fr/sycomore/fiche/(num_dept)/7164", "7164")</f>
        <v>0</v>
      </c>
      <c r="N8274">
        <f>HYPERLINK("https://www.wikidata.org/wiki/Q15235896", "Q15235896")</f>
        <v>0</v>
      </c>
      <c r="O8274" t="s">
        <v>20000</v>
      </c>
      <c r="P8274" t="s">
        <v>20489</v>
      </c>
      <c r="Q8274" t="s">
        <v>20934</v>
      </c>
      <c r="R8274" t="s">
        <v>421</v>
      </c>
      <c r="S8274">
        <v>1486</v>
      </c>
    </row>
    <row r="8275" spans="1:19">
      <c r="A8275" t="s">
        <v>31</v>
      </c>
      <c r="B8275" t="s">
        <v>148</v>
      </c>
      <c r="C8275" t="s">
        <v>163</v>
      </c>
      <c r="D8275" t="s">
        <v>292</v>
      </c>
      <c r="E8275" t="s">
        <v>421</v>
      </c>
      <c r="F8275">
        <f>HYPERLINK("https://www.wikidata.org/wiki/Q33323183", "Q33323183")</f>
        <v>0</v>
      </c>
      <c r="G8275" t="s">
        <v>3604</v>
      </c>
      <c r="H8275" t="s">
        <v>7948</v>
      </c>
      <c r="I8275" t="s">
        <v>9457</v>
      </c>
      <c r="J8275" t="s">
        <v>14189</v>
      </c>
      <c r="K8275" t="s">
        <v>18555</v>
      </c>
      <c r="L8275">
        <f>HYPERLINK("https://www2.assemblee-nationale.fr/sycomore/fiche/(num_dept)/7193", "7193")</f>
        <v>0</v>
      </c>
      <c r="M8275">
        <f>HYPERLINK("https://www.senat.fr/senateur-3eme-republique/vacherie_henri1791r3.html", "vacherie_henri1791r3")</f>
        <v>0</v>
      </c>
      <c r="N8275">
        <f>HYPERLINK("https://www.wikidata.org/wiki/Q3132113", "Q3132113")</f>
        <v>0</v>
      </c>
      <c r="O8275" t="s">
        <v>19977</v>
      </c>
      <c r="P8275" t="s">
        <v>20401</v>
      </c>
      <c r="Q8275" t="s">
        <v>20934</v>
      </c>
      <c r="R8275" t="s">
        <v>399</v>
      </c>
      <c r="S8275">
        <v>973</v>
      </c>
    </row>
    <row r="8276" spans="1:19">
      <c r="A8276" t="s">
        <v>31</v>
      </c>
      <c r="B8276" t="s">
        <v>148</v>
      </c>
      <c r="C8276" t="s">
        <v>163</v>
      </c>
      <c r="D8276" t="s">
        <v>292</v>
      </c>
      <c r="E8276" t="s">
        <v>421</v>
      </c>
      <c r="F8276">
        <f>HYPERLINK("https://www.wikidata.org/wiki/Q33323183", "Q33323183")</f>
        <v>0</v>
      </c>
      <c r="G8276" t="s">
        <v>823</v>
      </c>
      <c r="H8276" t="s">
        <v>5580</v>
      </c>
      <c r="I8276" t="s">
        <v>7642</v>
      </c>
      <c r="J8276" t="s">
        <v>11570</v>
      </c>
      <c r="K8276" t="s">
        <v>15973</v>
      </c>
      <c r="L8276">
        <f>HYPERLINK("https://www2.assemblee-nationale.fr/sycomore/fiche/(num_dept)/7238", "7238")</f>
        <v>0</v>
      </c>
      <c r="M8276">
        <f>HYPERLINK("https://www.senat.fr/senateur-3eme-republique/viollette_maurice0773r3.html", "viollette_maurice0773r3")</f>
        <v>0</v>
      </c>
      <c r="N8276">
        <f>HYPERLINK("https://www.wikidata.org/wiki/Q3301513", "Q3301513")</f>
        <v>0</v>
      </c>
      <c r="O8276" t="s">
        <v>19971</v>
      </c>
      <c r="P8276" t="s">
        <v>20485</v>
      </c>
      <c r="Q8276" t="s">
        <v>20934</v>
      </c>
      <c r="R8276" t="s">
        <v>421</v>
      </c>
      <c r="S8276">
        <v>1486</v>
      </c>
    </row>
    <row r="8277" spans="1:19">
      <c r="A8277" t="s">
        <v>31</v>
      </c>
      <c r="B8277" t="s">
        <v>148</v>
      </c>
      <c r="C8277" t="s">
        <v>163</v>
      </c>
      <c r="D8277" t="s">
        <v>292</v>
      </c>
      <c r="E8277" t="s">
        <v>421</v>
      </c>
      <c r="F8277">
        <f>HYPERLINK("https://www.wikidata.org/wiki/Q33323183", "Q33323183")</f>
        <v>0</v>
      </c>
      <c r="G8277" t="s">
        <v>825</v>
      </c>
      <c r="H8277" t="s">
        <v>5582</v>
      </c>
      <c r="I8277" t="s">
        <v>6200</v>
      </c>
      <c r="J8277" t="s">
        <v>11572</v>
      </c>
      <c r="K8277" t="s">
        <v>15974</v>
      </c>
      <c r="L8277">
        <f>HYPERLINK("https://www2.assemblee-nationale.fr/sycomore/fiche/(num_dept)/7358", "7358")</f>
        <v>0</v>
      </c>
      <c r="M8277">
        <f>HYPERLINK("https://www.senat.fr/senateur-3eme-republique/villault_duchesnois_jean1032r3.html", "villault_duchesnois_jean1032r3")</f>
        <v>0</v>
      </c>
      <c r="N8277">
        <f>HYPERLINK("https://www.wikidata.org/wiki/Q3175043", "Q3175043")</f>
        <v>0</v>
      </c>
      <c r="O8277" t="s">
        <v>19985</v>
      </c>
      <c r="P8277" t="s">
        <v>20457</v>
      </c>
      <c r="Q8277" t="s">
        <v>20934</v>
      </c>
      <c r="R8277" t="s">
        <v>421</v>
      </c>
      <c r="S8277">
        <v>1486</v>
      </c>
    </row>
    <row r="8278" spans="1:19">
      <c r="A8278" t="s">
        <v>31</v>
      </c>
      <c r="B8278" t="s">
        <v>148</v>
      </c>
      <c r="C8278" t="s">
        <v>163</v>
      </c>
      <c r="D8278" t="s">
        <v>292</v>
      </c>
      <c r="E8278" t="s">
        <v>421</v>
      </c>
      <c r="F8278">
        <f>HYPERLINK("https://www.wikidata.org/wiki/Q33323183", "Q33323183")</f>
        <v>0</v>
      </c>
      <c r="G8278" t="s">
        <v>1069</v>
      </c>
      <c r="H8278" t="s">
        <v>5814</v>
      </c>
      <c r="I8278" t="s">
        <v>9653</v>
      </c>
      <c r="J8278" t="s">
        <v>11795</v>
      </c>
      <c r="K8278" t="s">
        <v>16206</v>
      </c>
      <c r="L8278">
        <f>HYPERLINK("https://www2.assemblee-nationale.fr/sycomore/fiche/(num_dept)/7371", "7371")</f>
        <v>0</v>
      </c>
      <c r="N8278">
        <f>HYPERLINK("https://www.wikidata.org/wiki/Q16026582", "Q16026582")</f>
        <v>0</v>
      </c>
      <c r="O8278" t="s">
        <v>20013</v>
      </c>
      <c r="P8278" t="s">
        <v>20410</v>
      </c>
      <c r="Q8278" t="s">
        <v>20934</v>
      </c>
      <c r="R8278" t="s">
        <v>421</v>
      </c>
      <c r="S8278">
        <v>1486</v>
      </c>
    </row>
    <row r="8279" spans="1:19">
      <c r="A8279" t="s">
        <v>31</v>
      </c>
      <c r="B8279" t="s">
        <v>148</v>
      </c>
      <c r="C8279" t="s">
        <v>163</v>
      </c>
      <c r="D8279" t="s">
        <v>292</v>
      </c>
      <c r="E8279" t="s">
        <v>421</v>
      </c>
      <c r="F8279">
        <f>HYPERLINK("https://www.wikidata.org/wiki/Q33323183", "Q33323183")</f>
        <v>0</v>
      </c>
      <c r="G8279" t="s">
        <v>1070</v>
      </c>
      <c r="H8279" t="s">
        <v>5815</v>
      </c>
      <c r="I8279" t="s">
        <v>6584</v>
      </c>
      <c r="J8279" t="s">
        <v>11806</v>
      </c>
      <c r="K8279" t="s">
        <v>16207</v>
      </c>
      <c r="L8279">
        <f>HYPERLINK("https://www2.assemblee-nationale.fr/sycomore/fiche/(num_dept)/7390", "7390")</f>
        <v>0</v>
      </c>
      <c r="N8279">
        <f>HYPERLINK("https://www.wikidata.org/wiki/Q13080029", "Q13080029")</f>
        <v>0</v>
      </c>
      <c r="O8279" t="s">
        <v>19969</v>
      </c>
      <c r="P8279" t="s">
        <v>20515</v>
      </c>
      <c r="Q8279" t="s">
        <v>20934</v>
      </c>
      <c r="R8279" t="s">
        <v>421</v>
      </c>
      <c r="S8279">
        <v>1486</v>
      </c>
    </row>
    <row r="8280" spans="1:19">
      <c r="A8280" t="s">
        <v>31</v>
      </c>
      <c r="B8280" t="s">
        <v>148</v>
      </c>
      <c r="C8280" t="s">
        <v>163</v>
      </c>
      <c r="D8280" t="s">
        <v>292</v>
      </c>
      <c r="E8280" t="s">
        <v>421</v>
      </c>
      <c r="F8280">
        <f>HYPERLINK("https://www.wikidata.org/wiki/Q33323183", "Q33323183")</f>
        <v>0</v>
      </c>
      <c r="G8280" t="s">
        <v>828</v>
      </c>
      <c r="H8280" t="s">
        <v>5585</v>
      </c>
      <c r="I8280" t="s">
        <v>9375</v>
      </c>
      <c r="J8280" t="s">
        <v>11575</v>
      </c>
      <c r="K8280" t="s">
        <v>15977</v>
      </c>
      <c r="L8280">
        <f>HYPERLINK("https://www2.assemblee-nationale.fr/sycomore/fiche/(num_dept)/7392", "7392")</f>
        <v>0</v>
      </c>
      <c r="N8280">
        <f>HYPERLINK("https://www.wikidata.org/wiki/Q274464", "Q274464")</f>
        <v>0</v>
      </c>
      <c r="O8280" t="s">
        <v>19969</v>
      </c>
      <c r="P8280" t="s">
        <v>20515</v>
      </c>
      <c r="Q8280" t="s">
        <v>20934</v>
      </c>
      <c r="R8280" t="s">
        <v>421</v>
      </c>
      <c r="S8280">
        <v>1486</v>
      </c>
    </row>
    <row r="8281" spans="1:19">
      <c r="A8281" t="s">
        <v>31</v>
      </c>
      <c r="B8281" t="s">
        <v>148</v>
      </c>
      <c r="C8281" t="s">
        <v>163</v>
      </c>
      <c r="D8281" t="s">
        <v>292</v>
      </c>
      <c r="E8281" t="s">
        <v>421</v>
      </c>
      <c r="F8281">
        <f>HYPERLINK("https://www.wikidata.org/wiki/Q33323183", "Q33323183")</f>
        <v>0</v>
      </c>
      <c r="G8281" t="s">
        <v>829</v>
      </c>
      <c r="H8281" t="s">
        <v>5586</v>
      </c>
      <c r="I8281" t="s">
        <v>9468</v>
      </c>
      <c r="J8281" t="s">
        <v>11576</v>
      </c>
      <c r="K8281" t="s">
        <v>15978</v>
      </c>
      <c r="L8281">
        <f>HYPERLINK("https://www2.assemblee-nationale.fr/sycomore/fiche/(num_dept)/7393", "7393")</f>
        <v>0</v>
      </c>
      <c r="N8281">
        <f>HYPERLINK("https://www.wikidata.org/wiki/Q16026605", "Q16026605")</f>
        <v>0</v>
      </c>
      <c r="O8281" t="s">
        <v>20042</v>
      </c>
      <c r="P8281" t="s">
        <v>20515</v>
      </c>
      <c r="Q8281" t="s">
        <v>20934</v>
      </c>
      <c r="R8281" t="s">
        <v>421</v>
      </c>
      <c r="S8281">
        <v>1486</v>
      </c>
    </row>
    <row r="8282" spans="1:19">
      <c r="A8282" t="s">
        <v>31</v>
      </c>
      <c r="B8282" t="s">
        <v>148</v>
      </c>
      <c r="C8282" t="s">
        <v>163</v>
      </c>
      <c r="D8282" t="s">
        <v>292</v>
      </c>
      <c r="E8282" t="s">
        <v>421</v>
      </c>
      <c r="F8282">
        <f>HYPERLINK("https://www.wikidata.org/wiki/Q33323183", "Q33323183")</f>
        <v>0</v>
      </c>
      <c r="G8282" t="s">
        <v>830</v>
      </c>
      <c r="H8282" t="s">
        <v>5587</v>
      </c>
      <c r="I8282" t="s">
        <v>9541</v>
      </c>
      <c r="J8282" t="s">
        <v>11577</v>
      </c>
      <c r="K8282" t="s">
        <v>15979</v>
      </c>
      <c r="L8282">
        <f>HYPERLINK("https://www2.assemblee-nationale.fr/sycomore/fiche/(num_dept)/7418", "7418")</f>
        <v>0</v>
      </c>
      <c r="M8282">
        <f>HYPERLINK("https://www.senat.fr/senateur-3eme-republique/villiers_emile0785r3.html", "villiers_emile0785r3")</f>
        <v>0</v>
      </c>
      <c r="N8282">
        <f>HYPERLINK("https://www.wikidata.org/wiki/Q3083748", "Q3083748")</f>
        <v>0</v>
      </c>
      <c r="O8282" t="s">
        <v>20011</v>
      </c>
      <c r="P8282" t="s">
        <v>20410</v>
      </c>
      <c r="Q8282" t="s">
        <v>20934</v>
      </c>
      <c r="R8282" t="s">
        <v>421</v>
      </c>
      <c r="S8282">
        <v>1486</v>
      </c>
    </row>
    <row r="8283" spans="1:19">
      <c r="A8283" t="s">
        <v>31</v>
      </c>
      <c r="B8283" t="s">
        <v>148</v>
      </c>
      <c r="C8283" t="s">
        <v>163</v>
      </c>
      <c r="D8283" t="s">
        <v>292</v>
      </c>
      <c r="E8283" t="s">
        <v>421</v>
      </c>
      <c r="F8283">
        <f>HYPERLINK("https://www.wikidata.org/wiki/Q33323183", "Q33323183")</f>
        <v>0</v>
      </c>
      <c r="G8283" t="s">
        <v>4040</v>
      </c>
      <c r="H8283" t="s">
        <v>8269</v>
      </c>
      <c r="I8283" t="s">
        <v>11075</v>
      </c>
      <c r="J8283" t="s">
        <v>14581</v>
      </c>
      <c r="K8283" t="s">
        <v>16678</v>
      </c>
      <c r="L8283">
        <f>HYPERLINK("https://www2.assemblee-nationale.fr/sycomore/fiche/(num_dept)/7428", "7428")</f>
        <v>0</v>
      </c>
      <c r="N8283">
        <f>HYPERLINK("https://www.wikidata.org/wiki/Q16026580", "Q16026580")</f>
        <v>0</v>
      </c>
      <c r="O8283" t="s">
        <v>19968</v>
      </c>
      <c r="P8283" t="s">
        <v>20517</v>
      </c>
      <c r="Q8283" t="s">
        <v>20934</v>
      </c>
      <c r="R8283" t="s">
        <v>421</v>
      </c>
      <c r="S8283">
        <v>1486</v>
      </c>
    </row>
    <row r="8284" spans="1:19">
      <c r="A8284" t="s">
        <v>31</v>
      </c>
      <c r="B8284" t="s">
        <v>148</v>
      </c>
      <c r="C8284" t="s">
        <v>163</v>
      </c>
      <c r="D8284" t="s">
        <v>292</v>
      </c>
      <c r="E8284" t="s">
        <v>421</v>
      </c>
      <c r="F8284">
        <f>HYPERLINK("https://www.wikidata.org/wiki/Q33323183", "Q33323183")</f>
        <v>0</v>
      </c>
      <c r="G8284" t="s">
        <v>4167</v>
      </c>
      <c r="H8284" t="s">
        <v>8367</v>
      </c>
      <c r="I8284" t="s">
        <v>9457</v>
      </c>
      <c r="J8284" t="s">
        <v>11419</v>
      </c>
      <c r="K8284" t="s">
        <v>19030</v>
      </c>
      <c r="L8284">
        <f>HYPERLINK("https://www2.assemblee-nationale.fr/sycomore/fiche/(num_dept)/7430", "7430")</f>
        <v>0</v>
      </c>
      <c r="N8284">
        <f>HYPERLINK("https://www.wikidata.org/wiki/Q16026617", "Q16026617")</f>
        <v>0</v>
      </c>
      <c r="O8284" t="s">
        <v>20012</v>
      </c>
      <c r="P8284" t="s">
        <v>20459</v>
      </c>
      <c r="Q8284" t="s">
        <v>20934</v>
      </c>
      <c r="R8284" t="s">
        <v>421</v>
      </c>
      <c r="S8284">
        <v>1486</v>
      </c>
    </row>
    <row r="8285" spans="1:19">
      <c r="A8285" t="s">
        <v>31</v>
      </c>
      <c r="B8285" t="s">
        <v>148</v>
      </c>
      <c r="C8285" t="s">
        <v>163</v>
      </c>
      <c r="D8285" t="s">
        <v>292</v>
      </c>
      <c r="E8285" t="s">
        <v>421</v>
      </c>
      <c r="F8285">
        <f>HYPERLINK("https://www.wikidata.org/wiki/Q33323183", "Q33323183")</f>
        <v>0</v>
      </c>
      <c r="G8285" t="s">
        <v>3836</v>
      </c>
      <c r="H8285" t="s">
        <v>8114</v>
      </c>
      <c r="I8285" t="s">
        <v>9465</v>
      </c>
      <c r="J8285" t="s">
        <v>14398</v>
      </c>
      <c r="K8285" t="s">
        <v>18752</v>
      </c>
      <c r="L8285">
        <f>HYPERLINK("https://www2.assemblee-nationale.fr/sycomore/fiche/(num_dept)/7431", "7431")</f>
        <v>0</v>
      </c>
      <c r="N8285">
        <f>HYPERLINK("https://www.wikidata.org/wiki/Q16026607", "Q16026607")</f>
        <v>0</v>
      </c>
      <c r="O8285" t="s">
        <v>20034</v>
      </c>
      <c r="P8285" t="s">
        <v>20489</v>
      </c>
      <c r="Q8285" t="s">
        <v>20934</v>
      </c>
      <c r="R8285" t="s">
        <v>421</v>
      </c>
      <c r="S8285">
        <v>1486</v>
      </c>
    </row>
    <row r="8286" spans="1:19">
      <c r="A8286" t="s">
        <v>31</v>
      </c>
      <c r="B8286" t="s">
        <v>148</v>
      </c>
      <c r="C8286" t="s">
        <v>163</v>
      </c>
      <c r="D8286" t="s">
        <v>292</v>
      </c>
      <c r="E8286" t="s">
        <v>421</v>
      </c>
      <c r="F8286">
        <f>HYPERLINK("https://www.wikidata.org/wiki/Q33323183", "Q33323183")</f>
        <v>0</v>
      </c>
      <c r="G8286" t="s">
        <v>3508</v>
      </c>
      <c r="H8286" t="s">
        <v>7875</v>
      </c>
      <c r="I8286" t="s">
        <v>6495</v>
      </c>
      <c r="J8286" t="s">
        <v>11505</v>
      </c>
      <c r="K8286" t="s">
        <v>18470</v>
      </c>
      <c r="L8286">
        <f>HYPERLINK("https://www2.assemblee-nationale.fr/sycomore/fiche/(num_dept)/7433", "7433")</f>
        <v>0</v>
      </c>
      <c r="N8286">
        <f>HYPERLINK("https://www.wikidata.org/wiki/Q16026620", "Q16026620")</f>
        <v>0</v>
      </c>
      <c r="O8286" t="s">
        <v>19974</v>
      </c>
      <c r="P8286" t="s">
        <v>20401</v>
      </c>
      <c r="Q8286" t="s">
        <v>20934</v>
      </c>
      <c r="R8286" t="s">
        <v>18470</v>
      </c>
      <c r="S8286">
        <v>104</v>
      </c>
    </row>
    <row r="8287" spans="1:19">
      <c r="A8287" t="s">
        <v>31</v>
      </c>
      <c r="B8287" t="s">
        <v>148</v>
      </c>
      <c r="C8287" t="s">
        <v>163</v>
      </c>
      <c r="D8287" t="s">
        <v>292</v>
      </c>
      <c r="E8287" t="s">
        <v>421</v>
      </c>
      <c r="F8287">
        <f>HYPERLINK("https://www.wikidata.org/wiki/Q33323183", "Q33323183")</f>
        <v>0</v>
      </c>
      <c r="G8287" t="s">
        <v>834</v>
      </c>
      <c r="H8287" t="s">
        <v>5591</v>
      </c>
      <c r="I8287" t="s">
        <v>9544</v>
      </c>
      <c r="J8287" t="s">
        <v>11581</v>
      </c>
      <c r="K8287" t="s">
        <v>15983</v>
      </c>
      <c r="L8287">
        <f>HYPERLINK("https://www2.assemblee-nationale.fr/sycomore/fiche/(num_dept)/7493", "7493")</f>
        <v>0</v>
      </c>
      <c r="M8287">
        <f>HYPERLINK("https://www.senat.fr/senateur-3eme-republique/lauraine_jean_octave0422r3.html", "lauraine_jean_octave0422r3")</f>
        <v>0</v>
      </c>
      <c r="N8287">
        <f>HYPERLINK("https://www.wikidata.org/wiki/Q3168275", "Q3168275")</f>
        <v>0</v>
      </c>
      <c r="O8287" t="s">
        <v>20037</v>
      </c>
      <c r="P8287" t="s">
        <v>20401</v>
      </c>
      <c r="Q8287" t="s">
        <v>20934</v>
      </c>
      <c r="R8287" t="s">
        <v>421</v>
      </c>
      <c r="S8287">
        <v>1486</v>
      </c>
    </row>
    <row r="8288" spans="1:19">
      <c r="A8288" t="s">
        <v>31</v>
      </c>
      <c r="B8288" t="s">
        <v>148</v>
      </c>
      <c r="C8288" t="s">
        <v>163</v>
      </c>
      <c r="D8288" t="s">
        <v>292</v>
      </c>
      <c r="E8288" t="s">
        <v>421</v>
      </c>
      <c r="F8288">
        <f>HYPERLINK("https://www.wikidata.org/wiki/Q33323183", "Q33323183")</f>
        <v>0</v>
      </c>
      <c r="G8288" t="s">
        <v>835</v>
      </c>
      <c r="H8288" t="s">
        <v>5592</v>
      </c>
      <c r="I8288" t="s">
        <v>7671</v>
      </c>
      <c r="J8288" t="s">
        <v>11582</v>
      </c>
      <c r="K8288" t="s">
        <v>15984</v>
      </c>
      <c r="L8288">
        <f>HYPERLINK("https://www2.assemblee-nationale.fr/sycomore/fiche/(num_dept)/7506", "7506")</f>
        <v>0</v>
      </c>
      <c r="N8288">
        <f>HYPERLINK("https://www.wikidata.org/wiki/Q16025953", "Q16025953")</f>
        <v>0</v>
      </c>
      <c r="O8288" t="s">
        <v>19997</v>
      </c>
      <c r="P8288" t="s">
        <v>20517</v>
      </c>
      <c r="Q8288" t="s">
        <v>20934</v>
      </c>
      <c r="R8288" t="s">
        <v>421</v>
      </c>
      <c r="S8288">
        <v>1486</v>
      </c>
    </row>
    <row r="8289" spans="1:19">
      <c r="A8289" t="s">
        <v>31</v>
      </c>
      <c r="B8289" t="s">
        <v>148</v>
      </c>
      <c r="C8289" t="s">
        <v>163</v>
      </c>
      <c r="D8289" t="s">
        <v>292</v>
      </c>
      <c r="E8289" t="s">
        <v>421</v>
      </c>
      <c r="F8289">
        <f>HYPERLINK("https://www.wikidata.org/wiki/Q33323183", "Q33323183")</f>
        <v>0</v>
      </c>
      <c r="G8289" t="s">
        <v>836</v>
      </c>
      <c r="H8289" t="s">
        <v>5593</v>
      </c>
      <c r="I8289" t="s">
        <v>9457</v>
      </c>
      <c r="J8289" t="s">
        <v>11583</v>
      </c>
      <c r="K8289" t="s">
        <v>15985</v>
      </c>
      <c r="L8289">
        <f>HYPERLINK("https://www2.assemblee-nationale.fr/sycomore/fiche/(num_dept)/7531", "7531")</f>
        <v>0</v>
      </c>
      <c r="M8289">
        <f>HYPERLINK("https://www.senat.fr/senateur-3eme-republique/de_lavrignais_henri1754r3.html", "de_lavrignais_henri1754r3")</f>
        <v>0</v>
      </c>
      <c r="N8289">
        <f>HYPERLINK("https://www.wikidata.org/wiki/Q3132304", "Q3132304")</f>
        <v>0</v>
      </c>
      <c r="O8289" t="s">
        <v>19972</v>
      </c>
      <c r="P8289" t="s">
        <v>20409</v>
      </c>
      <c r="Q8289" t="s">
        <v>20934</v>
      </c>
      <c r="R8289" t="s">
        <v>421</v>
      </c>
      <c r="S8289">
        <v>1486</v>
      </c>
    </row>
    <row r="8290" spans="1:19">
      <c r="A8290" t="s">
        <v>31</v>
      </c>
      <c r="B8290" t="s">
        <v>148</v>
      </c>
      <c r="C8290" t="s">
        <v>163</v>
      </c>
      <c r="D8290" t="s">
        <v>292</v>
      </c>
      <c r="E8290" t="s">
        <v>421</v>
      </c>
      <c r="F8290">
        <f>HYPERLINK("https://www.wikidata.org/wiki/Q33323183", "Q33323183")</f>
        <v>0</v>
      </c>
      <c r="G8290" t="s">
        <v>837</v>
      </c>
      <c r="H8290" t="s">
        <v>5594</v>
      </c>
      <c r="I8290" t="s">
        <v>9545</v>
      </c>
      <c r="J8290" t="s">
        <v>11584</v>
      </c>
      <c r="K8290" t="s">
        <v>15986</v>
      </c>
      <c r="L8290">
        <f>HYPERLINK("https://www2.assemblee-nationale.fr/sycomore/fiche/(num_dept)/7540", "7540")</f>
        <v>0</v>
      </c>
      <c r="M8290">
        <f>HYPERLINK("https://www.senat.fr/senateur-3eme-republique/le_bail_georges0793r3.html", "le_bail_georges0793r3")</f>
        <v>0</v>
      </c>
      <c r="N8290">
        <f>HYPERLINK("https://www.wikidata.org/wiki/Q2381659", "Q2381659")</f>
        <v>0</v>
      </c>
      <c r="O8290" t="s">
        <v>20011</v>
      </c>
      <c r="P8290" t="s">
        <v>20401</v>
      </c>
      <c r="Q8290" t="s">
        <v>20934</v>
      </c>
      <c r="R8290" t="s">
        <v>421</v>
      </c>
      <c r="S8290">
        <v>1486</v>
      </c>
    </row>
    <row r="8291" spans="1:19">
      <c r="A8291" t="s">
        <v>31</v>
      </c>
      <c r="B8291" t="s">
        <v>148</v>
      </c>
      <c r="C8291" t="s">
        <v>163</v>
      </c>
      <c r="D8291" t="s">
        <v>292</v>
      </c>
      <c r="E8291" t="s">
        <v>421</v>
      </c>
      <c r="F8291">
        <f>HYPERLINK("https://www.wikidata.org/wiki/Q33323183", "Q33323183")</f>
        <v>0</v>
      </c>
      <c r="G8291" t="s">
        <v>840</v>
      </c>
      <c r="H8291" t="s">
        <v>5597</v>
      </c>
      <c r="I8291" t="s">
        <v>9547</v>
      </c>
      <c r="J8291" t="s">
        <v>11587</v>
      </c>
      <c r="K8291" t="s">
        <v>15989</v>
      </c>
      <c r="L8291">
        <f>HYPERLINK("https://www2.assemblee-nationale.fr/sycomore/fiche/(num_dept)/7587", "7587")</f>
        <v>0</v>
      </c>
      <c r="N8291">
        <f>HYPERLINK("https://www.wikidata.org/wiki/Q3351149", "Q3351149")</f>
        <v>0</v>
      </c>
      <c r="O8291" t="s">
        <v>19998</v>
      </c>
      <c r="P8291" t="s">
        <v>20409</v>
      </c>
      <c r="Q8291" t="s">
        <v>20934</v>
      </c>
      <c r="R8291" t="s">
        <v>421</v>
      </c>
      <c r="S8291">
        <v>1486</v>
      </c>
    </row>
    <row r="8292" spans="1:19">
      <c r="A8292" t="s">
        <v>31</v>
      </c>
      <c r="B8292" t="s">
        <v>148</v>
      </c>
      <c r="C8292" t="s">
        <v>163</v>
      </c>
      <c r="D8292" t="s">
        <v>292</v>
      </c>
      <c r="E8292" t="s">
        <v>421</v>
      </c>
      <c r="F8292">
        <f>HYPERLINK("https://www.wikidata.org/wiki/Q33323183", "Q33323183")</f>
        <v>0</v>
      </c>
      <c r="G8292" t="s">
        <v>844</v>
      </c>
      <c r="H8292" t="s">
        <v>5601</v>
      </c>
      <c r="I8292" t="s">
        <v>9551</v>
      </c>
      <c r="J8292" t="s">
        <v>11591</v>
      </c>
      <c r="K8292" t="s">
        <v>15993</v>
      </c>
      <c r="L8292">
        <f>HYPERLINK("https://www2.assemblee-nationale.fr/sycomore/fiche/(num_dept)/7628", "7628")</f>
        <v>0</v>
      </c>
      <c r="M8292">
        <f>HYPERLINK("https://www.senat.fr/senateur-3eme-republique/le_troadec_paul0586r3.html", "le_troadec_paul0586r3")</f>
        <v>0</v>
      </c>
      <c r="N8292">
        <f>HYPERLINK("https://www.wikidata.org/wiki/Q3371653", "Q3371653")</f>
        <v>0</v>
      </c>
      <c r="O8292" t="s">
        <v>19964</v>
      </c>
      <c r="P8292" t="s">
        <v>20401</v>
      </c>
      <c r="Q8292" t="s">
        <v>20934</v>
      </c>
      <c r="R8292" t="s">
        <v>421</v>
      </c>
      <c r="S8292">
        <v>1486</v>
      </c>
    </row>
    <row r="8293" spans="1:19">
      <c r="A8293" t="s">
        <v>31</v>
      </c>
      <c r="B8293" t="s">
        <v>148</v>
      </c>
      <c r="C8293" t="s">
        <v>163</v>
      </c>
      <c r="D8293" t="s">
        <v>292</v>
      </c>
      <c r="E8293" t="s">
        <v>421</v>
      </c>
      <c r="F8293">
        <f>HYPERLINK("https://www.wikidata.org/wiki/Q33323183", "Q33323183")</f>
        <v>0</v>
      </c>
      <c r="G8293" t="s">
        <v>3618</v>
      </c>
      <c r="H8293" t="s">
        <v>7237</v>
      </c>
      <c r="I8293" t="s">
        <v>9388</v>
      </c>
      <c r="J8293" t="s">
        <v>14200</v>
      </c>
      <c r="K8293" t="s">
        <v>16176</v>
      </c>
      <c r="L8293">
        <f>HYPERLINK("https://www2.assemblee-nationale.fr/sycomore/fiche/(num_dept)/7638", "7638")</f>
        <v>0</v>
      </c>
      <c r="N8293">
        <f>HYPERLINK("https://www.wikidata.org/wiki/Q3371659", "Q3371659")</f>
        <v>0</v>
      </c>
      <c r="O8293" t="s">
        <v>19976</v>
      </c>
      <c r="P8293" t="s">
        <v>20517</v>
      </c>
      <c r="Q8293" t="s">
        <v>20934</v>
      </c>
      <c r="R8293" t="s">
        <v>421</v>
      </c>
      <c r="S8293">
        <v>1486</v>
      </c>
    </row>
    <row r="8294" spans="1:19">
      <c r="A8294" t="s">
        <v>31</v>
      </c>
      <c r="B8294" t="s">
        <v>148</v>
      </c>
      <c r="C8294" t="s">
        <v>163</v>
      </c>
      <c r="D8294" t="s">
        <v>292</v>
      </c>
      <c r="E8294" t="s">
        <v>421</v>
      </c>
      <c r="F8294">
        <f>HYPERLINK("https://www.wikidata.org/wiki/Q33323183", "Q33323183")</f>
        <v>0</v>
      </c>
      <c r="G8294" t="s">
        <v>4189</v>
      </c>
      <c r="H8294" t="s">
        <v>7631</v>
      </c>
      <c r="I8294" t="s">
        <v>9602</v>
      </c>
      <c r="J8294" t="s">
        <v>14706</v>
      </c>
      <c r="K8294" t="s">
        <v>17268</v>
      </c>
      <c r="L8294">
        <f>HYPERLINK("https://www2.assemblee-nationale.fr/sycomore/fiche/(num_dept)/7642", "7642")</f>
        <v>0</v>
      </c>
      <c r="M8294">
        <f>HYPERLINK("https://www.senat.fr/senateur-3eme-republique/leblanc_edmond0970r3.html", "leblanc_edmond0970r3")</f>
        <v>0</v>
      </c>
      <c r="N8294">
        <f>HYPERLINK("https://www.wikidata.org/wiki/Q3047896", "Q3047896")</f>
        <v>0</v>
      </c>
      <c r="O8294" t="s">
        <v>19984</v>
      </c>
      <c r="P8294" t="s">
        <v>20410</v>
      </c>
      <c r="Q8294" t="s">
        <v>20934</v>
      </c>
      <c r="R8294" t="s">
        <v>421</v>
      </c>
      <c r="S8294">
        <v>1486</v>
      </c>
    </row>
    <row r="8295" spans="1:19">
      <c r="A8295" t="s">
        <v>31</v>
      </c>
      <c r="B8295" t="s">
        <v>148</v>
      </c>
      <c r="C8295" t="s">
        <v>163</v>
      </c>
      <c r="D8295" t="s">
        <v>292</v>
      </c>
      <c r="E8295" t="s">
        <v>421</v>
      </c>
      <c r="F8295">
        <f>HYPERLINK("https://www.wikidata.org/wiki/Q33323183", "Q33323183")</f>
        <v>0</v>
      </c>
      <c r="G8295" t="s">
        <v>846</v>
      </c>
      <c r="H8295" t="s">
        <v>5603</v>
      </c>
      <c r="I8295" t="s">
        <v>6584</v>
      </c>
      <c r="J8295" t="s">
        <v>11593</v>
      </c>
      <c r="K8295" t="s">
        <v>15784</v>
      </c>
      <c r="L8295">
        <f>HYPERLINK("https://www2.assemblee-nationale.fr/sycomore/fiche/(num_dept)/7652", "7652")</f>
        <v>0</v>
      </c>
      <c r="M8295">
        <f>HYPERLINK("https://www.senat.fr/senateur-3eme-republique/lebrun_albert0945r3.html", "lebrun_albert0945r3")</f>
        <v>0</v>
      </c>
      <c r="N8295">
        <f>HYPERLINK("https://www.wikidata.org/wiki/Q158749", "Q158749")</f>
        <v>0</v>
      </c>
      <c r="O8295" t="s">
        <v>20007</v>
      </c>
      <c r="P8295" t="s">
        <v>20517</v>
      </c>
      <c r="Q8295" t="s">
        <v>20934</v>
      </c>
      <c r="R8295" t="s">
        <v>421</v>
      </c>
      <c r="S8295">
        <v>1486</v>
      </c>
    </row>
    <row r="8296" spans="1:19">
      <c r="A8296" t="s">
        <v>31</v>
      </c>
      <c r="B8296" t="s">
        <v>148</v>
      </c>
      <c r="C8296" t="s">
        <v>163</v>
      </c>
      <c r="D8296" t="s">
        <v>292</v>
      </c>
      <c r="E8296" t="s">
        <v>421</v>
      </c>
      <c r="F8296">
        <f>HYPERLINK("https://www.wikidata.org/wiki/Q33323183", "Q33323183")</f>
        <v>0</v>
      </c>
      <c r="G8296" t="s">
        <v>848</v>
      </c>
      <c r="H8296" t="s">
        <v>5605</v>
      </c>
      <c r="I8296" t="s">
        <v>9553</v>
      </c>
      <c r="J8296" t="s">
        <v>11594</v>
      </c>
      <c r="K8296" t="s">
        <v>15996</v>
      </c>
      <c r="L8296">
        <f>HYPERLINK("https://www2.assemblee-nationale.fr/sycomore/fiche/(num_dept)/7683", "7683")</f>
        <v>0</v>
      </c>
      <c r="M8296">
        <f>HYPERLINK("https://www.senat.fr/senateur-3eme-republique/lefas_alexandre0535r3.html", "lefas_alexandre0535r3")</f>
        <v>0</v>
      </c>
      <c r="N8296">
        <f>HYPERLINK("https://www.wikidata.org/wiki/Q2833822", "Q2833822")</f>
        <v>0</v>
      </c>
      <c r="O8296" t="s">
        <v>19998</v>
      </c>
      <c r="P8296" t="s">
        <v>20517</v>
      </c>
      <c r="Q8296" t="s">
        <v>20934</v>
      </c>
      <c r="R8296" t="s">
        <v>421</v>
      </c>
      <c r="S8296">
        <v>1486</v>
      </c>
    </row>
    <row r="8297" spans="1:19">
      <c r="A8297" t="s">
        <v>31</v>
      </c>
      <c r="B8297" t="s">
        <v>148</v>
      </c>
      <c r="C8297" t="s">
        <v>163</v>
      </c>
      <c r="D8297" t="s">
        <v>292</v>
      </c>
      <c r="E8297" t="s">
        <v>421</v>
      </c>
      <c r="F8297">
        <f>HYPERLINK("https://www.wikidata.org/wiki/Q33323183", "Q33323183")</f>
        <v>0</v>
      </c>
      <c r="G8297" t="s">
        <v>849</v>
      </c>
      <c r="H8297" t="s">
        <v>5606</v>
      </c>
      <c r="I8297" t="s">
        <v>6584</v>
      </c>
      <c r="J8297" t="s">
        <v>11595</v>
      </c>
      <c r="K8297" t="s">
        <v>15997</v>
      </c>
      <c r="L8297">
        <f>HYPERLINK("https://www2.assemblee-nationale.fr/sycomore/fiche/(num_dept)/7685", "7685")</f>
        <v>0</v>
      </c>
      <c r="N8297">
        <f>HYPERLINK("https://www.wikidata.org/wiki/Q17353224", "Q17353224")</f>
        <v>0</v>
      </c>
      <c r="O8297" t="s">
        <v>20030</v>
      </c>
      <c r="P8297" t="s">
        <v>20401</v>
      </c>
      <c r="Q8297" t="s">
        <v>20934</v>
      </c>
      <c r="R8297" t="s">
        <v>421</v>
      </c>
      <c r="S8297">
        <v>1486</v>
      </c>
    </row>
    <row r="8298" spans="1:19">
      <c r="A8298" t="s">
        <v>31</v>
      </c>
      <c r="B8298" t="s">
        <v>148</v>
      </c>
      <c r="C8298" t="s">
        <v>163</v>
      </c>
      <c r="D8298" t="s">
        <v>292</v>
      </c>
      <c r="E8298" t="s">
        <v>421</v>
      </c>
      <c r="F8298">
        <f>HYPERLINK("https://www.wikidata.org/wiki/Q33323183", "Q33323183")</f>
        <v>0</v>
      </c>
      <c r="G8298" t="s">
        <v>850</v>
      </c>
      <c r="H8298" t="s">
        <v>5607</v>
      </c>
      <c r="I8298" t="s">
        <v>8494</v>
      </c>
      <c r="J8298" t="s">
        <v>11596</v>
      </c>
      <c r="K8298" t="s">
        <v>15998</v>
      </c>
      <c r="L8298">
        <f>HYPERLINK("https://www2.assemblee-nationale.fr/sycomore/fiche/(num_dept)/7692", "7692")</f>
        <v>0</v>
      </c>
      <c r="M8298">
        <f>HYPERLINK("https://www.senat.fr/senateur-3eme-republique/lefevre_abel0761r3.html", "lefevre_abel0761r3")</f>
        <v>0</v>
      </c>
      <c r="N8298">
        <f>HYPERLINK("https://www.wikidata.org/wiki/Q2821523", "Q2821523")</f>
        <v>0</v>
      </c>
      <c r="O8298" t="s">
        <v>19992</v>
      </c>
      <c r="P8298" t="s">
        <v>20489</v>
      </c>
      <c r="Q8298" t="s">
        <v>20934</v>
      </c>
      <c r="R8298" t="s">
        <v>421</v>
      </c>
      <c r="S8298">
        <v>1486</v>
      </c>
    </row>
    <row r="8299" spans="1:19">
      <c r="A8299" t="s">
        <v>31</v>
      </c>
      <c r="B8299" t="s">
        <v>148</v>
      </c>
      <c r="C8299" t="s">
        <v>163</v>
      </c>
      <c r="D8299" t="s">
        <v>292</v>
      </c>
      <c r="E8299" t="s">
        <v>421</v>
      </c>
      <c r="F8299">
        <f>HYPERLINK("https://www.wikidata.org/wiki/Q33323183", "Q33323183")</f>
        <v>0</v>
      </c>
      <c r="G8299" t="s">
        <v>3741</v>
      </c>
      <c r="H8299" t="s">
        <v>8046</v>
      </c>
      <c r="I8299" t="s">
        <v>9465</v>
      </c>
      <c r="J8299" t="s">
        <v>14316</v>
      </c>
      <c r="K8299" t="s">
        <v>18667</v>
      </c>
      <c r="L8299">
        <f>HYPERLINK("https://www2.assemblee-nationale.fr/sycomore/fiche/(num_dept)/7699", "7699")</f>
        <v>0</v>
      </c>
      <c r="N8299">
        <f>HYPERLINK("https://www.wikidata.org/wiki/Q8338896", "Q8338896")</f>
        <v>0</v>
      </c>
      <c r="O8299" t="s">
        <v>20008</v>
      </c>
      <c r="P8299" t="s">
        <v>20401</v>
      </c>
      <c r="Q8299" t="s">
        <v>20934</v>
      </c>
      <c r="R8299" t="s">
        <v>18667</v>
      </c>
      <c r="S8299">
        <v>1080</v>
      </c>
    </row>
    <row r="8300" spans="1:19">
      <c r="A8300" t="s">
        <v>31</v>
      </c>
      <c r="B8300" t="s">
        <v>148</v>
      </c>
      <c r="C8300" t="s">
        <v>163</v>
      </c>
      <c r="D8300" t="s">
        <v>292</v>
      </c>
      <c r="E8300" t="s">
        <v>421</v>
      </c>
      <c r="F8300">
        <f>HYPERLINK("https://www.wikidata.org/wiki/Q33323183", "Q33323183")</f>
        <v>0</v>
      </c>
      <c r="G8300" t="s">
        <v>853</v>
      </c>
      <c r="H8300" t="s">
        <v>5609</v>
      </c>
      <c r="I8300" t="s">
        <v>9555</v>
      </c>
      <c r="J8300" t="s">
        <v>11599</v>
      </c>
      <c r="K8300" t="s">
        <v>16001</v>
      </c>
      <c r="L8300">
        <f>HYPERLINK("https://www2.assemblee-nationale.fr/sycomore/fiche/(num_dept)/7717", "7717")</f>
        <v>0</v>
      </c>
      <c r="N8300">
        <f>HYPERLINK("https://www.wikidata.org/wiki/Q3144609", "Q3144609")</f>
        <v>0</v>
      </c>
      <c r="O8300" t="s">
        <v>20028</v>
      </c>
      <c r="Q8300" t="s">
        <v>20934</v>
      </c>
      <c r="R8300" t="s">
        <v>421</v>
      </c>
      <c r="S8300">
        <v>1486</v>
      </c>
    </row>
    <row r="8301" spans="1:19">
      <c r="A8301" t="s">
        <v>31</v>
      </c>
      <c r="B8301" t="s">
        <v>148</v>
      </c>
      <c r="C8301" t="s">
        <v>163</v>
      </c>
      <c r="D8301" t="s">
        <v>292</v>
      </c>
      <c r="E8301" t="s">
        <v>421</v>
      </c>
      <c r="F8301">
        <f>HYPERLINK("https://www.wikidata.org/wiki/Q33323183", "Q33323183")</f>
        <v>0</v>
      </c>
      <c r="G8301" t="s">
        <v>2710</v>
      </c>
      <c r="H8301" t="s">
        <v>6801</v>
      </c>
      <c r="I8301" t="s">
        <v>6158</v>
      </c>
      <c r="J8301" t="s">
        <v>13351</v>
      </c>
      <c r="K8301" t="s">
        <v>17751</v>
      </c>
      <c r="L8301">
        <f>HYPERLINK("https://www2.assemblee-nationale.fr/sycomore/fiche/(num_dept)/7718", "7718")</f>
        <v>0</v>
      </c>
      <c r="N8301">
        <f>HYPERLINK("https://www.wikidata.org/wiki/Q3092516", "Q3092516")</f>
        <v>0</v>
      </c>
      <c r="O8301" t="s">
        <v>19995</v>
      </c>
      <c r="P8301" t="s">
        <v>20459</v>
      </c>
      <c r="Q8301" t="s">
        <v>20934</v>
      </c>
      <c r="R8301" t="s">
        <v>421</v>
      </c>
      <c r="S8301">
        <v>1486</v>
      </c>
    </row>
    <row r="8302" spans="1:19">
      <c r="A8302" t="s">
        <v>31</v>
      </c>
      <c r="B8302" t="s">
        <v>148</v>
      </c>
      <c r="C8302" t="s">
        <v>163</v>
      </c>
      <c r="D8302" t="s">
        <v>292</v>
      </c>
      <c r="E8302" t="s">
        <v>421</v>
      </c>
      <c r="F8302">
        <f>HYPERLINK("https://www.wikidata.org/wiki/Q33323183", "Q33323183")</f>
        <v>0</v>
      </c>
      <c r="G8302" t="s">
        <v>854</v>
      </c>
      <c r="H8302" t="s">
        <v>5610</v>
      </c>
      <c r="I8302" t="s">
        <v>9556</v>
      </c>
      <c r="J8302" t="s">
        <v>11600</v>
      </c>
      <c r="K8302" t="s">
        <v>16002</v>
      </c>
      <c r="L8302">
        <f>HYPERLINK("https://www2.assemblee-nationale.fr/sycomore/fiche/(num_dept)/7723", "7723")</f>
        <v>0</v>
      </c>
      <c r="N8302">
        <f>HYPERLINK("https://www.wikidata.org/wiki/Q8327019", "Q8327019")</f>
        <v>0</v>
      </c>
      <c r="O8302" t="s">
        <v>19985</v>
      </c>
      <c r="Q8302" t="s">
        <v>20934</v>
      </c>
      <c r="R8302" t="s">
        <v>421</v>
      </c>
      <c r="S8302">
        <v>1486</v>
      </c>
    </row>
    <row r="8303" spans="1:19">
      <c r="A8303" t="s">
        <v>31</v>
      </c>
      <c r="B8303" t="s">
        <v>148</v>
      </c>
      <c r="C8303" t="s">
        <v>163</v>
      </c>
      <c r="D8303" t="s">
        <v>292</v>
      </c>
      <c r="E8303" t="s">
        <v>421</v>
      </c>
      <c r="F8303">
        <f>HYPERLINK("https://www.wikidata.org/wiki/Q33323183", "Q33323183")</f>
        <v>0</v>
      </c>
      <c r="G8303" t="s">
        <v>3857</v>
      </c>
      <c r="H8303" t="s">
        <v>5610</v>
      </c>
      <c r="I8303" t="s">
        <v>9449</v>
      </c>
      <c r="J8303" t="s">
        <v>14416</v>
      </c>
      <c r="K8303" t="s">
        <v>18769</v>
      </c>
      <c r="L8303">
        <f>HYPERLINK("https://www2.assemblee-nationale.fr/sycomore/fiche/(num_dept)/7725", "7725")</f>
        <v>0</v>
      </c>
      <c r="N8303">
        <f>HYPERLINK("https://www.wikidata.org/wiki/Q3188725", "Q3188725")</f>
        <v>0</v>
      </c>
      <c r="O8303" t="s">
        <v>19970</v>
      </c>
      <c r="P8303" t="s">
        <v>20517</v>
      </c>
      <c r="Q8303" t="s">
        <v>20934</v>
      </c>
      <c r="R8303" t="s">
        <v>421</v>
      </c>
      <c r="S8303">
        <v>1486</v>
      </c>
    </row>
    <row r="8304" spans="1:19">
      <c r="A8304" t="s">
        <v>31</v>
      </c>
      <c r="B8304" t="s">
        <v>148</v>
      </c>
      <c r="C8304" t="s">
        <v>163</v>
      </c>
      <c r="D8304" t="s">
        <v>292</v>
      </c>
      <c r="E8304" t="s">
        <v>421</v>
      </c>
      <c r="F8304">
        <f>HYPERLINK("https://www.wikidata.org/wiki/Q33323183", "Q33323183")</f>
        <v>0</v>
      </c>
      <c r="G8304" t="s">
        <v>4190</v>
      </c>
      <c r="H8304" t="s">
        <v>8382</v>
      </c>
      <c r="I8304" t="s">
        <v>11156</v>
      </c>
      <c r="J8304" t="s">
        <v>14707</v>
      </c>
      <c r="K8304" t="s">
        <v>19047</v>
      </c>
      <c r="L8304">
        <f>HYPERLINK("https://www2.assemblee-nationale.fr/sycomore/fiche/(num_dept)/7745", "7745")</f>
        <v>0</v>
      </c>
      <c r="N8304">
        <f>HYPERLINK("https://www.wikidata.org/wiki/Q7183006", "Q7183006")</f>
        <v>0</v>
      </c>
      <c r="O8304" t="s">
        <v>19983</v>
      </c>
      <c r="P8304" t="s">
        <v>20489</v>
      </c>
      <c r="Q8304" t="s">
        <v>20934</v>
      </c>
      <c r="R8304" t="s">
        <v>421</v>
      </c>
      <c r="S8304">
        <v>1486</v>
      </c>
    </row>
    <row r="8305" spans="1:19">
      <c r="A8305" t="s">
        <v>31</v>
      </c>
      <c r="B8305" t="s">
        <v>148</v>
      </c>
      <c r="C8305" t="s">
        <v>163</v>
      </c>
      <c r="D8305" t="s">
        <v>292</v>
      </c>
      <c r="E8305" t="s">
        <v>421</v>
      </c>
      <c r="F8305">
        <f>HYPERLINK("https://www.wikidata.org/wiki/Q33323183", "Q33323183")</f>
        <v>0</v>
      </c>
      <c r="G8305" t="s">
        <v>1078</v>
      </c>
      <c r="H8305" t="s">
        <v>5822</v>
      </c>
      <c r="I8305" t="s">
        <v>9449</v>
      </c>
      <c r="J8305" t="s">
        <v>11814</v>
      </c>
      <c r="K8305" t="s">
        <v>16215</v>
      </c>
      <c r="L8305">
        <f>HYPERLINK("https://www2.assemblee-nationale.fr/sycomore/fiche/(num_dept)/7752", "7752")</f>
        <v>0</v>
      </c>
      <c r="N8305">
        <f>HYPERLINK("https://www.wikidata.org/wiki/Q3085048", "Q3085048")</f>
        <v>0</v>
      </c>
      <c r="O8305" t="s">
        <v>20013</v>
      </c>
      <c r="P8305" t="s">
        <v>20409</v>
      </c>
      <c r="Q8305" t="s">
        <v>20934</v>
      </c>
      <c r="R8305" t="s">
        <v>421</v>
      </c>
      <c r="S8305">
        <v>1486</v>
      </c>
    </row>
    <row r="8306" spans="1:19">
      <c r="A8306" t="s">
        <v>31</v>
      </c>
      <c r="B8306" t="s">
        <v>148</v>
      </c>
      <c r="C8306" t="s">
        <v>163</v>
      </c>
      <c r="D8306" t="s">
        <v>292</v>
      </c>
      <c r="E8306" t="s">
        <v>421</v>
      </c>
      <c r="F8306">
        <f>HYPERLINK("https://www.wikidata.org/wiki/Q33323183", "Q33323183")</f>
        <v>0</v>
      </c>
      <c r="G8306" t="s">
        <v>855</v>
      </c>
      <c r="H8306" t="s">
        <v>5611</v>
      </c>
      <c r="I8306" t="s">
        <v>9557</v>
      </c>
      <c r="J8306" t="s">
        <v>11601</v>
      </c>
      <c r="K8306" t="s">
        <v>16003</v>
      </c>
      <c r="L8306">
        <f>HYPERLINK("https://www2.assemblee-nationale.fr/sycomore/fiche/(num_dept)/7791", "7791")</f>
        <v>0</v>
      </c>
      <c r="N8306">
        <f>HYPERLINK("https://www.wikidata.org/wiki/Q3371680", "Q3371680")</f>
        <v>0</v>
      </c>
      <c r="O8306" t="s">
        <v>19969</v>
      </c>
      <c r="P8306" t="s">
        <v>20410</v>
      </c>
      <c r="Q8306" t="s">
        <v>20934</v>
      </c>
      <c r="R8306" t="s">
        <v>421</v>
      </c>
      <c r="S8306">
        <v>1486</v>
      </c>
    </row>
    <row r="8307" spans="1:19">
      <c r="A8307" t="s">
        <v>31</v>
      </c>
      <c r="B8307" t="s">
        <v>148</v>
      </c>
      <c r="C8307" t="s">
        <v>163</v>
      </c>
      <c r="D8307" t="s">
        <v>292</v>
      </c>
      <c r="E8307" t="s">
        <v>421</v>
      </c>
      <c r="F8307">
        <f>HYPERLINK("https://www.wikidata.org/wiki/Q33323183", "Q33323183")</f>
        <v>0</v>
      </c>
      <c r="G8307" t="s">
        <v>856</v>
      </c>
      <c r="H8307" t="s">
        <v>5612</v>
      </c>
      <c r="I8307" t="s">
        <v>9558</v>
      </c>
      <c r="J8307" t="s">
        <v>11602</v>
      </c>
      <c r="K8307" t="s">
        <v>16004</v>
      </c>
      <c r="L8307">
        <f>HYPERLINK("https://www2.assemblee-nationale.fr/sycomore/fiche/(num_dept)/7801", "7801")</f>
        <v>0</v>
      </c>
      <c r="N8307">
        <f>HYPERLINK("https://www.wikidata.org/wiki/Q3317903", "Q3317903")</f>
        <v>0</v>
      </c>
      <c r="O8307" t="s">
        <v>19992</v>
      </c>
      <c r="P8307" t="s">
        <v>20402</v>
      </c>
      <c r="Q8307" t="s">
        <v>20934</v>
      </c>
      <c r="R8307" t="s">
        <v>421</v>
      </c>
      <c r="S8307">
        <v>1486</v>
      </c>
    </row>
    <row r="8308" spans="1:19">
      <c r="A8308" t="s">
        <v>31</v>
      </c>
      <c r="B8308" t="s">
        <v>148</v>
      </c>
      <c r="C8308" t="s">
        <v>163</v>
      </c>
      <c r="D8308" t="s">
        <v>292</v>
      </c>
      <c r="E8308" t="s">
        <v>421</v>
      </c>
      <c r="F8308">
        <f>HYPERLINK("https://www.wikidata.org/wiki/Q33323183", "Q33323183")</f>
        <v>0</v>
      </c>
      <c r="G8308" t="s">
        <v>3947</v>
      </c>
      <c r="H8308" t="s">
        <v>8199</v>
      </c>
      <c r="I8308" t="s">
        <v>11036</v>
      </c>
      <c r="J8308" t="s">
        <v>14499</v>
      </c>
      <c r="K8308" t="s">
        <v>17829</v>
      </c>
      <c r="L8308">
        <f>HYPERLINK("https://www2.assemblee-nationale.fr/sycomore/fiche/(num_dept)/7813", "7813")</f>
        <v>0</v>
      </c>
      <c r="N8308">
        <f>HYPERLINK("https://www.wikidata.org/wiki/Q3576492", "Q3576492")</f>
        <v>0</v>
      </c>
      <c r="O8308" t="s">
        <v>19972</v>
      </c>
      <c r="Q8308" t="s">
        <v>20934</v>
      </c>
      <c r="R8308" t="s">
        <v>17829</v>
      </c>
      <c r="S8308">
        <v>56</v>
      </c>
    </row>
    <row r="8309" spans="1:19">
      <c r="A8309" t="s">
        <v>31</v>
      </c>
      <c r="B8309" t="s">
        <v>148</v>
      </c>
      <c r="C8309" t="s">
        <v>163</v>
      </c>
      <c r="D8309" t="s">
        <v>292</v>
      </c>
      <c r="E8309" t="s">
        <v>421</v>
      </c>
      <c r="F8309">
        <f>HYPERLINK("https://www.wikidata.org/wiki/Q33323183", "Q33323183")</f>
        <v>0</v>
      </c>
      <c r="G8309" t="s">
        <v>2716</v>
      </c>
      <c r="H8309" t="s">
        <v>7242</v>
      </c>
      <c r="I8309" t="s">
        <v>10381</v>
      </c>
      <c r="J8309" t="s">
        <v>13357</v>
      </c>
      <c r="K8309" t="s">
        <v>17757</v>
      </c>
      <c r="L8309">
        <f>HYPERLINK("https://www2.assemblee-nationale.fr/sycomore/fiche/(num_dept)/7831", "7831")</f>
        <v>0</v>
      </c>
      <c r="N8309">
        <f>HYPERLINK("https://www.wikidata.org/wiki/Q8316737", "Q8316737")</f>
        <v>0</v>
      </c>
      <c r="O8309" t="s">
        <v>19997</v>
      </c>
      <c r="P8309" t="s">
        <v>20401</v>
      </c>
      <c r="Q8309" t="s">
        <v>20934</v>
      </c>
      <c r="R8309" t="s">
        <v>421</v>
      </c>
      <c r="S8309">
        <v>1486</v>
      </c>
    </row>
    <row r="8310" spans="1:19">
      <c r="A8310" t="s">
        <v>31</v>
      </c>
      <c r="B8310" t="s">
        <v>148</v>
      </c>
      <c r="C8310" t="s">
        <v>163</v>
      </c>
      <c r="D8310" t="s">
        <v>292</v>
      </c>
      <c r="E8310" t="s">
        <v>421</v>
      </c>
      <c r="F8310">
        <f>HYPERLINK("https://www.wikidata.org/wiki/Q33323183", "Q33323183")</f>
        <v>0</v>
      </c>
      <c r="G8310" t="s">
        <v>3295</v>
      </c>
      <c r="H8310" t="s">
        <v>7706</v>
      </c>
      <c r="I8310" t="s">
        <v>10748</v>
      </c>
      <c r="J8310" t="s">
        <v>13909</v>
      </c>
      <c r="K8310" t="s">
        <v>18280</v>
      </c>
      <c r="L8310">
        <f>HYPERLINK("https://www2.assemblee-nationale.fr/sycomore/fiche/(num_dept)/7833", "7833")</f>
        <v>0</v>
      </c>
      <c r="N8310">
        <f>HYPERLINK("https://www.wikidata.org/wiki/Q3092648", "Q3092648")</f>
        <v>0</v>
      </c>
      <c r="O8310" t="s">
        <v>19957</v>
      </c>
      <c r="P8310" t="s">
        <v>20409</v>
      </c>
      <c r="Q8310" t="s">
        <v>20934</v>
      </c>
      <c r="R8310" t="s">
        <v>421</v>
      </c>
      <c r="S8310">
        <v>1486</v>
      </c>
    </row>
    <row r="8311" spans="1:19">
      <c r="A8311" t="s">
        <v>31</v>
      </c>
      <c r="B8311" t="s">
        <v>148</v>
      </c>
      <c r="C8311" t="s">
        <v>163</v>
      </c>
      <c r="D8311" t="s">
        <v>292</v>
      </c>
      <c r="E8311" t="s">
        <v>421</v>
      </c>
      <c r="F8311">
        <f>HYPERLINK("https://www.wikidata.org/wiki/Q33323183", "Q33323183")</f>
        <v>0</v>
      </c>
      <c r="G8311" t="s">
        <v>857</v>
      </c>
      <c r="H8311" t="s">
        <v>5613</v>
      </c>
      <c r="I8311" t="s">
        <v>6175</v>
      </c>
      <c r="J8311" t="s">
        <v>11603</v>
      </c>
      <c r="K8311" t="s">
        <v>16005</v>
      </c>
      <c r="L8311">
        <f>HYPERLINK("https://www2.assemblee-nationale.fr/sycomore/fiche/(num_dept)/7840", "7840")</f>
        <v>0</v>
      </c>
      <c r="N8311">
        <f>HYPERLINK("https://www.wikidata.org/wiki/Q728806", "Q728806")</f>
        <v>0</v>
      </c>
      <c r="O8311" t="s">
        <v>20043</v>
      </c>
      <c r="P8311" t="s">
        <v>20457</v>
      </c>
      <c r="Q8311" t="s">
        <v>20934</v>
      </c>
      <c r="R8311" t="s">
        <v>421</v>
      </c>
      <c r="S8311">
        <v>1486</v>
      </c>
    </row>
    <row r="8312" spans="1:19">
      <c r="A8312" t="s">
        <v>31</v>
      </c>
      <c r="B8312" t="s">
        <v>148</v>
      </c>
      <c r="C8312" t="s">
        <v>163</v>
      </c>
      <c r="D8312" t="s">
        <v>292</v>
      </c>
      <c r="E8312" t="s">
        <v>421</v>
      </c>
      <c r="F8312">
        <f>HYPERLINK("https://www.wikidata.org/wiki/Q33323183", "Q33323183")</f>
        <v>0</v>
      </c>
      <c r="G8312" t="s">
        <v>858</v>
      </c>
      <c r="H8312" t="s">
        <v>5614</v>
      </c>
      <c r="I8312" t="s">
        <v>9423</v>
      </c>
      <c r="J8312" t="s">
        <v>11604</v>
      </c>
      <c r="K8312" t="s">
        <v>16006</v>
      </c>
      <c r="L8312">
        <f>HYPERLINK("https://www2.assemblee-nationale.fr/sycomore/fiche/(num_dept)/7854", "7854")</f>
        <v>0</v>
      </c>
      <c r="M8312">
        <f>HYPERLINK("https://www.senat.fr/senateur-3eme-republique/limon_guillaume0585r3.html", "limon_guillaume0585r3")</f>
        <v>0</v>
      </c>
      <c r="N8312">
        <f>HYPERLINK("https://www.wikidata.org/wiki/Q3120046", "Q3120046")</f>
        <v>0</v>
      </c>
      <c r="O8312" t="s">
        <v>19964</v>
      </c>
      <c r="P8312" t="s">
        <v>20410</v>
      </c>
      <c r="Q8312" t="s">
        <v>20934</v>
      </c>
      <c r="R8312" t="s">
        <v>421</v>
      </c>
      <c r="S8312">
        <v>1486</v>
      </c>
    </row>
    <row r="8313" spans="1:19">
      <c r="A8313" t="s">
        <v>31</v>
      </c>
      <c r="B8313" t="s">
        <v>148</v>
      </c>
      <c r="C8313" t="s">
        <v>163</v>
      </c>
      <c r="D8313" t="s">
        <v>292</v>
      </c>
      <c r="E8313" t="s">
        <v>421</v>
      </c>
      <c r="F8313">
        <f>HYPERLINK("https://www.wikidata.org/wiki/Q33323183", "Q33323183")</f>
        <v>0</v>
      </c>
      <c r="G8313" t="s">
        <v>2717</v>
      </c>
      <c r="H8313" t="s">
        <v>7243</v>
      </c>
      <c r="I8313" t="s">
        <v>9728</v>
      </c>
      <c r="J8313" t="s">
        <v>13358</v>
      </c>
      <c r="K8313" t="s">
        <v>17758</v>
      </c>
      <c r="L8313">
        <f>HYPERLINK("https://www2.assemblee-nationale.fr/sycomore/fiche/(num_dept)/7875", "7875")</f>
        <v>0</v>
      </c>
      <c r="N8313">
        <f>HYPERLINK("https://www.wikidata.org/wiki/Q733836", "Q733836")</f>
        <v>0</v>
      </c>
      <c r="O8313" t="s">
        <v>19969</v>
      </c>
      <c r="P8313" t="s">
        <v>20489</v>
      </c>
      <c r="Q8313" t="s">
        <v>20934</v>
      </c>
      <c r="R8313" t="s">
        <v>421</v>
      </c>
      <c r="S8313">
        <v>1486</v>
      </c>
    </row>
    <row r="8314" spans="1:19">
      <c r="A8314" t="s">
        <v>31</v>
      </c>
      <c r="B8314" t="s">
        <v>148</v>
      </c>
      <c r="C8314" t="s">
        <v>163</v>
      </c>
      <c r="D8314" t="s">
        <v>292</v>
      </c>
      <c r="E8314" t="s">
        <v>421</v>
      </c>
      <c r="F8314">
        <f>HYPERLINK("https://www.wikidata.org/wiki/Q33323183", "Q33323183")</f>
        <v>0</v>
      </c>
      <c r="G8314" t="s">
        <v>4191</v>
      </c>
      <c r="H8314" t="s">
        <v>8383</v>
      </c>
      <c r="I8314" t="s">
        <v>9446</v>
      </c>
      <c r="J8314" t="s">
        <v>14708</v>
      </c>
      <c r="K8314" t="s">
        <v>19048</v>
      </c>
      <c r="L8314">
        <f>HYPERLINK("https://www2.assemblee-nationale.fr/sycomore/fiche/(num_dept)/11853", "11853")</f>
        <v>0</v>
      </c>
      <c r="N8314">
        <f>HYPERLINK("https://www.wikidata.org/wiki/Q922807", "Q922807")</f>
        <v>0</v>
      </c>
      <c r="O8314" t="s">
        <v>20026</v>
      </c>
      <c r="P8314" t="s">
        <v>20401</v>
      </c>
      <c r="Q8314" t="s">
        <v>20934</v>
      </c>
      <c r="R8314" t="s">
        <v>421</v>
      </c>
      <c r="S8314">
        <v>1486</v>
      </c>
    </row>
    <row r="8315" spans="1:19">
      <c r="A8315" t="s">
        <v>31</v>
      </c>
      <c r="B8315" t="s">
        <v>148</v>
      </c>
      <c r="C8315" t="s">
        <v>163</v>
      </c>
      <c r="D8315" t="s">
        <v>292</v>
      </c>
      <c r="E8315" t="s">
        <v>421</v>
      </c>
      <c r="F8315">
        <f>HYPERLINK("https://www.wikidata.org/wiki/Q33323183", "Q33323183")</f>
        <v>0</v>
      </c>
      <c r="G8315" t="s">
        <v>3886</v>
      </c>
      <c r="H8315" t="s">
        <v>6058</v>
      </c>
      <c r="I8315" t="s">
        <v>11012</v>
      </c>
      <c r="J8315" t="s">
        <v>14444</v>
      </c>
      <c r="K8315" t="s">
        <v>18795</v>
      </c>
      <c r="L8315">
        <f>HYPERLINK("https://www2.assemblee-nationale.fr/sycomore/fiche/(num_dept)/56", "56")</f>
        <v>0</v>
      </c>
      <c r="M8315">
        <f>HYPERLINK("https://www.senat.fr/senateur-3eme-republique/aimond_emile1666r3.html", "aimond_emile1666r3")</f>
        <v>0</v>
      </c>
      <c r="N8315">
        <f>HYPERLINK("https://www.wikidata.org/wiki/Q3588304", "Q3588304")</f>
        <v>0</v>
      </c>
      <c r="O8315" t="s">
        <v>19976</v>
      </c>
      <c r="P8315" t="s">
        <v>20401</v>
      </c>
      <c r="Q8315" t="s">
        <v>17554</v>
      </c>
      <c r="R8315" t="s">
        <v>21629</v>
      </c>
      <c r="S8315">
        <v>974</v>
      </c>
    </row>
    <row r="8316" spans="1:19">
      <c r="A8316" t="s">
        <v>31</v>
      </c>
      <c r="B8316" t="s">
        <v>148</v>
      </c>
      <c r="C8316" t="s">
        <v>163</v>
      </c>
      <c r="D8316" t="s">
        <v>292</v>
      </c>
      <c r="E8316" t="s">
        <v>421</v>
      </c>
      <c r="F8316">
        <f>HYPERLINK("https://www.wikidata.org/wiki/Q33323183", "Q33323183")</f>
        <v>0</v>
      </c>
      <c r="G8316" t="s">
        <v>4043</v>
      </c>
      <c r="H8316" t="s">
        <v>8271</v>
      </c>
      <c r="I8316" t="s">
        <v>6200</v>
      </c>
      <c r="J8316" t="s">
        <v>14584</v>
      </c>
      <c r="K8316" t="s">
        <v>15862</v>
      </c>
      <c r="L8316">
        <f>HYPERLINK("https://www2.assemblee-nationale.fr/sycomore/fiche/(num_dept)/92", "92")</f>
        <v>0</v>
      </c>
      <c r="N8316">
        <f>HYPERLINK("https://www.wikidata.org/wiki/Q539458", "Q539458")</f>
        <v>0</v>
      </c>
      <c r="O8316" t="s">
        <v>19969</v>
      </c>
      <c r="P8316" t="s">
        <v>20515</v>
      </c>
      <c r="Q8316" t="s">
        <v>17554</v>
      </c>
      <c r="R8316" t="s">
        <v>421</v>
      </c>
      <c r="S8316">
        <v>1472</v>
      </c>
    </row>
    <row r="8317" spans="1:19">
      <c r="A8317" t="s">
        <v>31</v>
      </c>
      <c r="B8317" t="s">
        <v>148</v>
      </c>
      <c r="C8317" t="s">
        <v>163</v>
      </c>
      <c r="D8317" t="s">
        <v>292</v>
      </c>
      <c r="E8317" t="s">
        <v>421</v>
      </c>
      <c r="F8317">
        <f>HYPERLINK("https://www.wikidata.org/wiki/Q33323183", "Q33323183")</f>
        <v>0</v>
      </c>
      <c r="G8317" t="s">
        <v>864</v>
      </c>
      <c r="H8317" t="s">
        <v>5620</v>
      </c>
      <c r="I8317" t="s">
        <v>9562</v>
      </c>
      <c r="J8317" t="s">
        <v>11610</v>
      </c>
      <c r="K8317" t="s">
        <v>16012</v>
      </c>
      <c r="L8317">
        <f>HYPERLINK("https://www2.assemblee-nationale.fr/sycomore/fiche/(num_dept)/222", "222")</f>
        <v>0</v>
      </c>
      <c r="M8317">
        <f>HYPERLINK("https://www.senat.fr/senateur-3eme-republique/astier_placide0139r3.html", "astier_placide0139r3")</f>
        <v>0</v>
      </c>
      <c r="N8317">
        <f>HYPERLINK("https://www.wikidata.org/wiki/Q3390780", "Q3390780")</f>
        <v>0</v>
      </c>
      <c r="O8317" t="s">
        <v>19991</v>
      </c>
      <c r="P8317" t="s">
        <v>20489</v>
      </c>
      <c r="Q8317" t="s">
        <v>17554</v>
      </c>
      <c r="R8317" t="s">
        <v>421</v>
      </c>
      <c r="S8317">
        <v>1472</v>
      </c>
    </row>
    <row r="8318" spans="1:19">
      <c r="A8318" t="s">
        <v>31</v>
      </c>
      <c r="B8318" t="s">
        <v>148</v>
      </c>
      <c r="C8318" t="s">
        <v>163</v>
      </c>
      <c r="D8318" t="s">
        <v>292</v>
      </c>
      <c r="E8318" t="s">
        <v>421</v>
      </c>
      <c r="F8318">
        <f>HYPERLINK("https://www.wikidata.org/wiki/Q33323183", "Q33323183")</f>
        <v>0</v>
      </c>
      <c r="G8318" t="s">
        <v>3876</v>
      </c>
      <c r="H8318" t="s">
        <v>5844</v>
      </c>
      <c r="I8318" t="s">
        <v>11007</v>
      </c>
      <c r="J8318" t="s">
        <v>14434</v>
      </c>
      <c r="K8318" t="s">
        <v>18786</v>
      </c>
      <c r="L8318">
        <f>HYPERLINK("https://www2.assemblee-nationale.fr/sycomore/fiche/(num_dept)/267", "267")</f>
        <v>0</v>
      </c>
      <c r="N8318">
        <f>HYPERLINK("https://www.wikidata.org/wiki/Q15973403", "Q15973403")</f>
        <v>0</v>
      </c>
      <c r="O8318" t="s">
        <v>7411</v>
      </c>
      <c r="P8318" t="s">
        <v>20489</v>
      </c>
      <c r="Q8318" t="s">
        <v>17554</v>
      </c>
      <c r="R8318" t="s">
        <v>421</v>
      </c>
      <c r="S8318">
        <v>1472</v>
      </c>
    </row>
    <row r="8319" spans="1:19">
      <c r="A8319" t="s">
        <v>31</v>
      </c>
      <c r="B8319" t="s">
        <v>148</v>
      </c>
      <c r="C8319" t="s">
        <v>163</v>
      </c>
      <c r="D8319" t="s">
        <v>292</v>
      </c>
      <c r="E8319" t="s">
        <v>421</v>
      </c>
      <c r="F8319">
        <f>HYPERLINK("https://www.wikidata.org/wiki/Q33323183", "Q33323183")</f>
        <v>0</v>
      </c>
      <c r="G8319" t="s">
        <v>4047</v>
      </c>
      <c r="H8319" t="s">
        <v>8275</v>
      </c>
      <c r="I8319" t="s">
        <v>11079</v>
      </c>
      <c r="J8319" t="s">
        <v>12001</v>
      </c>
      <c r="K8319" t="s">
        <v>18927</v>
      </c>
      <c r="L8319">
        <f>HYPERLINK("https://www2.assemblee-nationale.fr/sycomore/fiche/(num_dept)/291", "291")</f>
        <v>0</v>
      </c>
      <c r="N8319">
        <f>HYPERLINK("https://www.wikidata.org/wiki/Q8313867", "Q8313867")</f>
        <v>0</v>
      </c>
      <c r="O8319" t="s">
        <v>19986</v>
      </c>
      <c r="P8319" t="s">
        <v>20401</v>
      </c>
      <c r="Q8319" t="s">
        <v>17554</v>
      </c>
      <c r="R8319" t="s">
        <v>421</v>
      </c>
      <c r="S8319">
        <v>1472</v>
      </c>
    </row>
    <row r="8320" spans="1:19">
      <c r="A8320" t="s">
        <v>31</v>
      </c>
      <c r="B8320" t="s">
        <v>148</v>
      </c>
      <c r="C8320" t="s">
        <v>163</v>
      </c>
      <c r="D8320" t="s">
        <v>292</v>
      </c>
      <c r="E8320" t="s">
        <v>421</v>
      </c>
      <c r="F8320">
        <f>HYPERLINK("https://www.wikidata.org/wiki/Q33323183", "Q33323183")</f>
        <v>0</v>
      </c>
      <c r="G8320" t="s">
        <v>868</v>
      </c>
      <c r="H8320" t="s">
        <v>5624</v>
      </c>
      <c r="I8320" t="s">
        <v>6166</v>
      </c>
      <c r="J8320" t="s">
        <v>11614</v>
      </c>
      <c r="K8320" t="s">
        <v>16016</v>
      </c>
      <c r="L8320">
        <f>HYPERLINK("https://www2.assemblee-nationale.fr/sycomore/fiche/(num_dept)/317", "317")</f>
        <v>0</v>
      </c>
      <c r="N8320">
        <f>HYPERLINK("https://www.wikidata.org/wiki/Q15973432", "Q15973432")</f>
        <v>0</v>
      </c>
      <c r="O8320" t="s">
        <v>8449</v>
      </c>
      <c r="P8320" t="s">
        <v>20489</v>
      </c>
      <c r="Q8320" t="s">
        <v>17554</v>
      </c>
      <c r="R8320" t="s">
        <v>421</v>
      </c>
      <c r="S8320">
        <v>1472</v>
      </c>
    </row>
    <row r="8321" spans="1:19">
      <c r="A8321" t="s">
        <v>31</v>
      </c>
      <c r="B8321" t="s">
        <v>148</v>
      </c>
      <c r="C8321" t="s">
        <v>163</v>
      </c>
      <c r="D8321" t="s">
        <v>292</v>
      </c>
      <c r="E8321" t="s">
        <v>421</v>
      </c>
      <c r="F8321">
        <f>HYPERLINK("https://www.wikidata.org/wiki/Q33323183", "Q33323183")</f>
        <v>0</v>
      </c>
      <c r="G8321" t="s">
        <v>3675</v>
      </c>
      <c r="H8321" t="s">
        <v>8002</v>
      </c>
      <c r="I8321" t="s">
        <v>10928</v>
      </c>
      <c r="J8321" t="s">
        <v>14202</v>
      </c>
      <c r="K8321" t="s">
        <v>18613</v>
      </c>
      <c r="L8321">
        <f>HYPERLINK("https://www2.assemblee-nationale.fr/sycomore/fiche/(num_dept)/344", "344")</f>
        <v>0</v>
      </c>
      <c r="N8321">
        <f>HYPERLINK("https://www.wikidata.org/wiki/Q3287690", "Q3287690")</f>
        <v>0</v>
      </c>
      <c r="O8321" t="s">
        <v>20026</v>
      </c>
      <c r="P8321" t="s">
        <v>20401</v>
      </c>
      <c r="Q8321" t="s">
        <v>17554</v>
      </c>
      <c r="R8321" t="s">
        <v>421</v>
      </c>
      <c r="S8321">
        <v>1472</v>
      </c>
    </row>
    <row r="8322" spans="1:19">
      <c r="A8322" t="s">
        <v>31</v>
      </c>
      <c r="B8322" t="s">
        <v>148</v>
      </c>
      <c r="C8322" t="s">
        <v>163</v>
      </c>
      <c r="D8322" t="s">
        <v>292</v>
      </c>
      <c r="E8322" t="s">
        <v>421</v>
      </c>
      <c r="F8322">
        <f>HYPERLINK("https://www.wikidata.org/wiki/Q33323183", "Q33323183")</f>
        <v>0</v>
      </c>
      <c r="G8322" t="s">
        <v>507</v>
      </c>
      <c r="H8322" t="s">
        <v>5272</v>
      </c>
      <c r="I8322" t="s">
        <v>9377</v>
      </c>
      <c r="J8322" t="s">
        <v>11259</v>
      </c>
      <c r="K8322" t="s">
        <v>15659</v>
      </c>
      <c r="L8322">
        <f>HYPERLINK("https://www2.assemblee-nationale.fr/sycomore/fiche/(num_dept)/348", "348")</f>
        <v>0</v>
      </c>
      <c r="N8322">
        <f>HYPERLINK("https://www.wikidata.org/wiki/Q15973419", "Q15973419")</f>
        <v>0</v>
      </c>
      <c r="O8322" t="s">
        <v>19967</v>
      </c>
      <c r="P8322" t="s">
        <v>20401</v>
      </c>
      <c r="Q8322" t="s">
        <v>17554</v>
      </c>
      <c r="R8322" t="s">
        <v>421</v>
      </c>
      <c r="S8322">
        <v>1472</v>
      </c>
    </row>
    <row r="8323" spans="1:19">
      <c r="A8323" t="s">
        <v>31</v>
      </c>
      <c r="B8323" t="s">
        <v>148</v>
      </c>
      <c r="C8323" t="s">
        <v>163</v>
      </c>
      <c r="D8323" t="s">
        <v>292</v>
      </c>
      <c r="E8323" t="s">
        <v>421</v>
      </c>
      <c r="F8323">
        <f>HYPERLINK("https://www.wikidata.org/wiki/Q33323183", "Q33323183")</f>
        <v>0</v>
      </c>
      <c r="G8323" t="s">
        <v>870</v>
      </c>
      <c r="H8323" t="s">
        <v>5626</v>
      </c>
      <c r="I8323" t="s">
        <v>9566</v>
      </c>
      <c r="J8323" t="s">
        <v>11616</v>
      </c>
      <c r="K8323" t="s">
        <v>16018</v>
      </c>
      <c r="L8323">
        <f>HYPERLINK("https://www2.assemblee-nationale.fr/sycomore/fiche/(num_dept)/351", "351")</f>
        <v>0</v>
      </c>
      <c r="N8323">
        <f>HYPERLINK("https://www.wikidata.org/wiki/Q2847193", "Q2847193")</f>
        <v>0</v>
      </c>
      <c r="O8323" t="s">
        <v>19987</v>
      </c>
      <c r="P8323" t="s">
        <v>20517</v>
      </c>
      <c r="Q8323" t="s">
        <v>17554</v>
      </c>
      <c r="R8323" t="s">
        <v>421</v>
      </c>
      <c r="S8323">
        <v>1472</v>
      </c>
    </row>
    <row r="8324" spans="1:19">
      <c r="A8324" t="s">
        <v>31</v>
      </c>
      <c r="B8324" t="s">
        <v>148</v>
      </c>
      <c r="C8324" t="s">
        <v>163</v>
      </c>
      <c r="D8324" t="s">
        <v>292</v>
      </c>
      <c r="E8324" t="s">
        <v>421</v>
      </c>
      <c r="F8324">
        <f>HYPERLINK("https://www.wikidata.org/wiki/Q33323183", "Q33323183")</f>
        <v>0</v>
      </c>
      <c r="G8324" t="s">
        <v>509</v>
      </c>
      <c r="H8324" t="s">
        <v>5274</v>
      </c>
      <c r="I8324" t="s">
        <v>9379</v>
      </c>
      <c r="J8324" t="s">
        <v>11261</v>
      </c>
      <c r="K8324" t="s">
        <v>15661</v>
      </c>
      <c r="L8324">
        <f>HYPERLINK("https://www2.assemblee-nationale.fr/sycomore/fiche/(num_dept)/366", "366")</f>
        <v>0</v>
      </c>
      <c r="N8324">
        <f>HYPERLINK("https://www.wikidata.org/wiki/Q15973491", "Q15973491")</f>
        <v>0</v>
      </c>
      <c r="O8324" t="s">
        <v>19968</v>
      </c>
      <c r="P8324" t="s">
        <v>20402</v>
      </c>
      <c r="Q8324" t="s">
        <v>17554</v>
      </c>
      <c r="R8324" t="s">
        <v>421</v>
      </c>
      <c r="S8324">
        <v>1472</v>
      </c>
    </row>
    <row r="8325" spans="1:19">
      <c r="A8325" t="s">
        <v>31</v>
      </c>
      <c r="B8325" t="s">
        <v>148</v>
      </c>
      <c r="C8325" t="s">
        <v>163</v>
      </c>
      <c r="D8325" t="s">
        <v>292</v>
      </c>
      <c r="E8325" t="s">
        <v>421</v>
      </c>
      <c r="F8325">
        <f>HYPERLINK("https://www.wikidata.org/wiki/Q33323183", "Q33323183")</f>
        <v>0</v>
      </c>
      <c r="G8325" t="s">
        <v>871</v>
      </c>
      <c r="H8325" t="s">
        <v>5627</v>
      </c>
      <c r="I8325" t="s">
        <v>6584</v>
      </c>
      <c r="J8325" t="s">
        <v>11617</v>
      </c>
      <c r="K8325" t="s">
        <v>16019</v>
      </c>
      <c r="L8325">
        <f>HYPERLINK("https://www2.assemblee-nationale.fr/sycomore/fiche/(num_dept)/564", "564")</f>
        <v>0</v>
      </c>
      <c r="N8325">
        <f>HYPERLINK("https://www.wikidata.org/wiki/Q2830945", "Q2830945")</f>
        <v>0</v>
      </c>
      <c r="O8325" t="s">
        <v>20016</v>
      </c>
      <c r="P8325" t="s">
        <v>20515</v>
      </c>
      <c r="Q8325" t="s">
        <v>17554</v>
      </c>
      <c r="R8325" t="s">
        <v>421</v>
      </c>
      <c r="S8325">
        <v>1472</v>
      </c>
    </row>
    <row r="8326" spans="1:19">
      <c r="A8326" t="s">
        <v>31</v>
      </c>
      <c r="B8326" t="s">
        <v>148</v>
      </c>
      <c r="C8326" t="s">
        <v>163</v>
      </c>
      <c r="D8326" t="s">
        <v>292</v>
      </c>
      <c r="E8326" t="s">
        <v>421</v>
      </c>
      <c r="F8326">
        <f>HYPERLINK("https://www.wikidata.org/wiki/Q33323183", "Q33323183")</f>
        <v>0</v>
      </c>
      <c r="G8326" t="s">
        <v>4093</v>
      </c>
      <c r="H8326" t="s">
        <v>8306</v>
      </c>
      <c r="I8326" t="s">
        <v>9389</v>
      </c>
      <c r="J8326" t="s">
        <v>14631</v>
      </c>
      <c r="K8326" t="s">
        <v>18967</v>
      </c>
      <c r="L8326">
        <f>HYPERLINK("https://www2.assemblee-nationale.fr/sycomore/fiche/(num_dept)/569", "569")</f>
        <v>0</v>
      </c>
      <c r="N8326">
        <f>HYPERLINK("https://www.wikidata.org/wiki/Q16685207", "Q16685207")</f>
        <v>0</v>
      </c>
      <c r="O8326" t="s">
        <v>20000</v>
      </c>
      <c r="P8326" t="s">
        <v>20457</v>
      </c>
      <c r="Q8326" t="s">
        <v>17554</v>
      </c>
      <c r="R8326" t="s">
        <v>421</v>
      </c>
      <c r="S8326">
        <v>1472</v>
      </c>
    </row>
    <row r="8327" spans="1:19">
      <c r="A8327" t="s">
        <v>31</v>
      </c>
      <c r="B8327" t="s">
        <v>148</v>
      </c>
      <c r="C8327" t="s">
        <v>163</v>
      </c>
      <c r="D8327" t="s">
        <v>292</v>
      </c>
      <c r="E8327" t="s">
        <v>421</v>
      </c>
      <c r="F8327">
        <f>HYPERLINK("https://www.wikidata.org/wiki/Q33323183", "Q33323183")</f>
        <v>0</v>
      </c>
      <c r="G8327" t="s">
        <v>1365</v>
      </c>
      <c r="H8327" t="s">
        <v>6082</v>
      </c>
      <c r="I8327" t="s">
        <v>9772</v>
      </c>
      <c r="J8327" t="s">
        <v>12091</v>
      </c>
      <c r="K8327" t="s">
        <v>16494</v>
      </c>
      <c r="L8327">
        <f>HYPERLINK("https://www2.assemblee-nationale.fr/sycomore/fiche/(num_dept)/580", "580")</f>
        <v>0</v>
      </c>
      <c r="N8327">
        <f>HYPERLINK("https://www.wikidata.org/wiki/Q15973579", "Q15973579")</f>
        <v>0</v>
      </c>
      <c r="O8327" t="s">
        <v>19962</v>
      </c>
      <c r="P8327" t="s">
        <v>20410</v>
      </c>
      <c r="Q8327" t="s">
        <v>17554</v>
      </c>
      <c r="R8327" t="s">
        <v>421</v>
      </c>
      <c r="S8327">
        <v>1472</v>
      </c>
    </row>
    <row r="8328" spans="1:19">
      <c r="A8328" t="s">
        <v>31</v>
      </c>
      <c r="B8328" t="s">
        <v>148</v>
      </c>
      <c r="C8328" t="s">
        <v>163</v>
      </c>
      <c r="D8328" t="s">
        <v>292</v>
      </c>
      <c r="E8328" t="s">
        <v>421</v>
      </c>
      <c r="F8328">
        <f>HYPERLINK("https://www.wikidata.org/wiki/Q33323183", "Q33323183")</f>
        <v>0</v>
      </c>
      <c r="G8328" t="s">
        <v>3954</v>
      </c>
      <c r="H8328" t="s">
        <v>8204</v>
      </c>
      <c r="I8328" t="s">
        <v>9474</v>
      </c>
      <c r="J8328" t="s">
        <v>14505</v>
      </c>
      <c r="K8328" t="s">
        <v>18302</v>
      </c>
      <c r="L8328">
        <f>HYPERLINK("https://www2.assemblee-nationale.fr/sycomore/fiche/(num_dept)/621", "621")</f>
        <v>0</v>
      </c>
      <c r="N8328">
        <f>HYPERLINK("https://www.wikidata.org/wiki/Q15973618", "Q15973618")</f>
        <v>0</v>
      </c>
      <c r="O8328" t="s">
        <v>7411</v>
      </c>
      <c r="P8328" t="s">
        <v>20515</v>
      </c>
      <c r="Q8328" t="s">
        <v>17554</v>
      </c>
      <c r="R8328" t="s">
        <v>18302</v>
      </c>
      <c r="S8328">
        <v>1007</v>
      </c>
    </row>
    <row r="8329" spans="1:19">
      <c r="A8329" t="s">
        <v>31</v>
      </c>
      <c r="B8329" t="s">
        <v>148</v>
      </c>
      <c r="C8329" t="s">
        <v>163</v>
      </c>
      <c r="D8329" t="s">
        <v>292</v>
      </c>
      <c r="E8329" t="s">
        <v>421</v>
      </c>
      <c r="F8329">
        <f>HYPERLINK("https://www.wikidata.org/wiki/Q33323183", "Q33323183")</f>
        <v>0</v>
      </c>
      <c r="G8329" t="s">
        <v>875</v>
      </c>
      <c r="H8329" t="s">
        <v>5631</v>
      </c>
      <c r="I8329" t="s">
        <v>9476</v>
      </c>
      <c r="J8329" t="s">
        <v>11621</v>
      </c>
      <c r="K8329" t="s">
        <v>16023</v>
      </c>
      <c r="L8329">
        <f>HYPERLINK("https://www2.assemblee-nationale.fr/sycomore/fiche/(num_dept)/749", "749")</f>
        <v>0</v>
      </c>
      <c r="M8329">
        <f>HYPERLINK("https://www.senat.fr/senateur-3eme-republique/besnard_rene0300r3.html", "besnard_rene0300r3")</f>
        <v>0</v>
      </c>
      <c r="N8329">
        <f>HYPERLINK("https://www.wikidata.org/wiki/Q3425839", "Q3425839")</f>
        <v>0</v>
      </c>
      <c r="O8329" t="s">
        <v>20008</v>
      </c>
      <c r="P8329" t="s">
        <v>20489</v>
      </c>
      <c r="Q8329" t="s">
        <v>17554</v>
      </c>
      <c r="R8329" t="s">
        <v>421</v>
      </c>
      <c r="S8329">
        <v>1472</v>
      </c>
    </row>
    <row r="8330" spans="1:19">
      <c r="A8330" t="s">
        <v>31</v>
      </c>
      <c r="B8330" t="s">
        <v>148</v>
      </c>
      <c r="C8330" t="s">
        <v>163</v>
      </c>
      <c r="D8330" t="s">
        <v>292</v>
      </c>
      <c r="E8330" t="s">
        <v>421</v>
      </c>
      <c r="F8330">
        <f>HYPERLINK("https://www.wikidata.org/wiki/Q33323183", "Q33323183")</f>
        <v>0</v>
      </c>
      <c r="G8330" t="s">
        <v>4192</v>
      </c>
      <c r="H8330" t="s">
        <v>8384</v>
      </c>
      <c r="I8330" t="s">
        <v>6860</v>
      </c>
      <c r="J8330" t="s">
        <v>11992</v>
      </c>
      <c r="K8330" t="s">
        <v>19049</v>
      </c>
      <c r="L8330">
        <f>HYPERLINK("https://www2.assemblee-nationale.fr/sycomore/fiche/(num_dept)/794", "794")</f>
        <v>0</v>
      </c>
      <c r="N8330">
        <f>HYPERLINK("https://www.wikidata.org/wiki/Q3384027", "Q3384027")</f>
        <v>0</v>
      </c>
      <c r="O8330" t="s">
        <v>20011</v>
      </c>
      <c r="P8330" t="s">
        <v>20409</v>
      </c>
      <c r="Q8330" t="s">
        <v>17554</v>
      </c>
      <c r="R8330" t="s">
        <v>421</v>
      </c>
      <c r="S8330">
        <v>1472</v>
      </c>
    </row>
    <row r="8331" spans="1:19">
      <c r="A8331" t="s">
        <v>31</v>
      </c>
      <c r="B8331" t="s">
        <v>148</v>
      </c>
      <c r="C8331" t="s">
        <v>163</v>
      </c>
      <c r="D8331" t="s">
        <v>292</v>
      </c>
      <c r="E8331" t="s">
        <v>421</v>
      </c>
      <c r="F8331">
        <f>HYPERLINK("https://www.wikidata.org/wiki/Q33323183", "Q33323183")</f>
        <v>0</v>
      </c>
      <c r="G8331" t="s">
        <v>3533</v>
      </c>
      <c r="H8331" t="s">
        <v>7894</v>
      </c>
      <c r="I8331" t="s">
        <v>10868</v>
      </c>
      <c r="J8331" t="s">
        <v>14127</v>
      </c>
      <c r="K8331" t="s">
        <v>18452</v>
      </c>
      <c r="L8331">
        <f>HYPERLINK("https://www2.assemblee-nationale.fr/sycomore/fiche/(num_dept)/834", "834")</f>
        <v>0</v>
      </c>
      <c r="N8331">
        <f>HYPERLINK("https://www.wikidata.org/wiki/Q3059731", "Q3059731")</f>
        <v>0</v>
      </c>
      <c r="O8331" t="s">
        <v>19986</v>
      </c>
      <c r="P8331" t="s">
        <v>20401</v>
      </c>
      <c r="Q8331" t="s">
        <v>17554</v>
      </c>
      <c r="R8331" t="s">
        <v>18452</v>
      </c>
      <c r="S8331">
        <v>828</v>
      </c>
    </row>
    <row r="8332" spans="1:19">
      <c r="A8332" t="s">
        <v>31</v>
      </c>
      <c r="B8332" t="s">
        <v>148</v>
      </c>
      <c r="C8332" t="s">
        <v>163</v>
      </c>
      <c r="D8332" t="s">
        <v>292</v>
      </c>
      <c r="E8332" t="s">
        <v>421</v>
      </c>
      <c r="F8332">
        <f>HYPERLINK("https://www.wikidata.org/wiki/Q33323183", "Q33323183")</f>
        <v>0</v>
      </c>
      <c r="G8332" t="s">
        <v>1226</v>
      </c>
      <c r="H8332" t="s">
        <v>5951</v>
      </c>
      <c r="I8332" t="s">
        <v>9713</v>
      </c>
      <c r="J8332" t="s">
        <v>11958</v>
      </c>
      <c r="K8332" t="s">
        <v>16360</v>
      </c>
      <c r="L8332">
        <f>HYPERLINK("https://www2.assemblee-nationale.fr/sycomore/fiche/(num_dept)/843", "843")</f>
        <v>0</v>
      </c>
      <c r="N8332">
        <f>HYPERLINK("https://www.wikidata.org/wiki/Q2833471", "Q2833471")</f>
        <v>0</v>
      </c>
      <c r="O8332" t="s">
        <v>20047</v>
      </c>
      <c r="P8332" t="s">
        <v>20515</v>
      </c>
      <c r="Q8332" t="s">
        <v>17554</v>
      </c>
      <c r="R8332" t="s">
        <v>421</v>
      </c>
      <c r="S8332">
        <v>1472</v>
      </c>
    </row>
    <row r="8333" spans="1:19">
      <c r="A8333" t="s">
        <v>31</v>
      </c>
      <c r="B8333" t="s">
        <v>148</v>
      </c>
      <c r="C8333" t="s">
        <v>163</v>
      </c>
      <c r="D8333" t="s">
        <v>292</v>
      </c>
      <c r="E8333" t="s">
        <v>421</v>
      </c>
      <c r="F8333">
        <f>HYPERLINK("https://www.wikidata.org/wiki/Q33323183", "Q33323183")</f>
        <v>0</v>
      </c>
      <c r="G8333" t="s">
        <v>886</v>
      </c>
      <c r="H8333" t="s">
        <v>5642</v>
      </c>
      <c r="I8333" t="s">
        <v>9574</v>
      </c>
      <c r="J8333" t="s">
        <v>11632</v>
      </c>
      <c r="K8333" t="s">
        <v>16032</v>
      </c>
      <c r="L8333">
        <f>HYPERLINK("https://www2.assemblee-nationale.fr/sycomore/fiche/(num_dept)/1134", "1134")</f>
        <v>0</v>
      </c>
      <c r="N8333">
        <f>HYPERLINK("https://www.wikidata.org/wiki/Q8314024", "Q8314024")</f>
        <v>0</v>
      </c>
      <c r="O8333" t="s">
        <v>19956</v>
      </c>
      <c r="P8333" t="s">
        <v>20402</v>
      </c>
      <c r="Q8333" t="s">
        <v>17554</v>
      </c>
      <c r="R8333" t="s">
        <v>421</v>
      </c>
      <c r="S8333">
        <v>1472</v>
      </c>
    </row>
    <row r="8334" spans="1:19">
      <c r="A8334" t="s">
        <v>31</v>
      </c>
      <c r="B8334" t="s">
        <v>148</v>
      </c>
      <c r="C8334" t="s">
        <v>163</v>
      </c>
      <c r="D8334" t="s">
        <v>292</v>
      </c>
      <c r="E8334" t="s">
        <v>421</v>
      </c>
      <c r="F8334">
        <f>HYPERLINK("https://www.wikidata.org/wiki/Q33323183", "Q33323183")</f>
        <v>0</v>
      </c>
      <c r="G8334" t="s">
        <v>550</v>
      </c>
      <c r="H8334" t="s">
        <v>5313</v>
      </c>
      <c r="I8334" t="s">
        <v>9408</v>
      </c>
      <c r="J8334" t="s">
        <v>11302</v>
      </c>
      <c r="K8334" t="s">
        <v>15702</v>
      </c>
      <c r="L8334">
        <f>HYPERLINK("https://www2.assemblee-nationale.fr/sycomore/fiche/(num_dept)/1147", "1147")</f>
        <v>0</v>
      </c>
      <c r="N8334">
        <f>HYPERLINK("https://www.wikidata.org/wiki/Q3270443", "Q3270443")</f>
        <v>0</v>
      </c>
      <c r="O8334" t="s">
        <v>19995</v>
      </c>
      <c r="P8334" t="s">
        <v>20489</v>
      </c>
      <c r="Q8334" t="s">
        <v>17554</v>
      </c>
      <c r="R8334" t="s">
        <v>421</v>
      </c>
      <c r="S8334">
        <v>1472</v>
      </c>
    </row>
    <row r="8335" spans="1:19">
      <c r="A8335" t="s">
        <v>31</v>
      </c>
      <c r="B8335" t="s">
        <v>148</v>
      </c>
      <c r="C8335" t="s">
        <v>163</v>
      </c>
      <c r="D8335" t="s">
        <v>292</v>
      </c>
      <c r="E8335" t="s">
        <v>421</v>
      </c>
      <c r="F8335">
        <f>HYPERLINK("https://www.wikidata.org/wiki/Q33323183", "Q33323183")</f>
        <v>0</v>
      </c>
      <c r="G8335" t="s">
        <v>895</v>
      </c>
      <c r="H8335" t="s">
        <v>5651</v>
      </c>
      <c r="I8335" t="s">
        <v>9580</v>
      </c>
      <c r="J8335" t="s">
        <v>11641</v>
      </c>
      <c r="K8335" t="s">
        <v>16040</v>
      </c>
      <c r="L8335">
        <f>HYPERLINK("https://www2.assemblee-nationale.fr/sycomore/fiche/(num_dept)/1306", "1306")</f>
        <v>0</v>
      </c>
      <c r="N8335">
        <f>HYPERLINK("https://www.wikidata.org/wiki/Q273607", "Q273607")</f>
        <v>0</v>
      </c>
      <c r="O8335" t="s">
        <v>19969</v>
      </c>
      <c r="P8335" t="s">
        <v>20489</v>
      </c>
      <c r="Q8335" t="s">
        <v>17554</v>
      </c>
      <c r="R8335" t="s">
        <v>421</v>
      </c>
      <c r="S8335">
        <v>1472</v>
      </c>
    </row>
    <row r="8336" spans="1:19">
      <c r="A8336" t="s">
        <v>31</v>
      </c>
      <c r="B8336" t="s">
        <v>148</v>
      </c>
      <c r="C8336" t="s">
        <v>163</v>
      </c>
      <c r="D8336" t="s">
        <v>292</v>
      </c>
      <c r="E8336" t="s">
        <v>421</v>
      </c>
      <c r="F8336">
        <f>HYPERLINK("https://www.wikidata.org/wiki/Q33323183", "Q33323183")</f>
        <v>0</v>
      </c>
      <c r="G8336" t="s">
        <v>4103</v>
      </c>
      <c r="H8336" t="s">
        <v>8315</v>
      </c>
      <c r="I8336" t="s">
        <v>9385</v>
      </c>
      <c r="J8336" t="s">
        <v>14641</v>
      </c>
      <c r="K8336" t="s">
        <v>18976</v>
      </c>
      <c r="L8336">
        <f>HYPERLINK("https://www2.assemblee-nationale.fr/sycomore/fiche/(num_dept)/1423", "1423")</f>
        <v>0</v>
      </c>
      <c r="M8336">
        <f>HYPERLINK("https://www.senat.fr/senateur-3eme-republique/caperan_charles1716r3.html", "caperan_charles1716r3")</f>
        <v>0</v>
      </c>
      <c r="N8336">
        <f>HYPERLINK("https://www.wikidata.org/wiki/Q2958671", "Q2958671")</f>
        <v>0</v>
      </c>
      <c r="O8336" t="s">
        <v>20045</v>
      </c>
      <c r="P8336" t="s">
        <v>20401</v>
      </c>
      <c r="Q8336" t="s">
        <v>17554</v>
      </c>
      <c r="R8336" t="s">
        <v>421</v>
      </c>
      <c r="S8336">
        <v>1472</v>
      </c>
    </row>
    <row r="8337" spans="1:19">
      <c r="A8337" t="s">
        <v>31</v>
      </c>
      <c r="B8337" t="s">
        <v>148</v>
      </c>
      <c r="C8337" t="s">
        <v>163</v>
      </c>
      <c r="D8337" t="s">
        <v>292</v>
      </c>
      <c r="E8337" t="s">
        <v>421</v>
      </c>
      <c r="F8337">
        <f>HYPERLINK("https://www.wikidata.org/wiki/Q33323183", "Q33323183")</f>
        <v>0</v>
      </c>
      <c r="G8337" t="s">
        <v>4193</v>
      </c>
      <c r="H8337" t="s">
        <v>8385</v>
      </c>
      <c r="I8337" t="s">
        <v>5812</v>
      </c>
      <c r="J8337" t="s">
        <v>14709</v>
      </c>
      <c r="K8337" t="s">
        <v>19050</v>
      </c>
      <c r="L8337">
        <f>HYPERLINK("https://www2.assemblee-nationale.fr/sycomore/fiche/(num_dept)/1444", "1444")</f>
        <v>0</v>
      </c>
      <c r="N8337">
        <f>HYPERLINK("https://www.wikidata.org/wiki/Q2526536", "Q2526536")</f>
        <v>0</v>
      </c>
      <c r="O8337" t="s">
        <v>19990</v>
      </c>
      <c r="P8337" t="s">
        <v>20515</v>
      </c>
      <c r="Q8337" t="s">
        <v>17554</v>
      </c>
      <c r="R8337" t="s">
        <v>421</v>
      </c>
      <c r="S8337">
        <v>1472</v>
      </c>
    </row>
    <row r="8338" spans="1:19">
      <c r="A8338" t="s">
        <v>31</v>
      </c>
      <c r="B8338" t="s">
        <v>148</v>
      </c>
      <c r="C8338" t="s">
        <v>163</v>
      </c>
      <c r="D8338" t="s">
        <v>292</v>
      </c>
      <c r="E8338" t="s">
        <v>421</v>
      </c>
      <c r="F8338">
        <f>HYPERLINK("https://www.wikidata.org/wiki/Q33323183", "Q33323183")</f>
        <v>0</v>
      </c>
      <c r="G8338" t="s">
        <v>3959</v>
      </c>
      <c r="H8338" t="s">
        <v>8209</v>
      </c>
      <c r="I8338" t="s">
        <v>9442</v>
      </c>
      <c r="J8338" t="s">
        <v>14510</v>
      </c>
      <c r="K8338" t="s">
        <v>18855</v>
      </c>
      <c r="L8338">
        <f>HYPERLINK("https://www2.assemblee-nationale.fr/sycomore/fiche/(num_dept)/1538", "1538")</f>
        <v>0</v>
      </c>
      <c r="M8338">
        <f>HYPERLINK("https://www.senat.fr/senateur-3eme-republique/cauvin_ernest1658r3.html", "cauvin_ernest1658r3")</f>
        <v>0</v>
      </c>
      <c r="N8338">
        <f>HYPERLINK("https://www.wikidata.org/wiki/Q3056877", "Q3056877")</f>
        <v>0</v>
      </c>
      <c r="O8338" t="s">
        <v>20012</v>
      </c>
      <c r="P8338" t="s">
        <v>20401</v>
      </c>
      <c r="Q8338" t="s">
        <v>17554</v>
      </c>
      <c r="R8338" t="s">
        <v>21637</v>
      </c>
      <c r="S8338">
        <v>576</v>
      </c>
    </row>
    <row r="8339" spans="1:19">
      <c r="A8339" t="s">
        <v>31</v>
      </c>
      <c r="B8339" t="s">
        <v>148</v>
      </c>
      <c r="C8339" t="s">
        <v>163</v>
      </c>
      <c r="D8339" t="s">
        <v>292</v>
      </c>
      <c r="E8339" t="s">
        <v>421</v>
      </c>
      <c r="F8339">
        <f>HYPERLINK("https://www.wikidata.org/wiki/Q33323183", "Q33323183")</f>
        <v>0</v>
      </c>
      <c r="G8339" t="s">
        <v>4105</v>
      </c>
      <c r="H8339" t="s">
        <v>8317</v>
      </c>
      <c r="I8339" t="s">
        <v>11113</v>
      </c>
      <c r="J8339" t="s">
        <v>14643</v>
      </c>
      <c r="K8339" t="s">
        <v>17665</v>
      </c>
      <c r="L8339">
        <f>HYPERLINK("https://www2.assemblee-nationale.fr/sycomore/fiche/(num_dept)/1557", "1557")</f>
        <v>0</v>
      </c>
      <c r="N8339">
        <f>HYPERLINK("https://www.wikidata.org/wiki/Q11984843", "Q11984843")</f>
        <v>0</v>
      </c>
      <c r="O8339" t="s">
        <v>19987</v>
      </c>
      <c r="P8339" t="s">
        <v>20457</v>
      </c>
      <c r="Q8339" t="s">
        <v>17554</v>
      </c>
      <c r="R8339" t="s">
        <v>421</v>
      </c>
      <c r="S8339">
        <v>1472</v>
      </c>
    </row>
    <row r="8340" spans="1:19">
      <c r="A8340" t="s">
        <v>31</v>
      </c>
      <c r="B8340" t="s">
        <v>148</v>
      </c>
      <c r="C8340" t="s">
        <v>163</v>
      </c>
      <c r="D8340" t="s">
        <v>292</v>
      </c>
      <c r="E8340" t="s">
        <v>421</v>
      </c>
      <c r="F8340">
        <f>HYPERLINK("https://www.wikidata.org/wiki/Q33323183", "Q33323183")</f>
        <v>0</v>
      </c>
      <c r="G8340" t="s">
        <v>902</v>
      </c>
      <c r="H8340" t="s">
        <v>5658</v>
      </c>
      <c r="I8340" t="s">
        <v>8240</v>
      </c>
      <c r="J8340" t="s">
        <v>11647</v>
      </c>
      <c r="K8340" t="s">
        <v>16046</v>
      </c>
      <c r="L8340">
        <f>HYPERLINK("https://www2.assemblee-nationale.fr/sycomore/fiche/(num_dept)/1568", "1568")</f>
        <v>0</v>
      </c>
      <c r="N8340">
        <f>HYPERLINK("https://www.wikidata.org/wiki/Q3367326", "Q3367326")</f>
        <v>0</v>
      </c>
      <c r="O8340" t="s">
        <v>20015</v>
      </c>
      <c r="P8340" t="s">
        <v>20489</v>
      </c>
      <c r="Q8340" t="s">
        <v>17554</v>
      </c>
      <c r="R8340" t="s">
        <v>421</v>
      </c>
      <c r="S8340">
        <v>1472</v>
      </c>
    </row>
    <row r="8341" spans="1:19">
      <c r="A8341" t="s">
        <v>31</v>
      </c>
      <c r="B8341" t="s">
        <v>148</v>
      </c>
      <c r="C8341" t="s">
        <v>163</v>
      </c>
      <c r="D8341" t="s">
        <v>292</v>
      </c>
      <c r="E8341" t="s">
        <v>421</v>
      </c>
      <c r="F8341">
        <f>HYPERLINK("https://www.wikidata.org/wiki/Q33323183", "Q33323183")</f>
        <v>0</v>
      </c>
      <c r="G8341" t="s">
        <v>3960</v>
      </c>
      <c r="H8341" t="s">
        <v>8210</v>
      </c>
      <c r="I8341" t="s">
        <v>11044</v>
      </c>
      <c r="J8341" t="s">
        <v>14511</v>
      </c>
      <c r="K8341" t="s">
        <v>18856</v>
      </c>
      <c r="L8341">
        <f>HYPERLINK("https://www2.assemblee-nationale.fr/sycomore/fiche/(num_dept)/1574", "1574")</f>
        <v>0</v>
      </c>
      <c r="N8341">
        <f>HYPERLINK("https://www.wikidata.org/wiki/Q3588439", "Q3588439")</f>
        <v>0</v>
      </c>
      <c r="O8341" t="s">
        <v>20041</v>
      </c>
      <c r="P8341" t="s">
        <v>20402</v>
      </c>
      <c r="Q8341" t="s">
        <v>17554</v>
      </c>
      <c r="R8341" t="s">
        <v>421</v>
      </c>
      <c r="S8341">
        <v>1472</v>
      </c>
    </row>
    <row r="8342" spans="1:19">
      <c r="A8342" t="s">
        <v>31</v>
      </c>
      <c r="B8342" t="s">
        <v>148</v>
      </c>
      <c r="C8342" t="s">
        <v>163</v>
      </c>
      <c r="D8342" t="s">
        <v>292</v>
      </c>
      <c r="E8342" t="s">
        <v>421</v>
      </c>
      <c r="F8342">
        <f>HYPERLINK("https://www.wikidata.org/wiki/Q33323183", "Q33323183")</f>
        <v>0</v>
      </c>
      <c r="G8342" t="s">
        <v>4194</v>
      </c>
      <c r="H8342" t="s">
        <v>8386</v>
      </c>
      <c r="I8342" t="s">
        <v>9474</v>
      </c>
      <c r="J8342" t="s">
        <v>14710</v>
      </c>
      <c r="K8342" t="s">
        <v>19051</v>
      </c>
      <c r="L8342">
        <f>HYPERLINK("https://www2.assemblee-nationale.fr/sycomore/fiche/(num_dept)/1715", "1715")</f>
        <v>0</v>
      </c>
      <c r="N8342">
        <f>HYPERLINK("https://www.wikidata.org/wiki/Q3163949", "Q3163949")</f>
        <v>0</v>
      </c>
      <c r="O8342" t="s">
        <v>20045</v>
      </c>
      <c r="P8342" t="s">
        <v>20401</v>
      </c>
      <c r="Q8342" t="s">
        <v>17554</v>
      </c>
      <c r="R8342" t="s">
        <v>421</v>
      </c>
      <c r="S8342">
        <v>1472</v>
      </c>
    </row>
    <row r="8343" spans="1:19">
      <c r="A8343" t="s">
        <v>31</v>
      </c>
      <c r="B8343" t="s">
        <v>148</v>
      </c>
      <c r="C8343" t="s">
        <v>163</v>
      </c>
      <c r="D8343" t="s">
        <v>292</v>
      </c>
      <c r="E8343" t="s">
        <v>421</v>
      </c>
      <c r="F8343">
        <f>HYPERLINK("https://www.wikidata.org/wiki/Q33323183", "Q33323183")</f>
        <v>0</v>
      </c>
      <c r="G8343" t="s">
        <v>1158</v>
      </c>
      <c r="H8343" t="s">
        <v>5892</v>
      </c>
      <c r="I8343" t="s">
        <v>9686</v>
      </c>
      <c r="J8343" t="s">
        <v>11834</v>
      </c>
      <c r="K8343" t="s">
        <v>16293</v>
      </c>
      <c r="L8343">
        <f>HYPERLINK("https://www2.assemblee-nationale.fr/sycomore/fiche/(num_dept)/1718", "1718")</f>
        <v>0</v>
      </c>
      <c r="N8343">
        <f>HYPERLINK("https://www.wikidata.org/wiki/Q16025432", "Q16025432")</f>
        <v>0</v>
      </c>
      <c r="O8343" t="s">
        <v>20043</v>
      </c>
      <c r="P8343" t="s">
        <v>20489</v>
      </c>
      <c r="Q8343" t="s">
        <v>17554</v>
      </c>
      <c r="R8343" t="s">
        <v>421</v>
      </c>
      <c r="S8343">
        <v>1472</v>
      </c>
    </row>
    <row r="8344" spans="1:19">
      <c r="A8344" t="s">
        <v>31</v>
      </c>
      <c r="B8344" t="s">
        <v>148</v>
      </c>
      <c r="C8344" t="s">
        <v>163</v>
      </c>
      <c r="D8344" t="s">
        <v>292</v>
      </c>
      <c r="E8344" t="s">
        <v>421</v>
      </c>
      <c r="F8344">
        <f>HYPERLINK("https://www.wikidata.org/wiki/Q33323183", "Q33323183")</f>
        <v>0</v>
      </c>
      <c r="G8344" t="s">
        <v>3835</v>
      </c>
      <c r="H8344" t="s">
        <v>8113</v>
      </c>
      <c r="I8344" t="s">
        <v>10995</v>
      </c>
      <c r="J8344" t="s">
        <v>14397</v>
      </c>
      <c r="K8344" t="s">
        <v>18751</v>
      </c>
      <c r="L8344">
        <f>HYPERLINK("https://www2.assemblee-nationale.fr/sycomore/fiche/(num_dept)/1760", "1760")</f>
        <v>0</v>
      </c>
      <c r="N8344">
        <f>HYPERLINK("https://www.wikidata.org/wiki/Q7121784", "Q7121784")</f>
        <v>0</v>
      </c>
      <c r="O8344" t="s">
        <v>20006</v>
      </c>
      <c r="P8344" t="s">
        <v>20489</v>
      </c>
      <c r="Q8344" t="s">
        <v>17554</v>
      </c>
      <c r="R8344" t="s">
        <v>421</v>
      </c>
      <c r="S8344">
        <v>1472</v>
      </c>
    </row>
    <row r="8345" spans="1:19">
      <c r="A8345" t="s">
        <v>31</v>
      </c>
      <c r="B8345" t="s">
        <v>148</v>
      </c>
      <c r="C8345" t="s">
        <v>163</v>
      </c>
      <c r="D8345" t="s">
        <v>292</v>
      </c>
      <c r="E8345" t="s">
        <v>421</v>
      </c>
      <c r="F8345">
        <f>HYPERLINK("https://www.wikidata.org/wiki/Q33323183", "Q33323183")</f>
        <v>0</v>
      </c>
      <c r="G8345" t="s">
        <v>4195</v>
      </c>
      <c r="H8345" t="s">
        <v>8387</v>
      </c>
      <c r="I8345" t="s">
        <v>11157</v>
      </c>
      <c r="J8345" t="s">
        <v>14158</v>
      </c>
      <c r="K8345" t="s">
        <v>19052</v>
      </c>
      <c r="L8345">
        <f>HYPERLINK("https://www2.assemblee-nationale.fr/sycomore/fiche/(num_dept)/1797", "1797")</f>
        <v>0</v>
      </c>
      <c r="N8345">
        <f>HYPERLINK("https://www.wikidata.org/wiki/Q16025447", "Q16025447")</f>
        <v>0</v>
      </c>
      <c r="O8345" t="s">
        <v>20006</v>
      </c>
      <c r="P8345" t="s">
        <v>20401</v>
      </c>
      <c r="Q8345" t="s">
        <v>17554</v>
      </c>
      <c r="R8345" t="s">
        <v>421</v>
      </c>
      <c r="S8345">
        <v>1472</v>
      </c>
    </row>
    <row r="8346" spans="1:19">
      <c r="A8346" t="s">
        <v>31</v>
      </c>
      <c r="B8346" t="s">
        <v>148</v>
      </c>
      <c r="C8346" t="s">
        <v>163</v>
      </c>
      <c r="D8346" t="s">
        <v>292</v>
      </c>
      <c r="E8346" t="s">
        <v>421</v>
      </c>
      <c r="F8346">
        <f>HYPERLINK("https://www.wikidata.org/wiki/Q33323183", "Q33323183")</f>
        <v>0</v>
      </c>
      <c r="G8346" t="s">
        <v>4196</v>
      </c>
      <c r="H8346" t="s">
        <v>5339</v>
      </c>
      <c r="I8346" t="s">
        <v>11158</v>
      </c>
      <c r="J8346" t="s">
        <v>14444</v>
      </c>
      <c r="K8346" t="s">
        <v>470</v>
      </c>
      <c r="L8346">
        <f>HYPERLINK("https://www2.assemblee-nationale.fr/sycomore/fiche/(num_dept)/1823", "1823")</f>
        <v>0</v>
      </c>
      <c r="N8346">
        <f>HYPERLINK("https://www.wikidata.org/wiki/Q16025453", "Q16025453")</f>
        <v>0</v>
      </c>
      <c r="O8346" t="s">
        <v>19982</v>
      </c>
      <c r="P8346" t="s">
        <v>20401</v>
      </c>
      <c r="Q8346" t="s">
        <v>17554</v>
      </c>
      <c r="R8346" t="s">
        <v>421</v>
      </c>
      <c r="S8346">
        <v>1472</v>
      </c>
    </row>
    <row r="8347" spans="1:19">
      <c r="A8347" t="s">
        <v>31</v>
      </c>
      <c r="B8347" t="s">
        <v>148</v>
      </c>
      <c r="C8347" t="s">
        <v>163</v>
      </c>
      <c r="D8347" t="s">
        <v>292</v>
      </c>
      <c r="E8347" t="s">
        <v>421</v>
      </c>
      <c r="F8347">
        <f>HYPERLINK("https://www.wikidata.org/wiki/Q33323183", "Q33323183")</f>
        <v>0</v>
      </c>
      <c r="G8347" t="s">
        <v>580</v>
      </c>
      <c r="H8347" t="s">
        <v>5342</v>
      </c>
      <c r="I8347" t="s">
        <v>9430</v>
      </c>
      <c r="J8347" t="s">
        <v>11331</v>
      </c>
      <c r="K8347" t="s">
        <v>15732</v>
      </c>
      <c r="L8347">
        <f>HYPERLINK("https://www2.assemblee-nationale.fr/sycomore/fiche/(num_dept)/1859", "1859")</f>
        <v>0</v>
      </c>
      <c r="N8347">
        <f>HYPERLINK("https://www.wikidata.org/wiki/Q3588422", "Q3588422")</f>
        <v>0</v>
      </c>
      <c r="O8347" t="s">
        <v>20011</v>
      </c>
      <c r="P8347" t="s">
        <v>20402</v>
      </c>
      <c r="Q8347" t="s">
        <v>17554</v>
      </c>
      <c r="R8347" t="s">
        <v>421</v>
      </c>
      <c r="S8347">
        <v>1472</v>
      </c>
    </row>
    <row r="8348" spans="1:19">
      <c r="A8348" t="s">
        <v>31</v>
      </c>
      <c r="B8348" t="s">
        <v>148</v>
      </c>
      <c r="C8348" t="s">
        <v>163</v>
      </c>
      <c r="D8348" t="s">
        <v>292</v>
      </c>
      <c r="E8348" t="s">
        <v>421</v>
      </c>
      <c r="F8348">
        <f>HYPERLINK("https://www.wikidata.org/wiki/Q33323183", "Q33323183")</f>
        <v>0</v>
      </c>
      <c r="G8348" t="s">
        <v>4042</v>
      </c>
      <c r="H8348" t="s">
        <v>8270</v>
      </c>
      <c r="I8348" t="s">
        <v>11077</v>
      </c>
      <c r="J8348" t="s">
        <v>14583</v>
      </c>
      <c r="K8348" t="s">
        <v>18923</v>
      </c>
      <c r="L8348">
        <f>HYPERLINK("https://www2.assemblee-nationale.fr/sycomore/fiche/(num_dept)/1959", "1959")</f>
        <v>0</v>
      </c>
      <c r="N8348">
        <f>HYPERLINK("https://www.wikidata.org/wiki/Q15741812", "Q15741812")</f>
        <v>0</v>
      </c>
      <c r="O8348" t="s">
        <v>19982</v>
      </c>
      <c r="P8348" t="s">
        <v>20401</v>
      </c>
      <c r="Q8348" t="s">
        <v>17554</v>
      </c>
      <c r="R8348" t="s">
        <v>421</v>
      </c>
      <c r="S8348">
        <v>1472</v>
      </c>
    </row>
    <row r="8349" spans="1:19">
      <c r="A8349" t="s">
        <v>31</v>
      </c>
      <c r="B8349" t="s">
        <v>148</v>
      </c>
      <c r="C8349" t="s">
        <v>163</v>
      </c>
      <c r="D8349" t="s">
        <v>292</v>
      </c>
      <c r="E8349" t="s">
        <v>421</v>
      </c>
      <c r="F8349">
        <f>HYPERLINK("https://www.wikidata.org/wiki/Q33323183", "Q33323183")</f>
        <v>0</v>
      </c>
      <c r="G8349" t="s">
        <v>1771</v>
      </c>
      <c r="H8349" t="s">
        <v>6439</v>
      </c>
      <c r="I8349" t="s">
        <v>9941</v>
      </c>
      <c r="J8349" t="s">
        <v>12469</v>
      </c>
      <c r="K8349" t="s">
        <v>16877</v>
      </c>
      <c r="L8349">
        <f>HYPERLINK("https://www2.assemblee-nationale.fr/sycomore/fiche/(num_dept)/1966", "1966")</f>
        <v>0</v>
      </c>
      <c r="M8349">
        <f>HYPERLINK("https://www.senat.fr/senateur-3eme-republique/cornand_leon0086r3.html", "cornand_leon0086r3")</f>
        <v>0</v>
      </c>
      <c r="N8349">
        <f>HYPERLINK("https://www.wikidata.org/wiki/Q3270842", "Q3270842")</f>
        <v>0</v>
      </c>
      <c r="O8349" t="s">
        <v>20006</v>
      </c>
      <c r="P8349" t="s">
        <v>20485</v>
      </c>
      <c r="Q8349" t="s">
        <v>17554</v>
      </c>
      <c r="R8349" t="s">
        <v>421</v>
      </c>
      <c r="S8349">
        <v>1472</v>
      </c>
    </row>
    <row r="8350" spans="1:19">
      <c r="A8350" t="s">
        <v>31</v>
      </c>
      <c r="B8350" t="s">
        <v>148</v>
      </c>
      <c r="C8350" t="s">
        <v>163</v>
      </c>
      <c r="D8350" t="s">
        <v>292</v>
      </c>
      <c r="E8350" t="s">
        <v>421</v>
      </c>
      <c r="F8350">
        <f>HYPERLINK("https://www.wikidata.org/wiki/Q33323183", "Q33323183")</f>
        <v>0</v>
      </c>
      <c r="G8350" t="s">
        <v>4197</v>
      </c>
      <c r="H8350" t="s">
        <v>8388</v>
      </c>
      <c r="I8350" t="s">
        <v>9449</v>
      </c>
      <c r="J8350" t="s">
        <v>14711</v>
      </c>
      <c r="K8350" t="s">
        <v>19053</v>
      </c>
      <c r="L8350">
        <f>HYPERLINK("https://www2.assemblee-nationale.fr/sycomore/fiche/(num_dept)/1988", "1988")</f>
        <v>0</v>
      </c>
      <c r="N8350">
        <f>HYPERLINK("https://www.wikidata.org/wiki/Q13080925", "Q13080925")</f>
        <v>0</v>
      </c>
      <c r="O8350" t="s">
        <v>19969</v>
      </c>
      <c r="P8350" t="s">
        <v>20401</v>
      </c>
      <c r="Q8350" t="s">
        <v>17554</v>
      </c>
      <c r="R8350" t="s">
        <v>421</v>
      </c>
      <c r="S8350">
        <v>1472</v>
      </c>
    </row>
    <row r="8351" spans="1:19">
      <c r="A8351" t="s">
        <v>31</v>
      </c>
      <c r="B8351" t="s">
        <v>148</v>
      </c>
      <c r="C8351" t="s">
        <v>163</v>
      </c>
      <c r="D8351" t="s">
        <v>292</v>
      </c>
      <c r="E8351" t="s">
        <v>421</v>
      </c>
      <c r="F8351">
        <f>HYPERLINK("https://www.wikidata.org/wiki/Q33323183", "Q33323183")</f>
        <v>0</v>
      </c>
      <c r="G8351" t="s">
        <v>590</v>
      </c>
      <c r="H8351" t="s">
        <v>5351</v>
      </c>
      <c r="I8351" t="s">
        <v>9439</v>
      </c>
      <c r="J8351" t="s">
        <v>11341</v>
      </c>
      <c r="K8351" t="s">
        <v>15742</v>
      </c>
      <c r="L8351">
        <f>HYPERLINK("https://www2.assemblee-nationale.fr/sycomore/fiche/(num_dept)/1989", "1989")</f>
        <v>0</v>
      </c>
      <c r="M8351">
        <f>HYPERLINK("https://www.senat.fr/senateur-3eme-republique/cosnier_henri0280r3.html", "cosnier_henri0280r3")</f>
        <v>0</v>
      </c>
      <c r="N8351">
        <f>HYPERLINK("https://www.wikidata.org/wiki/Q3130887", "Q3130887")</f>
        <v>0</v>
      </c>
      <c r="O8351" t="s">
        <v>19975</v>
      </c>
      <c r="P8351" t="s">
        <v>20489</v>
      </c>
      <c r="Q8351" t="s">
        <v>17554</v>
      </c>
      <c r="R8351" t="s">
        <v>421</v>
      </c>
      <c r="S8351">
        <v>1472</v>
      </c>
    </row>
    <row r="8352" spans="1:19">
      <c r="A8352" t="s">
        <v>31</v>
      </c>
      <c r="B8352" t="s">
        <v>148</v>
      </c>
      <c r="C8352" t="s">
        <v>163</v>
      </c>
      <c r="D8352" t="s">
        <v>292</v>
      </c>
      <c r="E8352" t="s">
        <v>421</v>
      </c>
      <c r="F8352">
        <f>HYPERLINK("https://www.wikidata.org/wiki/Q33323183", "Q33323183")</f>
        <v>0</v>
      </c>
      <c r="G8352" t="s">
        <v>4171</v>
      </c>
      <c r="H8352" t="s">
        <v>8371</v>
      </c>
      <c r="I8352" t="s">
        <v>9407</v>
      </c>
      <c r="J8352" t="s">
        <v>14692</v>
      </c>
      <c r="K8352" t="s">
        <v>19033</v>
      </c>
      <c r="L8352">
        <f>HYPERLINK("https://www2.assemblee-nationale.fr/sycomore/fiche/(num_dept)/2006", "2006")</f>
        <v>0</v>
      </c>
      <c r="N8352">
        <f>HYPERLINK("https://www.wikidata.org/wiki/Q3184792", "Q3184792")</f>
        <v>0</v>
      </c>
      <c r="O8352" t="s">
        <v>20016</v>
      </c>
      <c r="P8352" t="s">
        <v>20489</v>
      </c>
      <c r="Q8352" t="s">
        <v>17554</v>
      </c>
      <c r="R8352" t="s">
        <v>421</v>
      </c>
      <c r="S8352">
        <v>1472</v>
      </c>
    </row>
    <row r="8353" spans="1:19">
      <c r="A8353" t="s">
        <v>31</v>
      </c>
      <c r="B8353" t="s">
        <v>148</v>
      </c>
      <c r="C8353" t="s">
        <v>163</v>
      </c>
      <c r="D8353" t="s">
        <v>292</v>
      </c>
      <c r="E8353" t="s">
        <v>421</v>
      </c>
      <c r="F8353">
        <f>HYPERLINK("https://www.wikidata.org/wiki/Q33323183", "Q33323183")</f>
        <v>0</v>
      </c>
      <c r="G8353" t="s">
        <v>4111</v>
      </c>
      <c r="H8353" t="s">
        <v>8323</v>
      </c>
      <c r="I8353" t="s">
        <v>9470</v>
      </c>
      <c r="J8353" t="s">
        <v>14647</v>
      </c>
      <c r="K8353" t="s">
        <v>18981</v>
      </c>
      <c r="L8353">
        <f>HYPERLINK("https://www2.assemblee-nationale.fr/sycomore/fiche/(num_dept)/2023", "2023")</f>
        <v>0</v>
      </c>
      <c r="N8353">
        <f>HYPERLINK("https://www.wikidata.org/wiki/Q3098959", "Q3098959")</f>
        <v>0</v>
      </c>
      <c r="O8353" t="s">
        <v>20047</v>
      </c>
      <c r="P8353" t="s">
        <v>20489</v>
      </c>
      <c r="Q8353" t="s">
        <v>17554</v>
      </c>
      <c r="R8353" t="s">
        <v>421</v>
      </c>
      <c r="S8353">
        <v>1472</v>
      </c>
    </row>
    <row r="8354" spans="1:19">
      <c r="A8354" t="s">
        <v>31</v>
      </c>
      <c r="B8354" t="s">
        <v>148</v>
      </c>
      <c r="C8354" t="s">
        <v>163</v>
      </c>
      <c r="D8354" t="s">
        <v>292</v>
      </c>
      <c r="E8354" t="s">
        <v>421</v>
      </c>
      <c r="F8354">
        <f>HYPERLINK("https://www.wikidata.org/wiki/Q33323183", "Q33323183")</f>
        <v>0</v>
      </c>
      <c r="G8354" t="s">
        <v>594</v>
      </c>
      <c r="H8354" t="s">
        <v>5355</v>
      </c>
      <c r="I8354" t="s">
        <v>6200</v>
      </c>
      <c r="J8354" t="s">
        <v>11345</v>
      </c>
      <c r="K8354" t="s">
        <v>15746</v>
      </c>
      <c r="L8354">
        <f>HYPERLINK("https://www2.assemblee-nationale.fr/sycomore/fiche/(num_dept)/2080", "2080")</f>
        <v>0</v>
      </c>
      <c r="M8354">
        <f>HYPERLINK("https://www.senat.fr/senateur-3eme-republique/cruppi_jean0109r3.html", "cruppi_jean0109r3")</f>
        <v>0</v>
      </c>
      <c r="N8354">
        <f>HYPERLINK("https://www.wikidata.org/wiki/Q730383", "Q730383")</f>
        <v>0</v>
      </c>
      <c r="O8354" t="s">
        <v>20016</v>
      </c>
      <c r="P8354" t="s">
        <v>20401</v>
      </c>
      <c r="Q8354" t="s">
        <v>17554</v>
      </c>
      <c r="R8354" t="s">
        <v>421</v>
      </c>
      <c r="S8354">
        <v>1472</v>
      </c>
    </row>
    <row r="8355" spans="1:19">
      <c r="A8355" t="s">
        <v>31</v>
      </c>
      <c r="B8355" t="s">
        <v>148</v>
      </c>
      <c r="C8355" t="s">
        <v>163</v>
      </c>
      <c r="D8355" t="s">
        <v>292</v>
      </c>
      <c r="E8355" t="s">
        <v>421</v>
      </c>
      <c r="F8355">
        <f>HYPERLINK("https://www.wikidata.org/wiki/Q33323183", "Q33323183")</f>
        <v>0</v>
      </c>
      <c r="G8355" t="s">
        <v>3760</v>
      </c>
      <c r="H8355" t="s">
        <v>8058</v>
      </c>
      <c r="I8355" t="s">
        <v>10965</v>
      </c>
      <c r="J8355" t="s">
        <v>14332</v>
      </c>
      <c r="K8355" t="s">
        <v>18685</v>
      </c>
      <c r="L8355">
        <f>HYPERLINK("https://www2.assemblee-nationale.fr/sycomore/fiche/(num_dept)/2166", "2166")</f>
        <v>0</v>
      </c>
      <c r="N8355">
        <f>HYPERLINK("https://www.wikidata.org/wiki/Q3379684", "Q3379684")</f>
        <v>0</v>
      </c>
      <c r="O8355" t="s">
        <v>20043</v>
      </c>
      <c r="P8355" t="s">
        <v>20489</v>
      </c>
      <c r="Q8355" t="s">
        <v>17554</v>
      </c>
      <c r="R8355" t="s">
        <v>421</v>
      </c>
      <c r="S8355">
        <v>1472</v>
      </c>
    </row>
    <row r="8356" spans="1:19">
      <c r="A8356" t="s">
        <v>31</v>
      </c>
      <c r="B8356" t="s">
        <v>148</v>
      </c>
      <c r="C8356" t="s">
        <v>163</v>
      </c>
      <c r="D8356" t="s">
        <v>292</v>
      </c>
      <c r="E8356" t="s">
        <v>421</v>
      </c>
      <c r="F8356">
        <f>HYPERLINK("https://www.wikidata.org/wiki/Q33323183", "Q33323183")</f>
        <v>0</v>
      </c>
      <c r="G8356" t="s">
        <v>922</v>
      </c>
      <c r="H8356" t="s">
        <v>5678</v>
      </c>
      <c r="I8356" t="s">
        <v>6495</v>
      </c>
      <c r="J8356" t="s">
        <v>11664</v>
      </c>
      <c r="K8356" t="s">
        <v>16065</v>
      </c>
      <c r="L8356">
        <f>HYPERLINK("https://www2.assemblee-nationale.fr/sycomore/fiche/(num_dept)/2185", "2185")</f>
        <v>0</v>
      </c>
      <c r="N8356">
        <f>HYPERLINK("https://www.wikidata.org/wiki/Q3261668", "Q3261668")</f>
        <v>0</v>
      </c>
      <c r="O8356" t="s">
        <v>19996</v>
      </c>
      <c r="P8356" t="s">
        <v>20489</v>
      </c>
      <c r="Q8356" t="s">
        <v>17554</v>
      </c>
      <c r="R8356" t="s">
        <v>421</v>
      </c>
      <c r="S8356">
        <v>1472</v>
      </c>
    </row>
    <row r="8357" spans="1:19">
      <c r="A8357" t="s">
        <v>31</v>
      </c>
      <c r="B8357" t="s">
        <v>148</v>
      </c>
      <c r="C8357" t="s">
        <v>163</v>
      </c>
      <c r="D8357" t="s">
        <v>292</v>
      </c>
      <c r="E8357" t="s">
        <v>421</v>
      </c>
      <c r="F8357">
        <f>HYPERLINK("https://www.wikidata.org/wiki/Q33323183", "Q33323183")</f>
        <v>0</v>
      </c>
      <c r="G8357" t="s">
        <v>3906</v>
      </c>
      <c r="H8357" t="s">
        <v>8164</v>
      </c>
      <c r="I8357" t="s">
        <v>9523</v>
      </c>
      <c r="J8357" t="s">
        <v>14463</v>
      </c>
      <c r="K8357" t="s">
        <v>16468</v>
      </c>
      <c r="L8357">
        <f>HYPERLINK("https://www2.assemblee-nationale.fr/sycomore/fiche/(num_dept)/2277", "2277")</f>
        <v>0</v>
      </c>
      <c r="N8357">
        <f>HYPERLINK("https://www.wikidata.org/wiki/Q16011118", "Q16011118")</f>
        <v>0</v>
      </c>
      <c r="O8357" t="s">
        <v>20013</v>
      </c>
      <c r="P8357" t="s">
        <v>20459</v>
      </c>
      <c r="Q8357" t="s">
        <v>17554</v>
      </c>
      <c r="R8357" t="s">
        <v>421</v>
      </c>
      <c r="S8357">
        <v>1472</v>
      </c>
    </row>
    <row r="8358" spans="1:19">
      <c r="A8358" t="s">
        <v>31</v>
      </c>
      <c r="B8358" t="s">
        <v>148</v>
      </c>
      <c r="C8358" t="s">
        <v>163</v>
      </c>
      <c r="D8358" t="s">
        <v>292</v>
      </c>
      <c r="E8358" t="s">
        <v>421</v>
      </c>
      <c r="F8358">
        <f>HYPERLINK("https://www.wikidata.org/wiki/Q33323183", "Q33323183")</f>
        <v>0</v>
      </c>
      <c r="G8358" t="s">
        <v>4198</v>
      </c>
      <c r="H8358" t="s">
        <v>8389</v>
      </c>
      <c r="I8358" t="s">
        <v>9457</v>
      </c>
      <c r="J8358" t="s">
        <v>14712</v>
      </c>
      <c r="K8358" t="s">
        <v>19054</v>
      </c>
      <c r="L8358">
        <f>HYPERLINK("https://www2.assemblee-nationale.fr/sycomore/fiche/(num_dept)/2288", "2288")</f>
        <v>0</v>
      </c>
      <c r="N8358">
        <f>HYPERLINK("https://www.wikidata.org/wiki/Q16025547", "Q16025547")</f>
        <v>0</v>
      </c>
      <c r="O8358" t="s">
        <v>20013</v>
      </c>
      <c r="P8358" t="s">
        <v>20489</v>
      </c>
      <c r="Q8358" t="s">
        <v>17554</v>
      </c>
      <c r="R8358" t="s">
        <v>421</v>
      </c>
      <c r="S8358">
        <v>1472</v>
      </c>
    </row>
    <row r="8359" spans="1:19">
      <c r="A8359" t="s">
        <v>31</v>
      </c>
      <c r="B8359" t="s">
        <v>148</v>
      </c>
      <c r="C8359" t="s">
        <v>163</v>
      </c>
      <c r="D8359" t="s">
        <v>292</v>
      </c>
      <c r="E8359" t="s">
        <v>421</v>
      </c>
      <c r="F8359">
        <f>HYPERLINK("https://www.wikidata.org/wiki/Q33323183", "Q33323183")</f>
        <v>0</v>
      </c>
      <c r="G8359" t="s">
        <v>609</v>
      </c>
      <c r="H8359" t="s">
        <v>5369</v>
      </c>
      <c r="I8359" t="s">
        <v>9401</v>
      </c>
      <c r="J8359" t="s">
        <v>11360</v>
      </c>
      <c r="K8359" t="s">
        <v>15761</v>
      </c>
      <c r="L8359">
        <f>HYPERLINK("https://www2.assemblee-nationale.fr/sycomore/fiche/(num_dept)/2289", "2289")</f>
        <v>0</v>
      </c>
      <c r="N8359">
        <f>HYPERLINK("https://www.wikidata.org/wiki/Q16025548", "Q16025548")</f>
        <v>0</v>
      </c>
      <c r="O8359" t="s">
        <v>19988</v>
      </c>
      <c r="P8359" t="s">
        <v>20489</v>
      </c>
      <c r="Q8359" t="s">
        <v>17554</v>
      </c>
      <c r="R8359" t="s">
        <v>421</v>
      </c>
      <c r="S8359">
        <v>1472</v>
      </c>
    </row>
    <row r="8360" spans="1:19">
      <c r="A8360" t="s">
        <v>31</v>
      </c>
      <c r="B8360" t="s">
        <v>148</v>
      </c>
      <c r="C8360" t="s">
        <v>163</v>
      </c>
      <c r="D8360" t="s">
        <v>292</v>
      </c>
      <c r="E8360" t="s">
        <v>421</v>
      </c>
      <c r="F8360">
        <f>HYPERLINK("https://www.wikidata.org/wiki/Q33323183", "Q33323183")</f>
        <v>0</v>
      </c>
      <c r="G8360" t="s">
        <v>927</v>
      </c>
      <c r="H8360" t="s">
        <v>5683</v>
      </c>
      <c r="I8360" t="s">
        <v>9483</v>
      </c>
      <c r="J8360" t="s">
        <v>11669</v>
      </c>
      <c r="K8360" t="s">
        <v>16070</v>
      </c>
      <c r="L8360">
        <f>HYPERLINK("https://www2.assemblee-nationale.fr/sycomore/fiche/(num_dept)/2342", "2342")</f>
        <v>0</v>
      </c>
      <c r="M8360">
        <f>HYPERLINK("https://www.senat.fr/senateur-3eme-republique/delpierre_casimir0891r3.html", "delpierre_casimir0891r3")</f>
        <v>0</v>
      </c>
      <c r="N8360">
        <f>HYPERLINK("https://www.wikidata.org/wiki/Q3557252", "Q3557252")</f>
        <v>0</v>
      </c>
      <c r="O8360" t="s">
        <v>19989</v>
      </c>
      <c r="P8360" t="s">
        <v>20401</v>
      </c>
      <c r="Q8360" t="s">
        <v>17554</v>
      </c>
      <c r="R8360" t="s">
        <v>421</v>
      </c>
      <c r="S8360">
        <v>1472</v>
      </c>
    </row>
    <row r="8361" spans="1:19">
      <c r="A8361" t="s">
        <v>31</v>
      </c>
      <c r="B8361" t="s">
        <v>148</v>
      </c>
      <c r="C8361" t="s">
        <v>163</v>
      </c>
      <c r="D8361" t="s">
        <v>292</v>
      </c>
      <c r="E8361" t="s">
        <v>421</v>
      </c>
      <c r="F8361">
        <f>HYPERLINK("https://www.wikidata.org/wiki/Q33323183", "Q33323183")</f>
        <v>0</v>
      </c>
      <c r="G8361" t="s">
        <v>928</v>
      </c>
      <c r="H8361" t="s">
        <v>5684</v>
      </c>
      <c r="I8361" t="s">
        <v>9592</v>
      </c>
      <c r="J8361" t="s">
        <v>11670</v>
      </c>
      <c r="K8361" t="s">
        <v>16071</v>
      </c>
      <c r="L8361">
        <f>HYPERLINK("https://www2.assemblee-nationale.fr/sycomore/fiche/(num_dept)/2391", "2391")</f>
        <v>0</v>
      </c>
      <c r="N8361">
        <f>HYPERLINK("https://www.wikidata.org/wiki/Q16025567", "Q16025567")</f>
        <v>0</v>
      </c>
      <c r="O8361" t="s">
        <v>19969</v>
      </c>
      <c r="P8361" t="s">
        <v>20401</v>
      </c>
      <c r="Q8361" t="s">
        <v>17554</v>
      </c>
      <c r="R8361" t="s">
        <v>421</v>
      </c>
      <c r="S8361">
        <v>1472</v>
      </c>
    </row>
    <row r="8362" spans="1:19">
      <c r="A8362" t="s">
        <v>31</v>
      </c>
      <c r="B8362" t="s">
        <v>148</v>
      </c>
      <c r="C8362" t="s">
        <v>163</v>
      </c>
      <c r="D8362" t="s">
        <v>292</v>
      </c>
      <c r="E8362" t="s">
        <v>421</v>
      </c>
      <c r="F8362">
        <f>HYPERLINK("https://www.wikidata.org/wiki/Q33323183", "Q33323183")</f>
        <v>0</v>
      </c>
      <c r="G8362" t="s">
        <v>3766</v>
      </c>
      <c r="H8362" t="s">
        <v>8064</v>
      </c>
      <c r="I8362" t="s">
        <v>10017</v>
      </c>
      <c r="J8362" t="s">
        <v>14337</v>
      </c>
      <c r="K8362" t="s">
        <v>16165</v>
      </c>
      <c r="L8362">
        <f>HYPERLINK("https://www2.assemblee-nationale.fr/sycomore/fiche/(num_dept)/2431", "2431")</f>
        <v>0</v>
      </c>
      <c r="N8362">
        <f>HYPERLINK("https://www.wikidata.org/wiki/Q2857112", "Q2857112")</f>
        <v>0</v>
      </c>
      <c r="O8362" t="s">
        <v>19979</v>
      </c>
      <c r="P8362" t="s">
        <v>20489</v>
      </c>
      <c r="Q8362" t="s">
        <v>17554</v>
      </c>
      <c r="R8362" t="s">
        <v>421</v>
      </c>
      <c r="S8362">
        <v>1472</v>
      </c>
    </row>
    <row r="8363" spans="1:19">
      <c r="A8363" t="s">
        <v>31</v>
      </c>
      <c r="B8363" t="s">
        <v>148</v>
      </c>
      <c r="C8363" t="s">
        <v>163</v>
      </c>
      <c r="D8363" t="s">
        <v>292</v>
      </c>
      <c r="E8363" t="s">
        <v>421</v>
      </c>
      <c r="F8363">
        <f>HYPERLINK("https://www.wikidata.org/wiki/Q33323183", "Q33323183")</f>
        <v>0</v>
      </c>
      <c r="G8363" t="s">
        <v>932</v>
      </c>
      <c r="H8363" t="s">
        <v>5688</v>
      </c>
      <c r="I8363" t="s">
        <v>9593</v>
      </c>
      <c r="J8363" t="s">
        <v>11674</v>
      </c>
      <c r="K8363" t="s">
        <v>16074</v>
      </c>
      <c r="L8363">
        <f>HYPERLINK("https://www2.assemblee-nationale.fr/sycomore/fiche/(num_dept)/2477", "2477")</f>
        <v>0</v>
      </c>
      <c r="N8363">
        <f>HYPERLINK("https://www.wikidata.org/wiki/Q3293786", "Q3293786")</f>
        <v>0</v>
      </c>
      <c r="O8363" t="s">
        <v>20014</v>
      </c>
      <c r="P8363" t="s">
        <v>20515</v>
      </c>
      <c r="Q8363" t="s">
        <v>17554</v>
      </c>
      <c r="R8363" t="s">
        <v>421</v>
      </c>
      <c r="S8363">
        <v>1472</v>
      </c>
    </row>
    <row r="8364" spans="1:19">
      <c r="A8364" t="s">
        <v>31</v>
      </c>
      <c r="B8364" t="s">
        <v>148</v>
      </c>
      <c r="C8364" t="s">
        <v>163</v>
      </c>
      <c r="D8364" t="s">
        <v>292</v>
      </c>
      <c r="E8364" t="s">
        <v>421</v>
      </c>
      <c r="F8364">
        <f>HYPERLINK("https://www.wikidata.org/wiki/Q33323183", "Q33323183")</f>
        <v>0</v>
      </c>
      <c r="G8364" t="s">
        <v>934</v>
      </c>
      <c r="H8364" t="s">
        <v>5690</v>
      </c>
      <c r="I8364" t="s">
        <v>9470</v>
      </c>
      <c r="J8364" t="s">
        <v>11588</v>
      </c>
      <c r="K8364" t="s">
        <v>16076</v>
      </c>
      <c r="L8364">
        <f>HYPERLINK("https://www2.assemblee-nationale.fr/sycomore/fiche/(num_dept)/2591", "2591")</f>
        <v>0</v>
      </c>
      <c r="N8364">
        <f>HYPERLINK("https://www.wikidata.org/wiki/Q16025613", "Q16025613")</f>
        <v>0</v>
      </c>
      <c r="O8364" t="s">
        <v>20027</v>
      </c>
      <c r="P8364" t="s">
        <v>20489</v>
      </c>
      <c r="Q8364" t="s">
        <v>17554</v>
      </c>
      <c r="R8364" t="s">
        <v>421</v>
      </c>
      <c r="S8364">
        <v>1472</v>
      </c>
    </row>
    <row r="8365" spans="1:19">
      <c r="A8365" t="s">
        <v>31</v>
      </c>
      <c r="B8365" t="s">
        <v>148</v>
      </c>
      <c r="C8365" t="s">
        <v>163</v>
      </c>
      <c r="D8365" t="s">
        <v>292</v>
      </c>
      <c r="E8365" t="s">
        <v>421</v>
      </c>
      <c r="F8365">
        <f>HYPERLINK("https://www.wikidata.org/wiki/Q33323183", "Q33323183")</f>
        <v>0</v>
      </c>
      <c r="G8365" t="s">
        <v>936</v>
      </c>
      <c r="H8365" t="s">
        <v>5692</v>
      </c>
      <c r="I8365" t="s">
        <v>9421</v>
      </c>
      <c r="J8365" t="s">
        <v>11677</v>
      </c>
      <c r="K8365" t="s">
        <v>16078</v>
      </c>
      <c r="L8365">
        <f>HYPERLINK("https://www2.assemblee-nationale.fr/sycomore/fiche/(num_dept)/2595", "2595")</f>
        <v>0</v>
      </c>
      <c r="M8365">
        <f>HYPERLINK("https://www.senat.fr/senateur-3eme-republique/dron_gustave1388r3.html", "dron_gustave1388r3")</f>
        <v>0</v>
      </c>
      <c r="N8365">
        <f>HYPERLINK("https://www.wikidata.org/wiki/Q3121171", "Q3121171")</f>
        <v>0</v>
      </c>
      <c r="O8365" t="s">
        <v>20013</v>
      </c>
      <c r="P8365" t="s">
        <v>20401</v>
      </c>
      <c r="Q8365" t="s">
        <v>17554</v>
      </c>
      <c r="R8365" t="s">
        <v>421</v>
      </c>
      <c r="S8365">
        <v>1472</v>
      </c>
    </row>
    <row r="8366" spans="1:19">
      <c r="A8366" t="s">
        <v>31</v>
      </c>
      <c r="B8366" t="s">
        <v>148</v>
      </c>
      <c r="C8366" t="s">
        <v>163</v>
      </c>
      <c r="D8366" t="s">
        <v>292</v>
      </c>
      <c r="E8366" t="s">
        <v>421</v>
      </c>
      <c r="F8366">
        <f>HYPERLINK("https://www.wikidata.org/wiki/Q33323183", "Q33323183")</f>
        <v>0</v>
      </c>
      <c r="G8366" t="s">
        <v>940</v>
      </c>
      <c r="H8366" t="s">
        <v>5696</v>
      </c>
      <c r="I8366" t="s">
        <v>6495</v>
      </c>
      <c r="J8366" t="s">
        <v>11681</v>
      </c>
      <c r="K8366" t="s">
        <v>16082</v>
      </c>
      <c r="L8366">
        <f>HYPERLINK("https://www2.assemblee-nationale.fr/sycomore/fiche/(num_dept)/2638", "2638")</f>
        <v>0</v>
      </c>
      <c r="N8366">
        <f>HYPERLINK("https://www.wikidata.org/wiki/Q3260420", "Q3260420")</f>
        <v>0</v>
      </c>
      <c r="O8366" t="s">
        <v>20011</v>
      </c>
      <c r="P8366" t="s">
        <v>20517</v>
      </c>
      <c r="Q8366" t="s">
        <v>17554</v>
      </c>
      <c r="R8366" t="s">
        <v>421</v>
      </c>
      <c r="S8366">
        <v>1472</v>
      </c>
    </row>
    <row r="8367" spans="1:19">
      <c r="A8367" t="s">
        <v>31</v>
      </c>
      <c r="B8367" t="s">
        <v>148</v>
      </c>
      <c r="C8367" t="s">
        <v>163</v>
      </c>
      <c r="D8367" t="s">
        <v>292</v>
      </c>
      <c r="E8367" t="s">
        <v>421</v>
      </c>
      <c r="F8367">
        <f>HYPERLINK("https://www.wikidata.org/wiki/Q33323183", "Q33323183")</f>
        <v>0</v>
      </c>
      <c r="G8367" t="s">
        <v>944</v>
      </c>
      <c r="H8367" t="s">
        <v>5700</v>
      </c>
      <c r="I8367" t="s">
        <v>7419</v>
      </c>
      <c r="J8367" t="s">
        <v>11685</v>
      </c>
      <c r="K8367" t="s">
        <v>16086</v>
      </c>
      <c r="L8367">
        <f>HYPERLINK("https://www2.assemblee-nationale.fr/sycomore/fiche/(num_dept)/2675", "2675")</f>
        <v>0</v>
      </c>
      <c r="N8367">
        <f>HYPERLINK("https://www.wikidata.org/wiki/Q16025627", "Q16025627")</f>
        <v>0</v>
      </c>
      <c r="O8367" t="s">
        <v>19975</v>
      </c>
      <c r="P8367" t="s">
        <v>20515</v>
      </c>
      <c r="Q8367" t="s">
        <v>17554</v>
      </c>
      <c r="R8367" t="s">
        <v>421</v>
      </c>
      <c r="S8367">
        <v>1472</v>
      </c>
    </row>
    <row r="8368" spans="1:19">
      <c r="A8368" t="s">
        <v>31</v>
      </c>
      <c r="B8368" t="s">
        <v>148</v>
      </c>
      <c r="C8368" t="s">
        <v>163</v>
      </c>
      <c r="D8368" t="s">
        <v>292</v>
      </c>
      <c r="E8368" t="s">
        <v>421</v>
      </c>
      <c r="F8368">
        <f>HYPERLINK("https://www.wikidata.org/wiki/Q33323183", "Q33323183")</f>
        <v>0</v>
      </c>
      <c r="G8368" t="s">
        <v>624</v>
      </c>
      <c r="H8368" t="s">
        <v>5384</v>
      </c>
      <c r="I8368" t="s">
        <v>5349</v>
      </c>
      <c r="J8368" t="s">
        <v>11374</v>
      </c>
      <c r="K8368" t="s">
        <v>15776</v>
      </c>
      <c r="L8368">
        <f>HYPERLINK("https://www2.assemblee-nationale.fr/sycomore/fiche/(num_dept)/2686", "2686")</f>
        <v>0</v>
      </c>
      <c r="N8368">
        <f>HYPERLINK("https://www.wikidata.org/wiki/Q16025633", "Q16025633")</f>
        <v>0</v>
      </c>
      <c r="O8368" t="s">
        <v>19995</v>
      </c>
      <c r="P8368" t="s">
        <v>20517</v>
      </c>
      <c r="Q8368" t="s">
        <v>17554</v>
      </c>
      <c r="R8368" t="s">
        <v>421</v>
      </c>
      <c r="S8368">
        <v>1472</v>
      </c>
    </row>
    <row r="8369" spans="1:19">
      <c r="A8369" t="s">
        <v>31</v>
      </c>
      <c r="B8369" t="s">
        <v>148</v>
      </c>
      <c r="C8369" t="s">
        <v>163</v>
      </c>
      <c r="D8369" t="s">
        <v>292</v>
      </c>
      <c r="E8369" t="s">
        <v>421</v>
      </c>
      <c r="F8369">
        <f>HYPERLINK("https://www.wikidata.org/wiki/Q33323183", "Q33323183")</f>
        <v>0</v>
      </c>
      <c r="G8369" t="s">
        <v>948</v>
      </c>
      <c r="H8369" t="s">
        <v>5386</v>
      </c>
      <c r="I8369" t="s">
        <v>9385</v>
      </c>
      <c r="J8369" t="s">
        <v>11689</v>
      </c>
      <c r="K8369" t="s">
        <v>16090</v>
      </c>
      <c r="L8369">
        <f>HYPERLINK("https://www2.assemblee-nationale.fr/sycomore/fiche/(num_dept)/2702", "2702")</f>
        <v>0</v>
      </c>
      <c r="M8369">
        <f>HYPERLINK("https://www.senat.fr/senateur-3eme-republique/dumont_charles0432r3.html", "dumont_charles0432r3")</f>
        <v>0</v>
      </c>
      <c r="N8369">
        <f>HYPERLINK("https://www.wikidata.org/wiki/Q2958960", "Q2958960")</f>
        <v>0</v>
      </c>
      <c r="O8369" t="s">
        <v>20041</v>
      </c>
      <c r="P8369" t="s">
        <v>20489</v>
      </c>
      <c r="Q8369" t="s">
        <v>17554</v>
      </c>
      <c r="R8369" t="s">
        <v>421</v>
      </c>
      <c r="S8369">
        <v>1472</v>
      </c>
    </row>
    <row r="8370" spans="1:19">
      <c r="A8370" t="s">
        <v>31</v>
      </c>
      <c r="B8370" t="s">
        <v>148</v>
      </c>
      <c r="C8370" t="s">
        <v>163</v>
      </c>
      <c r="D8370" t="s">
        <v>292</v>
      </c>
      <c r="E8370" t="s">
        <v>421</v>
      </c>
      <c r="F8370">
        <f>HYPERLINK("https://www.wikidata.org/wiki/Q33323183", "Q33323183")</f>
        <v>0</v>
      </c>
      <c r="G8370" t="s">
        <v>4199</v>
      </c>
      <c r="H8370" t="s">
        <v>5386</v>
      </c>
      <c r="I8370" t="s">
        <v>9559</v>
      </c>
      <c r="J8370" t="s">
        <v>14713</v>
      </c>
      <c r="K8370" t="s">
        <v>19055</v>
      </c>
      <c r="L8370">
        <f>HYPERLINK("https://www2.assemblee-nationale.fr/sycomore/fiche/(num_dept)/2705", "2705")</f>
        <v>0</v>
      </c>
      <c r="N8370">
        <f>HYPERLINK("https://www.wikidata.org/wiki/Q16025640", "Q16025640")</f>
        <v>0</v>
      </c>
      <c r="O8370" t="s">
        <v>20044</v>
      </c>
      <c r="P8370" t="s">
        <v>20489</v>
      </c>
      <c r="Q8370" t="s">
        <v>17554</v>
      </c>
      <c r="R8370" t="s">
        <v>421</v>
      </c>
      <c r="S8370">
        <v>1472</v>
      </c>
    </row>
    <row r="8371" spans="1:19">
      <c r="A8371" t="s">
        <v>31</v>
      </c>
      <c r="B8371" t="s">
        <v>148</v>
      </c>
      <c r="C8371" t="s">
        <v>163</v>
      </c>
      <c r="D8371" t="s">
        <v>292</v>
      </c>
      <c r="E8371" t="s">
        <v>421</v>
      </c>
      <c r="F8371">
        <f>HYPERLINK("https://www.wikidata.org/wiki/Q33323183", "Q33323183")</f>
        <v>0</v>
      </c>
      <c r="G8371" t="s">
        <v>949</v>
      </c>
      <c r="H8371" t="s">
        <v>5703</v>
      </c>
      <c r="I8371" t="s">
        <v>9598</v>
      </c>
      <c r="J8371" t="s">
        <v>11690</v>
      </c>
      <c r="K8371" t="s">
        <v>16091</v>
      </c>
      <c r="L8371">
        <f>HYPERLINK("https://www2.assemblee-nationale.fr/sycomore/fiche/(num_dept)/2711", "2711")</f>
        <v>0</v>
      </c>
      <c r="N8371">
        <f>HYPERLINK("https://www.wikidata.org/wiki/Q15971901", "Q15971901")</f>
        <v>0</v>
      </c>
      <c r="O8371" t="s">
        <v>19959</v>
      </c>
      <c r="P8371" t="s">
        <v>20401</v>
      </c>
      <c r="Q8371" t="s">
        <v>17554</v>
      </c>
      <c r="R8371" t="s">
        <v>421</v>
      </c>
      <c r="S8371">
        <v>1472</v>
      </c>
    </row>
    <row r="8372" spans="1:19">
      <c r="A8372" t="s">
        <v>31</v>
      </c>
      <c r="B8372" t="s">
        <v>148</v>
      </c>
      <c r="C8372" t="s">
        <v>163</v>
      </c>
      <c r="D8372" t="s">
        <v>292</v>
      </c>
      <c r="E8372" t="s">
        <v>421</v>
      </c>
      <c r="F8372">
        <f>HYPERLINK("https://www.wikidata.org/wiki/Q33323183", "Q33323183")</f>
        <v>0</v>
      </c>
      <c r="G8372" t="s">
        <v>628</v>
      </c>
      <c r="H8372" t="s">
        <v>5388</v>
      </c>
      <c r="I8372" t="s">
        <v>6200</v>
      </c>
      <c r="J8372" t="s">
        <v>11378</v>
      </c>
      <c r="K8372" t="s">
        <v>15780</v>
      </c>
      <c r="L8372">
        <f>HYPERLINK("https://www2.assemblee-nationale.fr/sycomore/fiche/(num_dept)/2757", "2757")</f>
        <v>0</v>
      </c>
      <c r="M8372">
        <f>HYPERLINK("https://www.senat.fr/senateur-3eme-republique/durand_jean0270r3.html", "durand_jean0270r3")</f>
        <v>0</v>
      </c>
      <c r="N8372">
        <f>HYPERLINK("https://www.wikidata.org/wiki/Q3171885", "Q3171885")</f>
        <v>0</v>
      </c>
      <c r="O8372" t="s">
        <v>19960</v>
      </c>
      <c r="P8372" t="s">
        <v>20489</v>
      </c>
      <c r="Q8372" t="s">
        <v>17554</v>
      </c>
      <c r="R8372" t="s">
        <v>421</v>
      </c>
      <c r="S8372">
        <v>1472</v>
      </c>
    </row>
    <row r="8373" spans="1:19">
      <c r="A8373" t="s">
        <v>31</v>
      </c>
      <c r="B8373" t="s">
        <v>148</v>
      </c>
      <c r="C8373" t="s">
        <v>163</v>
      </c>
      <c r="D8373" t="s">
        <v>292</v>
      </c>
      <c r="E8373" t="s">
        <v>421</v>
      </c>
      <c r="F8373">
        <f>HYPERLINK("https://www.wikidata.org/wiki/Q33323183", "Q33323183")</f>
        <v>0</v>
      </c>
      <c r="G8373" t="s">
        <v>1252</v>
      </c>
      <c r="H8373" t="s">
        <v>5976</v>
      </c>
      <c r="I8373" t="s">
        <v>9457</v>
      </c>
      <c r="J8373" t="s">
        <v>11982</v>
      </c>
      <c r="K8373" t="s">
        <v>16385</v>
      </c>
      <c r="L8373">
        <f>HYPERLINK("https://www2.assemblee-nationale.fr/sycomore/fiche/(num_dept)/2779", "2779")</f>
        <v>0</v>
      </c>
      <c r="N8373">
        <f>HYPERLINK("https://www.wikidata.org/wiki/Q3131027", "Q3131027")</f>
        <v>0</v>
      </c>
      <c r="O8373" t="s">
        <v>20013</v>
      </c>
      <c r="P8373" t="s">
        <v>20515</v>
      </c>
      <c r="Q8373" t="s">
        <v>17554</v>
      </c>
      <c r="R8373" t="s">
        <v>421</v>
      </c>
      <c r="S8373">
        <v>1472</v>
      </c>
    </row>
    <row r="8374" spans="1:19">
      <c r="A8374" t="s">
        <v>31</v>
      </c>
      <c r="B8374" t="s">
        <v>148</v>
      </c>
      <c r="C8374" t="s">
        <v>163</v>
      </c>
      <c r="D8374" t="s">
        <v>292</v>
      </c>
      <c r="E8374" t="s">
        <v>421</v>
      </c>
      <c r="F8374">
        <f>HYPERLINK("https://www.wikidata.org/wiki/Q33323183", "Q33323183")</f>
        <v>0</v>
      </c>
      <c r="G8374" t="s">
        <v>3772</v>
      </c>
      <c r="H8374" t="s">
        <v>8066</v>
      </c>
      <c r="I8374" t="s">
        <v>9388</v>
      </c>
      <c r="J8374" t="s">
        <v>14342</v>
      </c>
      <c r="K8374" t="s">
        <v>18694</v>
      </c>
      <c r="L8374">
        <f>HYPERLINK("https://www2.assemblee-nationale.fr/sycomore/fiche/(num_dept)/2785", "2785")</f>
        <v>0</v>
      </c>
      <c r="N8374">
        <f>HYPERLINK("https://www.wikidata.org/wiki/Q2406994", "Q2406994")</f>
        <v>0</v>
      </c>
      <c r="O8374" t="s">
        <v>19968</v>
      </c>
      <c r="P8374" t="s">
        <v>20410</v>
      </c>
      <c r="Q8374" t="s">
        <v>17554</v>
      </c>
      <c r="R8374" t="s">
        <v>18694</v>
      </c>
      <c r="S8374">
        <v>1030</v>
      </c>
    </row>
    <row r="8375" spans="1:19">
      <c r="A8375" t="s">
        <v>31</v>
      </c>
      <c r="B8375" t="s">
        <v>148</v>
      </c>
      <c r="C8375" t="s">
        <v>163</v>
      </c>
      <c r="D8375" t="s">
        <v>292</v>
      </c>
      <c r="E8375" t="s">
        <v>421</v>
      </c>
      <c r="F8375">
        <f>HYPERLINK("https://www.wikidata.org/wiki/Q33323183", "Q33323183")</f>
        <v>0</v>
      </c>
      <c r="G8375" t="s">
        <v>4200</v>
      </c>
      <c r="H8375" t="s">
        <v>7816</v>
      </c>
      <c r="I8375" t="s">
        <v>11159</v>
      </c>
      <c r="J8375" t="s">
        <v>14714</v>
      </c>
      <c r="K8375" t="s">
        <v>19056</v>
      </c>
      <c r="L8375">
        <f>HYPERLINK("https://www2.assemblee-nationale.fr/sycomore/fiche/(num_dept)/2912", "2912")</f>
        <v>0</v>
      </c>
      <c r="N8375">
        <f>HYPERLINK("https://www.wikidata.org/wiki/Q16025682", "Q16025682")</f>
        <v>0</v>
      </c>
      <c r="O8375" t="s">
        <v>19968</v>
      </c>
      <c r="P8375" t="s">
        <v>20517</v>
      </c>
      <c r="Q8375" t="s">
        <v>17554</v>
      </c>
      <c r="R8375" t="s">
        <v>421</v>
      </c>
      <c r="S8375">
        <v>1472</v>
      </c>
    </row>
    <row r="8376" spans="1:19">
      <c r="A8376" t="s">
        <v>31</v>
      </c>
      <c r="B8376" t="s">
        <v>148</v>
      </c>
      <c r="C8376" t="s">
        <v>163</v>
      </c>
      <c r="D8376" t="s">
        <v>292</v>
      </c>
      <c r="E8376" t="s">
        <v>421</v>
      </c>
      <c r="F8376">
        <f>HYPERLINK("https://www.wikidata.org/wiki/Q33323183", "Q33323183")</f>
        <v>0</v>
      </c>
      <c r="G8376" t="s">
        <v>4117</v>
      </c>
      <c r="H8376" t="s">
        <v>8327</v>
      </c>
      <c r="I8376" t="s">
        <v>11122</v>
      </c>
      <c r="J8376" t="s">
        <v>14651</v>
      </c>
      <c r="K8376" t="s">
        <v>18987</v>
      </c>
      <c r="L8376">
        <f>HYPERLINK("https://www2.assemblee-nationale.fr/sycomore/fiche/(num_dept)/2962", "2962")</f>
        <v>0</v>
      </c>
      <c r="N8376">
        <f>HYPERLINK("https://www.wikidata.org/wiki/Q16025688", "Q16025688")</f>
        <v>0</v>
      </c>
      <c r="O8376" t="s">
        <v>19969</v>
      </c>
      <c r="P8376" t="s">
        <v>20489</v>
      </c>
      <c r="Q8376" t="s">
        <v>17554</v>
      </c>
      <c r="R8376" t="s">
        <v>421</v>
      </c>
      <c r="S8376">
        <v>1472</v>
      </c>
    </row>
    <row r="8377" spans="1:19">
      <c r="A8377" t="s">
        <v>31</v>
      </c>
      <c r="B8377" t="s">
        <v>148</v>
      </c>
      <c r="C8377" t="s">
        <v>163</v>
      </c>
      <c r="D8377" t="s">
        <v>292</v>
      </c>
      <c r="E8377" t="s">
        <v>421</v>
      </c>
      <c r="F8377">
        <f>HYPERLINK("https://www.wikidata.org/wiki/Q33323183", "Q33323183")</f>
        <v>0</v>
      </c>
      <c r="G8377" t="s">
        <v>4201</v>
      </c>
      <c r="H8377" t="s">
        <v>8390</v>
      </c>
      <c r="I8377" t="s">
        <v>9465</v>
      </c>
      <c r="J8377" t="s">
        <v>14715</v>
      </c>
      <c r="K8377" t="s">
        <v>18936</v>
      </c>
      <c r="L8377">
        <f>HYPERLINK("https://www2.assemblee-nationale.fr/sycomore/fiche/(num_dept)/3000", "3000")</f>
        <v>0</v>
      </c>
      <c r="N8377">
        <f>HYPERLINK("https://www.wikidata.org/wiki/Q3059863", "Q3059863")</f>
        <v>0</v>
      </c>
      <c r="O8377" t="s">
        <v>20013</v>
      </c>
      <c r="P8377" t="s">
        <v>20515</v>
      </c>
      <c r="Q8377" t="s">
        <v>17554</v>
      </c>
      <c r="R8377" t="s">
        <v>421</v>
      </c>
      <c r="S8377">
        <v>1472</v>
      </c>
    </row>
    <row r="8378" spans="1:19">
      <c r="A8378" t="s">
        <v>31</v>
      </c>
      <c r="B8378" t="s">
        <v>148</v>
      </c>
      <c r="C8378" t="s">
        <v>163</v>
      </c>
      <c r="D8378" t="s">
        <v>292</v>
      </c>
      <c r="E8378" t="s">
        <v>421</v>
      </c>
      <c r="F8378">
        <f>HYPERLINK("https://www.wikidata.org/wiki/Q33323183", "Q33323183")</f>
        <v>0</v>
      </c>
      <c r="G8378" t="s">
        <v>3701</v>
      </c>
      <c r="H8378" t="s">
        <v>8021</v>
      </c>
      <c r="I8378" t="s">
        <v>9426</v>
      </c>
      <c r="J8378" t="s">
        <v>14276</v>
      </c>
      <c r="K8378" t="s">
        <v>18635</v>
      </c>
      <c r="L8378">
        <f>HYPERLINK("https://www2.assemblee-nationale.fr/sycomore/fiche/(num_dept)/3013", "3013")</f>
        <v>0</v>
      </c>
      <c r="M8378">
        <f>HYPERLINK("https://www.senat.fr/senateur-3eme-republique/fiquet_alphonse1691r3.html", "fiquet_alphonse1691r3")</f>
        <v>0</v>
      </c>
      <c r="N8378">
        <f>HYPERLINK("https://www.wikidata.org/wiki/Q2839795", "Q2839795")</f>
        <v>0</v>
      </c>
      <c r="O8378" t="s">
        <v>20012</v>
      </c>
      <c r="P8378" t="s">
        <v>20489</v>
      </c>
      <c r="Q8378" t="s">
        <v>17554</v>
      </c>
      <c r="R8378" t="s">
        <v>21629</v>
      </c>
      <c r="S8378">
        <v>974</v>
      </c>
    </row>
    <row r="8379" spans="1:19">
      <c r="A8379" t="s">
        <v>31</v>
      </c>
      <c r="B8379" t="s">
        <v>148</v>
      </c>
      <c r="C8379" t="s">
        <v>163</v>
      </c>
      <c r="D8379" t="s">
        <v>292</v>
      </c>
      <c r="E8379" t="s">
        <v>421</v>
      </c>
      <c r="F8379">
        <f>HYPERLINK("https://www.wikidata.org/wiki/Q33323183", "Q33323183")</f>
        <v>0</v>
      </c>
      <c r="G8379" t="s">
        <v>3439</v>
      </c>
      <c r="H8379" t="s">
        <v>7817</v>
      </c>
      <c r="I8379" t="s">
        <v>9636</v>
      </c>
      <c r="J8379" t="s">
        <v>14043</v>
      </c>
      <c r="K8379" t="s">
        <v>18411</v>
      </c>
      <c r="L8379">
        <f>HYPERLINK("https://www2.assemblee-nationale.fr/sycomore/fiche/(num_dept)/3052", "3052")</f>
        <v>0</v>
      </c>
      <c r="M8379">
        <f>HYPERLINK("https://www.senat.fr/senateur-3eme-republique/forcioli_dominique0691r3.html", "forcioli_dominique0691r3")</f>
        <v>0</v>
      </c>
      <c r="N8379">
        <f>HYPERLINK("https://www.wikidata.org/wiki/Q16025715", "Q16025715")</f>
        <v>0</v>
      </c>
      <c r="O8379" t="s">
        <v>19955</v>
      </c>
      <c r="P8379" t="s">
        <v>20489</v>
      </c>
      <c r="Q8379" t="s">
        <v>17554</v>
      </c>
      <c r="R8379" t="s">
        <v>421</v>
      </c>
      <c r="S8379">
        <v>1472</v>
      </c>
    </row>
    <row r="8380" spans="1:19">
      <c r="A8380" t="s">
        <v>31</v>
      </c>
      <c r="B8380" t="s">
        <v>148</v>
      </c>
      <c r="C8380" t="s">
        <v>163</v>
      </c>
      <c r="D8380" t="s">
        <v>292</v>
      </c>
      <c r="E8380" t="s">
        <v>421</v>
      </c>
      <c r="F8380">
        <f>HYPERLINK("https://www.wikidata.org/wiki/Q33323183", "Q33323183")</f>
        <v>0</v>
      </c>
      <c r="G8380" t="s">
        <v>957</v>
      </c>
      <c r="H8380" t="s">
        <v>5709</v>
      </c>
      <c r="I8380" t="s">
        <v>6166</v>
      </c>
      <c r="J8380" t="s">
        <v>11698</v>
      </c>
      <c r="K8380" t="s">
        <v>16099</v>
      </c>
      <c r="L8380">
        <f>HYPERLINK("https://www2.assemblee-nationale.fr/sycomore/fiche/(num_dept)/3097", "3097")</f>
        <v>0</v>
      </c>
      <c r="N8380">
        <f>HYPERLINK("https://www.wikidata.org/wiki/Q868324", "Q868324")</f>
        <v>0</v>
      </c>
      <c r="O8380" t="s">
        <v>20014</v>
      </c>
      <c r="P8380" t="s">
        <v>20515</v>
      </c>
      <c r="Q8380" t="s">
        <v>17554</v>
      </c>
      <c r="R8380" t="s">
        <v>421</v>
      </c>
      <c r="S8380">
        <v>1472</v>
      </c>
    </row>
    <row r="8381" spans="1:19">
      <c r="A8381" t="s">
        <v>31</v>
      </c>
      <c r="B8381" t="s">
        <v>148</v>
      </c>
      <c r="C8381" t="s">
        <v>163</v>
      </c>
      <c r="D8381" t="s">
        <v>292</v>
      </c>
      <c r="E8381" t="s">
        <v>421</v>
      </c>
      <c r="F8381">
        <f>HYPERLINK("https://www.wikidata.org/wiki/Q33323183", "Q33323183")</f>
        <v>0</v>
      </c>
      <c r="G8381" t="s">
        <v>1471</v>
      </c>
      <c r="H8381" t="s">
        <v>6170</v>
      </c>
      <c r="I8381" t="s">
        <v>9602</v>
      </c>
      <c r="J8381" t="s">
        <v>12190</v>
      </c>
      <c r="K8381" t="s">
        <v>16596</v>
      </c>
      <c r="L8381">
        <f>HYPERLINK("https://www2.assemblee-nationale.fr/sycomore/fiche/(num_dept)/3279", "3279")</f>
        <v>0</v>
      </c>
      <c r="N8381">
        <f>HYPERLINK("https://www.wikidata.org/wiki/Q8339897", "Q8339897")</f>
        <v>0</v>
      </c>
      <c r="O8381" t="s">
        <v>19976</v>
      </c>
      <c r="P8381" t="s">
        <v>20402</v>
      </c>
      <c r="Q8381" t="s">
        <v>17554</v>
      </c>
      <c r="R8381" t="s">
        <v>421</v>
      </c>
      <c r="S8381">
        <v>1472</v>
      </c>
    </row>
    <row r="8382" spans="1:19">
      <c r="A8382" t="s">
        <v>31</v>
      </c>
      <c r="B8382" t="s">
        <v>148</v>
      </c>
      <c r="C8382" t="s">
        <v>163</v>
      </c>
      <c r="D8382" t="s">
        <v>292</v>
      </c>
      <c r="E8382" t="s">
        <v>421</v>
      </c>
      <c r="F8382">
        <f>HYPERLINK("https://www.wikidata.org/wiki/Q33323183", "Q33323183")</f>
        <v>0</v>
      </c>
      <c r="G8382" t="s">
        <v>4037</v>
      </c>
      <c r="H8382" t="s">
        <v>8267</v>
      </c>
      <c r="I8382" t="s">
        <v>9472</v>
      </c>
      <c r="J8382" t="s">
        <v>14578</v>
      </c>
      <c r="K8382" t="s">
        <v>18920</v>
      </c>
      <c r="L8382">
        <f>HYPERLINK("https://www2.assemblee-nationale.fr/sycomore/fiche/(num_dept)/3345", "3345")</f>
        <v>0</v>
      </c>
      <c r="M8382">
        <f>HYPERLINK("https://www.senat.fr/senateur-3eme-republique/gentil_hippolyte1639r3.html", "gentil_hippolyte1639r3")</f>
        <v>0</v>
      </c>
      <c r="N8382">
        <f>HYPERLINK("https://www.wikidata.org/wiki/Q3136063", "Q3136063")</f>
        <v>0</v>
      </c>
      <c r="O8382" t="s">
        <v>20021</v>
      </c>
      <c r="P8382" t="s">
        <v>20401</v>
      </c>
      <c r="Q8382" t="s">
        <v>17554</v>
      </c>
      <c r="R8382" t="s">
        <v>421</v>
      </c>
      <c r="S8382">
        <v>1472</v>
      </c>
    </row>
    <row r="8383" spans="1:19">
      <c r="A8383" t="s">
        <v>31</v>
      </c>
      <c r="B8383" t="s">
        <v>148</v>
      </c>
      <c r="C8383" t="s">
        <v>163</v>
      </c>
      <c r="D8383" t="s">
        <v>292</v>
      </c>
      <c r="E8383" t="s">
        <v>421</v>
      </c>
      <c r="F8383">
        <f>HYPERLINK("https://www.wikidata.org/wiki/Q33323183", "Q33323183")</f>
        <v>0</v>
      </c>
      <c r="G8383" t="s">
        <v>3980</v>
      </c>
      <c r="H8383" t="s">
        <v>7822</v>
      </c>
      <c r="I8383" t="s">
        <v>9552</v>
      </c>
      <c r="J8383" t="s">
        <v>14529</v>
      </c>
      <c r="K8383" t="s">
        <v>18872</v>
      </c>
      <c r="L8383">
        <f>HYPERLINK("https://www2.assemblee-nationale.fr/sycomore/fiche/(num_dept)/3384", "3384")</f>
        <v>0</v>
      </c>
      <c r="M8383">
        <f>HYPERLINK("https://www.senat.fr/senateur-3eme-republique/gervais_auguste1416r3.html", "gervais_auguste1416r3")</f>
        <v>0</v>
      </c>
      <c r="N8383">
        <f>HYPERLINK("https://www.wikidata.org/wiki/Q2871200", "Q2871200")</f>
        <v>0</v>
      </c>
      <c r="O8383" t="s">
        <v>19969</v>
      </c>
      <c r="P8383" t="s">
        <v>20489</v>
      </c>
      <c r="Q8383" t="s">
        <v>17554</v>
      </c>
      <c r="R8383" t="s">
        <v>21630</v>
      </c>
      <c r="S8383">
        <v>978</v>
      </c>
    </row>
    <row r="8384" spans="1:19">
      <c r="A8384" t="s">
        <v>31</v>
      </c>
      <c r="B8384" t="s">
        <v>148</v>
      </c>
      <c r="C8384" t="s">
        <v>163</v>
      </c>
      <c r="D8384" t="s">
        <v>292</v>
      </c>
      <c r="E8384" t="s">
        <v>421</v>
      </c>
      <c r="F8384">
        <f>HYPERLINK("https://www.wikidata.org/wiki/Q33323183", "Q33323183")</f>
        <v>0</v>
      </c>
      <c r="G8384" t="s">
        <v>964</v>
      </c>
      <c r="H8384" t="s">
        <v>5716</v>
      </c>
      <c r="I8384" t="s">
        <v>9457</v>
      </c>
      <c r="J8384" t="s">
        <v>11703</v>
      </c>
      <c r="K8384" t="s">
        <v>16106</v>
      </c>
      <c r="L8384">
        <f>HYPERLINK("https://www2.assemblee-nationale.fr/sycomore/fiche/(num_dept)/3394", "3394")</f>
        <v>0</v>
      </c>
      <c r="N8384">
        <f>HYPERLINK("https://www.wikidata.org/wiki/Q16011304", "Q16011304")</f>
        <v>0</v>
      </c>
      <c r="O8384" t="s">
        <v>20013</v>
      </c>
      <c r="P8384" t="s">
        <v>20515</v>
      </c>
      <c r="Q8384" t="s">
        <v>17554</v>
      </c>
      <c r="R8384" t="s">
        <v>421</v>
      </c>
      <c r="S8384">
        <v>1472</v>
      </c>
    </row>
    <row r="8385" spans="1:19">
      <c r="A8385" t="s">
        <v>31</v>
      </c>
      <c r="B8385" t="s">
        <v>148</v>
      </c>
      <c r="C8385" t="s">
        <v>163</v>
      </c>
      <c r="D8385" t="s">
        <v>292</v>
      </c>
      <c r="E8385" t="s">
        <v>421</v>
      </c>
      <c r="F8385">
        <f>HYPERLINK("https://www.wikidata.org/wiki/Q33323183", "Q33323183")</f>
        <v>0</v>
      </c>
      <c r="G8385" t="s">
        <v>966</v>
      </c>
      <c r="H8385" t="s">
        <v>5718</v>
      </c>
      <c r="I8385" t="s">
        <v>9605</v>
      </c>
      <c r="J8385" t="s">
        <v>11705</v>
      </c>
      <c r="K8385" t="s">
        <v>16108</v>
      </c>
      <c r="L8385">
        <f>HYPERLINK("https://www2.assemblee-nationale.fr/sycomore/fiche/(num_dept)/3460", "3460")</f>
        <v>0</v>
      </c>
      <c r="M8385">
        <f>HYPERLINK("https://www.senat.fr/senateur-3eme-republique/godart_justin1138r3.html", "godart_justin1138r3")</f>
        <v>0</v>
      </c>
      <c r="N8385">
        <f>HYPERLINK("https://www.wikidata.org/wiki/Q3190446", "Q3190446")</f>
        <v>0</v>
      </c>
      <c r="O8385" t="s">
        <v>19965</v>
      </c>
      <c r="P8385" t="s">
        <v>20489</v>
      </c>
      <c r="Q8385" t="s">
        <v>17554</v>
      </c>
      <c r="R8385" t="s">
        <v>421</v>
      </c>
      <c r="S8385">
        <v>1472</v>
      </c>
    </row>
    <row r="8386" spans="1:19">
      <c r="A8386" t="s">
        <v>31</v>
      </c>
      <c r="B8386" t="s">
        <v>148</v>
      </c>
      <c r="C8386" t="s">
        <v>163</v>
      </c>
      <c r="D8386" t="s">
        <v>292</v>
      </c>
      <c r="E8386" t="s">
        <v>421</v>
      </c>
      <c r="F8386">
        <f>HYPERLINK("https://www.wikidata.org/wiki/Q33323183", "Q33323183")</f>
        <v>0</v>
      </c>
      <c r="G8386" t="s">
        <v>664</v>
      </c>
      <c r="H8386" t="s">
        <v>5423</v>
      </c>
      <c r="I8386" t="s">
        <v>9385</v>
      </c>
      <c r="J8386" t="s">
        <v>11414</v>
      </c>
      <c r="K8386" t="s">
        <v>15816</v>
      </c>
      <c r="L8386">
        <f>HYPERLINK("https://www2.assemblee-nationale.fr/sycomore/fiche/(num_dept)/3477", "3477")</f>
        <v>0</v>
      </c>
      <c r="N8386">
        <f>HYPERLINK("https://www.wikidata.org/wiki/Q16025794", "Q16025794")</f>
        <v>0</v>
      </c>
      <c r="O8386" t="s">
        <v>20013</v>
      </c>
      <c r="P8386" t="s">
        <v>20515</v>
      </c>
      <c r="Q8386" t="s">
        <v>17554</v>
      </c>
      <c r="R8386" t="s">
        <v>421</v>
      </c>
      <c r="S8386">
        <v>1472</v>
      </c>
    </row>
    <row r="8387" spans="1:19">
      <c r="A8387" t="s">
        <v>31</v>
      </c>
      <c r="B8387" t="s">
        <v>148</v>
      </c>
      <c r="C8387" t="s">
        <v>163</v>
      </c>
      <c r="D8387" t="s">
        <v>292</v>
      </c>
      <c r="E8387" t="s">
        <v>421</v>
      </c>
      <c r="F8387">
        <f>HYPERLINK("https://www.wikidata.org/wiki/Q33323183", "Q33323183")</f>
        <v>0</v>
      </c>
      <c r="G8387" t="s">
        <v>3781</v>
      </c>
      <c r="H8387" t="s">
        <v>8074</v>
      </c>
      <c r="I8387" t="s">
        <v>9391</v>
      </c>
      <c r="J8387" t="s">
        <v>14351</v>
      </c>
      <c r="K8387" t="s">
        <v>18703</v>
      </c>
      <c r="L8387">
        <f>HYPERLINK("https://www2.assemblee-nationale.fr/sycomore/fiche/(num_dept)/3497", "3497")</f>
        <v>0</v>
      </c>
      <c r="N8387">
        <f>HYPERLINK("https://www.wikidata.org/wiki/Q7124392", "Q7124392")</f>
        <v>0</v>
      </c>
      <c r="O8387" t="s">
        <v>20032</v>
      </c>
      <c r="P8387" t="s">
        <v>20489</v>
      </c>
      <c r="Q8387" t="s">
        <v>17554</v>
      </c>
      <c r="R8387" t="s">
        <v>421</v>
      </c>
      <c r="S8387">
        <v>1472</v>
      </c>
    </row>
    <row r="8388" spans="1:19">
      <c r="A8388" t="s">
        <v>31</v>
      </c>
      <c r="B8388" t="s">
        <v>148</v>
      </c>
      <c r="C8388" t="s">
        <v>163</v>
      </c>
      <c r="D8388" t="s">
        <v>292</v>
      </c>
      <c r="E8388" t="s">
        <v>421</v>
      </c>
      <c r="F8388">
        <f>HYPERLINK("https://www.wikidata.org/wiki/Q33323183", "Q33323183")</f>
        <v>0</v>
      </c>
      <c r="G8388" t="s">
        <v>666</v>
      </c>
      <c r="H8388" t="s">
        <v>5425</v>
      </c>
      <c r="I8388" t="s">
        <v>9426</v>
      </c>
      <c r="J8388" t="s">
        <v>11416</v>
      </c>
      <c r="K8388" t="s">
        <v>15818</v>
      </c>
      <c r="L8388">
        <f>HYPERLINK("https://www2.assemblee-nationale.fr/sycomore/fiche/(num_dept)/3508", "3508")</f>
        <v>0</v>
      </c>
      <c r="N8388">
        <f>HYPERLINK("https://www.wikidata.org/wiki/Q13626920", "Q13626920")</f>
        <v>0</v>
      </c>
      <c r="O8388" t="s">
        <v>19965</v>
      </c>
      <c r="P8388" t="s">
        <v>20517</v>
      </c>
      <c r="Q8388" t="s">
        <v>17554</v>
      </c>
      <c r="R8388" t="s">
        <v>421</v>
      </c>
      <c r="S8388">
        <v>1472</v>
      </c>
    </row>
    <row r="8389" spans="1:19">
      <c r="A8389" t="s">
        <v>31</v>
      </c>
      <c r="B8389" t="s">
        <v>148</v>
      </c>
      <c r="C8389" t="s">
        <v>163</v>
      </c>
      <c r="D8389" t="s">
        <v>292</v>
      </c>
      <c r="E8389" t="s">
        <v>421</v>
      </c>
      <c r="F8389">
        <f>HYPERLINK("https://www.wikidata.org/wiki/Q33323183", "Q33323183")</f>
        <v>0</v>
      </c>
      <c r="G8389" t="s">
        <v>3983</v>
      </c>
      <c r="H8389" t="s">
        <v>8224</v>
      </c>
      <c r="I8389" t="s">
        <v>9388</v>
      </c>
      <c r="J8389" t="s">
        <v>14532</v>
      </c>
      <c r="K8389" t="s">
        <v>18874</v>
      </c>
      <c r="L8389">
        <f>HYPERLINK("https://www2.assemblee-nationale.fr/sycomore/fiche/(num_dept)/3530", "3530")</f>
        <v>0</v>
      </c>
      <c r="M8389">
        <f>HYPERLINK("https://www.senat.fr/senateur-3eme-republique/gouzy_paul1686r3.html", "gouzy_paul1686r3")</f>
        <v>0</v>
      </c>
      <c r="N8389">
        <f>HYPERLINK("https://www.wikidata.org/wiki/Q3371348", "Q3371348")</f>
        <v>0</v>
      </c>
      <c r="O8389" t="s">
        <v>19962</v>
      </c>
      <c r="P8389" t="s">
        <v>20489</v>
      </c>
      <c r="Q8389" t="s">
        <v>17554</v>
      </c>
      <c r="R8389" t="s">
        <v>21629</v>
      </c>
      <c r="S8389">
        <v>974</v>
      </c>
    </row>
    <row r="8390" spans="1:19">
      <c r="A8390" t="s">
        <v>31</v>
      </c>
      <c r="B8390" t="s">
        <v>148</v>
      </c>
      <c r="C8390" t="s">
        <v>163</v>
      </c>
      <c r="D8390" t="s">
        <v>292</v>
      </c>
      <c r="E8390" t="s">
        <v>421</v>
      </c>
      <c r="F8390">
        <f>HYPERLINK("https://www.wikidata.org/wiki/Q33323183", "Q33323183")</f>
        <v>0</v>
      </c>
      <c r="G8390" t="s">
        <v>3784</v>
      </c>
      <c r="H8390" t="s">
        <v>7829</v>
      </c>
      <c r="I8390" t="s">
        <v>10974</v>
      </c>
      <c r="J8390" t="s">
        <v>14354</v>
      </c>
      <c r="K8390" t="s">
        <v>18706</v>
      </c>
      <c r="L8390">
        <f>HYPERLINK("https://www2.assemblee-nationale.fr/sycomore/fiche/(num_dept)/3608", "3608")</f>
        <v>0</v>
      </c>
      <c r="N8390">
        <f>HYPERLINK("https://www.wikidata.org/wiki/Q1118848", "Q1118848")</f>
        <v>0</v>
      </c>
      <c r="O8390" t="s">
        <v>19969</v>
      </c>
      <c r="P8390" t="s">
        <v>20485</v>
      </c>
      <c r="Q8390" t="s">
        <v>17554</v>
      </c>
      <c r="R8390" t="s">
        <v>18706</v>
      </c>
      <c r="S8390">
        <v>1055</v>
      </c>
    </row>
    <row r="8391" spans="1:19">
      <c r="A8391" t="s">
        <v>31</v>
      </c>
      <c r="B8391" t="s">
        <v>148</v>
      </c>
      <c r="C8391" t="s">
        <v>163</v>
      </c>
      <c r="D8391" t="s">
        <v>292</v>
      </c>
      <c r="E8391" t="s">
        <v>421</v>
      </c>
      <c r="F8391">
        <f>HYPERLINK("https://www.wikidata.org/wiki/Q33323183", "Q33323183")</f>
        <v>0</v>
      </c>
      <c r="G8391" t="s">
        <v>969</v>
      </c>
      <c r="H8391" t="s">
        <v>5721</v>
      </c>
      <c r="I8391" t="s">
        <v>9453</v>
      </c>
      <c r="J8391" t="s">
        <v>11590</v>
      </c>
      <c r="K8391" t="s">
        <v>16111</v>
      </c>
      <c r="L8391">
        <f>HYPERLINK("https://www2.assemblee-nationale.fr/sycomore/fiche/(num_dept)/3609", "3609")</f>
        <v>0</v>
      </c>
      <c r="N8391">
        <f>HYPERLINK("https://www.wikidata.org/wiki/Q2865129", "Q2865129")</f>
        <v>0</v>
      </c>
      <c r="O8391" t="s">
        <v>19969</v>
      </c>
      <c r="P8391" t="s">
        <v>20515</v>
      </c>
      <c r="Q8391" t="s">
        <v>17554</v>
      </c>
      <c r="R8391" t="s">
        <v>421</v>
      </c>
      <c r="S8391">
        <v>1472</v>
      </c>
    </row>
    <row r="8392" spans="1:19">
      <c r="A8392" t="s">
        <v>31</v>
      </c>
      <c r="B8392" t="s">
        <v>148</v>
      </c>
      <c r="C8392" t="s">
        <v>163</v>
      </c>
      <c r="D8392" t="s">
        <v>292</v>
      </c>
      <c r="E8392" t="s">
        <v>421</v>
      </c>
      <c r="F8392">
        <f>HYPERLINK("https://www.wikidata.org/wiki/Q33323183", "Q33323183")</f>
        <v>0</v>
      </c>
      <c r="G8392" t="s">
        <v>3617</v>
      </c>
      <c r="H8392" t="s">
        <v>7959</v>
      </c>
      <c r="I8392" t="s">
        <v>9508</v>
      </c>
      <c r="J8392" t="s">
        <v>11328</v>
      </c>
      <c r="K8392" t="s">
        <v>18567</v>
      </c>
      <c r="L8392">
        <f>HYPERLINK("https://www2.assemblee-nationale.fr/sycomore/fiche/(num_dept)/3659", "3659")</f>
        <v>0</v>
      </c>
      <c r="N8392">
        <f>HYPERLINK("https://www.wikidata.org/wiki/Q3383454", "Q3383454")</f>
        <v>0</v>
      </c>
      <c r="O8392" t="s">
        <v>19961</v>
      </c>
      <c r="P8392" t="s">
        <v>20489</v>
      </c>
      <c r="Q8392" t="s">
        <v>17554</v>
      </c>
      <c r="R8392" t="s">
        <v>421</v>
      </c>
      <c r="S8392">
        <v>1472</v>
      </c>
    </row>
    <row r="8393" spans="1:19">
      <c r="A8393" t="s">
        <v>31</v>
      </c>
      <c r="B8393" t="s">
        <v>148</v>
      </c>
      <c r="C8393" t="s">
        <v>163</v>
      </c>
      <c r="D8393" t="s">
        <v>292</v>
      </c>
      <c r="E8393" t="s">
        <v>421</v>
      </c>
      <c r="F8393">
        <f>HYPERLINK("https://www.wikidata.org/wiki/Q33323183", "Q33323183")</f>
        <v>0</v>
      </c>
      <c r="G8393" t="s">
        <v>3619</v>
      </c>
      <c r="H8393" t="s">
        <v>7960</v>
      </c>
      <c r="I8393" t="s">
        <v>9470</v>
      </c>
      <c r="J8393" t="s">
        <v>14201</v>
      </c>
      <c r="K8393" t="s">
        <v>18568</v>
      </c>
      <c r="L8393">
        <f>HYPERLINK("https://www2.assemblee-nationale.fr/sycomore/fiche/(num_dept)/3675", "3675")</f>
        <v>0</v>
      </c>
      <c r="N8393">
        <f>HYPERLINK("https://www.wikidata.org/wiki/Q16025829", "Q16025829")</f>
        <v>0</v>
      </c>
      <c r="O8393" t="s">
        <v>19972</v>
      </c>
      <c r="P8393" t="s">
        <v>20402</v>
      </c>
      <c r="Q8393" t="s">
        <v>17554</v>
      </c>
      <c r="R8393" t="s">
        <v>421</v>
      </c>
      <c r="S8393">
        <v>1472</v>
      </c>
    </row>
    <row r="8394" spans="1:19">
      <c r="A8394" t="s">
        <v>31</v>
      </c>
      <c r="B8394" t="s">
        <v>148</v>
      </c>
      <c r="C8394" t="s">
        <v>163</v>
      </c>
      <c r="D8394" t="s">
        <v>292</v>
      </c>
      <c r="E8394" t="s">
        <v>421</v>
      </c>
      <c r="F8394">
        <f>HYPERLINK("https://www.wikidata.org/wiki/Q33323183", "Q33323183")</f>
        <v>0</v>
      </c>
      <c r="G8394" t="s">
        <v>973</v>
      </c>
      <c r="H8394" t="s">
        <v>5725</v>
      </c>
      <c r="I8394" t="s">
        <v>6495</v>
      </c>
      <c r="J8394" t="s">
        <v>11711</v>
      </c>
      <c r="K8394" t="s">
        <v>16115</v>
      </c>
      <c r="L8394">
        <f>HYPERLINK("https://www2.assemblee-nationale.fr/sycomore/fiche/(num_dept)/3694", "3694")</f>
        <v>0</v>
      </c>
      <c r="N8394">
        <f>HYPERLINK("https://www.wikidata.org/wiki/Q16025831", "Q16025831")</f>
        <v>0</v>
      </c>
      <c r="O8394" t="s">
        <v>20013</v>
      </c>
      <c r="P8394" t="s">
        <v>20457</v>
      </c>
      <c r="Q8394" t="s">
        <v>17554</v>
      </c>
      <c r="R8394" t="s">
        <v>421</v>
      </c>
      <c r="S8394">
        <v>1472</v>
      </c>
    </row>
    <row r="8395" spans="1:19">
      <c r="A8395" t="s">
        <v>31</v>
      </c>
      <c r="B8395" t="s">
        <v>148</v>
      </c>
      <c r="C8395" t="s">
        <v>163</v>
      </c>
      <c r="D8395" t="s">
        <v>292</v>
      </c>
      <c r="E8395" t="s">
        <v>421</v>
      </c>
      <c r="F8395">
        <f>HYPERLINK("https://www.wikidata.org/wiki/Q33323183", "Q33323183")</f>
        <v>0</v>
      </c>
      <c r="G8395" t="s">
        <v>4202</v>
      </c>
      <c r="H8395" t="s">
        <v>8391</v>
      </c>
      <c r="I8395" t="s">
        <v>9533</v>
      </c>
      <c r="J8395" t="s">
        <v>11367</v>
      </c>
      <c r="K8395" t="s">
        <v>19057</v>
      </c>
      <c r="L8395">
        <f>HYPERLINK("https://www2.assemblee-nationale.fr/sycomore/fiche/(num_dept)/3735", "3735")</f>
        <v>0</v>
      </c>
      <c r="N8395">
        <f>HYPERLINK("https://www.wikidata.org/wiki/Q3526429", "Q3526429")</f>
        <v>0</v>
      </c>
      <c r="O8395" t="s">
        <v>20011</v>
      </c>
      <c r="P8395" t="s">
        <v>20401</v>
      </c>
      <c r="Q8395" t="s">
        <v>17554</v>
      </c>
      <c r="R8395" t="s">
        <v>421</v>
      </c>
      <c r="S8395">
        <v>1472</v>
      </c>
    </row>
    <row r="8396" spans="1:19">
      <c r="A8396" t="s">
        <v>31</v>
      </c>
      <c r="B8396" t="s">
        <v>148</v>
      </c>
      <c r="C8396" t="s">
        <v>163</v>
      </c>
      <c r="D8396" t="s">
        <v>292</v>
      </c>
      <c r="E8396" t="s">
        <v>421</v>
      </c>
      <c r="F8396">
        <f>HYPERLINK("https://www.wikidata.org/wiki/Q33323183", "Q33323183")</f>
        <v>0</v>
      </c>
      <c r="G8396" t="s">
        <v>679</v>
      </c>
      <c r="H8396" t="s">
        <v>5438</v>
      </c>
      <c r="I8396" t="s">
        <v>6584</v>
      </c>
      <c r="J8396" t="s">
        <v>11429</v>
      </c>
      <c r="K8396" t="s">
        <v>15830</v>
      </c>
      <c r="L8396">
        <f>HYPERLINK("https://www2.assemblee-nationale.fr/sycomore/fiche/(num_dept)/3762", "3762")</f>
        <v>0</v>
      </c>
      <c r="N8396">
        <f>HYPERLINK("https://www.wikidata.org/wiki/Q2831231", "Q2831231")</f>
        <v>0</v>
      </c>
      <c r="O8396" t="s">
        <v>20015</v>
      </c>
      <c r="P8396" t="s">
        <v>20401</v>
      </c>
      <c r="Q8396" t="s">
        <v>17554</v>
      </c>
      <c r="R8396" t="s">
        <v>421</v>
      </c>
      <c r="S8396">
        <v>1472</v>
      </c>
    </row>
    <row r="8397" spans="1:19">
      <c r="A8397" t="s">
        <v>31</v>
      </c>
      <c r="B8397" t="s">
        <v>148</v>
      </c>
      <c r="C8397" t="s">
        <v>163</v>
      </c>
      <c r="D8397" t="s">
        <v>292</v>
      </c>
      <c r="E8397" t="s">
        <v>421</v>
      </c>
      <c r="F8397">
        <f>HYPERLINK("https://www.wikidata.org/wiki/Q33323183", "Q33323183")</f>
        <v>0</v>
      </c>
      <c r="G8397" t="s">
        <v>3788</v>
      </c>
      <c r="H8397" t="s">
        <v>6192</v>
      </c>
      <c r="I8397" t="s">
        <v>6166</v>
      </c>
      <c r="J8397" t="s">
        <v>14358</v>
      </c>
      <c r="K8397" t="s">
        <v>18709</v>
      </c>
      <c r="L8397">
        <f>HYPERLINK("https://www2.assemblee-nationale.fr/sycomore/fiche/(num_dept)/3898", "3898")</f>
        <v>0</v>
      </c>
      <c r="N8397">
        <f>HYPERLINK("https://www.wikidata.org/wiki/Q8338102", "Q8338102")</f>
        <v>0</v>
      </c>
      <c r="O8397" t="s">
        <v>20015</v>
      </c>
      <c r="P8397" t="s">
        <v>20517</v>
      </c>
      <c r="Q8397" t="s">
        <v>17554</v>
      </c>
      <c r="R8397" t="s">
        <v>18709</v>
      </c>
      <c r="S8397">
        <v>352</v>
      </c>
    </row>
    <row r="8398" spans="1:19">
      <c r="A8398" t="s">
        <v>31</v>
      </c>
      <c r="B8398" t="s">
        <v>148</v>
      </c>
      <c r="C8398" t="s">
        <v>163</v>
      </c>
      <c r="D8398" t="s">
        <v>292</v>
      </c>
      <c r="E8398" t="s">
        <v>421</v>
      </c>
      <c r="F8398">
        <f>HYPERLINK("https://www.wikidata.org/wiki/Q33323183", "Q33323183")</f>
        <v>0</v>
      </c>
      <c r="G8398" t="s">
        <v>688</v>
      </c>
      <c r="H8398" t="s">
        <v>5446</v>
      </c>
      <c r="I8398" t="s">
        <v>9480</v>
      </c>
      <c r="J8398" t="s">
        <v>11438</v>
      </c>
      <c r="K8398" t="s">
        <v>15839</v>
      </c>
      <c r="L8398">
        <f>HYPERLINK("https://www2.assemblee-nationale.fr/sycomore/fiche/(num_dept)/3936", "3936")</f>
        <v>0</v>
      </c>
      <c r="N8398">
        <f>HYPERLINK("https://www.wikidata.org/wiki/Q3263360", "Q3263360")</f>
        <v>0</v>
      </c>
      <c r="O8398" t="s">
        <v>19970</v>
      </c>
      <c r="P8398" t="s">
        <v>20402</v>
      </c>
      <c r="Q8398" t="s">
        <v>17554</v>
      </c>
      <c r="R8398" t="s">
        <v>421</v>
      </c>
      <c r="S8398">
        <v>1472</v>
      </c>
    </row>
    <row r="8399" spans="1:19">
      <c r="A8399" t="s">
        <v>31</v>
      </c>
      <c r="B8399" t="s">
        <v>148</v>
      </c>
      <c r="C8399" t="s">
        <v>163</v>
      </c>
      <c r="D8399" t="s">
        <v>292</v>
      </c>
      <c r="E8399" t="s">
        <v>421</v>
      </c>
      <c r="F8399">
        <f>HYPERLINK("https://www.wikidata.org/wiki/Q33323183", "Q33323183")</f>
        <v>0</v>
      </c>
      <c r="G8399" t="s">
        <v>977</v>
      </c>
      <c r="H8399" t="s">
        <v>5729</v>
      </c>
      <c r="I8399" t="s">
        <v>9608</v>
      </c>
      <c r="J8399" t="s">
        <v>11715</v>
      </c>
      <c r="K8399" t="s">
        <v>16119</v>
      </c>
      <c r="L8399">
        <f>HYPERLINK("https://www2.assemblee-nationale.fr/sycomore/fiche/(num_dept)/4042", "4042")</f>
        <v>0</v>
      </c>
      <c r="N8399">
        <f>HYPERLINK("https://www.wikidata.org/wiki/Q16011416", "Q16011416")</f>
        <v>0</v>
      </c>
      <c r="O8399" t="s">
        <v>20033</v>
      </c>
      <c r="P8399" t="s">
        <v>20485</v>
      </c>
      <c r="Q8399" t="s">
        <v>17554</v>
      </c>
      <c r="R8399" t="s">
        <v>421</v>
      </c>
      <c r="S8399">
        <v>1472</v>
      </c>
    </row>
    <row r="8400" spans="1:19">
      <c r="A8400" t="s">
        <v>31</v>
      </c>
      <c r="B8400" t="s">
        <v>148</v>
      </c>
      <c r="C8400" t="s">
        <v>163</v>
      </c>
      <c r="D8400" t="s">
        <v>292</v>
      </c>
      <c r="E8400" t="s">
        <v>421</v>
      </c>
      <c r="F8400">
        <f>HYPERLINK("https://www.wikidata.org/wiki/Q33323183", "Q33323183")</f>
        <v>0</v>
      </c>
      <c r="G8400" t="s">
        <v>3569</v>
      </c>
      <c r="H8400" t="s">
        <v>7921</v>
      </c>
      <c r="I8400" t="s">
        <v>9401</v>
      </c>
      <c r="J8400" t="s">
        <v>14158</v>
      </c>
      <c r="K8400" t="s">
        <v>18525</v>
      </c>
      <c r="L8400">
        <f>HYPERLINK("https://www2.assemblee-nationale.fr/sycomore/fiche/(num_dept)/4073", "4073")</f>
        <v>0</v>
      </c>
      <c r="N8400">
        <f>HYPERLINK("https://www.wikidata.org/wiki/Q16025881", "Q16025881")</f>
        <v>0</v>
      </c>
      <c r="O8400" t="s">
        <v>19987</v>
      </c>
      <c r="P8400" t="s">
        <v>20485</v>
      </c>
      <c r="Q8400" t="s">
        <v>17554</v>
      </c>
      <c r="R8400" t="s">
        <v>421</v>
      </c>
      <c r="S8400">
        <v>1472</v>
      </c>
    </row>
    <row r="8401" spans="1:19">
      <c r="A8401" t="s">
        <v>31</v>
      </c>
      <c r="B8401" t="s">
        <v>148</v>
      </c>
      <c r="C8401" t="s">
        <v>163</v>
      </c>
      <c r="D8401" t="s">
        <v>292</v>
      </c>
      <c r="E8401" t="s">
        <v>421</v>
      </c>
      <c r="F8401">
        <f>HYPERLINK("https://www.wikidata.org/wiki/Q33323183", "Q33323183")</f>
        <v>0</v>
      </c>
      <c r="G8401" t="s">
        <v>4123</v>
      </c>
      <c r="H8401" t="s">
        <v>5452</v>
      </c>
      <c r="I8401" t="s">
        <v>6200</v>
      </c>
      <c r="J8401" t="s">
        <v>14657</v>
      </c>
      <c r="K8401" t="s">
        <v>18992</v>
      </c>
      <c r="L8401">
        <f>HYPERLINK("https://www2.assemblee-nationale.fr/sycomore/fiche/(num_dept)/4085", "4085")</f>
        <v>0</v>
      </c>
      <c r="N8401">
        <f>HYPERLINK("https://www.wikidata.org/wiki/Q3172854", "Q3172854")</f>
        <v>0</v>
      </c>
      <c r="O8401" t="s">
        <v>19979</v>
      </c>
      <c r="P8401" t="s">
        <v>20489</v>
      </c>
      <c r="Q8401" t="s">
        <v>17554</v>
      </c>
      <c r="R8401" t="s">
        <v>18992</v>
      </c>
      <c r="S8401">
        <v>351</v>
      </c>
    </row>
    <row r="8402" spans="1:19">
      <c r="A8402" t="s">
        <v>31</v>
      </c>
      <c r="B8402" t="s">
        <v>148</v>
      </c>
      <c r="C8402" t="s">
        <v>163</v>
      </c>
      <c r="D8402" t="s">
        <v>292</v>
      </c>
      <c r="E8402" t="s">
        <v>421</v>
      </c>
      <c r="F8402">
        <f>HYPERLINK("https://www.wikidata.org/wiki/Q33323183", "Q33323183")</f>
        <v>0</v>
      </c>
      <c r="G8402" t="s">
        <v>980</v>
      </c>
      <c r="H8402" t="s">
        <v>5732</v>
      </c>
      <c r="I8402" t="s">
        <v>6495</v>
      </c>
      <c r="J8402" t="s">
        <v>11718</v>
      </c>
      <c r="K8402" t="s">
        <v>16122</v>
      </c>
      <c r="L8402">
        <f>HYPERLINK("https://www2.assemblee-nationale.fr/sycomore/fiche/(num_dept)/4248", "4248")</f>
        <v>0</v>
      </c>
      <c r="M8402">
        <f>HYPERLINK("https://www.senat.fr/senateur-3eme-republique/lafferre_antonin0251r3.html", "lafferre_antonin0251r3")</f>
        <v>0</v>
      </c>
      <c r="N8402">
        <f>HYPERLINK("https://www.wikidata.org/wiki/Q3262422", "Q3262422")</f>
        <v>0</v>
      </c>
      <c r="O8402" t="s">
        <v>7411</v>
      </c>
      <c r="P8402" t="s">
        <v>20489</v>
      </c>
      <c r="Q8402" t="s">
        <v>17554</v>
      </c>
      <c r="R8402" t="s">
        <v>421</v>
      </c>
      <c r="S8402">
        <v>1472</v>
      </c>
    </row>
    <row r="8403" spans="1:19">
      <c r="A8403" t="s">
        <v>31</v>
      </c>
      <c r="B8403" t="s">
        <v>148</v>
      </c>
      <c r="C8403" t="s">
        <v>163</v>
      </c>
      <c r="D8403" t="s">
        <v>292</v>
      </c>
      <c r="E8403" t="s">
        <v>421</v>
      </c>
      <c r="F8403">
        <f>HYPERLINK("https://www.wikidata.org/wiki/Q33323183", "Q33323183")</f>
        <v>0</v>
      </c>
      <c r="G8403" t="s">
        <v>3991</v>
      </c>
      <c r="H8403" t="s">
        <v>8232</v>
      </c>
      <c r="I8403" t="s">
        <v>6495</v>
      </c>
      <c r="J8403" t="s">
        <v>14540</v>
      </c>
      <c r="K8403" t="s">
        <v>18882</v>
      </c>
      <c r="L8403">
        <f>HYPERLINK("https://www2.assemblee-nationale.fr/sycomore/fiche/(num_dept)/4263", "4263")</f>
        <v>0</v>
      </c>
      <c r="N8403">
        <f>HYPERLINK("https://www.wikidata.org/wiki/Q17353222", "Q17353222")</f>
        <v>0</v>
      </c>
      <c r="O8403" t="s">
        <v>20043</v>
      </c>
      <c r="P8403" t="s">
        <v>20489</v>
      </c>
      <c r="Q8403" t="s">
        <v>17554</v>
      </c>
      <c r="R8403" t="s">
        <v>421</v>
      </c>
      <c r="S8403">
        <v>1472</v>
      </c>
    </row>
    <row r="8404" spans="1:19">
      <c r="A8404" t="s">
        <v>31</v>
      </c>
      <c r="B8404" t="s">
        <v>148</v>
      </c>
      <c r="C8404" t="s">
        <v>163</v>
      </c>
      <c r="D8404" t="s">
        <v>292</v>
      </c>
      <c r="E8404" t="s">
        <v>421</v>
      </c>
      <c r="F8404">
        <f>HYPERLINK("https://www.wikidata.org/wiki/Q33323183", "Q33323183")</f>
        <v>0</v>
      </c>
      <c r="G8404" t="s">
        <v>2225</v>
      </c>
      <c r="H8404" t="s">
        <v>6834</v>
      </c>
      <c r="I8404" t="s">
        <v>6495</v>
      </c>
      <c r="J8404" t="s">
        <v>12886</v>
      </c>
      <c r="K8404" t="s">
        <v>17298</v>
      </c>
      <c r="L8404">
        <f>HYPERLINK("https://www2.assemblee-nationale.fr/sycomore/fiche/(num_dept)/4826", "4826")</f>
        <v>0</v>
      </c>
      <c r="M8404">
        <f>HYPERLINK("https://www.senat.fr/senateur-3eme-republique/louis_dreyfus_louis0119r3.html", "louis_dreyfus_louis0119r3")</f>
        <v>0</v>
      </c>
      <c r="N8404">
        <f>HYPERLINK("https://www.wikidata.org/wiki/Q3262554", "Q3262554")</f>
        <v>0</v>
      </c>
      <c r="O8404" t="s">
        <v>20004</v>
      </c>
      <c r="P8404" t="s">
        <v>20489</v>
      </c>
      <c r="Q8404" t="s">
        <v>17554</v>
      </c>
      <c r="R8404" t="s">
        <v>421</v>
      </c>
      <c r="S8404">
        <v>1472</v>
      </c>
    </row>
    <row r="8405" spans="1:19">
      <c r="A8405" t="s">
        <v>31</v>
      </c>
      <c r="B8405" t="s">
        <v>148</v>
      </c>
      <c r="C8405" t="s">
        <v>163</v>
      </c>
      <c r="D8405" t="s">
        <v>292</v>
      </c>
      <c r="E8405" t="s">
        <v>421</v>
      </c>
      <c r="F8405">
        <f>HYPERLINK("https://www.wikidata.org/wiki/Q33323183", "Q33323183")</f>
        <v>0</v>
      </c>
      <c r="G8405" t="s">
        <v>988</v>
      </c>
      <c r="H8405" t="s">
        <v>5740</v>
      </c>
      <c r="I8405" t="s">
        <v>9457</v>
      </c>
      <c r="J8405" t="s">
        <v>11726</v>
      </c>
      <c r="K8405" t="s">
        <v>16130</v>
      </c>
      <c r="L8405">
        <f>HYPERLINK("https://www2.assemblee-nationale.fr/sycomore/fiche/(num_dept)/4828", "4828")</f>
        <v>0</v>
      </c>
      <c r="N8405">
        <f>HYPERLINK("https://www.wikidata.org/wiki/Q16026012", "Q16026012")</f>
        <v>0</v>
      </c>
      <c r="O8405" t="s">
        <v>20034</v>
      </c>
      <c r="P8405" t="s">
        <v>20489</v>
      </c>
      <c r="Q8405" t="s">
        <v>17554</v>
      </c>
      <c r="R8405" t="s">
        <v>421</v>
      </c>
      <c r="S8405">
        <v>1472</v>
      </c>
    </row>
    <row r="8406" spans="1:19">
      <c r="A8406" t="s">
        <v>31</v>
      </c>
      <c r="B8406" t="s">
        <v>148</v>
      </c>
      <c r="C8406" t="s">
        <v>163</v>
      </c>
      <c r="D8406" t="s">
        <v>292</v>
      </c>
      <c r="E8406" t="s">
        <v>421</v>
      </c>
      <c r="F8406">
        <f>HYPERLINK("https://www.wikidata.org/wiki/Q33323183", "Q33323183")</f>
        <v>0</v>
      </c>
      <c r="G8406" t="s">
        <v>4203</v>
      </c>
      <c r="H8406" t="s">
        <v>7338</v>
      </c>
      <c r="I8406" t="s">
        <v>9650</v>
      </c>
      <c r="J8406" t="s">
        <v>14367</v>
      </c>
      <c r="K8406" t="s">
        <v>19058</v>
      </c>
      <c r="L8406">
        <f>HYPERLINK("https://www2.assemblee-nationale.fr/sycomore/fiche/(num_dept)/4902", "4902")</f>
        <v>0</v>
      </c>
      <c r="N8406">
        <f>HYPERLINK("https://www.wikidata.org/wiki/Q16026025", "Q16026025")</f>
        <v>0</v>
      </c>
      <c r="O8406" t="s">
        <v>19978</v>
      </c>
      <c r="P8406" t="s">
        <v>20401</v>
      </c>
      <c r="Q8406" t="s">
        <v>17554</v>
      </c>
      <c r="R8406" t="s">
        <v>421</v>
      </c>
      <c r="S8406">
        <v>1472</v>
      </c>
    </row>
    <row r="8407" spans="1:19">
      <c r="A8407" t="s">
        <v>31</v>
      </c>
      <c r="B8407" t="s">
        <v>148</v>
      </c>
      <c r="C8407" t="s">
        <v>163</v>
      </c>
      <c r="D8407" t="s">
        <v>292</v>
      </c>
      <c r="E8407" t="s">
        <v>421</v>
      </c>
      <c r="F8407">
        <f>HYPERLINK("https://www.wikidata.org/wiki/Q33323183", "Q33323183")</f>
        <v>0</v>
      </c>
      <c r="G8407" t="s">
        <v>992</v>
      </c>
      <c r="H8407" t="s">
        <v>5744</v>
      </c>
      <c r="I8407" t="s">
        <v>9388</v>
      </c>
      <c r="J8407" t="s">
        <v>11730</v>
      </c>
      <c r="K8407" t="s">
        <v>15980</v>
      </c>
      <c r="L8407">
        <f>HYPERLINK("https://www2.assemblee-nationale.fr/sycomore/fiche/(num_dept)/4908", "4908")</f>
        <v>0</v>
      </c>
      <c r="N8407">
        <f>HYPERLINK("https://www.wikidata.org/wiki/Q3371749", "Q3371749")</f>
        <v>0</v>
      </c>
      <c r="O8407" t="s">
        <v>20031</v>
      </c>
      <c r="P8407" t="s">
        <v>20402</v>
      </c>
      <c r="Q8407" t="s">
        <v>17554</v>
      </c>
      <c r="R8407" t="s">
        <v>421</v>
      </c>
      <c r="S8407">
        <v>1472</v>
      </c>
    </row>
    <row r="8408" spans="1:19">
      <c r="A8408" t="s">
        <v>31</v>
      </c>
      <c r="B8408" t="s">
        <v>148</v>
      </c>
      <c r="C8408" t="s">
        <v>163</v>
      </c>
      <c r="D8408" t="s">
        <v>292</v>
      </c>
      <c r="E8408" t="s">
        <v>421</v>
      </c>
      <c r="F8408">
        <f>HYPERLINK("https://www.wikidata.org/wiki/Q33323183", "Q33323183")</f>
        <v>0</v>
      </c>
      <c r="G8408" t="s">
        <v>996</v>
      </c>
      <c r="H8408" t="s">
        <v>5748</v>
      </c>
      <c r="I8408" t="s">
        <v>9613</v>
      </c>
      <c r="J8408" t="s">
        <v>11734</v>
      </c>
      <c r="K8408" t="s">
        <v>16137</v>
      </c>
      <c r="L8408">
        <f>HYPERLINK("https://www2.assemblee-nationale.fr/sycomore/fiche/(num_dept)/5000", "5000")</f>
        <v>0</v>
      </c>
      <c r="N8408">
        <f>HYPERLINK("https://www.wikidata.org/wiki/Q3179709", "Q3179709")</f>
        <v>0</v>
      </c>
      <c r="O8408" t="s">
        <v>19965</v>
      </c>
      <c r="P8408" t="s">
        <v>20515</v>
      </c>
      <c r="Q8408" t="s">
        <v>17554</v>
      </c>
      <c r="R8408" t="s">
        <v>421</v>
      </c>
      <c r="S8408">
        <v>1472</v>
      </c>
    </row>
    <row r="8409" spans="1:19">
      <c r="A8409" t="s">
        <v>31</v>
      </c>
      <c r="B8409" t="s">
        <v>148</v>
      </c>
      <c r="C8409" t="s">
        <v>163</v>
      </c>
      <c r="D8409" t="s">
        <v>292</v>
      </c>
      <c r="E8409" t="s">
        <v>421</v>
      </c>
      <c r="F8409">
        <f>HYPERLINK("https://www.wikidata.org/wiki/Q33323183", "Q33323183")</f>
        <v>0</v>
      </c>
      <c r="G8409" t="s">
        <v>3578</v>
      </c>
      <c r="H8409" t="s">
        <v>7929</v>
      </c>
      <c r="I8409" t="s">
        <v>9534</v>
      </c>
      <c r="J8409" t="s">
        <v>14165</v>
      </c>
      <c r="K8409" t="s">
        <v>18534</v>
      </c>
      <c r="L8409">
        <f>HYPERLINK("https://www2.assemblee-nationale.fr/sycomore/fiche/(num_dept)/5116", "5116")</f>
        <v>0</v>
      </c>
      <c r="M8409">
        <f>HYPERLINK("https://www.senat.fr/senateur-3eme-republique/maujan_adolphe1560r3.html", "maujan_adolphe1560r3")</f>
        <v>0</v>
      </c>
      <c r="N8409">
        <f>HYPERLINK("https://www.wikidata.org/wiki/Q2824874", "Q2824874")</f>
        <v>0</v>
      </c>
      <c r="O8409" t="s">
        <v>19969</v>
      </c>
      <c r="P8409" t="s">
        <v>20489</v>
      </c>
      <c r="Q8409" t="s">
        <v>17554</v>
      </c>
      <c r="R8409" t="s">
        <v>21638</v>
      </c>
      <c r="S8409">
        <v>975</v>
      </c>
    </row>
    <row r="8410" spans="1:19">
      <c r="A8410" t="s">
        <v>31</v>
      </c>
      <c r="B8410" t="s">
        <v>148</v>
      </c>
      <c r="C8410" t="s">
        <v>163</v>
      </c>
      <c r="D8410" t="s">
        <v>292</v>
      </c>
      <c r="E8410" t="s">
        <v>421</v>
      </c>
      <c r="F8410">
        <f>HYPERLINK("https://www.wikidata.org/wiki/Q33323183", "Q33323183")</f>
        <v>0</v>
      </c>
      <c r="G8410" t="s">
        <v>1275</v>
      </c>
      <c r="H8410" t="s">
        <v>5999</v>
      </c>
      <c r="I8410" t="s">
        <v>6860</v>
      </c>
      <c r="J8410" t="s">
        <v>12005</v>
      </c>
      <c r="K8410" t="s">
        <v>16408</v>
      </c>
      <c r="L8410">
        <f>HYPERLINK("https://www2.assemblee-nationale.fr/sycomore/fiche/(num_dept)/5167", "5167")</f>
        <v>0</v>
      </c>
      <c r="N8410">
        <f>HYPERLINK("https://www.wikidata.org/wiki/Q3386394", "Q3386394")</f>
        <v>0</v>
      </c>
      <c r="O8410" t="s">
        <v>20013</v>
      </c>
      <c r="P8410" t="s">
        <v>20515</v>
      </c>
      <c r="Q8410" t="s">
        <v>17554</v>
      </c>
      <c r="R8410" t="s">
        <v>421</v>
      </c>
      <c r="S8410">
        <v>1472</v>
      </c>
    </row>
    <row r="8411" spans="1:19">
      <c r="A8411" t="s">
        <v>31</v>
      </c>
      <c r="B8411" t="s">
        <v>148</v>
      </c>
      <c r="C8411" t="s">
        <v>163</v>
      </c>
      <c r="D8411" t="s">
        <v>292</v>
      </c>
      <c r="E8411" t="s">
        <v>421</v>
      </c>
      <c r="F8411">
        <f>HYPERLINK("https://www.wikidata.org/wiki/Q33323183", "Q33323183")</f>
        <v>0</v>
      </c>
      <c r="G8411" t="s">
        <v>729</v>
      </c>
      <c r="H8411" t="s">
        <v>5487</v>
      </c>
      <c r="I8411" t="s">
        <v>9500</v>
      </c>
      <c r="J8411" t="s">
        <v>11478</v>
      </c>
      <c r="K8411" t="s">
        <v>15880</v>
      </c>
      <c r="L8411">
        <f>HYPERLINK("https://www2.assemblee-nationale.fr/sycomore/fiche/(num_dept)/5186", "5186")</f>
        <v>0</v>
      </c>
      <c r="N8411">
        <f>HYPERLINK("https://www.wikidata.org/wiki/Q15971947", "Q15971947")</f>
        <v>0</v>
      </c>
      <c r="O8411" t="s">
        <v>20007</v>
      </c>
      <c r="P8411" t="s">
        <v>20489</v>
      </c>
      <c r="Q8411" t="s">
        <v>17554</v>
      </c>
      <c r="R8411" t="s">
        <v>421</v>
      </c>
      <c r="S8411">
        <v>1472</v>
      </c>
    </row>
    <row r="8412" spans="1:19">
      <c r="A8412" t="s">
        <v>31</v>
      </c>
      <c r="B8412" t="s">
        <v>148</v>
      </c>
      <c r="C8412" t="s">
        <v>163</v>
      </c>
      <c r="D8412" t="s">
        <v>292</v>
      </c>
      <c r="E8412" t="s">
        <v>421</v>
      </c>
      <c r="F8412">
        <f>HYPERLINK("https://www.wikidata.org/wiki/Q33323183", "Q33323183")</f>
        <v>0</v>
      </c>
      <c r="G8412" t="s">
        <v>4204</v>
      </c>
      <c r="H8412" t="s">
        <v>5874</v>
      </c>
      <c r="I8412" t="s">
        <v>10468</v>
      </c>
      <c r="J8412" t="s">
        <v>14716</v>
      </c>
      <c r="K8412" t="s">
        <v>19059</v>
      </c>
      <c r="L8412">
        <f>HYPERLINK("https://www2.assemblee-nationale.fr/sycomore/fiche/(num_dept)/5204", "5204")</f>
        <v>0</v>
      </c>
      <c r="N8412">
        <f>HYPERLINK("https://www.wikidata.org/wiki/Q8304203", "Q8304203")</f>
        <v>0</v>
      </c>
      <c r="O8412" t="s">
        <v>19981</v>
      </c>
      <c r="P8412" t="s">
        <v>20485</v>
      </c>
      <c r="Q8412" t="s">
        <v>17554</v>
      </c>
      <c r="R8412" t="s">
        <v>421</v>
      </c>
      <c r="S8412">
        <v>1472</v>
      </c>
    </row>
    <row r="8413" spans="1:19">
      <c r="A8413" t="s">
        <v>31</v>
      </c>
      <c r="B8413" t="s">
        <v>148</v>
      </c>
      <c r="C8413" t="s">
        <v>163</v>
      </c>
      <c r="D8413" t="s">
        <v>292</v>
      </c>
      <c r="E8413" t="s">
        <v>421</v>
      </c>
      <c r="F8413">
        <f>HYPERLINK("https://www.wikidata.org/wiki/Q33323183", "Q33323183")</f>
        <v>0</v>
      </c>
      <c r="G8413" t="s">
        <v>1003</v>
      </c>
      <c r="H8413" t="s">
        <v>5754</v>
      </c>
      <c r="I8413" t="s">
        <v>9534</v>
      </c>
      <c r="J8413" t="s">
        <v>11740</v>
      </c>
      <c r="K8413" t="s">
        <v>16144</v>
      </c>
      <c r="L8413">
        <f>HYPERLINK("https://www2.assemblee-nationale.fr/sycomore/fiche/(num_dept)/5219", "5219")</f>
        <v>0</v>
      </c>
      <c r="M8413">
        <f>HYPERLINK("https://www.senat.fr/senateur-3eme-republique/messimy_adolphe0021r3.html", "messimy_adolphe0021r3")</f>
        <v>0</v>
      </c>
      <c r="N8413">
        <f>HYPERLINK("https://www.wikidata.org/wiki/Q365771", "Q365771")</f>
        <v>0</v>
      </c>
      <c r="O8413" t="s">
        <v>19969</v>
      </c>
      <c r="P8413" t="s">
        <v>20489</v>
      </c>
      <c r="Q8413" t="s">
        <v>17554</v>
      </c>
      <c r="R8413" t="s">
        <v>421</v>
      </c>
      <c r="S8413">
        <v>1472</v>
      </c>
    </row>
    <row r="8414" spans="1:19">
      <c r="A8414" t="s">
        <v>31</v>
      </c>
      <c r="B8414" t="s">
        <v>148</v>
      </c>
      <c r="C8414" t="s">
        <v>163</v>
      </c>
      <c r="D8414" t="s">
        <v>292</v>
      </c>
      <c r="E8414" t="s">
        <v>421</v>
      </c>
      <c r="F8414">
        <f>HYPERLINK("https://www.wikidata.org/wiki/Q33323183", "Q33323183")</f>
        <v>0</v>
      </c>
      <c r="G8414" t="s">
        <v>4205</v>
      </c>
      <c r="H8414" t="s">
        <v>8392</v>
      </c>
      <c r="I8414" t="s">
        <v>9442</v>
      </c>
      <c r="J8414" t="s">
        <v>14717</v>
      </c>
      <c r="K8414" t="s">
        <v>19060</v>
      </c>
      <c r="L8414">
        <f>HYPERLINK("https://www2.assemblee-nationale.fr/sycomore/fiche/(num_dept)/5221", "5221")</f>
        <v>0</v>
      </c>
      <c r="M8414">
        <f>HYPERLINK("https://www.senat.fr/senateur-3eme-republique/messner_ernest0552r3.html", "messner_ernest0552r3")</f>
        <v>0</v>
      </c>
      <c r="N8414">
        <f>HYPERLINK("https://www.wikidata.org/wiki/Q3057085", "Q3057085")</f>
        <v>0</v>
      </c>
      <c r="O8414" t="s">
        <v>20002</v>
      </c>
      <c r="P8414" t="s">
        <v>20401</v>
      </c>
      <c r="Q8414" t="s">
        <v>17554</v>
      </c>
      <c r="R8414" t="s">
        <v>21207</v>
      </c>
      <c r="S8414">
        <v>1337</v>
      </c>
    </row>
    <row r="8415" spans="1:19">
      <c r="A8415" t="s">
        <v>31</v>
      </c>
      <c r="B8415" t="s">
        <v>148</v>
      </c>
      <c r="C8415" t="s">
        <v>163</v>
      </c>
      <c r="D8415" t="s">
        <v>292</v>
      </c>
      <c r="E8415" t="s">
        <v>421</v>
      </c>
      <c r="F8415">
        <f>HYPERLINK("https://www.wikidata.org/wiki/Q33323183", "Q33323183")</f>
        <v>0</v>
      </c>
      <c r="G8415" t="s">
        <v>1847</v>
      </c>
      <c r="H8415" t="s">
        <v>6506</v>
      </c>
      <c r="I8415" t="s">
        <v>9969</v>
      </c>
      <c r="J8415" t="s">
        <v>12538</v>
      </c>
      <c r="K8415" t="s">
        <v>16950</v>
      </c>
      <c r="L8415">
        <f>HYPERLINK("https://www2.assemblee-nationale.fr/sycomore/fiche/(num_dept)/5260", "5260")</f>
        <v>0</v>
      </c>
      <c r="M8415">
        <f>HYPERLINK("https://www.senat.fr/senateur-3eme-republique/michel_henri0069r3.html", "michel_henri0069r3")</f>
        <v>0</v>
      </c>
      <c r="N8415">
        <f>HYPERLINK("https://www.wikidata.org/wiki/Q3131640", "Q3131640")</f>
        <v>0</v>
      </c>
      <c r="O8415" t="s">
        <v>19990</v>
      </c>
      <c r="P8415" t="s">
        <v>20489</v>
      </c>
      <c r="Q8415" t="s">
        <v>17554</v>
      </c>
      <c r="R8415" t="s">
        <v>421</v>
      </c>
      <c r="S8415">
        <v>1472</v>
      </c>
    </row>
    <row r="8416" spans="1:19">
      <c r="A8416" t="s">
        <v>31</v>
      </c>
      <c r="B8416" t="s">
        <v>148</v>
      </c>
      <c r="C8416" t="s">
        <v>163</v>
      </c>
      <c r="D8416" t="s">
        <v>292</v>
      </c>
      <c r="E8416" t="s">
        <v>421</v>
      </c>
      <c r="F8416">
        <f>HYPERLINK("https://www.wikidata.org/wiki/Q33323183", "Q33323183")</f>
        <v>0</v>
      </c>
      <c r="G8416" t="s">
        <v>4151</v>
      </c>
      <c r="H8416" t="s">
        <v>8354</v>
      </c>
      <c r="I8416" t="s">
        <v>6584</v>
      </c>
      <c r="J8416" t="s">
        <v>14680</v>
      </c>
      <c r="K8416" t="s">
        <v>19017</v>
      </c>
      <c r="L8416">
        <f>HYPERLINK("https://www2.assemblee-nationale.fr/sycomore/fiche/(num_dept)/5294", "5294")</f>
        <v>0</v>
      </c>
      <c r="N8416">
        <f>HYPERLINK("https://www.wikidata.org/wiki/Q16026108", "Q16026108")</f>
        <v>0</v>
      </c>
      <c r="O8416" t="s">
        <v>19999</v>
      </c>
      <c r="P8416" t="s">
        <v>20489</v>
      </c>
      <c r="Q8416" t="s">
        <v>17554</v>
      </c>
      <c r="R8416" t="s">
        <v>421</v>
      </c>
      <c r="S8416">
        <v>1472</v>
      </c>
    </row>
    <row r="8417" spans="1:19">
      <c r="A8417" t="s">
        <v>31</v>
      </c>
      <c r="B8417" t="s">
        <v>148</v>
      </c>
      <c r="C8417" t="s">
        <v>163</v>
      </c>
      <c r="D8417" t="s">
        <v>292</v>
      </c>
      <c r="E8417" t="s">
        <v>421</v>
      </c>
      <c r="F8417">
        <f>HYPERLINK("https://www.wikidata.org/wiki/Q33323183", "Q33323183")</f>
        <v>0</v>
      </c>
      <c r="G8417" t="s">
        <v>739</v>
      </c>
      <c r="H8417" t="s">
        <v>5497</v>
      </c>
      <c r="I8417" t="s">
        <v>9504</v>
      </c>
      <c r="J8417" t="s">
        <v>11488</v>
      </c>
      <c r="K8417" t="s">
        <v>15890</v>
      </c>
      <c r="L8417">
        <f>HYPERLINK("https://www2.assemblee-nationale.fr/sycomore/fiche/(num_dept)/5410", "5410")</f>
        <v>0</v>
      </c>
      <c r="M8417">
        <f>HYPERLINK("https://www.senat.fr/senateur-3eme-republique/morel_jean_baptiste1326r3.html", "morel_jean_baptiste1326r3")</f>
        <v>0</v>
      </c>
      <c r="N8417">
        <f>HYPERLINK("https://www.wikidata.org/wiki/Q2627978", "Q2627978")</f>
        <v>0</v>
      </c>
      <c r="O8417" t="s">
        <v>19997</v>
      </c>
      <c r="P8417" t="s">
        <v>20402</v>
      </c>
      <c r="Q8417" t="s">
        <v>17554</v>
      </c>
      <c r="R8417" t="s">
        <v>421</v>
      </c>
      <c r="S8417">
        <v>1472</v>
      </c>
    </row>
    <row r="8418" spans="1:19">
      <c r="A8418" t="s">
        <v>31</v>
      </c>
      <c r="B8418" t="s">
        <v>148</v>
      </c>
      <c r="C8418" t="s">
        <v>163</v>
      </c>
      <c r="D8418" t="s">
        <v>292</v>
      </c>
      <c r="E8418" t="s">
        <v>421</v>
      </c>
      <c r="F8418">
        <f>HYPERLINK("https://www.wikidata.org/wiki/Q33323183", "Q33323183")</f>
        <v>0</v>
      </c>
      <c r="G8418" t="s">
        <v>4045</v>
      </c>
      <c r="H8418" t="s">
        <v>8273</v>
      </c>
      <c r="I8418" t="s">
        <v>9552</v>
      </c>
      <c r="J8418" t="s">
        <v>14586</v>
      </c>
      <c r="K8418" t="s">
        <v>18925</v>
      </c>
      <c r="L8418">
        <f>HYPERLINK("https://www2.assemblee-nationale.fr/sycomore/fiche/(num_dept)/5473", "5473")</f>
        <v>0</v>
      </c>
      <c r="M8418">
        <f>HYPERLINK("https://www.senat.fr/senateur-3eme-republique/mulac_auguste0397r3.html", "mulac_auguste0397r3")</f>
        <v>0</v>
      </c>
      <c r="N8418">
        <f>HYPERLINK("https://www.wikidata.org/wiki/Q2871332", "Q2871332")</f>
        <v>0</v>
      </c>
      <c r="O8418" t="s">
        <v>20031</v>
      </c>
      <c r="P8418" t="s">
        <v>20401</v>
      </c>
      <c r="Q8418" t="s">
        <v>17554</v>
      </c>
      <c r="R8418" t="s">
        <v>421</v>
      </c>
      <c r="S8418">
        <v>1472</v>
      </c>
    </row>
    <row r="8419" spans="1:19">
      <c r="A8419" t="s">
        <v>31</v>
      </c>
      <c r="B8419" t="s">
        <v>148</v>
      </c>
      <c r="C8419" t="s">
        <v>163</v>
      </c>
      <c r="D8419" t="s">
        <v>292</v>
      </c>
      <c r="E8419" t="s">
        <v>421</v>
      </c>
      <c r="F8419">
        <f>HYPERLINK("https://www.wikidata.org/wiki/Q33323183", "Q33323183")</f>
        <v>0</v>
      </c>
      <c r="G8419" t="s">
        <v>744</v>
      </c>
      <c r="H8419" t="s">
        <v>5502</v>
      </c>
      <c r="I8419" t="s">
        <v>9375</v>
      </c>
      <c r="J8419" t="s">
        <v>11493</v>
      </c>
      <c r="K8419" t="s">
        <v>15895</v>
      </c>
      <c r="L8419">
        <f>HYPERLINK("https://www2.assemblee-nationale.fr/sycomore/fiche/(num_dept)/5529", "5529")</f>
        <v>0</v>
      </c>
      <c r="M8419">
        <f>HYPERLINK("https://www.senat.fr/senateur-3eme-republique/neron_edouard0523r3.html", "neron_edouard0523r3")</f>
        <v>0</v>
      </c>
      <c r="N8419">
        <f>HYPERLINK("https://www.wikidata.org/wiki/Q3579976", "Q3579976")</f>
        <v>0</v>
      </c>
      <c r="O8419" t="s">
        <v>19993</v>
      </c>
      <c r="P8419" t="s">
        <v>20517</v>
      </c>
      <c r="Q8419" t="s">
        <v>17554</v>
      </c>
      <c r="R8419" t="s">
        <v>421</v>
      </c>
      <c r="S8419">
        <v>1472</v>
      </c>
    </row>
    <row r="8420" spans="1:19">
      <c r="A8420" t="s">
        <v>31</v>
      </c>
      <c r="B8420" t="s">
        <v>148</v>
      </c>
      <c r="C8420" t="s">
        <v>163</v>
      </c>
      <c r="D8420" t="s">
        <v>292</v>
      </c>
      <c r="E8420" t="s">
        <v>421</v>
      </c>
      <c r="F8420">
        <f>HYPERLINK("https://www.wikidata.org/wiki/Q33323183", "Q33323183")</f>
        <v>0</v>
      </c>
      <c r="G8420" t="s">
        <v>4206</v>
      </c>
      <c r="H8420" t="s">
        <v>6008</v>
      </c>
      <c r="I8420" t="s">
        <v>10131</v>
      </c>
      <c r="J8420" t="s">
        <v>14718</v>
      </c>
      <c r="K8420" t="s">
        <v>19061</v>
      </c>
      <c r="L8420">
        <f>HYPERLINK("https://www2.assemblee-nationale.fr/sycomore/fiche/(num_dept)/5623", "5623")</f>
        <v>0</v>
      </c>
      <c r="N8420">
        <f>HYPERLINK("https://www.wikidata.org/wiki/Q3010485", "Q3010485")</f>
        <v>0</v>
      </c>
      <c r="O8420" t="s">
        <v>20024</v>
      </c>
      <c r="P8420" t="s">
        <v>20489</v>
      </c>
      <c r="Q8420" t="s">
        <v>17554</v>
      </c>
      <c r="R8420" t="s">
        <v>421</v>
      </c>
      <c r="S8420">
        <v>1472</v>
      </c>
    </row>
    <row r="8421" spans="1:19">
      <c r="A8421" t="s">
        <v>31</v>
      </c>
      <c r="B8421" t="s">
        <v>148</v>
      </c>
      <c r="C8421" t="s">
        <v>163</v>
      </c>
      <c r="D8421" t="s">
        <v>292</v>
      </c>
      <c r="E8421" t="s">
        <v>421</v>
      </c>
      <c r="F8421">
        <f>HYPERLINK("https://www.wikidata.org/wiki/Q33323183", "Q33323183")</f>
        <v>0</v>
      </c>
      <c r="G8421" t="s">
        <v>4003</v>
      </c>
      <c r="H8421" t="s">
        <v>8241</v>
      </c>
      <c r="I8421" t="s">
        <v>11058</v>
      </c>
      <c r="J8421" t="s">
        <v>14550</v>
      </c>
      <c r="K8421" t="s">
        <v>16509</v>
      </c>
      <c r="L8421">
        <f>HYPERLINK("https://www2.assemblee-nationale.fr/sycomore/fiche/(num_dept)/5704", "5704")</f>
        <v>0</v>
      </c>
      <c r="N8421">
        <f>HYPERLINK("https://www.wikidata.org/wiki/Q82209", "Q82209")</f>
        <v>0</v>
      </c>
      <c r="O8421" t="s">
        <v>20014</v>
      </c>
      <c r="P8421" t="s">
        <v>20515</v>
      </c>
      <c r="Q8421" t="s">
        <v>17554</v>
      </c>
      <c r="R8421" t="s">
        <v>421</v>
      </c>
      <c r="S8421">
        <v>1472</v>
      </c>
    </row>
    <row r="8422" spans="1:19">
      <c r="A8422" t="s">
        <v>31</v>
      </c>
      <c r="B8422" t="s">
        <v>148</v>
      </c>
      <c r="C8422" t="s">
        <v>163</v>
      </c>
      <c r="D8422" t="s">
        <v>292</v>
      </c>
      <c r="E8422" t="s">
        <v>421</v>
      </c>
      <c r="F8422">
        <f>HYPERLINK("https://www.wikidata.org/wiki/Q33323183", "Q33323183")</f>
        <v>0</v>
      </c>
      <c r="G8422" t="s">
        <v>1022</v>
      </c>
      <c r="H8422" t="s">
        <v>5772</v>
      </c>
      <c r="I8422" t="s">
        <v>9622</v>
      </c>
      <c r="J8422" t="s">
        <v>11759</v>
      </c>
      <c r="K8422" t="s">
        <v>16160</v>
      </c>
      <c r="L8422">
        <f>HYPERLINK("https://www2.assemblee-nationale.fr/sycomore/fiche/(num_dept)/5742", "5742")</f>
        <v>0</v>
      </c>
      <c r="N8422">
        <f>HYPERLINK("https://www.wikidata.org/wiki/Q16026287", "Q16026287")</f>
        <v>0</v>
      </c>
      <c r="O8422" t="s">
        <v>20025</v>
      </c>
      <c r="P8422" t="s">
        <v>20489</v>
      </c>
      <c r="Q8422" t="s">
        <v>17554</v>
      </c>
      <c r="R8422" t="s">
        <v>421</v>
      </c>
      <c r="S8422">
        <v>1472</v>
      </c>
    </row>
    <row r="8423" spans="1:19">
      <c r="A8423" t="s">
        <v>31</v>
      </c>
      <c r="B8423" t="s">
        <v>148</v>
      </c>
      <c r="C8423" t="s">
        <v>163</v>
      </c>
      <c r="D8423" t="s">
        <v>292</v>
      </c>
      <c r="E8423" t="s">
        <v>421</v>
      </c>
      <c r="F8423">
        <f>HYPERLINK("https://www.wikidata.org/wiki/Q33323183", "Q33323183")</f>
        <v>0</v>
      </c>
      <c r="G8423" t="s">
        <v>753</v>
      </c>
      <c r="H8423" t="s">
        <v>5511</v>
      </c>
      <c r="I8423" t="s">
        <v>9510</v>
      </c>
      <c r="J8423" t="s">
        <v>11501</v>
      </c>
      <c r="K8423" t="s">
        <v>15904</v>
      </c>
      <c r="L8423">
        <f>HYPERLINK("https://www2.assemblee-nationale.fr/sycomore/fiche/(num_dept)/5759", "5759")</f>
        <v>0</v>
      </c>
      <c r="M8423">
        <f>HYPERLINK("https://www.senat.fr/senateur-3eme-republique/pelisse_paul0240r3.html", "pelisse_paul0240r3")</f>
        <v>0</v>
      </c>
      <c r="N8423">
        <f>HYPERLINK("https://www.wikidata.org/wiki/Q3371975", "Q3371975")</f>
        <v>0</v>
      </c>
      <c r="O8423" t="s">
        <v>7411</v>
      </c>
      <c r="P8423" t="s">
        <v>20489</v>
      </c>
      <c r="Q8423" t="s">
        <v>17554</v>
      </c>
      <c r="R8423" t="s">
        <v>421</v>
      </c>
      <c r="S8423">
        <v>1472</v>
      </c>
    </row>
    <row r="8424" spans="1:19">
      <c r="A8424" t="s">
        <v>31</v>
      </c>
      <c r="B8424" t="s">
        <v>148</v>
      </c>
      <c r="C8424" t="s">
        <v>163</v>
      </c>
      <c r="D8424" t="s">
        <v>292</v>
      </c>
      <c r="E8424" t="s">
        <v>421</v>
      </c>
      <c r="F8424">
        <f>HYPERLINK("https://www.wikidata.org/wiki/Q33323183", "Q33323183")</f>
        <v>0</v>
      </c>
      <c r="G8424" t="s">
        <v>760</v>
      </c>
      <c r="H8424" t="s">
        <v>5518</v>
      </c>
      <c r="I8424" t="s">
        <v>9457</v>
      </c>
      <c r="J8424" t="s">
        <v>11508</v>
      </c>
      <c r="K8424" t="s">
        <v>15911</v>
      </c>
      <c r="L8424">
        <f>HYPERLINK("https://www2.assemblee-nationale.fr/sycomore/fiche/(num_dept)/5913", "5913")</f>
        <v>0</v>
      </c>
      <c r="N8424">
        <f>HYPERLINK("https://www.wikidata.org/wiki/Q16026342", "Q16026342")</f>
        <v>0</v>
      </c>
      <c r="O8424" t="s">
        <v>19955</v>
      </c>
      <c r="P8424" t="s">
        <v>20402</v>
      </c>
      <c r="Q8424" t="s">
        <v>17554</v>
      </c>
      <c r="R8424" t="s">
        <v>421</v>
      </c>
      <c r="S8424">
        <v>1472</v>
      </c>
    </row>
    <row r="8425" spans="1:19">
      <c r="A8425" t="s">
        <v>31</v>
      </c>
      <c r="B8425" t="s">
        <v>148</v>
      </c>
      <c r="C8425" t="s">
        <v>163</v>
      </c>
      <c r="D8425" t="s">
        <v>292</v>
      </c>
      <c r="E8425" t="s">
        <v>421</v>
      </c>
      <c r="F8425">
        <f>HYPERLINK("https://www.wikidata.org/wiki/Q33323183", "Q33323183")</f>
        <v>0</v>
      </c>
      <c r="G8425" t="s">
        <v>4134</v>
      </c>
      <c r="H8425" t="s">
        <v>8339</v>
      </c>
      <c r="I8425" t="s">
        <v>11128</v>
      </c>
      <c r="J8425" t="s">
        <v>11929</v>
      </c>
      <c r="K8425" t="s">
        <v>19002</v>
      </c>
      <c r="L8425">
        <f>HYPERLINK("https://www2.assemblee-nationale.fr/sycomore/fiche/(num_dept)/6000", "6000")</f>
        <v>0</v>
      </c>
      <c r="N8425">
        <f>HYPERLINK("https://www.wikidata.org/wiki/Q3386637", "Q3386637")</f>
        <v>0</v>
      </c>
      <c r="O8425" t="s">
        <v>20014</v>
      </c>
      <c r="P8425" t="s">
        <v>20489</v>
      </c>
      <c r="Q8425" t="s">
        <v>17554</v>
      </c>
      <c r="R8425" t="s">
        <v>19002</v>
      </c>
      <c r="S8425">
        <v>980</v>
      </c>
    </row>
    <row r="8426" spans="1:19">
      <c r="A8426" t="s">
        <v>31</v>
      </c>
      <c r="B8426" t="s">
        <v>148</v>
      </c>
      <c r="C8426" t="s">
        <v>163</v>
      </c>
      <c r="D8426" t="s">
        <v>292</v>
      </c>
      <c r="E8426" t="s">
        <v>421</v>
      </c>
      <c r="F8426">
        <f>HYPERLINK("https://www.wikidata.org/wiki/Q33323183", "Q33323183")</f>
        <v>0</v>
      </c>
      <c r="G8426" t="s">
        <v>3801</v>
      </c>
      <c r="H8426" t="s">
        <v>8086</v>
      </c>
      <c r="I8426" t="s">
        <v>10979</v>
      </c>
      <c r="J8426" t="s">
        <v>14370</v>
      </c>
      <c r="K8426" t="s">
        <v>17541</v>
      </c>
      <c r="L8426">
        <f>HYPERLINK("https://www2.assemblee-nationale.fr/sycomore/fiche/(num_dept)/6090", "6090")</f>
        <v>0</v>
      </c>
      <c r="N8426">
        <f>HYPERLINK("https://www.wikidata.org/wiki/Q16026449", "Q16026449")</f>
        <v>0</v>
      </c>
      <c r="O8426" t="s">
        <v>19968</v>
      </c>
      <c r="P8426" t="s">
        <v>20517</v>
      </c>
      <c r="Q8426" t="s">
        <v>17554</v>
      </c>
      <c r="R8426" t="s">
        <v>421</v>
      </c>
      <c r="S8426">
        <v>1472</v>
      </c>
    </row>
    <row r="8427" spans="1:19">
      <c r="A8427" t="s">
        <v>31</v>
      </c>
      <c r="B8427" t="s">
        <v>148</v>
      </c>
      <c r="C8427" t="s">
        <v>163</v>
      </c>
      <c r="D8427" t="s">
        <v>292</v>
      </c>
      <c r="E8427" t="s">
        <v>421</v>
      </c>
      <c r="F8427">
        <f>HYPERLINK("https://www.wikidata.org/wiki/Q33323183", "Q33323183")</f>
        <v>0</v>
      </c>
      <c r="G8427" t="s">
        <v>4207</v>
      </c>
      <c r="H8427" t="s">
        <v>5781</v>
      </c>
      <c r="I8427" t="s">
        <v>7642</v>
      </c>
      <c r="J8427" t="s">
        <v>14719</v>
      </c>
      <c r="K8427" t="s">
        <v>19062</v>
      </c>
      <c r="L8427">
        <f>HYPERLINK("https://www2.assemblee-nationale.fr/sycomore/fiche/(num_dept)/6172", "6172")</f>
        <v>0</v>
      </c>
      <c r="N8427">
        <f>HYPERLINK("https://www.wikidata.org/wiki/Q16663834", "Q16663834")</f>
        <v>0</v>
      </c>
      <c r="O8427" t="s">
        <v>20037</v>
      </c>
      <c r="P8427" t="s">
        <v>20401</v>
      </c>
      <c r="Q8427" t="s">
        <v>17554</v>
      </c>
      <c r="R8427" t="s">
        <v>421</v>
      </c>
      <c r="S8427">
        <v>1472</v>
      </c>
    </row>
    <row r="8428" spans="1:19">
      <c r="A8428" t="s">
        <v>31</v>
      </c>
      <c r="B8428" t="s">
        <v>148</v>
      </c>
      <c r="C8428" t="s">
        <v>163</v>
      </c>
      <c r="D8428" t="s">
        <v>292</v>
      </c>
      <c r="E8428" t="s">
        <v>421</v>
      </c>
      <c r="F8428">
        <f>HYPERLINK("https://www.wikidata.org/wiki/Q33323183", "Q33323183")</f>
        <v>0</v>
      </c>
      <c r="G8428" t="s">
        <v>2655</v>
      </c>
      <c r="H8428" t="s">
        <v>7195</v>
      </c>
      <c r="I8428" t="s">
        <v>9474</v>
      </c>
      <c r="J8428" t="s">
        <v>13297</v>
      </c>
      <c r="K8428" t="s">
        <v>17696</v>
      </c>
      <c r="L8428">
        <f>HYPERLINK("https://www2.assemblee-nationale.fr/sycomore/fiche/(num_dept)/6219", "6219")</f>
        <v>0</v>
      </c>
      <c r="N8428">
        <f>HYPERLINK("https://www.wikidata.org/wiki/Q3164428", "Q3164428")</f>
        <v>0</v>
      </c>
      <c r="O8428" t="s">
        <v>20047</v>
      </c>
      <c r="P8428" t="s">
        <v>20489</v>
      </c>
      <c r="Q8428" t="s">
        <v>17554</v>
      </c>
      <c r="R8428" t="s">
        <v>421</v>
      </c>
      <c r="S8428">
        <v>1472</v>
      </c>
    </row>
    <row r="8429" spans="1:19">
      <c r="A8429" t="s">
        <v>31</v>
      </c>
      <c r="B8429" t="s">
        <v>148</v>
      </c>
      <c r="C8429" t="s">
        <v>163</v>
      </c>
      <c r="D8429" t="s">
        <v>292</v>
      </c>
      <c r="E8429" t="s">
        <v>421</v>
      </c>
      <c r="F8429">
        <f>HYPERLINK("https://www.wikidata.org/wiki/Q33323183", "Q33323183")</f>
        <v>0</v>
      </c>
      <c r="G8429" t="s">
        <v>2658</v>
      </c>
      <c r="H8429" t="s">
        <v>7198</v>
      </c>
      <c r="I8429" t="s">
        <v>10345</v>
      </c>
      <c r="J8429" t="s">
        <v>13299</v>
      </c>
      <c r="K8429" t="s">
        <v>17699</v>
      </c>
      <c r="L8429">
        <f>HYPERLINK("https://www2.assemblee-nationale.fr/sycomore/fiche/(num_dept)/6250", "6250")</f>
        <v>0</v>
      </c>
      <c r="N8429">
        <f>HYPERLINK("https://www.wikidata.org/wiki/Q16026472", "Q16026472")</f>
        <v>0</v>
      </c>
      <c r="O8429" t="s">
        <v>7411</v>
      </c>
      <c r="P8429" t="s">
        <v>20489</v>
      </c>
      <c r="Q8429" t="s">
        <v>17554</v>
      </c>
      <c r="R8429" t="s">
        <v>421</v>
      </c>
      <c r="S8429">
        <v>1472</v>
      </c>
    </row>
    <row r="8430" spans="1:19">
      <c r="A8430" t="s">
        <v>31</v>
      </c>
      <c r="B8430" t="s">
        <v>148</v>
      </c>
      <c r="C8430" t="s">
        <v>163</v>
      </c>
      <c r="D8430" t="s">
        <v>292</v>
      </c>
      <c r="E8430" t="s">
        <v>421</v>
      </c>
      <c r="F8430">
        <f>HYPERLINK("https://www.wikidata.org/wiki/Q33323183", "Q33323183")</f>
        <v>0</v>
      </c>
      <c r="G8430" t="s">
        <v>4137</v>
      </c>
      <c r="H8430" t="s">
        <v>7498</v>
      </c>
      <c r="I8430" t="s">
        <v>6584</v>
      </c>
      <c r="J8430" t="s">
        <v>14667</v>
      </c>
      <c r="K8430" t="s">
        <v>19004</v>
      </c>
      <c r="L8430">
        <f>HYPERLINK("https://www2.assemblee-nationale.fr/sycomore/fiche/(num_dept)/6269", "6269")</f>
        <v>0</v>
      </c>
      <c r="N8430">
        <f>HYPERLINK("https://www.wikidata.org/wiki/Q16026478", "Q16026478")</f>
        <v>0</v>
      </c>
      <c r="O8430" t="s">
        <v>19959</v>
      </c>
      <c r="P8430" t="s">
        <v>20401</v>
      </c>
      <c r="Q8430" t="s">
        <v>17554</v>
      </c>
      <c r="R8430" t="s">
        <v>421</v>
      </c>
      <c r="S8430">
        <v>1472</v>
      </c>
    </row>
    <row r="8431" spans="1:19">
      <c r="A8431" t="s">
        <v>31</v>
      </c>
      <c r="B8431" t="s">
        <v>148</v>
      </c>
      <c r="C8431" t="s">
        <v>163</v>
      </c>
      <c r="D8431" t="s">
        <v>292</v>
      </c>
      <c r="E8431" t="s">
        <v>421</v>
      </c>
      <c r="F8431">
        <f>HYPERLINK("https://www.wikidata.org/wiki/Q33323183", "Q33323183")</f>
        <v>0</v>
      </c>
      <c r="G8431" t="s">
        <v>4208</v>
      </c>
      <c r="H8431" t="s">
        <v>8393</v>
      </c>
      <c r="I8431" t="s">
        <v>11160</v>
      </c>
      <c r="J8431" t="s">
        <v>14720</v>
      </c>
      <c r="K8431" t="s">
        <v>19063</v>
      </c>
      <c r="L8431">
        <f>HYPERLINK("https://www2.assemblee-nationale.fr/sycomore/fiche/(num_dept)/6281", "6281")</f>
        <v>0</v>
      </c>
      <c r="N8431">
        <f>HYPERLINK("https://www.wikidata.org/wiki/Q16026482", "Q16026482")</f>
        <v>0</v>
      </c>
      <c r="O8431" t="s">
        <v>19955</v>
      </c>
      <c r="P8431" t="s">
        <v>20402</v>
      </c>
      <c r="Q8431" t="s">
        <v>17554</v>
      </c>
      <c r="R8431" t="s">
        <v>421</v>
      </c>
      <c r="S8431">
        <v>1472</v>
      </c>
    </row>
    <row r="8432" spans="1:19">
      <c r="A8432" t="s">
        <v>31</v>
      </c>
      <c r="B8432" t="s">
        <v>148</v>
      </c>
      <c r="C8432" t="s">
        <v>163</v>
      </c>
      <c r="D8432" t="s">
        <v>292</v>
      </c>
      <c r="E8432" t="s">
        <v>421</v>
      </c>
      <c r="F8432">
        <f>HYPERLINK("https://www.wikidata.org/wiki/Q33323183", "Q33323183")</f>
        <v>0</v>
      </c>
      <c r="G8432" t="s">
        <v>1035</v>
      </c>
      <c r="H8432" t="s">
        <v>5784</v>
      </c>
      <c r="I8432" t="s">
        <v>6860</v>
      </c>
      <c r="J8432" t="s">
        <v>11772</v>
      </c>
      <c r="K8432" t="s">
        <v>16173</v>
      </c>
      <c r="L8432">
        <f>HYPERLINK("https://www2.assemblee-nationale.fr/sycomore/fiche/(num_dept)/6294", "6294")</f>
        <v>0</v>
      </c>
      <c r="N8432">
        <f>HYPERLINK("https://www.wikidata.org/wiki/Q3386933", "Q3386933")</f>
        <v>0</v>
      </c>
      <c r="O8432" t="s">
        <v>20010</v>
      </c>
      <c r="P8432" t="s">
        <v>20401</v>
      </c>
      <c r="Q8432" t="s">
        <v>17554</v>
      </c>
      <c r="R8432" t="s">
        <v>421</v>
      </c>
      <c r="S8432">
        <v>1472</v>
      </c>
    </row>
    <row r="8433" spans="1:19">
      <c r="A8433" t="s">
        <v>31</v>
      </c>
      <c r="B8433" t="s">
        <v>148</v>
      </c>
      <c r="C8433" t="s">
        <v>163</v>
      </c>
      <c r="D8433" t="s">
        <v>292</v>
      </c>
      <c r="E8433" t="s">
        <v>421</v>
      </c>
      <c r="F8433">
        <f>HYPERLINK("https://www.wikidata.org/wiki/Q33323183", "Q33323183")</f>
        <v>0</v>
      </c>
      <c r="G8433" t="s">
        <v>1036</v>
      </c>
      <c r="H8433" t="s">
        <v>5785</v>
      </c>
      <c r="I8433" t="s">
        <v>9457</v>
      </c>
      <c r="J8433" t="s">
        <v>11773</v>
      </c>
      <c r="K8433" t="s">
        <v>16174</v>
      </c>
      <c r="L8433">
        <f>HYPERLINK("https://www2.assemblee-nationale.fr/sycomore/fiche/(num_dept)/6342", "6342")</f>
        <v>0</v>
      </c>
      <c r="N8433">
        <f>HYPERLINK("https://www.wikidata.org/wiki/Q16026491", "Q16026491")</f>
        <v>0</v>
      </c>
      <c r="O8433" t="s">
        <v>20017</v>
      </c>
      <c r="P8433" t="s">
        <v>20401</v>
      </c>
      <c r="Q8433" t="s">
        <v>17554</v>
      </c>
      <c r="R8433" t="s">
        <v>421</v>
      </c>
      <c r="S8433">
        <v>1472</v>
      </c>
    </row>
    <row r="8434" spans="1:19">
      <c r="A8434" t="s">
        <v>31</v>
      </c>
      <c r="B8434" t="s">
        <v>148</v>
      </c>
      <c r="C8434" t="s">
        <v>163</v>
      </c>
      <c r="D8434" t="s">
        <v>292</v>
      </c>
      <c r="E8434" t="s">
        <v>421</v>
      </c>
      <c r="F8434">
        <f>HYPERLINK("https://www.wikidata.org/wiki/Q33323183", "Q33323183")</f>
        <v>0</v>
      </c>
      <c r="G8434" t="s">
        <v>4209</v>
      </c>
      <c r="H8434" t="s">
        <v>8394</v>
      </c>
      <c r="I8434" t="s">
        <v>11161</v>
      </c>
      <c r="J8434" t="s">
        <v>14721</v>
      </c>
      <c r="K8434" t="s">
        <v>19064</v>
      </c>
      <c r="L8434">
        <f>HYPERLINK("https://www2.assemblee-nationale.fr/sycomore/fiche/(num_dept)/6470", "6470")</f>
        <v>0</v>
      </c>
      <c r="N8434">
        <f>HYPERLINK("https://www.wikidata.org/wiki/Q2825246", "Q2825246")</f>
        <v>0</v>
      </c>
      <c r="O8434" t="s">
        <v>20025</v>
      </c>
      <c r="P8434" t="s">
        <v>20401</v>
      </c>
      <c r="Q8434" t="s">
        <v>17554</v>
      </c>
      <c r="R8434" t="s">
        <v>421</v>
      </c>
      <c r="S8434">
        <v>1472</v>
      </c>
    </row>
    <row r="8435" spans="1:19">
      <c r="A8435" t="s">
        <v>31</v>
      </c>
      <c r="B8435" t="s">
        <v>148</v>
      </c>
      <c r="C8435" t="s">
        <v>163</v>
      </c>
      <c r="D8435" t="s">
        <v>292</v>
      </c>
      <c r="E8435" t="s">
        <v>421</v>
      </c>
      <c r="F8435">
        <f>HYPERLINK("https://www.wikidata.org/wiki/Q33323183", "Q33323183")</f>
        <v>0</v>
      </c>
      <c r="G8435" t="s">
        <v>1042</v>
      </c>
      <c r="H8435" t="s">
        <v>5790</v>
      </c>
      <c r="I8435" t="s">
        <v>9388</v>
      </c>
      <c r="J8435" t="s">
        <v>11779</v>
      </c>
      <c r="K8435" t="s">
        <v>16180</v>
      </c>
      <c r="L8435">
        <f>HYPERLINK("https://www2.assemblee-nationale.fr/sycomore/fiche/(num_dept)/6538", "6538")</f>
        <v>0</v>
      </c>
      <c r="N8435">
        <f>HYPERLINK("https://www.wikidata.org/wiki/Q16026383", "Q16026383")</f>
        <v>0</v>
      </c>
      <c r="O8435" t="s">
        <v>20001</v>
      </c>
      <c r="P8435" t="s">
        <v>20489</v>
      </c>
      <c r="Q8435" t="s">
        <v>17554</v>
      </c>
      <c r="R8435" t="s">
        <v>421</v>
      </c>
      <c r="S8435">
        <v>1472</v>
      </c>
    </row>
    <row r="8436" spans="1:19">
      <c r="A8436" t="s">
        <v>31</v>
      </c>
      <c r="B8436" t="s">
        <v>148</v>
      </c>
      <c r="C8436" t="s">
        <v>163</v>
      </c>
      <c r="D8436" t="s">
        <v>292</v>
      </c>
      <c r="E8436" t="s">
        <v>421</v>
      </c>
      <c r="F8436">
        <f>HYPERLINK("https://www.wikidata.org/wiki/Q33323183", "Q33323183")</f>
        <v>0</v>
      </c>
      <c r="G8436" t="s">
        <v>4210</v>
      </c>
      <c r="H8436" t="s">
        <v>8395</v>
      </c>
      <c r="I8436" t="s">
        <v>11162</v>
      </c>
      <c r="J8436" t="s">
        <v>14722</v>
      </c>
      <c r="K8436" t="s">
        <v>19065</v>
      </c>
      <c r="L8436">
        <f>HYPERLINK("https://www2.assemblee-nationale.fr/sycomore/fiche/(num_dept)/6623", "6623")</f>
        <v>0</v>
      </c>
      <c r="N8436">
        <f>HYPERLINK("https://www.wikidata.org/wiki/Q3121307", "Q3121307")</f>
        <v>0</v>
      </c>
      <c r="O8436" t="s">
        <v>19996</v>
      </c>
      <c r="P8436" t="s">
        <v>20489</v>
      </c>
      <c r="Q8436" t="s">
        <v>17554</v>
      </c>
      <c r="R8436" t="s">
        <v>421</v>
      </c>
      <c r="S8436">
        <v>1472</v>
      </c>
    </row>
    <row r="8437" spans="1:19">
      <c r="A8437" t="s">
        <v>31</v>
      </c>
      <c r="B8437" t="s">
        <v>148</v>
      </c>
      <c r="C8437" t="s">
        <v>163</v>
      </c>
      <c r="D8437" t="s">
        <v>292</v>
      </c>
      <c r="E8437" t="s">
        <v>421</v>
      </c>
      <c r="F8437">
        <f>HYPERLINK("https://www.wikidata.org/wiki/Q33323183", "Q33323183")</f>
        <v>0</v>
      </c>
      <c r="G8437" t="s">
        <v>1048</v>
      </c>
      <c r="H8437" t="s">
        <v>5560</v>
      </c>
      <c r="I8437" t="s">
        <v>9407</v>
      </c>
      <c r="J8437" t="s">
        <v>11785</v>
      </c>
      <c r="K8437" t="s">
        <v>16186</v>
      </c>
      <c r="L8437">
        <f>HYPERLINK("https://www2.assemblee-nationale.fr/sycomore/fiche/(num_dept)/6663", "6663")</f>
        <v>0</v>
      </c>
      <c r="N8437">
        <f>HYPERLINK("https://www.wikidata.org/wiki/Q172161", "Q172161")</f>
        <v>0</v>
      </c>
      <c r="O8437" t="s">
        <v>20033</v>
      </c>
      <c r="P8437" t="s">
        <v>20457</v>
      </c>
      <c r="Q8437" t="s">
        <v>17554</v>
      </c>
      <c r="R8437" t="s">
        <v>421</v>
      </c>
      <c r="S8437">
        <v>1472</v>
      </c>
    </row>
    <row r="8438" spans="1:19">
      <c r="A8438" t="s">
        <v>31</v>
      </c>
      <c r="B8438" t="s">
        <v>148</v>
      </c>
      <c r="C8438" t="s">
        <v>163</v>
      </c>
      <c r="D8438" t="s">
        <v>292</v>
      </c>
      <c r="E8438" t="s">
        <v>421</v>
      </c>
      <c r="F8438">
        <f>HYPERLINK("https://www.wikidata.org/wiki/Q33323183", "Q33323183")</f>
        <v>0</v>
      </c>
      <c r="G8438" t="s">
        <v>803</v>
      </c>
      <c r="H8438" t="s">
        <v>5560</v>
      </c>
      <c r="I8438" t="s">
        <v>9533</v>
      </c>
      <c r="J8438" t="s">
        <v>11550</v>
      </c>
      <c r="K8438" t="s">
        <v>15954</v>
      </c>
      <c r="L8438">
        <f>HYPERLINK("https://www2.assemblee-nationale.fr/sycomore/fiche/(num_dept)/6664", "6664")</f>
        <v>0</v>
      </c>
      <c r="N8438">
        <f>HYPERLINK("https://www.wikidata.org/wiki/Q202790", "Q202790")</f>
        <v>0</v>
      </c>
      <c r="O8438" t="s">
        <v>19988</v>
      </c>
      <c r="P8438" t="s">
        <v>20401</v>
      </c>
      <c r="Q8438" t="s">
        <v>17554</v>
      </c>
      <c r="R8438" t="s">
        <v>421</v>
      </c>
      <c r="S8438">
        <v>1472</v>
      </c>
    </row>
    <row r="8439" spans="1:19">
      <c r="A8439" t="s">
        <v>31</v>
      </c>
      <c r="B8439" t="s">
        <v>148</v>
      </c>
      <c r="C8439" t="s">
        <v>163</v>
      </c>
      <c r="D8439" t="s">
        <v>292</v>
      </c>
      <c r="E8439" t="s">
        <v>421</v>
      </c>
      <c r="F8439">
        <f>HYPERLINK("https://www.wikidata.org/wiki/Q33323183", "Q33323183")</f>
        <v>0</v>
      </c>
      <c r="G8439" t="s">
        <v>1049</v>
      </c>
      <c r="H8439" t="s">
        <v>5796</v>
      </c>
      <c r="I8439" t="s">
        <v>9642</v>
      </c>
      <c r="J8439" t="s">
        <v>11786</v>
      </c>
      <c r="K8439" t="s">
        <v>16187</v>
      </c>
      <c r="L8439">
        <f>HYPERLINK("https://www2.assemblee-nationale.fr/sycomore/fiche/(num_dept)/6671", "6671")</f>
        <v>0</v>
      </c>
      <c r="N8439">
        <f>HYPERLINK("https://www.wikidata.org/wiki/Q2848513", "Q2848513")</f>
        <v>0</v>
      </c>
      <c r="O8439" t="s">
        <v>20032</v>
      </c>
      <c r="P8439" t="s">
        <v>20401</v>
      </c>
      <c r="Q8439" t="s">
        <v>17554</v>
      </c>
      <c r="R8439" t="s">
        <v>421</v>
      </c>
      <c r="S8439">
        <v>1472</v>
      </c>
    </row>
    <row r="8440" spans="1:19">
      <c r="A8440" t="s">
        <v>31</v>
      </c>
      <c r="B8440" t="s">
        <v>148</v>
      </c>
      <c r="C8440" t="s">
        <v>163</v>
      </c>
      <c r="D8440" t="s">
        <v>292</v>
      </c>
      <c r="E8440" t="s">
        <v>421</v>
      </c>
      <c r="F8440">
        <f>HYPERLINK("https://www.wikidata.org/wiki/Q33323183", "Q33323183")</f>
        <v>0</v>
      </c>
      <c r="G8440" t="s">
        <v>806</v>
      </c>
      <c r="H8440" t="s">
        <v>5563</v>
      </c>
      <c r="I8440" t="s">
        <v>9523</v>
      </c>
      <c r="J8440" t="s">
        <v>11553</v>
      </c>
      <c r="K8440" t="s">
        <v>15957</v>
      </c>
      <c r="L8440">
        <f>HYPERLINK("https://www2.assemblee-nationale.fr/sycomore/fiche/(num_dept)/6725", "6725")</f>
        <v>0</v>
      </c>
      <c r="M8440">
        <f>HYPERLINK("https://www.senat.fr/senateur-3eme-republique/ribiere_marcel1846r3.html", "ribiere_marcel1846r3")</f>
        <v>0</v>
      </c>
      <c r="N8440">
        <f>HYPERLINK("https://www.wikidata.org/wiki/Q3289327", "Q3289327")</f>
        <v>0</v>
      </c>
      <c r="O8440" t="s">
        <v>20034</v>
      </c>
      <c r="P8440" t="s">
        <v>20489</v>
      </c>
      <c r="Q8440" t="s">
        <v>17554</v>
      </c>
      <c r="R8440" t="s">
        <v>421</v>
      </c>
      <c r="S8440">
        <v>1472</v>
      </c>
    </row>
    <row r="8441" spans="1:19">
      <c r="A8441" t="s">
        <v>31</v>
      </c>
      <c r="B8441" t="s">
        <v>148</v>
      </c>
      <c r="C8441" t="s">
        <v>163</v>
      </c>
      <c r="D8441" t="s">
        <v>292</v>
      </c>
      <c r="E8441" t="s">
        <v>421</v>
      </c>
      <c r="F8441">
        <f>HYPERLINK("https://www.wikidata.org/wiki/Q33323183", "Q33323183")</f>
        <v>0</v>
      </c>
      <c r="G8441" t="s">
        <v>3939</v>
      </c>
      <c r="H8441" t="s">
        <v>8191</v>
      </c>
      <c r="I8441" t="s">
        <v>11031</v>
      </c>
      <c r="J8441" t="s">
        <v>12672</v>
      </c>
      <c r="K8441" t="s">
        <v>16308</v>
      </c>
      <c r="L8441">
        <f>HYPERLINK("https://www2.assemblee-nationale.fr/sycomore/fiche/(num_dept)/6754", "6754")</f>
        <v>0</v>
      </c>
      <c r="N8441">
        <f>HYPERLINK("https://www.wikidata.org/wiki/Q16026423", "Q16026423")</f>
        <v>0</v>
      </c>
      <c r="O8441" t="s">
        <v>19982</v>
      </c>
      <c r="P8441" t="s">
        <v>20401</v>
      </c>
      <c r="Q8441" t="s">
        <v>17554</v>
      </c>
      <c r="R8441" t="s">
        <v>421</v>
      </c>
      <c r="S8441">
        <v>1472</v>
      </c>
    </row>
    <row r="8442" spans="1:19">
      <c r="A8442" t="s">
        <v>31</v>
      </c>
      <c r="B8442" t="s">
        <v>148</v>
      </c>
      <c r="C8442" t="s">
        <v>163</v>
      </c>
      <c r="D8442" t="s">
        <v>292</v>
      </c>
      <c r="E8442" t="s">
        <v>421</v>
      </c>
      <c r="F8442">
        <f>HYPERLINK("https://www.wikidata.org/wiki/Q33323183", "Q33323183")</f>
        <v>0</v>
      </c>
      <c r="G8442" t="s">
        <v>807</v>
      </c>
      <c r="H8442" t="s">
        <v>5564</v>
      </c>
      <c r="I8442" t="s">
        <v>9483</v>
      </c>
      <c r="J8442" t="s">
        <v>11554</v>
      </c>
      <c r="K8442" t="s">
        <v>15958</v>
      </c>
      <c r="L8442">
        <f>HYPERLINK("https://www2.assemblee-nationale.fr/sycomore/fiche/(num_dept)/6815", "6815")</f>
        <v>0</v>
      </c>
      <c r="N8442">
        <f>HYPERLINK("https://www.wikidata.org/wiki/Q3557596", "Q3557596")</f>
        <v>0</v>
      </c>
      <c r="O8442" t="s">
        <v>20035</v>
      </c>
      <c r="P8442" t="s">
        <v>20489</v>
      </c>
      <c r="Q8442" t="s">
        <v>17554</v>
      </c>
      <c r="R8442" t="s">
        <v>421</v>
      </c>
      <c r="S8442">
        <v>1472</v>
      </c>
    </row>
    <row r="8443" spans="1:19">
      <c r="A8443" t="s">
        <v>31</v>
      </c>
      <c r="B8443" t="s">
        <v>148</v>
      </c>
      <c r="C8443" t="s">
        <v>163</v>
      </c>
      <c r="D8443" t="s">
        <v>292</v>
      </c>
      <c r="E8443" t="s">
        <v>421</v>
      </c>
      <c r="F8443">
        <f>HYPERLINK("https://www.wikidata.org/wiki/Q33323183", "Q33323183")</f>
        <v>0</v>
      </c>
      <c r="G8443" t="s">
        <v>1052</v>
      </c>
      <c r="H8443" t="s">
        <v>5799</v>
      </c>
      <c r="I8443" t="s">
        <v>9449</v>
      </c>
      <c r="J8443" t="s">
        <v>11789</v>
      </c>
      <c r="K8443" t="s">
        <v>16190</v>
      </c>
      <c r="L8443">
        <f>HYPERLINK("https://www2.assemblee-nationale.fr/sycomore/fiche/(num_dept)/6832", "6832")</f>
        <v>0</v>
      </c>
      <c r="M8443">
        <f>HYPERLINK("https://www.senat.fr/senateur-3eme-republique/siegfried_jules1584r3.html", "siegfried_jules1584r3")</f>
        <v>0</v>
      </c>
      <c r="N8443">
        <f>HYPERLINK("https://www.wikidata.org/wiki/Q3188910", "Q3188910")</f>
        <v>0</v>
      </c>
      <c r="O8443" t="s">
        <v>19978</v>
      </c>
      <c r="P8443" t="s">
        <v>20402</v>
      </c>
      <c r="Q8443" t="s">
        <v>17554</v>
      </c>
      <c r="R8443" t="s">
        <v>421</v>
      </c>
      <c r="S8443">
        <v>1472</v>
      </c>
    </row>
    <row r="8444" spans="1:19">
      <c r="A8444" t="s">
        <v>31</v>
      </c>
      <c r="B8444" t="s">
        <v>148</v>
      </c>
      <c r="C8444" t="s">
        <v>163</v>
      </c>
      <c r="D8444" t="s">
        <v>292</v>
      </c>
      <c r="E8444" t="s">
        <v>421</v>
      </c>
      <c r="F8444">
        <f>HYPERLINK("https://www.wikidata.org/wiki/Q33323183", "Q33323183")</f>
        <v>0</v>
      </c>
      <c r="G8444" t="s">
        <v>2683</v>
      </c>
      <c r="H8444" t="s">
        <v>7216</v>
      </c>
      <c r="I8444" t="s">
        <v>6860</v>
      </c>
      <c r="J8444" t="s">
        <v>13324</v>
      </c>
      <c r="K8444" t="s">
        <v>17724</v>
      </c>
      <c r="L8444">
        <f>HYPERLINK("https://www2.assemblee-nationale.fr/sycomore/fiche/(num_dept)/6959", "6959")</f>
        <v>0</v>
      </c>
      <c r="M8444">
        <f>HYPERLINK("https://www.senat.fr/senateur-3eme-republique/tassin_pierre0376r3.html", "tassin_pierre0376r3")</f>
        <v>0</v>
      </c>
      <c r="N8444">
        <f>HYPERLINK("https://www.wikidata.org/wiki/Q2420595", "Q2420595")</f>
        <v>0</v>
      </c>
      <c r="O8444" t="s">
        <v>20039</v>
      </c>
      <c r="P8444" t="s">
        <v>20401</v>
      </c>
      <c r="Q8444" t="s">
        <v>17554</v>
      </c>
      <c r="R8444" t="s">
        <v>17724</v>
      </c>
      <c r="S8444">
        <v>915</v>
      </c>
    </row>
    <row r="8445" spans="1:19">
      <c r="A8445" t="s">
        <v>31</v>
      </c>
      <c r="B8445" t="s">
        <v>148</v>
      </c>
      <c r="C8445" t="s">
        <v>163</v>
      </c>
      <c r="D8445" t="s">
        <v>292</v>
      </c>
      <c r="E8445" t="s">
        <v>421</v>
      </c>
      <c r="F8445">
        <f>HYPERLINK("https://www.wikidata.org/wiki/Q33323183", "Q33323183")</f>
        <v>0</v>
      </c>
      <c r="G8445" t="s">
        <v>4149</v>
      </c>
      <c r="H8445" t="s">
        <v>8352</v>
      </c>
      <c r="I8445" t="s">
        <v>11137</v>
      </c>
      <c r="J8445" t="s">
        <v>14678</v>
      </c>
      <c r="K8445" t="s">
        <v>19015</v>
      </c>
      <c r="L8445">
        <f>HYPERLINK("https://www2.assemblee-nationale.fr/sycomore/fiche/(num_dept)/7102", "7102")</f>
        <v>0</v>
      </c>
      <c r="N8445">
        <f>HYPERLINK("https://www.wikidata.org/wiki/Q16026563", "Q16026563")</f>
        <v>0</v>
      </c>
      <c r="O8445" t="s">
        <v>20037</v>
      </c>
      <c r="P8445" t="s">
        <v>20401</v>
      </c>
      <c r="Q8445" t="s">
        <v>17554</v>
      </c>
      <c r="R8445" t="s">
        <v>421</v>
      </c>
      <c r="S8445">
        <v>1472</v>
      </c>
    </row>
    <row r="8446" spans="1:19">
      <c r="A8446" t="s">
        <v>31</v>
      </c>
      <c r="B8446" t="s">
        <v>148</v>
      </c>
      <c r="C8446" t="s">
        <v>163</v>
      </c>
      <c r="D8446" t="s">
        <v>292</v>
      </c>
      <c r="E8446" t="s">
        <v>421</v>
      </c>
      <c r="F8446">
        <f>HYPERLINK("https://www.wikidata.org/wiki/Q33323183", "Q33323183")</f>
        <v>0</v>
      </c>
      <c r="G8446" t="s">
        <v>1063</v>
      </c>
      <c r="H8446" t="s">
        <v>5809</v>
      </c>
      <c r="I8446" t="s">
        <v>9649</v>
      </c>
      <c r="J8446" t="s">
        <v>11800</v>
      </c>
      <c r="K8446" t="s">
        <v>16200</v>
      </c>
      <c r="L8446">
        <f>HYPERLINK("https://www2.assemblee-nationale.fr/sycomore/fiche/(num_dept)/7114", "7114")</f>
        <v>0</v>
      </c>
      <c r="N8446">
        <f>HYPERLINK("https://www.wikidata.org/wiki/Q13080889", "Q13080889")</f>
        <v>0</v>
      </c>
      <c r="O8446" t="s">
        <v>19969</v>
      </c>
      <c r="P8446" t="s">
        <v>20495</v>
      </c>
      <c r="Q8446" t="s">
        <v>17554</v>
      </c>
      <c r="R8446" t="s">
        <v>421</v>
      </c>
      <c r="S8446">
        <v>1472</v>
      </c>
    </row>
    <row r="8447" spans="1:19">
      <c r="A8447" t="s">
        <v>31</v>
      </c>
      <c r="B8447" t="s">
        <v>148</v>
      </c>
      <c r="C8447" t="s">
        <v>163</v>
      </c>
      <c r="D8447" t="s">
        <v>292</v>
      </c>
      <c r="E8447" t="s">
        <v>421</v>
      </c>
      <c r="F8447">
        <f>HYPERLINK("https://www.wikidata.org/wiki/Q33323183", "Q33323183")</f>
        <v>0</v>
      </c>
      <c r="G8447" t="s">
        <v>819</v>
      </c>
      <c r="H8447" t="s">
        <v>5576</v>
      </c>
      <c r="I8447" t="s">
        <v>9537</v>
      </c>
      <c r="J8447" t="s">
        <v>11566</v>
      </c>
      <c r="K8447" t="s">
        <v>15970</v>
      </c>
      <c r="L8447">
        <f>HYPERLINK("https://www2.assemblee-nationale.fr/sycomore/fiche/(num_dept)/7135", "7135")</f>
        <v>0</v>
      </c>
      <c r="N8447">
        <f>HYPERLINK("https://www.wikidata.org/wiki/Q3060196", "Q3060196")</f>
        <v>0</v>
      </c>
      <c r="O8447" t="s">
        <v>20039</v>
      </c>
      <c r="P8447" t="s">
        <v>20489</v>
      </c>
      <c r="Q8447" t="s">
        <v>17554</v>
      </c>
      <c r="R8447" t="s">
        <v>421</v>
      </c>
      <c r="S8447">
        <v>1472</v>
      </c>
    </row>
    <row r="8448" spans="1:19">
      <c r="A8448" t="s">
        <v>31</v>
      </c>
      <c r="B8448" t="s">
        <v>148</v>
      </c>
      <c r="C8448" t="s">
        <v>163</v>
      </c>
      <c r="D8448" t="s">
        <v>292</v>
      </c>
      <c r="E8448" t="s">
        <v>421</v>
      </c>
      <c r="F8448">
        <f>HYPERLINK("https://www.wikidata.org/wiki/Q33323183", "Q33323183")</f>
        <v>0</v>
      </c>
      <c r="G8448" t="s">
        <v>1316</v>
      </c>
      <c r="H8448" t="s">
        <v>6036</v>
      </c>
      <c r="I8448" t="s">
        <v>9746</v>
      </c>
      <c r="J8448" t="s">
        <v>12046</v>
      </c>
      <c r="K8448" t="s">
        <v>16446</v>
      </c>
      <c r="L8448">
        <f>HYPERLINK("https://www2.assemblee-nationale.fr/sycomore/fiche/(num_dept)/7210", "7210")</f>
        <v>0</v>
      </c>
      <c r="N8448">
        <f>HYPERLINK("https://www.wikidata.org/wiki/Q1247638", "Q1247638")</f>
        <v>0</v>
      </c>
      <c r="O8448" t="s">
        <v>20005</v>
      </c>
      <c r="P8448" t="s">
        <v>20515</v>
      </c>
      <c r="Q8448" t="s">
        <v>17554</v>
      </c>
      <c r="R8448" t="s">
        <v>421</v>
      </c>
      <c r="S8448">
        <v>1472</v>
      </c>
    </row>
    <row r="8449" spans="1:19">
      <c r="A8449" t="s">
        <v>31</v>
      </c>
      <c r="B8449" t="s">
        <v>148</v>
      </c>
      <c r="C8449" t="s">
        <v>163</v>
      </c>
      <c r="D8449" t="s">
        <v>292</v>
      </c>
      <c r="E8449" t="s">
        <v>421</v>
      </c>
      <c r="F8449">
        <f>HYPERLINK("https://www.wikidata.org/wiki/Q33323183", "Q33323183")</f>
        <v>0</v>
      </c>
      <c r="G8449" t="s">
        <v>827</v>
      </c>
      <c r="H8449" t="s">
        <v>5584</v>
      </c>
      <c r="I8449" t="s">
        <v>9476</v>
      </c>
      <c r="J8449" t="s">
        <v>11574</v>
      </c>
      <c r="K8449" t="s">
        <v>15976</v>
      </c>
      <c r="L8449">
        <f>HYPERLINK("https://www2.assemblee-nationale.fr/sycomore/fiche/(num_dept)/7368", "7368")</f>
        <v>0</v>
      </c>
      <c r="M8449">
        <f>HYPERLINK("https://www.senat.fr/senateur-3eme-republique/viviani_rene0627r3.html", "viviani_rene0627r3")</f>
        <v>0</v>
      </c>
      <c r="N8449">
        <f>HYPERLINK("https://www.wikidata.org/wiki/Q431074", "Q431074")</f>
        <v>0</v>
      </c>
      <c r="O8449" t="s">
        <v>19969</v>
      </c>
      <c r="P8449" t="s">
        <v>20485</v>
      </c>
      <c r="Q8449" t="s">
        <v>17554</v>
      </c>
      <c r="R8449" t="s">
        <v>421</v>
      </c>
      <c r="S8449">
        <v>1472</v>
      </c>
    </row>
    <row r="8450" spans="1:19">
      <c r="A8450" t="s">
        <v>31</v>
      </c>
      <c r="B8450" t="s">
        <v>148</v>
      </c>
      <c r="C8450" t="s">
        <v>163</v>
      </c>
      <c r="D8450" t="s">
        <v>292</v>
      </c>
      <c r="E8450" t="s">
        <v>421</v>
      </c>
      <c r="F8450">
        <f>HYPERLINK("https://www.wikidata.org/wiki/Q33323183", "Q33323183")</f>
        <v>0</v>
      </c>
      <c r="G8450" t="s">
        <v>1071</v>
      </c>
      <c r="H8450" t="s">
        <v>5816</v>
      </c>
      <c r="I8450" t="s">
        <v>9445</v>
      </c>
      <c r="J8450" t="s">
        <v>11807</v>
      </c>
      <c r="K8450" t="s">
        <v>16208</v>
      </c>
      <c r="L8450">
        <f>HYPERLINK("https://www2.assemblee-nationale.fr/sycomore/fiche/(num_dept)/7391", "7391")</f>
        <v>0</v>
      </c>
      <c r="N8450">
        <f>HYPERLINK("https://www.wikidata.org/wiki/Q13078835", "Q13078835")</f>
        <v>0</v>
      </c>
      <c r="O8450" t="s">
        <v>19969</v>
      </c>
      <c r="P8450" t="s">
        <v>20515</v>
      </c>
      <c r="Q8450" t="s">
        <v>17554</v>
      </c>
      <c r="R8450" t="s">
        <v>421</v>
      </c>
      <c r="S8450">
        <v>1472</v>
      </c>
    </row>
    <row r="8451" spans="1:19">
      <c r="A8451" t="s">
        <v>31</v>
      </c>
      <c r="B8451" t="s">
        <v>148</v>
      </c>
      <c r="C8451" t="s">
        <v>163</v>
      </c>
      <c r="D8451" t="s">
        <v>292</v>
      </c>
      <c r="E8451" t="s">
        <v>421</v>
      </c>
      <c r="F8451">
        <f>HYPERLINK("https://www.wikidata.org/wiki/Q33323183", "Q33323183")</f>
        <v>0</v>
      </c>
      <c r="G8451" t="s">
        <v>1072</v>
      </c>
      <c r="H8451" t="s">
        <v>5817</v>
      </c>
      <c r="I8451" t="s">
        <v>9654</v>
      </c>
      <c r="J8451" t="s">
        <v>11808</v>
      </c>
      <c r="K8451" t="s">
        <v>16209</v>
      </c>
      <c r="L8451">
        <f>HYPERLINK("https://www2.assemblee-nationale.fr/sycomore/fiche/(num_dept)/7419", "7419")</f>
        <v>0</v>
      </c>
      <c r="N8451">
        <f>HYPERLINK("https://www.wikidata.org/wiki/Q2831619", "Q2831619")</f>
        <v>0</v>
      </c>
      <c r="O8451" t="s">
        <v>19958</v>
      </c>
      <c r="P8451" t="s">
        <v>20489</v>
      </c>
      <c r="Q8451" t="s">
        <v>17554</v>
      </c>
      <c r="R8451" t="s">
        <v>421</v>
      </c>
      <c r="S8451">
        <v>1472</v>
      </c>
    </row>
    <row r="8452" spans="1:19">
      <c r="A8452" t="s">
        <v>31</v>
      </c>
      <c r="B8452" t="s">
        <v>148</v>
      </c>
      <c r="C8452" t="s">
        <v>163</v>
      </c>
      <c r="D8452" t="s">
        <v>292</v>
      </c>
      <c r="E8452" t="s">
        <v>421</v>
      </c>
      <c r="F8452">
        <f>HYPERLINK("https://www.wikidata.org/wiki/Q33323183", "Q33323183")</f>
        <v>0</v>
      </c>
      <c r="G8452" t="s">
        <v>4016</v>
      </c>
      <c r="H8452" t="s">
        <v>8250</v>
      </c>
      <c r="I8452" t="s">
        <v>11067</v>
      </c>
      <c r="J8452" t="s">
        <v>14560</v>
      </c>
      <c r="K8452" t="s">
        <v>18905</v>
      </c>
      <c r="L8452">
        <f>HYPERLINK("https://www2.assemblee-nationale.fr/sycomore/fiche/(num_dept)/7422", "7422")</f>
        <v>0</v>
      </c>
      <c r="N8452">
        <f>HYPERLINK("https://www.wikidata.org/wiki/Q2834151", "Q2834151")</f>
        <v>0</v>
      </c>
      <c r="O8452" t="s">
        <v>20006</v>
      </c>
      <c r="P8452" t="s">
        <v>20485</v>
      </c>
      <c r="Q8452" t="s">
        <v>17554</v>
      </c>
      <c r="R8452" t="s">
        <v>421</v>
      </c>
      <c r="S8452">
        <v>1472</v>
      </c>
    </row>
    <row r="8453" spans="1:19">
      <c r="A8453" t="s">
        <v>31</v>
      </c>
      <c r="B8453" t="s">
        <v>148</v>
      </c>
      <c r="C8453" t="s">
        <v>163</v>
      </c>
      <c r="D8453" t="s">
        <v>292</v>
      </c>
      <c r="E8453" t="s">
        <v>421</v>
      </c>
      <c r="F8453">
        <f>HYPERLINK("https://www.wikidata.org/wiki/Q33323183", "Q33323183")</f>
        <v>0</v>
      </c>
      <c r="G8453" t="s">
        <v>832</v>
      </c>
      <c r="H8453" t="s">
        <v>5589</v>
      </c>
      <c r="I8453" t="s">
        <v>6584</v>
      </c>
      <c r="J8453" t="s">
        <v>11579</v>
      </c>
      <c r="K8453" t="s">
        <v>15981</v>
      </c>
      <c r="L8453">
        <f>HYPERLINK("https://www2.assemblee-nationale.fr/sycomore/fiche/(num_dept)/7423", "7423")</f>
        <v>0</v>
      </c>
      <c r="N8453">
        <f>HYPERLINK("https://www.wikidata.org/wiki/Q2831639", "Q2831639")</f>
        <v>0</v>
      </c>
      <c r="O8453" t="s">
        <v>19969</v>
      </c>
      <c r="P8453" t="s">
        <v>20515</v>
      </c>
      <c r="Q8453" t="s">
        <v>17554</v>
      </c>
      <c r="R8453" t="s">
        <v>421</v>
      </c>
      <c r="S8453">
        <v>1472</v>
      </c>
    </row>
    <row r="8454" spans="1:19">
      <c r="A8454" t="s">
        <v>31</v>
      </c>
      <c r="B8454" t="s">
        <v>148</v>
      </c>
      <c r="C8454" t="s">
        <v>163</v>
      </c>
      <c r="D8454" t="s">
        <v>292</v>
      </c>
      <c r="E8454" t="s">
        <v>421</v>
      </c>
      <c r="F8454">
        <f>HYPERLINK("https://www.wikidata.org/wiki/Q33323183", "Q33323183")</f>
        <v>0</v>
      </c>
      <c r="G8454" t="s">
        <v>4211</v>
      </c>
      <c r="H8454" t="s">
        <v>8396</v>
      </c>
      <c r="I8454" t="s">
        <v>6495</v>
      </c>
      <c r="J8454" t="s">
        <v>11673</v>
      </c>
      <c r="K8454" t="s">
        <v>19066</v>
      </c>
      <c r="L8454">
        <f>HYPERLINK("https://www2.assemblee-nationale.fr/sycomore/fiche/(num_dept)/7426", "7426")</f>
        <v>0</v>
      </c>
      <c r="N8454">
        <f>HYPERLINK("https://www.wikidata.org/wiki/Q16026601", "Q16026601")</f>
        <v>0</v>
      </c>
      <c r="O8454" t="s">
        <v>19997</v>
      </c>
      <c r="P8454" t="s">
        <v>20489</v>
      </c>
      <c r="Q8454" t="s">
        <v>17554</v>
      </c>
      <c r="R8454" t="s">
        <v>421</v>
      </c>
      <c r="S8454">
        <v>1472</v>
      </c>
    </row>
    <row r="8455" spans="1:19">
      <c r="A8455" t="s">
        <v>31</v>
      </c>
      <c r="B8455" t="s">
        <v>148</v>
      </c>
      <c r="C8455" t="s">
        <v>163</v>
      </c>
      <c r="D8455" t="s">
        <v>292</v>
      </c>
      <c r="E8455" t="s">
        <v>421</v>
      </c>
      <c r="F8455">
        <f>HYPERLINK("https://www.wikidata.org/wiki/Q33323183", "Q33323183")</f>
        <v>0</v>
      </c>
      <c r="G8455" t="s">
        <v>4038</v>
      </c>
      <c r="H8455" t="s">
        <v>8268</v>
      </c>
      <c r="I8455" t="s">
        <v>6495</v>
      </c>
      <c r="J8455" t="s">
        <v>14579</v>
      </c>
      <c r="K8455" t="s">
        <v>18921</v>
      </c>
      <c r="L8455">
        <f>HYPERLINK("https://www2.assemblee-nationale.fr/sycomore/fiche/(num_dept)/7427", "7427")</f>
        <v>0</v>
      </c>
      <c r="N8455">
        <f>HYPERLINK("https://www.wikidata.org/wiki/Q8332480", "Q8332480")</f>
        <v>0</v>
      </c>
      <c r="O8455" t="s">
        <v>19993</v>
      </c>
      <c r="P8455" t="s">
        <v>20402</v>
      </c>
      <c r="Q8455" t="s">
        <v>17554</v>
      </c>
      <c r="R8455" t="s">
        <v>421</v>
      </c>
      <c r="S8455">
        <v>1472</v>
      </c>
    </row>
    <row r="8456" spans="1:19">
      <c r="A8456" t="s">
        <v>31</v>
      </c>
      <c r="B8456" t="s">
        <v>148</v>
      </c>
      <c r="C8456" t="s">
        <v>163</v>
      </c>
      <c r="D8456" t="s">
        <v>292</v>
      </c>
      <c r="E8456" t="s">
        <v>421</v>
      </c>
      <c r="F8456">
        <f>HYPERLINK("https://www.wikidata.org/wiki/Q33323183", "Q33323183")</f>
        <v>0</v>
      </c>
      <c r="G8456" t="s">
        <v>838</v>
      </c>
      <c r="H8456" t="s">
        <v>5595</v>
      </c>
      <c r="I8456" t="s">
        <v>9546</v>
      </c>
      <c r="J8456" t="s">
        <v>11585</v>
      </c>
      <c r="K8456" t="s">
        <v>15987</v>
      </c>
      <c r="L8456">
        <f>HYPERLINK("https://www2.assemblee-nationale.fr/sycomore/fiche/(num_dept)/7547", "7547")</f>
        <v>0</v>
      </c>
      <c r="N8456">
        <f>HYPERLINK("https://www.wikidata.org/wiki/Q2959588", "Q2959588")</f>
        <v>0</v>
      </c>
      <c r="O8456" t="s">
        <v>19969</v>
      </c>
      <c r="P8456" t="s">
        <v>20401</v>
      </c>
      <c r="Q8456" t="s">
        <v>17554</v>
      </c>
      <c r="R8456" t="s">
        <v>421</v>
      </c>
      <c r="S8456">
        <v>1472</v>
      </c>
    </row>
    <row r="8457" spans="1:19">
      <c r="A8457" t="s">
        <v>31</v>
      </c>
      <c r="B8457" t="s">
        <v>148</v>
      </c>
      <c r="C8457" t="s">
        <v>163</v>
      </c>
      <c r="D8457" t="s">
        <v>292</v>
      </c>
      <c r="E8457" t="s">
        <v>421</v>
      </c>
      <c r="F8457">
        <f>HYPERLINK("https://www.wikidata.org/wiki/Q33323183", "Q33323183")</f>
        <v>0</v>
      </c>
      <c r="G8457" t="s">
        <v>841</v>
      </c>
      <c r="H8457" t="s">
        <v>5598</v>
      </c>
      <c r="I8457" t="s">
        <v>9548</v>
      </c>
      <c r="J8457" t="s">
        <v>11588</v>
      </c>
      <c r="K8457" t="s">
        <v>15990</v>
      </c>
      <c r="L8457">
        <f>HYPERLINK("https://www2.assemblee-nationale.fr/sycomore/fiche/(num_dept)/7591", "7591")</f>
        <v>0</v>
      </c>
      <c r="M8457">
        <f>HYPERLINK("https://www.senat.fr/senateur-3eme-republique/le_herisse_rene0541r3.html", "le_herisse_rene0541r3")</f>
        <v>0</v>
      </c>
      <c r="N8457">
        <f>HYPERLINK("https://www.wikidata.org/wiki/Q3426501", "Q3426501")</f>
        <v>0</v>
      </c>
      <c r="O8457" t="s">
        <v>19998</v>
      </c>
      <c r="P8457" t="s">
        <v>20402</v>
      </c>
      <c r="Q8457" t="s">
        <v>17554</v>
      </c>
      <c r="R8457" t="s">
        <v>421</v>
      </c>
      <c r="S8457">
        <v>1472</v>
      </c>
    </row>
    <row r="8458" spans="1:19">
      <c r="A8458" t="s">
        <v>31</v>
      </c>
      <c r="B8458" t="s">
        <v>148</v>
      </c>
      <c r="C8458" t="s">
        <v>163</v>
      </c>
      <c r="D8458" t="s">
        <v>292</v>
      </c>
      <c r="E8458" t="s">
        <v>421</v>
      </c>
      <c r="F8458">
        <f>HYPERLINK("https://www.wikidata.org/wiki/Q33323183", "Q33323183")</f>
        <v>0</v>
      </c>
      <c r="G8458" t="s">
        <v>1075</v>
      </c>
      <c r="H8458" t="s">
        <v>5781</v>
      </c>
      <c r="I8458" t="s">
        <v>9655</v>
      </c>
      <c r="J8458" t="s">
        <v>11811</v>
      </c>
      <c r="K8458" t="s">
        <v>16212</v>
      </c>
      <c r="L8458">
        <f>HYPERLINK("https://www2.assemblee-nationale.fr/sycomore/fiche/(num_dept)/7618", "7618")</f>
        <v>0</v>
      </c>
      <c r="N8458">
        <f>HYPERLINK("https://www.wikidata.org/wiki/Q16025962", "Q16025962")</f>
        <v>0</v>
      </c>
      <c r="O8458" t="s">
        <v>20013</v>
      </c>
      <c r="P8458" t="s">
        <v>20402</v>
      </c>
      <c r="Q8458" t="s">
        <v>17554</v>
      </c>
      <c r="R8458" t="s">
        <v>421</v>
      </c>
      <c r="S8458">
        <v>1472</v>
      </c>
    </row>
    <row r="8459" spans="1:19">
      <c r="A8459" t="s">
        <v>31</v>
      </c>
      <c r="B8459" t="s">
        <v>148</v>
      </c>
      <c r="C8459" t="s">
        <v>163</v>
      </c>
      <c r="D8459" t="s">
        <v>292</v>
      </c>
      <c r="E8459" t="s">
        <v>421</v>
      </c>
      <c r="F8459">
        <f>HYPERLINK("https://www.wikidata.org/wiki/Q33323183", "Q33323183")</f>
        <v>0</v>
      </c>
      <c r="G8459" t="s">
        <v>4212</v>
      </c>
      <c r="H8459" t="s">
        <v>8397</v>
      </c>
      <c r="I8459" t="s">
        <v>9449</v>
      </c>
      <c r="J8459" t="s">
        <v>14723</v>
      </c>
      <c r="K8459" t="s">
        <v>19000</v>
      </c>
      <c r="L8459">
        <f>HYPERLINK("https://www2.assemblee-nationale.fr/sycomore/fiche/(num_dept)/7674", "7674")</f>
        <v>0</v>
      </c>
      <c r="N8459">
        <f>HYPERLINK("https://www.wikidata.org/wiki/Q16025973", "Q16025973")</f>
        <v>0</v>
      </c>
      <c r="O8459" t="s">
        <v>19997</v>
      </c>
      <c r="P8459" t="s">
        <v>20485</v>
      </c>
      <c r="Q8459" t="s">
        <v>17554</v>
      </c>
      <c r="R8459" t="s">
        <v>421</v>
      </c>
      <c r="S8459">
        <v>1472</v>
      </c>
    </row>
    <row r="8460" spans="1:19">
      <c r="A8460" t="s">
        <v>31</v>
      </c>
      <c r="B8460" t="s">
        <v>148</v>
      </c>
      <c r="C8460" t="s">
        <v>163</v>
      </c>
      <c r="D8460" t="s">
        <v>292</v>
      </c>
      <c r="E8460" t="s">
        <v>421</v>
      </c>
      <c r="F8460">
        <f>HYPERLINK("https://www.wikidata.org/wiki/Q33323183", "Q33323183")</f>
        <v>0</v>
      </c>
      <c r="G8460" t="s">
        <v>4213</v>
      </c>
      <c r="H8460" t="s">
        <v>8398</v>
      </c>
      <c r="I8460" t="s">
        <v>9681</v>
      </c>
      <c r="J8460" t="s">
        <v>14724</v>
      </c>
      <c r="K8460" t="s">
        <v>19067</v>
      </c>
      <c r="L8460">
        <f>HYPERLINK("https://www2.assemblee-nationale.fr/sycomore/fiche/(num_dept)/7701", "7701")</f>
        <v>0</v>
      </c>
      <c r="N8460">
        <f>HYPERLINK("https://www.wikidata.org/wiki/Q16026015", "Q16026015")</f>
        <v>0</v>
      </c>
      <c r="O8460" t="s">
        <v>19978</v>
      </c>
      <c r="P8460" t="s">
        <v>20401</v>
      </c>
      <c r="Q8460" t="s">
        <v>17554</v>
      </c>
      <c r="R8460" t="s">
        <v>421</v>
      </c>
      <c r="S8460">
        <v>1472</v>
      </c>
    </row>
    <row r="8461" spans="1:19">
      <c r="A8461" t="s">
        <v>31</v>
      </c>
      <c r="B8461" t="s">
        <v>148</v>
      </c>
      <c r="C8461" t="s">
        <v>163</v>
      </c>
      <c r="D8461" t="s">
        <v>292</v>
      </c>
      <c r="E8461" t="s">
        <v>421</v>
      </c>
      <c r="F8461">
        <f>HYPERLINK("https://www.wikidata.org/wiki/Q33323183", "Q33323183")</f>
        <v>0</v>
      </c>
      <c r="G8461" t="s">
        <v>1079</v>
      </c>
      <c r="H8461" t="s">
        <v>5823</v>
      </c>
      <c r="I8461" t="s">
        <v>9506</v>
      </c>
      <c r="J8461" t="s">
        <v>11815</v>
      </c>
      <c r="K8461" t="s">
        <v>16216</v>
      </c>
      <c r="L8461">
        <f>HYPERLINK("https://www2.assemblee-nationale.fr/sycomore/fiche/(num_dept)/7762", "7762")</f>
        <v>0</v>
      </c>
      <c r="N8461">
        <f>HYPERLINK("https://www.wikidata.org/wiki/Q2934989", "Q2934989")</f>
        <v>0</v>
      </c>
      <c r="O8461" t="s">
        <v>20025</v>
      </c>
      <c r="P8461" t="s">
        <v>20485</v>
      </c>
      <c r="Q8461" t="s">
        <v>17554</v>
      </c>
      <c r="R8461" t="s">
        <v>421</v>
      </c>
      <c r="S8461">
        <v>1472</v>
      </c>
    </row>
    <row r="8462" spans="1:19">
      <c r="A8462" t="s">
        <v>31</v>
      </c>
      <c r="B8462" t="s">
        <v>148</v>
      </c>
      <c r="C8462" t="s">
        <v>163</v>
      </c>
      <c r="D8462" t="s">
        <v>292</v>
      </c>
      <c r="E8462" t="s">
        <v>421</v>
      </c>
      <c r="F8462">
        <f>HYPERLINK("https://www.wikidata.org/wiki/Q33323183", "Q33323183")</f>
        <v>0</v>
      </c>
      <c r="G8462" t="s">
        <v>3294</v>
      </c>
      <c r="H8462" t="s">
        <v>7705</v>
      </c>
      <c r="I8462" t="s">
        <v>10485</v>
      </c>
      <c r="J8462" t="s">
        <v>13908</v>
      </c>
      <c r="K8462" t="s">
        <v>18279</v>
      </c>
      <c r="L8462">
        <f>HYPERLINK("https://www2.assemblee-nationale.fr/sycomore/fiche/(num_dept)/7807", "7807")</f>
        <v>0</v>
      </c>
      <c r="N8462">
        <f>HYPERLINK("https://www.wikidata.org/wiki/Q2941050", "Q2941050")</f>
        <v>0</v>
      </c>
      <c r="O8462" t="s">
        <v>19996</v>
      </c>
      <c r="P8462" t="s">
        <v>20489</v>
      </c>
      <c r="Q8462" t="s">
        <v>17554</v>
      </c>
      <c r="R8462" t="s">
        <v>421</v>
      </c>
      <c r="S8462">
        <v>1472</v>
      </c>
    </row>
    <row r="8463" spans="1:19">
      <c r="A8463" t="s">
        <v>31</v>
      </c>
      <c r="B8463" t="s">
        <v>148</v>
      </c>
      <c r="C8463" t="s">
        <v>163</v>
      </c>
      <c r="D8463" t="s">
        <v>292</v>
      </c>
      <c r="E8463" t="s">
        <v>421</v>
      </c>
      <c r="F8463">
        <f>HYPERLINK("https://www.wikidata.org/wiki/Q33323183", "Q33323183")</f>
        <v>0</v>
      </c>
      <c r="G8463" t="s">
        <v>4018</v>
      </c>
      <c r="H8463" t="s">
        <v>8252</v>
      </c>
      <c r="I8463" t="s">
        <v>11069</v>
      </c>
      <c r="J8463" t="s">
        <v>14562</v>
      </c>
      <c r="K8463" t="s">
        <v>18907</v>
      </c>
      <c r="L8463">
        <f>HYPERLINK("https://www2.assemblee-nationale.fr/sycomore/fiche/(num_dept)/7836", "7836")</f>
        <v>0</v>
      </c>
      <c r="N8463">
        <f>HYPERLINK("https://www.wikidata.org/wiki/Q13084932", "Q13084932")</f>
        <v>0</v>
      </c>
      <c r="O8463" t="s">
        <v>19969</v>
      </c>
      <c r="P8463" t="s">
        <v>20489</v>
      </c>
      <c r="Q8463" t="s">
        <v>17554</v>
      </c>
      <c r="R8463" t="s">
        <v>421</v>
      </c>
      <c r="S8463">
        <v>1472</v>
      </c>
    </row>
    <row r="8464" spans="1:19">
      <c r="A8464" t="s">
        <v>31</v>
      </c>
      <c r="B8464" t="s">
        <v>148</v>
      </c>
      <c r="C8464" t="s">
        <v>163</v>
      </c>
      <c r="D8464" t="s">
        <v>292</v>
      </c>
      <c r="E8464" t="s">
        <v>421</v>
      </c>
      <c r="F8464">
        <f>HYPERLINK("https://www.wikidata.org/wiki/Q33323183", "Q33323183")</f>
        <v>0</v>
      </c>
      <c r="G8464" t="s">
        <v>3948</v>
      </c>
      <c r="H8464" t="s">
        <v>5613</v>
      </c>
      <c r="I8464" t="s">
        <v>9438</v>
      </c>
      <c r="J8464" t="s">
        <v>11758</v>
      </c>
      <c r="K8464" t="s">
        <v>18848</v>
      </c>
      <c r="L8464">
        <f>HYPERLINK("https://www2.assemblee-nationale.fr/sycomore/fiche/(num_dept)/7841", "7841")</f>
        <v>0</v>
      </c>
      <c r="M8464">
        <f>HYPERLINK("https://www.senat.fr/senateur-3eme-republique/leygue_honore0095r3.html", "leygue_honore0095r3")</f>
        <v>0</v>
      </c>
      <c r="N8464">
        <f>HYPERLINK("https://www.wikidata.org/wiki/Q3140238", "Q3140238")</f>
        <v>0</v>
      </c>
      <c r="O8464" t="s">
        <v>20016</v>
      </c>
      <c r="P8464" t="s">
        <v>20489</v>
      </c>
      <c r="Q8464" t="s">
        <v>17554</v>
      </c>
      <c r="R8464" t="s">
        <v>21639</v>
      </c>
      <c r="S8464">
        <v>540</v>
      </c>
    </row>
    <row r="8465" spans="1:19">
      <c r="A8465" t="s">
        <v>31</v>
      </c>
      <c r="B8465" t="s">
        <v>148</v>
      </c>
      <c r="C8465" t="s">
        <v>163</v>
      </c>
      <c r="D8465" t="s">
        <v>292</v>
      </c>
      <c r="E8465" t="s">
        <v>421</v>
      </c>
      <c r="F8465">
        <f>HYPERLINK("https://www.wikidata.org/wiki/Q33323183", "Q33323183")</f>
        <v>0</v>
      </c>
      <c r="G8465" t="s">
        <v>656</v>
      </c>
      <c r="H8465" t="s">
        <v>5415</v>
      </c>
      <c r="I8465" t="s">
        <v>9471</v>
      </c>
      <c r="J8465" t="s">
        <v>11406</v>
      </c>
      <c r="K8465" t="s">
        <v>15808</v>
      </c>
      <c r="L8465">
        <f>HYPERLINK("https://www2.assemblee-nationale.fr/sycomore/fiche/(num_dept)/3276", "3276")</f>
        <v>0</v>
      </c>
      <c r="N8465">
        <f>HYPERLINK("https://www.wikidata.org/wiki/Q3265516", "Q3265516")</f>
        <v>0</v>
      </c>
      <c r="O8465" t="s">
        <v>19963</v>
      </c>
      <c r="P8465" t="s">
        <v>20517</v>
      </c>
      <c r="Q8465" t="s">
        <v>20935</v>
      </c>
      <c r="R8465" t="s">
        <v>421</v>
      </c>
      <c r="S8465">
        <v>1465</v>
      </c>
    </row>
    <row r="8466" spans="1:19">
      <c r="A8466" t="s">
        <v>31</v>
      </c>
      <c r="B8466" t="s">
        <v>148</v>
      </c>
      <c r="C8466" t="s">
        <v>163</v>
      </c>
      <c r="D8466" t="s">
        <v>292</v>
      </c>
      <c r="E8466" t="s">
        <v>421</v>
      </c>
      <c r="F8466">
        <f>HYPERLINK("https://www.wikidata.org/wiki/Q33323183", "Q33323183")</f>
        <v>0</v>
      </c>
      <c r="G8466" t="s">
        <v>681</v>
      </c>
      <c r="H8466" t="s">
        <v>5440</v>
      </c>
      <c r="I8466" t="s">
        <v>9478</v>
      </c>
      <c r="J8466" t="s">
        <v>11431</v>
      </c>
      <c r="K8466" t="s">
        <v>15832</v>
      </c>
      <c r="L8466">
        <f>HYPERLINK("https://www2.assemblee-nationale.fr/sycomore/fiche/(num_dept)/3794", "3794")</f>
        <v>0</v>
      </c>
      <c r="M8466">
        <f>HYPERLINK("https://www.senat.fr/senateur-3eme-republique/hennessy_james0392r3.html", "hennessy_james0392r3")</f>
        <v>0</v>
      </c>
      <c r="N8466">
        <f>HYPERLINK("https://www.wikidata.org/wiki/Q3161145", "Q3161145")</f>
        <v>0</v>
      </c>
      <c r="O8466" t="s">
        <v>20031</v>
      </c>
      <c r="Q8466" t="s">
        <v>20936</v>
      </c>
      <c r="R8466" t="s">
        <v>421</v>
      </c>
      <c r="S8466">
        <v>1423</v>
      </c>
    </row>
    <row r="8467" spans="1:19">
      <c r="A8467" t="s">
        <v>31</v>
      </c>
      <c r="B8467" t="s">
        <v>148</v>
      </c>
      <c r="C8467" t="s">
        <v>163</v>
      </c>
      <c r="D8467" t="s">
        <v>292</v>
      </c>
      <c r="E8467" t="s">
        <v>421</v>
      </c>
      <c r="F8467">
        <f>HYPERLINK("https://www.wikidata.org/wiki/Q33323183", "Q33323183")</f>
        <v>0</v>
      </c>
      <c r="G8467" t="s">
        <v>4214</v>
      </c>
      <c r="H8467" t="s">
        <v>8399</v>
      </c>
      <c r="I8467" t="s">
        <v>11163</v>
      </c>
      <c r="J8467" t="s">
        <v>14725</v>
      </c>
      <c r="K8467" t="s">
        <v>19068</v>
      </c>
      <c r="L8467">
        <f>HYPERLINK("https://www2.assemblee-nationale.fr/sycomore/fiche/(num_dept)/2867", "2867")</f>
        <v>0</v>
      </c>
      <c r="N8467">
        <f>HYPERLINK("https://www.wikidata.org/wiki/Q16025677", "Q16025677")</f>
        <v>0</v>
      </c>
      <c r="O8467" t="s">
        <v>20044</v>
      </c>
      <c r="P8467" t="s">
        <v>20489</v>
      </c>
      <c r="Q8467" t="s">
        <v>20937</v>
      </c>
      <c r="R8467" t="s">
        <v>19068</v>
      </c>
      <c r="S8467">
        <v>343</v>
      </c>
    </row>
    <row r="8468" spans="1:19">
      <c r="A8468" t="s">
        <v>31</v>
      </c>
      <c r="B8468" t="s">
        <v>148</v>
      </c>
      <c r="C8468" t="s">
        <v>163</v>
      </c>
      <c r="D8468" t="s">
        <v>292</v>
      </c>
      <c r="E8468" t="s">
        <v>421</v>
      </c>
      <c r="F8468">
        <f>HYPERLINK("https://www.wikidata.org/wiki/Q33323183", "Q33323183")</f>
        <v>0</v>
      </c>
      <c r="G8468" t="s">
        <v>704</v>
      </c>
      <c r="H8468" t="s">
        <v>5462</v>
      </c>
      <c r="I8468" t="s">
        <v>9488</v>
      </c>
      <c r="J8468" t="s">
        <v>11454</v>
      </c>
      <c r="K8468" t="s">
        <v>15855</v>
      </c>
      <c r="L8468">
        <f>HYPERLINK("https://www2.assemblee-nationale.fr/sycomore/fiche/(num_dept)/4224", "4224")</f>
        <v>0</v>
      </c>
      <c r="N8468">
        <f>HYPERLINK("https://www.wikidata.org/wiki/Q16025911", "Q16025911")</f>
        <v>0</v>
      </c>
      <c r="O8468" t="s">
        <v>19972</v>
      </c>
      <c r="P8468" t="s">
        <v>20401</v>
      </c>
      <c r="Q8468" t="s">
        <v>20938</v>
      </c>
      <c r="R8468" t="s">
        <v>421</v>
      </c>
      <c r="S8468">
        <v>1402</v>
      </c>
    </row>
    <row r="8469" spans="1:19">
      <c r="A8469" t="s">
        <v>31</v>
      </c>
      <c r="B8469" t="s">
        <v>148</v>
      </c>
      <c r="C8469" t="s">
        <v>163</v>
      </c>
      <c r="D8469" t="s">
        <v>292</v>
      </c>
      <c r="E8469" t="s">
        <v>421</v>
      </c>
      <c r="F8469">
        <f>HYPERLINK("https://www.wikidata.org/wiki/Q33323183", "Q33323183")</f>
        <v>0</v>
      </c>
      <c r="G8469" t="s">
        <v>3900</v>
      </c>
      <c r="H8469" t="s">
        <v>8160</v>
      </c>
      <c r="I8469" t="s">
        <v>11020</v>
      </c>
      <c r="J8469" t="s">
        <v>14457</v>
      </c>
      <c r="K8469" t="s">
        <v>18807</v>
      </c>
      <c r="L8469">
        <f>HYPERLINK("https://www2.assemblee-nationale.fr/sycomore/fiche/(num_dept)/1502", "1502")</f>
        <v>0</v>
      </c>
      <c r="N8469">
        <f>HYPERLINK("https://www.wikidata.org/wiki/Q2910117", "Q2910117")</f>
        <v>0</v>
      </c>
      <c r="O8469" t="s">
        <v>20033</v>
      </c>
      <c r="P8469" t="s">
        <v>20495</v>
      </c>
      <c r="Q8469" t="s">
        <v>20939</v>
      </c>
      <c r="R8469" t="s">
        <v>421</v>
      </c>
      <c r="S8469">
        <v>1339</v>
      </c>
    </row>
    <row r="8470" spans="1:19">
      <c r="A8470" t="s">
        <v>31</v>
      </c>
      <c r="B8470" t="s">
        <v>148</v>
      </c>
      <c r="C8470" t="s">
        <v>163</v>
      </c>
      <c r="D8470" t="s">
        <v>292</v>
      </c>
      <c r="E8470" t="s">
        <v>421</v>
      </c>
      <c r="F8470">
        <f>HYPERLINK("https://www.wikidata.org/wiki/Q33323183", "Q33323183")</f>
        <v>0</v>
      </c>
      <c r="G8470" t="s">
        <v>519</v>
      </c>
      <c r="H8470" t="s">
        <v>5283</v>
      </c>
      <c r="I8470" t="s">
        <v>9387</v>
      </c>
      <c r="J8470" t="s">
        <v>11271</v>
      </c>
      <c r="K8470" t="s">
        <v>15671</v>
      </c>
      <c r="L8470">
        <f>HYPERLINK("https://www2.assemblee-nationale.fr/sycomore/fiche/(num_dept)/548", "548")</f>
        <v>0</v>
      </c>
      <c r="N8470">
        <f>HYPERLINK("https://www.wikidata.org/wiki/Q16025560", "Q16025560")</f>
        <v>0</v>
      </c>
      <c r="O8470" t="s">
        <v>19974</v>
      </c>
      <c r="P8470" t="s">
        <v>20489</v>
      </c>
      <c r="Q8470" t="s">
        <v>20940</v>
      </c>
      <c r="R8470" t="s">
        <v>421</v>
      </c>
      <c r="S8470">
        <v>1318</v>
      </c>
    </row>
    <row r="8471" spans="1:19">
      <c r="A8471" t="s">
        <v>31</v>
      </c>
      <c r="B8471" t="s">
        <v>148</v>
      </c>
      <c r="C8471" t="s">
        <v>163</v>
      </c>
      <c r="D8471" t="s">
        <v>292</v>
      </c>
      <c r="E8471" t="s">
        <v>421</v>
      </c>
      <c r="F8471">
        <f>HYPERLINK("https://www.wikidata.org/wiki/Q33323183", "Q33323183")</f>
        <v>0</v>
      </c>
      <c r="G8471" t="s">
        <v>4215</v>
      </c>
      <c r="H8471" t="s">
        <v>8400</v>
      </c>
      <c r="I8471" t="s">
        <v>6495</v>
      </c>
      <c r="J8471" t="s">
        <v>13981</v>
      </c>
      <c r="K8471" t="s">
        <v>19069</v>
      </c>
      <c r="L8471">
        <f>HYPERLINK("https://www2.assemblee-nationale.fr/sycomore/fiche/(num_dept)/3363", "3363")</f>
        <v>0</v>
      </c>
      <c r="N8471">
        <f>HYPERLINK("https://www.wikidata.org/wiki/Q8325356", "Q8325356")</f>
        <v>0</v>
      </c>
      <c r="O8471" t="s">
        <v>20002</v>
      </c>
      <c r="P8471" t="s">
        <v>20489</v>
      </c>
      <c r="Q8471" t="s">
        <v>20941</v>
      </c>
      <c r="R8471" t="s">
        <v>421</v>
      </c>
      <c r="S8471">
        <v>1311</v>
      </c>
    </row>
    <row r="8472" spans="1:19">
      <c r="A8472" t="s">
        <v>31</v>
      </c>
      <c r="B8472" t="s">
        <v>148</v>
      </c>
      <c r="C8472" t="s">
        <v>163</v>
      </c>
      <c r="D8472" t="s">
        <v>292</v>
      </c>
      <c r="E8472" t="s">
        <v>421</v>
      </c>
      <c r="F8472">
        <f>HYPERLINK("https://www.wikidata.org/wiki/Q33323183", "Q33323183")</f>
        <v>0</v>
      </c>
      <c r="G8472" t="s">
        <v>831</v>
      </c>
      <c r="H8472" t="s">
        <v>5588</v>
      </c>
      <c r="I8472" t="s">
        <v>9542</v>
      </c>
      <c r="J8472" t="s">
        <v>11578</v>
      </c>
      <c r="K8472" t="s">
        <v>15980</v>
      </c>
      <c r="L8472">
        <f>HYPERLINK("https://www2.assemblee-nationale.fr/sycomore/fiche/(num_dept)/7421", "7421")</f>
        <v>0</v>
      </c>
      <c r="N8472">
        <f>HYPERLINK("https://www.wikidata.org/wiki/Q2965729", "Q2965729")</f>
        <v>0</v>
      </c>
      <c r="O8472" t="s">
        <v>19984</v>
      </c>
      <c r="P8472" t="s">
        <v>20409</v>
      </c>
      <c r="Q8472" t="s">
        <v>20942</v>
      </c>
      <c r="R8472" t="s">
        <v>421</v>
      </c>
      <c r="S8472">
        <v>1297</v>
      </c>
    </row>
    <row r="8473" spans="1:19">
      <c r="A8473" t="s">
        <v>31</v>
      </c>
      <c r="B8473" t="s">
        <v>148</v>
      </c>
      <c r="C8473" t="s">
        <v>163</v>
      </c>
      <c r="D8473" t="s">
        <v>292</v>
      </c>
      <c r="E8473" t="s">
        <v>421</v>
      </c>
      <c r="F8473">
        <f>HYPERLINK("https://www.wikidata.org/wiki/Q33323183", "Q33323183")</f>
        <v>0</v>
      </c>
      <c r="G8473" t="s">
        <v>502</v>
      </c>
      <c r="H8473" t="s">
        <v>5267</v>
      </c>
      <c r="I8473" t="s">
        <v>9373</v>
      </c>
      <c r="J8473" t="s">
        <v>11254</v>
      </c>
      <c r="K8473" t="s">
        <v>15654</v>
      </c>
      <c r="L8473">
        <f>HYPERLINK("https://www2.assemblee-nationale.fr/sycomore/fiche/(num_dept)/180", "180")</f>
        <v>0</v>
      </c>
      <c r="N8473">
        <f>HYPERLINK("https://www.wikidata.org/wiki/Q2871524", "Q2871524")</f>
        <v>0</v>
      </c>
      <c r="O8473" t="s">
        <v>19963</v>
      </c>
      <c r="P8473" t="s">
        <v>20517</v>
      </c>
      <c r="Q8473" t="s">
        <v>20943</v>
      </c>
      <c r="R8473" t="s">
        <v>421</v>
      </c>
      <c r="S8473">
        <v>1220</v>
      </c>
    </row>
    <row r="8474" spans="1:19">
      <c r="A8474" t="s">
        <v>31</v>
      </c>
      <c r="B8474" t="s">
        <v>148</v>
      </c>
      <c r="C8474" t="s">
        <v>163</v>
      </c>
      <c r="D8474" t="s">
        <v>292</v>
      </c>
      <c r="E8474" t="s">
        <v>421</v>
      </c>
      <c r="F8474">
        <f>HYPERLINK("https://www.wikidata.org/wiki/Q33323183", "Q33323183")</f>
        <v>0</v>
      </c>
      <c r="G8474" t="s">
        <v>1080</v>
      </c>
      <c r="H8474" t="s">
        <v>5824</v>
      </c>
      <c r="I8474" t="s">
        <v>6860</v>
      </c>
      <c r="J8474" t="s">
        <v>11816</v>
      </c>
      <c r="K8474" t="s">
        <v>16217</v>
      </c>
      <c r="L8474">
        <f>HYPERLINK("https://www2.assemblee-nationale.fr/sycomore/fiche/(num_dept)/7805", "7805")</f>
        <v>0</v>
      </c>
      <c r="N8474">
        <f>HYPERLINK("https://www.wikidata.org/wiki/Q3385946", "Q3385946")</f>
        <v>0</v>
      </c>
      <c r="O8474" t="s">
        <v>7411</v>
      </c>
      <c r="P8474" t="s">
        <v>20517</v>
      </c>
      <c r="Q8474" t="s">
        <v>20944</v>
      </c>
      <c r="R8474" t="s">
        <v>421</v>
      </c>
      <c r="S8474">
        <v>1185</v>
      </c>
    </row>
    <row r="8475" spans="1:19">
      <c r="A8475" t="s">
        <v>31</v>
      </c>
      <c r="B8475" t="s">
        <v>148</v>
      </c>
      <c r="C8475" t="s">
        <v>163</v>
      </c>
      <c r="D8475" t="s">
        <v>292</v>
      </c>
      <c r="E8475" t="s">
        <v>421</v>
      </c>
      <c r="F8475">
        <f>HYPERLINK("https://www.wikidata.org/wiki/Q33323183", "Q33323183")</f>
        <v>0</v>
      </c>
      <c r="G8475" t="s">
        <v>591</v>
      </c>
      <c r="H8475" t="s">
        <v>5352</v>
      </c>
      <c r="I8475" t="s">
        <v>9440</v>
      </c>
      <c r="J8475" t="s">
        <v>11342</v>
      </c>
      <c r="K8475" t="s">
        <v>15743</v>
      </c>
      <c r="L8475">
        <f>HYPERLINK("https://www2.assemblee-nationale.fr/sycomore/fiche/(num_dept)/2013", "2013")</f>
        <v>0</v>
      </c>
      <c r="N8475">
        <f>HYPERLINK("https://www.wikidata.org/wiki/Q8332247", "Q8332247")</f>
        <v>0</v>
      </c>
      <c r="O8475" t="s">
        <v>20015</v>
      </c>
      <c r="P8475" t="s">
        <v>20489</v>
      </c>
      <c r="Q8475" t="s">
        <v>20945</v>
      </c>
      <c r="R8475" t="s">
        <v>421</v>
      </c>
      <c r="S8475">
        <v>1164</v>
      </c>
    </row>
    <row r="8476" spans="1:19">
      <c r="A8476" t="s">
        <v>31</v>
      </c>
      <c r="B8476" t="s">
        <v>148</v>
      </c>
      <c r="C8476" t="s">
        <v>163</v>
      </c>
      <c r="D8476" t="s">
        <v>292</v>
      </c>
      <c r="E8476" t="s">
        <v>421</v>
      </c>
      <c r="F8476">
        <f>HYPERLINK("https://www.wikidata.org/wiki/Q33323183", "Q33323183")</f>
        <v>0</v>
      </c>
      <c r="G8476" t="s">
        <v>606</v>
      </c>
      <c r="H8476" t="s">
        <v>5366</v>
      </c>
      <c r="I8476" t="s">
        <v>9449</v>
      </c>
      <c r="J8476" t="s">
        <v>11357</v>
      </c>
      <c r="K8476" t="s">
        <v>15758</v>
      </c>
      <c r="L8476">
        <f>HYPERLINK("https://www2.assemblee-nationale.fr/sycomore/fiche/(num_dept)/2254", "2254")</f>
        <v>0</v>
      </c>
      <c r="M8476">
        <f>HYPERLINK("https://www.senat.fr/senateur-3eme-republique/delahaye_jules1154r3.html", "delahaye_jules1154r3")</f>
        <v>0</v>
      </c>
      <c r="N8476">
        <f>HYPERLINK("https://www.wikidata.org/wiki/Q3188522", "Q3188522")</f>
        <v>0</v>
      </c>
      <c r="O8476" t="s">
        <v>19980</v>
      </c>
      <c r="P8476" t="s">
        <v>20409</v>
      </c>
      <c r="Q8476" t="s">
        <v>20946</v>
      </c>
      <c r="R8476" t="s">
        <v>421</v>
      </c>
      <c r="S8476">
        <v>1129</v>
      </c>
    </row>
    <row r="8477" spans="1:19">
      <c r="A8477" t="s">
        <v>31</v>
      </c>
      <c r="B8477" t="s">
        <v>148</v>
      </c>
      <c r="C8477" t="s">
        <v>163</v>
      </c>
      <c r="D8477" t="s">
        <v>292</v>
      </c>
      <c r="E8477" t="s">
        <v>421</v>
      </c>
      <c r="F8477">
        <f>HYPERLINK("https://www.wikidata.org/wiki/Q33323183", "Q33323183")</f>
        <v>0</v>
      </c>
      <c r="G8477" t="s">
        <v>1494</v>
      </c>
      <c r="H8477" t="s">
        <v>6192</v>
      </c>
      <c r="I8477" t="s">
        <v>9612</v>
      </c>
      <c r="J8477" t="s">
        <v>12212</v>
      </c>
      <c r="K8477" t="s">
        <v>16618</v>
      </c>
      <c r="L8477">
        <f>HYPERLINK("https://www2.assemblee-nationale.fr/sycomore/fiche/(num_dept)/3899", "3899")</f>
        <v>0</v>
      </c>
      <c r="N8477">
        <f>HYPERLINK("https://www.wikidata.org/wiki/Q8338107", "Q8338107")</f>
        <v>0</v>
      </c>
      <c r="O8477" t="s">
        <v>20015</v>
      </c>
      <c r="P8477" t="s">
        <v>20457</v>
      </c>
      <c r="Q8477" t="s">
        <v>20947</v>
      </c>
      <c r="R8477" t="s">
        <v>421</v>
      </c>
      <c r="S8477">
        <v>1059</v>
      </c>
    </row>
    <row r="8478" spans="1:19">
      <c r="A8478" t="s">
        <v>31</v>
      </c>
      <c r="B8478" t="s">
        <v>148</v>
      </c>
      <c r="C8478" t="s">
        <v>163</v>
      </c>
      <c r="D8478" t="s">
        <v>292</v>
      </c>
      <c r="E8478" t="s">
        <v>421</v>
      </c>
      <c r="F8478">
        <f>HYPERLINK("https://www.wikidata.org/wiki/Q33323183", "Q33323183")</f>
        <v>0</v>
      </c>
      <c r="G8478" t="s">
        <v>694</v>
      </c>
      <c r="H8478" t="s">
        <v>5452</v>
      </c>
      <c r="I8478" t="s">
        <v>9483</v>
      </c>
      <c r="J8478" t="s">
        <v>11444</v>
      </c>
      <c r="K8478" t="s">
        <v>15845</v>
      </c>
      <c r="L8478">
        <f>HYPERLINK("https://www2.assemblee-nationale.fr/sycomore/fiche/(num_dept)/4086", "4086")</f>
        <v>0</v>
      </c>
      <c r="M8478">
        <f>HYPERLINK("https://www.senat.fr/senateur-3eme-republique/judet_victor0628r3.html", "judet_victor0628r3")</f>
        <v>0</v>
      </c>
      <c r="N8478">
        <f>HYPERLINK("https://www.wikidata.org/wiki/Q2398706", "Q2398706")</f>
        <v>0</v>
      </c>
      <c r="O8478" t="s">
        <v>19979</v>
      </c>
      <c r="P8478" t="s">
        <v>20489</v>
      </c>
      <c r="Q8478" t="s">
        <v>20947</v>
      </c>
      <c r="R8478" t="s">
        <v>421</v>
      </c>
      <c r="S8478">
        <v>1059</v>
      </c>
    </row>
    <row r="8479" spans="1:19">
      <c r="A8479" t="s">
        <v>31</v>
      </c>
      <c r="B8479" t="s">
        <v>148</v>
      </c>
      <c r="C8479" t="s">
        <v>163</v>
      </c>
      <c r="D8479" t="s">
        <v>292</v>
      </c>
      <c r="E8479" t="s">
        <v>421</v>
      </c>
      <c r="F8479">
        <f>HYPERLINK("https://www.wikidata.org/wiki/Q33323183", "Q33323183")</f>
        <v>0</v>
      </c>
      <c r="G8479" t="s">
        <v>1345</v>
      </c>
      <c r="H8479" t="s">
        <v>6063</v>
      </c>
      <c r="I8479" t="s">
        <v>5528</v>
      </c>
      <c r="J8479" t="s">
        <v>12072</v>
      </c>
      <c r="K8479" t="s">
        <v>16474</v>
      </c>
      <c r="L8479">
        <f>HYPERLINK("https://www2.assemblee-nationale.fr/sycomore/fiche/(num_dept)/185", "185")</f>
        <v>0</v>
      </c>
      <c r="N8479">
        <f>HYPERLINK("https://www.wikidata.org/wiki/Q3270682", "Q3270682")</f>
        <v>0</v>
      </c>
      <c r="O8479" t="s">
        <v>20044</v>
      </c>
      <c r="Q8479" t="s">
        <v>20948</v>
      </c>
      <c r="R8479" t="s">
        <v>21640</v>
      </c>
      <c r="S8479">
        <v>103</v>
      </c>
    </row>
    <row r="8480" spans="1:19">
      <c r="A8480" t="s">
        <v>31</v>
      </c>
      <c r="B8480" t="s">
        <v>148</v>
      </c>
      <c r="C8480" t="s">
        <v>163</v>
      </c>
      <c r="D8480" t="s">
        <v>292</v>
      </c>
      <c r="E8480" t="s">
        <v>421</v>
      </c>
      <c r="F8480">
        <f>HYPERLINK("https://www.wikidata.org/wiki/Q33323183", "Q33323183")</f>
        <v>0</v>
      </c>
      <c r="G8480" t="s">
        <v>735</v>
      </c>
      <c r="H8480" t="s">
        <v>5493</v>
      </c>
      <c r="I8480" t="s">
        <v>9426</v>
      </c>
      <c r="J8480" t="s">
        <v>11484</v>
      </c>
      <c r="K8480" t="s">
        <v>15886</v>
      </c>
      <c r="L8480">
        <f>HYPERLINK("https://www2.assemblee-nationale.fr/sycomore/fiche/(num_dept)/5355", "5355")</f>
        <v>0</v>
      </c>
      <c r="N8480">
        <f>HYPERLINK("https://www.wikidata.org/wiki/Q16026122", "Q16026122")</f>
        <v>0</v>
      </c>
      <c r="O8480" t="s">
        <v>20020</v>
      </c>
      <c r="P8480" t="s">
        <v>20489</v>
      </c>
      <c r="Q8480" t="s">
        <v>20948</v>
      </c>
      <c r="R8480" t="s">
        <v>421</v>
      </c>
      <c r="S8480">
        <v>989</v>
      </c>
    </row>
    <row r="8481" spans="1:19">
      <c r="A8481" t="s">
        <v>31</v>
      </c>
      <c r="B8481" t="s">
        <v>148</v>
      </c>
      <c r="C8481" t="s">
        <v>163</v>
      </c>
      <c r="D8481" t="s">
        <v>292</v>
      </c>
      <c r="E8481" t="s">
        <v>421</v>
      </c>
      <c r="F8481">
        <f>HYPERLINK("https://www.wikidata.org/wiki/Q33323183", "Q33323183")</f>
        <v>0</v>
      </c>
      <c r="G8481" t="s">
        <v>797</v>
      </c>
      <c r="H8481" t="s">
        <v>5554</v>
      </c>
      <c r="I8481" t="s">
        <v>9528</v>
      </c>
      <c r="J8481" t="s">
        <v>11544</v>
      </c>
      <c r="K8481" t="s">
        <v>15948</v>
      </c>
      <c r="L8481">
        <f>HYPERLINK("https://www2.assemblee-nationale.fr/sycomore/fiche/(num_dept)/6578", "6578")</f>
        <v>0</v>
      </c>
      <c r="N8481">
        <f>HYPERLINK("https://www.wikidata.org/wiki/Q16026388", "Q16026388")</f>
        <v>0</v>
      </c>
      <c r="O8481" t="s">
        <v>20036</v>
      </c>
      <c r="P8481" t="s">
        <v>20401</v>
      </c>
      <c r="Q8481" t="s">
        <v>20948</v>
      </c>
      <c r="R8481" t="s">
        <v>421</v>
      </c>
      <c r="S8481">
        <v>989</v>
      </c>
    </row>
    <row r="8482" spans="1:19">
      <c r="A8482" t="s">
        <v>31</v>
      </c>
      <c r="B8482" t="s">
        <v>148</v>
      </c>
      <c r="C8482" t="s">
        <v>163</v>
      </c>
      <c r="D8482" t="s">
        <v>292</v>
      </c>
      <c r="E8482" t="s">
        <v>421</v>
      </c>
      <c r="F8482">
        <f>HYPERLINK("https://www.wikidata.org/wiki/Q33323183", "Q33323183")</f>
        <v>0</v>
      </c>
      <c r="G8482" t="s">
        <v>4216</v>
      </c>
      <c r="H8482" t="s">
        <v>8401</v>
      </c>
      <c r="I8482" t="s">
        <v>6501</v>
      </c>
      <c r="J8482" t="s">
        <v>14726</v>
      </c>
      <c r="K8482" t="s">
        <v>19070</v>
      </c>
      <c r="L8482">
        <f>HYPERLINK("https://www2.assemblee-nationale.fr/sycomore/fiche/(num_dept)/7429", "7429")</f>
        <v>0</v>
      </c>
      <c r="N8482">
        <f>HYPERLINK("https://www.wikidata.org/wiki/Q16026603", "Q16026603")</f>
        <v>0</v>
      </c>
      <c r="O8482" t="s">
        <v>20005</v>
      </c>
      <c r="P8482" t="s">
        <v>20401</v>
      </c>
      <c r="Q8482" t="s">
        <v>20948</v>
      </c>
      <c r="R8482" t="s">
        <v>421</v>
      </c>
      <c r="S8482">
        <v>989</v>
      </c>
    </row>
    <row r="8483" spans="1:19">
      <c r="A8483" t="s">
        <v>31</v>
      </c>
      <c r="B8483" t="s">
        <v>148</v>
      </c>
      <c r="C8483" t="s">
        <v>163</v>
      </c>
      <c r="D8483" t="s">
        <v>292</v>
      </c>
      <c r="E8483" t="s">
        <v>421</v>
      </c>
      <c r="F8483">
        <f>HYPERLINK("https://www.wikidata.org/wiki/Q33323183", "Q33323183")</f>
        <v>0</v>
      </c>
      <c r="G8483" t="s">
        <v>839</v>
      </c>
      <c r="H8483" t="s">
        <v>5596</v>
      </c>
      <c r="I8483" t="s">
        <v>9407</v>
      </c>
      <c r="J8483" t="s">
        <v>11586</v>
      </c>
      <c r="K8483" t="s">
        <v>15988</v>
      </c>
      <c r="L8483">
        <f>HYPERLINK("https://www2.assemblee-nationale.fr/sycomore/fiche/(num_dept)/7553", "7553")</f>
        <v>0</v>
      </c>
      <c r="N8483">
        <f>HYPERLINK("https://www.wikidata.org/wiki/Q3185225", "Q3185225")</f>
        <v>0</v>
      </c>
      <c r="O8483" t="s">
        <v>20009</v>
      </c>
      <c r="P8483" t="s">
        <v>20402</v>
      </c>
      <c r="Q8483" t="s">
        <v>20949</v>
      </c>
      <c r="R8483" t="s">
        <v>421</v>
      </c>
      <c r="S8483">
        <v>933</v>
      </c>
    </row>
    <row r="8484" spans="1:19">
      <c r="A8484" t="s">
        <v>31</v>
      </c>
      <c r="B8484" t="s">
        <v>148</v>
      </c>
      <c r="C8484" t="s">
        <v>163</v>
      </c>
      <c r="D8484" t="s">
        <v>292</v>
      </c>
      <c r="E8484" t="s">
        <v>421</v>
      </c>
      <c r="F8484">
        <f>HYPERLINK("https://www.wikidata.org/wiki/Q33323183", "Q33323183")</f>
        <v>0</v>
      </c>
      <c r="G8484" t="s">
        <v>700</v>
      </c>
      <c r="H8484" t="s">
        <v>5458</v>
      </c>
      <c r="I8484" t="s">
        <v>9486</v>
      </c>
      <c r="J8484" t="s">
        <v>11450</v>
      </c>
      <c r="K8484" t="s">
        <v>15851</v>
      </c>
      <c r="L8484">
        <f>HYPERLINK("https://www2.assemblee-nationale.fr/sycomore/fiche/(num_dept)/4177", "4177")</f>
        <v>0</v>
      </c>
      <c r="N8484">
        <f>HYPERLINK("https://www.wikidata.org/wiki/Q3132286", "Q3132286")</f>
        <v>0</v>
      </c>
      <c r="O8484" t="s">
        <v>20023</v>
      </c>
      <c r="P8484" t="s">
        <v>20409</v>
      </c>
      <c r="Q8484" t="s">
        <v>20950</v>
      </c>
      <c r="R8484" t="s">
        <v>421</v>
      </c>
      <c r="S8484">
        <v>919</v>
      </c>
    </row>
    <row r="8485" spans="1:19">
      <c r="A8485" t="s">
        <v>31</v>
      </c>
      <c r="B8485" t="s">
        <v>148</v>
      </c>
      <c r="C8485" t="s">
        <v>163</v>
      </c>
      <c r="D8485" t="s">
        <v>292</v>
      </c>
      <c r="E8485" t="s">
        <v>421</v>
      </c>
      <c r="F8485">
        <f>HYPERLINK("https://www.wikidata.org/wiki/Q33323183", "Q33323183")</f>
        <v>0</v>
      </c>
      <c r="G8485" t="s">
        <v>521</v>
      </c>
      <c r="H8485" t="s">
        <v>5285</v>
      </c>
      <c r="I8485" t="s">
        <v>9389</v>
      </c>
      <c r="J8485" t="s">
        <v>11273</v>
      </c>
      <c r="K8485" t="s">
        <v>15673</v>
      </c>
      <c r="L8485">
        <f>HYPERLINK("https://www2.assemblee-nationale.fr/sycomore/fiche/(num_dept)/613", "613")</f>
        <v>0</v>
      </c>
      <c r="M8485">
        <f>HYPERLINK("https://www.senat.fr/senateur-3eme-republique/bender_emile1125r3.html", "bender_emile1125r3")</f>
        <v>0</v>
      </c>
      <c r="N8485">
        <f>HYPERLINK("https://www.wikidata.org/wiki/Q3588335", "Q3588335")</f>
        <v>0</v>
      </c>
      <c r="O8485" t="s">
        <v>19965</v>
      </c>
      <c r="P8485" t="s">
        <v>20489</v>
      </c>
      <c r="Q8485" t="s">
        <v>17550</v>
      </c>
      <c r="R8485" t="s">
        <v>421</v>
      </c>
      <c r="S8485">
        <v>905</v>
      </c>
    </row>
    <row r="8486" spans="1:19">
      <c r="A8486" t="s">
        <v>31</v>
      </c>
      <c r="B8486" t="s">
        <v>148</v>
      </c>
      <c r="C8486" t="s">
        <v>163</v>
      </c>
      <c r="D8486" t="s">
        <v>292</v>
      </c>
      <c r="E8486" t="s">
        <v>421</v>
      </c>
      <c r="F8486">
        <f>HYPERLINK("https://www.wikidata.org/wiki/Q33323183", "Q33323183")</f>
        <v>0</v>
      </c>
      <c r="G8486" t="s">
        <v>530</v>
      </c>
      <c r="H8486" t="s">
        <v>5294</v>
      </c>
      <c r="I8486" t="s">
        <v>6166</v>
      </c>
      <c r="J8486" t="s">
        <v>11282</v>
      </c>
      <c r="K8486" t="s">
        <v>15682</v>
      </c>
      <c r="L8486">
        <f>HYPERLINK("https://www2.assemblee-nationale.fr/sycomore/fiche/(num_dept)/818", "818")</f>
        <v>0</v>
      </c>
      <c r="M8486">
        <f>HYPERLINK("https://www.senat.fr/senateur-3eme-republique/binet_francois0648r3.html", "binet_francois0648r3")</f>
        <v>0</v>
      </c>
      <c r="N8486">
        <f>HYPERLINK("https://www.wikidata.org/wiki/Q15973693", "Q15973693")</f>
        <v>0</v>
      </c>
      <c r="O8486" t="s">
        <v>19979</v>
      </c>
      <c r="P8486" t="s">
        <v>20489</v>
      </c>
      <c r="Q8486" t="s">
        <v>20951</v>
      </c>
      <c r="R8486" t="s">
        <v>421</v>
      </c>
      <c r="S8486">
        <v>870</v>
      </c>
    </row>
    <row r="8487" spans="1:19">
      <c r="A8487" t="s">
        <v>31</v>
      </c>
      <c r="B8487" t="s">
        <v>148</v>
      </c>
      <c r="C8487" t="s">
        <v>163</v>
      </c>
      <c r="D8487" t="s">
        <v>292</v>
      </c>
      <c r="E8487" t="s">
        <v>421</v>
      </c>
      <c r="F8487">
        <f>HYPERLINK("https://www.wikidata.org/wiki/Q33323183", "Q33323183")</f>
        <v>0</v>
      </c>
      <c r="G8487" t="s">
        <v>693</v>
      </c>
      <c r="H8487" t="s">
        <v>5451</v>
      </c>
      <c r="I8487" t="s">
        <v>9482</v>
      </c>
      <c r="J8487" t="s">
        <v>11443</v>
      </c>
      <c r="K8487" t="s">
        <v>15844</v>
      </c>
      <c r="L8487">
        <f>HYPERLINK("https://www2.assemblee-nationale.fr/sycomore/fiche/(num_dept)/4055", "4055")</f>
        <v>0</v>
      </c>
      <c r="N8487">
        <f>HYPERLINK("https://www.wikidata.org/wiki/Q16025876", "Q16025876")</f>
        <v>0</v>
      </c>
      <c r="O8487" t="s">
        <v>20012</v>
      </c>
      <c r="P8487" t="s">
        <v>20489</v>
      </c>
      <c r="Q8487" t="s">
        <v>20952</v>
      </c>
      <c r="R8487" t="s">
        <v>421</v>
      </c>
      <c r="S8487">
        <v>863</v>
      </c>
    </row>
    <row r="8488" spans="1:19">
      <c r="A8488" t="s">
        <v>31</v>
      </c>
      <c r="B8488" t="s">
        <v>148</v>
      </c>
      <c r="C8488" t="s">
        <v>163</v>
      </c>
      <c r="D8488" t="s">
        <v>292</v>
      </c>
      <c r="E8488" t="s">
        <v>421</v>
      </c>
      <c r="F8488">
        <f>HYPERLINK("https://www.wikidata.org/wiki/Q33323183", "Q33323183")</f>
        <v>0</v>
      </c>
      <c r="G8488" t="s">
        <v>882</v>
      </c>
      <c r="H8488" t="s">
        <v>5638</v>
      </c>
      <c r="I8488" t="s">
        <v>9535</v>
      </c>
      <c r="J8488" t="s">
        <v>11628</v>
      </c>
      <c r="K8488" t="s">
        <v>16028</v>
      </c>
      <c r="L8488">
        <f>HYPERLINK("https://www2.assemblee-nationale.fr/sycomore/fiche/(num_dept)/1034", "1034")</f>
        <v>0</v>
      </c>
      <c r="N8488">
        <f>HYPERLINK("https://www.wikidata.org/wiki/Q3189383", "Q3189383")</f>
        <v>0</v>
      </c>
      <c r="O8488" t="s">
        <v>20016</v>
      </c>
      <c r="P8488" t="s">
        <v>20401</v>
      </c>
      <c r="Q8488" t="s">
        <v>20953</v>
      </c>
      <c r="R8488" t="s">
        <v>421</v>
      </c>
      <c r="S8488">
        <v>828</v>
      </c>
    </row>
    <row r="8489" spans="1:19">
      <c r="A8489" t="s">
        <v>31</v>
      </c>
      <c r="B8489" t="s">
        <v>148</v>
      </c>
      <c r="C8489" t="s">
        <v>163</v>
      </c>
      <c r="D8489" t="s">
        <v>292</v>
      </c>
      <c r="E8489" t="s">
        <v>421</v>
      </c>
      <c r="F8489">
        <f>HYPERLINK("https://www.wikidata.org/wiki/Q33323183", "Q33323183")</f>
        <v>0</v>
      </c>
      <c r="G8489" t="s">
        <v>660</v>
      </c>
      <c r="H8489" t="s">
        <v>5419</v>
      </c>
      <c r="I8489" t="s">
        <v>9407</v>
      </c>
      <c r="J8489" t="s">
        <v>11410</v>
      </c>
      <c r="K8489" t="s">
        <v>15812</v>
      </c>
      <c r="L8489">
        <f>HYPERLINK("https://www2.assemblee-nationale.fr/sycomore/fiche/(num_dept)/3395", "3395")</f>
        <v>0</v>
      </c>
      <c r="N8489">
        <f>HYPERLINK("https://www.wikidata.org/wiki/Q16025769", "Q16025769")</f>
        <v>0</v>
      </c>
      <c r="O8489" t="s">
        <v>20016</v>
      </c>
      <c r="P8489" t="s">
        <v>20489</v>
      </c>
      <c r="Q8489" t="s">
        <v>20953</v>
      </c>
      <c r="R8489" t="s">
        <v>421</v>
      </c>
      <c r="S8489">
        <v>828</v>
      </c>
    </row>
    <row r="8490" spans="1:19">
      <c r="A8490" t="s">
        <v>31</v>
      </c>
      <c r="B8490" t="s">
        <v>148</v>
      </c>
      <c r="C8490" t="s">
        <v>163</v>
      </c>
      <c r="D8490" t="s">
        <v>292</v>
      </c>
      <c r="E8490" t="s">
        <v>421</v>
      </c>
      <c r="F8490">
        <f>HYPERLINK("https://www.wikidata.org/wiki/Q33323183", "Q33323183")</f>
        <v>0</v>
      </c>
      <c r="G8490" t="s">
        <v>4217</v>
      </c>
      <c r="H8490" t="s">
        <v>6063</v>
      </c>
      <c r="I8490" t="s">
        <v>11164</v>
      </c>
      <c r="J8490" t="s">
        <v>14727</v>
      </c>
      <c r="K8490" t="s">
        <v>19071</v>
      </c>
      <c r="L8490">
        <f>HYPERLINK("https://www2.assemblee-nationale.fr/sycomore/fiche/(num_dept)/184", "184")</f>
        <v>0</v>
      </c>
      <c r="N8490">
        <f>HYPERLINK("https://www.wikidata.org/wiki/Q15973311", "Q15973311")</f>
        <v>0</v>
      </c>
      <c r="O8490" t="s">
        <v>20044</v>
      </c>
      <c r="P8490" t="s">
        <v>20409</v>
      </c>
      <c r="Q8490" t="s">
        <v>20954</v>
      </c>
      <c r="R8490" t="s">
        <v>421</v>
      </c>
      <c r="S8490">
        <v>821</v>
      </c>
    </row>
    <row r="8491" spans="1:19">
      <c r="A8491" t="s">
        <v>31</v>
      </c>
      <c r="B8491" t="s">
        <v>148</v>
      </c>
      <c r="C8491" t="s">
        <v>163</v>
      </c>
      <c r="D8491" t="s">
        <v>292</v>
      </c>
      <c r="E8491" t="s">
        <v>421</v>
      </c>
      <c r="F8491">
        <f>HYPERLINK("https://www.wikidata.org/wiki/Q33323183", "Q33323183")</f>
        <v>0</v>
      </c>
      <c r="G8491" t="s">
        <v>636</v>
      </c>
      <c r="H8491" t="s">
        <v>5395</v>
      </c>
      <c r="I8491" t="s">
        <v>9401</v>
      </c>
      <c r="J8491" t="s">
        <v>11386</v>
      </c>
      <c r="K8491" t="s">
        <v>15788</v>
      </c>
      <c r="L8491">
        <f>HYPERLINK("https://www2.assemblee-nationale.fr/sycomore/fiche/(num_dept)/2878", "2878")</f>
        <v>0</v>
      </c>
      <c r="N8491">
        <f>HYPERLINK("https://www.wikidata.org/wiki/Q17354514", "Q17354514")</f>
        <v>0</v>
      </c>
      <c r="O8491" t="s">
        <v>20005</v>
      </c>
      <c r="P8491" t="s">
        <v>20489</v>
      </c>
      <c r="Q8491" t="s">
        <v>20955</v>
      </c>
      <c r="R8491" t="s">
        <v>421</v>
      </c>
      <c r="S8491">
        <v>814</v>
      </c>
    </row>
    <row r="8492" spans="1:19">
      <c r="A8492" t="s">
        <v>31</v>
      </c>
      <c r="B8492" t="s">
        <v>148</v>
      </c>
      <c r="C8492" t="s">
        <v>163</v>
      </c>
      <c r="D8492" t="s">
        <v>292</v>
      </c>
      <c r="E8492" t="s">
        <v>421</v>
      </c>
      <c r="F8492">
        <f>HYPERLINK("https://www.wikidata.org/wiki/Q33323183", "Q33323183")</f>
        <v>0</v>
      </c>
      <c r="G8492" t="s">
        <v>746</v>
      </c>
      <c r="H8492" t="s">
        <v>5504</v>
      </c>
      <c r="I8492" t="s">
        <v>6584</v>
      </c>
      <c r="J8492" t="s">
        <v>11495</v>
      </c>
      <c r="K8492" t="s">
        <v>15897</v>
      </c>
      <c r="L8492">
        <f>HYPERLINK("https://www2.assemblee-nationale.fr/sycomore/fiche/(num_dept)/5562", "5562")</f>
        <v>0</v>
      </c>
      <c r="N8492">
        <f>HYPERLINK("https://www.wikidata.org/wiki/Q16026206", "Q16026206")</f>
        <v>0</v>
      </c>
      <c r="O8492" t="s">
        <v>20030</v>
      </c>
      <c r="P8492" t="s">
        <v>20401</v>
      </c>
      <c r="Q8492" t="s">
        <v>20956</v>
      </c>
      <c r="R8492" t="s">
        <v>421</v>
      </c>
      <c r="S8492">
        <v>800</v>
      </c>
    </row>
    <row r="8493" spans="1:19">
      <c r="A8493" t="s">
        <v>31</v>
      </c>
      <c r="B8493" t="s">
        <v>148</v>
      </c>
      <c r="C8493" t="s">
        <v>163</v>
      </c>
      <c r="D8493" t="s">
        <v>292</v>
      </c>
      <c r="E8493" t="s">
        <v>421</v>
      </c>
      <c r="F8493">
        <f>HYPERLINK("https://www.wikidata.org/wiki/Q33323183", "Q33323183")</f>
        <v>0</v>
      </c>
      <c r="G8493" t="s">
        <v>537</v>
      </c>
      <c r="H8493" t="s">
        <v>5301</v>
      </c>
      <c r="I8493" t="s">
        <v>9399</v>
      </c>
      <c r="J8493" t="s">
        <v>11289</v>
      </c>
      <c r="K8493" t="s">
        <v>15689</v>
      </c>
      <c r="L8493">
        <f>HYPERLINK("https://www2.assemblee-nationale.fr/sycomore/fiche/(num_dept)/918", "918")</f>
        <v>0</v>
      </c>
      <c r="M8493">
        <f>HYPERLINK("https://www.senat.fr/senateur-3eme-republique/bollet_donat0013r3.html", "bollet_donat0013r3")</f>
        <v>0</v>
      </c>
      <c r="N8493">
        <f>HYPERLINK("https://www.wikidata.org/wiki/Q3036181", "Q3036181")</f>
        <v>0</v>
      </c>
      <c r="O8493" t="s">
        <v>19986</v>
      </c>
      <c r="P8493" t="s">
        <v>20401</v>
      </c>
      <c r="Q8493" t="s">
        <v>20957</v>
      </c>
      <c r="R8493" t="s">
        <v>421</v>
      </c>
      <c r="S8493">
        <v>779</v>
      </c>
    </row>
    <row r="8494" spans="1:19">
      <c r="A8494" t="s">
        <v>31</v>
      </c>
      <c r="B8494" t="s">
        <v>148</v>
      </c>
      <c r="C8494" t="s">
        <v>163</v>
      </c>
      <c r="D8494" t="s">
        <v>292</v>
      </c>
      <c r="E8494" t="s">
        <v>421</v>
      </c>
      <c r="F8494">
        <f>HYPERLINK("https://www.wikidata.org/wiki/Q33323183", "Q33323183")</f>
        <v>0</v>
      </c>
      <c r="G8494" t="s">
        <v>571</v>
      </c>
      <c r="H8494" t="s">
        <v>5334</v>
      </c>
      <c r="I8494" t="s">
        <v>9424</v>
      </c>
      <c r="J8494" t="s">
        <v>11322</v>
      </c>
      <c r="K8494" t="s">
        <v>15723</v>
      </c>
      <c r="L8494">
        <f>HYPERLINK("https://www2.assemblee-nationale.fr/sycomore/fiche/(num_dept)/1710", "1710")</f>
        <v>0</v>
      </c>
      <c r="N8494">
        <f>HYPERLINK("https://www.wikidata.org/wiki/Q16798442", "Q16798442")</f>
        <v>0</v>
      </c>
      <c r="O8494" t="s">
        <v>19995</v>
      </c>
      <c r="P8494" t="s">
        <v>20401</v>
      </c>
      <c r="Q8494" t="s">
        <v>20958</v>
      </c>
      <c r="R8494" t="s">
        <v>421</v>
      </c>
      <c r="S8494">
        <v>597</v>
      </c>
    </row>
    <row r="8495" spans="1:19">
      <c r="A8495" t="s">
        <v>31</v>
      </c>
      <c r="B8495" t="s">
        <v>148</v>
      </c>
      <c r="C8495" t="s">
        <v>163</v>
      </c>
      <c r="D8495" t="s">
        <v>292</v>
      </c>
      <c r="E8495" t="s">
        <v>421</v>
      </c>
      <c r="F8495">
        <f>HYPERLINK("https://www.wikidata.org/wiki/Q33323183", "Q33323183")</f>
        <v>0</v>
      </c>
      <c r="G8495" t="s">
        <v>593</v>
      </c>
      <c r="H8495" t="s">
        <v>5354</v>
      </c>
      <c r="I8495" t="s">
        <v>9442</v>
      </c>
      <c r="J8495" t="s">
        <v>11344</v>
      </c>
      <c r="K8495" t="s">
        <v>15745</v>
      </c>
      <c r="L8495">
        <f>HYPERLINK("https://www2.assemblee-nationale.fr/sycomore/fiche/(num_dept)/2066", "2066")</f>
        <v>0</v>
      </c>
      <c r="N8495">
        <f>HYPERLINK("https://www.wikidata.org/wiki/Q16025503", "Q16025503")</f>
        <v>0</v>
      </c>
      <c r="O8495" t="s">
        <v>19986</v>
      </c>
      <c r="P8495" t="s">
        <v>20401</v>
      </c>
      <c r="Q8495" t="s">
        <v>20958</v>
      </c>
      <c r="R8495" t="s">
        <v>421</v>
      </c>
      <c r="S8495">
        <v>597</v>
      </c>
    </row>
    <row r="8496" spans="1:19">
      <c r="A8496" t="s">
        <v>31</v>
      </c>
      <c r="B8496" t="s">
        <v>148</v>
      </c>
      <c r="C8496" t="s">
        <v>163</v>
      </c>
      <c r="D8496" t="s">
        <v>292</v>
      </c>
      <c r="E8496" t="s">
        <v>421</v>
      </c>
      <c r="F8496">
        <f>HYPERLINK("https://www.wikidata.org/wiki/Q33323183", "Q33323183")</f>
        <v>0</v>
      </c>
      <c r="G8496" t="s">
        <v>632</v>
      </c>
      <c r="H8496" t="s">
        <v>5391</v>
      </c>
      <c r="I8496" t="s">
        <v>9464</v>
      </c>
      <c r="J8496" t="s">
        <v>11382</v>
      </c>
      <c r="K8496" t="s">
        <v>15784</v>
      </c>
      <c r="L8496">
        <f>HYPERLINK("https://www2.assemblee-nationale.fr/sycomore/fiche/(num_dept)/2819", "2819")</f>
        <v>0</v>
      </c>
      <c r="N8496">
        <f>HYPERLINK("https://www.wikidata.org/wiki/Q16025667", "Q16025667")</f>
        <v>0</v>
      </c>
      <c r="O8496" t="s">
        <v>19987</v>
      </c>
      <c r="P8496" t="s">
        <v>20409</v>
      </c>
      <c r="Q8496" t="s">
        <v>20959</v>
      </c>
      <c r="R8496" t="s">
        <v>421</v>
      </c>
      <c r="S8496">
        <v>564</v>
      </c>
    </row>
    <row r="8497" spans="1:19">
      <c r="A8497" t="s">
        <v>31</v>
      </c>
      <c r="B8497" t="s">
        <v>148</v>
      </c>
      <c r="C8497" t="s">
        <v>163</v>
      </c>
      <c r="D8497" t="s">
        <v>292</v>
      </c>
      <c r="E8497" t="s">
        <v>421</v>
      </c>
      <c r="F8497">
        <f>HYPERLINK("https://www.wikidata.org/wiki/Q33323183", "Q33323183")</f>
        <v>0</v>
      </c>
      <c r="G8497" t="s">
        <v>897</v>
      </c>
      <c r="H8497" t="s">
        <v>5653</v>
      </c>
      <c r="I8497" t="s">
        <v>9581</v>
      </c>
      <c r="J8497" t="s">
        <v>11643</v>
      </c>
      <c r="K8497" t="s">
        <v>15997</v>
      </c>
      <c r="L8497">
        <f>HYPERLINK("https://www2.assemblee-nationale.fr/sycomore/fiche/(num_dept)/1341", "1341")</f>
        <v>0</v>
      </c>
      <c r="N8497">
        <f>HYPERLINK("https://www.wikidata.org/wiki/Q16025423", "Q16025423")</f>
        <v>0</v>
      </c>
      <c r="O8497" t="s">
        <v>19967</v>
      </c>
      <c r="P8497" t="s">
        <v>20515</v>
      </c>
      <c r="Q8497" t="s">
        <v>18369</v>
      </c>
      <c r="R8497" t="s">
        <v>421</v>
      </c>
      <c r="S8497">
        <v>520</v>
      </c>
    </row>
    <row r="8498" spans="1:19">
      <c r="A8498" t="s">
        <v>31</v>
      </c>
      <c r="B8498" t="s">
        <v>148</v>
      </c>
      <c r="C8498" t="s">
        <v>163</v>
      </c>
      <c r="D8498" t="s">
        <v>292</v>
      </c>
      <c r="E8498" t="s">
        <v>421</v>
      </c>
      <c r="F8498">
        <f>HYPERLINK("https://www.wikidata.org/wiki/Q33323183", "Q33323183")</f>
        <v>0</v>
      </c>
      <c r="G8498" t="s">
        <v>941</v>
      </c>
      <c r="H8498" t="s">
        <v>5697</v>
      </c>
      <c r="I8498" t="s">
        <v>6166</v>
      </c>
      <c r="J8498" t="s">
        <v>11682</v>
      </c>
      <c r="K8498" t="s">
        <v>16083</v>
      </c>
      <c r="L8498">
        <f>HYPERLINK("https://www2.assemblee-nationale.fr/sycomore/fiche/(num_dept)/2640", "2640")</f>
        <v>0</v>
      </c>
      <c r="N8498">
        <f>HYPERLINK("https://www.wikidata.org/wiki/Q16025618", "Q16025618")</f>
        <v>0</v>
      </c>
      <c r="O8498" t="s">
        <v>19994</v>
      </c>
      <c r="P8498" t="s">
        <v>20485</v>
      </c>
      <c r="Q8498" t="s">
        <v>18369</v>
      </c>
      <c r="R8498" t="s">
        <v>421</v>
      </c>
      <c r="S8498">
        <v>520</v>
      </c>
    </row>
    <row r="8499" spans="1:19">
      <c r="A8499" t="s">
        <v>31</v>
      </c>
      <c r="B8499" t="s">
        <v>148</v>
      </c>
      <c r="C8499" t="s">
        <v>163</v>
      </c>
      <c r="D8499" t="s">
        <v>292</v>
      </c>
      <c r="E8499" t="s">
        <v>421</v>
      </c>
      <c r="F8499">
        <f>HYPERLINK("https://www.wikidata.org/wiki/Q33323183", "Q33323183")</f>
        <v>0</v>
      </c>
      <c r="G8499" t="s">
        <v>752</v>
      </c>
      <c r="H8499" t="s">
        <v>5510</v>
      </c>
      <c r="I8499" t="s">
        <v>9407</v>
      </c>
      <c r="J8499" t="s">
        <v>11500</v>
      </c>
      <c r="K8499" t="s">
        <v>15903</v>
      </c>
      <c r="L8499">
        <f>HYPERLINK("https://www2.assemblee-nationale.fr/sycomore/fiche/(num_dept)/5724", "5724")</f>
        <v>0</v>
      </c>
      <c r="M8499">
        <f>HYPERLINK("https://www.senat.fr/senateur-3eme-republique/paul_boncour_joseph0550r4.html", "paul_boncour_joseph0550r4")</f>
        <v>0</v>
      </c>
      <c r="N8499">
        <f>HYPERLINK("https://www.wikidata.org/wiki/Q285865", "Q285865")</f>
        <v>0</v>
      </c>
      <c r="O8499" t="s">
        <v>20039</v>
      </c>
      <c r="P8499" t="s">
        <v>20485</v>
      </c>
      <c r="Q8499" t="s">
        <v>399</v>
      </c>
      <c r="R8499" t="s">
        <v>421</v>
      </c>
      <c r="S8499">
        <v>513</v>
      </c>
    </row>
    <row r="8500" spans="1:19">
      <c r="A8500" t="s">
        <v>31</v>
      </c>
      <c r="B8500" t="s">
        <v>148</v>
      </c>
      <c r="C8500" t="s">
        <v>163</v>
      </c>
      <c r="D8500" t="s">
        <v>292</v>
      </c>
      <c r="E8500" t="s">
        <v>421</v>
      </c>
      <c r="F8500">
        <f>HYPERLINK("https://www.wikidata.org/wiki/Q33323183", "Q33323183")</f>
        <v>0</v>
      </c>
      <c r="G8500" t="s">
        <v>713</v>
      </c>
      <c r="H8500" t="s">
        <v>5471</v>
      </c>
      <c r="I8500" t="s">
        <v>6495</v>
      </c>
      <c r="J8500" t="s">
        <v>11462</v>
      </c>
      <c r="K8500" t="s">
        <v>15864</v>
      </c>
      <c r="L8500">
        <f>HYPERLINK("https://www2.assemblee-nationale.fr/sycomore/fiche/(num_dept)/4810", "4810")</f>
        <v>0</v>
      </c>
      <c r="N8500">
        <f>HYPERLINK("https://www.wikidata.org/wiki/Q16026009", "Q16026009")</f>
        <v>0</v>
      </c>
      <c r="O8500" t="s">
        <v>20026</v>
      </c>
      <c r="P8500" t="s">
        <v>20489</v>
      </c>
      <c r="Q8500" t="s">
        <v>20960</v>
      </c>
      <c r="R8500" t="s">
        <v>421</v>
      </c>
      <c r="S8500">
        <v>478</v>
      </c>
    </row>
    <row r="8501" spans="1:19">
      <c r="A8501" t="s">
        <v>31</v>
      </c>
      <c r="B8501" t="s">
        <v>148</v>
      </c>
      <c r="C8501" t="s">
        <v>163</v>
      </c>
      <c r="D8501" t="s">
        <v>292</v>
      </c>
      <c r="E8501" t="s">
        <v>421</v>
      </c>
      <c r="F8501">
        <f>HYPERLINK("https://www.wikidata.org/wiki/Q33323183", "Q33323183")</f>
        <v>0</v>
      </c>
      <c r="G8501" t="s">
        <v>4218</v>
      </c>
      <c r="H8501" t="s">
        <v>7100</v>
      </c>
      <c r="I8501" t="s">
        <v>11165</v>
      </c>
      <c r="J8501" t="s">
        <v>14728</v>
      </c>
      <c r="K8501" t="s">
        <v>19072</v>
      </c>
      <c r="L8501">
        <f>HYPERLINK("https://www2.assemblee-nationale.fr/sycomore/fiche/(num_dept)/1879", "1879")</f>
        <v>0</v>
      </c>
      <c r="N8501">
        <f>HYPERLINK("https://www.wikidata.org/wiki/Q3261552", "Q3261552")</f>
        <v>0</v>
      </c>
      <c r="O8501" t="s">
        <v>19977</v>
      </c>
      <c r="P8501" t="s">
        <v>20401</v>
      </c>
      <c r="Q8501" t="s">
        <v>20961</v>
      </c>
      <c r="R8501" t="s">
        <v>421</v>
      </c>
      <c r="S8501">
        <v>464</v>
      </c>
    </row>
    <row r="8502" spans="1:19">
      <c r="A8502" t="s">
        <v>31</v>
      </c>
      <c r="B8502" t="s">
        <v>148</v>
      </c>
      <c r="C8502" t="s">
        <v>163</v>
      </c>
      <c r="D8502" t="s">
        <v>292</v>
      </c>
      <c r="E8502" t="s">
        <v>421</v>
      </c>
      <c r="F8502">
        <f>HYPERLINK("https://www.wikidata.org/wiki/Q33323183", "Q33323183")</f>
        <v>0</v>
      </c>
      <c r="G8502" t="s">
        <v>689</v>
      </c>
      <c r="H8502" t="s">
        <v>5447</v>
      </c>
      <c r="I8502" t="s">
        <v>9388</v>
      </c>
      <c r="J8502" t="s">
        <v>11439</v>
      </c>
      <c r="K8502" t="s">
        <v>15840</v>
      </c>
      <c r="L8502">
        <f>HYPERLINK("https://www2.assemblee-nationale.fr/sycomore/fiche/(num_dept)/3970", "3970")</f>
        <v>0</v>
      </c>
      <c r="M8502">
        <f>HYPERLINK("https://www.senat.fr/senateur-3eme-republique/jacquier_paul1310r3.html", "jacquier_paul1310r3")</f>
        <v>0</v>
      </c>
      <c r="N8502">
        <f>HYPERLINK("https://www.wikidata.org/wiki/Q3371508", "Q3371508")</f>
        <v>0</v>
      </c>
      <c r="O8502" t="s">
        <v>20018</v>
      </c>
      <c r="P8502" t="s">
        <v>20401</v>
      </c>
      <c r="Q8502" t="s">
        <v>20961</v>
      </c>
      <c r="R8502" t="s">
        <v>421</v>
      </c>
      <c r="S8502">
        <v>464</v>
      </c>
    </row>
    <row r="8503" spans="1:19">
      <c r="A8503" t="s">
        <v>31</v>
      </c>
      <c r="B8503" t="s">
        <v>148</v>
      </c>
      <c r="C8503" t="s">
        <v>163</v>
      </c>
      <c r="D8503" t="s">
        <v>292</v>
      </c>
      <c r="E8503" t="s">
        <v>421</v>
      </c>
      <c r="F8503">
        <f>HYPERLINK("https://www.wikidata.org/wiki/Q33323183", "Q33323183")</f>
        <v>0</v>
      </c>
      <c r="G8503" t="s">
        <v>771</v>
      </c>
      <c r="H8503" t="s">
        <v>5529</v>
      </c>
      <c r="I8503" t="s">
        <v>9518</v>
      </c>
      <c r="J8503" t="s">
        <v>11518</v>
      </c>
      <c r="K8503" t="s">
        <v>15922</v>
      </c>
      <c r="L8503">
        <f>HYPERLINK("https://www2.assemblee-nationale.fr/sycomore/fiche/(num_dept)/6086", "6086")</f>
        <v>0</v>
      </c>
      <c r="N8503">
        <f>HYPERLINK("https://www.wikidata.org/wiki/Q2395797", "Q2395797")</f>
        <v>0</v>
      </c>
      <c r="O8503" t="s">
        <v>20022</v>
      </c>
      <c r="Q8503" t="s">
        <v>20961</v>
      </c>
      <c r="R8503" t="s">
        <v>421</v>
      </c>
      <c r="S8503">
        <v>464</v>
      </c>
    </row>
    <row r="8504" spans="1:19">
      <c r="A8504" t="s">
        <v>31</v>
      </c>
      <c r="B8504" t="s">
        <v>148</v>
      </c>
      <c r="C8504" t="s">
        <v>163</v>
      </c>
      <c r="D8504" t="s">
        <v>292</v>
      </c>
      <c r="E8504" t="s">
        <v>421</v>
      </c>
      <c r="F8504">
        <f>HYPERLINK("https://www.wikidata.org/wiki/Q33323183", "Q33323183")</f>
        <v>0</v>
      </c>
      <c r="G8504" t="s">
        <v>821</v>
      </c>
      <c r="H8504" t="s">
        <v>5578</v>
      </c>
      <c r="I8504" t="s">
        <v>9539</v>
      </c>
      <c r="J8504" t="s">
        <v>11568</v>
      </c>
      <c r="K8504" t="s">
        <v>15971</v>
      </c>
      <c r="L8504">
        <f>HYPERLINK("https://www2.assemblee-nationale.fr/sycomore/fiche/(num_dept)/7165", "7165")</f>
        <v>0</v>
      </c>
      <c r="M8504">
        <f>HYPERLINK("https://www.senat.fr/senateur-3eme-republique/trouve_rene1792r3.html", "trouve_rene1792r3")</f>
        <v>0</v>
      </c>
      <c r="N8504">
        <f>HYPERLINK("https://www.wikidata.org/wiki/Q3426717", "Q3426717")</f>
        <v>0</v>
      </c>
      <c r="O8504" t="s">
        <v>19977</v>
      </c>
      <c r="P8504" t="s">
        <v>20401</v>
      </c>
      <c r="Q8504" t="s">
        <v>20961</v>
      </c>
      <c r="R8504" t="s">
        <v>421</v>
      </c>
      <c r="S8504">
        <v>464</v>
      </c>
    </row>
    <row r="8505" spans="1:19">
      <c r="A8505" t="s">
        <v>31</v>
      </c>
      <c r="B8505" t="s">
        <v>148</v>
      </c>
      <c r="C8505" t="s">
        <v>163</v>
      </c>
      <c r="D8505" t="s">
        <v>292</v>
      </c>
      <c r="E8505" t="s">
        <v>421</v>
      </c>
      <c r="F8505">
        <f>HYPERLINK("https://www.wikidata.org/wiki/Q33323183", "Q33323183")</f>
        <v>0</v>
      </c>
      <c r="G8505" t="s">
        <v>842</v>
      </c>
      <c r="H8505" t="s">
        <v>5599</v>
      </c>
      <c r="I8505" t="s">
        <v>9549</v>
      </c>
      <c r="J8505" t="s">
        <v>11589</v>
      </c>
      <c r="K8505" t="s">
        <v>15991</v>
      </c>
      <c r="L8505">
        <f>HYPERLINK("https://www2.assemblee-nationale.fr/sycomore/fiche/(num_dept)/7595", "7595")</f>
        <v>0</v>
      </c>
      <c r="M8505">
        <f>HYPERLINK("https://www.senat.fr/senateur-3eme-republique/le_louedec_jules0811r3.html", "le_louedec_jules0811r3")</f>
        <v>0</v>
      </c>
      <c r="N8505">
        <f>HYPERLINK("https://www.wikidata.org/wiki/Q3188719", "Q3188719")</f>
        <v>0</v>
      </c>
      <c r="O8505" t="s">
        <v>20011</v>
      </c>
      <c r="P8505" t="s">
        <v>20489</v>
      </c>
      <c r="Q8505" t="s">
        <v>17997</v>
      </c>
      <c r="R8505" t="s">
        <v>421</v>
      </c>
      <c r="S8505">
        <v>457</v>
      </c>
    </row>
    <row r="8506" spans="1:19">
      <c r="A8506" t="s">
        <v>31</v>
      </c>
      <c r="B8506" t="s">
        <v>148</v>
      </c>
      <c r="C8506" t="s">
        <v>163</v>
      </c>
      <c r="D8506" t="s">
        <v>292</v>
      </c>
      <c r="E8506" t="s">
        <v>421</v>
      </c>
      <c r="F8506">
        <f>HYPERLINK("https://www.wikidata.org/wiki/Q33323183", "Q33323183")</f>
        <v>0</v>
      </c>
      <c r="G8506" t="s">
        <v>540</v>
      </c>
      <c r="H8506" t="s">
        <v>5304</v>
      </c>
      <c r="I8506" t="s">
        <v>9401</v>
      </c>
      <c r="J8506" t="s">
        <v>11292</v>
      </c>
      <c r="K8506" t="s">
        <v>15692</v>
      </c>
      <c r="L8506">
        <f>HYPERLINK("https://www2.assemblee-nationale.fr/sycomore/fiche/(num_dept)/985", "985")</f>
        <v>0</v>
      </c>
      <c r="M8506">
        <f>HYPERLINK("https://www.senat.fr/senateur-3eme-republique/borrel_antoine1303r3.html", "borrel_antoine1303r3")</f>
        <v>0</v>
      </c>
      <c r="N8506">
        <f>HYPERLINK("https://www.wikidata.org/wiki/Q2853712", "Q2853712")</f>
        <v>0</v>
      </c>
      <c r="O8506" t="s">
        <v>19988</v>
      </c>
      <c r="Q8506" t="s">
        <v>19643</v>
      </c>
      <c r="R8506" t="s">
        <v>421</v>
      </c>
      <c r="S8506">
        <v>450</v>
      </c>
    </row>
    <row r="8507" spans="1:19">
      <c r="A8507" t="s">
        <v>31</v>
      </c>
      <c r="B8507" t="s">
        <v>148</v>
      </c>
      <c r="C8507" t="s">
        <v>163</v>
      </c>
      <c r="D8507" t="s">
        <v>292</v>
      </c>
      <c r="E8507" t="s">
        <v>421</v>
      </c>
      <c r="F8507">
        <f>HYPERLINK("https://www.wikidata.org/wiki/Q33323183", "Q33323183")</f>
        <v>0</v>
      </c>
      <c r="G8507" t="s">
        <v>569</v>
      </c>
      <c r="H8507" t="s">
        <v>5332</v>
      </c>
      <c r="I8507" t="s">
        <v>9422</v>
      </c>
      <c r="J8507" t="s">
        <v>11320</v>
      </c>
      <c r="K8507" t="s">
        <v>15721</v>
      </c>
      <c r="L8507">
        <f>HYPERLINK("https://www2.assemblee-nationale.fr/sycomore/fiche/(num_dept)/1693", "1693")</f>
        <v>0</v>
      </c>
      <c r="M8507">
        <f>HYPERLINK("https://www.senat.fr/senateur-3eme-republique/chassaing_eugene0995r3.html", "chassaing_eugene0995r3")</f>
        <v>0</v>
      </c>
      <c r="N8507">
        <f>HYPERLINK("https://www.wikidata.org/wiki/Q3059770", "Q3059770")</f>
        <v>0</v>
      </c>
      <c r="O8507" t="s">
        <v>20005</v>
      </c>
      <c r="P8507" t="s">
        <v>20489</v>
      </c>
      <c r="Q8507" t="s">
        <v>19643</v>
      </c>
      <c r="R8507" t="s">
        <v>421</v>
      </c>
      <c r="S8507">
        <v>450</v>
      </c>
    </row>
    <row r="8508" spans="1:19">
      <c r="A8508" t="s">
        <v>31</v>
      </c>
      <c r="B8508" t="s">
        <v>148</v>
      </c>
      <c r="C8508" t="s">
        <v>163</v>
      </c>
      <c r="D8508" t="s">
        <v>292</v>
      </c>
      <c r="E8508" t="s">
        <v>421</v>
      </c>
      <c r="F8508">
        <f>HYPERLINK("https://www.wikidata.org/wiki/Q33323183", "Q33323183")</f>
        <v>0</v>
      </c>
      <c r="G8508" t="s">
        <v>691</v>
      </c>
      <c r="H8508" t="s">
        <v>5449</v>
      </c>
      <c r="I8508" t="s">
        <v>9481</v>
      </c>
      <c r="J8508" t="s">
        <v>11441</v>
      </c>
      <c r="K8508" t="s">
        <v>15842</v>
      </c>
      <c r="L8508">
        <f>HYPERLINK("https://www2.assemblee-nationale.fr/sycomore/fiche/(num_dept)/4014", "4014")</f>
        <v>0</v>
      </c>
      <c r="N8508">
        <f>HYPERLINK("https://www.wikidata.org/wiki/Q3172806", "Q3172806")</f>
        <v>0</v>
      </c>
      <c r="O8508" t="s">
        <v>20034</v>
      </c>
      <c r="P8508" t="s">
        <v>20489</v>
      </c>
      <c r="Q8508" t="s">
        <v>19643</v>
      </c>
      <c r="R8508" t="s">
        <v>421</v>
      </c>
      <c r="S8508">
        <v>450</v>
      </c>
    </row>
    <row r="8509" spans="1:19">
      <c r="A8509" t="s">
        <v>31</v>
      </c>
      <c r="B8509" t="s">
        <v>148</v>
      </c>
      <c r="C8509" t="s">
        <v>163</v>
      </c>
      <c r="D8509" t="s">
        <v>292</v>
      </c>
      <c r="E8509" t="s">
        <v>421</v>
      </c>
      <c r="F8509">
        <f>HYPERLINK("https://www.wikidata.org/wiki/Q33323183", "Q33323183")</f>
        <v>0</v>
      </c>
      <c r="G8509" t="s">
        <v>740</v>
      </c>
      <c r="H8509" t="s">
        <v>5498</v>
      </c>
      <c r="I8509" t="s">
        <v>9388</v>
      </c>
      <c r="J8509" t="s">
        <v>11489</v>
      </c>
      <c r="K8509" t="s">
        <v>15891</v>
      </c>
      <c r="L8509">
        <f>HYPERLINK("https://www2.assemblee-nationale.fr/sycomore/fiche/(num_dept)/5413", "5413")</f>
        <v>0</v>
      </c>
      <c r="N8509">
        <f>HYPERLINK("https://www.wikidata.org/wiki/Q3371866", "Q3371866")</f>
        <v>0</v>
      </c>
      <c r="O8509" t="s">
        <v>20036</v>
      </c>
      <c r="P8509" t="s">
        <v>20401</v>
      </c>
      <c r="Q8509" t="s">
        <v>19643</v>
      </c>
      <c r="R8509" t="s">
        <v>421</v>
      </c>
      <c r="S8509">
        <v>450</v>
      </c>
    </row>
    <row r="8510" spans="1:19">
      <c r="A8510" t="s">
        <v>31</v>
      </c>
      <c r="B8510" t="s">
        <v>148</v>
      </c>
      <c r="C8510" t="s">
        <v>163</v>
      </c>
      <c r="D8510" t="s">
        <v>292</v>
      </c>
      <c r="E8510" t="s">
        <v>421</v>
      </c>
      <c r="F8510">
        <f>HYPERLINK("https://www.wikidata.org/wiki/Q33323183", "Q33323183")</f>
        <v>0</v>
      </c>
      <c r="G8510" t="s">
        <v>769</v>
      </c>
      <c r="H8510" t="s">
        <v>5527</v>
      </c>
      <c r="I8510" t="s">
        <v>9516</v>
      </c>
      <c r="J8510" t="s">
        <v>11516</v>
      </c>
      <c r="K8510" t="s">
        <v>15920</v>
      </c>
      <c r="L8510">
        <f>HYPERLINK("https://www2.assemblee-nationale.fr/sycomore/fiche/(num_dept)/6053", "6053")</f>
        <v>0</v>
      </c>
      <c r="N8510">
        <f>HYPERLINK("https://www.wikidata.org/wiki/Q13091126", "Q13091126")</f>
        <v>0</v>
      </c>
      <c r="O8510" t="s">
        <v>19965</v>
      </c>
      <c r="P8510" t="s">
        <v>20485</v>
      </c>
      <c r="Q8510" t="s">
        <v>19643</v>
      </c>
      <c r="R8510" t="s">
        <v>421</v>
      </c>
      <c r="S8510">
        <v>450</v>
      </c>
    </row>
    <row r="8511" spans="1:19">
      <c r="A8511" t="s">
        <v>31</v>
      </c>
      <c r="B8511" t="s">
        <v>148</v>
      </c>
      <c r="C8511" t="s">
        <v>163</v>
      </c>
      <c r="D8511" t="s">
        <v>292</v>
      </c>
      <c r="E8511" t="s">
        <v>421</v>
      </c>
      <c r="F8511">
        <f>HYPERLINK("https://www.wikidata.org/wiki/Q33323183", "Q33323183")</f>
        <v>0</v>
      </c>
      <c r="G8511" t="s">
        <v>1076</v>
      </c>
      <c r="H8511" t="s">
        <v>5820</v>
      </c>
      <c r="I8511" t="s">
        <v>9602</v>
      </c>
      <c r="J8511" t="s">
        <v>11812</v>
      </c>
      <c r="K8511" t="s">
        <v>16213</v>
      </c>
      <c r="L8511">
        <f>HYPERLINK("https://www2.assemblee-nationale.fr/sycomore/fiche/(num_dept)/7691", "7691")</f>
        <v>0</v>
      </c>
      <c r="M8511">
        <f>HYPERLINK("https://www.senat.fr/senateur-3eme-republique/lefebvre_du_prey_edmond0976r3.html", "lefebvre_du_prey_edmond0976r3")</f>
        <v>0</v>
      </c>
      <c r="N8511">
        <f>HYPERLINK("https://www.wikidata.org/wiki/Q1285694", "Q1285694")</f>
        <v>0</v>
      </c>
      <c r="O8511" t="s">
        <v>19968</v>
      </c>
      <c r="Q8511" t="s">
        <v>19643</v>
      </c>
      <c r="R8511" t="s">
        <v>421</v>
      </c>
      <c r="S8511">
        <v>450</v>
      </c>
    </row>
    <row r="8512" spans="1:19">
      <c r="A8512" t="s">
        <v>31</v>
      </c>
      <c r="B8512" t="s">
        <v>148</v>
      </c>
      <c r="C8512" t="s">
        <v>163</v>
      </c>
      <c r="D8512" t="s">
        <v>292</v>
      </c>
      <c r="E8512" t="s">
        <v>421</v>
      </c>
      <c r="F8512">
        <f>HYPERLINK("https://www.wikidata.org/wiki/Q33323183", "Q33323183")</f>
        <v>0</v>
      </c>
      <c r="G8512" t="s">
        <v>884</v>
      </c>
      <c r="H8512" t="s">
        <v>5640</v>
      </c>
      <c r="I8512" t="s">
        <v>9446</v>
      </c>
      <c r="J8512" t="s">
        <v>11630</v>
      </c>
      <c r="K8512" t="s">
        <v>16030</v>
      </c>
      <c r="L8512">
        <f>HYPERLINK("https://www2.assemblee-nationale.fr/sycomore/fiche/(num_dept)/1043", "1043")</f>
        <v>0</v>
      </c>
      <c r="N8512">
        <f>HYPERLINK("https://www.wikidata.org/wiki/Q459510", "Q459510")</f>
        <v>0</v>
      </c>
      <c r="O8512" t="s">
        <v>19990</v>
      </c>
      <c r="P8512" t="s">
        <v>20515</v>
      </c>
      <c r="Q8512" t="s">
        <v>20962</v>
      </c>
      <c r="R8512" t="s">
        <v>421</v>
      </c>
      <c r="S8512">
        <v>443</v>
      </c>
    </row>
    <row r="8513" spans="1:19">
      <c r="A8513" t="s">
        <v>31</v>
      </c>
      <c r="B8513" t="s">
        <v>148</v>
      </c>
      <c r="C8513" t="s">
        <v>163</v>
      </c>
      <c r="D8513" t="s">
        <v>292</v>
      </c>
      <c r="E8513" t="s">
        <v>421</v>
      </c>
      <c r="F8513">
        <f>HYPERLINK("https://www.wikidata.org/wiki/Q33323183", "Q33323183")</f>
        <v>0</v>
      </c>
      <c r="G8513" t="s">
        <v>4219</v>
      </c>
      <c r="H8513" t="s">
        <v>8402</v>
      </c>
      <c r="I8513" t="s">
        <v>9457</v>
      </c>
      <c r="J8513" t="s">
        <v>14729</v>
      </c>
      <c r="K8513" t="s">
        <v>19073</v>
      </c>
      <c r="L8513">
        <f>HYPERLINK("https://www2.assemblee-nationale.fr/sycomore/fiche/(num_dept)/5839", "5839")</f>
        <v>0</v>
      </c>
      <c r="N8513">
        <f>HYPERLINK("https://www.wikidata.org/wiki/Q16026326", "Q16026326")</f>
        <v>0</v>
      </c>
      <c r="O8513" t="s">
        <v>20042</v>
      </c>
      <c r="P8513" t="s">
        <v>20489</v>
      </c>
      <c r="Q8513" t="s">
        <v>20962</v>
      </c>
      <c r="R8513" t="s">
        <v>421</v>
      </c>
      <c r="S8513">
        <v>443</v>
      </c>
    </row>
    <row r="8514" spans="1:19">
      <c r="A8514" t="s">
        <v>31</v>
      </c>
      <c r="B8514" t="s">
        <v>148</v>
      </c>
      <c r="C8514" t="s">
        <v>163</v>
      </c>
      <c r="D8514" t="s">
        <v>292</v>
      </c>
      <c r="E8514" t="s">
        <v>421</v>
      </c>
      <c r="F8514">
        <f>HYPERLINK("https://www.wikidata.org/wiki/Q33323183", "Q33323183")</f>
        <v>0</v>
      </c>
      <c r="G8514" t="s">
        <v>859</v>
      </c>
      <c r="H8514" t="s">
        <v>5615</v>
      </c>
      <c r="I8514" t="s">
        <v>9559</v>
      </c>
      <c r="J8514" t="s">
        <v>11605</v>
      </c>
      <c r="K8514" t="s">
        <v>16007</v>
      </c>
      <c r="L8514">
        <f>HYPERLINK("https://www2.assemblee-nationale.fr/sycomore/fiche/(num_dept)/112", "112")</f>
        <v>0</v>
      </c>
      <c r="M8514">
        <f>HYPERLINK("https://www.senat.fr/senateur-3eme-republique/amiard_louis1670r3.html", "amiard_louis1670r3")</f>
        <v>0</v>
      </c>
      <c r="N8514">
        <f>HYPERLINK("https://www.wikidata.org/wiki/Q3261035", "Q3261035")</f>
        <v>0</v>
      </c>
      <c r="O8514" t="s">
        <v>19976</v>
      </c>
      <c r="P8514" t="s">
        <v>20489</v>
      </c>
      <c r="Q8514" t="s">
        <v>20963</v>
      </c>
      <c r="R8514" t="s">
        <v>421</v>
      </c>
      <c r="S8514">
        <v>436</v>
      </c>
    </row>
    <row r="8515" spans="1:19">
      <c r="A8515" t="s">
        <v>31</v>
      </c>
      <c r="B8515" t="s">
        <v>148</v>
      </c>
      <c r="C8515" t="s">
        <v>163</v>
      </c>
      <c r="D8515" t="s">
        <v>292</v>
      </c>
      <c r="E8515" t="s">
        <v>421</v>
      </c>
      <c r="F8515">
        <f>HYPERLINK("https://www.wikidata.org/wiki/Q33323183", "Q33323183")</f>
        <v>0</v>
      </c>
      <c r="G8515" t="s">
        <v>725</v>
      </c>
      <c r="H8515" t="s">
        <v>5483</v>
      </c>
      <c r="I8515" t="s">
        <v>9497</v>
      </c>
      <c r="J8515" t="s">
        <v>11474</v>
      </c>
      <c r="K8515" t="s">
        <v>15876</v>
      </c>
      <c r="L8515">
        <f>HYPERLINK("https://www2.assemblee-nationale.fr/sycomore/fiche/(num_dept)/5024", "5024")</f>
        <v>0</v>
      </c>
      <c r="M8515">
        <f>HYPERLINK("https://www.senat.fr/senateur-3eme-republique/marrou_baptiste0987r3.html", "marrou_baptiste0987r3")</f>
        <v>0</v>
      </c>
      <c r="N8515">
        <f>HYPERLINK("https://www.wikidata.org/wiki/Q2883668", "Q2883668")</f>
        <v>0</v>
      </c>
      <c r="O8515" t="s">
        <v>20005</v>
      </c>
      <c r="P8515" t="s">
        <v>20489</v>
      </c>
      <c r="Q8515" t="s">
        <v>20963</v>
      </c>
      <c r="R8515" t="s">
        <v>421</v>
      </c>
      <c r="S8515">
        <v>436</v>
      </c>
    </row>
    <row r="8516" spans="1:19">
      <c r="A8516" t="s">
        <v>31</v>
      </c>
      <c r="B8516" t="s">
        <v>148</v>
      </c>
      <c r="C8516" t="s">
        <v>163</v>
      </c>
      <c r="D8516" t="s">
        <v>292</v>
      </c>
      <c r="E8516" t="s">
        <v>421</v>
      </c>
      <c r="F8516">
        <f>HYPERLINK("https://www.wikidata.org/wiki/Q33323183", "Q33323183")</f>
        <v>0</v>
      </c>
      <c r="G8516" t="s">
        <v>974</v>
      </c>
      <c r="H8516" t="s">
        <v>5726</v>
      </c>
      <c r="I8516" t="s">
        <v>9465</v>
      </c>
      <c r="J8516" t="s">
        <v>11712</v>
      </c>
      <c r="K8516" t="s">
        <v>16116</v>
      </c>
      <c r="L8516">
        <f>HYPERLINK("https://www2.assemblee-nationale.fr/sycomore/fiche/(num_dept)/3812", "3812")</f>
        <v>0</v>
      </c>
      <c r="N8516">
        <f>HYPERLINK("https://www.wikidata.org/wiki/Q16025846", "Q16025846")</f>
        <v>0</v>
      </c>
      <c r="O8516" t="s">
        <v>19986</v>
      </c>
      <c r="P8516" t="s">
        <v>20489</v>
      </c>
      <c r="Q8516" t="s">
        <v>20964</v>
      </c>
      <c r="R8516" t="s">
        <v>421</v>
      </c>
      <c r="S8516">
        <v>429</v>
      </c>
    </row>
    <row r="8517" spans="1:19">
      <c r="A8517" t="s">
        <v>31</v>
      </c>
      <c r="B8517" t="s">
        <v>148</v>
      </c>
      <c r="C8517" t="s">
        <v>163</v>
      </c>
      <c r="D8517" t="s">
        <v>292</v>
      </c>
      <c r="E8517" t="s">
        <v>421</v>
      </c>
      <c r="F8517">
        <f>HYPERLINK("https://www.wikidata.org/wiki/Q33323183", "Q33323183")</f>
        <v>0</v>
      </c>
      <c r="G8517" t="s">
        <v>869</v>
      </c>
      <c r="H8517" t="s">
        <v>5625</v>
      </c>
      <c r="I8517" t="s">
        <v>9407</v>
      </c>
      <c r="J8517" t="s">
        <v>11615</v>
      </c>
      <c r="K8517" t="s">
        <v>16017</v>
      </c>
      <c r="L8517">
        <f>HYPERLINK("https://www2.assemblee-nationale.fr/sycomore/fiche/(num_dept)/346", "346")</f>
        <v>0</v>
      </c>
      <c r="N8517">
        <f>HYPERLINK("https://www.wikidata.org/wiki/Q15973439", "Q15973439")</f>
        <v>0</v>
      </c>
      <c r="O8517" t="s">
        <v>19955</v>
      </c>
      <c r="P8517" t="s">
        <v>20489</v>
      </c>
      <c r="Q8517" t="s">
        <v>20965</v>
      </c>
      <c r="R8517" t="s">
        <v>421</v>
      </c>
      <c r="S8517">
        <v>426</v>
      </c>
    </row>
    <row r="8518" spans="1:19">
      <c r="A8518" t="s">
        <v>31</v>
      </c>
      <c r="B8518" t="s">
        <v>148</v>
      </c>
      <c r="C8518" t="s">
        <v>163</v>
      </c>
      <c r="D8518" t="s">
        <v>292</v>
      </c>
      <c r="E8518" t="s">
        <v>421</v>
      </c>
      <c r="F8518">
        <f>HYPERLINK("https://www.wikidata.org/wiki/Q33323183", "Q33323183")</f>
        <v>0</v>
      </c>
      <c r="G8518" t="s">
        <v>630</v>
      </c>
      <c r="H8518" t="s">
        <v>5389</v>
      </c>
      <c r="I8518" t="s">
        <v>9463</v>
      </c>
      <c r="J8518" t="s">
        <v>11380</v>
      </c>
      <c r="K8518" t="s">
        <v>15782</v>
      </c>
      <c r="L8518">
        <f>HYPERLINK("https://www2.assemblee-nationale.fr/sycomore/fiche/(num_dept)/2782", "2782")</f>
        <v>0</v>
      </c>
      <c r="N8518">
        <f>HYPERLINK("https://www.wikidata.org/wiki/Q3592311", "Q3592311")</f>
        <v>0</v>
      </c>
      <c r="O8518" t="s">
        <v>20012</v>
      </c>
      <c r="P8518" t="s">
        <v>20489</v>
      </c>
      <c r="Q8518" t="s">
        <v>20965</v>
      </c>
      <c r="R8518" t="s">
        <v>421</v>
      </c>
      <c r="S8518">
        <v>426</v>
      </c>
    </row>
    <row r="8519" spans="1:19">
      <c r="A8519" t="s">
        <v>31</v>
      </c>
      <c r="B8519" t="s">
        <v>148</v>
      </c>
      <c r="C8519" t="s">
        <v>163</v>
      </c>
      <c r="D8519" t="s">
        <v>292</v>
      </c>
      <c r="E8519" t="s">
        <v>421</v>
      </c>
      <c r="F8519">
        <f>HYPERLINK("https://www.wikidata.org/wiki/Q33323183", "Q33323183")</f>
        <v>0</v>
      </c>
      <c r="G8519" t="s">
        <v>758</v>
      </c>
      <c r="H8519" t="s">
        <v>5516</v>
      </c>
      <c r="I8519" t="s">
        <v>9512</v>
      </c>
      <c r="J8519" t="s">
        <v>11506</v>
      </c>
      <c r="K8519" t="s">
        <v>15909</v>
      </c>
      <c r="L8519">
        <f>HYPERLINK("https://www2.assemblee-nationale.fr/sycomore/fiche/(num_dept)/5820", "5820")</f>
        <v>0</v>
      </c>
      <c r="N8519">
        <f>HYPERLINK("https://www.wikidata.org/wiki/Q16026319", "Q16026319")</f>
        <v>0</v>
      </c>
      <c r="O8519" t="s">
        <v>20026</v>
      </c>
      <c r="P8519" t="s">
        <v>20489</v>
      </c>
      <c r="Q8519" t="s">
        <v>20965</v>
      </c>
      <c r="R8519" t="s">
        <v>421</v>
      </c>
      <c r="S8519">
        <v>426</v>
      </c>
    </row>
    <row r="8520" spans="1:19">
      <c r="A8520" t="s">
        <v>31</v>
      </c>
      <c r="B8520" t="s">
        <v>148</v>
      </c>
      <c r="C8520" t="s">
        <v>163</v>
      </c>
      <c r="D8520" t="s">
        <v>292</v>
      </c>
      <c r="E8520" t="s">
        <v>421</v>
      </c>
      <c r="F8520">
        <f>HYPERLINK("https://www.wikidata.org/wiki/Q33323183", "Q33323183")</f>
        <v>0</v>
      </c>
      <c r="G8520" t="s">
        <v>847</v>
      </c>
      <c r="H8520" t="s">
        <v>5604</v>
      </c>
      <c r="I8520" t="s">
        <v>9455</v>
      </c>
      <c r="J8520" t="s">
        <v>11576</v>
      </c>
      <c r="K8520" t="s">
        <v>15995</v>
      </c>
      <c r="L8520">
        <f>HYPERLINK("https://www2.assemblee-nationale.fr/sycomore/fiche/(num_dept)/7664", "7664")</f>
        <v>0</v>
      </c>
      <c r="N8520">
        <f>HYPERLINK("https://www.wikidata.org/wiki/Q3265604", "Q3265604")</f>
        <v>0</v>
      </c>
      <c r="O8520" t="s">
        <v>20012</v>
      </c>
      <c r="P8520" t="s">
        <v>20515</v>
      </c>
      <c r="Q8520" t="s">
        <v>20965</v>
      </c>
      <c r="R8520" t="s">
        <v>421</v>
      </c>
      <c r="S8520">
        <v>426</v>
      </c>
    </row>
    <row r="8521" spans="1:19">
      <c r="A8521" t="s">
        <v>31</v>
      </c>
      <c r="B8521" t="s">
        <v>148</v>
      </c>
      <c r="C8521" t="s">
        <v>163</v>
      </c>
      <c r="D8521" t="s">
        <v>292</v>
      </c>
      <c r="E8521" t="s">
        <v>421</v>
      </c>
      <c r="F8521">
        <f>HYPERLINK("https://www.wikidata.org/wiki/Q33323183", "Q33323183")</f>
        <v>0</v>
      </c>
      <c r="G8521" t="s">
        <v>641</v>
      </c>
      <c r="H8521" t="s">
        <v>5400</v>
      </c>
      <c r="I8521" t="s">
        <v>8494</v>
      </c>
      <c r="J8521" t="s">
        <v>11391</v>
      </c>
      <c r="K8521" t="s">
        <v>15793</v>
      </c>
      <c r="L8521">
        <f>HYPERLINK("https://www2.assemblee-nationale.fr/sycomore/fiche/(num_dept)/2983", "2983")</f>
        <v>0</v>
      </c>
      <c r="N8521">
        <f>HYPERLINK("https://www.wikidata.org/wiki/Q2821507", "Q2821507")</f>
        <v>0</v>
      </c>
      <c r="O8521" t="s">
        <v>20017</v>
      </c>
      <c r="P8521" t="s">
        <v>20401</v>
      </c>
      <c r="Q8521" t="s">
        <v>20966</v>
      </c>
      <c r="R8521" t="s">
        <v>421</v>
      </c>
      <c r="S8521">
        <v>422</v>
      </c>
    </row>
    <row r="8522" spans="1:19">
      <c r="A8522" t="s">
        <v>31</v>
      </c>
      <c r="B8522" t="s">
        <v>148</v>
      </c>
      <c r="C8522" t="s">
        <v>163</v>
      </c>
      <c r="D8522" t="s">
        <v>292</v>
      </c>
      <c r="E8522" t="s">
        <v>421</v>
      </c>
      <c r="F8522">
        <f>HYPERLINK("https://www.wikidata.org/wiki/Q33323183", "Q33323183")</f>
        <v>0</v>
      </c>
      <c r="G8522" t="s">
        <v>910</v>
      </c>
      <c r="H8522" t="s">
        <v>5666</v>
      </c>
      <c r="I8522" t="s">
        <v>9587</v>
      </c>
      <c r="J8522" t="s">
        <v>11654</v>
      </c>
      <c r="K8522" t="s">
        <v>16053</v>
      </c>
      <c r="L8522">
        <f>HYPERLINK("https://www2.assemblee-nationale.fr/sycomore/fiche/(num_dept)/1758", "1758")</f>
        <v>0</v>
      </c>
      <c r="N8522">
        <f>HYPERLINK("https://www.wikidata.org/wiki/Q15138054", "Q15138054")</f>
        <v>0</v>
      </c>
      <c r="O8522" t="s">
        <v>19969</v>
      </c>
      <c r="P8522" t="s">
        <v>20489</v>
      </c>
      <c r="Q8522" t="s">
        <v>20967</v>
      </c>
      <c r="R8522" t="s">
        <v>421</v>
      </c>
      <c r="S8522">
        <v>415</v>
      </c>
    </row>
    <row r="8523" spans="1:19">
      <c r="A8523" t="s">
        <v>31</v>
      </c>
      <c r="B8523" t="s">
        <v>148</v>
      </c>
      <c r="C8523" t="s">
        <v>163</v>
      </c>
      <c r="D8523" t="s">
        <v>292</v>
      </c>
      <c r="E8523" t="s">
        <v>421</v>
      </c>
      <c r="F8523">
        <f>HYPERLINK("https://www.wikidata.org/wiki/Q33323183", "Q33323183")</f>
        <v>0</v>
      </c>
      <c r="G8523" t="s">
        <v>4220</v>
      </c>
      <c r="H8523" t="s">
        <v>5346</v>
      </c>
      <c r="I8523" t="s">
        <v>11166</v>
      </c>
      <c r="J8523" t="s">
        <v>14730</v>
      </c>
      <c r="K8523" t="s">
        <v>19074</v>
      </c>
      <c r="L8523">
        <f>HYPERLINK("https://www2.assemblee-nationale.fr/sycomore/fiche/(num_dept)/1893", "1893")</f>
        <v>0</v>
      </c>
      <c r="N8523">
        <f>HYPERLINK("https://www.wikidata.org/wiki/Q16025468", "Q16025468")</f>
        <v>0</v>
      </c>
      <c r="O8523" t="s">
        <v>20017</v>
      </c>
      <c r="Q8523" t="s">
        <v>20967</v>
      </c>
      <c r="R8523" t="s">
        <v>421</v>
      </c>
      <c r="S8523">
        <v>415</v>
      </c>
    </row>
    <row r="8524" spans="1:19">
      <c r="A8524" t="s">
        <v>31</v>
      </c>
      <c r="B8524" t="s">
        <v>148</v>
      </c>
      <c r="C8524" t="s">
        <v>163</v>
      </c>
      <c r="D8524" t="s">
        <v>292</v>
      </c>
      <c r="E8524" t="s">
        <v>421</v>
      </c>
      <c r="F8524">
        <f>HYPERLINK("https://www.wikidata.org/wiki/Q33323183", "Q33323183")</f>
        <v>0</v>
      </c>
      <c r="G8524" t="s">
        <v>1014</v>
      </c>
      <c r="H8524" t="s">
        <v>5764</v>
      </c>
      <c r="I8524" t="s">
        <v>9391</v>
      </c>
      <c r="J8524" t="s">
        <v>11751</v>
      </c>
      <c r="K8524" t="s">
        <v>16154</v>
      </c>
      <c r="L8524">
        <f>HYPERLINK("https://www2.assemblee-nationale.fr/sycomore/fiche/(num_dept)/5521", "5521")</f>
        <v>0</v>
      </c>
      <c r="N8524">
        <f>HYPERLINK("https://www.wikidata.org/wiki/Q16026182", "Q16026182")</f>
        <v>0</v>
      </c>
      <c r="O8524" t="s">
        <v>19969</v>
      </c>
      <c r="P8524" t="s">
        <v>20515</v>
      </c>
      <c r="Q8524" t="s">
        <v>20967</v>
      </c>
      <c r="R8524" t="s">
        <v>421</v>
      </c>
      <c r="S8524">
        <v>415</v>
      </c>
    </row>
    <row r="8525" spans="1:19">
      <c r="A8525" t="s">
        <v>31</v>
      </c>
      <c r="B8525" t="s">
        <v>148</v>
      </c>
      <c r="C8525" t="s">
        <v>163</v>
      </c>
      <c r="D8525" t="s">
        <v>292</v>
      </c>
      <c r="E8525" t="s">
        <v>421</v>
      </c>
      <c r="F8525">
        <f>HYPERLINK("https://www.wikidata.org/wiki/Q33323183", "Q33323183")</f>
        <v>0</v>
      </c>
      <c r="G8525" t="s">
        <v>4221</v>
      </c>
      <c r="H8525" t="s">
        <v>6610</v>
      </c>
      <c r="I8525" t="s">
        <v>11167</v>
      </c>
      <c r="J8525" t="s">
        <v>14731</v>
      </c>
      <c r="K8525" t="s">
        <v>18884</v>
      </c>
      <c r="L8525">
        <f>HYPERLINK("https://www2.assemblee-nationale.fr/sycomore/fiche/(num_dept)/6063", "6063")</f>
        <v>0</v>
      </c>
      <c r="N8525">
        <f>HYPERLINK("https://www.wikidata.org/wiki/Q16026442", "Q16026442")</f>
        <v>0</v>
      </c>
      <c r="O8525" t="s">
        <v>19962</v>
      </c>
      <c r="P8525" t="s">
        <v>20489</v>
      </c>
      <c r="Q8525" t="s">
        <v>20967</v>
      </c>
      <c r="R8525" t="s">
        <v>421</v>
      </c>
      <c r="S8525">
        <v>415</v>
      </c>
    </row>
    <row r="8526" spans="1:19">
      <c r="A8526" t="s">
        <v>31</v>
      </c>
      <c r="B8526" t="s">
        <v>148</v>
      </c>
      <c r="C8526" t="s">
        <v>163</v>
      </c>
      <c r="D8526" t="s">
        <v>292</v>
      </c>
      <c r="E8526" t="s">
        <v>421</v>
      </c>
      <c r="F8526">
        <f>HYPERLINK("https://www.wikidata.org/wiki/Q33323183", "Q33323183")</f>
        <v>0</v>
      </c>
      <c r="G8526" t="s">
        <v>587</v>
      </c>
      <c r="H8526" t="s">
        <v>5348</v>
      </c>
      <c r="I8526" t="s">
        <v>9436</v>
      </c>
      <c r="J8526" t="s">
        <v>11338</v>
      </c>
      <c r="K8526" t="s">
        <v>15739</v>
      </c>
      <c r="L8526">
        <f>HYPERLINK("https://www2.assemblee-nationale.fr/sycomore/fiche/(num_dept)/1934", "1934")</f>
        <v>0</v>
      </c>
      <c r="N8526">
        <f>HYPERLINK("https://www.wikidata.org/wiki/Q2825487", "Q2825487")</f>
        <v>0</v>
      </c>
      <c r="O8526" t="s">
        <v>20014</v>
      </c>
      <c r="P8526" t="s">
        <v>20515</v>
      </c>
      <c r="Q8526" t="s">
        <v>20968</v>
      </c>
      <c r="R8526" t="s">
        <v>421</v>
      </c>
      <c r="S8526">
        <v>401</v>
      </c>
    </row>
    <row r="8527" spans="1:19">
      <c r="A8527" t="s">
        <v>31</v>
      </c>
      <c r="B8527" t="s">
        <v>148</v>
      </c>
      <c r="C8527" t="s">
        <v>163</v>
      </c>
      <c r="D8527" t="s">
        <v>292</v>
      </c>
      <c r="E8527" t="s">
        <v>421</v>
      </c>
      <c r="F8527">
        <f>HYPERLINK("https://www.wikidata.org/wiki/Q33323183", "Q33323183")</f>
        <v>0</v>
      </c>
      <c r="G8527" t="s">
        <v>1004</v>
      </c>
      <c r="H8527" t="s">
        <v>5755</v>
      </c>
      <c r="I8527" t="s">
        <v>9617</v>
      </c>
      <c r="J8527" t="s">
        <v>11741</v>
      </c>
      <c r="K8527" t="s">
        <v>16145</v>
      </c>
      <c r="L8527">
        <f>HYPERLINK("https://www2.assemblee-nationale.fr/sycomore/fiche/(num_dept)/5283", "5283")</f>
        <v>0</v>
      </c>
      <c r="N8527">
        <f>HYPERLINK("https://www.wikidata.org/wiki/Q16026104", "Q16026104")</f>
        <v>0</v>
      </c>
      <c r="O8527" t="s">
        <v>19999</v>
      </c>
      <c r="P8527" t="s">
        <v>20515</v>
      </c>
      <c r="Q8527" t="s">
        <v>20968</v>
      </c>
      <c r="R8527" t="s">
        <v>421</v>
      </c>
      <c r="S8527">
        <v>401</v>
      </c>
    </row>
    <row r="8528" spans="1:19">
      <c r="A8528" t="s">
        <v>31</v>
      </c>
      <c r="B8528" t="s">
        <v>148</v>
      </c>
      <c r="C8528" t="s">
        <v>163</v>
      </c>
      <c r="D8528" t="s">
        <v>292</v>
      </c>
      <c r="E8528" t="s">
        <v>421</v>
      </c>
      <c r="F8528">
        <f>HYPERLINK("https://www.wikidata.org/wiki/Q33323183", "Q33323183")</f>
        <v>0</v>
      </c>
      <c r="G8528" t="s">
        <v>958</v>
      </c>
      <c r="H8528" t="s">
        <v>5710</v>
      </c>
      <c r="I8528" t="s">
        <v>9516</v>
      </c>
      <c r="J8528" t="s">
        <v>11675</v>
      </c>
      <c r="K8528" t="s">
        <v>16100</v>
      </c>
      <c r="L8528">
        <f>HYPERLINK("https://www2.assemblee-nationale.fr/sycomore/fiche/(num_dept)/3100", "3100")</f>
        <v>0</v>
      </c>
      <c r="N8528">
        <f>HYPERLINK("https://www.wikidata.org/wiki/Q16025725", "Q16025725")</f>
        <v>0</v>
      </c>
      <c r="O8528" t="s">
        <v>19967</v>
      </c>
      <c r="P8528" t="s">
        <v>20402</v>
      </c>
      <c r="Q8528" t="s">
        <v>20969</v>
      </c>
      <c r="R8528" t="s">
        <v>421</v>
      </c>
      <c r="S8528">
        <v>394</v>
      </c>
    </row>
    <row r="8529" spans="1:19">
      <c r="A8529" t="s">
        <v>31</v>
      </c>
      <c r="B8529" t="s">
        <v>148</v>
      </c>
      <c r="C8529" t="s">
        <v>163</v>
      </c>
      <c r="D8529" t="s">
        <v>292</v>
      </c>
      <c r="E8529" t="s">
        <v>421</v>
      </c>
      <c r="F8529">
        <f>HYPERLINK("https://www.wikidata.org/wiki/Q33323183", "Q33323183")</f>
        <v>0</v>
      </c>
      <c r="G8529" t="s">
        <v>924</v>
      </c>
      <c r="H8529" t="s">
        <v>5680</v>
      </c>
      <c r="I8529" t="s">
        <v>9590</v>
      </c>
      <c r="J8529" t="s">
        <v>11666</v>
      </c>
      <c r="K8529" t="s">
        <v>16067</v>
      </c>
      <c r="L8529">
        <f>HYPERLINK("https://www2.assemblee-nationale.fr/sycomore/fiche/(num_dept)/2284", "2284")</f>
        <v>0</v>
      </c>
      <c r="N8529">
        <f>HYPERLINK("https://www.wikidata.org/wiki/Q16025546", "Q16025546")</f>
        <v>0</v>
      </c>
      <c r="O8529" t="s">
        <v>19968</v>
      </c>
      <c r="P8529" t="s">
        <v>20485</v>
      </c>
      <c r="Q8529" t="s">
        <v>20970</v>
      </c>
      <c r="R8529" t="s">
        <v>421</v>
      </c>
      <c r="S8529">
        <v>380</v>
      </c>
    </row>
    <row r="8530" spans="1:19">
      <c r="A8530" t="s">
        <v>31</v>
      </c>
      <c r="B8530" t="s">
        <v>148</v>
      </c>
      <c r="C8530" t="s">
        <v>163</v>
      </c>
      <c r="D8530" t="s">
        <v>292</v>
      </c>
      <c r="E8530" t="s">
        <v>421</v>
      </c>
      <c r="F8530">
        <f>HYPERLINK("https://www.wikidata.org/wiki/Q33323183", "Q33323183")</f>
        <v>0</v>
      </c>
      <c r="G8530" t="s">
        <v>4222</v>
      </c>
      <c r="H8530" t="s">
        <v>5620</v>
      </c>
      <c r="I8530" t="s">
        <v>11168</v>
      </c>
      <c r="J8530" t="s">
        <v>14732</v>
      </c>
      <c r="K8530" t="s">
        <v>19075</v>
      </c>
      <c r="L8530">
        <f>HYPERLINK("https://www2.assemblee-nationale.fr/sycomore/fiche/(num_dept)/220", "220")</f>
        <v>0</v>
      </c>
      <c r="N8530">
        <f>HYPERLINK("https://www.wikidata.org/wiki/Q3083848", "Q3083848")</f>
        <v>0</v>
      </c>
      <c r="O8530" t="s">
        <v>7411</v>
      </c>
      <c r="P8530" t="s">
        <v>20489</v>
      </c>
      <c r="Q8530" t="s">
        <v>18054</v>
      </c>
      <c r="R8530" t="s">
        <v>421</v>
      </c>
      <c r="S8530">
        <v>366</v>
      </c>
    </row>
    <row r="8531" spans="1:19">
      <c r="A8531" t="s">
        <v>31</v>
      </c>
      <c r="B8531" t="s">
        <v>148</v>
      </c>
      <c r="C8531" t="s">
        <v>163</v>
      </c>
      <c r="D8531" t="s">
        <v>292</v>
      </c>
      <c r="E8531" t="s">
        <v>421</v>
      </c>
      <c r="F8531">
        <f>HYPERLINK("https://www.wikidata.org/wiki/Q33323183", "Q33323183")</f>
        <v>0</v>
      </c>
      <c r="G8531" t="s">
        <v>963</v>
      </c>
      <c r="H8531" t="s">
        <v>5715</v>
      </c>
      <c r="I8531" t="s">
        <v>6584</v>
      </c>
      <c r="J8531" t="s">
        <v>11702</v>
      </c>
      <c r="K8531" t="s">
        <v>16105</v>
      </c>
      <c r="L8531">
        <f>HYPERLINK("https://www2.assemblee-nationale.fr/sycomore/fiche/(num_dept)/3225", "3225")</f>
        <v>0</v>
      </c>
      <c r="N8531">
        <f>HYPERLINK("https://www.wikidata.org/wiki/Q8339302", "Q8339302")</f>
        <v>0</v>
      </c>
      <c r="O8531" t="s">
        <v>20034</v>
      </c>
      <c r="P8531" t="s">
        <v>20489</v>
      </c>
      <c r="Q8531" t="s">
        <v>18054</v>
      </c>
      <c r="R8531" t="s">
        <v>421</v>
      </c>
      <c r="S8531">
        <v>366</v>
      </c>
    </row>
    <row r="8532" spans="1:19">
      <c r="A8532" t="s">
        <v>31</v>
      </c>
      <c r="B8532" t="s">
        <v>148</v>
      </c>
      <c r="C8532" t="s">
        <v>163</v>
      </c>
      <c r="D8532" t="s">
        <v>292</v>
      </c>
      <c r="E8532" t="s">
        <v>421</v>
      </c>
      <c r="F8532">
        <f>HYPERLINK("https://www.wikidata.org/wiki/Q33323183", "Q33323183")</f>
        <v>0</v>
      </c>
      <c r="G8532" t="s">
        <v>4223</v>
      </c>
      <c r="H8532" t="s">
        <v>8403</v>
      </c>
      <c r="I8532" t="s">
        <v>11169</v>
      </c>
      <c r="J8532" t="s">
        <v>14733</v>
      </c>
      <c r="K8532" t="s">
        <v>19076</v>
      </c>
      <c r="L8532">
        <f>HYPERLINK("https://www2.assemblee-nationale.fr/sycomore/fiche/(num_dept)/7576", "7576")</f>
        <v>0</v>
      </c>
      <c r="N8532">
        <f>HYPERLINK("https://www.wikidata.org/wiki/Q13080940", "Q13080940")</f>
        <v>0</v>
      </c>
      <c r="O8532" t="s">
        <v>19969</v>
      </c>
      <c r="P8532" t="s">
        <v>20401</v>
      </c>
      <c r="Q8532" t="s">
        <v>18054</v>
      </c>
      <c r="R8532" t="s">
        <v>421</v>
      </c>
      <c r="S8532">
        <v>366</v>
      </c>
    </row>
    <row r="8533" spans="1:19">
      <c r="A8533" t="s">
        <v>31</v>
      </c>
      <c r="B8533" t="s">
        <v>148</v>
      </c>
      <c r="C8533" t="s">
        <v>163</v>
      </c>
      <c r="D8533" t="s">
        <v>292</v>
      </c>
      <c r="E8533" t="s">
        <v>421</v>
      </c>
      <c r="F8533">
        <f>HYPERLINK("https://www.wikidata.org/wiki/Q33323183", "Q33323183")</f>
        <v>0</v>
      </c>
      <c r="G8533" t="s">
        <v>648</v>
      </c>
      <c r="H8533" t="s">
        <v>5407</v>
      </c>
      <c r="I8533" t="s">
        <v>9468</v>
      </c>
      <c r="J8533" t="s">
        <v>11398</v>
      </c>
      <c r="K8533" t="s">
        <v>15800</v>
      </c>
      <c r="L8533">
        <f>HYPERLINK("https://www2.assemblee-nationale.fr/sycomore/fiche/(num_dept)/3072", "3072")</f>
        <v>0</v>
      </c>
      <c r="M8533">
        <f>HYPERLINK("https://www.senat.fr/senateur-3eme-republique/foucher_octave0306r3.html", "foucher_octave0306r3")</f>
        <v>0</v>
      </c>
      <c r="N8533">
        <f>HYPERLINK("https://www.wikidata.org/wiki/Q3348830", "Q3348830")</f>
        <v>0</v>
      </c>
      <c r="O8533" t="s">
        <v>20008</v>
      </c>
      <c r="P8533" t="s">
        <v>20489</v>
      </c>
      <c r="Q8533" t="s">
        <v>20971</v>
      </c>
      <c r="R8533" t="s">
        <v>421</v>
      </c>
      <c r="S8533">
        <v>338</v>
      </c>
    </row>
    <row r="8534" spans="1:19">
      <c r="A8534" t="s">
        <v>31</v>
      </c>
      <c r="B8534" t="s">
        <v>148</v>
      </c>
      <c r="C8534" t="s">
        <v>163</v>
      </c>
      <c r="D8534" t="s">
        <v>292</v>
      </c>
      <c r="E8534" t="s">
        <v>421</v>
      </c>
      <c r="F8534">
        <f>HYPERLINK("https://www.wikidata.org/wiki/Q33323183", "Q33323183")</f>
        <v>0</v>
      </c>
      <c r="G8534" t="s">
        <v>715</v>
      </c>
      <c r="H8534" t="s">
        <v>5473</v>
      </c>
      <c r="I8534" t="s">
        <v>9494</v>
      </c>
      <c r="J8534" t="s">
        <v>11464</v>
      </c>
      <c r="K8534" t="s">
        <v>15866</v>
      </c>
      <c r="L8534">
        <f>HYPERLINK("https://www2.assemblee-nationale.fr/sycomore/fiche/(num_dept)/4861", "4861")</f>
        <v>0</v>
      </c>
      <c r="N8534">
        <f>HYPERLINK("https://www.wikidata.org/wiki/Q3132399", "Q3132399")</f>
        <v>0</v>
      </c>
      <c r="O8534" t="s">
        <v>20012</v>
      </c>
      <c r="P8534" t="s">
        <v>20517</v>
      </c>
      <c r="Q8534" t="s">
        <v>20972</v>
      </c>
      <c r="R8534" t="s">
        <v>421</v>
      </c>
      <c r="S8534">
        <v>310</v>
      </c>
    </row>
    <row r="8535" spans="1:19">
      <c r="A8535" t="s">
        <v>31</v>
      </c>
      <c r="B8535" t="s">
        <v>148</v>
      </c>
      <c r="C8535" t="s">
        <v>163</v>
      </c>
      <c r="D8535" t="s">
        <v>292</v>
      </c>
      <c r="E8535" t="s">
        <v>421</v>
      </c>
      <c r="F8535">
        <f>HYPERLINK("https://www.wikidata.org/wiki/Q33323183", "Q33323183")</f>
        <v>0</v>
      </c>
      <c r="G8535" t="s">
        <v>816</v>
      </c>
      <c r="H8535" t="s">
        <v>5573</v>
      </c>
      <c r="I8535" t="s">
        <v>9536</v>
      </c>
      <c r="J8535" t="s">
        <v>11563</v>
      </c>
      <c r="K8535" t="s">
        <v>15967</v>
      </c>
      <c r="L8535">
        <f>HYPERLINK("https://www2.assemblee-nationale.fr/sycomore/fiche/(num_dept)/6957", "6957")</f>
        <v>0</v>
      </c>
      <c r="N8535">
        <f>HYPERLINK("https://www.wikidata.org/wiki/Q16026535", "Q16026535")</f>
        <v>0</v>
      </c>
      <c r="O8535" t="s">
        <v>19977</v>
      </c>
      <c r="P8535" t="s">
        <v>20489</v>
      </c>
      <c r="Q8535" t="s">
        <v>20973</v>
      </c>
      <c r="R8535" t="s">
        <v>421</v>
      </c>
      <c r="S8535">
        <v>252</v>
      </c>
    </row>
    <row r="8536" spans="1:19">
      <c r="A8536" t="s">
        <v>31</v>
      </c>
      <c r="B8536" t="s">
        <v>148</v>
      </c>
      <c r="C8536" t="s">
        <v>163</v>
      </c>
      <c r="D8536" t="s">
        <v>292</v>
      </c>
      <c r="E8536" t="s">
        <v>421</v>
      </c>
      <c r="F8536">
        <f>HYPERLINK("https://www.wikidata.org/wiki/Q33323183", "Q33323183")</f>
        <v>0</v>
      </c>
      <c r="G8536" t="s">
        <v>918</v>
      </c>
      <c r="H8536" t="s">
        <v>5674</v>
      </c>
      <c r="I8536" t="s">
        <v>9483</v>
      </c>
      <c r="J8536" t="s">
        <v>11661</v>
      </c>
      <c r="K8536" t="s">
        <v>16061</v>
      </c>
      <c r="L8536">
        <f>HYPERLINK("https://www2.assemblee-nationale.fr/sycomore/fiche/(num_dept)/2108", "2108")</f>
        <v>0</v>
      </c>
      <c r="M8536">
        <f>HYPERLINK("https://www.senat.fr/senateur-3eme-republique/dalbiez_victor1098r3.html", "dalbiez_victor1098r3")</f>
        <v>0</v>
      </c>
      <c r="N8536">
        <f>HYPERLINK("https://www.wikidata.org/wiki/Q3557251", "Q3557251")</f>
        <v>0</v>
      </c>
      <c r="O8536" t="s">
        <v>20001</v>
      </c>
      <c r="P8536" t="s">
        <v>20401</v>
      </c>
      <c r="Q8536" t="s">
        <v>20974</v>
      </c>
      <c r="R8536" t="s">
        <v>421</v>
      </c>
      <c r="S8536">
        <v>226</v>
      </c>
    </row>
    <row r="8537" spans="1:19">
      <c r="A8537" t="s">
        <v>31</v>
      </c>
      <c r="B8537" t="s">
        <v>148</v>
      </c>
      <c r="C8537" t="s">
        <v>163</v>
      </c>
      <c r="D8537" t="s">
        <v>292</v>
      </c>
      <c r="E8537" t="s">
        <v>421</v>
      </c>
      <c r="F8537">
        <f>HYPERLINK("https://www.wikidata.org/wiki/Q33323183", "Q33323183")</f>
        <v>0</v>
      </c>
      <c r="G8537" t="s">
        <v>738</v>
      </c>
      <c r="H8537" t="s">
        <v>5496</v>
      </c>
      <c r="I8537" t="s">
        <v>9503</v>
      </c>
      <c r="J8537" t="s">
        <v>11487</v>
      </c>
      <c r="K8537" t="s">
        <v>15889</v>
      </c>
      <c r="L8537">
        <f>HYPERLINK("https://www2.assemblee-nationale.fr/sycomore/fiche/(num_dept)/5394", "5394")</f>
        <v>0</v>
      </c>
      <c r="M8537">
        <f>HYPERLINK("https://www.senat.fr/senateur-3eme-republique/de_monzie_anatole0605r3.html", "de_monzie_anatole0605r3")</f>
        <v>0</v>
      </c>
      <c r="N8537">
        <f>HYPERLINK("https://www.wikidata.org/wiki/Q2845619", "Q2845619")</f>
        <v>0</v>
      </c>
      <c r="O8537" t="s">
        <v>19974</v>
      </c>
      <c r="Q8537" t="s">
        <v>20975</v>
      </c>
      <c r="R8537" t="s">
        <v>421</v>
      </c>
      <c r="S8537">
        <v>205</v>
      </c>
    </row>
    <row r="8538" spans="1:19">
      <c r="A8538" t="s">
        <v>31</v>
      </c>
      <c r="B8538" t="s">
        <v>148</v>
      </c>
      <c r="C8538" t="s">
        <v>163</v>
      </c>
      <c r="D8538" t="s">
        <v>292</v>
      </c>
      <c r="E8538" t="s">
        <v>421</v>
      </c>
      <c r="F8538">
        <f>HYPERLINK("https://www.wikidata.org/wiki/Q33323183", "Q33323183")</f>
        <v>0</v>
      </c>
      <c r="G8538" t="s">
        <v>730</v>
      </c>
      <c r="H8538" t="s">
        <v>5488</v>
      </c>
      <c r="I8538" t="s">
        <v>6584</v>
      </c>
      <c r="J8538" t="s">
        <v>11479</v>
      </c>
      <c r="K8538" t="s">
        <v>15881</v>
      </c>
      <c r="L8538">
        <f>HYPERLINK("https://www2.assemblee-nationale.fr/sycomore/fiche/(num_dept)/5228", "5228")</f>
        <v>0</v>
      </c>
      <c r="N8538">
        <f>HYPERLINK("https://www.wikidata.org/wiki/Q2831425", "Q2831425")</f>
        <v>0</v>
      </c>
      <c r="O8538" t="s">
        <v>19973</v>
      </c>
      <c r="P8538" t="s">
        <v>20489</v>
      </c>
      <c r="Q8538" t="s">
        <v>18849</v>
      </c>
      <c r="R8538" t="s">
        <v>421</v>
      </c>
      <c r="S8538">
        <v>170</v>
      </c>
    </row>
    <row r="8539" spans="1:19">
      <c r="A8539" t="s">
        <v>31</v>
      </c>
      <c r="B8539" t="s">
        <v>148</v>
      </c>
      <c r="C8539" t="s">
        <v>163</v>
      </c>
      <c r="D8539" t="s">
        <v>292</v>
      </c>
      <c r="E8539" t="s">
        <v>421</v>
      </c>
      <c r="F8539">
        <f>HYPERLINK("https://www.wikidata.org/wiki/Q33323183", "Q33323183")</f>
        <v>0</v>
      </c>
      <c r="G8539" t="s">
        <v>1023</v>
      </c>
      <c r="H8539" t="s">
        <v>5773</v>
      </c>
      <c r="I8539" t="s">
        <v>9623</v>
      </c>
      <c r="J8539" t="s">
        <v>11760</v>
      </c>
      <c r="K8539" t="s">
        <v>16161</v>
      </c>
      <c r="L8539">
        <f>HYPERLINK("https://www2.assemblee-nationale.fr/sycomore/fiche/(num_dept)/5746", "5746")</f>
        <v>0</v>
      </c>
      <c r="N8539">
        <f>HYPERLINK("https://www.wikidata.org/wiki/Q3121301", "Q3121301")</f>
        <v>0</v>
      </c>
      <c r="O8539" t="s">
        <v>20019</v>
      </c>
      <c r="P8539" t="s">
        <v>20489</v>
      </c>
      <c r="Q8539" t="s">
        <v>20976</v>
      </c>
      <c r="R8539" t="s">
        <v>421</v>
      </c>
      <c r="S8539">
        <v>163</v>
      </c>
    </row>
    <row r="8540" spans="1:19">
      <c r="A8540" t="s">
        <v>32</v>
      </c>
      <c r="B8540" t="s">
        <v>149</v>
      </c>
      <c r="C8540" t="s">
        <v>164</v>
      </c>
      <c r="D8540" t="s">
        <v>293</v>
      </c>
      <c r="E8540" t="s">
        <v>422</v>
      </c>
      <c r="F8540">
        <f>HYPERLINK("https://www.wikidata.org/wiki/Q2431577", "Q2431577")</f>
        <v>0</v>
      </c>
      <c r="G8540" t="s">
        <v>512</v>
      </c>
      <c r="H8540" t="s">
        <v>5277</v>
      </c>
      <c r="I8540" t="s">
        <v>6495</v>
      </c>
      <c r="J8540" t="s">
        <v>11264</v>
      </c>
      <c r="K8540" t="s">
        <v>15664</v>
      </c>
      <c r="L8540">
        <f>HYPERLINK("https://www2.assemblee-nationale.fr/sycomore/fiche/(num_dept)/451", "451")</f>
        <v>0</v>
      </c>
      <c r="M8540">
        <f>HYPERLINK("https://www.senat.fr/senateur-3eme-republique/barthou_louis1071r3.html", "barthou_louis1071r3")</f>
        <v>0</v>
      </c>
      <c r="N8540">
        <f>HYPERLINK("https://www.wikidata.org/wiki/Q271887", "Q271887")</f>
        <v>0</v>
      </c>
      <c r="O8540" t="s">
        <v>20051</v>
      </c>
    </row>
    <row r="8541" spans="1:19">
      <c r="A8541" t="s">
        <v>32</v>
      </c>
      <c r="B8541" t="s">
        <v>149</v>
      </c>
      <c r="C8541" t="s">
        <v>164</v>
      </c>
      <c r="D8541" t="s">
        <v>293</v>
      </c>
      <c r="E8541" t="s">
        <v>422</v>
      </c>
      <c r="F8541">
        <f>HYPERLINK("https://www.wikidata.org/wiki/Q2431577", "Q2431577")</f>
        <v>0</v>
      </c>
      <c r="G8541" t="s">
        <v>512</v>
      </c>
      <c r="H8541" t="s">
        <v>5277</v>
      </c>
      <c r="I8541" t="s">
        <v>6495</v>
      </c>
      <c r="J8541" t="s">
        <v>11264</v>
      </c>
      <c r="K8541" t="s">
        <v>15664</v>
      </c>
      <c r="L8541">
        <f>HYPERLINK("https://www2.assemblee-nationale.fr/sycomore/fiche/(num_dept)/451", "451")</f>
        <v>0</v>
      </c>
      <c r="M8541">
        <f>HYPERLINK("https://www.senat.fr/senateur-3eme-republique/barthou_louis1071r3.html", "barthou_louis1071r3")</f>
        <v>0</v>
      </c>
      <c r="N8541">
        <f>HYPERLINK("https://www.wikidata.org/wiki/Q271887", "Q271887")</f>
        <v>0</v>
      </c>
      <c r="O8541" t="s">
        <v>20052</v>
      </c>
    </row>
    <row r="8542" spans="1:19">
      <c r="A8542" t="s">
        <v>32</v>
      </c>
      <c r="B8542" t="s">
        <v>149</v>
      </c>
      <c r="C8542" t="s">
        <v>164</v>
      </c>
      <c r="D8542" t="s">
        <v>293</v>
      </c>
      <c r="E8542" t="s">
        <v>422</v>
      </c>
      <c r="F8542">
        <f>HYPERLINK("https://www.wikidata.org/wiki/Q2431577", "Q2431577")</f>
        <v>0</v>
      </c>
      <c r="G8542" t="s">
        <v>3953</v>
      </c>
      <c r="H8542" t="s">
        <v>7891</v>
      </c>
      <c r="I8542" t="s">
        <v>6860</v>
      </c>
      <c r="J8542" t="s">
        <v>14504</v>
      </c>
      <c r="K8542" t="s">
        <v>18851</v>
      </c>
      <c r="L8542">
        <f>HYPERLINK("https://www2.assemblee-nationale.fr/sycomore/fiche/(num_dept)/491", "491")</f>
        <v>0</v>
      </c>
      <c r="M8542">
        <f>HYPERLINK("https://www.senat.fr/senateur-3eme-republique/baudin_pierre0016r3.html", "baudin_pierre0016r3")</f>
        <v>0</v>
      </c>
      <c r="N8542">
        <f>HYPERLINK("https://www.wikidata.org/wiki/Q2993834", "Q2993834")</f>
        <v>0</v>
      </c>
      <c r="O8542" t="s">
        <v>20053</v>
      </c>
    </row>
    <row r="8543" spans="1:19">
      <c r="A8543" t="s">
        <v>32</v>
      </c>
      <c r="B8543" t="s">
        <v>149</v>
      </c>
      <c r="C8543" t="s">
        <v>164</v>
      </c>
      <c r="D8543" t="s">
        <v>293</v>
      </c>
      <c r="E8543" t="s">
        <v>422</v>
      </c>
      <c r="F8543">
        <f>HYPERLINK("https://www.wikidata.org/wiki/Q2431577", "Q2431577")</f>
        <v>0</v>
      </c>
      <c r="G8543" t="s">
        <v>546</v>
      </c>
      <c r="H8543" t="s">
        <v>5309</v>
      </c>
      <c r="I8543" t="s">
        <v>9405</v>
      </c>
      <c r="J8543" t="s">
        <v>11298</v>
      </c>
      <c r="K8543" t="s">
        <v>15698</v>
      </c>
      <c r="L8543">
        <f>HYPERLINK("https://www2.assemblee-nationale.fr/sycomore/fiche/(num_dept)/1076", "1076")</f>
        <v>0</v>
      </c>
      <c r="N8543">
        <f>HYPERLINK("https://www.wikidata.org/wiki/Q3587968", "Q3587968")</f>
        <v>0</v>
      </c>
      <c r="O8543" t="s">
        <v>20054</v>
      </c>
    </row>
    <row r="8544" spans="1:19">
      <c r="A8544" t="s">
        <v>32</v>
      </c>
      <c r="B8544" t="s">
        <v>149</v>
      </c>
      <c r="C8544" t="s">
        <v>164</v>
      </c>
      <c r="D8544" t="s">
        <v>293</v>
      </c>
      <c r="E8544" t="s">
        <v>422</v>
      </c>
      <c r="F8544">
        <f>HYPERLINK("https://www.wikidata.org/wiki/Q2431577", "Q2431577")</f>
        <v>0</v>
      </c>
      <c r="G8544" t="s">
        <v>576</v>
      </c>
      <c r="H8544" t="s">
        <v>5338</v>
      </c>
      <c r="I8544" t="s">
        <v>6478</v>
      </c>
      <c r="J8544" t="s">
        <v>11327</v>
      </c>
      <c r="K8544" t="s">
        <v>15728</v>
      </c>
      <c r="L8544">
        <f>HYPERLINK("https://www2.assemblee-nationale.fr/sycomore/fiche/(num_dept)/1768", "1768")</f>
        <v>0</v>
      </c>
      <c r="M8544">
        <f>HYPERLINK("https://www.senat.fr/senateur-3eme-republique/cheron_henry0337r3.html", "cheron_henry0337r3")</f>
        <v>0</v>
      </c>
      <c r="N8544">
        <f>HYPERLINK("https://www.wikidata.org/wiki/Q3132698", "Q3132698")</f>
        <v>0</v>
      </c>
      <c r="O8544" t="s">
        <v>20055</v>
      </c>
    </row>
    <row r="8545" spans="1:15">
      <c r="A8545" t="s">
        <v>32</v>
      </c>
      <c r="B8545" t="s">
        <v>149</v>
      </c>
      <c r="C8545" t="s">
        <v>164</v>
      </c>
      <c r="D8545" t="s">
        <v>293</v>
      </c>
      <c r="E8545" t="s">
        <v>422</v>
      </c>
      <c r="F8545">
        <f>HYPERLINK("https://www.wikidata.org/wiki/Q2431577", "Q2431577")</f>
        <v>0</v>
      </c>
      <c r="G8545" t="s">
        <v>579</v>
      </c>
      <c r="H8545" t="s">
        <v>5341</v>
      </c>
      <c r="I8545" t="s">
        <v>5394</v>
      </c>
      <c r="J8545" t="s">
        <v>11330</v>
      </c>
      <c r="K8545" t="s">
        <v>15731</v>
      </c>
      <c r="L8545">
        <f>HYPERLINK("https://www2.assemblee-nationale.fr/sycomore/fiche/(num_dept)/1849", "1849")</f>
        <v>0</v>
      </c>
      <c r="M8545">
        <f>HYPERLINK("https://www.senat.fr/senateur-3eme-republique/clementel_etienne1006r3.html", "clementel_etienne1006r3")</f>
        <v>0</v>
      </c>
      <c r="N8545">
        <f>HYPERLINK("https://www.wikidata.org/wiki/Q3592114", "Q3592114")</f>
        <v>0</v>
      </c>
      <c r="O8545" t="s">
        <v>20056</v>
      </c>
    </row>
    <row r="8546" spans="1:15">
      <c r="A8546" t="s">
        <v>32</v>
      </c>
      <c r="B8546" t="s">
        <v>149</v>
      </c>
      <c r="C8546" t="s">
        <v>164</v>
      </c>
      <c r="D8546" t="s">
        <v>293</v>
      </c>
      <c r="E8546" t="s">
        <v>422</v>
      </c>
      <c r="F8546">
        <f>HYPERLINK("https://www.wikidata.org/wiki/Q2431577", "Q2431577")</f>
        <v>0</v>
      </c>
      <c r="G8546" t="s">
        <v>635</v>
      </c>
      <c r="H8546" t="s">
        <v>5394</v>
      </c>
      <c r="I8546" t="s">
        <v>9465</v>
      </c>
      <c r="J8546" t="s">
        <v>11385</v>
      </c>
      <c r="K8546" t="s">
        <v>15787</v>
      </c>
      <c r="L8546">
        <f>HYPERLINK("https://www2.assemblee-nationale.fr/sycomore/fiche/(num_dept)/2861", "2861")</f>
        <v>0</v>
      </c>
      <c r="M8546">
        <f>HYPERLINK("https://www.senat.fr/senateur-3eme-republique/etienne_eugene1824r3.html", "etienne_eugene1824r3")</f>
        <v>0</v>
      </c>
      <c r="N8546">
        <f>HYPERLINK("https://www.wikidata.org/wiki/Q2612305", "Q2612305")</f>
        <v>0</v>
      </c>
      <c r="O8546" t="s">
        <v>20057</v>
      </c>
    </row>
    <row r="8547" spans="1:15">
      <c r="A8547" t="s">
        <v>32</v>
      </c>
      <c r="B8547" t="s">
        <v>149</v>
      </c>
      <c r="C8547" t="s">
        <v>164</v>
      </c>
      <c r="D8547" t="s">
        <v>293</v>
      </c>
      <c r="E8547" t="s">
        <v>422</v>
      </c>
      <c r="F8547">
        <f>HYPERLINK("https://www.wikidata.org/wiki/Q2431577", "Q2431577")</f>
        <v>0</v>
      </c>
      <c r="G8547" t="s">
        <v>696</v>
      </c>
      <c r="H8547" t="s">
        <v>5454</v>
      </c>
      <c r="I8547" t="s">
        <v>9484</v>
      </c>
      <c r="J8547" t="s">
        <v>11446</v>
      </c>
      <c r="K8547" t="s">
        <v>15847</v>
      </c>
      <c r="L8547">
        <f>HYPERLINK("https://www2.assemblee-nationale.fr/sycomore/fiche/(num_dept)/4148", "4148")</f>
        <v>0</v>
      </c>
      <c r="M8547">
        <f>HYPERLINK("https://www.senat.fr/senateur-3eme-republique/klotz_louis1683r3.html", "klotz_louis1683r3")</f>
        <v>0</v>
      </c>
      <c r="N8547">
        <f>HYPERLINK("https://www.wikidata.org/wiki/Q179586", "Q179586")</f>
        <v>0</v>
      </c>
      <c r="O8547" t="s">
        <v>20058</v>
      </c>
    </row>
    <row r="8548" spans="1:15">
      <c r="A8548" t="s">
        <v>32</v>
      </c>
      <c r="B8548" t="s">
        <v>149</v>
      </c>
      <c r="C8548" t="s">
        <v>164</v>
      </c>
      <c r="D8548" t="s">
        <v>293</v>
      </c>
      <c r="E8548" t="s">
        <v>422</v>
      </c>
      <c r="F8548">
        <f>HYPERLINK("https://www.wikidata.org/wiki/Q2431577", "Q2431577")</f>
        <v>0</v>
      </c>
      <c r="G8548" t="s">
        <v>998</v>
      </c>
      <c r="H8548" t="s">
        <v>5750</v>
      </c>
      <c r="I8548" t="s">
        <v>9458</v>
      </c>
      <c r="J8548" t="s">
        <v>11736</v>
      </c>
      <c r="K8548" t="s">
        <v>16139</v>
      </c>
      <c r="L8548">
        <f>HYPERLINK("https://www2.assemblee-nationale.fr/sycomore/fiche/(num_dept)/5071", "5071")</f>
        <v>0</v>
      </c>
      <c r="M8548">
        <f>HYPERLINK("https://www.senat.fr/senateur-3eme-republique/masse_alfred1255r3.html", "masse_alfred1255r3")</f>
        <v>0</v>
      </c>
      <c r="N8548">
        <f>HYPERLINK("https://www.wikidata.org/wiki/Q2835313", "Q2835313")</f>
        <v>0</v>
      </c>
      <c r="O8548" t="s">
        <v>20059</v>
      </c>
    </row>
    <row r="8549" spans="1:15">
      <c r="A8549" t="s">
        <v>32</v>
      </c>
      <c r="B8549" t="s">
        <v>149</v>
      </c>
      <c r="C8549" t="s">
        <v>164</v>
      </c>
      <c r="D8549" t="s">
        <v>293</v>
      </c>
      <c r="E8549" t="s">
        <v>422</v>
      </c>
      <c r="F8549">
        <f>HYPERLINK("https://www.wikidata.org/wiki/Q2431577", "Q2431577")</f>
        <v>0</v>
      </c>
      <c r="G8549" t="s">
        <v>738</v>
      </c>
      <c r="H8549" t="s">
        <v>5496</v>
      </c>
      <c r="I8549" t="s">
        <v>9503</v>
      </c>
      <c r="J8549" t="s">
        <v>11487</v>
      </c>
      <c r="K8549" t="s">
        <v>15889</v>
      </c>
      <c r="L8549">
        <f>HYPERLINK("https://www2.assemblee-nationale.fr/sycomore/fiche/(num_dept)/5394", "5394")</f>
        <v>0</v>
      </c>
      <c r="M8549">
        <f>HYPERLINK("https://www.senat.fr/senateur-3eme-republique/de_monzie_anatole0605r3.html", "de_monzie_anatole0605r3")</f>
        <v>0</v>
      </c>
      <c r="N8549">
        <f>HYPERLINK("https://www.wikidata.org/wiki/Q2845619", "Q2845619")</f>
        <v>0</v>
      </c>
      <c r="O8549" t="s">
        <v>20060</v>
      </c>
    </row>
    <row r="8550" spans="1:15">
      <c r="A8550" t="s">
        <v>32</v>
      </c>
      <c r="B8550" t="s">
        <v>149</v>
      </c>
      <c r="C8550" t="s">
        <v>164</v>
      </c>
      <c r="D8550" t="s">
        <v>293</v>
      </c>
      <c r="E8550" t="s">
        <v>422</v>
      </c>
      <c r="F8550">
        <f>HYPERLINK("https://www.wikidata.org/wiki/Q2431577", "Q2431577")</f>
        <v>0</v>
      </c>
      <c r="G8550" t="s">
        <v>740</v>
      </c>
      <c r="H8550" t="s">
        <v>5498</v>
      </c>
      <c r="I8550" t="s">
        <v>9388</v>
      </c>
      <c r="J8550" t="s">
        <v>11489</v>
      </c>
      <c r="K8550" t="s">
        <v>15891</v>
      </c>
      <c r="L8550">
        <f>HYPERLINK("https://www2.assemblee-nationale.fr/sycomore/fiche/(num_dept)/5413", "5413")</f>
        <v>0</v>
      </c>
      <c r="N8550">
        <f>HYPERLINK("https://www.wikidata.org/wiki/Q3371866", "Q3371866")</f>
        <v>0</v>
      </c>
      <c r="O8550" t="s">
        <v>20061</v>
      </c>
    </row>
    <row r="8551" spans="1:15">
      <c r="A8551" t="s">
        <v>32</v>
      </c>
      <c r="B8551" t="s">
        <v>149</v>
      </c>
      <c r="C8551" t="s">
        <v>164</v>
      </c>
      <c r="D8551" t="s">
        <v>293</v>
      </c>
      <c r="E8551" t="s">
        <v>422</v>
      </c>
      <c r="F8551">
        <f>HYPERLINK("https://www.wikidata.org/wiki/Q2431577", "Q2431577")</f>
        <v>0</v>
      </c>
      <c r="G8551" t="s">
        <v>3276</v>
      </c>
      <c r="H8551" t="s">
        <v>7691</v>
      </c>
      <c r="I8551" t="s">
        <v>10740</v>
      </c>
      <c r="J8551" t="s">
        <v>13890</v>
      </c>
      <c r="K8551" t="s">
        <v>18262</v>
      </c>
      <c r="L8551">
        <f>HYPERLINK("https://www2.assemblee-nationale.fr/sycomore/fiche/(num_dept)/5905", "5905")</f>
        <v>0</v>
      </c>
      <c r="M8551">
        <f>HYPERLINK("https://www.senat.fr/senateur-3eme-republique/pichon_stephen0429r3.html", "pichon_stephen0429r3")</f>
        <v>0</v>
      </c>
      <c r="N8551">
        <f>HYPERLINK("https://www.wikidata.org/wiki/Q1069292", "Q1069292")</f>
        <v>0</v>
      </c>
      <c r="O8551" t="s">
        <v>20062</v>
      </c>
    </row>
    <row r="8552" spans="1:15">
      <c r="A8552" t="s">
        <v>32</v>
      </c>
      <c r="B8552" t="s">
        <v>149</v>
      </c>
      <c r="C8552" t="s">
        <v>164</v>
      </c>
      <c r="D8552" t="s">
        <v>293</v>
      </c>
      <c r="E8552" t="s">
        <v>422</v>
      </c>
      <c r="F8552">
        <f>HYPERLINK("https://www.wikidata.org/wiki/Q2431577", "Q2431577")</f>
        <v>0</v>
      </c>
      <c r="G8552" t="s">
        <v>817</v>
      </c>
      <c r="H8552" t="s">
        <v>5574</v>
      </c>
      <c r="I8552" t="s">
        <v>9407</v>
      </c>
      <c r="J8552" t="s">
        <v>11564</v>
      </c>
      <c r="K8552" t="s">
        <v>15968</v>
      </c>
      <c r="L8552">
        <f>HYPERLINK("https://www2.assemblee-nationale.fr/sycomore/fiche/(num_dept)/7030", "7030")</f>
        <v>0</v>
      </c>
      <c r="N8552">
        <f>HYPERLINK("https://www.wikidata.org/wiki/Q3185677", "Q3185677")</f>
        <v>0</v>
      </c>
      <c r="O8552" t="s">
        <v>20063</v>
      </c>
    </row>
    <row r="8553" spans="1:15">
      <c r="A8553" t="s">
        <v>32</v>
      </c>
      <c r="B8553" t="s">
        <v>149</v>
      </c>
      <c r="C8553" t="s">
        <v>164</v>
      </c>
      <c r="D8553" t="s">
        <v>293</v>
      </c>
      <c r="E8553" t="s">
        <v>422</v>
      </c>
      <c r="F8553">
        <f>HYPERLINK("https://www.wikidata.org/wiki/Q2431577", "Q2431577")</f>
        <v>0</v>
      </c>
      <c r="G8553" t="s">
        <v>4224</v>
      </c>
      <c r="H8553" t="s">
        <v>8404</v>
      </c>
      <c r="I8553" t="s">
        <v>9608</v>
      </c>
      <c r="J8553" t="s">
        <v>11706</v>
      </c>
      <c r="K8553" t="s">
        <v>19077</v>
      </c>
      <c r="M8553">
        <f>HYPERLINK("https://www.senat.fr/senateur-3eme-republique/ratier_antony0259r3.html", "ratier_antony0259r3")</f>
        <v>0</v>
      </c>
      <c r="N8553">
        <f>HYPERLINK("https://www.wikidata.org/wiki/Q2342450", "Q2342450")</f>
        <v>0</v>
      </c>
      <c r="O8553" t="s">
        <v>20064</v>
      </c>
    </row>
    <row r="8554" spans="1:15">
      <c r="A8554" t="s">
        <v>32</v>
      </c>
      <c r="B8554" t="s">
        <v>149</v>
      </c>
      <c r="C8554" t="s">
        <v>164</v>
      </c>
      <c r="D8554" t="s">
        <v>293</v>
      </c>
      <c r="E8554" t="s">
        <v>422</v>
      </c>
      <c r="F8554">
        <f>HYPERLINK("https://www.wikidata.org/wiki/Q2431577", "Q2431577")</f>
        <v>0</v>
      </c>
      <c r="G8554" t="s">
        <v>4225</v>
      </c>
      <c r="H8554" t="s">
        <v>5498</v>
      </c>
      <c r="I8554" t="s">
        <v>6200</v>
      </c>
      <c r="J8554" t="s">
        <v>11488</v>
      </c>
      <c r="K8554" t="s">
        <v>15890</v>
      </c>
      <c r="N8554">
        <f>HYPERLINK("https://www.wikidata.org/wiki/Q2947187", "Q2947187")</f>
        <v>0</v>
      </c>
      <c r="O8554" t="s">
        <v>20065</v>
      </c>
    </row>
    <row r="8555" spans="1:15">
      <c r="A8555" t="s">
        <v>32</v>
      </c>
      <c r="B8555" t="s">
        <v>149</v>
      </c>
      <c r="C8555" t="s">
        <v>164</v>
      </c>
      <c r="D8555" t="s">
        <v>293</v>
      </c>
      <c r="E8555" t="s">
        <v>422</v>
      </c>
      <c r="F8555">
        <f>HYPERLINK("https://www.wikidata.org/wiki/Q2431577", "Q2431577")</f>
        <v>0</v>
      </c>
      <c r="G8555" t="s">
        <v>948</v>
      </c>
      <c r="H8555" t="s">
        <v>5386</v>
      </c>
      <c r="I8555" t="s">
        <v>9385</v>
      </c>
      <c r="J8555" t="s">
        <v>11689</v>
      </c>
      <c r="K8555" t="s">
        <v>16090</v>
      </c>
      <c r="N8555">
        <f>HYPERLINK("https://www.wikidata.org/wiki/Q475755", "Q475755")</f>
        <v>0</v>
      </c>
      <c r="O8555" t="s">
        <v>20066</v>
      </c>
    </row>
    <row r="8556" spans="1:15">
      <c r="A8556" t="s">
        <v>32</v>
      </c>
      <c r="B8556" t="s">
        <v>149</v>
      </c>
      <c r="C8556" t="s">
        <v>164</v>
      </c>
      <c r="D8556" t="s">
        <v>293</v>
      </c>
      <c r="E8556" t="s">
        <v>422</v>
      </c>
      <c r="F8556">
        <f>HYPERLINK("https://www.wikidata.org/wiki/Q2431577", "Q2431577")</f>
        <v>0</v>
      </c>
      <c r="G8556" t="s">
        <v>522</v>
      </c>
      <c r="H8556" t="s">
        <v>5286</v>
      </c>
      <c r="I8556" t="s">
        <v>5528</v>
      </c>
      <c r="J8556" t="s">
        <v>11274</v>
      </c>
      <c r="K8556" t="s">
        <v>19078</v>
      </c>
      <c r="N8556">
        <f>HYPERLINK("https://www.wikidata.org/wiki/Q18384890", "Q18384890")</f>
        <v>0</v>
      </c>
      <c r="O8556" t="s">
        <v>20067</v>
      </c>
    </row>
    <row r="8557" spans="1:15">
      <c r="A8557" t="s">
        <v>33</v>
      </c>
      <c r="B8557" t="s">
        <v>149</v>
      </c>
      <c r="C8557" t="s">
        <v>165</v>
      </c>
      <c r="D8557" t="s">
        <v>294</v>
      </c>
      <c r="E8557" t="s">
        <v>423</v>
      </c>
      <c r="F8557">
        <f>HYPERLINK("https://www.wikidata.org/wiki/Q3112253", "Q3112253")</f>
        <v>0</v>
      </c>
      <c r="G8557" t="s">
        <v>1985</v>
      </c>
      <c r="H8557" t="s">
        <v>6623</v>
      </c>
      <c r="I8557" t="s">
        <v>9500</v>
      </c>
      <c r="J8557" t="s">
        <v>12520</v>
      </c>
      <c r="K8557" t="s">
        <v>17076</v>
      </c>
      <c r="L8557">
        <f>HYPERLINK("https://www2.assemblee-nationale.fr/sycomore/fiche/(num_dept)/228", "228")</f>
        <v>0</v>
      </c>
      <c r="N8557">
        <f>HYPERLINK("https://www.wikidata.org/wiki/Q3419119", "Q3419119")</f>
        <v>0</v>
      </c>
      <c r="O8557" t="s">
        <v>20068</v>
      </c>
    </row>
    <row r="8558" spans="1:15">
      <c r="A8558" t="s">
        <v>33</v>
      </c>
      <c r="B8558" t="s">
        <v>149</v>
      </c>
      <c r="C8558" t="s">
        <v>165</v>
      </c>
      <c r="D8558" t="s">
        <v>294</v>
      </c>
      <c r="E8558" t="s">
        <v>423</v>
      </c>
      <c r="F8558">
        <f>HYPERLINK("https://www.wikidata.org/wiki/Q3112253", "Q3112253")</f>
        <v>0</v>
      </c>
      <c r="G8558" t="s">
        <v>1217</v>
      </c>
      <c r="H8558" t="s">
        <v>5622</v>
      </c>
      <c r="I8558" t="s">
        <v>5812</v>
      </c>
      <c r="J8558" t="s">
        <v>11949</v>
      </c>
      <c r="K8558" t="s">
        <v>16351</v>
      </c>
      <c r="L8558">
        <f>HYPERLINK("https://www2.assemblee-nationale.fr/sycomore/fiche/(num_dept)/285", "285")</f>
        <v>0</v>
      </c>
      <c r="N8558">
        <f>HYPERLINK("https://www.wikidata.org/wiki/Q158772", "Q158772")</f>
        <v>0</v>
      </c>
      <c r="O8558" t="s">
        <v>20066</v>
      </c>
    </row>
    <row r="8559" spans="1:15">
      <c r="A8559" t="s">
        <v>33</v>
      </c>
      <c r="B8559" t="s">
        <v>149</v>
      </c>
      <c r="C8559" t="s">
        <v>165</v>
      </c>
      <c r="D8559" t="s">
        <v>294</v>
      </c>
      <c r="E8559" t="s">
        <v>423</v>
      </c>
      <c r="F8559">
        <f>HYPERLINK("https://www.wikidata.org/wiki/Q3112253", "Q3112253")</f>
        <v>0</v>
      </c>
      <c r="G8559" t="s">
        <v>1711</v>
      </c>
      <c r="H8559" t="s">
        <v>6386</v>
      </c>
      <c r="I8559" t="s">
        <v>9388</v>
      </c>
      <c r="J8559" t="s">
        <v>12414</v>
      </c>
      <c r="K8559" t="s">
        <v>16821</v>
      </c>
      <c r="L8559">
        <f>HYPERLINK("https://www2.assemblee-nationale.fr/sycomore/fiche/(num_dept)/471", "471")</f>
        <v>0</v>
      </c>
      <c r="N8559">
        <f>HYPERLINK("https://www.wikidata.org/wiki/Q2058829", "Q2058829")</f>
        <v>0</v>
      </c>
      <c r="O8559" t="s">
        <v>20069</v>
      </c>
    </row>
    <row r="8560" spans="1:15">
      <c r="A8560" t="s">
        <v>33</v>
      </c>
      <c r="B8560" t="s">
        <v>149</v>
      </c>
      <c r="C8560" t="s">
        <v>165</v>
      </c>
      <c r="D8560" t="s">
        <v>294</v>
      </c>
      <c r="E8560" t="s">
        <v>423</v>
      </c>
      <c r="F8560">
        <f>HYPERLINK("https://www.wikidata.org/wiki/Q3112253", "Q3112253")</f>
        <v>0</v>
      </c>
      <c r="G8560" t="s">
        <v>871</v>
      </c>
      <c r="H8560" t="s">
        <v>5627</v>
      </c>
      <c r="I8560" t="s">
        <v>6584</v>
      </c>
      <c r="J8560" t="s">
        <v>11617</v>
      </c>
      <c r="K8560" t="s">
        <v>16019</v>
      </c>
      <c r="L8560">
        <f>HYPERLINK("https://www2.assemblee-nationale.fr/sycomore/fiche/(num_dept)/564", "564")</f>
        <v>0</v>
      </c>
      <c r="N8560">
        <f>HYPERLINK("https://www.wikidata.org/wiki/Q2830945", "Q2830945")</f>
        <v>0</v>
      </c>
      <c r="O8560" t="s">
        <v>20063</v>
      </c>
    </row>
    <row r="8561" spans="1:15">
      <c r="A8561" t="s">
        <v>33</v>
      </c>
      <c r="B8561" t="s">
        <v>149</v>
      </c>
      <c r="C8561" t="s">
        <v>165</v>
      </c>
      <c r="D8561" t="s">
        <v>294</v>
      </c>
      <c r="E8561" t="s">
        <v>423</v>
      </c>
      <c r="F8561">
        <f>HYPERLINK("https://www.wikidata.org/wiki/Q3112253", "Q3112253")</f>
        <v>0</v>
      </c>
      <c r="G8561" t="s">
        <v>2007</v>
      </c>
      <c r="H8561" t="s">
        <v>6641</v>
      </c>
      <c r="I8561" t="s">
        <v>6166</v>
      </c>
      <c r="J8561" t="s">
        <v>12686</v>
      </c>
      <c r="K8561" t="s">
        <v>17095</v>
      </c>
      <c r="L8561">
        <f>HYPERLINK("https://www2.assemblee-nationale.fr/sycomore/fiche/(num_dept)/857", "857")</f>
        <v>0</v>
      </c>
      <c r="N8561">
        <f>HYPERLINK("https://www.wikidata.org/wiki/Q3083995", "Q3083995")</f>
        <v>0</v>
      </c>
      <c r="O8561" t="s">
        <v>20070</v>
      </c>
    </row>
    <row r="8562" spans="1:15">
      <c r="A8562" t="s">
        <v>33</v>
      </c>
      <c r="B8562" t="s">
        <v>149</v>
      </c>
      <c r="C8562" t="s">
        <v>165</v>
      </c>
      <c r="D8562" t="s">
        <v>294</v>
      </c>
      <c r="E8562" t="s">
        <v>423</v>
      </c>
      <c r="F8562">
        <f>HYPERLINK("https://www.wikidata.org/wiki/Q3112253", "Q3112253")</f>
        <v>0</v>
      </c>
      <c r="G8562" t="s">
        <v>1380</v>
      </c>
      <c r="H8562" t="s">
        <v>6091</v>
      </c>
      <c r="I8562" t="s">
        <v>5528</v>
      </c>
      <c r="J8562" t="s">
        <v>12106</v>
      </c>
      <c r="K8562" t="s">
        <v>16507</v>
      </c>
      <c r="L8562">
        <f>HYPERLINK("https://www2.assemblee-nationale.fr/sycomore/fiche/(num_dept)/880", "880")</f>
        <v>0</v>
      </c>
      <c r="N8562">
        <f>HYPERLINK("https://www.wikidata.org/wiki/Q18434", "Q18434")</f>
        <v>0</v>
      </c>
      <c r="O8562" t="s">
        <v>20058</v>
      </c>
    </row>
    <row r="8563" spans="1:15">
      <c r="A8563" t="s">
        <v>33</v>
      </c>
      <c r="B8563" t="s">
        <v>149</v>
      </c>
      <c r="C8563" t="s">
        <v>165</v>
      </c>
      <c r="D8563" t="s">
        <v>294</v>
      </c>
      <c r="E8563" t="s">
        <v>423</v>
      </c>
      <c r="F8563">
        <f>HYPERLINK("https://www.wikidata.org/wiki/Q3112253", "Q3112253")</f>
        <v>0</v>
      </c>
      <c r="G8563" t="s">
        <v>1380</v>
      </c>
      <c r="H8563" t="s">
        <v>6091</v>
      </c>
      <c r="I8563" t="s">
        <v>5528</v>
      </c>
      <c r="J8563" t="s">
        <v>12106</v>
      </c>
      <c r="K8563" t="s">
        <v>16507</v>
      </c>
      <c r="L8563">
        <f>HYPERLINK("https://www2.assemblee-nationale.fr/sycomore/fiche/(num_dept)/880", "880")</f>
        <v>0</v>
      </c>
      <c r="N8563">
        <f>HYPERLINK("https://www.wikidata.org/wiki/Q18434", "Q18434")</f>
        <v>0</v>
      </c>
      <c r="O8563" t="s">
        <v>20052</v>
      </c>
    </row>
    <row r="8564" spans="1:15">
      <c r="A8564" t="s">
        <v>33</v>
      </c>
      <c r="B8564" t="s">
        <v>149</v>
      </c>
      <c r="C8564" t="s">
        <v>165</v>
      </c>
      <c r="D8564" t="s">
        <v>294</v>
      </c>
      <c r="E8564" t="s">
        <v>423</v>
      </c>
      <c r="F8564">
        <f>HYPERLINK("https://www.wikidata.org/wiki/Q3112253", "Q3112253")</f>
        <v>0</v>
      </c>
      <c r="G8564" t="s">
        <v>1410</v>
      </c>
      <c r="H8564" t="s">
        <v>5337</v>
      </c>
      <c r="I8564" t="s">
        <v>9506</v>
      </c>
      <c r="J8564" t="s">
        <v>12135</v>
      </c>
      <c r="K8564" t="s">
        <v>16537</v>
      </c>
      <c r="L8564">
        <f>HYPERLINK("https://www2.assemblee-nationale.fr/sycomore/fiche/(num_dept)/1726", "1726")</f>
        <v>0</v>
      </c>
      <c r="M8564">
        <f>HYPERLINK("https://www.senat.fr/senateur-3eme-republique/chautemps_camille0380r3.html", "chautemps_camille0380r3")</f>
        <v>0</v>
      </c>
      <c r="N8564">
        <f>HYPERLINK("https://www.wikidata.org/wiki/Q263884", "Q263884")</f>
        <v>0</v>
      </c>
      <c r="O8564" t="s">
        <v>20071</v>
      </c>
    </row>
    <row r="8565" spans="1:15">
      <c r="A8565" t="s">
        <v>33</v>
      </c>
      <c r="B8565" t="s">
        <v>149</v>
      </c>
      <c r="C8565" t="s">
        <v>165</v>
      </c>
      <c r="D8565" t="s">
        <v>294</v>
      </c>
      <c r="E8565" t="s">
        <v>423</v>
      </c>
      <c r="F8565">
        <f>HYPERLINK("https://www.wikidata.org/wiki/Q3112253", "Q3112253")</f>
        <v>0</v>
      </c>
      <c r="G8565" t="s">
        <v>1946</v>
      </c>
      <c r="H8565" t="s">
        <v>6590</v>
      </c>
      <c r="I8565" t="s">
        <v>6860</v>
      </c>
      <c r="J8565" t="s">
        <v>12630</v>
      </c>
      <c r="K8565" t="s">
        <v>17040</v>
      </c>
      <c r="L8565">
        <f>HYPERLINK("https://www2.assemblee-nationale.fr/sycomore/fiche/(num_dept)/1997", "1997")</f>
        <v>0</v>
      </c>
      <c r="N8565">
        <f>HYPERLINK("https://www.wikidata.org/wiki/Q2274693", "Q2274693")</f>
        <v>0</v>
      </c>
      <c r="O8565" t="s">
        <v>20072</v>
      </c>
    </row>
    <row r="8566" spans="1:15">
      <c r="A8566" t="s">
        <v>33</v>
      </c>
      <c r="B8566" t="s">
        <v>149</v>
      </c>
      <c r="C8566" t="s">
        <v>165</v>
      </c>
      <c r="D8566" t="s">
        <v>294</v>
      </c>
      <c r="E8566" t="s">
        <v>423</v>
      </c>
      <c r="F8566">
        <f>HYPERLINK("https://www.wikidata.org/wiki/Q3112253", "Q3112253")</f>
        <v>0</v>
      </c>
      <c r="G8566" t="s">
        <v>1423</v>
      </c>
      <c r="H8566" t="s">
        <v>6128</v>
      </c>
      <c r="I8566" t="s">
        <v>9728</v>
      </c>
      <c r="J8566" t="s">
        <v>12147</v>
      </c>
      <c r="K8566" t="s">
        <v>16549</v>
      </c>
      <c r="L8566">
        <f>HYPERLINK("https://www2.assemblee-nationale.fr/sycomore/fiche/(num_dept)/2105", "2105")</f>
        <v>0</v>
      </c>
      <c r="N8566">
        <f>HYPERLINK("https://www.wikidata.org/wiki/Q213526", "Q213526")</f>
        <v>0</v>
      </c>
      <c r="O8566" t="s">
        <v>20073</v>
      </c>
    </row>
    <row r="8567" spans="1:15">
      <c r="A8567" t="s">
        <v>33</v>
      </c>
      <c r="B8567" t="s">
        <v>149</v>
      </c>
      <c r="C8567" t="s">
        <v>165</v>
      </c>
      <c r="D8567" t="s">
        <v>294</v>
      </c>
      <c r="E8567" t="s">
        <v>423</v>
      </c>
      <c r="F8567">
        <f>HYPERLINK("https://www.wikidata.org/wiki/Q3112253", "Q3112253")</f>
        <v>0</v>
      </c>
      <c r="G8567" t="s">
        <v>1423</v>
      </c>
      <c r="H8567" t="s">
        <v>6128</v>
      </c>
      <c r="I8567" t="s">
        <v>9728</v>
      </c>
      <c r="J8567" t="s">
        <v>12147</v>
      </c>
      <c r="K8567" t="s">
        <v>16549</v>
      </c>
      <c r="L8567">
        <f>HYPERLINK("https://www2.assemblee-nationale.fr/sycomore/fiche/(num_dept)/2105", "2105")</f>
        <v>0</v>
      </c>
      <c r="N8567">
        <f>HYPERLINK("https://www.wikidata.org/wiki/Q213526", "Q213526")</f>
        <v>0</v>
      </c>
      <c r="O8567" t="s">
        <v>20074</v>
      </c>
    </row>
    <row r="8568" spans="1:15">
      <c r="A8568" t="s">
        <v>33</v>
      </c>
      <c r="B8568" t="s">
        <v>149</v>
      </c>
      <c r="C8568" t="s">
        <v>165</v>
      </c>
      <c r="D8568" t="s">
        <v>294</v>
      </c>
      <c r="E8568" t="s">
        <v>423</v>
      </c>
      <c r="F8568">
        <f>HYPERLINK("https://www.wikidata.org/wiki/Q3112253", "Q3112253")</f>
        <v>0</v>
      </c>
      <c r="G8568" t="s">
        <v>1778</v>
      </c>
      <c r="H8568" t="s">
        <v>6446</v>
      </c>
      <c r="I8568" t="s">
        <v>9946</v>
      </c>
      <c r="J8568" t="s">
        <v>12475</v>
      </c>
      <c r="K8568" t="s">
        <v>16884</v>
      </c>
      <c r="L8568">
        <f>HYPERLINK("https://www2.assemblee-nationale.fr/sycomore/fiche/(num_dept)/2282", "2282")</f>
        <v>0</v>
      </c>
      <c r="N8568">
        <f>HYPERLINK("https://www.wikidata.org/wiki/Q362673", "Q362673")</f>
        <v>0</v>
      </c>
      <c r="O8568" t="s">
        <v>20062</v>
      </c>
    </row>
    <row r="8569" spans="1:15">
      <c r="A8569" t="s">
        <v>33</v>
      </c>
      <c r="B8569" t="s">
        <v>149</v>
      </c>
      <c r="C8569" t="s">
        <v>165</v>
      </c>
      <c r="D8569" t="s">
        <v>294</v>
      </c>
      <c r="E8569" t="s">
        <v>423</v>
      </c>
      <c r="F8569">
        <f>HYPERLINK("https://www.wikidata.org/wiki/Q3112253", "Q3112253")</f>
        <v>0</v>
      </c>
      <c r="G8569" t="s">
        <v>1437</v>
      </c>
      <c r="H8569" t="s">
        <v>6139</v>
      </c>
      <c r="I8569" t="s">
        <v>6860</v>
      </c>
      <c r="J8569" t="s">
        <v>12158</v>
      </c>
      <c r="K8569" t="s">
        <v>16563</v>
      </c>
      <c r="L8569">
        <f>HYPERLINK("https://www2.assemblee-nationale.fr/sycomore/fiche/(num_dept)/2490", "2490")</f>
        <v>0</v>
      </c>
      <c r="N8569">
        <f>HYPERLINK("https://www.wikidata.org/wiki/Q3384896", "Q3384896")</f>
        <v>0</v>
      </c>
      <c r="O8569" t="s">
        <v>20075</v>
      </c>
    </row>
    <row r="8570" spans="1:15">
      <c r="A8570" t="s">
        <v>33</v>
      </c>
      <c r="B8570" t="s">
        <v>149</v>
      </c>
      <c r="C8570" t="s">
        <v>165</v>
      </c>
      <c r="D8570" t="s">
        <v>294</v>
      </c>
      <c r="E8570" t="s">
        <v>423</v>
      </c>
      <c r="F8570">
        <f>HYPERLINK("https://www.wikidata.org/wiki/Q3112253", "Q3112253")</f>
        <v>0</v>
      </c>
      <c r="G8570" t="s">
        <v>2235</v>
      </c>
      <c r="H8570" t="s">
        <v>6142</v>
      </c>
      <c r="I8570" t="s">
        <v>10127</v>
      </c>
      <c r="J8570" t="s">
        <v>12896</v>
      </c>
      <c r="K8570" t="s">
        <v>17307</v>
      </c>
      <c r="L8570">
        <f>HYPERLINK("https://www2.assemblee-nationale.fr/sycomore/fiche/(num_dept)/2560", "2560")</f>
        <v>0</v>
      </c>
      <c r="M8570">
        <f>HYPERLINK("https://www.senat.fr/senateur-3eme-republique/dormoy_marx0045r3.html", "dormoy_marx0045r3")</f>
        <v>0</v>
      </c>
      <c r="N8570">
        <f>HYPERLINK("https://www.wikidata.org/wiki/Q255618", "Q255618")</f>
        <v>0</v>
      </c>
      <c r="O8570" t="s">
        <v>20058</v>
      </c>
    </row>
    <row r="8571" spans="1:15">
      <c r="A8571" t="s">
        <v>33</v>
      </c>
      <c r="B8571" t="s">
        <v>149</v>
      </c>
      <c r="C8571" t="s">
        <v>165</v>
      </c>
      <c r="D8571" t="s">
        <v>294</v>
      </c>
      <c r="E8571" t="s">
        <v>423</v>
      </c>
      <c r="F8571">
        <f>HYPERLINK("https://www.wikidata.org/wiki/Q3112253", "Q3112253")</f>
        <v>0</v>
      </c>
      <c r="G8571" t="s">
        <v>2235</v>
      </c>
      <c r="H8571" t="s">
        <v>6142</v>
      </c>
      <c r="I8571" t="s">
        <v>10127</v>
      </c>
      <c r="J8571" t="s">
        <v>12896</v>
      </c>
      <c r="K8571" t="s">
        <v>17307</v>
      </c>
      <c r="L8571">
        <f>HYPERLINK("https://www2.assemblee-nationale.fr/sycomore/fiche/(num_dept)/2560", "2560")</f>
        <v>0</v>
      </c>
      <c r="M8571">
        <f>HYPERLINK("https://www.senat.fr/senateur-3eme-republique/dormoy_marx0045r3.html", "dormoy_marx0045r3")</f>
        <v>0</v>
      </c>
      <c r="N8571">
        <f>HYPERLINK("https://www.wikidata.org/wiki/Q255618", "Q255618")</f>
        <v>0</v>
      </c>
      <c r="O8571" t="s">
        <v>20076</v>
      </c>
    </row>
    <row r="8572" spans="1:15">
      <c r="A8572" t="s">
        <v>33</v>
      </c>
      <c r="B8572" t="s">
        <v>149</v>
      </c>
      <c r="C8572" t="s">
        <v>165</v>
      </c>
      <c r="D8572" t="s">
        <v>294</v>
      </c>
      <c r="E8572" t="s">
        <v>423</v>
      </c>
      <c r="F8572">
        <f>HYPERLINK("https://www.wikidata.org/wiki/Q3112253", "Q3112253")</f>
        <v>0</v>
      </c>
      <c r="G8572" t="s">
        <v>1795</v>
      </c>
      <c r="H8572" t="s">
        <v>5397</v>
      </c>
      <c r="I8572" t="s">
        <v>9388</v>
      </c>
      <c r="J8572" t="s">
        <v>12490</v>
      </c>
      <c r="K8572" t="s">
        <v>16900</v>
      </c>
      <c r="L8572">
        <f>HYPERLINK("https://www2.assemblee-nationale.fr/sycomore/fiche/(num_dept)/2934", "2934")</f>
        <v>0</v>
      </c>
      <c r="N8572">
        <f>HYPERLINK("https://www.wikidata.org/wiki/Q783434", "Q783434")</f>
        <v>0</v>
      </c>
      <c r="O8572" t="s">
        <v>20077</v>
      </c>
    </row>
    <row r="8573" spans="1:15">
      <c r="A8573" t="s">
        <v>33</v>
      </c>
      <c r="B8573" t="s">
        <v>149</v>
      </c>
      <c r="C8573" t="s">
        <v>165</v>
      </c>
      <c r="D8573" t="s">
        <v>294</v>
      </c>
      <c r="E8573" t="s">
        <v>423</v>
      </c>
      <c r="F8573">
        <f>HYPERLINK("https://www.wikidata.org/wiki/Q3112253", "Q3112253")</f>
        <v>0</v>
      </c>
      <c r="G8573" t="s">
        <v>2335</v>
      </c>
      <c r="H8573" t="s">
        <v>6923</v>
      </c>
      <c r="I8573" t="s">
        <v>6759</v>
      </c>
      <c r="J8573" t="s">
        <v>12989</v>
      </c>
      <c r="K8573" t="s">
        <v>17399</v>
      </c>
      <c r="L8573">
        <f>HYPERLINK("https://www2.assemblee-nationale.fr/sycomore/fiche/(num_dept)/4002", "4002")</f>
        <v>0</v>
      </c>
      <c r="N8573">
        <f>HYPERLINK("https://www.wikidata.org/wiki/Q3435526", "Q3435526")</f>
        <v>0</v>
      </c>
      <c r="O8573" t="s">
        <v>20078</v>
      </c>
    </row>
    <row r="8574" spans="1:15">
      <c r="A8574" t="s">
        <v>33</v>
      </c>
      <c r="B8574" t="s">
        <v>149</v>
      </c>
      <c r="C8574" t="s">
        <v>165</v>
      </c>
      <c r="D8574" t="s">
        <v>294</v>
      </c>
      <c r="E8574" t="s">
        <v>423</v>
      </c>
      <c r="F8574">
        <f>HYPERLINK("https://www.wikidata.org/wiki/Q3112253", "Q3112253")</f>
        <v>0</v>
      </c>
      <c r="G8574" t="s">
        <v>2232</v>
      </c>
      <c r="H8574" t="s">
        <v>6841</v>
      </c>
      <c r="I8574" t="s">
        <v>9458</v>
      </c>
      <c r="J8574" t="s">
        <v>12893</v>
      </c>
      <c r="K8574" t="s">
        <v>17304</v>
      </c>
      <c r="L8574">
        <f>HYPERLINK("https://www2.assemblee-nationale.fr/sycomore/fiche/(num_dept)/4092", "4092")</f>
        <v>0</v>
      </c>
      <c r="N8574">
        <f>HYPERLINK("https://www.wikidata.org/wiki/Q2835216", "Q2835216")</f>
        <v>0</v>
      </c>
      <c r="O8574" t="s">
        <v>20079</v>
      </c>
    </row>
    <row r="8575" spans="1:15">
      <c r="A8575" t="s">
        <v>33</v>
      </c>
      <c r="B8575" t="s">
        <v>149</v>
      </c>
      <c r="C8575" t="s">
        <v>165</v>
      </c>
      <c r="D8575" t="s">
        <v>294</v>
      </c>
      <c r="E8575" t="s">
        <v>423</v>
      </c>
      <c r="F8575">
        <f>HYPERLINK("https://www.wikidata.org/wiki/Q3112253", "Q3112253")</f>
        <v>0</v>
      </c>
      <c r="G8575" t="s">
        <v>2338</v>
      </c>
      <c r="H8575" t="s">
        <v>6926</v>
      </c>
      <c r="I8575" t="s">
        <v>9408</v>
      </c>
      <c r="J8575" t="s">
        <v>12992</v>
      </c>
      <c r="K8575" t="s">
        <v>17402</v>
      </c>
      <c r="L8575">
        <f>HYPERLINK("https://www2.assemblee-nationale.fr/sycomore/fiche/(num_dept)/4268", "4268")</f>
        <v>0</v>
      </c>
      <c r="N8575">
        <f>HYPERLINK("https://www.wikidata.org/wiki/Q3270494", "Q3270494")</f>
        <v>0</v>
      </c>
      <c r="O8575" t="s">
        <v>20080</v>
      </c>
    </row>
    <row r="8576" spans="1:15">
      <c r="A8576" t="s">
        <v>33</v>
      </c>
      <c r="B8576" t="s">
        <v>149</v>
      </c>
      <c r="C8576" t="s">
        <v>165</v>
      </c>
      <c r="D8576" t="s">
        <v>294</v>
      </c>
      <c r="E8576" t="s">
        <v>423</v>
      </c>
      <c r="F8576">
        <f>HYPERLINK("https://www.wikidata.org/wiki/Q3112253", "Q3112253")</f>
        <v>0</v>
      </c>
      <c r="G8576" t="s">
        <v>2121</v>
      </c>
      <c r="H8576" t="s">
        <v>6741</v>
      </c>
      <c r="I8576" t="s">
        <v>9449</v>
      </c>
      <c r="J8576" t="s">
        <v>12785</v>
      </c>
      <c r="K8576" t="s">
        <v>17201</v>
      </c>
      <c r="L8576">
        <f>HYPERLINK("https://www2.assemblee-nationale.fr/sycomore/fiche/(num_dept)/5316", "5316")</f>
        <v>0</v>
      </c>
      <c r="N8576">
        <f>HYPERLINK("https://www.wikidata.org/wiki/Q2564543", "Q2564543")</f>
        <v>0</v>
      </c>
      <c r="O8576" t="s">
        <v>20076</v>
      </c>
    </row>
    <row r="8577" spans="1:15">
      <c r="A8577" t="s">
        <v>33</v>
      </c>
      <c r="B8577" t="s">
        <v>149</v>
      </c>
      <c r="C8577" t="s">
        <v>165</v>
      </c>
      <c r="D8577" t="s">
        <v>294</v>
      </c>
      <c r="E8577" t="s">
        <v>423</v>
      </c>
      <c r="F8577">
        <f>HYPERLINK("https://www.wikidata.org/wiki/Q3112253", "Q3112253")</f>
        <v>0</v>
      </c>
      <c r="G8577" t="s">
        <v>2122</v>
      </c>
      <c r="H8577" t="s">
        <v>6742</v>
      </c>
      <c r="I8577" t="s">
        <v>6175</v>
      </c>
      <c r="J8577" t="s">
        <v>12786</v>
      </c>
      <c r="K8577" t="s">
        <v>17202</v>
      </c>
      <c r="L8577">
        <f>HYPERLINK("https://www2.assemblee-nationale.fr/sycomore/fiche/(num_dept)/5350", "5350")</f>
        <v>0</v>
      </c>
      <c r="N8577">
        <f>HYPERLINK("https://www.wikidata.org/wiki/Q3103220", "Q3103220")</f>
        <v>0</v>
      </c>
      <c r="O8577" t="s">
        <v>20056</v>
      </c>
    </row>
    <row r="8578" spans="1:15">
      <c r="A8578" t="s">
        <v>33</v>
      </c>
      <c r="B8578" t="s">
        <v>149</v>
      </c>
      <c r="C8578" t="s">
        <v>165</v>
      </c>
      <c r="D8578" t="s">
        <v>294</v>
      </c>
      <c r="E8578" t="s">
        <v>423</v>
      </c>
      <c r="F8578">
        <f>HYPERLINK("https://www.wikidata.org/wiki/Q3112253", "Q3112253")</f>
        <v>0</v>
      </c>
      <c r="G8578" t="s">
        <v>1336</v>
      </c>
      <c r="H8578" t="s">
        <v>6054</v>
      </c>
      <c r="I8578" t="s">
        <v>9593</v>
      </c>
      <c r="J8578" t="s">
        <v>12063</v>
      </c>
      <c r="K8578" t="s">
        <v>16465</v>
      </c>
      <c r="L8578">
        <f>HYPERLINK("https://www2.assemblee-nationale.fr/sycomore/fiche/(num_dept)/5466", "5466")</f>
        <v>0</v>
      </c>
      <c r="N8578">
        <f>HYPERLINK("https://www.wikidata.org/wiki/Q3293837", "Q3293837")</f>
        <v>0</v>
      </c>
      <c r="O8578" t="s">
        <v>20065</v>
      </c>
    </row>
    <row r="8579" spans="1:15">
      <c r="A8579" t="s">
        <v>33</v>
      </c>
      <c r="B8579" t="s">
        <v>149</v>
      </c>
      <c r="C8579" t="s">
        <v>165</v>
      </c>
      <c r="D8579" t="s">
        <v>294</v>
      </c>
      <c r="E8579" t="s">
        <v>423</v>
      </c>
      <c r="F8579">
        <f>HYPERLINK("https://www.wikidata.org/wiki/Q3112253", "Q3112253")</f>
        <v>0</v>
      </c>
      <c r="G8579" t="s">
        <v>2149</v>
      </c>
      <c r="H8579" t="s">
        <v>6763</v>
      </c>
      <c r="I8579" t="s">
        <v>9499</v>
      </c>
      <c r="J8579" t="s">
        <v>12813</v>
      </c>
      <c r="K8579" t="s">
        <v>17228</v>
      </c>
      <c r="L8579">
        <f>HYPERLINK("https://www2.assemblee-nationale.fr/sycomore/fiche/(num_dept)/6184", "6184")</f>
        <v>0</v>
      </c>
      <c r="N8579">
        <f>HYPERLINK("https://www.wikidata.org/wiki/Q950845", "Q950845")</f>
        <v>0</v>
      </c>
      <c r="O8579" t="s">
        <v>20064</v>
      </c>
    </row>
    <row r="8580" spans="1:15">
      <c r="A8580" t="s">
        <v>33</v>
      </c>
      <c r="B8580" t="s">
        <v>149</v>
      </c>
      <c r="C8580" t="s">
        <v>165</v>
      </c>
      <c r="D8580" t="s">
        <v>294</v>
      </c>
      <c r="E8580" t="s">
        <v>423</v>
      </c>
      <c r="F8580">
        <f>HYPERLINK("https://www.wikidata.org/wiki/Q3112253", "Q3112253")</f>
        <v>0</v>
      </c>
      <c r="G8580" t="s">
        <v>2153</v>
      </c>
      <c r="H8580" t="s">
        <v>6767</v>
      </c>
      <c r="I8580" t="s">
        <v>7308</v>
      </c>
      <c r="J8580" t="s">
        <v>12817</v>
      </c>
      <c r="K8580" t="s">
        <v>17232</v>
      </c>
      <c r="L8580">
        <f>HYPERLINK("https://www2.assemblee-nationale.fr/sycomore/fiche/(num_dept)/6245", "6245")</f>
        <v>0</v>
      </c>
      <c r="N8580">
        <f>HYPERLINK("https://www.wikidata.org/wiki/Q1400172", "Q1400172")</f>
        <v>0</v>
      </c>
      <c r="O8580" t="s">
        <v>20058</v>
      </c>
    </row>
    <row r="8581" spans="1:15">
      <c r="A8581" t="s">
        <v>33</v>
      </c>
      <c r="B8581" t="s">
        <v>149</v>
      </c>
      <c r="C8581" t="s">
        <v>165</v>
      </c>
      <c r="D8581" t="s">
        <v>294</v>
      </c>
      <c r="E8581" t="s">
        <v>423</v>
      </c>
      <c r="F8581">
        <f>HYPERLINK("https://www.wikidata.org/wiki/Q3112253", "Q3112253")</f>
        <v>0</v>
      </c>
      <c r="G8581" t="s">
        <v>2160</v>
      </c>
      <c r="H8581" t="s">
        <v>6774</v>
      </c>
      <c r="I8581" t="s">
        <v>9388</v>
      </c>
      <c r="J8581" t="s">
        <v>12824</v>
      </c>
      <c r="K8581" t="s">
        <v>17239</v>
      </c>
      <c r="L8581">
        <f>HYPERLINK("https://www2.assemblee-nationale.fr/sycomore/fiche/(num_dept)/6588", "6588")</f>
        <v>0</v>
      </c>
      <c r="N8581">
        <f>HYPERLINK("https://www.wikidata.org/wiki/Q328235", "Q328235")</f>
        <v>0</v>
      </c>
      <c r="O8581" t="s">
        <v>20081</v>
      </c>
    </row>
    <row r="8582" spans="1:15">
      <c r="A8582" t="s">
        <v>33</v>
      </c>
      <c r="B8582" t="s">
        <v>149</v>
      </c>
      <c r="C8582" t="s">
        <v>165</v>
      </c>
      <c r="D8582" t="s">
        <v>294</v>
      </c>
      <c r="E8582" t="s">
        <v>423</v>
      </c>
      <c r="F8582">
        <f>HYPERLINK("https://www.wikidata.org/wiki/Q3112253", "Q3112253")</f>
        <v>0</v>
      </c>
      <c r="G8582" t="s">
        <v>1897</v>
      </c>
      <c r="H8582" t="s">
        <v>6547</v>
      </c>
      <c r="I8582" t="s">
        <v>9385</v>
      </c>
      <c r="J8582" t="s">
        <v>12584</v>
      </c>
      <c r="K8582" t="s">
        <v>16996</v>
      </c>
      <c r="L8582">
        <f>HYPERLINK("https://www2.assemblee-nationale.fr/sycomore/fiche/(num_dept)/6897", "6897")</f>
        <v>0</v>
      </c>
      <c r="N8582">
        <f>HYPERLINK("https://www.wikidata.org/wiki/Q2960255", "Q2960255")</f>
        <v>0</v>
      </c>
      <c r="O8582" t="s">
        <v>20082</v>
      </c>
    </row>
    <row r="8583" spans="1:15">
      <c r="A8583" t="s">
        <v>33</v>
      </c>
      <c r="B8583" t="s">
        <v>149</v>
      </c>
      <c r="C8583" t="s">
        <v>165</v>
      </c>
      <c r="D8583" t="s">
        <v>294</v>
      </c>
      <c r="E8583" t="s">
        <v>423</v>
      </c>
      <c r="F8583">
        <f>HYPERLINK("https://www.wikidata.org/wiki/Q3112253", "Q3112253")</f>
        <v>0</v>
      </c>
      <c r="G8583" t="s">
        <v>1898</v>
      </c>
      <c r="H8583" t="s">
        <v>6548</v>
      </c>
      <c r="I8583" t="s">
        <v>9457</v>
      </c>
      <c r="J8583" t="s">
        <v>12585</v>
      </c>
      <c r="K8583" t="s">
        <v>16997</v>
      </c>
      <c r="L8583">
        <f>HYPERLINK("https://www2.assemblee-nationale.fr/sycomore/fiche/(num_dept)/6960", "6960")</f>
        <v>0</v>
      </c>
      <c r="M8583">
        <f>HYPERLINK("https://www.senat.fr/senateur-3eme-republique/tasso_henri0331r3.html", "tasso_henri0331r3")</f>
        <v>0</v>
      </c>
      <c r="N8583">
        <f>HYPERLINK("https://www.wikidata.org/wiki/Q3132056", "Q3132056")</f>
        <v>0</v>
      </c>
      <c r="O8583" t="s">
        <v>20083</v>
      </c>
    </row>
    <row r="8584" spans="1:15">
      <c r="A8584" t="s">
        <v>33</v>
      </c>
      <c r="B8584" t="s">
        <v>149</v>
      </c>
      <c r="C8584" t="s">
        <v>165</v>
      </c>
      <c r="D8584" t="s">
        <v>294</v>
      </c>
      <c r="E8584" t="s">
        <v>423</v>
      </c>
      <c r="F8584">
        <f>HYPERLINK("https://www.wikidata.org/wiki/Q3112253", "Q3112253")</f>
        <v>0</v>
      </c>
      <c r="G8584" t="s">
        <v>2175</v>
      </c>
      <c r="H8584" t="s">
        <v>6789</v>
      </c>
      <c r="I8584" t="s">
        <v>6166</v>
      </c>
      <c r="J8584" t="s">
        <v>12339</v>
      </c>
      <c r="K8584" t="s">
        <v>17251</v>
      </c>
      <c r="L8584">
        <f>HYPERLINK("https://www2.assemblee-nationale.fr/sycomore/fiche/(num_dept)/6999", "6999")</f>
        <v>0</v>
      </c>
      <c r="N8584">
        <f>HYPERLINK("https://www.wikidata.org/wiki/Q3086325", "Q3086325")</f>
        <v>0</v>
      </c>
      <c r="O8584" t="s">
        <v>20076</v>
      </c>
    </row>
    <row r="8585" spans="1:15">
      <c r="A8585" t="s">
        <v>33</v>
      </c>
      <c r="B8585" t="s">
        <v>149</v>
      </c>
      <c r="C8585" t="s">
        <v>165</v>
      </c>
      <c r="D8585" t="s">
        <v>294</v>
      </c>
      <c r="E8585" t="s">
        <v>423</v>
      </c>
      <c r="F8585">
        <f>HYPERLINK("https://www.wikidata.org/wiki/Q3112253", "Q3112253")</f>
        <v>0</v>
      </c>
      <c r="G8585" t="s">
        <v>823</v>
      </c>
      <c r="H8585" t="s">
        <v>5580</v>
      </c>
      <c r="I8585" t="s">
        <v>7642</v>
      </c>
      <c r="J8585" t="s">
        <v>11570</v>
      </c>
      <c r="K8585" t="s">
        <v>15973</v>
      </c>
      <c r="L8585">
        <f>HYPERLINK("https://www2.assemblee-nationale.fr/sycomore/fiche/(num_dept)/7238", "7238")</f>
        <v>0</v>
      </c>
      <c r="M8585">
        <f>HYPERLINK("https://www.senat.fr/senateur-3eme-republique/viollette_maurice0773r3.html", "viollette_maurice0773r3")</f>
        <v>0</v>
      </c>
      <c r="N8585">
        <f>HYPERLINK("https://www.wikidata.org/wiki/Q3301513", "Q3301513")</f>
        <v>0</v>
      </c>
      <c r="O8585" t="s">
        <v>20077</v>
      </c>
    </row>
    <row r="8586" spans="1:15">
      <c r="A8586" t="s">
        <v>33</v>
      </c>
      <c r="B8586" t="s">
        <v>149</v>
      </c>
      <c r="C8586" t="s">
        <v>165</v>
      </c>
      <c r="D8586" t="s">
        <v>294</v>
      </c>
      <c r="E8586" t="s">
        <v>423</v>
      </c>
      <c r="F8586">
        <f>HYPERLINK("https://www.wikidata.org/wiki/Q3112253", "Q3112253")</f>
        <v>0</v>
      </c>
      <c r="G8586" t="s">
        <v>2398</v>
      </c>
      <c r="H8586" t="s">
        <v>6976</v>
      </c>
      <c r="I8586" t="s">
        <v>6860</v>
      </c>
      <c r="J8586" t="s">
        <v>13048</v>
      </c>
      <c r="K8586" t="s">
        <v>17458</v>
      </c>
      <c r="L8586">
        <f>HYPERLINK("https://www2.assemblee-nationale.fr/sycomore/fiche/(num_dept)/7285", "7285")</f>
        <v>0</v>
      </c>
      <c r="N8586">
        <f>HYPERLINK("https://www.wikidata.org/wiki/Q3387321", "Q3387321")</f>
        <v>0</v>
      </c>
      <c r="O8586" t="s">
        <v>20084</v>
      </c>
    </row>
    <row r="8587" spans="1:15">
      <c r="A8587" t="s">
        <v>33</v>
      </c>
      <c r="B8587" t="s">
        <v>149</v>
      </c>
      <c r="C8587" t="s">
        <v>165</v>
      </c>
      <c r="D8587" t="s">
        <v>294</v>
      </c>
      <c r="E8587" t="s">
        <v>423</v>
      </c>
      <c r="F8587">
        <f>HYPERLINK("https://www.wikidata.org/wiki/Q3112253", "Q3112253")</f>
        <v>0</v>
      </c>
      <c r="G8587" t="s">
        <v>2400</v>
      </c>
      <c r="H8587" t="s">
        <v>6977</v>
      </c>
      <c r="I8587" t="s">
        <v>6200</v>
      </c>
      <c r="J8587" t="s">
        <v>13050</v>
      </c>
      <c r="K8587" t="s">
        <v>17460</v>
      </c>
      <c r="L8587">
        <f>HYPERLINK("https://www2.assemblee-nationale.fr/sycomore/fiche/(num_dept)/7291", "7291")</f>
        <v>0</v>
      </c>
      <c r="N8587">
        <f>HYPERLINK("https://www.wikidata.org/wiki/Q713487", "Q713487")</f>
        <v>0</v>
      </c>
      <c r="O8587" t="s">
        <v>20085</v>
      </c>
    </row>
    <row r="8588" spans="1:15">
      <c r="A8588" t="s">
        <v>33</v>
      </c>
      <c r="B8588" t="s">
        <v>149</v>
      </c>
      <c r="C8588" t="s">
        <v>165</v>
      </c>
      <c r="D8588" t="s">
        <v>294</v>
      </c>
      <c r="E8588" t="s">
        <v>423</v>
      </c>
      <c r="F8588">
        <f>HYPERLINK("https://www.wikidata.org/wiki/Q3112253", "Q3112253")</f>
        <v>0</v>
      </c>
      <c r="G8588" t="s">
        <v>1660</v>
      </c>
      <c r="H8588" t="s">
        <v>6343</v>
      </c>
      <c r="I8588" t="s">
        <v>9474</v>
      </c>
      <c r="J8588" t="s">
        <v>12367</v>
      </c>
      <c r="K8588" t="s">
        <v>16774</v>
      </c>
      <c r="L8588">
        <f>HYPERLINK("https://www2.assemblee-nationale.fr/sycomore/fiche/(num_dept)/7636", "7636")</f>
        <v>0</v>
      </c>
      <c r="N8588">
        <f>HYPERLINK("https://www.wikidata.org/wiki/Q830456", "Q830456")</f>
        <v>0</v>
      </c>
      <c r="O8588" t="s">
        <v>20086</v>
      </c>
    </row>
    <row r="8589" spans="1:15">
      <c r="A8589" t="s">
        <v>33</v>
      </c>
      <c r="B8589" t="s">
        <v>149</v>
      </c>
      <c r="C8589" t="s">
        <v>165</v>
      </c>
      <c r="D8589" t="s">
        <v>294</v>
      </c>
      <c r="E8589" t="s">
        <v>423</v>
      </c>
      <c r="F8589">
        <f>HYPERLINK("https://www.wikidata.org/wiki/Q3112253", "Q3112253")</f>
        <v>0</v>
      </c>
      <c r="G8589" t="s">
        <v>2407</v>
      </c>
      <c r="H8589" t="s">
        <v>6983</v>
      </c>
      <c r="I8589" t="s">
        <v>6585</v>
      </c>
      <c r="J8589" t="s">
        <v>13057</v>
      </c>
      <c r="K8589" t="s">
        <v>17467</v>
      </c>
      <c r="L8589">
        <f>HYPERLINK("https://www2.assemblee-nationale.fr/sycomore/fiche/(num_dept)/7846", "7846")</f>
        <v>0</v>
      </c>
      <c r="N8589">
        <f>HYPERLINK("https://www.wikidata.org/wiki/Q2848169", "Q2848169")</f>
        <v>0</v>
      </c>
      <c r="O8589" t="s">
        <v>20087</v>
      </c>
    </row>
    <row r="8590" spans="1:15">
      <c r="A8590" t="s">
        <v>33</v>
      </c>
      <c r="B8590" t="s">
        <v>149</v>
      </c>
      <c r="C8590" t="s">
        <v>165</v>
      </c>
      <c r="D8590" t="s">
        <v>294</v>
      </c>
      <c r="E8590" t="s">
        <v>423</v>
      </c>
      <c r="F8590">
        <f>HYPERLINK("https://www.wikidata.org/wiki/Q3112253", "Q3112253")</f>
        <v>0</v>
      </c>
      <c r="G8590" t="s">
        <v>2195</v>
      </c>
      <c r="H8590" t="s">
        <v>6806</v>
      </c>
      <c r="I8590" t="s">
        <v>6584</v>
      </c>
      <c r="J8590" t="s">
        <v>12858</v>
      </c>
      <c r="K8590" t="s">
        <v>16325</v>
      </c>
      <c r="L8590">
        <f>HYPERLINK("https://www2.assemblee-nationale.fr/sycomore/fiche/(num_dept)/19493", "19493")</f>
        <v>0</v>
      </c>
      <c r="N8590">
        <f>HYPERLINK("https://www.wikidata.org/wiki/Q2831506", "Q2831506")</f>
        <v>0</v>
      </c>
      <c r="O8590" t="s">
        <v>20088</v>
      </c>
    </row>
    <row r="8591" spans="1:15">
      <c r="A8591" t="s">
        <v>33</v>
      </c>
      <c r="B8591" t="s">
        <v>149</v>
      </c>
      <c r="C8591" t="s">
        <v>165</v>
      </c>
      <c r="D8591" t="s">
        <v>294</v>
      </c>
      <c r="E8591" t="s">
        <v>423</v>
      </c>
      <c r="F8591">
        <f>HYPERLINK("https://www.wikidata.org/wiki/Q3112253", "Q3112253")</f>
        <v>0</v>
      </c>
      <c r="G8591" t="s">
        <v>4226</v>
      </c>
      <c r="H8591" t="s">
        <v>8405</v>
      </c>
      <c r="I8591" t="s">
        <v>9426</v>
      </c>
      <c r="J8591" t="s">
        <v>14734</v>
      </c>
      <c r="K8591" t="s">
        <v>19079</v>
      </c>
      <c r="M8591">
        <f>HYPERLINK("https://www.senat.fr/senateur-3eme-republique/gasnier_duparc_alphonse0563r3.html", "gasnier_duparc_alphonse0563r3")</f>
        <v>0</v>
      </c>
      <c r="N8591">
        <f>HYPERLINK("https://www.wikidata.org/wiki/Q2839804", "Q2839804")</f>
        <v>0</v>
      </c>
      <c r="O8591" t="s">
        <v>20053</v>
      </c>
    </row>
    <row r="8592" spans="1:15">
      <c r="A8592" t="s">
        <v>33</v>
      </c>
      <c r="B8592" t="s">
        <v>149</v>
      </c>
      <c r="C8592" t="s">
        <v>165</v>
      </c>
      <c r="D8592" t="s">
        <v>294</v>
      </c>
      <c r="E8592" t="s">
        <v>423</v>
      </c>
      <c r="F8592">
        <f>HYPERLINK("https://www.wikidata.org/wiki/Q3112253", "Q3112253")</f>
        <v>0</v>
      </c>
      <c r="G8592" t="s">
        <v>4227</v>
      </c>
      <c r="H8592" t="s">
        <v>6960</v>
      </c>
      <c r="I8592" t="s">
        <v>9457</v>
      </c>
      <c r="J8592" t="s">
        <v>14735</v>
      </c>
      <c r="K8592" t="s">
        <v>17101</v>
      </c>
      <c r="M8592">
        <f>HYPERLINK("https://www.senat.fr/senateur-3eme-republique/sellier_henri1367r3.html", "sellier_henri1367r3")</f>
        <v>0</v>
      </c>
      <c r="N8592">
        <f>HYPERLINK("https://www.wikidata.org/wiki/Q3131999", "Q3131999")</f>
        <v>0</v>
      </c>
      <c r="O8592" t="s">
        <v>20089</v>
      </c>
    </row>
    <row r="8593" spans="1:15">
      <c r="A8593" t="s">
        <v>33</v>
      </c>
      <c r="B8593" t="s">
        <v>149</v>
      </c>
      <c r="C8593" t="s">
        <v>165</v>
      </c>
      <c r="D8593" t="s">
        <v>294</v>
      </c>
      <c r="E8593" t="s">
        <v>423</v>
      </c>
      <c r="F8593">
        <f>HYPERLINK("https://www.wikidata.org/wiki/Q3112253", "Q3112253")</f>
        <v>0</v>
      </c>
      <c r="G8593" t="s">
        <v>4228</v>
      </c>
      <c r="H8593" t="s">
        <v>8406</v>
      </c>
      <c r="I8593" t="s">
        <v>11170</v>
      </c>
      <c r="J8593" t="s">
        <v>14736</v>
      </c>
      <c r="K8593" t="s">
        <v>19080</v>
      </c>
      <c r="N8593">
        <f>HYPERLINK("https://www.wikidata.org/wiki/Q3009715", "Q3009715")</f>
        <v>0</v>
      </c>
      <c r="O8593" t="s">
        <v>20090</v>
      </c>
    </row>
    <row r="8594" spans="1:15">
      <c r="A8594" t="s">
        <v>33</v>
      </c>
      <c r="B8594" t="s">
        <v>149</v>
      </c>
      <c r="C8594" t="s">
        <v>165</v>
      </c>
      <c r="D8594" t="s">
        <v>294</v>
      </c>
      <c r="E8594" t="s">
        <v>423</v>
      </c>
      <c r="F8594">
        <f>HYPERLINK("https://www.wikidata.org/wiki/Q3112253", "Q3112253")</f>
        <v>0</v>
      </c>
      <c r="G8594" t="s">
        <v>4229</v>
      </c>
      <c r="H8594" t="s">
        <v>8407</v>
      </c>
      <c r="I8594" t="s">
        <v>11171</v>
      </c>
      <c r="J8594" t="s">
        <v>14737</v>
      </c>
      <c r="K8594" t="s">
        <v>19081</v>
      </c>
      <c r="N8594">
        <f>HYPERLINK("https://www.wikidata.org/wiki/Q7504", "Q7504")</f>
        <v>0</v>
      </c>
      <c r="O8594" t="s">
        <v>20091</v>
      </c>
    </row>
    <row r="8595" spans="1:15">
      <c r="A8595" t="s">
        <v>33</v>
      </c>
      <c r="B8595" t="s">
        <v>149</v>
      </c>
      <c r="C8595" t="s">
        <v>165</v>
      </c>
      <c r="D8595" t="s">
        <v>294</v>
      </c>
      <c r="E8595" t="s">
        <v>423</v>
      </c>
      <c r="F8595">
        <f>HYPERLINK("https://www.wikidata.org/wiki/Q3112253", "Q3112253")</f>
        <v>0</v>
      </c>
      <c r="G8595" t="s">
        <v>4230</v>
      </c>
      <c r="H8595" t="s">
        <v>6753</v>
      </c>
      <c r="I8595" t="s">
        <v>6200</v>
      </c>
      <c r="J8595" t="s">
        <v>14738</v>
      </c>
      <c r="K8595" t="s">
        <v>19082</v>
      </c>
      <c r="N8595">
        <f>HYPERLINK("https://www.wikidata.org/wiki/Q134085", "Q134085")</f>
        <v>0</v>
      </c>
      <c r="O8595" t="s">
        <v>20092</v>
      </c>
    </row>
    <row r="8596" spans="1:15">
      <c r="A8596" t="s">
        <v>33</v>
      </c>
      <c r="B8596" t="s">
        <v>149</v>
      </c>
      <c r="C8596" t="s">
        <v>165</v>
      </c>
      <c r="D8596" t="s">
        <v>294</v>
      </c>
      <c r="E8596" t="s">
        <v>423</v>
      </c>
      <c r="F8596">
        <f>HYPERLINK("https://www.wikidata.org/wiki/Q3112253", "Q3112253")</f>
        <v>0</v>
      </c>
      <c r="G8596" t="s">
        <v>4231</v>
      </c>
      <c r="H8596" t="s">
        <v>8408</v>
      </c>
      <c r="I8596" t="s">
        <v>11172</v>
      </c>
      <c r="J8596" t="s">
        <v>12169</v>
      </c>
      <c r="K8596" t="s">
        <v>19083</v>
      </c>
      <c r="N8596">
        <f>HYPERLINK("https://www.wikidata.org/wiki/Q3505985", "Q3505985")</f>
        <v>0</v>
      </c>
      <c r="O8596" t="s">
        <v>20093</v>
      </c>
    </row>
    <row r="8597" spans="1:15">
      <c r="A8597" t="s">
        <v>34</v>
      </c>
      <c r="B8597" t="s">
        <v>149</v>
      </c>
      <c r="C8597" t="s">
        <v>166</v>
      </c>
      <c r="D8597" t="s">
        <v>295</v>
      </c>
      <c r="E8597" t="s">
        <v>424</v>
      </c>
      <c r="F8597">
        <f>HYPERLINK("https://www.wikidata.org/wiki/Q3112254", "Q3112254")</f>
        <v>0</v>
      </c>
      <c r="G8597" t="s">
        <v>1985</v>
      </c>
      <c r="H8597" t="s">
        <v>6623</v>
      </c>
      <c r="I8597" t="s">
        <v>9500</v>
      </c>
      <c r="J8597" t="s">
        <v>12520</v>
      </c>
      <c r="K8597" t="s">
        <v>17076</v>
      </c>
      <c r="L8597">
        <f>HYPERLINK("https://www2.assemblee-nationale.fr/sycomore/fiche/(num_dept)/228", "228")</f>
        <v>0</v>
      </c>
      <c r="N8597">
        <f>HYPERLINK("https://www.wikidata.org/wiki/Q3419119", "Q3419119")</f>
        <v>0</v>
      </c>
      <c r="O8597" t="s">
        <v>20068</v>
      </c>
    </row>
    <row r="8598" spans="1:15">
      <c r="A8598" t="s">
        <v>34</v>
      </c>
      <c r="B8598" t="s">
        <v>149</v>
      </c>
      <c r="C8598" t="s">
        <v>166</v>
      </c>
      <c r="D8598" t="s">
        <v>295</v>
      </c>
      <c r="E8598" t="s">
        <v>424</v>
      </c>
      <c r="F8598">
        <f>HYPERLINK("https://www.wikidata.org/wiki/Q3112254", "Q3112254")</f>
        <v>0</v>
      </c>
      <c r="G8598" t="s">
        <v>1217</v>
      </c>
      <c r="H8598" t="s">
        <v>5622</v>
      </c>
      <c r="I8598" t="s">
        <v>5812</v>
      </c>
      <c r="J8598" t="s">
        <v>11949</v>
      </c>
      <c r="K8598" t="s">
        <v>16351</v>
      </c>
      <c r="L8598">
        <f>HYPERLINK("https://www2.assemblee-nationale.fr/sycomore/fiche/(num_dept)/285", "285")</f>
        <v>0</v>
      </c>
      <c r="N8598">
        <f>HYPERLINK("https://www.wikidata.org/wiki/Q158772", "Q158772")</f>
        <v>0</v>
      </c>
      <c r="O8598" t="s">
        <v>20094</v>
      </c>
    </row>
    <row r="8599" spans="1:15">
      <c r="A8599" t="s">
        <v>34</v>
      </c>
      <c r="B8599" t="s">
        <v>149</v>
      </c>
      <c r="C8599" t="s">
        <v>166</v>
      </c>
      <c r="D8599" t="s">
        <v>295</v>
      </c>
      <c r="E8599" t="s">
        <v>424</v>
      </c>
      <c r="F8599">
        <f>HYPERLINK("https://www.wikidata.org/wiki/Q3112254", "Q3112254")</f>
        <v>0</v>
      </c>
      <c r="G8599" t="s">
        <v>2007</v>
      </c>
      <c r="H8599" t="s">
        <v>6641</v>
      </c>
      <c r="I8599" t="s">
        <v>6166</v>
      </c>
      <c r="J8599" t="s">
        <v>12686</v>
      </c>
      <c r="K8599" t="s">
        <v>17095</v>
      </c>
      <c r="L8599">
        <f>HYPERLINK("https://www2.assemblee-nationale.fr/sycomore/fiche/(num_dept)/857", "857")</f>
        <v>0</v>
      </c>
      <c r="N8599">
        <f>HYPERLINK("https://www.wikidata.org/wiki/Q3083995", "Q3083995")</f>
        <v>0</v>
      </c>
      <c r="O8599" t="s">
        <v>20095</v>
      </c>
    </row>
    <row r="8600" spans="1:15">
      <c r="A8600" t="s">
        <v>34</v>
      </c>
      <c r="B8600" t="s">
        <v>149</v>
      </c>
      <c r="C8600" t="s">
        <v>166</v>
      </c>
      <c r="D8600" t="s">
        <v>295</v>
      </c>
      <c r="E8600" t="s">
        <v>424</v>
      </c>
      <c r="F8600">
        <f>HYPERLINK("https://www.wikidata.org/wiki/Q3112254", "Q3112254")</f>
        <v>0</v>
      </c>
      <c r="G8600" t="s">
        <v>1380</v>
      </c>
      <c r="H8600" t="s">
        <v>6091</v>
      </c>
      <c r="I8600" t="s">
        <v>5528</v>
      </c>
      <c r="J8600" t="s">
        <v>12106</v>
      </c>
      <c r="K8600" t="s">
        <v>16507</v>
      </c>
      <c r="L8600">
        <f>HYPERLINK("https://www2.assemblee-nationale.fr/sycomore/fiche/(num_dept)/880", "880")</f>
        <v>0</v>
      </c>
      <c r="N8600">
        <f>HYPERLINK("https://www.wikidata.org/wiki/Q18434", "Q18434")</f>
        <v>0</v>
      </c>
      <c r="O8600" t="s">
        <v>20096</v>
      </c>
    </row>
    <row r="8601" spans="1:15">
      <c r="A8601" t="s">
        <v>34</v>
      </c>
      <c r="B8601" t="s">
        <v>149</v>
      </c>
      <c r="C8601" t="s">
        <v>166</v>
      </c>
      <c r="D8601" t="s">
        <v>295</v>
      </c>
      <c r="E8601" t="s">
        <v>424</v>
      </c>
      <c r="F8601">
        <f>HYPERLINK("https://www.wikidata.org/wiki/Q3112254", "Q3112254")</f>
        <v>0</v>
      </c>
      <c r="G8601" t="s">
        <v>1380</v>
      </c>
      <c r="H8601" t="s">
        <v>6091</v>
      </c>
      <c r="I8601" t="s">
        <v>5528</v>
      </c>
      <c r="J8601" t="s">
        <v>12106</v>
      </c>
      <c r="K8601" t="s">
        <v>16507</v>
      </c>
      <c r="L8601">
        <f>HYPERLINK("https://www2.assemblee-nationale.fr/sycomore/fiche/(num_dept)/880", "880")</f>
        <v>0</v>
      </c>
      <c r="N8601">
        <f>HYPERLINK("https://www.wikidata.org/wiki/Q18434", "Q18434")</f>
        <v>0</v>
      </c>
      <c r="O8601" t="s">
        <v>20052</v>
      </c>
    </row>
    <row r="8602" spans="1:15">
      <c r="A8602" t="s">
        <v>34</v>
      </c>
      <c r="B8602" t="s">
        <v>149</v>
      </c>
      <c r="C8602" t="s">
        <v>166</v>
      </c>
      <c r="D8602" t="s">
        <v>295</v>
      </c>
      <c r="E8602" t="s">
        <v>424</v>
      </c>
      <c r="F8602">
        <f>HYPERLINK("https://www.wikidata.org/wiki/Q3112254", "Q3112254")</f>
        <v>0</v>
      </c>
      <c r="G8602" t="s">
        <v>2241</v>
      </c>
      <c r="H8602" t="s">
        <v>6847</v>
      </c>
      <c r="I8602" t="s">
        <v>10131</v>
      </c>
      <c r="J8602" t="s">
        <v>12902</v>
      </c>
      <c r="K8602" t="s">
        <v>17312</v>
      </c>
      <c r="L8602">
        <f>HYPERLINK("https://www2.assemblee-nationale.fr/sycomore/fiche/(num_dept)/1406", "1406")</f>
        <v>0</v>
      </c>
      <c r="N8602">
        <f>HYPERLINK("https://www.wikidata.org/wiki/Q3010436", "Q3010436")</f>
        <v>0</v>
      </c>
      <c r="O8602" t="s">
        <v>20097</v>
      </c>
    </row>
    <row r="8603" spans="1:15">
      <c r="A8603" t="s">
        <v>34</v>
      </c>
      <c r="B8603" t="s">
        <v>149</v>
      </c>
      <c r="C8603" t="s">
        <v>166</v>
      </c>
      <c r="D8603" t="s">
        <v>295</v>
      </c>
      <c r="E8603" t="s">
        <v>424</v>
      </c>
      <c r="F8603">
        <f>HYPERLINK("https://www.wikidata.org/wiki/Q3112254", "Q3112254")</f>
        <v>0</v>
      </c>
      <c r="G8603" t="s">
        <v>1946</v>
      </c>
      <c r="H8603" t="s">
        <v>6590</v>
      </c>
      <c r="I8603" t="s">
        <v>6860</v>
      </c>
      <c r="J8603" t="s">
        <v>12630</v>
      </c>
      <c r="K8603" t="s">
        <v>17040</v>
      </c>
      <c r="L8603">
        <f>HYPERLINK("https://www2.assemblee-nationale.fr/sycomore/fiche/(num_dept)/1997", "1997")</f>
        <v>0</v>
      </c>
      <c r="N8603">
        <f>HYPERLINK("https://www.wikidata.org/wiki/Q2274693", "Q2274693")</f>
        <v>0</v>
      </c>
      <c r="O8603" t="s">
        <v>20069</v>
      </c>
    </row>
    <row r="8604" spans="1:15">
      <c r="A8604" t="s">
        <v>34</v>
      </c>
      <c r="B8604" t="s">
        <v>149</v>
      </c>
      <c r="C8604" t="s">
        <v>166</v>
      </c>
      <c r="D8604" t="s">
        <v>295</v>
      </c>
      <c r="E8604" t="s">
        <v>424</v>
      </c>
      <c r="F8604">
        <f>HYPERLINK("https://www.wikidata.org/wiki/Q3112254", "Q3112254")</f>
        <v>0</v>
      </c>
      <c r="G8604" t="s">
        <v>1423</v>
      </c>
      <c r="H8604" t="s">
        <v>6128</v>
      </c>
      <c r="I8604" t="s">
        <v>9728</v>
      </c>
      <c r="J8604" t="s">
        <v>12147</v>
      </c>
      <c r="K8604" t="s">
        <v>16549</v>
      </c>
      <c r="L8604">
        <f>HYPERLINK("https://www2.assemblee-nationale.fr/sycomore/fiche/(num_dept)/2105", "2105")</f>
        <v>0</v>
      </c>
      <c r="N8604">
        <f>HYPERLINK("https://www.wikidata.org/wiki/Q213526", "Q213526")</f>
        <v>0</v>
      </c>
      <c r="O8604" t="s">
        <v>20073</v>
      </c>
    </row>
    <row r="8605" spans="1:15">
      <c r="A8605" t="s">
        <v>34</v>
      </c>
      <c r="B8605" t="s">
        <v>149</v>
      </c>
      <c r="C8605" t="s">
        <v>166</v>
      </c>
      <c r="D8605" t="s">
        <v>295</v>
      </c>
      <c r="E8605" t="s">
        <v>424</v>
      </c>
      <c r="F8605">
        <f>HYPERLINK("https://www.wikidata.org/wiki/Q3112254", "Q3112254")</f>
        <v>0</v>
      </c>
      <c r="G8605" t="s">
        <v>1423</v>
      </c>
      <c r="H8605" t="s">
        <v>6128</v>
      </c>
      <c r="I8605" t="s">
        <v>9728</v>
      </c>
      <c r="J8605" t="s">
        <v>12147</v>
      </c>
      <c r="K8605" t="s">
        <v>16549</v>
      </c>
      <c r="L8605">
        <f>HYPERLINK("https://www2.assemblee-nationale.fr/sycomore/fiche/(num_dept)/2105", "2105")</f>
        <v>0</v>
      </c>
      <c r="N8605">
        <f>HYPERLINK("https://www.wikidata.org/wiki/Q213526", "Q213526")</f>
        <v>0</v>
      </c>
      <c r="O8605" t="s">
        <v>20074</v>
      </c>
    </row>
    <row r="8606" spans="1:15">
      <c r="A8606" t="s">
        <v>34</v>
      </c>
      <c r="B8606" t="s">
        <v>149</v>
      </c>
      <c r="C8606" t="s">
        <v>166</v>
      </c>
      <c r="D8606" t="s">
        <v>295</v>
      </c>
      <c r="E8606" t="s">
        <v>424</v>
      </c>
      <c r="F8606">
        <f>HYPERLINK("https://www.wikidata.org/wiki/Q3112254", "Q3112254")</f>
        <v>0</v>
      </c>
      <c r="G8606" t="s">
        <v>2235</v>
      </c>
      <c r="H8606" t="s">
        <v>6142</v>
      </c>
      <c r="I8606" t="s">
        <v>10127</v>
      </c>
      <c r="J8606" t="s">
        <v>12896</v>
      </c>
      <c r="K8606" t="s">
        <v>17307</v>
      </c>
      <c r="L8606">
        <f>HYPERLINK("https://www2.assemblee-nationale.fr/sycomore/fiche/(num_dept)/2560", "2560")</f>
        <v>0</v>
      </c>
      <c r="M8606">
        <f>HYPERLINK("https://www.senat.fr/senateur-3eme-republique/dormoy_marx0045r3.html", "dormoy_marx0045r3")</f>
        <v>0</v>
      </c>
      <c r="N8606">
        <f>HYPERLINK("https://www.wikidata.org/wiki/Q255618", "Q255618")</f>
        <v>0</v>
      </c>
      <c r="O8606" t="s">
        <v>20058</v>
      </c>
    </row>
    <row r="8607" spans="1:15">
      <c r="A8607" t="s">
        <v>34</v>
      </c>
      <c r="B8607" t="s">
        <v>149</v>
      </c>
      <c r="C8607" t="s">
        <v>166</v>
      </c>
      <c r="D8607" t="s">
        <v>295</v>
      </c>
      <c r="E8607" t="s">
        <v>424</v>
      </c>
      <c r="F8607">
        <f>HYPERLINK("https://www.wikidata.org/wiki/Q3112254", "Q3112254")</f>
        <v>0</v>
      </c>
      <c r="G8607" t="s">
        <v>1795</v>
      </c>
      <c r="H8607" t="s">
        <v>5397</v>
      </c>
      <c r="I8607" t="s">
        <v>9388</v>
      </c>
      <c r="J8607" t="s">
        <v>12490</v>
      </c>
      <c r="K8607" t="s">
        <v>16900</v>
      </c>
      <c r="L8607">
        <f>HYPERLINK("https://www2.assemblee-nationale.fr/sycomore/fiche/(num_dept)/2934", "2934")</f>
        <v>0</v>
      </c>
      <c r="N8607">
        <f>HYPERLINK("https://www.wikidata.org/wiki/Q783434", "Q783434")</f>
        <v>0</v>
      </c>
      <c r="O8607" t="s">
        <v>20098</v>
      </c>
    </row>
    <row r="8608" spans="1:15">
      <c r="A8608" t="s">
        <v>34</v>
      </c>
      <c r="B8608" t="s">
        <v>149</v>
      </c>
      <c r="C8608" t="s">
        <v>166</v>
      </c>
      <c r="D8608" t="s">
        <v>295</v>
      </c>
      <c r="E8608" t="s">
        <v>424</v>
      </c>
      <c r="F8608">
        <f>HYPERLINK("https://www.wikidata.org/wiki/Q3112254", "Q3112254")</f>
        <v>0</v>
      </c>
      <c r="G8608" t="s">
        <v>1797</v>
      </c>
      <c r="H8608" t="s">
        <v>6462</v>
      </c>
      <c r="I8608" t="s">
        <v>6585</v>
      </c>
      <c r="J8608" t="s">
        <v>12492</v>
      </c>
      <c r="K8608" t="s">
        <v>16902</v>
      </c>
      <c r="L8608">
        <f>HYPERLINK("https://www2.assemblee-nationale.fr/sycomore/fiche/(num_dept)/2995", "2995")</f>
        <v>0</v>
      </c>
      <c r="N8608">
        <f>HYPERLINK("https://www.wikidata.org/wiki/Q2847791", "Q2847791")</f>
        <v>0</v>
      </c>
      <c r="O8608" t="s">
        <v>20099</v>
      </c>
    </row>
    <row r="8609" spans="1:15">
      <c r="A8609" t="s">
        <v>34</v>
      </c>
      <c r="B8609" t="s">
        <v>149</v>
      </c>
      <c r="C8609" t="s">
        <v>166</v>
      </c>
      <c r="D8609" t="s">
        <v>295</v>
      </c>
      <c r="E8609" t="s">
        <v>424</v>
      </c>
      <c r="F8609">
        <f>HYPERLINK("https://www.wikidata.org/wiki/Q3112254", "Q3112254")</f>
        <v>0</v>
      </c>
      <c r="G8609" t="s">
        <v>1955</v>
      </c>
      <c r="H8609" t="s">
        <v>6597</v>
      </c>
      <c r="I8609" t="s">
        <v>10016</v>
      </c>
      <c r="J8609" t="s">
        <v>12638</v>
      </c>
      <c r="K8609" t="s">
        <v>17048</v>
      </c>
      <c r="L8609">
        <f>HYPERLINK("https://www2.assemblee-nationale.fr/sycomore/fiche/(num_dept)/3166", "3166")</f>
        <v>0</v>
      </c>
      <c r="N8609">
        <f>HYPERLINK("https://www.wikidata.org/wiki/Q1109027", "Q1109027")</f>
        <v>0</v>
      </c>
      <c r="O8609" t="s">
        <v>20100</v>
      </c>
    </row>
    <row r="8610" spans="1:15">
      <c r="A8610" t="s">
        <v>34</v>
      </c>
      <c r="B8610" t="s">
        <v>149</v>
      </c>
      <c r="C8610" t="s">
        <v>166</v>
      </c>
      <c r="D8610" t="s">
        <v>295</v>
      </c>
      <c r="E8610" t="s">
        <v>424</v>
      </c>
      <c r="F8610">
        <f>HYPERLINK("https://www.wikidata.org/wiki/Q3112254", "Q3112254")</f>
        <v>0</v>
      </c>
      <c r="G8610" t="s">
        <v>2326</v>
      </c>
      <c r="H8610" t="s">
        <v>6916</v>
      </c>
      <c r="I8610" t="s">
        <v>9446</v>
      </c>
      <c r="J8610" t="s">
        <v>12842</v>
      </c>
      <c r="K8610" t="s">
        <v>17390</v>
      </c>
      <c r="L8610">
        <f>HYPERLINK("https://www2.assemblee-nationale.fr/sycomore/fiche/(num_dept)/3346", "3346")</f>
        <v>0</v>
      </c>
      <c r="N8610">
        <f>HYPERLINK("https://www.wikidata.org/wiki/Q3069167", "Q3069167")</f>
        <v>0</v>
      </c>
      <c r="O8610" t="s">
        <v>20089</v>
      </c>
    </row>
    <row r="8611" spans="1:15">
      <c r="A8611" t="s">
        <v>34</v>
      </c>
      <c r="B8611" t="s">
        <v>149</v>
      </c>
      <c r="C8611" t="s">
        <v>166</v>
      </c>
      <c r="D8611" t="s">
        <v>295</v>
      </c>
      <c r="E8611" t="s">
        <v>424</v>
      </c>
      <c r="F8611">
        <f>HYPERLINK("https://www.wikidata.org/wiki/Q3112254", "Q3112254")</f>
        <v>0</v>
      </c>
      <c r="G8611" t="s">
        <v>2232</v>
      </c>
      <c r="H8611" t="s">
        <v>6841</v>
      </c>
      <c r="I8611" t="s">
        <v>9458</v>
      </c>
      <c r="J8611" t="s">
        <v>12893</v>
      </c>
      <c r="K8611" t="s">
        <v>17304</v>
      </c>
      <c r="L8611">
        <f>HYPERLINK("https://www2.assemblee-nationale.fr/sycomore/fiche/(num_dept)/4092", "4092")</f>
        <v>0</v>
      </c>
      <c r="N8611">
        <f>HYPERLINK("https://www.wikidata.org/wiki/Q2835216", "Q2835216")</f>
        <v>0</v>
      </c>
      <c r="O8611" t="s">
        <v>20079</v>
      </c>
    </row>
    <row r="8612" spans="1:15">
      <c r="A8612" t="s">
        <v>34</v>
      </c>
      <c r="B8612" t="s">
        <v>149</v>
      </c>
      <c r="C8612" t="s">
        <v>166</v>
      </c>
      <c r="D8612" t="s">
        <v>295</v>
      </c>
      <c r="E8612" t="s">
        <v>424</v>
      </c>
      <c r="F8612">
        <f>HYPERLINK("https://www.wikidata.org/wiki/Q3112254", "Q3112254")</f>
        <v>0</v>
      </c>
      <c r="G8612" t="s">
        <v>1960</v>
      </c>
      <c r="H8612" t="s">
        <v>6601</v>
      </c>
      <c r="I8612" t="s">
        <v>6713</v>
      </c>
      <c r="J8612" t="s">
        <v>12643</v>
      </c>
      <c r="K8612" t="s">
        <v>17053</v>
      </c>
      <c r="L8612">
        <f>HYPERLINK("https://www2.assemblee-nationale.fr/sycomore/fiche/(num_dept)/4175", "4175")</f>
        <v>0</v>
      </c>
      <c r="N8612">
        <f>HYPERLINK("https://www.wikidata.org/wiki/Q3121895", "Q3121895")</f>
        <v>0</v>
      </c>
      <c r="O8612" t="s">
        <v>20072</v>
      </c>
    </row>
    <row r="8613" spans="1:15">
      <c r="A8613" t="s">
        <v>34</v>
      </c>
      <c r="B8613" t="s">
        <v>149</v>
      </c>
      <c r="C8613" t="s">
        <v>166</v>
      </c>
      <c r="D8613" t="s">
        <v>295</v>
      </c>
      <c r="E8613" t="s">
        <v>424</v>
      </c>
      <c r="F8613">
        <f>HYPERLINK("https://www.wikidata.org/wiki/Q3112254", "Q3112254")</f>
        <v>0</v>
      </c>
      <c r="G8613" t="s">
        <v>2338</v>
      </c>
      <c r="H8613" t="s">
        <v>6926</v>
      </c>
      <c r="I8613" t="s">
        <v>9408</v>
      </c>
      <c r="J8613" t="s">
        <v>12992</v>
      </c>
      <c r="K8613" t="s">
        <v>17402</v>
      </c>
      <c r="L8613">
        <f>HYPERLINK("https://www2.assemblee-nationale.fr/sycomore/fiche/(num_dept)/4268", "4268")</f>
        <v>0</v>
      </c>
      <c r="N8613">
        <f>HYPERLINK("https://www.wikidata.org/wiki/Q3270494", "Q3270494")</f>
        <v>0</v>
      </c>
      <c r="O8613" t="s">
        <v>20101</v>
      </c>
    </row>
    <row r="8614" spans="1:15">
      <c r="A8614" t="s">
        <v>34</v>
      </c>
      <c r="B8614" t="s">
        <v>149</v>
      </c>
      <c r="C8614" t="s">
        <v>166</v>
      </c>
      <c r="D8614" t="s">
        <v>295</v>
      </c>
      <c r="E8614" t="s">
        <v>424</v>
      </c>
      <c r="F8614">
        <f>HYPERLINK("https://www.wikidata.org/wiki/Q3112254", "Q3112254")</f>
        <v>0</v>
      </c>
      <c r="G8614" t="s">
        <v>2438</v>
      </c>
      <c r="H8614" t="s">
        <v>7011</v>
      </c>
      <c r="I8614" t="s">
        <v>9470</v>
      </c>
      <c r="J8614" t="s">
        <v>13086</v>
      </c>
      <c r="K8614" t="s">
        <v>17496</v>
      </c>
      <c r="L8614">
        <f>HYPERLINK("https://www2.assemblee-nationale.fr/sycomore/fiche/(num_dept)/4958", "4958")</f>
        <v>0</v>
      </c>
      <c r="N8614">
        <f>HYPERLINK("https://www.wikidata.org/wiki/Q2310999", "Q2310999")</f>
        <v>0</v>
      </c>
      <c r="O8614" t="s">
        <v>20102</v>
      </c>
    </row>
    <row r="8615" spans="1:15">
      <c r="A8615" t="s">
        <v>34</v>
      </c>
      <c r="B8615" t="s">
        <v>149</v>
      </c>
      <c r="C8615" t="s">
        <v>166</v>
      </c>
      <c r="D8615" t="s">
        <v>295</v>
      </c>
      <c r="E8615" t="s">
        <v>424</v>
      </c>
      <c r="F8615">
        <f>HYPERLINK("https://www.wikidata.org/wiki/Q3112254", "Q3112254")</f>
        <v>0</v>
      </c>
      <c r="G8615" t="s">
        <v>2354</v>
      </c>
      <c r="H8615" t="s">
        <v>6939</v>
      </c>
      <c r="I8615" t="s">
        <v>6860</v>
      </c>
      <c r="J8615" t="s">
        <v>13007</v>
      </c>
      <c r="K8615" t="s">
        <v>17417</v>
      </c>
      <c r="L8615">
        <f>HYPERLINK("https://www2.assemblee-nationale.fr/sycomore/fiche/(num_dept)/5176", "5176")</f>
        <v>0</v>
      </c>
      <c r="N8615">
        <f>HYPERLINK("https://www.wikidata.org/wiki/Q314265", "Q314265")</f>
        <v>0</v>
      </c>
      <c r="O8615" t="s">
        <v>20103</v>
      </c>
    </row>
    <row r="8616" spans="1:15">
      <c r="A8616" t="s">
        <v>34</v>
      </c>
      <c r="B8616" t="s">
        <v>149</v>
      </c>
      <c r="C8616" t="s">
        <v>166</v>
      </c>
      <c r="D8616" t="s">
        <v>295</v>
      </c>
      <c r="E8616" t="s">
        <v>424</v>
      </c>
      <c r="F8616">
        <f>HYPERLINK("https://www.wikidata.org/wiki/Q3112254", "Q3112254")</f>
        <v>0</v>
      </c>
      <c r="G8616" t="s">
        <v>2121</v>
      </c>
      <c r="H8616" t="s">
        <v>6741</v>
      </c>
      <c r="I8616" t="s">
        <v>9449</v>
      </c>
      <c r="J8616" t="s">
        <v>12785</v>
      </c>
      <c r="K8616" t="s">
        <v>17201</v>
      </c>
      <c r="L8616">
        <f>HYPERLINK("https://www2.assemblee-nationale.fr/sycomore/fiche/(num_dept)/5316", "5316")</f>
        <v>0</v>
      </c>
      <c r="N8616">
        <f>HYPERLINK("https://www.wikidata.org/wiki/Q2564543", "Q2564543")</f>
        <v>0</v>
      </c>
      <c r="O8616" t="s">
        <v>20063</v>
      </c>
    </row>
    <row r="8617" spans="1:15">
      <c r="A8617" t="s">
        <v>34</v>
      </c>
      <c r="B8617" t="s">
        <v>149</v>
      </c>
      <c r="C8617" t="s">
        <v>166</v>
      </c>
      <c r="D8617" t="s">
        <v>295</v>
      </c>
      <c r="E8617" t="s">
        <v>424</v>
      </c>
      <c r="F8617">
        <f>HYPERLINK("https://www.wikidata.org/wiki/Q3112254", "Q3112254")</f>
        <v>0</v>
      </c>
      <c r="G8617" t="s">
        <v>2122</v>
      </c>
      <c r="H8617" t="s">
        <v>6742</v>
      </c>
      <c r="I8617" t="s">
        <v>6175</v>
      </c>
      <c r="J8617" t="s">
        <v>12786</v>
      </c>
      <c r="K8617" t="s">
        <v>17202</v>
      </c>
      <c r="L8617">
        <f>HYPERLINK("https://www2.assemblee-nationale.fr/sycomore/fiche/(num_dept)/5350", "5350")</f>
        <v>0</v>
      </c>
      <c r="N8617">
        <f>HYPERLINK("https://www.wikidata.org/wiki/Q3103220", "Q3103220")</f>
        <v>0</v>
      </c>
      <c r="O8617" t="s">
        <v>20056</v>
      </c>
    </row>
    <row r="8618" spans="1:15">
      <c r="A8618" t="s">
        <v>34</v>
      </c>
      <c r="B8618" t="s">
        <v>149</v>
      </c>
      <c r="C8618" t="s">
        <v>166</v>
      </c>
      <c r="D8618" t="s">
        <v>295</v>
      </c>
      <c r="E8618" t="s">
        <v>424</v>
      </c>
      <c r="F8618">
        <f>HYPERLINK("https://www.wikidata.org/wiki/Q3112254", "Q3112254")</f>
        <v>0</v>
      </c>
      <c r="G8618" t="s">
        <v>1336</v>
      </c>
      <c r="H8618" t="s">
        <v>6054</v>
      </c>
      <c r="I8618" t="s">
        <v>9593</v>
      </c>
      <c r="J8618" t="s">
        <v>12063</v>
      </c>
      <c r="K8618" t="s">
        <v>16465</v>
      </c>
      <c r="L8618">
        <f>HYPERLINK("https://www2.assemblee-nationale.fr/sycomore/fiche/(num_dept)/5466", "5466")</f>
        <v>0</v>
      </c>
      <c r="N8618">
        <f>HYPERLINK("https://www.wikidata.org/wiki/Q3293837", "Q3293837")</f>
        <v>0</v>
      </c>
      <c r="O8618" t="s">
        <v>20065</v>
      </c>
    </row>
    <row r="8619" spans="1:15">
      <c r="A8619" t="s">
        <v>34</v>
      </c>
      <c r="B8619" t="s">
        <v>149</v>
      </c>
      <c r="C8619" t="s">
        <v>166</v>
      </c>
      <c r="D8619" t="s">
        <v>295</v>
      </c>
      <c r="E8619" t="s">
        <v>424</v>
      </c>
      <c r="F8619">
        <f>HYPERLINK("https://www.wikidata.org/wiki/Q3112254", "Q3112254")</f>
        <v>0</v>
      </c>
      <c r="G8619" t="s">
        <v>752</v>
      </c>
      <c r="H8619" t="s">
        <v>5510</v>
      </c>
      <c r="I8619" t="s">
        <v>9407</v>
      </c>
      <c r="J8619" t="s">
        <v>11500</v>
      </c>
      <c r="K8619" t="s">
        <v>15903</v>
      </c>
      <c r="L8619">
        <f>HYPERLINK("https://www2.assemblee-nationale.fr/sycomore/fiche/(num_dept)/5724", "5724")</f>
        <v>0</v>
      </c>
      <c r="M8619">
        <f>HYPERLINK("https://www.senat.fr/senateur-3eme-republique/paul_boncour_joseph0550r4.html", "paul_boncour_joseph0550r4")</f>
        <v>0</v>
      </c>
      <c r="N8619">
        <f>HYPERLINK("https://www.wikidata.org/wiki/Q285865", "Q285865")</f>
        <v>0</v>
      </c>
      <c r="O8619" t="s">
        <v>20062</v>
      </c>
    </row>
    <row r="8620" spans="1:15">
      <c r="A8620" t="s">
        <v>34</v>
      </c>
      <c r="B8620" t="s">
        <v>149</v>
      </c>
      <c r="C8620" t="s">
        <v>166</v>
      </c>
      <c r="D8620" t="s">
        <v>295</v>
      </c>
      <c r="E8620" t="s">
        <v>424</v>
      </c>
      <c r="F8620">
        <f>HYPERLINK("https://www.wikidata.org/wiki/Q3112254", "Q3112254")</f>
        <v>0</v>
      </c>
      <c r="G8620" t="s">
        <v>2149</v>
      </c>
      <c r="H8620" t="s">
        <v>6763</v>
      </c>
      <c r="I8620" t="s">
        <v>9499</v>
      </c>
      <c r="J8620" t="s">
        <v>12813</v>
      </c>
      <c r="K8620" t="s">
        <v>17228</v>
      </c>
      <c r="L8620">
        <f>HYPERLINK("https://www2.assemblee-nationale.fr/sycomore/fiche/(num_dept)/6184", "6184")</f>
        <v>0</v>
      </c>
      <c r="N8620">
        <f>HYPERLINK("https://www.wikidata.org/wiki/Q950845", "Q950845")</f>
        <v>0</v>
      </c>
      <c r="O8620" t="s">
        <v>20064</v>
      </c>
    </row>
    <row r="8621" spans="1:15">
      <c r="A8621" t="s">
        <v>34</v>
      </c>
      <c r="B8621" t="s">
        <v>149</v>
      </c>
      <c r="C8621" t="s">
        <v>166</v>
      </c>
      <c r="D8621" t="s">
        <v>295</v>
      </c>
      <c r="E8621" t="s">
        <v>424</v>
      </c>
      <c r="F8621">
        <f>HYPERLINK("https://www.wikidata.org/wiki/Q3112254", "Q3112254")</f>
        <v>0</v>
      </c>
      <c r="G8621" t="s">
        <v>778</v>
      </c>
      <c r="H8621" t="s">
        <v>5536</v>
      </c>
      <c r="I8621" t="s">
        <v>6584</v>
      </c>
      <c r="J8621" t="s">
        <v>11525</v>
      </c>
      <c r="K8621" t="s">
        <v>15929</v>
      </c>
      <c r="L8621">
        <f>HYPERLINK("https://www2.assemblee-nationale.fr/sycomore/fiche/(num_dept)/6293", "6293")</f>
        <v>0</v>
      </c>
      <c r="M8621">
        <f>HYPERLINK("https://www.senat.fr/senateur-3eme-republique/sarraut_albert0265r3.html", "sarraut_albert0265r3")</f>
        <v>0</v>
      </c>
      <c r="N8621">
        <f>HYPERLINK("https://www.wikidata.org/wiki/Q460318", "Q460318")</f>
        <v>0</v>
      </c>
      <c r="O8621" t="s">
        <v>20104</v>
      </c>
    </row>
    <row r="8622" spans="1:15">
      <c r="A8622" t="s">
        <v>34</v>
      </c>
      <c r="B8622" t="s">
        <v>149</v>
      </c>
      <c r="C8622" t="s">
        <v>166</v>
      </c>
      <c r="D8622" t="s">
        <v>295</v>
      </c>
      <c r="E8622" t="s">
        <v>424</v>
      </c>
      <c r="F8622">
        <f>HYPERLINK("https://www.wikidata.org/wiki/Q3112254", "Q3112254")</f>
        <v>0</v>
      </c>
      <c r="G8622" t="s">
        <v>1885</v>
      </c>
      <c r="H8622" t="s">
        <v>6538</v>
      </c>
      <c r="I8622" t="s">
        <v>6584</v>
      </c>
      <c r="J8622" t="s">
        <v>12572</v>
      </c>
      <c r="K8622" t="s">
        <v>16984</v>
      </c>
      <c r="L8622">
        <f>HYPERLINK("https://www2.assemblee-nationale.fr/sycomore/fiche/(num_dept)/6395", "6395")</f>
        <v>0</v>
      </c>
      <c r="N8622">
        <f>HYPERLINK("https://www.wikidata.org/wiki/Q8334416", "Q8334416")</f>
        <v>0</v>
      </c>
      <c r="O8622" t="s">
        <v>20086</v>
      </c>
    </row>
    <row r="8623" spans="1:15">
      <c r="A8623" t="s">
        <v>34</v>
      </c>
      <c r="B8623" t="s">
        <v>149</v>
      </c>
      <c r="C8623" t="s">
        <v>166</v>
      </c>
      <c r="D8623" t="s">
        <v>295</v>
      </c>
      <c r="E8623" t="s">
        <v>424</v>
      </c>
      <c r="F8623">
        <f>HYPERLINK("https://www.wikidata.org/wiki/Q3112254", "Q3112254")</f>
        <v>0</v>
      </c>
      <c r="G8623" t="s">
        <v>2411</v>
      </c>
      <c r="H8623" t="s">
        <v>6020</v>
      </c>
      <c r="I8623" t="s">
        <v>7265</v>
      </c>
      <c r="J8623" t="s">
        <v>13061</v>
      </c>
      <c r="K8623" t="s">
        <v>17471</v>
      </c>
      <c r="L8623">
        <f>HYPERLINK("https://www2.assemblee-nationale.fr/sycomore/fiche/(num_dept)/6400", "6400")</f>
        <v>0</v>
      </c>
      <c r="N8623">
        <f>HYPERLINK("https://www.wikidata.org/wiki/Q2327528", "Q2327528")</f>
        <v>0</v>
      </c>
      <c r="O8623" t="s">
        <v>20105</v>
      </c>
    </row>
    <row r="8624" spans="1:15">
      <c r="A8624" t="s">
        <v>34</v>
      </c>
      <c r="B8624" t="s">
        <v>149</v>
      </c>
      <c r="C8624" t="s">
        <v>166</v>
      </c>
      <c r="D8624" t="s">
        <v>295</v>
      </c>
      <c r="E8624" t="s">
        <v>424</v>
      </c>
      <c r="F8624">
        <f>HYPERLINK("https://www.wikidata.org/wiki/Q3112254", "Q3112254")</f>
        <v>0</v>
      </c>
      <c r="G8624" t="s">
        <v>814</v>
      </c>
      <c r="H8624" t="s">
        <v>5571</v>
      </c>
      <c r="I8624" t="s">
        <v>9533</v>
      </c>
      <c r="J8624" t="s">
        <v>11561</v>
      </c>
      <c r="K8624" t="s">
        <v>15965</v>
      </c>
      <c r="L8624">
        <f>HYPERLINK("https://www2.assemblee-nationale.fr/sycomore/fiche/(num_dept)/6904", "6904")</f>
        <v>0</v>
      </c>
      <c r="M8624">
        <f>HYPERLINK("https://www.senat.fr/senateur-3eme-republique/steeg_theodore1554r3.html", "steeg_theodore1554r3")</f>
        <v>0</v>
      </c>
      <c r="N8624">
        <f>HYPERLINK("https://www.wikidata.org/wiki/Q717905", "Q717905")</f>
        <v>0</v>
      </c>
      <c r="O8624" t="s">
        <v>20071</v>
      </c>
    </row>
    <row r="8625" spans="1:15">
      <c r="A8625" t="s">
        <v>34</v>
      </c>
      <c r="B8625" t="s">
        <v>149</v>
      </c>
      <c r="C8625" t="s">
        <v>166</v>
      </c>
      <c r="D8625" t="s">
        <v>295</v>
      </c>
      <c r="E8625" t="s">
        <v>424</v>
      </c>
      <c r="F8625">
        <f>HYPERLINK("https://www.wikidata.org/wiki/Q3112254", "Q3112254")</f>
        <v>0</v>
      </c>
      <c r="G8625" t="s">
        <v>1898</v>
      </c>
      <c r="H8625" t="s">
        <v>6548</v>
      </c>
      <c r="I8625" t="s">
        <v>9457</v>
      </c>
      <c r="J8625" t="s">
        <v>12585</v>
      </c>
      <c r="K8625" t="s">
        <v>16997</v>
      </c>
      <c r="L8625">
        <f>HYPERLINK("https://www2.assemblee-nationale.fr/sycomore/fiche/(num_dept)/6960", "6960")</f>
        <v>0</v>
      </c>
      <c r="M8625">
        <f>HYPERLINK("https://www.senat.fr/senateur-3eme-republique/tasso_henri0331r3.html", "tasso_henri0331r3")</f>
        <v>0</v>
      </c>
      <c r="N8625">
        <f>HYPERLINK("https://www.wikidata.org/wiki/Q3132056", "Q3132056")</f>
        <v>0</v>
      </c>
      <c r="O8625" t="s">
        <v>20106</v>
      </c>
    </row>
    <row r="8626" spans="1:15">
      <c r="A8626" t="s">
        <v>34</v>
      </c>
      <c r="B8626" t="s">
        <v>149</v>
      </c>
      <c r="C8626" t="s">
        <v>166</v>
      </c>
      <c r="D8626" t="s">
        <v>295</v>
      </c>
      <c r="E8626" t="s">
        <v>424</v>
      </c>
      <c r="F8626">
        <f>HYPERLINK("https://www.wikidata.org/wiki/Q3112254", "Q3112254")</f>
        <v>0</v>
      </c>
      <c r="G8626" t="s">
        <v>2175</v>
      </c>
      <c r="H8626" t="s">
        <v>6789</v>
      </c>
      <c r="I8626" t="s">
        <v>6166</v>
      </c>
      <c r="J8626" t="s">
        <v>12339</v>
      </c>
      <c r="K8626" t="s">
        <v>17251</v>
      </c>
      <c r="L8626">
        <f>HYPERLINK("https://www2.assemblee-nationale.fr/sycomore/fiche/(num_dept)/6999", "6999")</f>
        <v>0</v>
      </c>
      <c r="N8626">
        <f>HYPERLINK("https://www.wikidata.org/wiki/Q3086325", "Q3086325")</f>
        <v>0</v>
      </c>
      <c r="O8626" t="s">
        <v>20099</v>
      </c>
    </row>
    <row r="8627" spans="1:15">
      <c r="A8627" t="s">
        <v>34</v>
      </c>
      <c r="B8627" t="s">
        <v>149</v>
      </c>
      <c r="C8627" t="s">
        <v>166</v>
      </c>
      <c r="D8627" t="s">
        <v>295</v>
      </c>
      <c r="E8627" t="s">
        <v>424</v>
      </c>
      <c r="F8627">
        <f>HYPERLINK("https://www.wikidata.org/wiki/Q3112254", "Q3112254")</f>
        <v>0</v>
      </c>
      <c r="G8627" t="s">
        <v>823</v>
      </c>
      <c r="H8627" t="s">
        <v>5580</v>
      </c>
      <c r="I8627" t="s">
        <v>7642</v>
      </c>
      <c r="J8627" t="s">
        <v>11570</v>
      </c>
      <c r="K8627" t="s">
        <v>15973</v>
      </c>
      <c r="L8627">
        <f>HYPERLINK("https://www2.assemblee-nationale.fr/sycomore/fiche/(num_dept)/7238", "7238")</f>
        <v>0</v>
      </c>
      <c r="M8627">
        <f>HYPERLINK("https://www.senat.fr/senateur-3eme-republique/viollette_maurice0773r3.html", "viollette_maurice0773r3")</f>
        <v>0</v>
      </c>
      <c r="N8627">
        <f>HYPERLINK("https://www.wikidata.org/wiki/Q3301513", "Q3301513")</f>
        <v>0</v>
      </c>
      <c r="O8627" t="s">
        <v>20098</v>
      </c>
    </row>
    <row r="8628" spans="1:15">
      <c r="A8628" t="s">
        <v>34</v>
      </c>
      <c r="B8628" t="s">
        <v>149</v>
      </c>
      <c r="C8628" t="s">
        <v>166</v>
      </c>
      <c r="D8628" t="s">
        <v>295</v>
      </c>
      <c r="E8628" t="s">
        <v>424</v>
      </c>
      <c r="F8628">
        <f>HYPERLINK("https://www.wikidata.org/wiki/Q3112254", "Q3112254")</f>
        <v>0</v>
      </c>
      <c r="G8628" t="s">
        <v>2400</v>
      </c>
      <c r="H8628" t="s">
        <v>6977</v>
      </c>
      <c r="I8628" t="s">
        <v>6200</v>
      </c>
      <c r="J8628" t="s">
        <v>13050</v>
      </c>
      <c r="K8628" t="s">
        <v>17460</v>
      </c>
      <c r="L8628">
        <f>HYPERLINK("https://www2.assemblee-nationale.fr/sycomore/fiche/(num_dept)/7291", "7291")</f>
        <v>0</v>
      </c>
      <c r="N8628">
        <f>HYPERLINK("https://www.wikidata.org/wiki/Q713487", "Q713487")</f>
        <v>0</v>
      </c>
      <c r="O8628" t="s">
        <v>20085</v>
      </c>
    </row>
    <row r="8629" spans="1:15">
      <c r="A8629" t="s">
        <v>34</v>
      </c>
      <c r="B8629" t="s">
        <v>149</v>
      </c>
      <c r="C8629" t="s">
        <v>166</v>
      </c>
      <c r="D8629" t="s">
        <v>295</v>
      </c>
      <c r="E8629" t="s">
        <v>424</v>
      </c>
      <c r="F8629">
        <f>HYPERLINK("https://www.wikidata.org/wiki/Q3112254", "Q3112254")</f>
        <v>0</v>
      </c>
      <c r="G8629" t="s">
        <v>1660</v>
      </c>
      <c r="H8629" t="s">
        <v>6343</v>
      </c>
      <c r="I8629" t="s">
        <v>9474</v>
      </c>
      <c r="J8629" t="s">
        <v>12367</v>
      </c>
      <c r="K8629" t="s">
        <v>16774</v>
      </c>
      <c r="L8629">
        <f>HYPERLINK("https://www2.assemblee-nationale.fr/sycomore/fiche/(num_dept)/7636", "7636")</f>
        <v>0</v>
      </c>
      <c r="N8629">
        <f>HYPERLINK("https://www.wikidata.org/wiki/Q830456", "Q830456")</f>
        <v>0</v>
      </c>
      <c r="O8629" t="s">
        <v>20078</v>
      </c>
    </row>
    <row r="8630" spans="1:15">
      <c r="A8630" t="s">
        <v>34</v>
      </c>
      <c r="B8630" t="s">
        <v>149</v>
      </c>
      <c r="C8630" t="s">
        <v>166</v>
      </c>
      <c r="D8630" t="s">
        <v>295</v>
      </c>
      <c r="E8630" t="s">
        <v>424</v>
      </c>
      <c r="F8630">
        <f>HYPERLINK("https://www.wikidata.org/wiki/Q3112254", "Q3112254")</f>
        <v>0</v>
      </c>
      <c r="G8630" t="s">
        <v>2407</v>
      </c>
      <c r="H8630" t="s">
        <v>6983</v>
      </c>
      <c r="I8630" t="s">
        <v>6585</v>
      </c>
      <c r="J8630" t="s">
        <v>13057</v>
      </c>
      <c r="K8630" t="s">
        <v>17467</v>
      </c>
      <c r="L8630">
        <f>HYPERLINK("https://www2.assemblee-nationale.fr/sycomore/fiche/(num_dept)/7846", "7846")</f>
        <v>0</v>
      </c>
      <c r="N8630">
        <f>HYPERLINK("https://www.wikidata.org/wiki/Q2848169", "Q2848169")</f>
        <v>0</v>
      </c>
      <c r="O8630" t="s">
        <v>20087</v>
      </c>
    </row>
    <row r="8631" spans="1:15">
      <c r="A8631" t="s">
        <v>34</v>
      </c>
      <c r="B8631" t="s">
        <v>149</v>
      </c>
      <c r="C8631" t="s">
        <v>166</v>
      </c>
      <c r="D8631" t="s">
        <v>295</v>
      </c>
      <c r="E8631" t="s">
        <v>424</v>
      </c>
      <c r="F8631">
        <f>HYPERLINK("https://www.wikidata.org/wiki/Q3112254", "Q3112254")</f>
        <v>0</v>
      </c>
      <c r="G8631" t="s">
        <v>2195</v>
      </c>
      <c r="H8631" t="s">
        <v>6806</v>
      </c>
      <c r="I8631" t="s">
        <v>6584</v>
      </c>
      <c r="J8631" t="s">
        <v>12858</v>
      </c>
      <c r="K8631" t="s">
        <v>16325</v>
      </c>
      <c r="L8631">
        <f>HYPERLINK("https://www2.assemblee-nationale.fr/sycomore/fiche/(num_dept)/19493", "19493")</f>
        <v>0</v>
      </c>
      <c r="N8631">
        <f>HYPERLINK("https://www.wikidata.org/wiki/Q2831506", "Q2831506")</f>
        <v>0</v>
      </c>
      <c r="O8631" t="s">
        <v>20088</v>
      </c>
    </row>
    <row r="8632" spans="1:15">
      <c r="A8632" t="s">
        <v>34</v>
      </c>
      <c r="B8632" t="s">
        <v>149</v>
      </c>
      <c r="C8632" t="s">
        <v>166</v>
      </c>
      <c r="D8632" t="s">
        <v>295</v>
      </c>
      <c r="E8632" t="s">
        <v>424</v>
      </c>
      <c r="F8632">
        <f>HYPERLINK("https://www.wikidata.org/wiki/Q3112254", "Q3112254")</f>
        <v>0</v>
      </c>
      <c r="G8632" t="s">
        <v>4230</v>
      </c>
      <c r="H8632" t="s">
        <v>6753</v>
      </c>
      <c r="I8632" t="s">
        <v>6200</v>
      </c>
      <c r="J8632" t="s">
        <v>14738</v>
      </c>
      <c r="K8632" t="s">
        <v>19082</v>
      </c>
      <c r="N8632">
        <f>HYPERLINK("https://www.wikidata.org/wiki/Q134085", "Q134085")</f>
        <v>0</v>
      </c>
      <c r="O8632" t="s">
        <v>20107</v>
      </c>
    </row>
    <row r="8633" spans="1:15">
      <c r="A8633" t="s">
        <v>35</v>
      </c>
      <c r="B8633" t="s">
        <v>149</v>
      </c>
      <c r="C8633" t="s">
        <v>167</v>
      </c>
      <c r="D8633" t="s">
        <v>296</v>
      </c>
      <c r="E8633" t="s">
        <v>349</v>
      </c>
      <c r="F8633">
        <f>HYPERLINK("https://www.wikidata.org/wiki/Q2095707", "Q2095707")</f>
        <v>0</v>
      </c>
      <c r="G8633" t="s">
        <v>1224</v>
      </c>
      <c r="H8633" t="s">
        <v>5630</v>
      </c>
      <c r="I8633" t="s">
        <v>9712</v>
      </c>
      <c r="J8633" t="s">
        <v>11956</v>
      </c>
      <c r="K8633" t="s">
        <v>16358</v>
      </c>
      <c r="L8633">
        <f>HYPERLINK("https://www2.assemblee-nationale.fr/sycomore/fiche/(num_dept)/748", "748")</f>
        <v>0</v>
      </c>
      <c r="M8633">
        <f>HYPERLINK("https://www.senat.fr/senateur-3eme-republique/bertrand_williams0414r3.html", "bertrand_williams0414r3")</f>
        <v>0</v>
      </c>
      <c r="N8633">
        <f>HYPERLINK("https://www.wikidata.org/wiki/Q3568432", "Q3568432")</f>
        <v>0</v>
      </c>
      <c r="O8633" t="s">
        <v>20108</v>
      </c>
    </row>
    <row r="8634" spans="1:15">
      <c r="A8634" t="s">
        <v>35</v>
      </c>
      <c r="B8634" t="s">
        <v>149</v>
      </c>
      <c r="C8634" t="s">
        <v>167</v>
      </c>
      <c r="D8634" t="s">
        <v>296</v>
      </c>
      <c r="E8634" t="s">
        <v>349</v>
      </c>
      <c r="F8634">
        <f>HYPERLINK("https://www.wikidata.org/wiki/Q2095707", "Q2095707")</f>
        <v>0</v>
      </c>
      <c r="G8634" t="s">
        <v>884</v>
      </c>
      <c r="H8634" t="s">
        <v>5640</v>
      </c>
      <c r="I8634" t="s">
        <v>9446</v>
      </c>
      <c r="J8634" t="s">
        <v>11630</v>
      </c>
      <c r="K8634" t="s">
        <v>16030</v>
      </c>
      <c r="L8634">
        <f>HYPERLINK("https://www2.assemblee-nationale.fr/sycomore/fiche/(num_dept)/1043", "1043")</f>
        <v>0</v>
      </c>
      <c r="N8634">
        <f>HYPERLINK("https://www.wikidata.org/wiki/Q459510", "Q459510")</f>
        <v>0</v>
      </c>
      <c r="O8634" t="s">
        <v>20058</v>
      </c>
    </row>
    <row r="8635" spans="1:15">
      <c r="A8635" t="s">
        <v>35</v>
      </c>
      <c r="B8635" t="s">
        <v>149</v>
      </c>
      <c r="C8635" t="s">
        <v>167</v>
      </c>
      <c r="D8635" t="s">
        <v>296</v>
      </c>
      <c r="E8635" t="s">
        <v>349</v>
      </c>
      <c r="F8635">
        <f>HYPERLINK("https://www.wikidata.org/wiki/Q2095707", "Q2095707")</f>
        <v>0</v>
      </c>
      <c r="G8635" t="s">
        <v>884</v>
      </c>
      <c r="H8635" t="s">
        <v>5640</v>
      </c>
      <c r="I8635" t="s">
        <v>9446</v>
      </c>
      <c r="J8635" t="s">
        <v>11630</v>
      </c>
      <c r="K8635" t="s">
        <v>16030</v>
      </c>
      <c r="L8635">
        <f>HYPERLINK("https://www2.assemblee-nationale.fr/sycomore/fiche/(num_dept)/1043", "1043")</f>
        <v>0</v>
      </c>
      <c r="N8635">
        <f>HYPERLINK("https://www.wikidata.org/wiki/Q459510", "Q459510")</f>
        <v>0</v>
      </c>
      <c r="O8635" t="s">
        <v>20052</v>
      </c>
    </row>
    <row r="8636" spans="1:15">
      <c r="A8636" t="s">
        <v>35</v>
      </c>
      <c r="B8636" t="s">
        <v>149</v>
      </c>
      <c r="C8636" t="s">
        <v>167</v>
      </c>
      <c r="D8636" t="s">
        <v>296</v>
      </c>
      <c r="E8636" t="s">
        <v>349</v>
      </c>
      <c r="F8636">
        <f>HYPERLINK("https://www.wikidata.org/wiki/Q2095707", "Q2095707")</f>
        <v>0</v>
      </c>
      <c r="G8636" t="s">
        <v>560</v>
      </c>
      <c r="H8636" t="s">
        <v>5323</v>
      </c>
      <c r="I8636" t="s">
        <v>9407</v>
      </c>
      <c r="J8636" t="s">
        <v>11311</v>
      </c>
      <c r="K8636" t="s">
        <v>15712</v>
      </c>
      <c r="L8636">
        <f>HYPERLINK("https://www2.assemblee-nationale.fr/sycomore/fiche/(num_dept)/1366", "1366")</f>
        <v>0</v>
      </c>
      <c r="M8636">
        <f>HYPERLINK("https://www.senat.fr/senateur-3eme-republique/caillaux_joseph1254r3.html", "caillaux_joseph1254r3")</f>
        <v>0</v>
      </c>
      <c r="N8636">
        <f>HYPERLINK("https://www.wikidata.org/wiki/Q450463", "Q450463")</f>
        <v>0</v>
      </c>
      <c r="O8636" t="s">
        <v>20066</v>
      </c>
    </row>
    <row r="8637" spans="1:15">
      <c r="A8637" t="s">
        <v>35</v>
      </c>
      <c r="B8637" t="s">
        <v>149</v>
      </c>
      <c r="C8637" t="s">
        <v>167</v>
      </c>
      <c r="D8637" t="s">
        <v>296</v>
      </c>
      <c r="E8637" t="s">
        <v>349</v>
      </c>
      <c r="F8637">
        <f>HYPERLINK("https://www.wikidata.org/wiki/Q2095707", "Q2095707")</f>
        <v>0</v>
      </c>
      <c r="G8637" t="s">
        <v>2032</v>
      </c>
      <c r="H8637" t="s">
        <v>6664</v>
      </c>
      <c r="I8637" t="s">
        <v>6860</v>
      </c>
      <c r="J8637" t="s">
        <v>12706</v>
      </c>
      <c r="K8637" t="s">
        <v>17118</v>
      </c>
      <c r="L8637">
        <f>HYPERLINK("https://www2.assemblee-nationale.fr/sycomore/fiche/(num_dept)/1521", "1521")</f>
        <v>0</v>
      </c>
      <c r="N8637">
        <f>HYPERLINK("https://www.wikidata.org/wiki/Q1921652", "Q1921652")</f>
        <v>0</v>
      </c>
      <c r="O8637" t="s">
        <v>20109</v>
      </c>
    </row>
    <row r="8638" spans="1:15">
      <c r="A8638" t="s">
        <v>35</v>
      </c>
      <c r="B8638" t="s">
        <v>149</v>
      </c>
      <c r="C8638" t="s">
        <v>167</v>
      </c>
      <c r="D8638" t="s">
        <v>296</v>
      </c>
      <c r="E8638" t="s">
        <v>349</v>
      </c>
      <c r="F8638">
        <f>HYPERLINK("https://www.wikidata.org/wiki/Q2095707", "Q2095707")</f>
        <v>0</v>
      </c>
      <c r="G8638" t="s">
        <v>1170</v>
      </c>
      <c r="H8638" t="s">
        <v>5901</v>
      </c>
      <c r="I8638" t="s">
        <v>5592</v>
      </c>
      <c r="J8638" t="s">
        <v>11903</v>
      </c>
      <c r="K8638" t="s">
        <v>16305</v>
      </c>
      <c r="L8638">
        <f>HYPERLINK("https://www2.assemblee-nationale.fr/sycomore/fiche/(num_dept)/2874", "2874")</f>
        <v>0</v>
      </c>
      <c r="M8638">
        <f>HYPERLINK("https://www.senat.fr/senateur-3eme-republique/eynac_laurent0520r3.html", "eynac_laurent0520r3")</f>
        <v>0</v>
      </c>
      <c r="N8638">
        <f>HYPERLINK("https://www.wikidata.org/wiki/Q3219208", "Q3219208")</f>
        <v>0</v>
      </c>
      <c r="O8638" t="s">
        <v>20110</v>
      </c>
    </row>
    <row r="8639" spans="1:15">
      <c r="A8639" t="s">
        <v>35</v>
      </c>
      <c r="B8639" t="s">
        <v>149</v>
      </c>
      <c r="C8639" t="s">
        <v>167</v>
      </c>
      <c r="D8639" t="s">
        <v>296</v>
      </c>
      <c r="E8639" t="s">
        <v>349</v>
      </c>
      <c r="F8639">
        <f>HYPERLINK("https://www.wikidata.org/wiki/Q2095707", "Q2095707")</f>
        <v>0</v>
      </c>
      <c r="G8639" t="s">
        <v>1955</v>
      </c>
      <c r="H8639" t="s">
        <v>6597</v>
      </c>
      <c r="I8639" t="s">
        <v>10016</v>
      </c>
      <c r="J8639" t="s">
        <v>12638</v>
      </c>
      <c r="K8639" t="s">
        <v>17048</v>
      </c>
      <c r="L8639">
        <f>HYPERLINK("https://www2.assemblee-nationale.fr/sycomore/fiche/(num_dept)/3166", "3166")</f>
        <v>0</v>
      </c>
      <c r="N8639">
        <f>HYPERLINK("https://www.wikidata.org/wiki/Q1109027", "Q1109027")</f>
        <v>0</v>
      </c>
      <c r="O8639" t="s">
        <v>20086</v>
      </c>
    </row>
    <row r="8640" spans="1:15">
      <c r="A8640" t="s">
        <v>35</v>
      </c>
      <c r="B8640" t="s">
        <v>149</v>
      </c>
      <c r="C8640" t="s">
        <v>167</v>
      </c>
      <c r="D8640" t="s">
        <v>296</v>
      </c>
      <c r="E8640" t="s">
        <v>349</v>
      </c>
      <c r="F8640">
        <f>HYPERLINK("https://www.wikidata.org/wiki/Q2095707", "Q2095707")</f>
        <v>0</v>
      </c>
      <c r="G8640" t="s">
        <v>1492</v>
      </c>
      <c r="H8640" t="s">
        <v>6190</v>
      </c>
      <c r="I8640" t="s">
        <v>9728</v>
      </c>
      <c r="J8640" t="s">
        <v>12210</v>
      </c>
      <c r="K8640" t="s">
        <v>16616</v>
      </c>
      <c r="L8640">
        <f>HYPERLINK("https://www2.assemblee-nationale.fr/sycomore/fiche/(num_dept)/3819", "3819")</f>
        <v>0</v>
      </c>
      <c r="M8640">
        <f>HYPERLINK("https://www.senat.fr/senateur-3eme-republique/herriot_edouard1121r3.html", "herriot_edouard1121r3")</f>
        <v>0</v>
      </c>
      <c r="N8640">
        <f>HYPERLINK("https://www.wikidata.org/wiki/Q274344", "Q274344")</f>
        <v>0</v>
      </c>
      <c r="O8640" t="s">
        <v>20111</v>
      </c>
    </row>
    <row r="8641" spans="1:15">
      <c r="A8641" t="s">
        <v>35</v>
      </c>
      <c r="B8641" t="s">
        <v>149</v>
      </c>
      <c r="C8641" t="s">
        <v>167</v>
      </c>
      <c r="D8641" t="s">
        <v>296</v>
      </c>
      <c r="E8641" t="s">
        <v>349</v>
      </c>
      <c r="F8641">
        <f>HYPERLINK("https://www.wikidata.org/wiki/Q2095707", "Q2095707")</f>
        <v>0</v>
      </c>
      <c r="G8641" t="s">
        <v>689</v>
      </c>
      <c r="H8641" t="s">
        <v>5447</v>
      </c>
      <c r="I8641" t="s">
        <v>9388</v>
      </c>
      <c r="J8641" t="s">
        <v>11439</v>
      </c>
      <c r="K8641" t="s">
        <v>15840</v>
      </c>
      <c r="L8641">
        <f>HYPERLINK("https://www2.assemblee-nationale.fr/sycomore/fiche/(num_dept)/3970", "3970")</f>
        <v>0</v>
      </c>
      <c r="M8641">
        <f>HYPERLINK("https://www.senat.fr/senateur-3eme-republique/jacquier_paul1310r3.html", "jacquier_paul1310r3")</f>
        <v>0</v>
      </c>
      <c r="N8641">
        <f>HYPERLINK("https://www.wikidata.org/wiki/Q3371508", "Q3371508")</f>
        <v>0</v>
      </c>
      <c r="O8641" t="s">
        <v>20056</v>
      </c>
    </row>
    <row r="8642" spans="1:15">
      <c r="A8642" t="s">
        <v>35</v>
      </c>
      <c r="B8642" t="s">
        <v>149</v>
      </c>
      <c r="C8642" t="s">
        <v>167</v>
      </c>
      <c r="D8642" t="s">
        <v>296</v>
      </c>
      <c r="E8642" t="s">
        <v>349</v>
      </c>
      <c r="F8642">
        <f>HYPERLINK("https://www.wikidata.org/wiki/Q2095707", "Q2095707")</f>
        <v>0</v>
      </c>
      <c r="G8642" t="s">
        <v>1526</v>
      </c>
      <c r="H8642" t="s">
        <v>6221</v>
      </c>
      <c r="I8642" t="s">
        <v>6175</v>
      </c>
      <c r="J8642" t="s">
        <v>12243</v>
      </c>
      <c r="K8642" t="s">
        <v>16649</v>
      </c>
      <c r="L8642">
        <f>HYPERLINK("https://www2.assemblee-nationale.fr/sycomore/fiche/(num_dept)/4952", "4952")</f>
        <v>0</v>
      </c>
      <c r="N8642">
        <f>HYPERLINK("https://www.wikidata.org/wiki/Q669893", "Q669893")</f>
        <v>0</v>
      </c>
      <c r="O8642" t="s">
        <v>20078</v>
      </c>
    </row>
    <row r="8643" spans="1:15">
      <c r="A8643" t="s">
        <v>35</v>
      </c>
      <c r="B8643" t="s">
        <v>149</v>
      </c>
      <c r="C8643" t="s">
        <v>167</v>
      </c>
      <c r="D8643" t="s">
        <v>296</v>
      </c>
      <c r="E8643" t="s">
        <v>349</v>
      </c>
      <c r="F8643">
        <f>HYPERLINK("https://www.wikidata.org/wiki/Q2095707", "Q2095707")</f>
        <v>0</v>
      </c>
      <c r="G8643" t="s">
        <v>1860</v>
      </c>
      <c r="H8643" t="s">
        <v>6516</v>
      </c>
      <c r="I8643" t="s">
        <v>9407</v>
      </c>
      <c r="J8643" t="s">
        <v>12550</v>
      </c>
      <c r="K8643" t="s">
        <v>16961</v>
      </c>
      <c r="L8643">
        <f>HYPERLINK("https://www2.assemblee-nationale.fr/sycomore/fiche/(num_dept)/5646", "5646")</f>
        <v>0</v>
      </c>
      <c r="M8643">
        <f>HYPERLINK("https://www.senat.fr/senateur-3eme-republique/paganon_joseph1203r3.html", "paganon_joseph1203r3")</f>
        <v>0</v>
      </c>
      <c r="N8643">
        <f>HYPERLINK("https://www.wikidata.org/wiki/Q3185441", "Q3185441")</f>
        <v>0</v>
      </c>
      <c r="O8643" t="s">
        <v>20063</v>
      </c>
    </row>
    <row r="8644" spans="1:15">
      <c r="A8644" t="s">
        <v>35</v>
      </c>
      <c r="B8644" t="s">
        <v>149</v>
      </c>
      <c r="C8644" t="s">
        <v>167</v>
      </c>
      <c r="D8644" t="s">
        <v>296</v>
      </c>
      <c r="E8644" t="s">
        <v>349</v>
      </c>
      <c r="F8644">
        <f>HYPERLINK("https://www.wikidata.org/wiki/Q2095707", "Q2095707")</f>
        <v>0</v>
      </c>
      <c r="G8644" t="s">
        <v>2134</v>
      </c>
      <c r="H8644" t="s">
        <v>6752</v>
      </c>
      <c r="I8644" t="s">
        <v>9506</v>
      </c>
      <c r="J8644" t="s">
        <v>12798</v>
      </c>
      <c r="K8644" t="s">
        <v>17214</v>
      </c>
      <c r="L8644">
        <f>HYPERLINK("https://www2.assemblee-nationale.fr/sycomore/fiche/(num_dept)/5784", "5784")</f>
        <v>0</v>
      </c>
      <c r="N8644">
        <f>HYPERLINK("https://www.wikidata.org/wiki/Q2935032", "Q2935032")</f>
        <v>0</v>
      </c>
      <c r="O8644" t="s">
        <v>20088</v>
      </c>
    </row>
    <row r="8645" spans="1:15">
      <c r="A8645" t="s">
        <v>35</v>
      </c>
      <c r="B8645" t="s">
        <v>149</v>
      </c>
      <c r="C8645" t="s">
        <v>167</v>
      </c>
      <c r="D8645" t="s">
        <v>296</v>
      </c>
      <c r="E8645" t="s">
        <v>349</v>
      </c>
      <c r="F8645">
        <f>HYPERLINK("https://www.wikidata.org/wiki/Q2095707", "Q2095707")</f>
        <v>0</v>
      </c>
      <c r="G8645" t="s">
        <v>1869</v>
      </c>
      <c r="H8645" t="s">
        <v>6525</v>
      </c>
      <c r="I8645" t="s">
        <v>6175</v>
      </c>
      <c r="J8645" t="s">
        <v>12557</v>
      </c>
      <c r="K8645" t="s">
        <v>16970</v>
      </c>
      <c r="L8645">
        <f>HYPERLINK("https://www2.assemblee-nationale.fr/sycomore/fiche/(num_dept)/5799", "5799")</f>
        <v>0</v>
      </c>
      <c r="M8645">
        <f>HYPERLINK("https://www.senat.fr/senateur-3eme-republique/pernot_georges0335r4.html", "pernot_georges0335r4")</f>
        <v>0</v>
      </c>
      <c r="N8645">
        <f>HYPERLINK("https://www.wikidata.org/wiki/Q2670356", "Q2670356")</f>
        <v>0</v>
      </c>
      <c r="O8645" t="s">
        <v>20064</v>
      </c>
    </row>
    <row r="8646" spans="1:15">
      <c r="A8646" t="s">
        <v>35</v>
      </c>
      <c r="B8646" t="s">
        <v>149</v>
      </c>
      <c r="C8646" t="s">
        <v>167</v>
      </c>
      <c r="D8646" t="s">
        <v>296</v>
      </c>
      <c r="E8646" t="s">
        <v>349</v>
      </c>
      <c r="F8646">
        <f>HYPERLINK("https://www.wikidata.org/wiki/Q2095707", "Q2095707")</f>
        <v>0</v>
      </c>
      <c r="G8646" t="s">
        <v>1873</v>
      </c>
      <c r="H8646" t="s">
        <v>6528</v>
      </c>
      <c r="I8646" t="s">
        <v>6166</v>
      </c>
      <c r="J8646" t="s">
        <v>12561</v>
      </c>
      <c r="K8646" t="s">
        <v>16973</v>
      </c>
      <c r="L8646">
        <f>HYPERLINK("https://www2.assemblee-nationale.fr/sycomore/fiche/(num_dept)/5924", "5924")</f>
        <v>0</v>
      </c>
      <c r="N8646">
        <f>HYPERLINK("https://www.wikidata.org/wiki/Q3085590", "Q3085590")</f>
        <v>0</v>
      </c>
      <c r="O8646" t="s">
        <v>20053</v>
      </c>
    </row>
    <row r="8647" spans="1:15">
      <c r="A8647" t="s">
        <v>35</v>
      </c>
      <c r="B8647" t="s">
        <v>149</v>
      </c>
      <c r="C8647" t="s">
        <v>167</v>
      </c>
      <c r="D8647" t="s">
        <v>296</v>
      </c>
      <c r="E8647" t="s">
        <v>349</v>
      </c>
      <c r="F8647">
        <f>HYPERLINK("https://www.wikidata.org/wiki/Q2095707", "Q2095707")</f>
        <v>0</v>
      </c>
      <c r="G8647" t="s">
        <v>1581</v>
      </c>
      <c r="H8647" t="s">
        <v>6271</v>
      </c>
      <c r="I8647" t="s">
        <v>6495</v>
      </c>
      <c r="J8647" t="s">
        <v>12293</v>
      </c>
      <c r="K8647" t="s">
        <v>16700</v>
      </c>
      <c r="L8647">
        <f>HYPERLINK("https://www2.assemblee-nationale.fr/sycomore/fiche/(num_dept)/6068", "6068")</f>
        <v>0</v>
      </c>
      <c r="N8647">
        <f>HYPERLINK("https://www.wikidata.org/wiki/Q3263043", "Q3263043")</f>
        <v>0</v>
      </c>
      <c r="O8647" t="s">
        <v>20065</v>
      </c>
    </row>
    <row r="8648" spans="1:15">
      <c r="A8648" t="s">
        <v>35</v>
      </c>
      <c r="B8648" t="s">
        <v>149</v>
      </c>
      <c r="C8648" t="s">
        <v>167</v>
      </c>
      <c r="D8648" t="s">
        <v>296</v>
      </c>
      <c r="E8648" t="s">
        <v>349</v>
      </c>
      <c r="F8648">
        <f>HYPERLINK("https://www.wikidata.org/wiki/Q2095707", "Q2095707")</f>
        <v>0</v>
      </c>
      <c r="G8648" t="s">
        <v>1323</v>
      </c>
      <c r="H8648" t="s">
        <v>6042</v>
      </c>
      <c r="I8648" t="s">
        <v>6860</v>
      </c>
      <c r="J8648" t="s">
        <v>12052</v>
      </c>
      <c r="K8648" t="s">
        <v>16453</v>
      </c>
      <c r="L8648">
        <f>HYPERLINK("https://www2.assemblee-nationale.fr/sycomore/fiche/(num_dept)/7519", "7519")</f>
        <v>0</v>
      </c>
      <c r="M8648">
        <f>HYPERLINK("https://www.senat.fr/senateur-3eme-republique/laval_pierre1565r3.html", "laval_pierre1565r3")</f>
        <v>0</v>
      </c>
      <c r="N8648">
        <f>HYPERLINK("https://www.wikidata.org/wiki/Q151983", "Q151983")</f>
        <v>0</v>
      </c>
      <c r="O8648" t="s">
        <v>20062</v>
      </c>
    </row>
    <row r="8649" spans="1:15">
      <c r="A8649" t="s">
        <v>35</v>
      </c>
      <c r="B8649" t="s">
        <v>149</v>
      </c>
      <c r="C8649" t="s">
        <v>167</v>
      </c>
      <c r="D8649" t="s">
        <v>296</v>
      </c>
      <c r="E8649" t="s">
        <v>349</v>
      </c>
      <c r="F8649">
        <f>HYPERLINK("https://www.wikidata.org/wiki/Q2095707", "Q2095707")</f>
        <v>0</v>
      </c>
      <c r="G8649" t="s">
        <v>4232</v>
      </c>
      <c r="H8649" t="s">
        <v>8409</v>
      </c>
      <c r="I8649" t="s">
        <v>7265</v>
      </c>
      <c r="J8649" t="s">
        <v>14739</v>
      </c>
      <c r="K8649" t="s">
        <v>19084</v>
      </c>
      <c r="N8649">
        <f>HYPERLINK("https://www.wikidata.org/wiki/Q5721", "Q5721")</f>
        <v>0</v>
      </c>
      <c r="O8649" t="s">
        <v>20098</v>
      </c>
    </row>
    <row r="8650" spans="1:15">
      <c r="A8650" t="s">
        <v>35</v>
      </c>
      <c r="B8650" t="s">
        <v>149</v>
      </c>
      <c r="C8650" t="s">
        <v>167</v>
      </c>
      <c r="D8650" t="s">
        <v>296</v>
      </c>
      <c r="E8650" t="s">
        <v>349</v>
      </c>
      <c r="F8650">
        <f>HYPERLINK("https://www.wikidata.org/wiki/Q2095707", "Q2095707")</f>
        <v>0</v>
      </c>
      <c r="G8650" t="s">
        <v>724</v>
      </c>
      <c r="H8650" t="s">
        <v>5482</v>
      </c>
      <c r="I8650" t="s">
        <v>6495</v>
      </c>
      <c r="J8650" t="s">
        <v>11473</v>
      </c>
      <c r="K8650" t="s">
        <v>15875</v>
      </c>
      <c r="N8650">
        <f>HYPERLINK("https://www.wikidata.org/wiki/Q3262636", "Q3262636")</f>
        <v>0</v>
      </c>
      <c r="O8650" t="s">
        <v>20098</v>
      </c>
    </row>
    <row r="8651" spans="1:15">
      <c r="A8651" t="s">
        <v>35</v>
      </c>
      <c r="B8651" t="s">
        <v>149</v>
      </c>
      <c r="C8651" t="s">
        <v>167</v>
      </c>
      <c r="D8651" t="s">
        <v>296</v>
      </c>
      <c r="E8651" t="s">
        <v>349</v>
      </c>
      <c r="F8651">
        <f>HYPERLINK("https://www.wikidata.org/wiki/Q2095707", "Q2095707")</f>
        <v>0</v>
      </c>
      <c r="G8651" t="s">
        <v>4233</v>
      </c>
      <c r="H8651" t="s">
        <v>8410</v>
      </c>
      <c r="I8651" t="s">
        <v>9483</v>
      </c>
      <c r="J8651" t="s">
        <v>14740</v>
      </c>
      <c r="K8651" t="s">
        <v>19085</v>
      </c>
      <c r="N8651">
        <f>HYPERLINK("https://www.wikidata.org/wiki/Q3557262", "Q3557262")</f>
        <v>0</v>
      </c>
      <c r="O8651" t="s">
        <v>20072</v>
      </c>
    </row>
    <row r="8652" spans="1:15">
      <c r="A8652" t="s">
        <v>35</v>
      </c>
      <c r="B8652" t="s">
        <v>149</v>
      </c>
      <c r="C8652" t="s">
        <v>167</v>
      </c>
      <c r="D8652" t="s">
        <v>296</v>
      </c>
      <c r="E8652" t="s">
        <v>349</v>
      </c>
      <c r="F8652">
        <f>HYPERLINK("https://www.wikidata.org/wiki/Q2095707", "Q2095707")</f>
        <v>0</v>
      </c>
      <c r="G8652" t="s">
        <v>4234</v>
      </c>
      <c r="H8652" t="s">
        <v>8411</v>
      </c>
      <c r="I8652" t="s">
        <v>9593</v>
      </c>
      <c r="J8652" t="s">
        <v>14741</v>
      </c>
      <c r="K8652" t="s">
        <v>19086</v>
      </c>
      <c r="M8652">
        <f>HYPERLINK("https://www.senat.fr/senateur-3eme-republique/roustan_marius0246r3.html", "roustan_marius0246r3")</f>
        <v>0</v>
      </c>
      <c r="N8652">
        <f>HYPERLINK("https://www.wikidata.org/wiki/Q3293852", "Q3293852")</f>
        <v>0</v>
      </c>
      <c r="O8652" t="s">
        <v>20085</v>
      </c>
    </row>
    <row r="8653" spans="1:15">
      <c r="A8653" t="s">
        <v>35</v>
      </c>
      <c r="B8653" t="s">
        <v>149</v>
      </c>
      <c r="C8653" t="s">
        <v>167</v>
      </c>
      <c r="D8653" t="s">
        <v>296</v>
      </c>
      <c r="E8653" t="s">
        <v>349</v>
      </c>
      <c r="F8653">
        <f>HYPERLINK("https://www.wikidata.org/wiki/Q2095707", "Q2095707")</f>
        <v>0</v>
      </c>
      <c r="G8653" t="s">
        <v>4235</v>
      </c>
      <c r="H8653" t="s">
        <v>8412</v>
      </c>
      <c r="I8653" t="s">
        <v>6495</v>
      </c>
      <c r="J8653" t="s">
        <v>14742</v>
      </c>
      <c r="K8653" t="s">
        <v>19087</v>
      </c>
      <c r="N8653">
        <f>HYPERLINK("https://www.wikidata.org/wiki/Q16060769", "Q16060769")</f>
        <v>0</v>
      </c>
      <c r="O8653" t="s">
        <v>20057</v>
      </c>
    </row>
    <row r="8654" spans="1:15">
      <c r="A8654" t="s">
        <v>35</v>
      </c>
      <c r="B8654" t="s">
        <v>149</v>
      </c>
      <c r="C8654" t="s">
        <v>167</v>
      </c>
      <c r="D8654" t="s">
        <v>296</v>
      </c>
      <c r="E8654" t="s">
        <v>349</v>
      </c>
      <c r="F8654">
        <f>HYPERLINK("https://www.wikidata.org/wiki/Q2095707", "Q2095707")</f>
        <v>0</v>
      </c>
      <c r="G8654" t="s">
        <v>3624</v>
      </c>
      <c r="H8654" t="s">
        <v>5992</v>
      </c>
      <c r="I8654" t="s">
        <v>9442</v>
      </c>
      <c r="J8654" t="s">
        <v>14205</v>
      </c>
      <c r="K8654" t="s">
        <v>12941</v>
      </c>
      <c r="N8654">
        <f>HYPERLINK("https://www.wikidata.org/wiki/Q20660467", "Q20660467")</f>
        <v>0</v>
      </c>
      <c r="O8654" t="s">
        <v>20112</v>
      </c>
    </row>
    <row r="8655" spans="1:15">
      <c r="A8655" t="s">
        <v>36</v>
      </c>
      <c r="B8655" t="s">
        <v>149</v>
      </c>
      <c r="C8655" t="s">
        <v>168</v>
      </c>
      <c r="D8655" t="s">
        <v>297</v>
      </c>
      <c r="E8655" t="s">
        <v>425</v>
      </c>
      <c r="F8655">
        <f>HYPERLINK("https://www.wikidata.org/wiki/Q3112260", "Q3112260")</f>
        <v>0</v>
      </c>
      <c r="G8655" t="s">
        <v>3373</v>
      </c>
      <c r="H8655" t="s">
        <v>7083</v>
      </c>
      <c r="I8655" t="s">
        <v>5528</v>
      </c>
      <c r="J8655" t="s">
        <v>13985</v>
      </c>
      <c r="K8655" t="s">
        <v>18353</v>
      </c>
      <c r="L8655">
        <f>HYPERLINK("https://www2.assemblee-nationale.fr/sycomore/fiche/(num_dept)/1083", "1083")</f>
        <v>0</v>
      </c>
      <c r="M8655">
        <f>HYPERLINK("https://www.senat.fr/senateur-3eme-republique/bourgeois_leon0647r3.html", "bourgeois_leon0647r3")</f>
        <v>0</v>
      </c>
      <c r="N8655">
        <f>HYPERLINK("https://www.wikidata.org/wiki/Q217706", "Q217706")</f>
        <v>0</v>
      </c>
      <c r="O8655" t="s">
        <v>20113</v>
      </c>
    </row>
    <row r="8656" spans="1:15">
      <c r="A8656" t="s">
        <v>36</v>
      </c>
      <c r="B8656" t="s">
        <v>149</v>
      </c>
      <c r="C8656" t="s">
        <v>168</v>
      </c>
      <c r="D8656" t="s">
        <v>297</v>
      </c>
      <c r="E8656" t="s">
        <v>425</v>
      </c>
      <c r="F8656">
        <f>HYPERLINK("https://www.wikidata.org/wiki/Q3112260", "Q3112260")</f>
        <v>0</v>
      </c>
      <c r="G8656" t="s">
        <v>3373</v>
      </c>
      <c r="H8656" t="s">
        <v>7083</v>
      </c>
      <c r="I8656" t="s">
        <v>5528</v>
      </c>
      <c r="J8656" t="s">
        <v>13985</v>
      </c>
      <c r="K8656" t="s">
        <v>18353</v>
      </c>
      <c r="L8656">
        <f>HYPERLINK("https://www2.assemblee-nationale.fr/sycomore/fiche/(num_dept)/1083", "1083")</f>
        <v>0</v>
      </c>
      <c r="M8656">
        <f>HYPERLINK("https://www.senat.fr/senateur-3eme-republique/bourgeois_leon0647r3.html", "bourgeois_leon0647r3")</f>
        <v>0</v>
      </c>
      <c r="N8656">
        <f>HYPERLINK("https://www.wikidata.org/wiki/Q217706", "Q217706")</f>
        <v>0</v>
      </c>
      <c r="O8656" t="s">
        <v>20062</v>
      </c>
    </row>
    <row r="8657" spans="1:15">
      <c r="A8657" t="s">
        <v>36</v>
      </c>
      <c r="B8657" t="s">
        <v>149</v>
      </c>
      <c r="C8657" t="s">
        <v>168</v>
      </c>
      <c r="D8657" t="s">
        <v>297</v>
      </c>
      <c r="E8657" t="s">
        <v>425</v>
      </c>
      <c r="F8657">
        <f>HYPERLINK("https://www.wikidata.org/wiki/Q3112260", "Q3112260")</f>
        <v>0</v>
      </c>
      <c r="G8657" t="s">
        <v>3373</v>
      </c>
      <c r="H8657" t="s">
        <v>7083</v>
      </c>
      <c r="I8657" t="s">
        <v>5528</v>
      </c>
      <c r="J8657" t="s">
        <v>13985</v>
      </c>
      <c r="K8657" t="s">
        <v>18353</v>
      </c>
      <c r="L8657">
        <f>HYPERLINK("https://www2.assemblee-nationale.fr/sycomore/fiche/(num_dept)/1083", "1083")</f>
        <v>0</v>
      </c>
      <c r="M8657">
        <f>HYPERLINK("https://www.senat.fr/senateur-3eme-republique/bourgeois_leon0647r3.html", "bourgeois_leon0647r3")</f>
        <v>0</v>
      </c>
      <c r="N8657">
        <f>HYPERLINK("https://www.wikidata.org/wiki/Q217706", "Q217706")</f>
        <v>0</v>
      </c>
      <c r="O8657" t="s">
        <v>20114</v>
      </c>
    </row>
    <row r="8658" spans="1:15">
      <c r="A8658" t="s">
        <v>36</v>
      </c>
      <c r="B8658" t="s">
        <v>149</v>
      </c>
      <c r="C8658" t="s">
        <v>168</v>
      </c>
      <c r="D8658" t="s">
        <v>297</v>
      </c>
      <c r="E8658" t="s">
        <v>425</v>
      </c>
      <c r="F8658">
        <f>HYPERLINK("https://www.wikidata.org/wiki/Q3112260", "Q3112260")</f>
        <v>0</v>
      </c>
      <c r="G8658" t="s">
        <v>3381</v>
      </c>
      <c r="H8658" t="s">
        <v>7773</v>
      </c>
      <c r="I8658" t="s">
        <v>9388</v>
      </c>
      <c r="J8658" t="s">
        <v>13991</v>
      </c>
      <c r="K8658" t="s">
        <v>18361</v>
      </c>
      <c r="L8658">
        <f>HYPERLINK("https://www2.assemblee-nationale.fr/sycomore/fiche/(num_dept)/2569", "2569")</f>
        <v>0</v>
      </c>
      <c r="M8658">
        <f>HYPERLINK("https://www.senat.fr/senateur-3eme-republique/doumer_paul0473r3.html", "doumer_paul0473r3")</f>
        <v>0</v>
      </c>
      <c r="N8658">
        <f>HYPERLINK("https://www.wikidata.org/wiki/Q12680", "Q12680")</f>
        <v>0</v>
      </c>
      <c r="O8658" t="s">
        <v>20066</v>
      </c>
    </row>
    <row r="8659" spans="1:15">
      <c r="A8659" t="s">
        <v>36</v>
      </c>
      <c r="B8659" t="s">
        <v>149</v>
      </c>
      <c r="C8659" t="s">
        <v>168</v>
      </c>
      <c r="D8659" t="s">
        <v>297</v>
      </c>
      <c r="E8659" t="s">
        <v>425</v>
      </c>
      <c r="F8659">
        <f>HYPERLINK("https://www.wikidata.org/wiki/Q3112260", "Q3112260")</f>
        <v>0</v>
      </c>
      <c r="G8659" t="s">
        <v>3255</v>
      </c>
      <c r="H8659" t="s">
        <v>7675</v>
      </c>
      <c r="I8659" t="s">
        <v>6200</v>
      </c>
      <c r="J8659" t="s">
        <v>13872</v>
      </c>
      <c r="K8659" t="s">
        <v>18243</v>
      </c>
      <c r="L8659">
        <f>HYPERLINK("https://www2.assemblee-nationale.fr/sycomore/fiche/(num_dept)/3714", "3714")</f>
        <v>0</v>
      </c>
      <c r="N8659">
        <f>HYPERLINK("https://www.wikidata.org/wiki/Q3172111", "Q3172111")</f>
        <v>0</v>
      </c>
      <c r="O8659" t="s">
        <v>20063</v>
      </c>
    </row>
    <row r="8660" spans="1:15">
      <c r="A8660" t="s">
        <v>36</v>
      </c>
      <c r="B8660" t="s">
        <v>149</v>
      </c>
      <c r="C8660" t="s">
        <v>168</v>
      </c>
      <c r="D8660" t="s">
        <v>297</v>
      </c>
      <c r="E8660" t="s">
        <v>425</v>
      </c>
      <c r="F8660">
        <f>HYPERLINK("https://www.wikidata.org/wiki/Q3112260", "Q3112260")</f>
        <v>0</v>
      </c>
      <c r="G8660" t="s">
        <v>3637</v>
      </c>
      <c r="H8660" t="s">
        <v>7970</v>
      </c>
      <c r="I8660" t="s">
        <v>9506</v>
      </c>
      <c r="J8660" t="s">
        <v>14217</v>
      </c>
      <c r="K8660" t="s">
        <v>18581</v>
      </c>
      <c r="L8660">
        <f>HYPERLINK("https://www2.assemblee-nationale.fr/sycomore/fiche/(num_dept)/4153", "4153")</f>
        <v>0</v>
      </c>
      <c r="N8660">
        <f>HYPERLINK("https://www.wikidata.org/wiki/Q2934973", "Q2934973")</f>
        <v>0</v>
      </c>
      <c r="O8660" t="s">
        <v>20065</v>
      </c>
    </row>
    <row r="8661" spans="1:15">
      <c r="A8661" t="s">
        <v>36</v>
      </c>
      <c r="B8661" t="s">
        <v>149</v>
      </c>
      <c r="C8661" t="s">
        <v>168</v>
      </c>
      <c r="D8661" t="s">
        <v>297</v>
      </c>
      <c r="E8661" t="s">
        <v>425</v>
      </c>
      <c r="F8661">
        <f>HYPERLINK("https://www.wikidata.org/wiki/Q3112260", "Q3112260")</f>
        <v>0</v>
      </c>
      <c r="G8661" t="s">
        <v>3365</v>
      </c>
      <c r="H8661" t="s">
        <v>7762</v>
      </c>
      <c r="I8661" t="s">
        <v>9421</v>
      </c>
      <c r="J8661" t="s">
        <v>13977</v>
      </c>
      <c r="K8661" t="s">
        <v>18345</v>
      </c>
      <c r="L8661">
        <f>HYPERLINK("https://www2.assemblee-nationale.fr/sycomore/fiche/(num_dept)/5223", "5223")</f>
        <v>0</v>
      </c>
      <c r="N8661">
        <f>HYPERLINK("https://www.wikidata.org/wiki/Q3121269", "Q3121269")</f>
        <v>0</v>
      </c>
      <c r="O8661" t="s">
        <v>20115</v>
      </c>
    </row>
    <row r="8662" spans="1:15">
      <c r="A8662" t="s">
        <v>36</v>
      </c>
      <c r="B8662" t="s">
        <v>149</v>
      </c>
      <c r="C8662" t="s">
        <v>168</v>
      </c>
      <c r="D8662" t="s">
        <v>297</v>
      </c>
      <c r="E8662" t="s">
        <v>425</v>
      </c>
      <c r="F8662">
        <f>HYPERLINK("https://www.wikidata.org/wiki/Q3112260", "Q3112260")</f>
        <v>0</v>
      </c>
      <c r="G8662" t="s">
        <v>2659</v>
      </c>
      <c r="H8662" t="s">
        <v>7199</v>
      </c>
      <c r="I8662" t="s">
        <v>9376</v>
      </c>
      <c r="J8662" t="s">
        <v>13300</v>
      </c>
      <c r="K8662" t="s">
        <v>17700</v>
      </c>
      <c r="L8662">
        <f>HYPERLINK("https://www2.assemblee-nationale.fr/sycomore/fiche/(num_dept)/6297", "6297")</f>
        <v>0</v>
      </c>
      <c r="M8662">
        <f>HYPERLINK("https://www.senat.fr/senateur-3eme-republique/sarrien_ferdinand1219r3.html", "sarrien_ferdinand1219r3")</f>
        <v>0</v>
      </c>
      <c r="N8662">
        <f>HYPERLINK("https://www.wikidata.org/wiki/Q718698", "Q718698")</f>
        <v>0</v>
      </c>
      <c r="O8662" t="s">
        <v>20113</v>
      </c>
    </row>
    <row r="8663" spans="1:15">
      <c r="A8663" t="s">
        <v>36</v>
      </c>
      <c r="B8663" t="s">
        <v>149</v>
      </c>
      <c r="C8663" t="s">
        <v>168</v>
      </c>
      <c r="D8663" t="s">
        <v>297</v>
      </c>
      <c r="E8663" t="s">
        <v>425</v>
      </c>
      <c r="F8663">
        <f>HYPERLINK("https://www.wikidata.org/wiki/Q3112260", "Q3112260")</f>
        <v>0</v>
      </c>
      <c r="G8663" t="s">
        <v>3168</v>
      </c>
      <c r="H8663" t="s">
        <v>7600</v>
      </c>
      <c r="I8663" t="s">
        <v>6495</v>
      </c>
      <c r="J8663" t="s">
        <v>13789</v>
      </c>
      <c r="K8663" t="s">
        <v>18164</v>
      </c>
      <c r="L8663">
        <f>HYPERLINK("https://www2.assemblee-nationale.fr/sycomore/fiche/(num_dept)/6729", "6729")</f>
        <v>0</v>
      </c>
      <c r="N8663">
        <f>HYPERLINK("https://www.wikidata.org/wiki/Q3263005", "Q3263005")</f>
        <v>0</v>
      </c>
      <c r="O8663" t="s">
        <v>20064</v>
      </c>
    </row>
    <row r="8664" spans="1:15">
      <c r="A8664" t="s">
        <v>36</v>
      </c>
      <c r="B8664" t="s">
        <v>149</v>
      </c>
      <c r="C8664" t="s">
        <v>168</v>
      </c>
      <c r="D8664" t="s">
        <v>297</v>
      </c>
      <c r="E8664" t="s">
        <v>425</v>
      </c>
      <c r="F8664">
        <f>HYPERLINK("https://www.wikidata.org/wiki/Q3112260", "Q3112260")</f>
        <v>0</v>
      </c>
      <c r="G8664" t="s">
        <v>3290</v>
      </c>
      <c r="H8664" t="s">
        <v>7702</v>
      </c>
      <c r="I8664" t="s">
        <v>6584</v>
      </c>
      <c r="J8664" t="s">
        <v>13904</v>
      </c>
      <c r="K8664" t="s">
        <v>18275</v>
      </c>
      <c r="L8664">
        <f>HYPERLINK("https://www2.assemblee-nationale.fr/sycomore/fiche/(num_dept)/7443", "7443")</f>
        <v>0</v>
      </c>
      <c r="M8664">
        <f>HYPERLINK("https://www.senat.fr/senateur-3eme-republique/viger_albert0500r3.html", "viger_albert0500r3")</f>
        <v>0</v>
      </c>
      <c r="N8664">
        <f>HYPERLINK("https://www.wikidata.org/wiki/Q2153536", "Q2153536")</f>
        <v>0</v>
      </c>
      <c r="O8664" t="s">
        <v>20056</v>
      </c>
    </row>
    <row r="8665" spans="1:15">
      <c r="A8665" t="s">
        <v>36</v>
      </c>
      <c r="B8665" t="s">
        <v>149</v>
      </c>
      <c r="C8665" t="s">
        <v>168</v>
      </c>
      <c r="D8665" t="s">
        <v>297</v>
      </c>
      <c r="E8665" t="s">
        <v>425</v>
      </c>
      <c r="F8665">
        <f>HYPERLINK("https://www.wikidata.org/wiki/Q3112260", "Q3112260")</f>
        <v>0</v>
      </c>
      <c r="G8665" t="s">
        <v>2717</v>
      </c>
      <c r="H8665" t="s">
        <v>7243</v>
      </c>
      <c r="I8665" t="s">
        <v>9728</v>
      </c>
      <c r="J8665" t="s">
        <v>13358</v>
      </c>
      <c r="K8665" t="s">
        <v>17758</v>
      </c>
      <c r="L8665">
        <f>HYPERLINK("https://www2.assemblee-nationale.fr/sycomore/fiche/(num_dept)/7875", "7875")</f>
        <v>0</v>
      </c>
      <c r="N8665">
        <f>HYPERLINK("https://www.wikidata.org/wiki/Q733836", "Q733836")</f>
        <v>0</v>
      </c>
      <c r="O8665" t="s">
        <v>20053</v>
      </c>
    </row>
    <row r="8666" spans="1:15">
      <c r="A8666" t="s">
        <v>36</v>
      </c>
      <c r="B8666" t="s">
        <v>149</v>
      </c>
      <c r="C8666" t="s">
        <v>168</v>
      </c>
      <c r="D8666" t="s">
        <v>297</v>
      </c>
      <c r="E8666" t="s">
        <v>425</v>
      </c>
      <c r="F8666">
        <f>HYPERLINK("https://www.wikidata.org/wiki/Q3112260", "Q3112260")</f>
        <v>0</v>
      </c>
      <c r="G8666" t="s">
        <v>4236</v>
      </c>
      <c r="H8666" t="s">
        <v>8413</v>
      </c>
      <c r="I8666" t="s">
        <v>9437</v>
      </c>
      <c r="J8666" t="s">
        <v>14743</v>
      </c>
      <c r="K8666" t="s">
        <v>19088</v>
      </c>
      <c r="M8666">
        <f>HYPERLINK("https://www.senat.fr/senateur-3eme-republique/combes_emile0416r3.html", "combes_emile0416r3")</f>
        <v>0</v>
      </c>
      <c r="N8666">
        <f>HYPERLINK("https://www.wikidata.org/wiki/Q275020", "Q275020")</f>
        <v>0</v>
      </c>
      <c r="O8666" t="s">
        <v>20116</v>
      </c>
    </row>
    <row r="8667" spans="1:15">
      <c r="A8667" t="s">
        <v>36</v>
      </c>
      <c r="B8667" t="s">
        <v>149</v>
      </c>
      <c r="C8667" t="s">
        <v>168</v>
      </c>
      <c r="D8667" t="s">
        <v>297</v>
      </c>
      <c r="E8667" t="s">
        <v>425</v>
      </c>
      <c r="F8667">
        <f>HYPERLINK("https://www.wikidata.org/wiki/Q3112260", "Q3112260")</f>
        <v>0</v>
      </c>
      <c r="G8667" t="s">
        <v>3019</v>
      </c>
      <c r="H8667" t="s">
        <v>7476</v>
      </c>
      <c r="I8667" t="s">
        <v>11173</v>
      </c>
      <c r="J8667" t="s">
        <v>13647</v>
      </c>
      <c r="K8667" t="s">
        <v>18031</v>
      </c>
      <c r="N8667">
        <f>HYPERLINK("https://www.wikidata.org/wiki/Q21294910", "Q21294910")</f>
        <v>0</v>
      </c>
      <c r="O8667" t="s">
        <v>20057</v>
      </c>
    </row>
    <row r="8668" spans="1:15">
      <c r="A8668" t="s">
        <v>36</v>
      </c>
      <c r="B8668" t="s">
        <v>149</v>
      </c>
      <c r="C8668" t="s">
        <v>168</v>
      </c>
      <c r="D8668" t="s">
        <v>297</v>
      </c>
      <c r="E8668" t="s">
        <v>425</v>
      </c>
      <c r="F8668">
        <f>HYPERLINK("https://www.wikidata.org/wiki/Q3112260", "Q3112260")</f>
        <v>0</v>
      </c>
      <c r="G8668" t="s">
        <v>4237</v>
      </c>
      <c r="H8668" t="s">
        <v>8205</v>
      </c>
      <c r="I8668" t="s">
        <v>10900</v>
      </c>
      <c r="J8668" t="s">
        <v>14744</v>
      </c>
      <c r="K8668" t="s">
        <v>19089</v>
      </c>
      <c r="M8668">
        <f>HYPERLINK("https://www.senat.fr/senateur-3eme-republique/berthelot_marcellin1436r3.html", "berthelot_marcellin1436r3")</f>
        <v>0</v>
      </c>
      <c r="N8668">
        <f>HYPERLINK("https://www.wikidata.org/wiki/Q18425", "Q18425")</f>
        <v>0</v>
      </c>
      <c r="O8668" t="s">
        <v>20062</v>
      </c>
    </row>
    <row r="8669" spans="1:15">
      <c r="A8669" t="s">
        <v>37</v>
      </c>
      <c r="B8669" t="s">
        <v>149</v>
      </c>
      <c r="C8669" t="s">
        <v>169</v>
      </c>
      <c r="D8669" t="s">
        <v>298</v>
      </c>
      <c r="E8669" t="s">
        <v>426</v>
      </c>
      <c r="F8669">
        <f>HYPERLINK("https://www.wikidata.org/wiki/Q3111885", "Q3111885")</f>
        <v>0</v>
      </c>
      <c r="G8669" t="s">
        <v>512</v>
      </c>
      <c r="H8669" t="s">
        <v>5277</v>
      </c>
      <c r="I8669" t="s">
        <v>6495</v>
      </c>
      <c r="J8669" t="s">
        <v>11264</v>
      </c>
      <c r="K8669" t="s">
        <v>15664</v>
      </c>
      <c r="L8669">
        <f>HYPERLINK("https://www2.assemblee-nationale.fr/sycomore/fiche/(num_dept)/451", "451")</f>
        <v>0</v>
      </c>
      <c r="M8669">
        <f>HYPERLINK("https://www.senat.fr/senateur-3eme-republique/barthou_louis1071r3.html", "barthou_louis1071r3")</f>
        <v>0</v>
      </c>
      <c r="N8669">
        <f>HYPERLINK("https://www.wikidata.org/wiki/Q271887", "Q271887")</f>
        <v>0</v>
      </c>
      <c r="O8669" t="s">
        <v>20064</v>
      </c>
    </row>
    <row r="8670" spans="1:15">
      <c r="A8670" t="s">
        <v>37</v>
      </c>
      <c r="B8670" t="s">
        <v>149</v>
      </c>
      <c r="C8670" t="s">
        <v>169</v>
      </c>
      <c r="D8670" t="s">
        <v>298</v>
      </c>
      <c r="E8670" t="s">
        <v>426</v>
      </c>
      <c r="F8670">
        <f>HYPERLINK("https://www.wikidata.org/wiki/Q3111885", "Q3111885")</f>
        <v>0</v>
      </c>
      <c r="G8670" t="s">
        <v>553</v>
      </c>
      <c r="H8670" t="s">
        <v>5316</v>
      </c>
      <c r="I8670" t="s">
        <v>9411</v>
      </c>
      <c r="J8670" t="s">
        <v>11304</v>
      </c>
      <c r="K8670" t="s">
        <v>15705</v>
      </c>
      <c r="L8670">
        <f>HYPERLINK("https://www2.assemblee-nationale.fr/sycomore/fiche/(num_dept)/1211", "1211")</f>
        <v>0</v>
      </c>
      <c r="N8670">
        <f>HYPERLINK("https://www.wikidata.org/wiki/Q179888", "Q179888")</f>
        <v>0</v>
      </c>
      <c r="O8670" t="s">
        <v>20117</v>
      </c>
    </row>
    <row r="8671" spans="1:15">
      <c r="A8671" t="s">
        <v>37</v>
      </c>
      <c r="B8671" t="s">
        <v>149</v>
      </c>
      <c r="C8671" t="s">
        <v>169</v>
      </c>
      <c r="D8671" t="s">
        <v>298</v>
      </c>
      <c r="E8671" t="s">
        <v>426</v>
      </c>
      <c r="F8671">
        <f>HYPERLINK("https://www.wikidata.org/wiki/Q3111885", "Q3111885")</f>
        <v>0</v>
      </c>
      <c r="G8671" t="s">
        <v>553</v>
      </c>
      <c r="H8671" t="s">
        <v>5316</v>
      </c>
      <c r="I8671" t="s">
        <v>9411</v>
      </c>
      <c r="J8671" t="s">
        <v>11304</v>
      </c>
      <c r="K8671" t="s">
        <v>15705</v>
      </c>
      <c r="L8671">
        <f>HYPERLINK("https://www2.assemblee-nationale.fr/sycomore/fiche/(num_dept)/1211", "1211")</f>
        <v>0</v>
      </c>
      <c r="N8671">
        <f>HYPERLINK("https://www.wikidata.org/wiki/Q179888", "Q179888")</f>
        <v>0</v>
      </c>
      <c r="O8671" t="s">
        <v>20052</v>
      </c>
    </row>
    <row r="8672" spans="1:15">
      <c r="A8672" t="s">
        <v>37</v>
      </c>
      <c r="B8672" t="s">
        <v>149</v>
      </c>
      <c r="C8672" t="s">
        <v>169</v>
      </c>
      <c r="D8672" t="s">
        <v>298</v>
      </c>
      <c r="E8672" t="s">
        <v>426</v>
      </c>
      <c r="F8672">
        <f>HYPERLINK("https://www.wikidata.org/wiki/Q3111885", "Q3111885")</f>
        <v>0</v>
      </c>
      <c r="G8672" t="s">
        <v>576</v>
      </c>
      <c r="H8672" t="s">
        <v>5338</v>
      </c>
      <c r="I8672" t="s">
        <v>6478</v>
      </c>
      <c r="J8672" t="s">
        <v>11327</v>
      </c>
      <c r="K8672" t="s">
        <v>15728</v>
      </c>
      <c r="L8672">
        <f>HYPERLINK("https://www2.assemblee-nationale.fr/sycomore/fiche/(num_dept)/1768", "1768")</f>
        <v>0</v>
      </c>
      <c r="M8672">
        <f>HYPERLINK("https://www.senat.fr/senateur-3eme-republique/cheron_henry0337r3.html", "cheron_henry0337r3")</f>
        <v>0</v>
      </c>
      <c r="N8672">
        <f>HYPERLINK("https://www.wikidata.org/wiki/Q3132698", "Q3132698")</f>
        <v>0</v>
      </c>
      <c r="O8672" t="s">
        <v>20118</v>
      </c>
    </row>
    <row r="8673" spans="1:15">
      <c r="A8673" t="s">
        <v>37</v>
      </c>
      <c r="B8673" t="s">
        <v>149</v>
      </c>
      <c r="C8673" t="s">
        <v>169</v>
      </c>
      <c r="D8673" t="s">
        <v>298</v>
      </c>
      <c r="E8673" t="s">
        <v>426</v>
      </c>
      <c r="F8673">
        <f>HYPERLINK("https://www.wikidata.org/wiki/Q3111885", "Q3111885")</f>
        <v>0</v>
      </c>
      <c r="G8673" t="s">
        <v>582</v>
      </c>
      <c r="H8673" t="s">
        <v>5344</v>
      </c>
      <c r="I8673" t="s">
        <v>6175</v>
      </c>
      <c r="J8673" t="s">
        <v>11333</v>
      </c>
      <c r="K8673" t="s">
        <v>15734</v>
      </c>
      <c r="L8673">
        <f>HYPERLINK("https://www2.assemblee-nationale.fr/sycomore/fiche/(num_dept)/1869", "1869")</f>
        <v>0</v>
      </c>
      <c r="N8673">
        <f>HYPERLINK("https://www.wikidata.org/wiki/Q2599226", "Q2599226")</f>
        <v>0</v>
      </c>
      <c r="O8673" t="s">
        <v>20066</v>
      </c>
    </row>
    <row r="8674" spans="1:15">
      <c r="A8674" t="s">
        <v>37</v>
      </c>
      <c r="B8674" t="s">
        <v>149</v>
      </c>
      <c r="C8674" t="s">
        <v>169</v>
      </c>
      <c r="D8674" t="s">
        <v>298</v>
      </c>
      <c r="E8674" t="s">
        <v>426</v>
      </c>
      <c r="F8674">
        <f>HYPERLINK("https://www.wikidata.org/wiki/Q3111885", "Q3111885")</f>
        <v>0</v>
      </c>
      <c r="G8674" t="s">
        <v>3819</v>
      </c>
      <c r="H8674" t="s">
        <v>8103</v>
      </c>
      <c r="I8674" t="s">
        <v>9470</v>
      </c>
      <c r="J8674" t="s">
        <v>14385</v>
      </c>
      <c r="K8674" t="s">
        <v>18737</v>
      </c>
      <c r="L8674">
        <f>HYPERLINK("https://www2.assemblee-nationale.fr/sycomore/fiche/(num_dept)/2570", "2570")</f>
        <v>0</v>
      </c>
      <c r="M8674">
        <f>HYPERLINK("https://www.senat.fr/senateur-3eme-republique/doumergue_gaston0833r3.html", "doumergue_gaston0833r3")</f>
        <v>0</v>
      </c>
      <c r="N8674">
        <f>HYPERLINK("https://www.wikidata.org/wiki/Q296064", "Q296064")</f>
        <v>0</v>
      </c>
      <c r="O8674" t="s">
        <v>20051</v>
      </c>
    </row>
    <row r="8675" spans="1:15">
      <c r="A8675" t="s">
        <v>37</v>
      </c>
      <c r="B8675" t="s">
        <v>149</v>
      </c>
      <c r="C8675" t="s">
        <v>169</v>
      </c>
      <c r="D8675" t="s">
        <v>298</v>
      </c>
      <c r="E8675" t="s">
        <v>426</v>
      </c>
      <c r="F8675">
        <f>HYPERLINK("https://www.wikidata.org/wiki/Q3111885", "Q3111885")</f>
        <v>0</v>
      </c>
      <c r="G8675" t="s">
        <v>623</v>
      </c>
      <c r="H8675" t="s">
        <v>5383</v>
      </c>
      <c r="I8675" t="s">
        <v>5394</v>
      </c>
      <c r="J8675" t="s">
        <v>11373</v>
      </c>
      <c r="K8675" t="s">
        <v>15775</v>
      </c>
      <c r="L8675">
        <f>HYPERLINK("https://www2.assemblee-nationale.fr/sycomore/fiche/(num_dept)/2685", "2685")</f>
        <v>0</v>
      </c>
      <c r="M8675">
        <f>HYPERLINK("https://www.senat.fr/senateur-3eme-republique/dujardin_beaumetz_henri0274r3.html", "dujardin_beaumetz_henri0274r3")</f>
        <v>0</v>
      </c>
      <c r="N8675">
        <f>HYPERLINK("https://www.wikidata.org/wiki/Q289596", "Q289596")</f>
        <v>0</v>
      </c>
      <c r="O8675" t="s">
        <v>20119</v>
      </c>
    </row>
    <row r="8676" spans="1:15">
      <c r="A8676" t="s">
        <v>37</v>
      </c>
      <c r="B8676" t="s">
        <v>149</v>
      </c>
      <c r="C8676" t="s">
        <v>169</v>
      </c>
      <c r="D8676" t="s">
        <v>298</v>
      </c>
      <c r="E8676" t="s">
        <v>426</v>
      </c>
      <c r="F8676">
        <f>HYPERLINK("https://www.wikidata.org/wiki/Q3111885", "Q3111885")</f>
        <v>0</v>
      </c>
      <c r="G8676" t="s">
        <v>1005</v>
      </c>
      <c r="H8676" t="s">
        <v>5756</v>
      </c>
      <c r="I8676" t="s">
        <v>9553</v>
      </c>
      <c r="J8676" t="s">
        <v>11742</v>
      </c>
      <c r="K8676" t="s">
        <v>16146</v>
      </c>
      <c r="L8676">
        <f>HYPERLINK("https://www2.assemblee-nationale.fr/sycomore/fiche/(num_dept)/5284", "5284")</f>
        <v>0</v>
      </c>
      <c r="M8676">
        <f>HYPERLINK("https://www.senat.fr/senateur-3eme-republique/millerand_alexandre0910r3.html", "millerand_alexandre0910r3")</f>
        <v>0</v>
      </c>
      <c r="N8676">
        <f>HYPERLINK("https://www.wikidata.org/wiki/Q274540", "Q274540")</f>
        <v>0</v>
      </c>
      <c r="O8676" t="s">
        <v>20120</v>
      </c>
    </row>
    <row r="8677" spans="1:15">
      <c r="A8677" t="s">
        <v>37</v>
      </c>
      <c r="B8677" t="s">
        <v>149</v>
      </c>
      <c r="C8677" t="s">
        <v>169</v>
      </c>
      <c r="D8677" t="s">
        <v>298</v>
      </c>
      <c r="E8677" t="s">
        <v>426</v>
      </c>
      <c r="F8677">
        <f>HYPERLINK("https://www.wikidata.org/wiki/Q3111885", "Q3111885")</f>
        <v>0</v>
      </c>
      <c r="G8677" t="s">
        <v>3276</v>
      </c>
      <c r="H8677" t="s">
        <v>7691</v>
      </c>
      <c r="I8677" t="s">
        <v>10740</v>
      </c>
      <c r="J8677" t="s">
        <v>13890</v>
      </c>
      <c r="K8677" t="s">
        <v>18262</v>
      </c>
      <c r="L8677">
        <f>HYPERLINK("https://www2.assemblee-nationale.fr/sycomore/fiche/(num_dept)/5905", "5905")</f>
        <v>0</v>
      </c>
      <c r="M8677">
        <f>HYPERLINK("https://www.senat.fr/senateur-3eme-republique/pichon_stephen0429r3.html", "pichon_stephen0429r3")</f>
        <v>0</v>
      </c>
      <c r="N8677">
        <f>HYPERLINK("https://www.wikidata.org/wiki/Q1069292", "Q1069292")</f>
        <v>0</v>
      </c>
      <c r="O8677" t="s">
        <v>20062</v>
      </c>
    </row>
    <row r="8678" spans="1:15">
      <c r="A8678" t="s">
        <v>37</v>
      </c>
      <c r="B8678" t="s">
        <v>149</v>
      </c>
      <c r="C8678" t="s">
        <v>169</v>
      </c>
      <c r="D8678" t="s">
        <v>298</v>
      </c>
      <c r="E8678" t="s">
        <v>426</v>
      </c>
      <c r="F8678">
        <f>HYPERLINK("https://www.wikidata.org/wiki/Q3111885", "Q3111885")</f>
        <v>0</v>
      </c>
      <c r="G8678" t="s">
        <v>776</v>
      </c>
      <c r="H8678" t="s">
        <v>5534</v>
      </c>
      <c r="I8678" t="s">
        <v>9407</v>
      </c>
      <c r="J8678" t="s">
        <v>11523</v>
      </c>
      <c r="K8678" t="s">
        <v>15927</v>
      </c>
      <c r="L8678">
        <f>HYPERLINK("https://www2.assemblee-nationale.fr/sycomore/fiche/(num_dept)/6182", "6182")</f>
        <v>0</v>
      </c>
      <c r="N8678">
        <f>HYPERLINK("https://www.wikidata.org/wiki/Q3185595", "Q3185595")</f>
        <v>0</v>
      </c>
      <c r="O8678" t="s">
        <v>20056</v>
      </c>
    </row>
    <row r="8679" spans="1:15">
      <c r="A8679" t="s">
        <v>37</v>
      </c>
      <c r="B8679" t="s">
        <v>149</v>
      </c>
      <c r="C8679" t="s">
        <v>169</v>
      </c>
      <c r="D8679" t="s">
        <v>298</v>
      </c>
      <c r="E8679" t="s">
        <v>426</v>
      </c>
      <c r="F8679">
        <f>HYPERLINK("https://www.wikidata.org/wiki/Q3111885", "Q3111885")</f>
        <v>0</v>
      </c>
      <c r="G8679" t="s">
        <v>778</v>
      </c>
      <c r="H8679" t="s">
        <v>5536</v>
      </c>
      <c r="I8679" t="s">
        <v>6584</v>
      </c>
      <c r="J8679" t="s">
        <v>11525</v>
      </c>
      <c r="K8679" t="s">
        <v>15929</v>
      </c>
      <c r="L8679">
        <f>HYPERLINK("https://www2.assemblee-nationale.fr/sycomore/fiche/(num_dept)/6293", "6293")</f>
        <v>0</v>
      </c>
      <c r="M8679">
        <f>HYPERLINK("https://www.senat.fr/senateur-3eme-republique/sarraut_albert0265r3.html", "sarraut_albert0265r3")</f>
        <v>0</v>
      </c>
      <c r="N8679">
        <f>HYPERLINK("https://www.wikidata.org/wiki/Q460318", "Q460318")</f>
        <v>0</v>
      </c>
      <c r="O8679" t="s">
        <v>20121</v>
      </c>
    </row>
    <row r="8680" spans="1:15">
      <c r="A8680" t="s">
        <v>37</v>
      </c>
      <c r="B8680" t="s">
        <v>149</v>
      </c>
      <c r="C8680" t="s">
        <v>169</v>
      </c>
      <c r="D8680" t="s">
        <v>298</v>
      </c>
      <c r="E8680" t="s">
        <v>426</v>
      </c>
      <c r="F8680">
        <f>HYPERLINK("https://www.wikidata.org/wiki/Q3111885", "Q3111885")</f>
        <v>0</v>
      </c>
      <c r="G8680" t="s">
        <v>804</v>
      </c>
      <c r="H8680" t="s">
        <v>5561</v>
      </c>
      <c r="I8680" t="s">
        <v>9476</v>
      </c>
      <c r="J8680" t="s">
        <v>11551</v>
      </c>
      <c r="K8680" t="s">
        <v>15955</v>
      </c>
      <c r="L8680">
        <f>HYPERLINK("https://www2.assemblee-nationale.fr/sycomore/fiche/(num_dept)/6684", "6684")</f>
        <v>0</v>
      </c>
      <c r="M8680">
        <f>HYPERLINK("https://www.senat.fr/senateur-3eme-republique/renoult_rene1734r3.html", "renoult_rene1734r3")</f>
        <v>0</v>
      </c>
      <c r="N8680">
        <f>HYPERLINK("https://www.wikidata.org/wiki/Q3426810", "Q3426810")</f>
        <v>0</v>
      </c>
      <c r="O8680" t="s">
        <v>20122</v>
      </c>
    </row>
    <row r="8681" spans="1:15">
      <c r="A8681" t="s">
        <v>37</v>
      </c>
      <c r="B8681" t="s">
        <v>149</v>
      </c>
      <c r="C8681" t="s">
        <v>169</v>
      </c>
      <c r="D8681" t="s">
        <v>298</v>
      </c>
      <c r="E8681" t="s">
        <v>426</v>
      </c>
      <c r="F8681">
        <f>HYPERLINK("https://www.wikidata.org/wiki/Q3111885", "Q3111885")</f>
        <v>0</v>
      </c>
      <c r="G8681" t="s">
        <v>3603</v>
      </c>
      <c r="H8681" t="s">
        <v>7947</v>
      </c>
      <c r="I8681" t="s">
        <v>6175</v>
      </c>
      <c r="J8681" t="s">
        <v>14188</v>
      </c>
      <c r="K8681" t="s">
        <v>18554</v>
      </c>
      <c r="L8681">
        <f>HYPERLINK("https://www2.assemblee-nationale.fr/sycomore/fiche/(num_dept)/7163", "7163")</f>
        <v>0</v>
      </c>
      <c r="M8681">
        <f>HYPERLINK("https://www.senat.fr/senateur-3eme-republique/trouillot_georges0444r3.html", "trouillot_georges0444r3")</f>
        <v>0</v>
      </c>
      <c r="N8681">
        <f>HYPERLINK("https://www.wikidata.org/wiki/Q3103564", "Q3103564")</f>
        <v>0</v>
      </c>
      <c r="O8681" t="s">
        <v>20065</v>
      </c>
    </row>
    <row r="8682" spans="1:15">
      <c r="A8682" t="s">
        <v>37</v>
      </c>
      <c r="B8682" t="s">
        <v>149</v>
      </c>
      <c r="C8682" t="s">
        <v>169</v>
      </c>
      <c r="D8682" t="s">
        <v>298</v>
      </c>
      <c r="E8682" t="s">
        <v>426</v>
      </c>
      <c r="F8682">
        <f>HYPERLINK("https://www.wikidata.org/wiki/Q3111885", "Q3111885")</f>
        <v>0</v>
      </c>
      <c r="G8682" t="s">
        <v>827</v>
      </c>
      <c r="H8682" t="s">
        <v>5584</v>
      </c>
      <c r="I8682" t="s">
        <v>9476</v>
      </c>
      <c r="J8682" t="s">
        <v>11574</v>
      </c>
      <c r="K8682" t="s">
        <v>15976</v>
      </c>
      <c r="L8682">
        <f>HYPERLINK("https://www2.assemblee-nationale.fr/sycomore/fiche/(num_dept)/7368", "7368")</f>
        <v>0</v>
      </c>
      <c r="M8682">
        <f>HYPERLINK("https://www.senat.fr/senateur-3eme-republique/viviani_rene0627r3.html", "viviani_rene0627r3")</f>
        <v>0</v>
      </c>
      <c r="N8682">
        <f>HYPERLINK("https://www.wikidata.org/wiki/Q431074", "Q431074")</f>
        <v>0</v>
      </c>
      <c r="O8682" t="s">
        <v>20086</v>
      </c>
    </row>
    <row r="8683" spans="1:15">
      <c r="A8683" t="s">
        <v>37</v>
      </c>
      <c r="B8683" t="s">
        <v>149</v>
      </c>
      <c r="C8683" t="s">
        <v>169</v>
      </c>
      <c r="D8683" t="s">
        <v>298</v>
      </c>
      <c r="E8683" t="s">
        <v>426</v>
      </c>
      <c r="F8683">
        <f>HYPERLINK("https://www.wikidata.org/wiki/Q3111885", "Q3111885")</f>
        <v>0</v>
      </c>
      <c r="G8683" t="s">
        <v>4238</v>
      </c>
      <c r="H8683" t="s">
        <v>5649</v>
      </c>
      <c r="I8683" t="s">
        <v>6200</v>
      </c>
      <c r="J8683" t="s">
        <v>14745</v>
      </c>
      <c r="K8683" t="s">
        <v>19090</v>
      </c>
      <c r="N8683">
        <f>HYPERLINK("https://www.wikidata.org/wiki/Q3171014", "Q3171014")</f>
        <v>0</v>
      </c>
      <c r="O8683" t="s">
        <v>20057</v>
      </c>
    </row>
    <row r="8684" spans="1:15">
      <c r="A8684" t="s">
        <v>37</v>
      </c>
      <c r="B8684" t="s">
        <v>149</v>
      </c>
      <c r="C8684" t="s">
        <v>169</v>
      </c>
      <c r="D8684" t="s">
        <v>298</v>
      </c>
      <c r="E8684" t="s">
        <v>426</v>
      </c>
      <c r="F8684">
        <f>HYPERLINK("https://www.wikidata.org/wiki/Q3111885", "Q3111885")</f>
        <v>0</v>
      </c>
      <c r="G8684" t="s">
        <v>4239</v>
      </c>
      <c r="H8684" t="s">
        <v>8414</v>
      </c>
      <c r="I8684" t="s">
        <v>9552</v>
      </c>
      <c r="J8684" t="s">
        <v>14746</v>
      </c>
      <c r="K8684" t="s">
        <v>19091</v>
      </c>
      <c r="N8684">
        <f>HYPERLINK("https://www.wikidata.org/wiki/Q2871099", "Q2871099")</f>
        <v>0</v>
      </c>
      <c r="O8684" t="s">
        <v>20053</v>
      </c>
    </row>
    <row r="8685" spans="1:15">
      <c r="A8685" t="s">
        <v>37</v>
      </c>
      <c r="B8685" t="s">
        <v>149</v>
      </c>
      <c r="C8685" t="s">
        <v>169</v>
      </c>
      <c r="D8685" t="s">
        <v>298</v>
      </c>
      <c r="E8685" t="s">
        <v>426</v>
      </c>
      <c r="F8685">
        <f>HYPERLINK("https://www.wikidata.org/wiki/Q3111885", "Q3111885")</f>
        <v>0</v>
      </c>
      <c r="G8685" t="s">
        <v>4240</v>
      </c>
      <c r="H8685" t="s">
        <v>5387</v>
      </c>
      <c r="I8685" t="s">
        <v>6200</v>
      </c>
      <c r="J8685" t="s">
        <v>14747</v>
      </c>
      <c r="K8685" t="s">
        <v>19092</v>
      </c>
      <c r="N8685">
        <f>HYPERLINK("https://www.wikidata.org/wiki/Q3171879", "Q3171879")</f>
        <v>0</v>
      </c>
      <c r="O8685" t="s">
        <v>20069</v>
      </c>
    </row>
    <row r="8686" spans="1:15">
      <c r="A8686" t="s">
        <v>38</v>
      </c>
      <c r="B8686" t="s">
        <v>149</v>
      </c>
      <c r="C8686" t="s">
        <v>170</v>
      </c>
      <c r="D8686" t="s">
        <v>299</v>
      </c>
      <c r="E8686" t="s">
        <v>427</v>
      </c>
      <c r="F8686">
        <f>HYPERLINK("https://www.wikidata.org/wiki/Q3111886", "Q3111886")</f>
        <v>0</v>
      </c>
      <c r="G8686" t="s">
        <v>530</v>
      </c>
      <c r="H8686" t="s">
        <v>5294</v>
      </c>
      <c r="I8686" t="s">
        <v>6166</v>
      </c>
      <c r="J8686" t="s">
        <v>11282</v>
      </c>
      <c r="K8686" t="s">
        <v>15682</v>
      </c>
      <c r="L8686">
        <f>HYPERLINK("https://www2.assemblee-nationale.fr/sycomore/fiche/(num_dept)/818", "818")</f>
        <v>0</v>
      </c>
      <c r="M8686">
        <f>HYPERLINK("https://www.senat.fr/senateur-3eme-republique/binet_francois0648r3.html", "binet_francois0648r3")</f>
        <v>0</v>
      </c>
      <c r="N8686">
        <f>HYPERLINK("https://www.wikidata.org/wiki/Q15973693", "Q15973693")</f>
        <v>0</v>
      </c>
      <c r="O8686" t="s">
        <v>20123</v>
      </c>
    </row>
    <row r="8687" spans="1:15">
      <c r="A8687" t="s">
        <v>38</v>
      </c>
      <c r="B8687" t="s">
        <v>149</v>
      </c>
      <c r="C8687" t="s">
        <v>170</v>
      </c>
      <c r="D8687" t="s">
        <v>299</v>
      </c>
      <c r="E8687" t="s">
        <v>427</v>
      </c>
      <c r="F8687">
        <f>HYPERLINK("https://www.wikidata.org/wiki/Q3111886", "Q3111886")</f>
        <v>0</v>
      </c>
      <c r="G8687" t="s">
        <v>553</v>
      </c>
      <c r="H8687" t="s">
        <v>5316</v>
      </c>
      <c r="I8687" t="s">
        <v>9411</v>
      </c>
      <c r="J8687" t="s">
        <v>11304</v>
      </c>
      <c r="K8687" t="s">
        <v>15705</v>
      </c>
      <c r="L8687">
        <f>HYPERLINK("https://www2.assemblee-nationale.fr/sycomore/fiche/(num_dept)/1211", "1211")</f>
        <v>0</v>
      </c>
      <c r="N8687">
        <f>HYPERLINK("https://www.wikidata.org/wiki/Q179888", "Q179888")</f>
        <v>0</v>
      </c>
      <c r="O8687" t="s">
        <v>20062</v>
      </c>
    </row>
    <row r="8688" spans="1:15">
      <c r="A8688" t="s">
        <v>38</v>
      </c>
      <c r="B8688" t="s">
        <v>149</v>
      </c>
      <c r="C8688" t="s">
        <v>170</v>
      </c>
      <c r="D8688" t="s">
        <v>299</v>
      </c>
      <c r="E8688" t="s">
        <v>427</v>
      </c>
      <c r="F8688">
        <f>HYPERLINK("https://www.wikidata.org/wiki/Q3111886", "Q3111886")</f>
        <v>0</v>
      </c>
      <c r="G8688" t="s">
        <v>553</v>
      </c>
      <c r="H8688" t="s">
        <v>5316</v>
      </c>
      <c r="I8688" t="s">
        <v>9411</v>
      </c>
      <c r="J8688" t="s">
        <v>11304</v>
      </c>
      <c r="K8688" t="s">
        <v>15705</v>
      </c>
      <c r="L8688">
        <f>HYPERLINK("https://www2.assemblee-nationale.fr/sycomore/fiche/(num_dept)/1211", "1211")</f>
        <v>0</v>
      </c>
      <c r="N8688">
        <f>HYPERLINK("https://www.wikidata.org/wiki/Q179888", "Q179888")</f>
        <v>0</v>
      </c>
      <c r="O8688" t="s">
        <v>20052</v>
      </c>
    </row>
    <row r="8689" spans="1:15">
      <c r="A8689" t="s">
        <v>38</v>
      </c>
      <c r="B8689" t="s">
        <v>149</v>
      </c>
      <c r="C8689" t="s">
        <v>170</v>
      </c>
      <c r="D8689" t="s">
        <v>299</v>
      </c>
      <c r="E8689" t="s">
        <v>427</v>
      </c>
      <c r="F8689">
        <f>HYPERLINK("https://www.wikidata.org/wiki/Q3111886", "Q3111886")</f>
        <v>0</v>
      </c>
      <c r="G8689" t="s">
        <v>560</v>
      </c>
      <c r="H8689" t="s">
        <v>5323</v>
      </c>
      <c r="I8689" t="s">
        <v>9407</v>
      </c>
      <c r="J8689" t="s">
        <v>11311</v>
      </c>
      <c r="K8689" t="s">
        <v>15712</v>
      </c>
      <c r="L8689">
        <f>HYPERLINK("https://www2.assemblee-nationale.fr/sycomore/fiche/(num_dept)/1366", "1366")</f>
        <v>0</v>
      </c>
      <c r="M8689">
        <f>HYPERLINK("https://www.senat.fr/senateur-3eme-republique/caillaux_joseph1254r3.html", "caillaux_joseph1254r3")</f>
        <v>0</v>
      </c>
      <c r="N8689">
        <f>HYPERLINK("https://www.wikidata.org/wiki/Q450463", "Q450463")</f>
        <v>0</v>
      </c>
      <c r="O8689" t="s">
        <v>20066</v>
      </c>
    </row>
    <row r="8690" spans="1:15">
      <c r="A8690" t="s">
        <v>38</v>
      </c>
      <c r="B8690" t="s">
        <v>149</v>
      </c>
      <c r="C8690" t="s">
        <v>170</v>
      </c>
      <c r="D8690" t="s">
        <v>299</v>
      </c>
      <c r="E8690" t="s">
        <v>427</v>
      </c>
      <c r="F8690">
        <f>HYPERLINK("https://www.wikidata.org/wiki/Q3111886", "Q3111886")</f>
        <v>0</v>
      </c>
      <c r="G8690" t="s">
        <v>560</v>
      </c>
      <c r="H8690" t="s">
        <v>5323</v>
      </c>
      <c r="I8690" t="s">
        <v>9407</v>
      </c>
      <c r="J8690" t="s">
        <v>11311</v>
      </c>
      <c r="K8690" t="s">
        <v>15712</v>
      </c>
      <c r="L8690">
        <f>HYPERLINK("https://www2.assemblee-nationale.fr/sycomore/fiche/(num_dept)/1366", "1366")</f>
        <v>0</v>
      </c>
      <c r="M8690">
        <f>HYPERLINK("https://www.senat.fr/senateur-3eme-republique/caillaux_joseph1254r3.html", "caillaux_joseph1254r3")</f>
        <v>0</v>
      </c>
      <c r="N8690">
        <f>HYPERLINK("https://www.wikidata.org/wiki/Q450463", "Q450463")</f>
        <v>0</v>
      </c>
      <c r="O8690" t="s">
        <v>20074</v>
      </c>
    </row>
    <row r="8691" spans="1:15">
      <c r="A8691" t="s">
        <v>38</v>
      </c>
      <c r="B8691" t="s">
        <v>149</v>
      </c>
      <c r="C8691" t="s">
        <v>170</v>
      </c>
      <c r="D8691" t="s">
        <v>299</v>
      </c>
      <c r="E8691" t="s">
        <v>427</v>
      </c>
      <c r="F8691">
        <f>HYPERLINK("https://www.wikidata.org/wiki/Q3111886", "Q3111886")</f>
        <v>0</v>
      </c>
      <c r="G8691" t="s">
        <v>920</v>
      </c>
      <c r="H8691" t="s">
        <v>5676</v>
      </c>
      <c r="I8691" t="s">
        <v>9385</v>
      </c>
      <c r="J8691" t="s">
        <v>11662</v>
      </c>
      <c r="K8691" t="s">
        <v>16063</v>
      </c>
      <c r="L8691">
        <f>HYPERLINK("https://www2.assemblee-nationale.fr/sycomore/fiche/(num_dept)/2124", "2124")</f>
        <v>0</v>
      </c>
      <c r="N8691">
        <f>HYPERLINK("https://www.wikidata.org/wiki/Q2958846", "Q2958846")</f>
        <v>0</v>
      </c>
      <c r="O8691" t="s">
        <v>20124</v>
      </c>
    </row>
    <row r="8692" spans="1:15">
      <c r="A8692" t="s">
        <v>38</v>
      </c>
      <c r="B8692" t="s">
        <v>149</v>
      </c>
      <c r="C8692" t="s">
        <v>170</v>
      </c>
      <c r="D8692" t="s">
        <v>299</v>
      </c>
      <c r="E8692" t="s">
        <v>427</v>
      </c>
      <c r="F8692">
        <f>HYPERLINK("https://www.wikidata.org/wiki/Q3111886", "Q3111886")</f>
        <v>0</v>
      </c>
      <c r="G8692" t="s">
        <v>1680</v>
      </c>
      <c r="H8692" t="s">
        <v>6359</v>
      </c>
      <c r="I8692" t="s">
        <v>7419</v>
      </c>
      <c r="J8692" t="s">
        <v>12385</v>
      </c>
      <c r="K8692" t="s">
        <v>16794</v>
      </c>
      <c r="L8692">
        <f>HYPERLINK("https://www2.assemblee-nationale.fr/sycomore/fiche/(num_dept)/2614", "2614")</f>
        <v>0</v>
      </c>
      <c r="N8692">
        <f>HYPERLINK("https://www.wikidata.org/wiki/Q2118124", "Q2118124")</f>
        <v>0</v>
      </c>
      <c r="O8692" t="s">
        <v>20125</v>
      </c>
    </row>
    <row r="8693" spans="1:15">
      <c r="A8693" t="s">
        <v>38</v>
      </c>
      <c r="B8693" t="s">
        <v>149</v>
      </c>
      <c r="C8693" t="s">
        <v>170</v>
      </c>
      <c r="D8693" t="s">
        <v>299</v>
      </c>
      <c r="E8693" t="s">
        <v>427</v>
      </c>
      <c r="F8693">
        <f>HYPERLINK("https://www.wikidata.org/wiki/Q3111886", "Q3111886")</f>
        <v>0</v>
      </c>
      <c r="G8693" t="s">
        <v>952</v>
      </c>
      <c r="H8693" t="s">
        <v>5704</v>
      </c>
      <c r="I8693" t="s">
        <v>9401</v>
      </c>
      <c r="J8693" t="s">
        <v>11693</v>
      </c>
      <c r="K8693" t="s">
        <v>16094</v>
      </c>
      <c r="L8693">
        <f>HYPERLINK("https://www2.assemblee-nationale.fr/sycomore/fiche/(num_dept)/2750", "2750")</f>
        <v>0</v>
      </c>
      <c r="N8693">
        <f>HYPERLINK("https://www.wikidata.org/wiki/Q2853905", "Q2853905")</f>
        <v>0</v>
      </c>
      <c r="O8693" t="s">
        <v>20126</v>
      </c>
    </row>
    <row r="8694" spans="1:15">
      <c r="A8694" t="s">
        <v>38</v>
      </c>
      <c r="B8694" t="s">
        <v>149</v>
      </c>
      <c r="C8694" t="s">
        <v>170</v>
      </c>
      <c r="D8694" t="s">
        <v>299</v>
      </c>
      <c r="E8694" t="s">
        <v>427</v>
      </c>
      <c r="F8694">
        <f>HYPERLINK("https://www.wikidata.org/wiki/Q3111886", "Q3111886")</f>
        <v>0</v>
      </c>
      <c r="G8694" t="s">
        <v>631</v>
      </c>
      <c r="H8694" t="s">
        <v>5390</v>
      </c>
      <c r="I8694" t="s">
        <v>7642</v>
      </c>
      <c r="J8694" t="s">
        <v>11381</v>
      </c>
      <c r="K8694" t="s">
        <v>15783</v>
      </c>
      <c r="L8694">
        <f>HYPERLINK("https://www2.assemblee-nationale.fr/sycomore/fiche/(num_dept)/2795", "2795")</f>
        <v>0</v>
      </c>
      <c r="N8694">
        <f>HYPERLINK("https://www.wikidata.org/wiki/Q3300740", "Q3300740")</f>
        <v>0</v>
      </c>
      <c r="O8694" t="s">
        <v>20127</v>
      </c>
    </row>
    <row r="8695" spans="1:15">
      <c r="A8695" t="s">
        <v>38</v>
      </c>
      <c r="B8695" t="s">
        <v>149</v>
      </c>
      <c r="C8695" t="s">
        <v>170</v>
      </c>
      <c r="D8695" t="s">
        <v>299</v>
      </c>
      <c r="E8695" t="s">
        <v>427</v>
      </c>
      <c r="F8695">
        <f>HYPERLINK("https://www.wikidata.org/wiki/Q3111886", "Q3111886")</f>
        <v>0</v>
      </c>
      <c r="G8695" t="s">
        <v>1170</v>
      </c>
      <c r="H8695" t="s">
        <v>5901</v>
      </c>
      <c r="I8695" t="s">
        <v>5592</v>
      </c>
      <c r="J8695" t="s">
        <v>11903</v>
      </c>
      <c r="K8695" t="s">
        <v>16305</v>
      </c>
      <c r="L8695">
        <f>HYPERLINK("https://www2.assemblee-nationale.fr/sycomore/fiche/(num_dept)/2874", "2874")</f>
        <v>0</v>
      </c>
      <c r="M8695">
        <f>HYPERLINK("https://www.senat.fr/senateur-3eme-republique/eynac_laurent0520r3.html", "eynac_laurent0520r3")</f>
        <v>0</v>
      </c>
      <c r="N8695">
        <f>HYPERLINK("https://www.wikidata.org/wiki/Q3219208", "Q3219208")</f>
        <v>0</v>
      </c>
      <c r="O8695" t="s">
        <v>20128</v>
      </c>
    </row>
    <row r="8696" spans="1:15">
      <c r="A8696" t="s">
        <v>38</v>
      </c>
      <c r="B8696" t="s">
        <v>149</v>
      </c>
      <c r="C8696" t="s">
        <v>170</v>
      </c>
      <c r="D8696" t="s">
        <v>299</v>
      </c>
      <c r="E8696" t="s">
        <v>427</v>
      </c>
      <c r="F8696">
        <f>HYPERLINK("https://www.wikidata.org/wiki/Q3111886", "Q3111886")</f>
        <v>0</v>
      </c>
      <c r="G8696" t="s">
        <v>1507</v>
      </c>
      <c r="H8696" t="s">
        <v>6204</v>
      </c>
      <c r="I8696" t="s">
        <v>9388</v>
      </c>
      <c r="J8696" t="s">
        <v>12225</v>
      </c>
      <c r="K8696" t="s">
        <v>16630</v>
      </c>
      <c r="L8696">
        <f>HYPERLINK("https://www2.assemblee-nationale.fr/sycomore/fiche/(num_dept)/4069", "4069")</f>
        <v>0</v>
      </c>
      <c r="M8696">
        <f>HYPERLINK("https://www.senat.fr/senateur-3eme-republique/jourdain_paul1113r3.html", "jourdain_paul1113r3")</f>
        <v>0</v>
      </c>
      <c r="N8696">
        <f>HYPERLINK("https://www.wikidata.org/wiki/Q3371547", "Q3371547")</f>
        <v>0</v>
      </c>
      <c r="O8696" t="s">
        <v>20088</v>
      </c>
    </row>
    <row r="8697" spans="1:15">
      <c r="A8697" t="s">
        <v>38</v>
      </c>
      <c r="B8697" t="s">
        <v>149</v>
      </c>
      <c r="C8697" t="s">
        <v>170</v>
      </c>
      <c r="D8697" t="s">
        <v>299</v>
      </c>
      <c r="E8697" t="s">
        <v>427</v>
      </c>
      <c r="F8697">
        <f>HYPERLINK("https://www.wikidata.org/wiki/Q3111886", "Q3111886")</f>
        <v>0</v>
      </c>
      <c r="G8697" t="s">
        <v>1857</v>
      </c>
      <c r="H8697" t="s">
        <v>6513</v>
      </c>
      <c r="I8697" t="s">
        <v>5630</v>
      </c>
      <c r="J8697" t="s">
        <v>12547</v>
      </c>
      <c r="K8697" t="s">
        <v>16958</v>
      </c>
      <c r="L8697">
        <f>HYPERLINK("https://www2.assemblee-nationale.fr/sycomore/fiche/(num_dept)/5569", "5569")</f>
        <v>0</v>
      </c>
      <c r="N8697">
        <f>HYPERLINK("https://www.wikidata.org/wiki/Q2899637", "Q2899637")</f>
        <v>0</v>
      </c>
      <c r="O8697" t="s">
        <v>20129</v>
      </c>
    </row>
    <row r="8698" spans="1:15">
      <c r="A8698" t="s">
        <v>38</v>
      </c>
      <c r="B8698" t="s">
        <v>149</v>
      </c>
      <c r="C8698" t="s">
        <v>170</v>
      </c>
      <c r="D8698" t="s">
        <v>299</v>
      </c>
      <c r="E8698" t="s">
        <v>427</v>
      </c>
      <c r="F8698">
        <f>HYPERLINK("https://www.wikidata.org/wiki/Q3111886", "Q3111886")</f>
        <v>0</v>
      </c>
      <c r="G8698" t="s">
        <v>1026</v>
      </c>
      <c r="H8698" t="s">
        <v>5776</v>
      </c>
      <c r="I8698" t="s">
        <v>5528</v>
      </c>
      <c r="J8698" t="s">
        <v>11763</v>
      </c>
      <c r="K8698" t="s">
        <v>16164</v>
      </c>
      <c r="L8698">
        <f>HYPERLINK("https://www2.assemblee-nationale.fr/sycomore/fiche/(num_dept)/5811", "5811")</f>
        <v>0</v>
      </c>
      <c r="M8698">
        <f>HYPERLINK("https://www.senat.fr/senateur-3eme-republique/perrier_leon1193r3.html", "perrier_leon1193r3")</f>
        <v>0</v>
      </c>
      <c r="N8698">
        <f>HYPERLINK("https://www.wikidata.org/wiki/Q3271259", "Q3271259")</f>
        <v>0</v>
      </c>
      <c r="O8698" t="s">
        <v>20065</v>
      </c>
    </row>
    <row r="8699" spans="1:15">
      <c r="A8699" t="s">
        <v>38</v>
      </c>
      <c r="B8699" t="s">
        <v>149</v>
      </c>
      <c r="C8699" t="s">
        <v>170</v>
      </c>
      <c r="D8699" t="s">
        <v>299</v>
      </c>
      <c r="E8699" t="s">
        <v>427</v>
      </c>
      <c r="F8699">
        <f>HYPERLINK("https://www.wikidata.org/wiki/Q3111886", "Q3111886")</f>
        <v>0</v>
      </c>
      <c r="G8699" t="s">
        <v>1573</v>
      </c>
      <c r="H8699" t="s">
        <v>6263</v>
      </c>
      <c r="I8699" t="s">
        <v>9843</v>
      </c>
      <c r="J8699" t="s">
        <v>12286</v>
      </c>
      <c r="K8699" t="s">
        <v>16692</v>
      </c>
      <c r="L8699">
        <f>HYPERLINK("https://www2.assemblee-nationale.fr/sycomore/fiche/(num_dept)/5908", "5908")</f>
        <v>0</v>
      </c>
      <c r="N8699">
        <f>HYPERLINK("https://www.wikidata.org/wiki/Q3573892", "Q3573892")</f>
        <v>0</v>
      </c>
      <c r="O8699" t="s">
        <v>20130</v>
      </c>
    </row>
    <row r="8700" spans="1:15">
      <c r="A8700" t="s">
        <v>38</v>
      </c>
      <c r="B8700" t="s">
        <v>149</v>
      </c>
      <c r="C8700" t="s">
        <v>170</v>
      </c>
      <c r="D8700" t="s">
        <v>299</v>
      </c>
      <c r="E8700" t="s">
        <v>427</v>
      </c>
      <c r="F8700">
        <f>HYPERLINK("https://www.wikidata.org/wiki/Q3111886", "Q3111886")</f>
        <v>0</v>
      </c>
      <c r="G8700" t="s">
        <v>1873</v>
      </c>
      <c r="H8700" t="s">
        <v>6528</v>
      </c>
      <c r="I8700" t="s">
        <v>6166</v>
      </c>
      <c r="J8700" t="s">
        <v>12561</v>
      </c>
      <c r="K8700" t="s">
        <v>16973</v>
      </c>
      <c r="L8700">
        <f>HYPERLINK("https://www2.assemblee-nationale.fr/sycomore/fiche/(num_dept)/5924", "5924")</f>
        <v>0</v>
      </c>
      <c r="N8700">
        <f>HYPERLINK("https://www.wikidata.org/wiki/Q3085590", "Q3085590")</f>
        <v>0</v>
      </c>
      <c r="O8700" t="s">
        <v>20131</v>
      </c>
    </row>
    <row r="8701" spans="1:15">
      <c r="A8701" t="s">
        <v>38</v>
      </c>
      <c r="B8701" t="s">
        <v>149</v>
      </c>
      <c r="C8701" t="s">
        <v>170</v>
      </c>
      <c r="D8701" t="s">
        <v>299</v>
      </c>
      <c r="E8701" t="s">
        <v>427</v>
      </c>
      <c r="F8701">
        <f>HYPERLINK("https://www.wikidata.org/wiki/Q3111886", "Q3111886")</f>
        <v>0</v>
      </c>
      <c r="G8701" t="s">
        <v>1306</v>
      </c>
      <c r="H8701" t="s">
        <v>6027</v>
      </c>
      <c r="I8701" t="s">
        <v>6860</v>
      </c>
      <c r="J8701" t="s">
        <v>12036</v>
      </c>
      <c r="K8701" t="s">
        <v>16437</v>
      </c>
      <c r="L8701">
        <f>HYPERLINK("https://www2.assemblee-nationale.fr/sycomore/fiche/(num_dept)/6591", "6591")</f>
        <v>0</v>
      </c>
      <c r="M8701">
        <f>HYPERLINK("https://www.senat.fr/senateur-3eme-republique/rameil_pierre1090r3.html", "rameil_pierre1090r3")</f>
        <v>0</v>
      </c>
      <c r="N8701">
        <f>HYPERLINK("https://www.wikidata.org/wiki/Q3386748", "Q3386748")</f>
        <v>0</v>
      </c>
      <c r="O8701" t="s">
        <v>20132</v>
      </c>
    </row>
    <row r="8702" spans="1:15">
      <c r="A8702" t="s">
        <v>38</v>
      </c>
      <c r="B8702" t="s">
        <v>149</v>
      </c>
      <c r="C8702" t="s">
        <v>170</v>
      </c>
      <c r="D8702" t="s">
        <v>299</v>
      </c>
      <c r="E8702" t="s">
        <v>427</v>
      </c>
      <c r="F8702">
        <f>HYPERLINK("https://www.wikidata.org/wiki/Q3111886", "Q3111886")</f>
        <v>0</v>
      </c>
      <c r="G8702" t="s">
        <v>1645</v>
      </c>
      <c r="H8702" t="s">
        <v>6329</v>
      </c>
      <c r="I8702" t="s">
        <v>6860</v>
      </c>
      <c r="J8702" t="s">
        <v>12352</v>
      </c>
      <c r="K8702" t="s">
        <v>16759</v>
      </c>
      <c r="L8702">
        <f>HYPERLINK("https://www2.assemblee-nationale.fr/sycomore/fiche/(num_dept)/7356", "7356")</f>
        <v>0</v>
      </c>
      <c r="N8702">
        <f>HYPERLINK("https://www.wikidata.org/wiki/Q3387230", "Q3387230")</f>
        <v>0</v>
      </c>
      <c r="O8702" t="s">
        <v>20133</v>
      </c>
    </row>
    <row r="8703" spans="1:15">
      <c r="A8703" t="s">
        <v>38</v>
      </c>
      <c r="B8703" t="s">
        <v>149</v>
      </c>
      <c r="C8703" t="s">
        <v>170</v>
      </c>
      <c r="D8703" t="s">
        <v>299</v>
      </c>
      <c r="E8703" t="s">
        <v>427</v>
      </c>
      <c r="F8703">
        <f>HYPERLINK("https://www.wikidata.org/wiki/Q3111886", "Q3111886")</f>
        <v>0</v>
      </c>
      <c r="G8703" t="s">
        <v>1067</v>
      </c>
      <c r="H8703" t="s">
        <v>5812</v>
      </c>
      <c r="I8703" t="s">
        <v>9488</v>
      </c>
      <c r="J8703" t="s">
        <v>11804</v>
      </c>
      <c r="K8703" t="s">
        <v>16204</v>
      </c>
      <c r="L8703">
        <f>HYPERLINK("https://www2.assemblee-nationale.fr/sycomore/fiche/(num_dept)/7361", "7361")</f>
        <v>0</v>
      </c>
      <c r="M8703">
        <f>HYPERLINK("https://www.senat.fr/senateur-3eme-republique/daniel_vincent_charles1382r3.html", "daniel_vincent_charles1382r3")</f>
        <v>0</v>
      </c>
      <c r="N8703">
        <f>HYPERLINK("https://www.wikidata.org/wiki/Q3014792", "Q3014792")</f>
        <v>0</v>
      </c>
      <c r="O8703" t="s">
        <v>20063</v>
      </c>
    </row>
    <row r="8704" spans="1:15">
      <c r="A8704" t="s">
        <v>38</v>
      </c>
      <c r="B8704" t="s">
        <v>149</v>
      </c>
      <c r="C8704" t="s">
        <v>170</v>
      </c>
      <c r="D8704" t="s">
        <v>299</v>
      </c>
      <c r="E8704" t="s">
        <v>427</v>
      </c>
      <c r="F8704">
        <f>HYPERLINK("https://www.wikidata.org/wiki/Q3111886", "Q3111886")</f>
        <v>0</v>
      </c>
      <c r="G8704" t="s">
        <v>1323</v>
      </c>
      <c r="H8704" t="s">
        <v>6042</v>
      </c>
      <c r="I8704" t="s">
        <v>6860</v>
      </c>
      <c r="J8704" t="s">
        <v>12052</v>
      </c>
      <c r="K8704" t="s">
        <v>16453</v>
      </c>
      <c r="L8704">
        <f>HYPERLINK("https://www2.assemblee-nationale.fr/sycomore/fiche/(num_dept)/7519", "7519")</f>
        <v>0</v>
      </c>
      <c r="M8704">
        <f>HYPERLINK("https://www.senat.fr/senateur-3eme-republique/laval_pierre1565r3.html", "laval_pierre1565r3")</f>
        <v>0</v>
      </c>
      <c r="N8704">
        <f>HYPERLINK("https://www.wikidata.org/wiki/Q151983", "Q151983")</f>
        <v>0</v>
      </c>
      <c r="O8704" t="s">
        <v>20064</v>
      </c>
    </row>
    <row r="8705" spans="1:15">
      <c r="A8705" t="s">
        <v>38</v>
      </c>
      <c r="B8705" t="s">
        <v>149</v>
      </c>
      <c r="C8705" t="s">
        <v>170</v>
      </c>
      <c r="D8705" t="s">
        <v>299</v>
      </c>
      <c r="E8705" t="s">
        <v>427</v>
      </c>
      <c r="F8705">
        <f>HYPERLINK("https://www.wikidata.org/wiki/Q3111886", "Q3111886")</f>
        <v>0</v>
      </c>
      <c r="G8705" t="s">
        <v>1329</v>
      </c>
      <c r="H8705" t="s">
        <v>6048</v>
      </c>
      <c r="I8705" t="s">
        <v>9453</v>
      </c>
      <c r="J8705" t="s">
        <v>12057</v>
      </c>
      <c r="K8705" t="s">
        <v>16458</v>
      </c>
      <c r="L8705">
        <f>HYPERLINK("https://www2.assemblee-nationale.fr/sycomore/fiche/(num_dept)/7824", "7824")</f>
        <v>0</v>
      </c>
      <c r="N8705">
        <f>HYPERLINK("https://www.wikidata.org/wiki/Q2865199", "Q2865199")</f>
        <v>0</v>
      </c>
      <c r="O8705" t="s">
        <v>20134</v>
      </c>
    </row>
    <row r="8706" spans="1:15">
      <c r="A8706" t="s">
        <v>38</v>
      </c>
      <c r="B8706" t="s">
        <v>149</v>
      </c>
      <c r="C8706" t="s">
        <v>170</v>
      </c>
      <c r="D8706" t="s">
        <v>299</v>
      </c>
      <c r="E8706" t="s">
        <v>427</v>
      </c>
      <c r="F8706">
        <f>HYPERLINK("https://www.wikidata.org/wiki/Q3111886", "Q3111886")</f>
        <v>0</v>
      </c>
      <c r="G8706" t="s">
        <v>857</v>
      </c>
      <c r="H8706" t="s">
        <v>5613</v>
      </c>
      <c r="I8706" t="s">
        <v>6175</v>
      </c>
      <c r="J8706" t="s">
        <v>11603</v>
      </c>
      <c r="K8706" t="s">
        <v>16005</v>
      </c>
      <c r="L8706">
        <f>HYPERLINK("https://www2.assemblee-nationale.fr/sycomore/fiche/(num_dept)/7840", "7840")</f>
        <v>0</v>
      </c>
      <c r="N8706">
        <f>HYPERLINK("https://www.wikidata.org/wiki/Q728806", "Q728806")</f>
        <v>0</v>
      </c>
      <c r="O8706" t="s">
        <v>20053</v>
      </c>
    </row>
    <row r="8707" spans="1:15">
      <c r="A8707" t="s">
        <v>38</v>
      </c>
      <c r="B8707" t="s">
        <v>149</v>
      </c>
      <c r="C8707" t="s">
        <v>170</v>
      </c>
      <c r="D8707" t="s">
        <v>299</v>
      </c>
      <c r="E8707" t="s">
        <v>427</v>
      </c>
      <c r="F8707">
        <f>HYPERLINK("https://www.wikidata.org/wiki/Q3111886", "Q3111886")</f>
        <v>0</v>
      </c>
      <c r="G8707" t="s">
        <v>628</v>
      </c>
      <c r="H8707" t="s">
        <v>5388</v>
      </c>
      <c r="I8707" t="s">
        <v>6200</v>
      </c>
      <c r="J8707" t="s">
        <v>11378</v>
      </c>
      <c r="K8707" t="s">
        <v>15780</v>
      </c>
      <c r="N8707">
        <f>HYPERLINK("https://www.wikidata.org/wiki/Q125250", "Q125250")</f>
        <v>0</v>
      </c>
      <c r="O8707" t="s">
        <v>20113</v>
      </c>
    </row>
    <row r="8708" spans="1:15">
      <c r="A8708" t="s">
        <v>38</v>
      </c>
      <c r="B8708" t="s">
        <v>149</v>
      </c>
      <c r="C8708" t="s">
        <v>170</v>
      </c>
      <c r="D8708" t="s">
        <v>299</v>
      </c>
      <c r="E8708" t="s">
        <v>427</v>
      </c>
      <c r="F8708">
        <f>HYPERLINK("https://www.wikidata.org/wiki/Q3111886", "Q3111886")</f>
        <v>0</v>
      </c>
      <c r="G8708" t="s">
        <v>4241</v>
      </c>
      <c r="H8708" t="s">
        <v>8415</v>
      </c>
      <c r="I8708" t="s">
        <v>9534</v>
      </c>
      <c r="J8708" t="s">
        <v>12952</v>
      </c>
      <c r="K8708" t="s">
        <v>19093</v>
      </c>
      <c r="N8708">
        <f>HYPERLINK("https://www.wikidata.org/wiki/Q365740", "Q365740")</f>
        <v>0</v>
      </c>
      <c r="O8708" t="s">
        <v>20057</v>
      </c>
    </row>
    <row r="8709" spans="1:15">
      <c r="A8709" t="s">
        <v>38</v>
      </c>
      <c r="B8709" t="s">
        <v>149</v>
      </c>
      <c r="C8709" t="s">
        <v>170</v>
      </c>
      <c r="D8709" t="s">
        <v>299</v>
      </c>
      <c r="E8709" t="s">
        <v>427</v>
      </c>
      <c r="F8709">
        <f>HYPERLINK("https://www.wikidata.org/wiki/Q3111886", "Q3111886")</f>
        <v>0</v>
      </c>
      <c r="G8709" t="s">
        <v>4242</v>
      </c>
      <c r="H8709" t="s">
        <v>8416</v>
      </c>
      <c r="I8709" t="s">
        <v>9446</v>
      </c>
      <c r="J8709" t="s">
        <v>14748</v>
      </c>
      <c r="K8709" t="s">
        <v>19094</v>
      </c>
      <c r="M8709">
        <f>HYPERLINK("https://www.senat.fr/senateur-3eme-republique/chapsal_fernand0417r3.html", "chapsal_fernand0417r3")</f>
        <v>0</v>
      </c>
      <c r="N8709">
        <f>HYPERLINK("https://www.wikidata.org/wiki/Q3069075", "Q3069075")</f>
        <v>0</v>
      </c>
      <c r="O8709" t="s">
        <v>20110</v>
      </c>
    </row>
    <row r="8710" spans="1:15">
      <c r="A8710" t="s">
        <v>39</v>
      </c>
      <c r="B8710" t="s">
        <v>149</v>
      </c>
      <c r="C8710" t="s">
        <v>171</v>
      </c>
      <c r="D8710" t="s">
        <v>300</v>
      </c>
      <c r="E8710" t="s">
        <v>428</v>
      </c>
      <c r="F8710">
        <f>HYPERLINK("https://www.wikidata.org/wiki/Q3111887", "Q3111887")</f>
        <v>0</v>
      </c>
      <c r="G8710" t="s">
        <v>1344</v>
      </c>
      <c r="H8710" t="s">
        <v>6062</v>
      </c>
      <c r="I8710" t="s">
        <v>6495</v>
      </c>
      <c r="J8710" t="s">
        <v>12071</v>
      </c>
      <c r="K8710" t="s">
        <v>16473</v>
      </c>
      <c r="L8710">
        <f>HYPERLINK("https://www2.assemblee-nationale.fr/sycomore/fiche/(num_dept)/157", "157")</f>
        <v>0</v>
      </c>
      <c r="N8710">
        <f>HYPERLINK("https://www.wikidata.org/wiki/Q3261084", "Q3261084")</f>
        <v>0</v>
      </c>
      <c r="O8710" t="s">
        <v>20088</v>
      </c>
    </row>
    <row r="8711" spans="1:15">
      <c r="A8711" t="s">
        <v>39</v>
      </c>
      <c r="B8711" t="s">
        <v>149</v>
      </c>
      <c r="C8711" t="s">
        <v>171</v>
      </c>
      <c r="D8711" t="s">
        <v>300</v>
      </c>
      <c r="E8711" t="s">
        <v>428</v>
      </c>
      <c r="F8711">
        <f>HYPERLINK("https://www.wikidata.org/wiki/Q3111887", "Q3111887")</f>
        <v>0</v>
      </c>
      <c r="G8711" t="s">
        <v>512</v>
      </c>
      <c r="H8711" t="s">
        <v>5277</v>
      </c>
      <c r="I8711" t="s">
        <v>6495</v>
      </c>
      <c r="J8711" t="s">
        <v>11264</v>
      </c>
      <c r="K8711" t="s">
        <v>15664</v>
      </c>
      <c r="L8711">
        <f>HYPERLINK("https://www2.assemblee-nationale.fr/sycomore/fiche/(num_dept)/451", "451")</f>
        <v>0</v>
      </c>
      <c r="M8711">
        <f>HYPERLINK("https://www.senat.fr/senateur-3eme-republique/barthou_louis1071r3.html", "barthou_louis1071r3")</f>
        <v>0</v>
      </c>
      <c r="N8711">
        <f>HYPERLINK("https://www.wikidata.org/wiki/Q271887", "Q271887")</f>
        <v>0</v>
      </c>
      <c r="O8711" t="s">
        <v>20064</v>
      </c>
    </row>
    <row r="8712" spans="1:15">
      <c r="A8712" t="s">
        <v>39</v>
      </c>
      <c r="B8712" t="s">
        <v>149</v>
      </c>
      <c r="C8712" t="s">
        <v>171</v>
      </c>
      <c r="D8712" t="s">
        <v>300</v>
      </c>
      <c r="E8712" t="s">
        <v>428</v>
      </c>
      <c r="F8712">
        <f>HYPERLINK("https://www.wikidata.org/wiki/Q3111887", "Q3111887")</f>
        <v>0</v>
      </c>
      <c r="G8712" t="s">
        <v>876</v>
      </c>
      <c r="H8712" t="s">
        <v>5632</v>
      </c>
      <c r="I8712" t="s">
        <v>6175</v>
      </c>
      <c r="J8712" t="s">
        <v>11622</v>
      </c>
      <c r="K8712" t="s">
        <v>16024</v>
      </c>
      <c r="L8712">
        <f>HYPERLINK("https://www2.assemblee-nationale.fr/sycomore/fiche/(num_dept)/938", "938")</f>
        <v>0</v>
      </c>
      <c r="N8712">
        <f>HYPERLINK("https://www.wikidata.org/wiki/Q3102326", "Q3102326")</f>
        <v>0</v>
      </c>
      <c r="O8712" t="s">
        <v>20135</v>
      </c>
    </row>
    <row r="8713" spans="1:15">
      <c r="A8713" t="s">
        <v>39</v>
      </c>
      <c r="B8713" t="s">
        <v>149</v>
      </c>
      <c r="C8713" t="s">
        <v>171</v>
      </c>
      <c r="D8713" t="s">
        <v>300</v>
      </c>
      <c r="E8713" t="s">
        <v>428</v>
      </c>
      <c r="F8713">
        <f>HYPERLINK("https://www.wikidata.org/wiki/Q3111887", "Q3111887")</f>
        <v>0</v>
      </c>
      <c r="G8713" t="s">
        <v>553</v>
      </c>
      <c r="H8713" t="s">
        <v>5316</v>
      </c>
      <c r="I8713" t="s">
        <v>9411</v>
      </c>
      <c r="J8713" t="s">
        <v>11304</v>
      </c>
      <c r="K8713" t="s">
        <v>15705</v>
      </c>
      <c r="L8713">
        <f>HYPERLINK("https://www2.assemblee-nationale.fr/sycomore/fiche/(num_dept)/1211", "1211")</f>
        <v>0</v>
      </c>
      <c r="N8713">
        <f>HYPERLINK("https://www.wikidata.org/wiki/Q179888", "Q179888")</f>
        <v>0</v>
      </c>
      <c r="O8713" t="s">
        <v>20062</v>
      </c>
    </row>
    <row r="8714" spans="1:15">
      <c r="A8714" t="s">
        <v>39</v>
      </c>
      <c r="B8714" t="s">
        <v>149</v>
      </c>
      <c r="C8714" t="s">
        <v>171</v>
      </c>
      <c r="D8714" t="s">
        <v>300</v>
      </c>
      <c r="E8714" t="s">
        <v>428</v>
      </c>
      <c r="F8714">
        <f>HYPERLINK("https://www.wikidata.org/wiki/Q3111887", "Q3111887")</f>
        <v>0</v>
      </c>
      <c r="G8714" t="s">
        <v>553</v>
      </c>
      <c r="H8714" t="s">
        <v>5316</v>
      </c>
      <c r="I8714" t="s">
        <v>9411</v>
      </c>
      <c r="J8714" t="s">
        <v>11304</v>
      </c>
      <c r="K8714" t="s">
        <v>15705</v>
      </c>
      <c r="L8714">
        <f>HYPERLINK("https://www2.assemblee-nationale.fr/sycomore/fiche/(num_dept)/1211", "1211")</f>
        <v>0</v>
      </c>
      <c r="N8714">
        <f>HYPERLINK("https://www.wikidata.org/wiki/Q179888", "Q179888")</f>
        <v>0</v>
      </c>
      <c r="O8714" t="s">
        <v>20052</v>
      </c>
    </row>
    <row r="8715" spans="1:15">
      <c r="A8715" t="s">
        <v>39</v>
      </c>
      <c r="B8715" t="s">
        <v>149</v>
      </c>
      <c r="C8715" t="s">
        <v>171</v>
      </c>
      <c r="D8715" t="s">
        <v>300</v>
      </c>
      <c r="E8715" t="s">
        <v>428</v>
      </c>
      <c r="F8715">
        <f>HYPERLINK("https://www.wikidata.org/wiki/Q3111887", "Q3111887")</f>
        <v>0</v>
      </c>
      <c r="G8715" t="s">
        <v>576</v>
      </c>
      <c r="H8715" t="s">
        <v>5338</v>
      </c>
      <c r="I8715" t="s">
        <v>6478</v>
      </c>
      <c r="J8715" t="s">
        <v>11327</v>
      </c>
      <c r="K8715" t="s">
        <v>15728</v>
      </c>
      <c r="L8715">
        <f>HYPERLINK("https://www2.assemblee-nationale.fr/sycomore/fiche/(num_dept)/1768", "1768")</f>
        <v>0</v>
      </c>
      <c r="M8715">
        <f>HYPERLINK("https://www.senat.fr/senateur-3eme-republique/cheron_henry0337r3.html", "cheron_henry0337r3")</f>
        <v>0</v>
      </c>
      <c r="N8715">
        <f>HYPERLINK("https://www.wikidata.org/wiki/Q3132698", "Q3132698")</f>
        <v>0</v>
      </c>
      <c r="O8715" t="s">
        <v>20066</v>
      </c>
    </row>
    <row r="8716" spans="1:15">
      <c r="A8716" t="s">
        <v>39</v>
      </c>
      <c r="B8716" t="s">
        <v>149</v>
      </c>
      <c r="C8716" t="s">
        <v>171</v>
      </c>
      <c r="D8716" t="s">
        <v>300</v>
      </c>
      <c r="E8716" t="s">
        <v>428</v>
      </c>
      <c r="F8716">
        <f>HYPERLINK("https://www.wikidata.org/wiki/Q3111887", "Q3111887")</f>
        <v>0</v>
      </c>
      <c r="G8716" t="s">
        <v>1170</v>
      </c>
      <c r="H8716" t="s">
        <v>5901</v>
      </c>
      <c r="I8716" t="s">
        <v>5592</v>
      </c>
      <c r="J8716" t="s">
        <v>11903</v>
      </c>
      <c r="K8716" t="s">
        <v>16305</v>
      </c>
      <c r="L8716">
        <f>HYPERLINK("https://www2.assemblee-nationale.fr/sycomore/fiche/(num_dept)/2874", "2874")</f>
        <v>0</v>
      </c>
      <c r="M8716">
        <f>HYPERLINK("https://www.senat.fr/senateur-3eme-republique/eynac_laurent0520r3.html", "eynac_laurent0520r3")</f>
        <v>0</v>
      </c>
      <c r="N8716">
        <f>HYPERLINK("https://www.wikidata.org/wiki/Q3219208", "Q3219208")</f>
        <v>0</v>
      </c>
      <c r="O8716" t="s">
        <v>20072</v>
      </c>
    </row>
    <row r="8717" spans="1:15">
      <c r="A8717" t="s">
        <v>39</v>
      </c>
      <c r="B8717" t="s">
        <v>149</v>
      </c>
      <c r="C8717" t="s">
        <v>171</v>
      </c>
      <c r="D8717" t="s">
        <v>300</v>
      </c>
      <c r="E8717" t="s">
        <v>428</v>
      </c>
      <c r="F8717">
        <f>HYPERLINK("https://www.wikidata.org/wiki/Q3111887", "Q3111887")</f>
        <v>0</v>
      </c>
      <c r="G8717" t="s">
        <v>1254</v>
      </c>
      <c r="H8717" t="s">
        <v>5978</v>
      </c>
      <c r="I8717" t="s">
        <v>6860</v>
      </c>
      <c r="J8717" t="s">
        <v>11984</v>
      </c>
      <c r="K8717" t="s">
        <v>16387</v>
      </c>
      <c r="L8717">
        <f>HYPERLINK("https://www2.assemblee-nationale.fr/sycomore/fiche/(num_dept)/3057", "3057")</f>
        <v>0</v>
      </c>
      <c r="N8717">
        <f>HYPERLINK("https://www.wikidata.org/wiki/Q3385030", "Q3385030")</f>
        <v>0</v>
      </c>
      <c r="O8717" t="s">
        <v>20063</v>
      </c>
    </row>
    <row r="8718" spans="1:15">
      <c r="A8718" t="s">
        <v>39</v>
      </c>
      <c r="B8718" t="s">
        <v>149</v>
      </c>
      <c r="C8718" t="s">
        <v>171</v>
      </c>
      <c r="D8718" t="s">
        <v>300</v>
      </c>
      <c r="E8718" t="s">
        <v>428</v>
      </c>
      <c r="F8718">
        <f>HYPERLINK("https://www.wikidata.org/wiki/Q3111887", "Q3111887")</f>
        <v>0</v>
      </c>
      <c r="G8718" t="s">
        <v>1801</v>
      </c>
      <c r="H8718" t="s">
        <v>6466</v>
      </c>
      <c r="I8718" t="s">
        <v>6585</v>
      </c>
      <c r="J8718" t="s">
        <v>12496</v>
      </c>
      <c r="K8718" t="s">
        <v>16906</v>
      </c>
      <c r="L8718">
        <f>HYPERLINK("https://www2.assemblee-nationale.fr/sycomore/fiche/(num_dept)/3130", "3130")</f>
        <v>0</v>
      </c>
      <c r="N8718">
        <f>HYPERLINK("https://www.wikidata.org/wiki/Q518576", "Q518576")</f>
        <v>0</v>
      </c>
      <c r="O8718" t="s">
        <v>20136</v>
      </c>
    </row>
    <row r="8719" spans="1:15">
      <c r="A8719" t="s">
        <v>39</v>
      </c>
      <c r="B8719" t="s">
        <v>149</v>
      </c>
      <c r="C8719" t="s">
        <v>171</v>
      </c>
      <c r="D8719" t="s">
        <v>300</v>
      </c>
      <c r="E8719" t="s">
        <v>428</v>
      </c>
      <c r="F8719">
        <f>HYPERLINK("https://www.wikidata.org/wiki/Q3111887", "Q3111887")</f>
        <v>0</v>
      </c>
      <c r="G8719" t="s">
        <v>2074</v>
      </c>
      <c r="H8719" t="s">
        <v>6701</v>
      </c>
      <c r="I8719" t="s">
        <v>6495</v>
      </c>
      <c r="J8719" t="s">
        <v>12745</v>
      </c>
      <c r="K8719" t="s">
        <v>17156</v>
      </c>
      <c r="L8719">
        <f>HYPERLINK("https://www2.assemblee-nationale.fr/sycomore/fiche/(num_dept)/3378", "3378")</f>
        <v>0</v>
      </c>
      <c r="N8719">
        <f>HYPERLINK("https://www.wikidata.org/wiki/Q3262030", "Q3262030")</f>
        <v>0</v>
      </c>
      <c r="O8719" t="s">
        <v>20137</v>
      </c>
    </row>
    <row r="8720" spans="1:15">
      <c r="A8720" t="s">
        <v>39</v>
      </c>
      <c r="B8720" t="s">
        <v>149</v>
      </c>
      <c r="C8720" t="s">
        <v>171</v>
      </c>
      <c r="D8720" t="s">
        <v>300</v>
      </c>
      <c r="E8720" t="s">
        <v>428</v>
      </c>
      <c r="F8720">
        <f>HYPERLINK("https://www.wikidata.org/wiki/Q3111887", "Q3111887")</f>
        <v>0</v>
      </c>
      <c r="G8720" t="s">
        <v>682</v>
      </c>
      <c r="H8720" t="s">
        <v>5440</v>
      </c>
      <c r="I8720" t="s">
        <v>6200</v>
      </c>
      <c r="J8720" t="s">
        <v>11432</v>
      </c>
      <c r="K8720" t="s">
        <v>15833</v>
      </c>
      <c r="L8720">
        <f>HYPERLINK("https://www2.assemblee-nationale.fr/sycomore/fiche/(num_dept)/3795", "3795")</f>
        <v>0</v>
      </c>
      <c r="N8720">
        <f>HYPERLINK("https://www.wikidata.org/wiki/Q554679", "Q554679")</f>
        <v>0</v>
      </c>
      <c r="O8720" t="s">
        <v>20056</v>
      </c>
    </row>
    <row r="8721" spans="1:15">
      <c r="A8721" t="s">
        <v>39</v>
      </c>
      <c r="B8721" t="s">
        <v>149</v>
      </c>
      <c r="C8721" t="s">
        <v>171</v>
      </c>
      <c r="D8721" t="s">
        <v>300</v>
      </c>
      <c r="E8721" t="s">
        <v>428</v>
      </c>
      <c r="F8721">
        <f>HYPERLINK("https://www.wikidata.org/wiki/Q3111887", "Q3111887")</f>
        <v>0</v>
      </c>
      <c r="G8721" t="s">
        <v>1517</v>
      </c>
      <c r="H8721" t="s">
        <v>6213</v>
      </c>
      <c r="I8721" t="s">
        <v>6495</v>
      </c>
      <c r="J8721" t="s">
        <v>12234</v>
      </c>
      <c r="K8721" t="s">
        <v>16640</v>
      </c>
      <c r="L8721">
        <f>HYPERLINK("https://www2.assemblee-nationale.fr/sycomore/fiche/(num_dept)/4823", "4823")</f>
        <v>0</v>
      </c>
      <c r="N8721">
        <f>HYPERLINK("https://www.wikidata.org/wiki/Q2788498", "Q2788498")</f>
        <v>0</v>
      </c>
      <c r="O8721" t="s">
        <v>20138</v>
      </c>
    </row>
    <row r="8722" spans="1:15">
      <c r="A8722" t="s">
        <v>39</v>
      </c>
      <c r="B8722" t="s">
        <v>149</v>
      </c>
      <c r="C8722" t="s">
        <v>171</v>
      </c>
      <c r="D8722" t="s">
        <v>300</v>
      </c>
      <c r="E8722" t="s">
        <v>428</v>
      </c>
      <c r="F8722">
        <f>HYPERLINK("https://www.wikidata.org/wiki/Q3111887", "Q3111887")</f>
        <v>0</v>
      </c>
      <c r="G8722" t="s">
        <v>717</v>
      </c>
      <c r="H8722" t="s">
        <v>5475</v>
      </c>
      <c r="I8722" t="s">
        <v>6585</v>
      </c>
      <c r="J8722" t="s">
        <v>11466</v>
      </c>
      <c r="K8722" t="s">
        <v>15868</v>
      </c>
      <c r="L8722">
        <f>HYPERLINK("https://www2.assemblee-nationale.fr/sycomore/fiche/(num_dept)/4882", "4882")</f>
        <v>0</v>
      </c>
      <c r="N8722">
        <f>HYPERLINK("https://www.wikidata.org/wiki/Q318617", "Q318617")</f>
        <v>0</v>
      </c>
      <c r="O8722" t="s">
        <v>20065</v>
      </c>
    </row>
    <row r="8723" spans="1:15">
      <c r="A8723" t="s">
        <v>39</v>
      </c>
      <c r="B8723" t="s">
        <v>149</v>
      </c>
      <c r="C8723" t="s">
        <v>171</v>
      </c>
      <c r="D8723" t="s">
        <v>300</v>
      </c>
      <c r="E8723" t="s">
        <v>428</v>
      </c>
      <c r="F8723">
        <f>HYPERLINK("https://www.wikidata.org/wiki/Q3111887", "Q3111887")</f>
        <v>0</v>
      </c>
      <c r="G8723" t="s">
        <v>1562</v>
      </c>
      <c r="H8723" t="s">
        <v>6253</v>
      </c>
      <c r="I8723" t="s">
        <v>9458</v>
      </c>
      <c r="J8723" t="s">
        <v>12275</v>
      </c>
      <c r="K8723" t="s">
        <v>16683</v>
      </c>
      <c r="L8723">
        <f>HYPERLINK("https://www2.assemblee-nationale.fr/sycomore/fiche/(num_dept)/5590", "5590")</f>
        <v>0</v>
      </c>
      <c r="N8723">
        <f>HYPERLINK("https://www.wikidata.org/wiki/Q2835374", "Q2835374")</f>
        <v>0</v>
      </c>
      <c r="O8723" t="s">
        <v>20139</v>
      </c>
    </row>
    <row r="8724" spans="1:15">
      <c r="A8724" t="s">
        <v>39</v>
      </c>
      <c r="B8724" t="s">
        <v>149</v>
      </c>
      <c r="C8724" t="s">
        <v>171</v>
      </c>
      <c r="D8724" t="s">
        <v>300</v>
      </c>
      <c r="E8724" t="s">
        <v>428</v>
      </c>
      <c r="F8724">
        <f>HYPERLINK("https://www.wikidata.org/wiki/Q3111887", "Q3111887")</f>
        <v>0</v>
      </c>
      <c r="G8724" t="s">
        <v>1017</v>
      </c>
      <c r="H8724" t="s">
        <v>5767</v>
      </c>
      <c r="I8724" t="s">
        <v>9388</v>
      </c>
      <c r="J8724" t="s">
        <v>11754</v>
      </c>
      <c r="K8724" t="s">
        <v>16157</v>
      </c>
      <c r="L8724">
        <f>HYPERLINK("https://www2.assemblee-nationale.fr/sycomore/fiche/(num_dept)/5653", "5653")</f>
        <v>0</v>
      </c>
      <c r="N8724">
        <f>HYPERLINK("https://www.wikidata.org/wiki/Q315434", "Q315434")</f>
        <v>0</v>
      </c>
      <c r="O8724" t="s">
        <v>20057</v>
      </c>
    </row>
    <row r="8725" spans="1:15">
      <c r="A8725" t="s">
        <v>39</v>
      </c>
      <c r="B8725" t="s">
        <v>149</v>
      </c>
      <c r="C8725" t="s">
        <v>171</v>
      </c>
      <c r="D8725" t="s">
        <v>300</v>
      </c>
      <c r="E8725" t="s">
        <v>428</v>
      </c>
      <c r="F8725">
        <f>HYPERLINK("https://www.wikidata.org/wiki/Q3111887", "Q3111887")</f>
        <v>0</v>
      </c>
      <c r="G8725" t="s">
        <v>1019</v>
      </c>
      <c r="H8725" t="s">
        <v>5769</v>
      </c>
      <c r="I8725" t="s">
        <v>6478</v>
      </c>
      <c r="J8725" t="s">
        <v>11756</v>
      </c>
      <c r="K8725" t="s">
        <v>16158</v>
      </c>
      <c r="L8725">
        <f>HYPERLINK("https://www2.assemblee-nationale.fr/sycomore/fiche/(num_dept)/5706", "5706")</f>
        <v>0</v>
      </c>
      <c r="N8725">
        <f>HYPERLINK("https://www.wikidata.org/wiki/Q3132997", "Q3132997")</f>
        <v>0</v>
      </c>
      <c r="O8725" t="s">
        <v>20140</v>
      </c>
    </row>
    <row r="8726" spans="1:15">
      <c r="A8726" t="s">
        <v>39</v>
      </c>
      <c r="B8726" t="s">
        <v>149</v>
      </c>
      <c r="C8726" t="s">
        <v>171</v>
      </c>
      <c r="D8726" t="s">
        <v>300</v>
      </c>
      <c r="E8726" t="s">
        <v>428</v>
      </c>
      <c r="F8726">
        <f>HYPERLINK("https://www.wikidata.org/wiki/Q3111887", "Q3111887")</f>
        <v>0</v>
      </c>
      <c r="G8726" t="s">
        <v>1206</v>
      </c>
      <c r="H8726" t="s">
        <v>5934</v>
      </c>
      <c r="I8726" t="s">
        <v>6585</v>
      </c>
      <c r="J8726" t="s">
        <v>11939</v>
      </c>
      <c r="K8726" t="s">
        <v>16340</v>
      </c>
      <c r="L8726">
        <f>HYPERLINK("https://www2.assemblee-nationale.fr/sycomore/fiche/(num_dept)/6953", "6953")</f>
        <v>0</v>
      </c>
      <c r="N8726">
        <f>HYPERLINK("https://www.wikidata.org/wiki/Q346648", "Q346648")</f>
        <v>0</v>
      </c>
      <c r="O8726" t="s">
        <v>20058</v>
      </c>
    </row>
    <row r="8727" spans="1:15">
      <c r="A8727" t="s">
        <v>39</v>
      </c>
      <c r="B8727" t="s">
        <v>149</v>
      </c>
      <c r="C8727" t="s">
        <v>171</v>
      </c>
      <c r="D8727" t="s">
        <v>300</v>
      </c>
      <c r="E8727" t="s">
        <v>428</v>
      </c>
      <c r="F8727">
        <f>HYPERLINK("https://www.wikidata.org/wiki/Q3111887", "Q3111887")</f>
        <v>0</v>
      </c>
      <c r="G8727" t="s">
        <v>857</v>
      </c>
      <c r="H8727" t="s">
        <v>5613</v>
      </c>
      <c r="I8727" t="s">
        <v>6175</v>
      </c>
      <c r="J8727" t="s">
        <v>11603</v>
      </c>
      <c r="K8727" t="s">
        <v>16005</v>
      </c>
      <c r="L8727">
        <f>HYPERLINK("https://www2.assemblee-nationale.fr/sycomore/fiche/(num_dept)/7840", "7840")</f>
        <v>0</v>
      </c>
      <c r="N8727">
        <f>HYPERLINK("https://www.wikidata.org/wiki/Q728806", "Q728806")</f>
        <v>0</v>
      </c>
      <c r="O8727" t="s">
        <v>20053</v>
      </c>
    </row>
    <row r="8728" spans="1:15">
      <c r="A8728" t="s">
        <v>39</v>
      </c>
      <c r="B8728" t="s">
        <v>149</v>
      </c>
      <c r="C8728" t="s">
        <v>171</v>
      </c>
      <c r="D8728" t="s">
        <v>300</v>
      </c>
      <c r="E8728" t="s">
        <v>428</v>
      </c>
      <c r="F8728">
        <f>HYPERLINK("https://www.wikidata.org/wiki/Q3111887", "Q3111887")</f>
        <v>0</v>
      </c>
      <c r="G8728" t="s">
        <v>4243</v>
      </c>
      <c r="H8728" t="s">
        <v>8417</v>
      </c>
      <c r="I8728" t="s">
        <v>6860</v>
      </c>
      <c r="J8728" t="s">
        <v>14749</v>
      </c>
      <c r="K8728" t="s">
        <v>19095</v>
      </c>
      <c r="M8728">
        <f>HYPERLINK("https://www.senat.fr/senateur-3eme-republique/marraud_pierre0748r3.html", "marraud_pierre0748r3")</f>
        <v>0</v>
      </c>
      <c r="N8728">
        <f>HYPERLINK("https://www.wikidata.org/wiki/Q3386156", "Q3386156")</f>
        <v>0</v>
      </c>
      <c r="O8728" t="s">
        <v>20051</v>
      </c>
    </row>
    <row r="8729" spans="1:15">
      <c r="A8729" t="s">
        <v>40</v>
      </c>
      <c r="B8729" t="s">
        <v>149</v>
      </c>
      <c r="C8729" t="s">
        <v>172</v>
      </c>
      <c r="D8729" t="s">
        <v>301</v>
      </c>
      <c r="E8729" t="s">
        <v>429</v>
      </c>
      <c r="F8729">
        <f>HYPERLINK("https://www.wikidata.org/wiki/Q3111889", "Q3111889")</f>
        <v>0</v>
      </c>
      <c r="G8729" t="s">
        <v>553</v>
      </c>
      <c r="H8729" t="s">
        <v>5316</v>
      </c>
      <c r="I8729" t="s">
        <v>9411</v>
      </c>
      <c r="J8729" t="s">
        <v>11304</v>
      </c>
      <c r="K8729" t="s">
        <v>15705</v>
      </c>
      <c r="L8729">
        <f>HYPERLINK("https://www2.assemblee-nationale.fr/sycomore/fiche/(num_dept)/1211", "1211")</f>
        <v>0</v>
      </c>
      <c r="N8729">
        <f>HYPERLINK("https://www.wikidata.org/wiki/Q179888", "Q179888")</f>
        <v>0</v>
      </c>
      <c r="O8729" t="s">
        <v>20117</v>
      </c>
    </row>
    <row r="8730" spans="1:15">
      <c r="A8730" t="s">
        <v>40</v>
      </c>
      <c r="B8730" t="s">
        <v>149</v>
      </c>
      <c r="C8730" t="s">
        <v>172</v>
      </c>
      <c r="D8730" t="s">
        <v>301</v>
      </c>
      <c r="E8730" t="s">
        <v>429</v>
      </c>
      <c r="F8730">
        <f>HYPERLINK("https://www.wikidata.org/wiki/Q3111889", "Q3111889")</f>
        <v>0</v>
      </c>
      <c r="G8730" t="s">
        <v>553</v>
      </c>
      <c r="H8730" t="s">
        <v>5316</v>
      </c>
      <c r="I8730" t="s">
        <v>9411</v>
      </c>
      <c r="J8730" t="s">
        <v>11304</v>
      </c>
      <c r="K8730" t="s">
        <v>15705</v>
      </c>
      <c r="L8730">
        <f>HYPERLINK("https://www2.assemblee-nationale.fr/sycomore/fiche/(num_dept)/1211", "1211")</f>
        <v>0</v>
      </c>
      <c r="N8730">
        <f>HYPERLINK("https://www.wikidata.org/wiki/Q179888", "Q179888")</f>
        <v>0</v>
      </c>
      <c r="O8730" t="s">
        <v>20052</v>
      </c>
    </row>
    <row r="8731" spans="1:15">
      <c r="A8731" t="s">
        <v>40</v>
      </c>
      <c r="B8731" t="s">
        <v>149</v>
      </c>
      <c r="C8731" t="s">
        <v>172</v>
      </c>
      <c r="D8731" t="s">
        <v>301</v>
      </c>
      <c r="E8731" t="s">
        <v>429</v>
      </c>
      <c r="F8731">
        <f>HYPERLINK("https://www.wikidata.org/wiki/Q3111889", "Q3111889")</f>
        <v>0</v>
      </c>
      <c r="G8731" t="s">
        <v>553</v>
      </c>
      <c r="H8731" t="s">
        <v>5316</v>
      </c>
      <c r="I8731" t="s">
        <v>9411</v>
      </c>
      <c r="J8731" t="s">
        <v>11304</v>
      </c>
      <c r="K8731" t="s">
        <v>15705</v>
      </c>
      <c r="L8731">
        <f>HYPERLINK("https://www2.assemblee-nationale.fr/sycomore/fiche/(num_dept)/1211", "1211")</f>
        <v>0</v>
      </c>
      <c r="N8731">
        <f>HYPERLINK("https://www.wikidata.org/wiki/Q179888", "Q179888")</f>
        <v>0</v>
      </c>
      <c r="O8731" t="s">
        <v>20141</v>
      </c>
    </row>
    <row r="8732" spans="1:15">
      <c r="A8732" t="s">
        <v>40</v>
      </c>
      <c r="B8732" t="s">
        <v>149</v>
      </c>
      <c r="C8732" t="s">
        <v>172</v>
      </c>
      <c r="D8732" t="s">
        <v>301</v>
      </c>
      <c r="E8732" t="s">
        <v>429</v>
      </c>
      <c r="F8732">
        <f>HYPERLINK("https://www.wikidata.org/wiki/Q3111889", "Q3111889")</f>
        <v>0</v>
      </c>
      <c r="G8732" t="s">
        <v>623</v>
      </c>
      <c r="H8732" t="s">
        <v>5383</v>
      </c>
      <c r="I8732" t="s">
        <v>5394</v>
      </c>
      <c r="J8732" t="s">
        <v>11373</v>
      </c>
      <c r="K8732" t="s">
        <v>15775</v>
      </c>
      <c r="L8732">
        <f>HYPERLINK("https://www2.assemblee-nationale.fr/sycomore/fiche/(num_dept)/2685", "2685")</f>
        <v>0</v>
      </c>
      <c r="M8732">
        <f>HYPERLINK("https://www.senat.fr/senateur-3eme-republique/dujardin_beaumetz_henri0274r3.html", "dujardin_beaumetz_henri0274r3")</f>
        <v>0</v>
      </c>
      <c r="N8732">
        <f>HYPERLINK("https://www.wikidata.org/wiki/Q289596", "Q289596")</f>
        <v>0</v>
      </c>
      <c r="O8732" t="s">
        <v>20119</v>
      </c>
    </row>
    <row r="8733" spans="1:15">
      <c r="A8733" t="s">
        <v>40</v>
      </c>
      <c r="B8733" t="s">
        <v>149</v>
      </c>
      <c r="C8733" t="s">
        <v>172</v>
      </c>
      <c r="D8733" t="s">
        <v>301</v>
      </c>
      <c r="E8733" t="s">
        <v>429</v>
      </c>
      <c r="F8733">
        <f>HYPERLINK("https://www.wikidata.org/wiki/Q3111889", "Q3111889")</f>
        <v>0</v>
      </c>
      <c r="G8733" t="s">
        <v>3121</v>
      </c>
      <c r="H8733" t="s">
        <v>5397</v>
      </c>
      <c r="I8733" t="s">
        <v>9651</v>
      </c>
      <c r="J8733" t="s">
        <v>13743</v>
      </c>
      <c r="K8733" t="s">
        <v>282</v>
      </c>
      <c r="L8733">
        <f>HYPERLINK("https://www2.assemblee-nationale.fr/sycomore/fiche/(num_dept)/2933", "2933")</f>
        <v>0</v>
      </c>
      <c r="N8733">
        <f>HYPERLINK("https://www.wikidata.org/wiki/Q3300286", "Q3300286")</f>
        <v>0</v>
      </c>
      <c r="O8733" t="s">
        <v>20142</v>
      </c>
    </row>
    <row r="8734" spans="1:15">
      <c r="A8734" t="s">
        <v>40</v>
      </c>
      <c r="B8734" t="s">
        <v>149</v>
      </c>
      <c r="C8734" t="s">
        <v>172</v>
      </c>
      <c r="D8734" t="s">
        <v>301</v>
      </c>
      <c r="E8734" t="s">
        <v>429</v>
      </c>
      <c r="F8734">
        <f>HYPERLINK("https://www.wikidata.org/wiki/Q3111889", "Q3111889")</f>
        <v>0</v>
      </c>
      <c r="G8734" t="s">
        <v>675</v>
      </c>
      <c r="H8734" t="s">
        <v>5434</v>
      </c>
      <c r="I8734" t="s">
        <v>7911</v>
      </c>
      <c r="J8734" t="s">
        <v>11425</v>
      </c>
      <c r="K8734" t="s">
        <v>15826</v>
      </c>
      <c r="L8734">
        <f>HYPERLINK("https://www2.assemblee-nationale.fr/sycomore/fiche/(num_dept)/3697", "3697")</f>
        <v>0</v>
      </c>
      <c r="N8734">
        <f>HYPERLINK("https://www.wikidata.org/wiki/Q2404053", "Q2404053")</f>
        <v>0</v>
      </c>
      <c r="O8734" t="s">
        <v>20118</v>
      </c>
    </row>
    <row r="8735" spans="1:15">
      <c r="A8735" t="s">
        <v>40</v>
      </c>
      <c r="B8735" t="s">
        <v>149</v>
      </c>
      <c r="C8735" t="s">
        <v>172</v>
      </c>
      <c r="D8735" t="s">
        <v>301</v>
      </c>
      <c r="E8735" t="s">
        <v>429</v>
      </c>
      <c r="F8735">
        <f>HYPERLINK("https://www.wikidata.org/wiki/Q3111889", "Q3111889")</f>
        <v>0</v>
      </c>
      <c r="G8735" t="s">
        <v>696</v>
      </c>
      <c r="H8735" t="s">
        <v>5454</v>
      </c>
      <c r="I8735" t="s">
        <v>9484</v>
      </c>
      <c r="J8735" t="s">
        <v>11446</v>
      </c>
      <c r="K8735" t="s">
        <v>15847</v>
      </c>
      <c r="L8735">
        <f>HYPERLINK("https://www2.assemblee-nationale.fr/sycomore/fiche/(num_dept)/4148", "4148")</f>
        <v>0</v>
      </c>
      <c r="M8735">
        <f>HYPERLINK("https://www.senat.fr/senateur-3eme-republique/klotz_louis1683r3.html", "klotz_louis1683r3")</f>
        <v>0</v>
      </c>
      <c r="N8735">
        <f>HYPERLINK("https://www.wikidata.org/wiki/Q179586", "Q179586")</f>
        <v>0</v>
      </c>
      <c r="O8735" t="s">
        <v>20066</v>
      </c>
    </row>
    <row r="8736" spans="1:15">
      <c r="A8736" t="s">
        <v>40</v>
      </c>
      <c r="B8736" t="s">
        <v>149</v>
      </c>
      <c r="C8736" t="s">
        <v>172</v>
      </c>
      <c r="D8736" t="s">
        <v>301</v>
      </c>
      <c r="E8736" t="s">
        <v>429</v>
      </c>
      <c r="F8736">
        <f>HYPERLINK("https://www.wikidata.org/wiki/Q3111889", "Q3111889")</f>
        <v>0</v>
      </c>
      <c r="G8736" t="s">
        <v>980</v>
      </c>
      <c r="H8736" t="s">
        <v>5732</v>
      </c>
      <c r="I8736" t="s">
        <v>6495</v>
      </c>
      <c r="J8736" t="s">
        <v>11718</v>
      </c>
      <c r="K8736" t="s">
        <v>16122</v>
      </c>
      <c r="L8736">
        <f>HYPERLINK("https://www2.assemblee-nationale.fr/sycomore/fiche/(num_dept)/4248", "4248")</f>
        <v>0</v>
      </c>
      <c r="M8736">
        <f>HYPERLINK("https://www.senat.fr/senateur-3eme-republique/lafferre_antonin0251r3.html", "lafferre_antonin0251r3")</f>
        <v>0</v>
      </c>
      <c r="N8736">
        <f>HYPERLINK("https://www.wikidata.org/wiki/Q3262422", "Q3262422")</f>
        <v>0</v>
      </c>
      <c r="O8736" t="s">
        <v>20086</v>
      </c>
    </row>
    <row r="8737" spans="1:15">
      <c r="A8737" t="s">
        <v>40</v>
      </c>
      <c r="B8737" t="s">
        <v>149</v>
      </c>
      <c r="C8737" t="s">
        <v>172</v>
      </c>
      <c r="D8737" t="s">
        <v>301</v>
      </c>
      <c r="E8737" t="s">
        <v>429</v>
      </c>
      <c r="F8737">
        <f>HYPERLINK("https://www.wikidata.org/wiki/Q3111889", "Q3111889")</f>
        <v>0</v>
      </c>
      <c r="G8737" t="s">
        <v>748</v>
      </c>
      <c r="H8737" t="s">
        <v>5506</v>
      </c>
      <c r="I8737" t="s">
        <v>9407</v>
      </c>
      <c r="J8737" t="s">
        <v>11330</v>
      </c>
      <c r="K8737" t="s">
        <v>15899</v>
      </c>
      <c r="L8737">
        <f>HYPERLINK("https://www2.assemblee-nationale.fr/sycomore/fiche/(num_dept)/5583", "5583")</f>
        <v>0</v>
      </c>
      <c r="M8737">
        <f>HYPERLINK("https://www.senat.fr/senateur-3eme-republique/noulens_jean_baptiste0149r3.html", "noulens_jean_baptiste0149r3")</f>
        <v>0</v>
      </c>
      <c r="N8737">
        <f>HYPERLINK("https://www.wikidata.org/wiki/Q3185419", "Q3185419")</f>
        <v>0</v>
      </c>
      <c r="O8737" t="s">
        <v>20121</v>
      </c>
    </row>
    <row r="8738" spans="1:15">
      <c r="A8738" t="s">
        <v>40</v>
      </c>
      <c r="B8738" t="s">
        <v>149</v>
      </c>
      <c r="C8738" t="s">
        <v>172</v>
      </c>
      <c r="D8738" t="s">
        <v>301</v>
      </c>
      <c r="E8738" t="s">
        <v>429</v>
      </c>
      <c r="F8738">
        <f>HYPERLINK("https://www.wikidata.org/wiki/Q3111889", "Q3111889")</f>
        <v>0</v>
      </c>
      <c r="G8738" t="s">
        <v>3276</v>
      </c>
      <c r="H8738" t="s">
        <v>7691</v>
      </c>
      <c r="I8738" t="s">
        <v>10740</v>
      </c>
      <c r="J8738" t="s">
        <v>13890</v>
      </c>
      <c r="K8738" t="s">
        <v>18262</v>
      </c>
      <c r="L8738">
        <f>HYPERLINK("https://www2.assemblee-nationale.fr/sycomore/fiche/(num_dept)/5905", "5905")</f>
        <v>0</v>
      </c>
      <c r="M8738">
        <f>HYPERLINK("https://www.senat.fr/senateur-3eme-republique/pichon_stephen0429r3.html", "pichon_stephen0429r3")</f>
        <v>0</v>
      </c>
      <c r="N8738">
        <f>HYPERLINK("https://www.wikidata.org/wiki/Q1069292", "Q1069292")</f>
        <v>0</v>
      </c>
      <c r="O8738" t="s">
        <v>20062</v>
      </c>
    </row>
    <row r="8739" spans="1:15">
      <c r="A8739" t="s">
        <v>40</v>
      </c>
      <c r="B8739" t="s">
        <v>149</v>
      </c>
      <c r="C8739" t="s">
        <v>172</v>
      </c>
      <c r="D8739" t="s">
        <v>301</v>
      </c>
      <c r="E8739" t="s">
        <v>429</v>
      </c>
      <c r="F8739">
        <f>HYPERLINK("https://www.wikidata.org/wiki/Q3111889", "Q3111889")</f>
        <v>0</v>
      </c>
      <c r="G8739" t="s">
        <v>792</v>
      </c>
      <c r="H8739" t="s">
        <v>5549</v>
      </c>
      <c r="I8739" t="s">
        <v>6495</v>
      </c>
      <c r="J8739" t="s">
        <v>11539</v>
      </c>
      <c r="K8739" t="s">
        <v>15943</v>
      </c>
      <c r="L8739">
        <f>HYPERLINK("https://www2.assemblee-nationale.fr/sycomore/fiche/(num_dept)/6531", "6531")</f>
        <v>0</v>
      </c>
      <c r="N8739">
        <f>HYPERLINK("https://www.wikidata.org/wiki/Q3262963", "Q3262963")</f>
        <v>0</v>
      </c>
      <c r="O8739" t="s">
        <v>20120</v>
      </c>
    </row>
    <row r="8740" spans="1:15">
      <c r="A8740" t="s">
        <v>40</v>
      </c>
      <c r="B8740" t="s">
        <v>149</v>
      </c>
      <c r="C8740" t="s">
        <v>172</v>
      </c>
      <c r="D8740" t="s">
        <v>301</v>
      </c>
      <c r="E8740" t="s">
        <v>429</v>
      </c>
      <c r="F8740">
        <f>HYPERLINK("https://www.wikidata.org/wiki/Q3111889", "Q3111889")</f>
        <v>0</v>
      </c>
      <c r="G8740" t="s">
        <v>851</v>
      </c>
      <c r="H8740" t="s">
        <v>5607</v>
      </c>
      <c r="I8740" t="s">
        <v>6585</v>
      </c>
      <c r="J8740" t="s">
        <v>11597</v>
      </c>
      <c r="K8740" t="s">
        <v>15999</v>
      </c>
      <c r="L8740">
        <f>HYPERLINK("https://www2.assemblee-nationale.fr/sycomore/fiche/(num_dept)/7693", "7693")</f>
        <v>0</v>
      </c>
      <c r="N8740">
        <f>HYPERLINK("https://www.wikidata.org/wiki/Q768982", "Q768982")</f>
        <v>0</v>
      </c>
      <c r="O8740" t="s">
        <v>20122</v>
      </c>
    </row>
    <row r="8741" spans="1:15">
      <c r="A8741" t="s">
        <v>40</v>
      </c>
      <c r="B8741" t="s">
        <v>149</v>
      </c>
      <c r="C8741" t="s">
        <v>172</v>
      </c>
      <c r="D8741" t="s">
        <v>301</v>
      </c>
      <c r="E8741" t="s">
        <v>429</v>
      </c>
      <c r="F8741">
        <f>HYPERLINK("https://www.wikidata.org/wiki/Q3111889", "Q3111889")</f>
        <v>0</v>
      </c>
      <c r="G8741" t="s">
        <v>800</v>
      </c>
      <c r="H8741" t="s">
        <v>5557</v>
      </c>
      <c r="I8741" t="s">
        <v>7642</v>
      </c>
      <c r="J8741" t="s">
        <v>11547</v>
      </c>
      <c r="K8741" t="s">
        <v>15951</v>
      </c>
      <c r="N8741">
        <f>HYPERLINK("https://www.wikidata.org/wiki/Q2406228", "Q2406228")</f>
        <v>0</v>
      </c>
      <c r="O8741" t="s">
        <v>20056</v>
      </c>
    </row>
    <row r="8742" spans="1:15">
      <c r="A8742" t="s">
        <v>40</v>
      </c>
      <c r="B8742" t="s">
        <v>149</v>
      </c>
      <c r="C8742" t="s">
        <v>172</v>
      </c>
      <c r="D8742" t="s">
        <v>301</v>
      </c>
      <c r="E8742" t="s">
        <v>429</v>
      </c>
      <c r="F8742">
        <f>HYPERLINK("https://www.wikidata.org/wiki/Q3111889", "Q3111889")</f>
        <v>0</v>
      </c>
      <c r="G8742" t="s">
        <v>4238</v>
      </c>
      <c r="H8742" t="s">
        <v>5649</v>
      </c>
      <c r="I8742" t="s">
        <v>6200</v>
      </c>
      <c r="J8742" t="s">
        <v>14745</v>
      </c>
      <c r="K8742" t="s">
        <v>19090</v>
      </c>
      <c r="N8742">
        <f>HYPERLINK("https://www.wikidata.org/wiki/Q3171014", "Q3171014")</f>
        <v>0</v>
      </c>
      <c r="O8742" t="s">
        <v>20057</v>
      </c>
    </row>
    <row r="8743" spans="1:15">
      <c r="A8743" t="s">
        <v>40</v>
      </c>
      <c r="B8743" t="s">
        <v>149</v>
      </c>
      <c r="C8743" t="s">
        <v>172</v>
      </c>
      <c r="D8743" t="s">
        <v>301</v>
      </c>
      <c r="E8743" t="s">
        <v>429</v>
      </c>
      <c r="F8743">
        <f>HYPERLINK("https://www.wikidata.org/wiki/Q3111889", "Q3111889")</f>
        <v>0</v>
      </c>
      <c r="G8743" t="s">
        <v>4244</v>
      </c>
      <c r="H8743" t="s">
        <v>5856</v>
      </c>
      <c r="I8743" t="s">
        <v>9533</v>
      </c>
      <c r="J8743" t="s">
        <v>14750</v>
      </c>
      <c r="K8743" t="s">
        <v>19096</v>
      </c>
      <c r="M8743">
        <f>HYPERLINK("https://www.senat.fr/senateur-3eme-republique/girard_theodore1638r3.html", "girard_theodore1638r3")</f>
        <v>0</v>
      </c>
      <c r="N8743">
        <f>HYPERLINK("https://www.wikidata.org/wiki/Q3526426", "Q3526426")</f>
        <v>0</v>
      </c>
      <c r="O8743" t="s">
        <v>20064</v>
      </c>
    </row>
    <row r="8744" spans="1:15">
      <c r="A8744" t="s">
        <v>40</v>
      </c>
      <c r="B8744" t="s">
        <v>149</v>
      </c>
      <c r="C8744" t="s">
        <v>172</v>
      </c>
      <c r="D8744" t="s">
        <v>301</v>
      </c>
      <c r="E8744" t="s">
        <v>429</v>
      </c>
      <c r="F8744">
        <f>HYPERLINK("https://www.wikidata.org/wiki/Q3111889", "Q3111889")</f>
        <v>0</v>
      </c>
      <c r="G8744" t="s">
        <v>4239</v>
      </c>
      <c r="H8744" t="s">
        <v>8414</v>
      </c>
      <c r="I8744" t="s">
        <v>9552</v>
      </c>
      <c r="J8744" t="s">
        <v>14746</v>
      </c>
      <c r="K8744" t="s">
        <v>19091</v>
      </c>
      <c r="N8744">
        <f>HYPERLINK("https://www.wikidata.org/wiki/Q2871099", "Q2871099")</f>
        <v>0</v>
      </c>
      <c r="O8744" t="s">
        <v>20053</v>
      </c>
    </row>
    <row r="8745" spans="1:15">
      <c r="A8745" t="s">
        <v>40</v>
      </c>
      <c r="B8745" t="s">
        <v>149</v>
      </c>
      <c r="C8745" t="s">
        <v>172</v>
      </c>
      <c r="D8745" t="s">
        <v>301</v>
      </c>
      <c r="E8745" t="s">
        <v>429</v>
      </c>
      <c r="F8745">
        <f>HYPERLINK("https://www.wikidata.org/wiki/Q3111889", "Q3111889")</f>
        <v>0</v>
      </c>
      <c r="G8745" t="s">
        <v>4225</v>
      </c>
      <c r="H8745" t="s">
        <v>5498</v>
      </c>
      <c r="I8745" t="s">
        <v>6200</v>
      </c>
      <c r="J8745" t="s">
        <v>11488</v>
      </c>
      <c r="K8745" t="s">
        <v>15890</v>
      </c>
      <c r="N8745">
        <f>HYPERLINK("https://www.wikidata.org/wiki/Q2947187", "Q2947187")</f>
        <v>0</v>
      </c>
      <c r="O8745" t="s">
        <v>20065</v>
      </c>
    </row>
    <row r="8746" spans="1:15">
      <c r="A8746" t="s">
        <v>40</v>
      </c>
      <c r="B8746" t="s">
        <v>149</v>
      </c>
      <c r="C8746" t="s">
        <v>172</v>
      </c>
      <c r="D8746" t="s">
        <v>301</v>
      </c>
      <c r="E8746" t="s">
        <v>429</v>
      </c>
      <c r="F8746">
        <f>HYPERLINK("https://www.wikidata.org/wiki/Q3111889", "Q3111889")</f>
        <v>0</v>
      </c>
      <c r="G8746" t="s">
        <v>4240</v>
      </c>
      <c r="H8746" t="s">
        <v>5387</v>
      </c>
      <c r="I8746" t="s">
        <v>6200</v>
      </c>
      <c r="J8746" t="s">
        <v>14747</v>
      </c>
      <c r="K8746" t="s">
        <v>19092</v>
      </c>
      <c r="N8746">
        <f>HYPERLINK("https://www.wikidata.org/wiki/Q3171879", "Q3171879")</f>
        <v>0</v>
      </c>
      <c r="O8746" t="s">
        <v>20069</v>
      </c>
    </row>
    <row r="8747" spans="1:15">
      <c r="A8747" t="s">
        <v>41</v>
      </c>
      <c r="B8747" t="s">
        <v>149</v>
      </c>
      <c r="C8747" t="s">
        <v>173</v>
      </c>
      <c r="D8747" t="s">
        <v>302</v>
      </c>
      <c r="E8747" t="s">
        <v>303</v>
      </c>
      <c r="F8747">
        <f>HYPERLINK("https://www.wikidata.org/wiki/Q3111891", "Q3111891")</f>
        <v>0</v>
      </c>
      <c r="G8747" t="s">
        <v>512</v>
      </c>
      <c r="H8747" t="s">
        <v>5277</v>
      </c>
      <c r="I8747" t="s">
        <v>6495</v>
      </c>
      <c r="J8747" t="s">
        <v>11264</v>
      </c>
      <c r="K8747" t="s">
        <v>15664</v>
      </c>
      <c r="L8747">
        <f>HYPERLINK("https://www2.assemblee-nationale.fr/sycomore/fiche/(num_dept)/451", "451")</f>
        <v>0</v>
      </c>
      <c r="M8747">
        <f>HYPERLINK("https://www.senat.fr/senateur-3eme-republique/barthou_louis1071r3.html", "barthou_louis1071r3")</f>
        <v>0</v>
      </c>
      <c r="N8747">
        <f>HYPERLINK("https://www.wikidata.org/wiki/Q271887", "Q271887")</f>
        <v>0</v>
      </c>
      <c r="O8747" t="s">
        <v>20064</v>
      </c>
    </row>
    <row r="8748" spans="1:15">
      <c r="A8748" t="s">
        <v>41</v>
      </c>
      <c r="B8748" t="s">
        <v>149</v>
      </c>
      <c r="C8748" t="s">
        <v>173</v>
      </c>
      <c r="D8748" t="s">
        <v>302</v>
      </c>
      <c r="E8748" t="s">
        <v>303</v>
      </c>
      <c r="F8748">
        <f>HYPERLINK("https://www.wikidata.org/wiki/Q3111891", "Q3111891")</f>
        <v>0</v>
      </c>
      <c r="G8748" t="s">
        <v>3953</v>
      </c>
      <c r="H8748" t="s">
        <v>7891</v>
      </c>
      <c r="I8748" t="s">
        <v>6860</v>
      </c>
      <c r="J8748" t="s">
        <v>14504</v>
      </c>
      <c r="K8748" t="s">
        <v>18851</v>
      </c>
      <c r="L8748">
        <f>HYPERLINK("https://www2.assemblee-nationale.fr/sycomore/fiche/(num_dept)/491", "491")</f>
        <v>0</v>
      </c>
      <c r="M8748">
        <f>HYPERLINK("https://www.senat.fr/senateur-3eme-republique/baudin_pierre0016r3.html", "baudin_pierre0016r3")</f>
        <v>0</v>
      </c>
      <c r="N8748">
        <f>HYPERLINK("https://www.wikidata.org/wiki/Q2993834", "Q2993834")</f>
        <v>0</v>
      </c>
      <c r="O8748" t="s">
        <v>20053</v>
      </c>
    </row>
    <row r="8749" spans="1:15">
      <c r="A8749" t="s">
        <v>41</v>
      </c>
      <c r="B8749" t="s">
        <v>149</v>
      </c>
      <c r="C8749" t="s">
        <v>173</v>
      </c>
      <c r="D8749" t="s">
        <v>302</v>
      </c>
      <c r="E8749" t="s">
        <v>303</v>
      </c>
      <c r="F8749">
        <f>HYPERLINK("https://www.wikidata.org/wiki/Q3111891", "Q3111891")</f>
        <v>0</v>
      </c>
      <c r="G8749" t="s">
        <v>875</v>
      </c>
      <c r="H8749" t="s">
        <v>5631</v>
      </c>
      <c r="I8749" t="s">
        <v>9476</v>
      </c>
      <c r="J8749" t="s">
        <v>11621</v>
      </c>
      <c r="K8749" t="s">
        <v>16023</v>
      </c>
      <c r="L8749">
        <f>HYPERLINK("https://www2.assemblee-nationale.fr/sycomore/fiche/(num_dept)/749", "749")</f>
        <v>0</v>
      </c>
      <c r="M8749">
        <f>HYPERLINK("https://www.senat.fr/senateur-3eme-republique/besnard_rene0300r3.html", "besnard_rene0300r3")</f>
        <v>0</v>
      </c>
      <c r="N8749">
        <f>HYPERLINK("https://www.wikidata.org/wiki/Q3425839", "Q3425839")</f>
        <v>0</v>
      </c>
      <c r="O8749" t="s">
        <v>20055</v>
      </c>
    </row>
    <row r="8750" spans="1:15">
      <c r="A8750" t="s">
        <v>41</v>
      </c>
      <c r="B8750" t="s">
        <v>149</v>
      </c>
      <c r="C8750" t="s">
        <v>173</v>
      </c>
      <c r="D8750" t="s">
        <v>302</v>
      </c>
      <c r="E8750" t="s">
        <v>303</v>
      </c>
      <c r="F8750">
        <f>HYPERLINK("https://www.wikidata.org/wiki/Q3111891", "Q3111891")</f>
        <v>0</v>
      </c>
      <c r="G8750" t="s">
        <v>546</v>
      </c>
      <c r="H8750" t="s">
        <v>5309</v>
      </c>
      <c r="I8750" t="s">
        <v>9405</v>
      </c>
      <c r="J8750" t="s">
        <v>11298</v>
      </c>
      <c r="K8750" t="s">
        <v>15698</v>
      </c>
      <c r="L8750">
        <f>HYPERLINK("https://www2.assemblee-nationale.fr/sycomore/fiche/(num_dept)/1076", "1076")</f>
        <v>0</v>
      </c>
      <c r="N8750">
        <f>HYPERLINK("https://www.wikidata.org/wiki/Q3587968", "Q3587968")</f>
        <v>0</v>
      </c>
      <c r="O8750" t="s">
        <v>20054</v>
      </c>
    </row>
    <row r="8751" spans="1:15">
      <c r="A8751" t="s">
        <v>41</v>
      </c>
      <c r="B8751" t="s">
        <v>149</v>
      </c>
      <c r="C8751" t="s">
        <v>173</v>
      </c>
      <c r="D8751" t="s">
        <v>302</v>
      </c>
      <c r="E8751" t="s">
        <v>303</v>
      </c>
      <c r="F8751">
        <f>HYPERLINK("https://www.wikidata.org/wiki/Q3111891", "Q3111891")</f>
        <v>0</v>
      </c>
      <c r="G8751" t="s">
        <v>553</v>
      </c>
      <c r="H8751" t="s">
        <v>5316</v>
      </c>
      <c r="I8751" t="s">
        <v>9411</v>
      </c>
      <c r="J8751" t="s">
        <v>11304</v>
      </c>
      <c r="K8751" t="s">
        <v>15705</v>
      </c>
      <c r="L8751">
        <f>HYPERLINK("https://www2.assemblee-nationale.fr/sycomore/fiche/(num_dept)/1211", "1211")</f>
        <v>0</v>
      </c>
      <c r="N8751">
        <f>HYPERLINK("https://www.wikidata.org/wiki/Q179888", "Q179888")</f>
        <v>0</v>
      </c>
      <c r="O8751" t="s">
        <v>20058</v>
      </c>
    </row>
    <row r="8752" spans="1:15">
      <c r="A8752" t="s">
        <v>41</v>
      </c>
      <c r="B8752" t="s">
        <v>149</v>
      </c>
      <c r="C8752" t="s">
        <v>173</v>
      </c>
      <c r="D8752" t="s">
        <v>302</v>
      </c>
      <c r="E8752" t="s">
        <v>303</v>
      </c>
      <c r="F8752">
        <f>HYPERLINK("https://www.wikidata.org/wiki/Q3111891", "Q3111891")</f>
        <v>0</v>
      </c>
      <c r="G8752" t="s">
        <v>553</v>
      </c>
      <c r="H8752" t="s">
        <v>5316</v>
      </c>
      <c r="I8752" t="s">
        <v>9411</v>
      </c>
      <c r="J8752" t="s">
        <v>11304</v>
      </c>
      <c r="K8752" t="s">
        <v>15705</v>
      </c>
      <c r="L8752">
        <f>HYPERLINK("https://www2.assemblee-nationale.fr/sycomore/fiche/(num_dept)/1211", "1211")</f>
        <v>0</v>
      </c>
      <c r="N8752">
        <f>HYPERLINK("https://www.wikidata.org/wiki/Q179888", "Q179888")</f>
        <v>0</v>
      </c>
      <c r="O8752" t="s">
        <v>20052</v>
      </c>
    </row>
    <row r="8753" spans="1:15">
      <c r="A8753" t="s">
        <v>41</v>
      </c>
      <c r="B8753" t="s">
        <v>149</v>
      </c>
      <c r="C8753" t="s">
        <v>173</v>
      </c>
      <c r="D8753" t="s">
        <v>302</v>
      </c>
      <c r="E8753" t="s">
        <v>303</v>
      </c>
      <c r="F8753">
        <f>HYPERLINK("https://www.wikidata.org/wiki/Q3111891", "Q3111891")</f>
        <v>0</v>
      </c>
      <c r="G8753" t="s">
        <v>573</v>
      </c>
      <c r="H8753" t="s">
        <v>5336</v>
      </c>
      <c r="I8753" t="s">
        <v>9385</v>
      </c>
      <c r="J8753" t="s">
        <v>11324</v>
      </c>
      <c r="K8753" t="s">
        <v>15725</v>
      </c>
      <c r="L8753">
        <f>HYPERLINK("https://www2.assemblee-nationale.fr/sycomore/fiche/(num_dept)/1716", "1716")</f>
        <v>0</v>
      </c>
      <c r="M8753">
        <f>HYPERLINK("https://www.senat.fr/senateur-3eme-republique/chaumet_jean0195r3.html", "chaumet_jean0195r3")</f>
        <v>0</v>
      </c>
      <c r="N8753">
        <f>HYPERLINK("https://www.wikidata.org/wiki/Q2958718", "Q2958718")</f>
        <v>0</v>
      </c>
      <c r="O8753" t="s">
        <v>20143</v>
      </c>
    </row>
    <row r="8754" spans="1:15">
      <c r="A8754" t="s">
        <v>41</v>
      </c>
      <c r="B8754" t="s">
        <v>149</v>
      </c>
      <c r="C8754" t="s">
        <v>173</v>
      </c>
      <c r="D8754" t="s">
        <v>302</v>
      </c>
      <c r="E8754" t="s">
        <v>303</v>
      </c>
      <c r="F8754">
        <f>HYPERLINK("https://www.wikidata.org/wiki/Q3111891", "Q3111891")</f>
        <v>0</v>
      </c>
      <c r="G8754" t="s">
        <v>600</v>
      </c>
      <c r="H8754" t="s">
        <v>5361</v>
      </c>
      <c r="I8754" t="s">
        <v>9446</v>
      </c>
      <c r="J8754" t="s">
        <v>11351</v>
      </c>
      <c r="K8754" t="s">
        <v>15752</v>
      </c>
      <c r="L8754">
        <f>HYPERLINK("https://www2.assemblee-nationale.fr/sycomore/fiche/(num_dept)/2171", "2171")</f>
        <v>0</v>
      </c>
      <c r="M8754">
        <f>HYPERLINK("https://www.senat.fr/senateur-3eme-republique/david_fernand1309r3.html", "david_fernand1309r3")</f>
        <v>0</v>
      </c>
      <c r="N8754">
        <f>HYPERLINK("https://www.wikidata.org/wiki/Q3069115", "Q3069115")</f>
        <v>0</v>
      </c>
      <c r="O8754" t="s">
        <v>20056</v>
      </c>
    </row>
    <row r="8755" spans="1:15">
      <c r="A8755" t="s">
        <v>41</v>
      </c>
      <c r="B8755" t="s">
        <v>149</v>
      </c>
      <c r="C8755" t="s">
        <v>173</v>
      </c>
      <c r="D8755" t="s">
        <v>302</v>
      </c>
      <c r="E8755" t="s">
        <v>303</v>
      </c>
      <c r="F8755">
        <f>HYPERLINK("https://www.wikidata.org/wiki/Q3111891", "Q3111891")</f>
        <v>0</v>
      </c>
      <c r="G8755" t="s">
        <v>635</v>
      </c>
      <c r="H8755" t="s">
        <v>5394</v>
      </c>
      <c r="I8755" t="s">
        <v>9465</v>
      </c>
      <c r="J8755" t="s">
        <v>11385</v>
      </c>
      <c r="K8755" t="s">
        <v>15787</v>
      </c>
      <c r="L8755">
        <f>HYPERLINK("https://www2.assemblee-nationale.fr/sycomore/fiche/(num_dept)/2861", "2861")</f>
        <v>0</v>
      </c>
      <c r="M8755">
        <f>HYPERLINK("https://www.senat.fr/senateur-3eme-republique/etienne_eugene1824r3.html", "etienne_eugene1824r3")</f>
        <v>0</v>
      </c>
      <c r="N8755">
        <f>HYPERLINK("https://www.wikidata.org/wiki/Q2612305", "Q2612305")</f>
        <v>0</v>
      </c>
      <c r="O8755" t="s">
        <v>20057</v>
      </c>
    </row>
    <row r="8756" spans="1:15">
      <c r="A8756" t="s">
        <v>41</v>
      </c>
      <c r="B8756" t="s">
        <v>149</v>
      </c>
      <c r="C8756" t="s">
        <v>173</v>
      </c>
      <c r="D8756" t="s">
        <v>302</v>
      </c>
      <c r="E8756" t="s">
        <v>303</v>
      </c>
      <c r="F8756">
        <f>HYPERLINK("https://www.wikidata.org/wiki/Q3111891", "Q3111891")</f>
        <v>0</v>
      </c>
      <c r="G8756" t="s">
        <v>675</v>
      </c>
      <c r="H8756" t="s">
        <v>5434</v>
      </c>
      <c r="I8756" t="s">
        <v>7911</v>
      </c>
      <c r="J8756" t="s">
        <v>11425</v>
      </c>
      <c r="K8756" t="s">
        <v>15826</v>
      </c>
      <c r="L8756">
        <f>HYPERLINK("https://www2.assemblee-nationale.fr/sycomore/fiche/(num_dept)/3697", "3697")</f>
        <v>0</v>
      </c>
      <c r="N8756">
        <f>HYPERLINK("https://www.wikidata.org/wiki/Q2404053", "Q2404053")</f>
        <v>0</v>
      </c>
      <c r="O8756" t="s">
        <v>20135</v>
      </c>
    </row>
    <row r="8757" spans="1:15">
      <c r="A8757" t="s">
        <v>41</v>
      </c>
      <c r="B8757" t="s">
        <v>149</v>
      </c>
      <c r="C8757" t="s">
        <v>173</v>
      </c>
      <c r="D8757" t="s">
        <v>302</v>
      </c>
      <c r="E8757" t="s">
        <v>303</v>
      </c>
      <c r="F8757">
        <f>HYPERLINK("https://www.wikidata.org/wiki/Q3111891", "Q3111891")</f>
        <v>0</v>
      </c>
      <c r="G8757" t="s">
        <v>692</v>
      </c>
      <c r="H8757" t="s">
        <v>5450</v>
      </c>
      <c r="I8757" t="s">
        <v>9385</v>
      </c>
      <c r="J8757" t="s">
        <v>11442</v>
      </c>
      <c r="K8757" t="s">
        <v>15843</v>
      </c>
      <c r="L8757">
        <f>HYPERLINK("https://www2.assemblee-nationale.fr/sycomore/fiche/(num_dept)/4047", "4047")</f>
        <v>0</v>
      </c>
      <c r="M8757">
        <f>HYPERLINK("https://www.senat.fr/senateur-3eme-republique/jonnart_celestin0975r3.html", "jonnart_celestin0975r3")</f>
        <v>0</v>
      </c>
      <c r="N8757">
        <f>HYPERLINK("https://www.wikidata.org/wiki/Q212634", "Q212634")</f>
        <v>0</v>
      </c>
      <c r="O8757" t="s">
        <v>20062</v>
      </c>
    </row>
    <row r="8758" spans="1:15">
      <c r="A8758" t="s">
        <v>41</v>
      </c>
      <c r="B8758" t="s">
        <v>149</v>
      </c>
      <c r="C8758" t="s">
        <v>173</v>
      </c>
      <c r="D8758" t="s">
        <v>302</v>
      </c>
      <c r="E8758" t="s">
        <v>303</v>
      </c>
      <c r="F8758">
        <f>HYPERLINK("https://www.wikidata.org/wiki/Q3111891", "Q3111891")</f>
        <v>0</v>
      </c>
      <c r="G8758" t="s">
        <v>696</v>
      </c>
      <c r="H8758" t="s">
        <v>5454</v>
      </c>
      <c r="I8758" t="s">
        <v>9484</v>
      </c>
      <c r="J8758" t="s">
        <v>11446</v>
      </c>
      <c r="K8758" t="s">
        <v>15847</v>
      </c>
      <c r="L8758">
        <f>HYPERLINK("https://www2.assemblee-nationale.fr/sycomore/fiche/(num_dept)/4148", "4148")</f>
        <v>0</v>
      </c>
      <c r="M8758">
        <f>HYPERLINK("https://www.senat.fr/senateur-3eme-republique/klotz_louis1683r3.html", "klotz_louis1683r3")</f>
        <v>0</v>
      </c>
      <c r="N8758">
        <f>HYPERLINK("https://www.wikidata.org/wiki/Q179586", "Q179586")</f>
        <v>0</v>
      </c>
      <c r="O8758" t="s">
        <v>20066</v>
      </c>
    </row>
    <row r="8759" spans="1:15">
      <c r="A8759" t="s">
        <v>41</v>
      </c>
      <c r="B8759" t="s">
        <v>149</v>
      </c>
      <c r="C8759" t="s">
        <v>173</v>
      </c>
      <c r="D8759" t="s">
        <v>302</v>
      </c>
      <c r="E8759" t="s">
        <v>303</v>
      </c>
      <c r="F8759">
        <f>HYPERLINK("https://www.wikidata.org/wiki/Q3111891", "Q3111891")</f>
        <v>0</v>
      </c>
      <c r="G8759" t="s">
        <v>740</v>
      </c>
      <c r="H8759" t="s">
        <v>5498</v>
      </c>
      <c r="I8759" t="s">
        <v>9388</v>
      </c>
      <c r="J8759" t="s">
        <v>11489</v>
      </c>
      <c r="K8759" t="s">
        <v>15891</v>
      </c>
      <c r="L8759">
        <f>HYPERLINK("https://www2.assemblee-nationale.fr/sycomore/fiche/(num_dept)/5413", "5413")</f>
        <v>0</v>
      </c>
      <c r="N8759">
        <f>HYPERLINK("https://www.wikidata.org/wiki/Q3371866", "Q3371866")</f>
        <v>0</v>
      </c>
      <c r="O8759" t="s">
        <v>20109</v>
      </c>
    </row>
    <row r="8760" spans="1:15">
      <c r="A8760" t="s">
        <v>41</v>
      </c>
      <c r="B8760" t="s">
        <v>149</v>
      </c>
      <c r="C8760" t="s">
        <v>173</v>
      </c>
      <c r="D8760" t="s">
        <v>302</v>
      </c>
      <c r="E8760" t="s">
        <v>303</v>
      </c>
      <c r="F8760">
        <f>HYPERLINK("https://www.wikidata.org/wiki/Q3111891", "Q3111891")</f>
        <v>0</v>
      </c>
      <c r="G8760" t="s">
        <v>814</v>
      </c>
      <c r="H8760" t="s">
        <v>5571</v>
      </c>
      <c r="I8760" t="s">
        <v>9533</v>
      </c>
      <c r="J8760" t="s">
        <v>11561</v>
      </c>
      <c r="K8760" t="s">
        <v>15965</v>
      </c>
      <c r="L8760">
        <f>HYPERLINK("https://www2.assemblee-nationale.fr/sycomore/fiche/(num_dept)/6904", "6904")</f>
        <v>0</v>
      </c>
      <c r="M8760">
        <f>HYPERLINK("https://www.senat.fr/senateur-3eme-republique/steeg_theodore1554r3.html", "steeg_theodore1554r3")</f>
        <v>0</v>
      </c>
      <c r="N8760">
        <f>HYPERLINK("https://www.wikidata.org/wiki/Q717905", "Q717905")</f>
        <v>0</v>
      </c>
      <c r="O8760" t="s">
        <v>20051</v>
      </c>
    </row>
    <row r="8761" spans="1:15">
      <c r="A8761" t="s">
        <v>41</v>
      </c>
      <c r="B8761" t="s">
        <v>149</v>
      </c>
      <c r="C8761" t="s">
        <v>173</v>
      </c>
      <c r="D8761" t="s">
        <v>302</v>
      </c>
      <c r="E8761" t="s">
        <v>303</v>
      </c>
      <c r="F8761">
        <f>HYPERLINK("https://www.wikidata.org/wiki/Q3111891", "Q3111891")</f>
        <v>0</v>
      </c>
      <c r="G8761" t="s">
        <v>4225</v>
      </c>
      <c r="H8761" t="s">
        <v>5498</v>
      </c>
      <c r="I8761" t="s">
        <v>6200</v>
      </c>
      <c r="J8761" t="s">
        <v>11488</v>
      </c>
      <c r="K8761" t="s">
        <v>15890</v>
      </c>
      <c r="N8761">
        <f>HYPERLINK("https://www.wikidata.org/wiki/Q2947187", "Q2947187")</f>
        <v>0</v>
      </c>
      <c r="O8761" t="s">
        <v>20065</v>
      </c>
    </row>
    <row r="8762" spans="1:15">
      <c r="A8762" t="s">
        <v>41</v>
      </c>
      <c r="B8762" t="s">
        <v>149</v>
      </c>
      <c r="C8762" t="s">
        <v>173</v>
      </c>
      <c r="D8762" t="s">
        <v>302</v>
      </c>
      <c r="E8762" t="s">
        <v>303</v>
      </c>
      <c r="F8762">
        <f>HYPERLINK("https://www.wikidata.org/wiki/Q3111891", "Q3111891")</f>
        <v>0</v>
      </c>
      <c r="G8762" t="s">
        <v>4240</v>
      </c>
      <c r="H8762" t="s">
        <v>5387</v>
      </c>
      <c r="I8762" t="s">
        <v>6200</v>
      </c>
      <c r="J8762" t="s">
        <v>14747</v>
      </c>
      <c r="K8762" t="s">
        <v>19092</v>
      </c>
      <c r="N8762">
        <f>HYPERLINK("https://www.wikidata.org/wiki/Q3171879", "Q3171879")</f>
        <v>0</v>
      </c>
      <c r="O8762" t="s">
        <v>20063</v>
      </c>
    </row>
    <row r="8763" spans="1:15">
      <c r="A8763" t="s">
        <v>41</v>
      </c>
      <c r="B8763" t="s">
        <v>149</v>
      </c>
      <c r="C8763" t="s">
        <v>173</v>
      </c>
      <c r="D8763" t="s">
        <v>302</v>
      </c>
      <c r="E8763" t="s">
        <v>303</v>
      </c>
      <c r="F8763">
        <f>HYPERLINK("https://www.wikidata.org/wiki/Q3111891", "Q3111891")</f>
        <v>0</v>
      </c>
      <c r="G8763" t="s">
        <v>522</v>
      </c>
      <c r="H8763" t="s">
        <v>5286</v>
      </c>
      <c r="I8763" t="s">
        <v>5528</v>
      </c>
      <c r="J8763" t="s">
        <v>11274</v>
      </c>
      <c r="K8763" t="s">
        <v>19078</v>
      </c>
      <c r="N8763">
        <f>HYPERLINK("https://www.wikidata.org/wiki/Q18384890", "Q18384890")</f>
        <v>0</v>
      </c>
      <c r="O8763" t="s">
        <v>20067</v>
      </c>
    </row>
    <row r="8764" spans="1:15">
      <c r="A8764" t="s">
        <v>42</v>
      </c>
      <c r="B8764" t="s">
        <v>149</v>
      </c>
      <c r="C8764" t="s">
        <v>174</v>
      </c>
      <c r="D8764" t="s">
        <v>303</v>
      </c>
      <c r="E8764" t="s">
        <v>293</v>
      </c>
      <c r="F8764">
        <f>HYPERLINK("https://www.wikidata.org/wiki/Q3111893", "Q3111893")</f>
        <v>0</v>
      </c>
      <c r="G8764" t="s">
        <v>512</v>
      </c>
      <c r="H8764" t="s">
        <v>5277</v>
      </c>
      <c r="I8764" t="s">
        <v>6495</v>
      </c>
      <c r="J8764" t="s">
        <v>11264</v>
      </c>
      <c r="K8764" t="s">
        <v>15664</v>
      </c>
      <c r="L8764">
        <f>HYPERLINK("https://www2.assemblee-nationale.fr/sycomore/fiche/(num_dept)/451", "451")</f>
        <v>0</v>
      </c>
      <c r="M8764">
        <f>HYPERLINK("https://www.senat.fr/senateur-3eme-republique/barthou_louis1071r3.html", "barthou_louis1071r3")</f>
        <v>0</v>
      </c>
      <c r="N8764">
        <f>HYPERLINK("https://www.wikidata.org/wiki/Q271887", "Q271887")</f>
        <v>0</v>
      </c>
      <c r="O8764" t="s">
        <v>20064</v>
      </c>
    </row>
    <row r="8765" spans="1:15">
      <c r="A8765" t="s">
        <v>42</v>
      </c>
      <c r="B8765" t="s">
        <v>149</v>
      </c>
      <c r="C8765" t="s">
        <v>174</v>
      </c>
      <c r="D8765" t="s">
        <v>303</v>
      </c>
      <c r="E8765" t="s">
        <v>293</v>
      </c>
      <c r="F8765">
        <f>HYPERLINK("https://www.wikidata.org/wiki/Q3111893", "Q3111893")</f>
        <v>0</v>
      </c>
      <c r="G8765" t="s">
        <v>3953</v>
      </c>
      <c r="H8765" t="s">
        <v>7891</v>
      </c>
      <c r="I8765" t="s">
        <v>6860</v>
      </c>
      <c r="J8765" t="s">
        <v>14504</v>
      </c>
      <c r="K8765" t="s">
        <v>18851</v>
      </c>
      <c r="L8765">
        <f>HYPERLINK("https://www2.assemblee-nationale.fr/sycomore/fiche/(num_dept)/491", "491")</f>
        <v>0</v>
      </c>
      <c r="M8765">
        <f>HYPERLINK("https://www.senat.fr/senateur-3eme-republique/baudin_pierre0016r3.html", "baudin_pierre0016r3")</f>
        <v>0</v>
      </c>
      <c r="N8765">
        <f>HYPERLINK("https://www.wikidata.org/wiki/Q2993834", "Q2993834")</f>
        <v>0</v>
      </c>
      <c r="O8765" t="s">
        <v>20053</v>
      </c>
    </row>
    <row r="8766" spans="1:15">
      <c r="A8766" t="s">
        <v>42</v>
      </c>
      <c r="B8766" t="s">
        <v>149</v>
      </c>
      <c r="C8766" t="s">
        <v>174</v>
      </c>
      <c r="D8766" t="s">
        <v>303</v>
      </c>
      <c r="E8766" t="s">
        <v>293</v>
      </c>
      <c r="F8766">
        <f>HYPERLINK("https://www.wikidata.org/wiki/Q3111893", "Q3111893")</f>
        <v>0</v>
      </c>
      <c r="G8766" t="s">
        <v>875</v>
      </c>
      <c r="H8766" t="s">
        <v>5631</v>
      </c>
      <c r="I8766" t="s">
        <v>9476</v>
      </c>
      <c r="J8766" t="s">
        <v>11621</v>
      </c>
      <c r="K8766" t="s">
        <v>16023</v>
      </c>
      <c r="L8766">
        <f>HYPERLINK("https://www2.assemblee-nationale.fr/sycomore/fiche/(num_dept)/749", "749")</f>
        <v>0</v>
      </c>
      <c r="M8766">
        <f>HYPERLINK("https://www.senat.fr/senateur-3eme-republique/besnard_rene0300r3.html", "besnard_rene0300r3")</f>
        <v>0</v>
      </c>
      <c r="N8766">
        <f>HYPERLINK("https://www.wikidata.org/wiki/Q3425839", "Q3425839")</f>
        <v>0</v>
      </c>
      <c r="O8766" t="s">
        <v>20055</v>
      </c>
    </row>
    <row r="8767" spans="1:15">
      <c r="A8767" t="s">
        <v>42</v>
      </c>
      <c r="B8767" t="s">
        <v>149</v>
      </c>
      <c r="C8767" t="s">
        <v>174</v>
      </c>
      <c r="D8767" t="s">
        <v>303</v>
      </c>
      <c r="E8767" t="s">
        <v>293</v>
      </c>
      <c r="F8767">
        <f>HYPERLINK("https://www.wikidata.org/wiki/Q3111893", "Q3111893")</f>
        <v>0</v>
      </c>
      <c r="G8767" t="s">
        <v>546</v>
      </c>
      <c r="H8767" t="s">
        <v>5309</v>
      </c>
      <c r="I8767" t="s">
        <v>9405</v>
      </c>
      <c r="J8767" t="s">
        <v>11298</v>
      </c>
      <c r="K8767" t="s">
        <v>15698</v>
      </c>
      <c r="L8767">
        <f>HYPERLINK("https://www2.assemblee-nationale.fr/sycomore/fiche/(num_dept)/1076", "1076")</f>
        <v>0</v>
      </c>
      <c r="N8767">
        <f>HYPERLINK("https://www.wikidata.org/wiki/Q3587968", "Q3587968")</f>
        <v>0</v>
      </c>
      <c r="O8767" t="s">
        <v>20054</v>
      </c>
    </row>
    <row r="8768" spans="1:15">
      <c r="A8768" t="s">
        <v>42</v>
      </c>
      <c r="B8768" t="s">
        <v>149</v>
      </c>
      <c r="C8768" t="s">
        <v>174</v>
      </c>
      <c r="D8768" t="s">
        <v>303</v>
      </c>
      <c r="E8768" t="s">
        <v>293</v>
      </c>
      <c r="F8768">
        <f>HYPERLINK("https://www.wikidata.org/wiki/Q3111893", "Q3111893")</f>
        <v>0</v>
      </c>
      <c r="G8768" t="s">
        <v>553</v>
      </c>
      <c r="H8768" t="s">
        <v>5316</v>
      </c>
      <c r="I8768" t="s">
        <v>9411</v>
      </c>
      <c r="J8768" t="s">
        <v>11304</v>
      </c>
      <c r="K8768" t="s">
        <v>15705</v>
      </c>
      <c r="L8768">
        <f>HYPERLINK("https://www2.assemblee-nationale.fr/sycomore/fiche/(num_dept)/1211", "1211")</f>
        <v>0</v>
      </c>
      <c r="N8768">
        <f>HYPERLINK("https://www.wikidata.org/wiki/Q179888", "Q179888")</f>
        <v>0</v>
      </c>
      <c r="O8768" t="s">
        <v>20058</v>
      </c>
    </row>
    <row r="8769" spans="1:15">
      <c r="A8769" t="s">
        <v>42</v>
      </c>
      <c r="B8769" t="s">
        <v>149</v>
      </c>
      <c r="C8769" t="s">
        <v>174</v>
      </c>
      <c r="D8769" t="s">
        <v>303</v>
      </c>
      <c r="E8769" t="s">
        <v>293</v>
      </c>
      <c r="F8769">
        <f>HYPERLINK("https://www.wikidata.org/wiki/Q3111893", "Q3111893")</f>
        <v>0</v>
      </c>
      <c r="G8769" t="s">
        <v>553</v>
      </c>
      <c r="H8769" t="s">
        <v>5316</v>
      </c>
      <c r="I8769" t="s">
        <v>9411</v>
      </c>
      <c r="J8769" t="s">
        <v>11304</v>
      </c>
      <c r="K8769" t="s">
        <v>15705</v>
      </c>
      <c r="L8769">
        <f>HYPERLINK("https://www2.assemblee-nationale.fr/sycomore/fiche/(num_dept)/1211", "1211")</f>
        <v>0</v>
      </c>
      <c r="N8769">
        <f>HYPERLINK("https://www.wikidata.org/wiki/Q179888", "Q179888")</f>
        <v>0</v>
      </c>
      <c r="O8769" t="s">
        <v>20052</v>
      </c>
    </row>
    <row r="8770" spans="1:15">
      <c r="A8770" t="s">
        <v>42</v>
      </c>
      <c r="B8770" t="s">
        <v>149</v>
      </c>
      <c r="C8770" t="s">
        <v>174</v>
      </c>
      <c r="D8770" t="s">
        <v>303</v>
      </c>
      <c r="E8770" t="s">
        <v>293</v>
      </c>
      <c r="F8770">
        <f>HYPERLINK("https://www.wikidata.org/wiki/Q3111893", "Q3111893")</f>
        <v>0</v>
      </c>
      <c r="G8770" t="s">
        <v>573</v>
      </c>
      <c r="H8770" t="s">
        <v>5336</v>
      </c>
      <c r="I8770" t="s">
        <v>9385</v>
      </c>
      <c r="J8770" t="s">
        <v>11324</v>
      </c>
      <c r="K8770" t="s">
        <v>15725</v>
      </c>
      <c r="L8770">
        <f>HYPERLINK("https://www2.assemblee-nationale.fr/sycomore/fiche/(num_dept)/1716", "1716")</f>
        <v>0</v>
      </c>
      <c r="M8770">
        <f>HYPERLINK("https://www.senat.fr/senateur-3eme-republique/chaumet_jean0195r3.html", "chaumet_jean0195r3")</f>
        <v>0</v>
      </c>
      <c r="N8770">
        <f>HYPERLINK("https://www.wikidata.org/wiki/Q2958718", "Q2958718")</f>
        <v>0</v>
      </c>
      <c r="O8770" t="s">
        <v>20143</v>
      </c>
    </row>
    <row r="8771" spans="1:15">
      <c r="A8771" t="s">
        <v>42</v>
      </c>
      <c r="B8771" t="s">
        <v>149</v>
      </c>
      <c r="C8771" t="s">
        <v>174</v>
      </c>
      <c r="D8771" t="s">
        <v>303</v>
      </c>
      <c r="E8771" t="s">
        <v>293</v>
      </c>
      <c r="F8771">
        <f>HYPERLINK("https://www.wikidata.org/wiki/Q3111893", "Q3111893")</f>
        <v>0</v>
      </c>
      <c r="G8771" t="s">
        <v>600</v>
      </c>
      <c r="H8771" t="s">
        <v>5361</v>
      </c>
      <c r="I8771" t="s">
        <v>9446</v>
      </c>
      <c r="J8771" t="s">
        <v>11351</v>
      </c>
      <c r="K8771" t="s">
        <v>15752</v>
      </c>
      <c r="L8771">
        <f>HYPERLINK("https://www2.assemblee-nationale.fr/sycomore/fiche/(num_dept)/2171", "2171")</f>
        <v>0</v>
      </c>
      <c r="M8771">
        <f>HYPERLINK("https://www.senat.fr/senateur-3eme-republique/david_fernand1309r3.html", "david_fernand1309r3")</f>
        <v>0</v>
      </c>
      <c r="N8771">
        <f>HYPERLINK("https://www.wikidata.org/wiki/Q3069115", "Q3069115")</f>
        <v>0</v>
      </c>
      <c r="O8771" t="s">
        <v>20056</v>
      </c>
    </row>
    <row r="8772" spans="1:15">
      <c r="A8772" t="s">
        <v>42</v>
      </c>
      <c r="B8772" t="s">
        <v>149</v>
      </c>
      <c r="C8772" t="s">
        <v>174</v>
      </c>
      <c r="D8772" t="s">
        <v>303</v>
      </c>
      <c r="E8772" t="s">
        <v>293</v>
      </c>
      <c r="F8772">
        <f>HYPERLINK("https://www.wikidata.org/wiki/Q3111893", "Q3111893")</f>
        <v>0</v>
      </c>
      <c r="G8772" t="s">
        <v>635</v>
      </c>
      <c r="H8772" t="s">
        <v>5394</v>
      </c>
      <c r="I8772" t="s">
        <v>9465</v>
      </c>
      <c r="J8772" t="s">
        <v>11385</v>
      </c>
      <c r="K8772" t="s">
        <v>15787</v>
      </c>
      <c r="L8772">
        <f>HYPERLINK("https://www2.assemblee-nationale.fr/sycomore/fiche/(num_dept)/2861", "2861")</f>
        <v>0</v>
      </c>
      <c r="M8772">
        <f>HYPERLINK("https://www.senat.fr/senateur-3eme-republique/etienne_eugene1824r3.html", "etienne_eugene1824r3")</f>
        <v>0</v>
      </c>
      <c r="N8772">
        <f>HYPERLINK("https://www.wikidata.org/wiki/Q2612305", "Q2612305")</f>
        <v>0</v>
      </c>
      <c r="O8772" t="s">
        <v>20057</v>
      </c>
    </row>
    <row r="8773" spans="1:15">
      <c r="A8773" t="s">
        <v>42</v>
      </c>
      <c r="B8773" t="s">
        <v>149</v>
      </c>
      <c r="C8773" t="s">
        <v>174</v>
      </c>
      <c r="D8773" t="s">
        <v>303</v>
      </c>
      <c r="E8773" t="s">
        <v>293</v>
      </c>
      <c r="F8773">
        <f>HYPERLINK("https://www.wikidata.org/wiki/Q3111893", "Q3111893")</f>
        <v>0</v>
      </c>
      <c r="G8773" t="s">
        <v>675</v>
      </c>
      <c r="H8773" t="s">
        <v>5434</v>
      </c>
      <c r="I8773" t="s">
        <v>7911</v>
      </c>
      <c r="J8773" t="s">
        <v>11425</v>
      </c>
      <c r="K8773" t="s">
        <v>15826</v>
      </c>
      <c r="L8773">
        <f>HYPERLINK("https://www2.assemblee-nationale.fr/sycomore/fiche/(num_dept)/3697", "3697")</f>
        <v>0</v>
      </c>
      <c r="N8773">
        <f>HYPERLINK("https://www.wikidata.org/wiki/Q2404053", "Q2404053")</f>
        <v>0</v>
      </c>
      <c r="O8773" t="s">
        <v>20135</v>
      </c>
    </row>
    <row r="8774" spans="1:15">
      <c r="A8774" t="s">
        <v>42</v>
      </c>
      <c r="B8774" t="s">
        <v>149</v>
      </c>
      <c r="C8774" t="s">
        <v>174</v>
      </c>
      <c r="D8774" t="s">
        <v>303</v>
      </c>
      <c r="E8774" t="s">
        <v>293</v>
      </c>
      <c r="F8774">
        <f>HYPERLINK("https://www.wikidata.org/wiki/Q3111893", "Q3111893")</f>
        <v>0</v>
      </c>
      <c r="G8774" t="s">
        <v>692</v>
      </c>
      <c r="H8774" t="s">
        <v>5450</v>
      </c>
      <c r="I8774" t="s">
        <v>9385</v>
      </c>
      <c r="J8774" t="s">
        <v>11442</v>
      </c>
      <c r="K8774" t="s">
        <v>15843</v>
      </c>
      <c r="L8774">
        <f>HYPERLINK("https://www2.assemblee-nationale.fr/sycomore/fiche/(num_dept)/4047", "4047")</f>
        <v>0</v>
      </c>
      <c r="M8774">
        <f>HYPERLINK("https://www.senat.fr/senateur-3eme-republique/jonnart_celestin0975r3.html", "jonnart_celestin0975r3")</f>
        <v>0</v>
      </c>
      <c r="N8774">
        <f>HYPERLINK("https://www.wikidata.org/wiki/Q212634", "Q212634")</f>
        <v>0</v>
      </c>
      <c r="O8774" t="s">
        <v>20062</v>
      </c>
    </row>
    <row r="8775" spans="1:15">
      <c r="A8775" t="s">
        <v>42</v>
      </c>
      <c r="B8775" t="s">
        <v>149</v>
      </c>
      <c r="C8775" t="s">
        <v>174</v>
      </c>
      <c r="D8775" t="s">
        <v>303</v>
      </c>
      <c r="E8775" t="s">
        <v>293</v>
      </c>
      <c r="F8775">
        <f>HYPERLINK("https://www.wikidata.org/wiki/Q3111893", "Q3111893")</f>
        <v>0</v>
      </c>
      <c r="G8775" t="s">
        <v>696</v>
      </c>
      <c r="H8775" t="s">
        <v>5454</v>
      </c>
      <c r="I8775" t="s">
        <v>9484</v>
      </c>
      <c r="J8775" t="s">
        <v>11446</v>
      </c>
      <c r="K8775" t="s">
        <v>15847</v>
      </c>
      <c r="L8775">
        <f>HYPERLINK("https://www2.assemblee-nationale.fr/sycomore/fiche/(num_dept)/4148", "4148")</f>
        <v>0</v>
      </c>
      <c r="M8775">
        <f>HYPERLINK("https://www.senat.fr/senateur-3eme-republique/klotz_louis1683r3.html", "klotz_louis1683r3")</f>
        <v>0</v>
      </c>
      <c r="N8775">
        <f>HYPERLINK("https://www.wikidata.org/wiki/Q179586", "Q179586")</f>
        <v>0</v>
      </c>
      <c r="O8775" t="s">
        <v>20066</v>
      </c>
    </row>
    <row r="8776" spans="1:15">
      <c r="A8776" t="s">
        <v>42</v>
      </c>
      <c r="B8776" t="s">
        <v>149</v>
      </c>
      <c r="C8776" t="s">
        <v>174</v>
      </c>
      <c r="D8776" t="s">
        <v>303</v>
      </c>
      <c r="E8776" t="s">
        <v>293</v>
      </c>
      <c r="F8776">
        <f>HYPERLINK("https://www.wikidata.org/wiki/Q3111893", "Q3111893")</f>
        <v>0</v>
      </c>
      <c r="G8776" t="s">
        <v>740</v>
      </c>
      <c r="H8776" t="s">
        <v>5498</v>
      </c>
      <c r="I8776" t="s">
        <v>9388</v>
      </c>
      <c r="J8776" t="s">
        <v>11489</v>
      </c>
      <c r="K8776" t="s">
        <v>15891</v>
      </c>
      <c r="L8776">
        <f>HYPERLINK("https://www2.assemblee-nationale.fr/sycomore/fiche/(num_dept)/5413", "5413")</f>
        <v>0</v>
      </c>
      <c r="N8776">
        <f>HYPERLINK("https://www.wikidata.org/wiki/Q3371866", "Q3371866")</f>
        <v>0</v>
      </c>
      <c r="O8776" t="s">
        <v>20109</v>
      </c>
    </row>
    <row r="8777" spans="1:15">
      <c r="A8777" t="s">
        <v>42</v>
      </c>
      <c r="B8777" t="s">
        <v>149</v>
      </c>
      <c r="C8777" t="s">
        <v>174</v>
      </c>
      <c r="D8777" t="s">
        <v>303</v>
      </c>
      <c r="E8777" t="s">
        <v>293</v>
      </c>
      <c r="F8777">
        <f>HYPERLINK("https://www.wikidata.org/wiki/Q3111893", "Q3111893")</f>
        <v>0</v>
      </c>
      <c r="G8777" t="s">
        <v>814</v>
      </c>
      <c r="H8777" t="s">
        <v>5571</v>
      </c>
      <c r="I8777" t="s">
        <v>9533</v>
      </c>
      <c r="J8777" t="s">
        <v>11561</v>
      </c>
      <c r="K8777" t="s">
        <v>15965</v>
      </c>
      <c r="L8777">
        <f>HYPERLINK("https://www2.assemblee-nationale.fr/sycomore/fiche/(num_dept)/6904", "6904")</f>
        <v>0</v>
      </c>
      <c r="M8777">
        <f>HYPERLINK("https://www.senat.fr/senateur-3eme-republique/steeg_theodore1554r3.html", "steeg_theodore1554r3")</f>
        <v>0</v>
      </c>
      <c r="N8777">
        <f>HYPERLINK("https://www.wikidata.org/wiki/Q717905", "Q717905")</f>
        <v>0</v>
      </c>
      <c r="O8777" t="s">
        <v>20051</v>
      </c>
    </row>
    <row r="8778" spans="1:15">
      <c r="A8778" t="s">
        <v>42</v>
      </c>
      <c r="B8778" t="s">
        <v>149</v>
      </c>
      <c r="C8778" t="s">
        <v>174</v>
      </c>
      <c r="D8778" t="s">
        <v>303</v>
      </c>
      <c r="E8778" t="s">
        <v>293</v>
      </c>
      <c r="F8778">
        <f>HYPERLINK("https://www.wikidata.org/wiki/Q3111893", "Q3111893")</f>
        <v>0</v>
      </c>
      <c r="G8778" t="s">
        <v>4225</v>
      </c>
      <c r="H8778" t="s">
        <v>5498</v>
      </c>
      <c r="I8778" t="s">
        <v>6200</v>
      </c>
      <c r="J8778" t="s">
        <v>11488</v>
      </c>
      <c r="K8778" t="s">
        <v>15890</v>
      </c>
      <c r="N8778">
        <f>HYPERLINK("https://www.wikidata.org/wiki/Q2947187", "Q2947187")</f>
        <v>0</v>
      </c>
      <c r="O8778" t="s">
        <v>20065</v>
      </c>
    </row>
    <row r="8779" spans="1:15">
      <c r="A8779" t="s">
        <v>42</v>
      </c>
      <c r="B8779" t="s">
        <v>149</v>
      </c>
      <c r="C8779" t="s">
        <v>174</v>
      </c>
      <c r="D8779" t="s">
        <v>303</v>
      </c>
      <c r="E8779" t="s">
        <v>293</v>
      </c>
      <c r="F8779">
        <f>HYPERLINK("https://www.wikidata.org/wiki/Q3111893", "Q3111893")</f>
        <v>0</v>
      </c>
      <c r="G8779" t="s">
        <v>4240</v>
      </c>
      <c r="H8779" t="s">
        <v>5387</v>
      </c>
      <c r="I8779" t="s">
        <v>6200</v>
      </c>
      <c r="J8779" t="s">
        <v>14747</v>
      </c>
      <c r="K8779" t="s">
        <v>19092</v>
      </c>
      <c r="N8779">
        <f>HYPERLINK("https://www.wikidata.org/wiki/Q3171879", "Q3171879")</f>
        <v>0</v>
      </c>
      <c r="O8779" t="s">
        <v>20063</v>
      </c>
    </row>
    <row r="8780" spans="1:15">
      <c r="A8780" t="s">
        <v>42</v>
      </c>
      <c r="B8780" t="s">
        <v>149</v>
      </c>
      <c r="C8780" t="s">
        <v>174</v>
      </c>
      <c r="D8780" t="s">
        <v>303</v>
      </c>
      <c r="E8780" t="s">
        <v>293</v>
      </c>
      <c r="F8780">
        <f>HYPERLINK("https://www.wikidata.org/wiki/Q3111893", "Q3111893")</f>
        <v>0</v>
      </c>
      <c r="G8780" t="s">
        <v>522</v>
      </c>
      <c r="H8780" t="s">
        <v>5286</v>
      </c>
      <c r="I8780" t="s">
        <v>5528</v>
      </c>
      <c r="J8780" t="s">
        <v>11274</v>
      </c>
      <c r="K8780" t="s">
        <v>19078</v>
      </c>
      <c r="N8780">
        <f>HYPERLINK("https://www.wikidata.org/wiki/Q18384890", "Q18384890")</f>
        <v>0</v>
      </c>
      <c r="O8780" t="s">
        <v>20067</v>
      </c>
    </row>
    <row r="8781" spans="1:15">
      <c r="A8781" t="s">
        <v>43</v>
      </c>
      <c r="B8781" t="s">
        <v>149</v>
      </c>
      <c r="C8781" t="s">
        <v>175</v>
      </c>
      <c r="D8781" t="s">
        <v>304</v>
      </c>
      <c r="E8781" t="s">
        <v>305</v>
      </c>
      <c r="F8781">
        <f>HYPERLINK("https://www.wikidata.org/wiki/Q3111895", "Q3111895")</f>
        <v>0</v>
      </c>
      <c r="G8781" t="s">
        <v>875</v>
      </c>
      <c r="H8781" t="s">
        <v>5631</v>
      </c>
      <c r="I8781" t="s">
        <v>9476</v>
      </c>
      <c r="J8781" t="s">
        <v>11621</v>
      </c>
      <c r="K8781" t="s">
        <v>16023</v>
      </c>
      <c r="L8781">
        <f>HYPERLINK("https://www2.assemblee-nationale.fr/sycomore/fiche/(num_dept)/749", "749")</f>
        <v>0</v>
      </c>
      <c r="M8781">
        <f>HYPERLINK("https://www.senat.fr/senateur-3eme-republique/besnard_rene0300r3.html", "besnard_rene0300r3")</f>
        <v>0</v>
      </c>
      <c r="N8781">
        <f>HYPERLINK("https://www.wikidata.org/wiki/Q3425839", "Q3425839")</f>
        <v>0</v>
      </c>
      <c r="O8781" t="s">
        <v>20144</v>
      </c>
    </row>
    <row r="8782" spans="1:15">
      <c r="A8782" t="s">
        <v>43</v>
      </c>
      <c r="B8782" t="s">
        <v>149</v>
      </c>
      <c r="C8782" t="s">
        <v>175</v>
      </c>
      <c r="D8782" t="s">
        <v>304</v>
      </c>
      <c r="E8782" t="s">
        <v>305</v>
      </c>
      <c r="F8782">
        <f>HYPERLINK("https://www.wikidata.org/wiki/Q3111895", "Q3111895")</f>
        <v>0</v>
      </c>
      <c r="G8782" t="s">
        <v>3373</v>
      </c>
      <c r="H8782" t="s">
        <v>7083</v>
      </c>
      <c r="I8782" t="s">
        <v>5528</v>
      </c>
      <c r="J8782" t="s">
        <v>13985</v>
      </c>
      <c r="K8782" t="s">
        <v>18353</v>
      </c>
      <c r="L8782">
        <f>HYPERLINK("https://www2.assemblee-nationale.fr/sycomore/fiche/(num_dept)/1083", "1083")</f>
        <v>0</v>
      </c>
      <c r="M8782">
        <f>HYPERLINK("https://www.senat.fr/senateur-3eme-republique/bourgeois_leon0647r3.html", "bourgeois_leon0647r3")</f>
        <v>0</v>
      </c>
      <c r="N8782">
        <f>HYPERLINK("https://www.wikidata.org/wiki/Q217706", "Q217706")</f>
        <v>0</v>
      </c>
      <c r="O8782" t="s">
        <v>20077</v>
      </c>
    </row>
    <row r="8783" spans="1:15">
      <c r="A8783" t="s">
        <v>43</v>
      </c>
      <c r="B8783" t="s">
        <v>149</v>
      </c>
      <c r="C8783" t="s">
        <v>175</v>
      </c>
      <c r="D8783" t="s">
        <v>304</v>
      </c>
      <c r="E8783" t="s">
        <v>305</v>
      </c>
      <c r="F8783">
        <f>HYPERLINK("https://www.wikidata.org/wiki/Q3111895", "Q3111895")</f>
        <v>0</v>
      </c>
      <c r="G8783" t="s">
        <v>553</v>
      </c>
      <c r="H8783" t="s">
        <v>5316</v>
      </c>
      <c r="I8783" t="s">
        <v>9411</v>
      </c>
      <c r="J8783" t="s">
        <v>11304</v>
      </c>
      <c r="K8783" t="s">
        <v>15705</v>
      </c>
      <c r="L8783">
        <f>HYPERLINK("https://www2.assemblee-nationale.fr/sycomore/fiche/(num_dept)/1211", "1211")</f>
        <v>0</v>
      </c>
      <c r="N8783">
        <f>HYPERLINK("https://www.wikidata.org/wiki/Q179888", "Q179888")</f>
        <v>0</v>
      </c>
      <c r="O8783" t="s">
        <v>20062</v>
      </c>
    </row>
    <row r="8784" spans="1:15">
      <c r="A8784" t="s">
        <v>43</v>
      </c>
      <c r="B8784" t="s">
        <v>149</v>
      </c>
      <c r="C8784" t="s">
        <v>175</v>
      </c>
      <c r="D8784" t="s">
        <v>304</v>
      </c>
      <c r="E8784" t="s">
        <v>305</v>
      </c>
      <c r="F8784">
        <f>HYPERLINK("https://www.wikidata.org/wiki/Q3111895", "Q3111895")</f>
        <v>0</v>
      </c>
      <c r="G8784" t="s">
        <v>553</v>
      </c>
      <c r="H8784" t="s">
        <v>5316</v>
      </c>
      <c r="I8784" t="s">
        <v>9411</v>
      </c>
      <c r="J8784" t="s">
        <v>11304</v>
      </c>
      <c r="K8784" t="s">
        <v>15705</v>
      </c>
      <c r="L8784">
        <f>HYPERLINK("https://www2.assemblee-nationale.fr/sycomore/fiche/(num_dept)/1211", "1211")</f>
        <v>0</v>
      </c>
      <c r="N8784">
        <f>HYPERLINK("https://www.wikidata.org/wiki/Q179888", "Q179888")</f>
        <v>0</v>
      </c>
      <c r="O8784" t="s">
        <v>20052</v>
      </c>
    </row>
    <row r="8785" spans="1:15">
      <c r="A8785" t="s">
        <v>43</v>
      </c>
      <c r="B8785" t="s">
        <v>149</v>
      </c>
      <c r="C8785" t="s">
        <v>175</v>
      </c>
      <c r="D8785" t="s">
        <v>304</v>
      </c>
      <c r="E8785" t="s">
        <v>305</v>
      </c>
      <c r="F8785">
        <f>HYPERLINK("https://www.wikidata.org/wiki/Q3111895", "Q3111895")</f>
        <v>0</v>
      </c>
      <c r="G8785" t="s">
        <v>579</v>
      </c>
      <c r="H8785" t="s">
        <v>5341</v>
      </c>
      <c r="I8785" t="s">
        <v>5394</v>
      </c>
      <c r="J8785" t="s">
        <v>11330</v>
      </c>
      <c r="K8785" t="s">
        <v>15731</v>
      </c>
      <c r="L8785">
        <f>HYPERLINK("https://www2.assemblee-nationale.fr/sycomore/fiche/(num_dept)/1849", "1849")</f>
        <v>0</v>
      </c>
      <c r="M8785">
        <f>HYPERLINK("https://www.senat.fr/senateur-3eme-republique/clementel_etienne1006r3.html", "clementel_etienne1006r3")</f>
        <v>0</v>
      </c>
      <c r="N8785">
        <f>HYPERLINK("https://www.wikidata.org/wiki/Q3592114", "Q3592114")</f>
        <v>0</v>
      </c>
      <c r="O8785" t="s">
        <v>20059</v>
      </c>
    </row>
    <row r="8786" spans="1:15">
      <c r="A8786" t="s">
        <v>43</v>
      </c>
      <c r="B8786" t="s">
        <v>149</v>
      </c>
      <c r="C8786" t="s">
        <v>175</v>
      </c>
      <c r="D8786" t="s">
        <v>304</v>
      </c>
      <c r="E8786" t="s">
        <v>305</v>
      </c>
      <c r="F8786">
        <f>HYPERLINK("https://www.wikidata.org/wiki/Q3111895", "Q3111895")</f>
        <v>0</v>
      </c>
      <c r="G8786" t="s">
        <v>583</v>
      </c>
      <c r="H8786" t="s">
        <v>5345</v>
      </c>
      <c r="I8786" t="s">
        <v>9432</v>
      </c>
      <c r="J8786" t="s">
        <v>11334</v>
      </c>
      <c r="K8786" t="s">
        <v>15735</v>
      </c>
      <c r="L8786">
        <f>HYPERLINK("https://www2.assemblee-nationale.fr/sycomore/fiche/(num_dept)/1874", "1874")</f>
        <v>0</v>
      </c>
      <c r="N8786">
        <f>HYPERLINK("https://www.wikidata.org/wiki/Q3023401", "Q3023401")</f>
        <v>0</v>
      </c>
      <c r="O8786" t="s">
        <v>20077</v>
      </c>
    </row>
    <row r="8787" spans="1:15">
      <c r="A8787" t="s">
        <v>43</v>
      </c>
      <c r="B8787" t="s">
        <v>149</v>
      </c>
      <c r="C8787" t="s">
        <v>175</v>
      </c>
      <c r="D8787" t="s">
        <v>304</v>
      </c>
      <c r="E8787" t="s">
        <v>305</v>
      </c>
      <c r="F8787">
        <f>HYPERLINK("https://www.wikidata.org/wiki/Q3111895", "Q3111895")</f>
        <v>0</v>
      </c>
      <c r="G8787" t="s">
        <v>597</v>
      </c>
      <c r="H8787" t="s">
        <v>5358</v>
      </c>
      <c r="I8787" t="s">
        <v>6584</v>
      </c>
      <c r="J8787" t="s">
        <v>11348</v>
      </c>
      <c r="K8787" t="s">
        <v>15749</v>
      </c>
      <c r="L8787">
        <f>HYPERLINK("https://www2.assemblee-nationale.fr/sycomore/fiche/(num_dept)/2110", "2110")</f>
        <v>0</v>
      </c>
      <c r="N8787">
        <f>HYPERLINK("https://www.wikidata.org/wiki/Q2831073", "Q2831073")</f>
        <v>0</v>
      </c>
      <c r="O8787" t="s">
        <v>20145</v>
      </c>
    </row>
    <row r="8788" spans="1:15">
      <c r="A8788" t="s">
        <v>43</v>
      </c>
      <c r="B8788" t="s">
        <v>149</v>
      </c>
      <c r="C8788" t="s">
        <v>175</v>
      </c>
      <c r="D8788" t="s">
        <v>304</v>
      </c>
      <c r="E8788" t="s">
        <v>305</v>
      </c>
      <c r="F8788">
        <f>HYPERLINK("https://www.wikidata.org/wiki/Q3111895", "Q3111895")</f>
        <v>0</v>
      </c>
      <c r="G8788" t="s">
        <v>3819</v>
      </c>
      <c r="H8788" t="s">
        <v>8103</v>
      </c>
      <c r="I8788" t="s">
        <v>9470</v>
      </c>
      <c r="J8788" t="s">
        <v>14385</v>
      </c>
      <c r="K8788" t="s">
        <v>18737</v>
      </c>
      <c r="L8788">
        <f>HYPERLINK("https://www2.assemblee-nationale.fr/sycomore/fiche/(num_dept)/2570", "2570")</f>
        <v>0</v>
      </c>
      <c r="M8788">
        <f>HYPERLINK("https://www.senat.fr/senateur-3eme-republique/doumergue_gaston0833r3.html", "doumergue_gaston0833r3")</f>
        <v>0</v>
      </c>
      <c r="N8788">
        <f>HYPERLINK("https://www.wikidata.org/wiki/Q296064", "Q296064")</f>
        <v>0</v>
      </c>
      <c r="O8788" t="s">
        <v>20065</v>
      </c>
    </row>
    <row r="8789" spans="1:15">
      <c r="A8789" t="s">
        <v>43</v>
      </c>
      <c r="B8789" t="s">
        <v>149</v>
      </c>
      <c r="C8789" t="s">
        <v>175</v>
      </c>
      <c r="D8789" t="s">
        <v>304</v>
      </c>
      <c r="E8789" t="s">
        <v>305</v>
      </c>
      <c r="F8789">
        <f>HYPERLINK("https://www.wikidata.org/wiki/Q3111895", "Q3111895")</f>
        <v>0</v>
      </c>
      <c r="G8789" t="s">
        <v>966</v>
      </c>
      <c r="H8789" t="s">
        <v>5718</v>
      </c>
      <c r="I8789" t="s">
        <v>9605</v>
      </c>
      <c r="J8789" t="s">
        <v>11705</v>
      </c>
      <c r="K8789" t="s">
        <v>16108</v>
      </c>
      <c r="L8789">
        <f>HYPERLINK("https://www2.assemblee-nationale.fr/sycomore/fiche/(num_dept)/3460", "3460")</f>
        <v>0</v>
      </c>
      <c r="M8789">
        <f>HYPERLINK("https://www.senat.fr/senateur-3eme-republique/godart_justin1138r3.html", "godart_justin1138r3")</f>
        <v>0</v>
      </c>
      <c r="N8789">
        <f>HYPERLINK("https://www.wikidata.org/wiki/Q3190446", "Q3190446")</f>
        <v>0</v>
      </c>
      <c r="O8789" t="s">
        <v>20146</v>
      </c>
    </row>
    <row r="8790" spans="1:15">
      <c r="A8790" t="s">
        <v>43</v>
      </c>
      <c r="B8790" t="s">
        <v>149</v>
      </c>
      <c r="C8790" t="s">
        <v>175</v>
      </c>
      <c r="D8790" t="s">
        <v>304</v>
      </c>
      <c r="E8790" t="s">
        <v>305</v>
      </c>
      <c r="F8790">
        <f>HYPERLINK("https://www.wikidata.org/wiki/Q3111895", "Q3111895")</f>
        <v>0</v>
      </c>
      <c r="G8790" t="s">
        <v>673</v>
      </c>
      <c r="H8790" t="s">
        <v>5432</v>
      </c>
      <c r="I8790" t="s">
        <v>9449</v>
      </c>
      <c r="J8790" t="s">
        <v>11423</v>
      </c>
      <c r="K8790" t="s">
        <v>15824</v>
      </c>
      <c r="L8790">
        <f>HYPERLINK("https://www2.assemblee-nationale.fr/sycomore/fiche/(num_dept)/3638", "3638")</f>
        <v>0</v>
      </c>
      <c r="N8790">
        <f>HYPERLINK("https://www.wikidata.org/wiki/Q379699", "Q379699")</f>
        <v>0</v>
      </c>
      <c r="O8790" t="s">
        <v>20077</v>
      </c>
    </row>
    <row r="8791" spans="1:15">
      <c r="A8791" t="s">
        <v>43</v>
      </c>
      <c r="B8791" t="s">
        <v>149</v>
      </c>
      <c r="C8791" t="s">
        <v>175</v>
      </c>
      <c r="D8791" t="s">
        <v>304</v>
      </c>
      <c r="E8791" t="s">
        <v>305</v>
      </c>
      <c r="F8791">
        <f>HYPERLINK("https://www.wikidata.org/wiki/Q3111895", "Q3111895")</f>
        <v>0</v>
      </c>
      <c r="G8791" t="s">
        <v>721</v>
      </c>
      <c r="H8791" t="s">
        <v>5479</v>
      </c>
      <c r="I8791" t="s">
        <v>6495</v>
      </c>
      <c r="J8791" t="s">
        <v>11470</v>
      </c>
      <c r="K8791" t="s">
        <v>15872</v>
      </c>
      <c r="L8791">
        <f>HYPERLINK("https://www2.assemblee-nationale.fr/sycomore/fiche/(num_dept)/4940", "4940")</f>
        <v>0</v>
      </c>
      <c r="N8791">
        <f>HYPERLINK("https://www.wikidata.org/wiki/Q3262600", "Q3262600")</f>
        <v>0</v>
      </c>
      <c r="O8791" t="s">
        <v>20058</v>
      </c>
    </row>
    <row r="8792" spans="1:15">
      <c r="A8792" t="s">
        <v>43</v>
      </c>
      <c r="B8792" t="s">
        <v>149</v>
      </c>
      <c r="C8792" t="s">
        <v>175</v>
      </c>
      <c r="D8792" t="s">
        <v>304</v>
      </c>
      <c r="E8792" t="s">
        <v>305</v>
      </c>
      <c r="F8792">
        <f>HYPERLINK("https://www.wikidata.org/wiki/Q3111895", "Q3111895")</f>
        <v>0</v>
      </c>
      <c r="G8792" t="s">
        <v>2629</v>
      </c>
      <c r="H8792" t="s">
        <v>7175</v>
      </c>
      <c r="I8792" t="s">
        <v>9449</v>
      </c>
      <c r="J8792" t="s">
        <v>13271</v>
      </c>
      <c r="K8792" t="s">
        <v>17673</v>
      </c>
      <c r="L8792">
        <f>HYPERLINK("https://www2.assemblee-nationale.fr/sycomore/fiche/(num_dept)/5168", "5168")</f>
        <v>0</v>
      </c>
      <c r="M8792">
        <f>HYPERLINK("https://www.senat.fr/senateur-3eme-republique/meline_jules1799r3.html", "meline_jules1799r3")</f>
        <v>0</v>
      </c>
      <c r="N8792">
        <f>HYPERLINK("https://www.wikidata.org/wiki/Q459914", "Q459914")</f>
        <v>0</v>
      </c>
      <c r="O8792" t="s">
        <v>20056</v>
      </c>
    </row>
    <row r="8793" spans="1:15">
      <c r="A8793" t="s">
        <v>43</v>
      </c>
      <c r="B8793" t="s">
        <v>149</v>
      </c>
      <c r="C8793" t="s">
        <v>175</v>
      </c>
      <c r="D8793" t="s">
        <v>304</v>
      </c>
      <c r="E8793" t="s">
        <v>305</v>
      </c>
      <c r="F8793">
        <f>HYPERLINK("https://www.wikidata.org/wiki/Q3111895", "Q3111895")</f>
        <v>0</v>
      </c>
      <c r="G8793" t="s">
        <v>730</v>
      </c>
      <c r="H8793" t="s">
        <v>5488</v>
      </c>
      <c r="I8793" t="s">
        <v>6584</v>
      </c>
      <c r="J8793" t="s">
        <v>11479</v>
      </c>
      <c r="K8793" t="s">
        <v>15881</v>
      </c>
      <c r="L8793">
        <f>HYPERLINK("https://www2.assemblee-nationale.fr/sycomore/fiche/(num_dept)/5228", "5228")</f>
        <v>0</v>
      </c>
      <c r="N8793">
        <f>HYPERLINK("https://www.wikidata.org/wiki/Q2831425", "Q2831425")</f>
        <v>0</v>
      </c>
      <c r="O8793" t="s">
        <v>20055</v>
      </c>
    </row>
    <row r="8794" spans="1:15">
      <c r="A8794" t="s">
        <v>43</v>
      </c>
      <c r="B8794" t="s">
        <v>149</v>
      </c>
      <c r="C8794" t="s">
        <v>175</v>
      </c>
      <c r="D8794" t="s">
        <v>304</v>
      </c>
      <c r="E8794" t="s">
        <v>305</v>
      </c>
      <c r="F8794">
        <f>HYPERLINK("https://www.wikidata.org/wiki/Q3111895", "Q3111895")</f>
        <v>0</v>
      </c>
      <c r="G8794" t="s">
        <v>1013</v>
      </c>
      <c r="H8794" t="s">
        <v>5763</v>
      </c>
      <c r="I8794" t="s">
        <v>6495</v>
      </c>
      <c r="J8794" t="s">
        <v>11750</v>
      </c>
      <c r="K8794" t="s">
        <v>16153</v>
      </c>
      <c r="L8794">
        <f>HYPERLINK("https://www2.assemblee-nationale.fr/sycomore/fiche/(num_dept)/5502", "5502")</f>
        <v>0</v>
      </c>
      <c r="N8794">
        <f>HYPERLINK("https://www.wikidata.org/wiki/Q3262775", "Q3262775")</f>
        <v>0</v>
      </c>
      <c r="O8794" t="s">
        <v>20147</v>
      </c>
    </row>
    <row r="8795" spans="1:15">
      <c r="A8795" t="s">
        <v>43</v>
      </c>
      <c r="B8795" t="s">
        <v>149</v>
      </c>
      <c r="C8795" t="s">
        <v>175</v>
      </c>
      <c r="D8795" t="s">
        <v>304</v>
      </c>
      <c r="E8795" t="s">
        <v>305</v>
      </c>
      <c r="F8795">
        <f>HYPERLINK("https://www.wikidata.org/wiki/Q3111895", "Q3111895")</f>
        <v>0</v>
      </c>
      <c r="G8795" t="s">
        <v>1017</v>
      </c>
      <c r="H8795" t="s">
        <v>5767</v>
      </c>
      <c r="I8795" t="s">
        <v>9388</v>
      </c>
      <c r="J8795" t="s">
        <v>11754</v>
      </c>
      <c r="K8795" t="s">
        <v>16157</v>
      </c>
      <c r="L8795">
        <f>HYPERLINK("https://www2.assemblee-nationale.fr/sycomore/fiche/(num_dept)/5653", "5653")</f>
        <v>0</v>
      </c>
      <c r="N8795">
        <f>HYPERLINK("https://www.wikidata.org/wiki/Q315434", "Q315434")</f>
        <v>0</v>
      </c>
      <c r="O8795" t="s">
        <v>20051</v>
      </c>
    </row>
    <row r="8796" spans="1:15">
      <c r="A8796" t="s">
        <v>43</v>
      </c>
      <c r="B8796" t="s">
        <v>149</v>
      </c>
      <c r="C8796" t="s">
        <v>175</v>
      </c>
      <c r="D8796" t="s">
        <v>304</v>
      </c>
      <c r="E8796" t="s">
        <v>305</v>
      </c>
      <c r="F8796">
        <f>HYPERLINK("https://www.wikidata.org/wiki/Q3111895", "Q3111895")</f>
        <v>0</v>
      </c>
      <c r="G8796" t="s">
        <v>786</v>
      </c>
      <c r="H8796" t="s">
        <v>5543</v>
      </c>
      <c r="I8796" t="s">
        <v>9523</v>
      </c>
      <c r="J8796" t="s">
        <v>11533</v>
      </c>
      <c r="K8796" t="s">
        <v>15937</v>
      </c>
      <c r="L8796">
        <f>HYPERLINK("https://www2.assemblee-nationale.fr/sycomore/fiche/(num_dept)/6379", "6379")</f>
        <v>0</v>
      </c>
      <c r="N8796">
        <f>HYPERLINK("https://www.wikidata.org/wiki/Q2019775", "Q2019775")</f>
        <v>0</v>
      </c>
      <c r="O8796" t="s">
        <v>20063</v>
      </c>
    </row>
    <row r="8797" spans="1:15">
      <c r="A8797" t="s">
        <v>43</v>
      </c>
      <c r="B8797" t="s">
        <v>149</v>
      </c>
      <c r="C8797" t="s">
        <v>175</v>
      </c>
      <c r="D8797" t="s">
        <v>304</v>
      </c>
      <c r="E8797" t="s">
        <v>305</v>
      </c>
      <c r="F8797">
        <f>HYPERLINK("https://www.wikidata.org/wiki/Q3111895", "Q3111895")</f>
        <v>0</v>
      </c>
      <c r="G8797" t="s">
        <v>2671</v>
      </c>
      <c r="H8797" t="s">
        <v>7208</v>
      </c>
      <c r="I8797" t="s">
        <v>9553</v>
      </c>
      <c r="J8797" t="s">
        <v>13312</v>
      </c>
      <c r="K8797" t="s">
        <v>17712</v>
      </c>
      <c r="L8797">
        <f>HYPERLINK("https://www2.assemblee-nationale.fr/sycomore/fiche/(num_dept)/6727", "6727")</f>
        <v>0</v>
      </c>
      <c r="M8797">
        <f>HYPERLINK("https://www.senat.fr/senateur-3eme-republique/ribot_alexandre0941r3.html", "ribot_alexandre0941r3")</f>
        <v>0</v>
      </c>
      <c r="N8797">
        <f>HYPERLINK("https://www.wikidata.org/wiki/Q358387", "Q358387")</f>
        <v>0</v>
      </c>
      <c r="O8797" t="s">
        <v>20066</v>
      </c>
    </row>
    <row r="8798" spans="1:15">
      <c r="A8798" t="s">
        <v>43</v>
      </c>
      <c r="B8798" t="s">
        <v>149</v>
      </c>
      <c r="C8798" t="s">
        <v>175</v>
      </c>
      <c r="D8798" t="s">
        <v>304</v>
      </c>
      <c r="E8798" t="s">
        <v>305</v>
      </c>
      <c r="F8798">
        <f>HYPERLINK("https://www.wikidata.org/wiki/Q3111895", "Q3111895")</f>
        <v>0</v>
      </c>
      <c r="G8798" t="s">
        <v>817</v>
      </c>
      <c r="H8798" t="s">
        <v>5574</v>
      </c>
      <c r="I8798" t="s">
        <v>9407</v>
      </c>
      <c r="J8798" t="s">
        <v>11564</v>
      </c>
      <c r="K8798" t="s">
        <v>15968</v>
      </c>
      <c r="L8798">
        <f>HYPERLINK("https://www2.assemblee-nationale.fr/sycomore/fiche/(num_dept)/7030", "7030")</f>
        <v>0</v>
      </c>
      <c r="N8798">
        <f>HYPERLINK("https://www.wikidata.org/wiki/Q3185677", "Q3185677")</f>
        <v>0</v>
      </c>
      <c r="O8798" t="s">
        <v>20148</v>
      </c>
    </row>
    <row r="8799" spans="1:15">
      <c r="A8799" t="s">
        <v>43</v>
      </c>
      <c r="B8799" t="s">
        <v>149</v>
      </c>
      <c r="C8799" t="s">
        <v>175</v>
      </c>
      <c r="D8799" t="s">
        <v>304</v>
      </c>
      <c r="E8799" t="s">
        <v>305</v>
      </c>
      <c r="F8799">
        <f>HYPERLINK("https://www.wikidata.org/wiki/Q3111895", "Q3111895")</f>
        <v>0</v>
      </c>
      <c r="G8799" t="s">
        <v>827</v>
      </c>
      <c r="H8799" t="s">
        <v>5584</v>
      </c>
      <c r="I8799" t="s">
        <v>9476</v>
      </c>
      <c r="J8799" t="s">
        <v>11574</v>
      </c>
      <c r="K8799" t="s">
        <v>15976</v>
      </c>
      <c r="L8799">
        <f>HYPERLINK("https://www2.assemblee-nationale.fr/sycomore/fiche/(num_dept)/7368", "7368")</f>
        <v>0</v>
      </c>
      <c r="M8799">
        <f>HYPERLINK("https://www.senat.fr/senateur-3eme-republique/viviani_rene0627r3.html", "viviani_rene0627r3")</f>
        <v>0</v>
      </c>
      <c r="N8799">
        <f>HYPERLINK("https://www.wikidata.org/wiki/Q431074", "Q431074")</f>
        <v>0</v>
      </c>
      <c r="O8799" t="s">
        <v>20064</v>
      </c>
    </row>
    <row r="8800" spans="1:15">
      <c r="A8800" t="s">
        <v>43</v>
      </c>
      <c r="B8800" t="s">
        <v>149</v>
      </c>
      <c r="C8800" t="s">
        <v>175</v>
      </c>
      <c r="D8800" t="s">
        <v>304</v>
      </c>
      <c r="E8800" t="s">
        <v>305</v>
      </c>
      <c r="F8800">
        <f>HYPERLINK("https://www.wikidata.org/wiki/Q3111895", "Q3111895")</f>
        <v>0</v>
      </c>
      <c r="G8800" t="s">
        <v>827</v>
      </c>
      <c r="H8800" t="s">
        <v>5584</v>
      </c>
      <c r="I8800" t="s">
        <v>9476</v>
      </c>
      <c r="J8800" t="s">
        <v>11574</v>
      </c>
      <c r="K8800" t="s">
        <v>15976</v>
      </c>
      <c r="L8800">
        <f>HYPERLINK("https://www2.assemblee-nationale.fr/sycomore/fiche/(num_dept)/7368", "7368")</f>
        <v>0</v>
      </c>
      <c r="M8800">
        <f>HYPERLINK("https://www.senat.fr/senateur-3eme-republique/viviani_rene0627r3.html", "viviani_rene0627r3")</f>
        <v>0</v>
      </c>
      <c r="N8800">
        <f>HYPERLINK("https://www.wikidata.org/wiki/Q431074", "Q431074")</f>
        <v>0</v>
      </c>
      <c r="O8800" t="s">
        <v>20149</v>
      </c>
    </row>
    <row r="8801" spans="1:15">
      <c r="A8801" t="s">
        <v>43</v>
      </c>
      <c r="B8801" t="s">
        <v>149</v>
      </c>
      <c r="C8801" t="s">
        <v>175</v>
      </c>
      <c r="D8801" t="s">
        <v>304</v>
      </c>
      <c r="E8801" t="s">
        <v>305</v>
      </c>
      <c r="F8801">
        <f>HYPERLINK("https://www.wikidata.org/wiki/Q3111895", "Q3111895")</f>
        <v>0</v>
      </c>
      <c r="G8801" t="s">
        <v>4236</v>
      </c>
      <c r="H8801" t="s">
        <v>8413</v>
      </c>
      <c r="I8801" t="s">
        <v>9437</v>
      </c>
      <c r="J8801" t="s">
        <v>14743</v>
      </c>
      <c r="K8801" t="s">
        <v>19088</v>
      </c>
      <c r="M8801">
        <f>HYPERLINK("https://www.senat.fr/senateur-3eme-republique/combes_emile0416r3.html", "combes_emile0416r3")</f>
        <v>0</v>
      </c>
      <c r="N8801">
        <f>HYPERLINK("https://www.wikidata.org/wiki/Q275020", "Q275020")</f>
        <v>0</v>
      </c>
      <c r="O8801" t="s">
        <v>20077</v>
      </c>
    </row>
    <row r="8802" spans="1:15">
      <c r="A8802" t="s">
        <v>43</v>
      </c>
      <c r="B8802" t="s">
        <v>149</v>
      </c>
      <c r="C8802" t="s">
        <v>175</v>
      </c>
      <c r="D8802" t="s">
        <v>304</v>
      </c>
      <c r="E8802" t="s">
        <v>305</v>
      </c>
      <c r="F8802">
        <f>HYPERLINK("https://www.wikidata.org/wiki/Q3111895", "Q3111895")</f>
        <v>0</v>
      </c>
      <c r="G8802" t="s">
        <v>4245</v>
      </c>
      <c r="H8802" t="s">
        <v>8418</v>
      </c>
      <c r="I8802" t="s">
        <v>9385</v>
      </c>
      <c r="J8802" t="s">
        <v>14751</v>
      </c>
      <c r="K8802" t="s">
        <v>19097</v>
      </c>
      <c r="M8802">
        <f>HYPERLINK("https://www.senat.fr/senateur-3eme-republique/de_saulces_de_freycinet_louis1713r3.html", "de_saulces_de_freycinet_louis1713r3")</f>
        <v>0</v>
      </c>
      <c r="N8802">
        <f>HYPERLINK("https://www.wikidata.org/wiki/Q317957", "Q317957")</f>
        <v>0</v>
      </c>
      <c r="O8802" t="s">
        <v>20077</v>
      </c>
    </row>
    <row r="8803" spans="1:15">
      <c r="A8803" t="s">
        <v>43</v>
      </c>
      <c r="B8803" t="s">
        <v>149</v>
      </c>
      <c r="C8803" t="s">
        <v>175</v>
      </c>
      <c r="D8803" t="s">
        <v>304</v>
      </c>
      <c r="E8803" t="s">
        <v>305</v>
      </c>
      <c r="F8803">
        <f>HYPERLINK("https://www.wikidata.org/wiki/Q3111895", "Q3111895")</f>
        <v>0</v>
      </c>
      <c r="G8803" t="s">
        <v>4246</v>
      </c>
      <c r="H8803" t="s">
        <v>8419</v>
      </c>
      <c r="I8803" t="s">
        <v>9407</v>
      </c>
      <c r="J8803" t="s">
        <v>14745</v>
      </c>
      <c r="K8803" t="s">
        <v>19098</v>
      </c>
      <c r="N8803">
        <f>HYPERLINK("https://www.wikidata.org/wiki/Q17577", "Q17577")</f>
        <v>0</v>
      </c>
      <c r="O8803" t="s">
        <v>20057</v>
      </c>
    </row>
    <row r="8804" spans="1:15">
      <c r="A8804" t="s">
        <v>43</v>
      </c>
      <c r="B8804" t="s">
        <v>149</v>
      </c>
      <c r="C8804" t="s">
        <v>175</v>
      </c>
      <c r="D8804" t="s">
        <v>304</v>
      </c>
      <c r="E8804" t="s">
        <v>305</v>
      </c>
      <c r="F8804">
        <f>HYPERLINK("https://www.wikidata.org/wiki/Q3111895", "Q3111895")</f>
        <v>0</v>
      </c>
      <c r="G8804" t="s">
        <v>4247</v>
      </c>
      <c r="H8804" t="s">
        <v>6272</v>
      </c>
      <c r="I8804" t="s">
        <v>6860</v>
      </c>
      <c r="J8804" t="s">
        <v>14752</v>
      </c>
      <c r="K8804" t="s">
        <v>19099</v>
      </c>
      <c r="N8804">
        <f>HYPERLINK("https://www.wikidata.org/wiki/Q752089", "Q752089")</f>
        <v>0</v>
      </c>
      <c r="O8804" t="s">
        <v>20057</v>
      </c>
    </row>
    <row r="8805" spans="1:15">
      <c r="A8805" t="s">
        <v>43</v>
      </c>
      <c r="B8805" t="s">
        <v>149</v>
      </c>
      <c r="C8805" t="s">
        <v>175</v>
      </c>
      <c r="D8805" t="s">
        <v>304</v>
      </c>
      <c r="E8805" t="s">
        <v>305</v>
      </c>
      <c r="F8805">
        <f>HYPERLINK("https://www.wikidata.org/wiki/Q3111895", "Q3111895")</f>
        <v>0</v>
      </c>
      <c r="G8805" t="s">
        <v>4248</v>
      </c>
      <c r="H8805" t="s">
        <v>7371</v>
      </c>
      <c r="I8805" t="s">
        <v>9455</v>
      </c>
      <c r="J8805" t="s">
        <v>14753</v>
      </c>
      <c r="K8805" t="s">
        <v>19100</v>
      </c>
      <c r="N8805">
        <f>HYPERLINK("https://www.wikidata.org/wiki/Q932986", "Q932986")</f>
        <v>0</v>
      </c>
      <c r="O8805" t="s">
        <v>20053</v>
      </c>
    </row>
    <row r="8806" spans="1:15">
      <c r="A8806" t="s">
        <v>43</v>
      </c>
      <c r="B8806" t="s">
        <v>149</v>
      </c>
      <c r="C8806" t="s">
        <v>175</v>
      </c>
      <c r="D8806" t="s">
        <v>304</v>
      </c>
      <c r="E8806" t="s">
        <v>305</v>
      </c>
      <c r="F8806">
        <f>HYPERLINK("https://www.wikidata.org/wiki/Q3111895", "Q3111895")</f>
        <v>0</v>
      </c>
      <c r="G8806" t="s">
        <v>4249</v>
      </c>
      <c r="H8806" t="s">
        <v>6367</v>
      </c>
      <c r="I8806" t="s">
        <v>6584</v>
      </c>
      <c r="J8806" t="s">
        <v>11799</v>
      </c>
      <c r="K8806" t="s">
        <v>16199</v>
      </c>
      <c r="N8806">
        <f>HYPERLINK("https://www.wikidata.org/wiki/Q363255", "Q363255")</f>
        <v>0</v>
      </c>
      <c r="O8806" t="s">
        <v>20150</v>
      </c>
    </row>
    <row r="8807" spans="1:15">
      <c r="A8807" t="s">
        <v>44</v>
      </c>
      <c r="B8807" t="s">
        <v>149</v>
      </c>
      <c r="C8807" t="s">
        <v>176</v>
      </c>
      <c r="D8807" t="s">
        <v>305</v>
      </c>
      <c r="E8807" t="s">
        <v>371</v>
      </c>
      <c r="F8807">
        <f>HYPERLINK("https://www.wikidata.org/wiki/Q3111896", "Q3111896")</f>
        <v>0</v>
      </c>
      <c r="G8807" t="s">
        <v>875</v>
      </c>
      <c r="H8807" t="s">
        <v>5631</v>
      </c>
      <c r="I8807" t="s">
        <v>9476</v>
      </c>
      <c r="J8807" t="s">
        <v>11621</v>
      </c>
      <c r="K8807" t="s">
        <v>16023</v>
      </c>
      <c r="L8807">
        <f>HYPERLINK("https://www2.assemblee-nationale.fr/sycomore/fiche/(num_dept)/749", "749")</f>
        <v>0</v>
      </c>
      <c r="M8807">
        <f>HYPERLINK("https://www.senat.fr/senateur-3eme-republique/besnard_rene0300r3.html", "besnard_rene0300r3")</f>
        <v>0</v>
      </c>
      <c r="N8807">
        <f>HYPERLINK("https://www.wikidata.org/wiki/Q3425839", "Q3425839")</f>
        <v>0</v>
      </c>
      <c r="O8807" t="s">
        <v>20151</v>
      </c>
    </row>
    <row r="8808" spans="1:15">
      <c r="A8808" t="s">
        <v>44</v>
      </c>
      <c r="B8808" t="s">
        <v>149</v>
      </c>
      <c r="C8808" t="s">
        <v>176</v>
      </c>
      <c r="D8808" t="s">
        <v>305</v>
      </c>
      <c r="E8808" t="s">
        <v>371</v>
      </c>
      <c r="F8808">
        <f>HYPERLINK("https://www.wikidata.org/wiki/Q3111896", "Q3111896")</f>
        <v>0</v>
      </c>
      <c r="G8808" t="s">
        <v>552</v>
      </c>
      <c r="H8808" t="s">
        <v>5315</v>
      </c>
      <c r="I8808" t="s">
        <v>9410</v>
      </c>
      <c r="J8808" t="s">
        <v>11303</v>
      </c>
      <c r="K8808" t="s">
        <v>15704</v>
      </c>
      <c r="L8808">
        <f>HYPERLINK("https://www2.assemblee-nationale.fr/sycomore/fiche/(num_dept)/1203", "1203")</f>
        <v>0</v>
      </c>
      <c r="M8808">
        <f>HYPERLINK("https://www.senat.fr/senateur-3eme-republique/breton_jules0441r3.html", "breton_jules0441r3")</f>
        <v>0</v>
      </c>
      <c r="N8808">
        <f>HYPERLINK("https://www.wikidata.org/wiki/Q3188368", "Q3188368")</f>
        <v>0</v>
      </c>
      <c r="O8808" t="s">
        <v>20152</v>
      </c>
    </row>
    <row r="8809" spans="1:15">
      <c r="A8809" t="s">
        <v>44</v>
      </c>
      <c r="B8809" t="s">
        <v>149</v>
      </c>
      <c r="C8809" t="s">
        <v>176</v>
      </c>
      <c r="D8809" t="s">
        <v>305</v>
      </c>
      <c r="E8809" t="s">
        <v>371</v>
      </c>
      <c r="F8809">
        <f>HYPERLINK("https://www.wikidata.org/wiki/Q3111896", "Q3111896")</f>
        <v>0</v>
      </c>
      <c r="G8809" t="s">
        <v>553</v>
      </c>
      <c r="H8809" t="s">
        <v>5316</v>
      </c>
      <c r="I8809" t="s">
        <v>9411</v>
      </c>
      <c r="J8809" t="s">
        <v>11304</v>
      </c>
      <c r="K8809" t="s">
        <v>15705</v>
      </c>
      <c r="L8809">
        <f>HYPERLINK("https://www2.assemblee-nationale.fr/sycomore/fiche/(num_dept)/1211", "1211")</f>
        <v>0</v>
      </c>
      <c r="N8809">
        <f>HYPERLINK("https://www.wikidata.org/wiki/Q179888", "Q179888")</f>
        <v>0</v>
      </c>
      <c r="O8809" t="s">
        <v>20062</v>
      </c>
    </row>
    <row r="8810" spans="1:15">
      <c r="A8810" t="s">
        <v>44</v>
      </c>
      <c r="B8810" t="s">
        <v>149</v>
      </c>
      <c r="C8810" t="s">
        <v>176</v>
      </c>
      <c r="D8810" t="s">
        <v>305</v>
      </c>
      <c r="E8810" t="s">
        <v>371</v>
      </c>
      <c r="F8810">
        <f>HYPERLINK("https://www.wikidata.org/wiki/Q3111896", "Q3111896")</f>
        <v>0</v>
      </c>
      <c r="G8810" t="s">
        <v>553</v>
      </c>
      <c r="H8810" t="s">
        <v>5316</v>
      </c>
      <c r="I8810" t="s">
        <v>9411</v>
      </c>
      <c r="J8810" t="s">
        <v>11304</v>
      </c>
      <c r="K8810" t="s">
        <v>15705</v>
      </c>
      <c r="L8810">
        <f>HYPERLINK("https://www2.assemblee-nationale.fr/sycomore/fiche/(num_dept)/1211", "1211")</f>
        <v>0</v>
      </c>
      <c r="N8810">
        <f>HYPERLINK("https://www.wikidata.org/wiki/Q179888", "Q179888")</f>
        <v>0</v>
      </c>
      <c r="O8810" t="s">
        <v>20052</v>
      </c>
    </row>
    <row r="8811" spans="1:15">
      <c r="A8811" t="s">
        <v>44</v>
      </c>
      <c r="B8811" t="s">
        <v>149</v>
      </c>
      <c r="C8811" t="s">
        <v>176</v>
      </c>
      <c r="D8811" t="s">
        <v>305</v>
      </c>
      <c r="E8811" t="s">
        <v>371</v>
      </c>
      <c r="F8811">
        <f>HYPERLINK("https://www.wikidata.org/wiki/Q3111896", "Q3111896")</f>
        <v>0</v>
      </c>
      <c r="G8811" t="s">
        <v>579</v>
      </c>
      <c r="H8811" t="s">
        <v>5341</v>
      </c>
      <c r="I8811" t="s">
        <v>5394</v>
      </c>
      <c r="J8811" t="s">
        <v>11330</v>
      </c>
      <c r="K8811" t="s">
        <v>15731</v>
      </c>
      <c r="L8811">
        <f>HYPERLINK("https://www2.assemblee-nationale.fr/sycomore/fiche/(num_dept)/1849", "1849")</f>
        <v>0</v>
      </c>
      <c r="M8811">
        <f>HYPERLINK("https://www.senat.fr/senateur-3eme-republique/clementel_etienne1006r3.html", "clementel_etienne1006r3")</f>
        <v>0</v>
      </c>
      <c r="N8811">
        <f>HYPERLINK("https://www.wikidata.org/wiki/Q3592114", "Q3592114")</f>
        <v>0</v>
      </c>
      <c r="O8811" t="s">
        <v>20153</v>
      </c>
    </row>
    <row r="8812" spans="1:15">
      <c r="A8812" t="s">
        <v>44</v>
      </c>
      <c r="B8812" t="s">
        <v>149</v>
      </c>
      <c r="C8812" t="s">
        <v>176</v>
      </c>
      <c r="D8812" t="s">
        <v>305</v>
      </c>
      <c r="E8812" t="s">
        <v>371</v>
      </c>
      <c r="F8812">
        <f>HYPERLINK("https://www.wikidata.org/wiki/Q3111896", "Q3111896")</f>
        <v>0</v>
      </c>
      <c r="G8812" t="s">
        <v>583</v>
      </c>
      <c r="H8812" t="s">
        <v>5345</v>
      </c>
      <c r="I8812" t="s">
        <v>9432</v>
      </c>
      <c r="J8812" t="s">
        <v>11334</v>
      </c>
      <c r="K8812" t="s">
        <v>15735</v>
      </c>
      <c r="L8812">
        <f>HYPERLINK("https://www2.assemblee-nationale.fr/sycomore/fiche/(num_dept)/1874", "1874")</f>
        <v>0</v>
      </c>
      <c r="N8812">
        <f>HYPERLINK("https://www.wikidata.org/wiki/Q3023401", "Q3023401")</f>
        <v>0</v>
      </c>
      <c r="O8812" t="s">
        <v>20154</v>
      </c>
    </row>
    <row r="8813" spans="1:15">
      <c r="A8813" t="s">
        <v>44</v>
      </c>
      <c r="B8813" t="s">
        <v>149</v>
      </c>
      <c r="C8813" t="s">
        <v>176</v>
      </c>
      <c r="D8813" t="s">
        <v>305</v>
      </c>
      <c r="E8813" t="s">
        <v>371</v>
      </c>
      <c r="F8813">
        <f>HYPERLINK("https://www.wikidata.org/wiki/Q3111896", "Q3111896")</f>
        <v>0</v>
      </c>
      <c r="G8813" t="s">
        <v>597</v>
      </c>
      <c r="H8813" t="s">
        <v>5358</v>
      </c>
      <c r="I8813" t="s">
        <v>6584</v>
      </c>
      <c r="J8813" t="s">
        <v>11348</v>
      </c>
      <c r="K8813" t="s">
        <v>15749</v>
      </c>
      <c r="L8813">
        <f>HYPERLINK("https://www2.assemblee-nationale.fr/sycomore/fiche/(num_dept)/2110", "2110")</f>
        <v>0</v>
      </c>
      <c r="N8813">
        <f>HYPERLINK("https://www.wikidata.org/wiki/Q2831073", "Q2831073")</f>
        <v>0</v>
      </c>
      <c r="O8813" t="s">
        <v>20155</v>
      </c>
    </row>
    <row r="8814" spans="1:15">
      <c r="A8814" t="s">
        <v>44</v>
      </c>
      <c r="B8814" t="s">
        <v>149</v>
      </c>
      <c r="C8814" t="s">
        <v>176</v>
      </c>
      <c r="D8814" t="s">
        <v>305</v>
      </c>
      <c r="E8814" t="s">
        <v>371</v>
      </c>
      <c r="F8814">
        <f>HYPERLINK("https://www.wikidata.org/wiki/Q3111896", "Q3111896")</f>
        <v>0</v>
      </c>
      <c r="G8814" t="s">
        <v>3819</v>
      </c>
      <c r="H8814" t="s">
        <v>8103</v>
      </c>
      <c r="I8814" t="s">
        <v>9470</v>
      </c>
      <c r="J8814" t="s">
        <v>14385</v>
      </c>
      <c r="K8814" t="s">
        <v>18737</v>
      </c>
      <c r="L8814">
        <f>HYPERLINK("https://www2.assemblee-nationale.fr/sycomore/fiche/(num_dept)/2570", "2570")</f>
        <v>0</v>
      </c>
      <c r="M8814">
        <f>HYPERLINK("https://www.senat.fr/senateur-3eme-republique/doumergue_gaston0833r3.html", "doumergue_gaston0833r3")</f>
        <v>0</v>
      </c>
      <c r="N8814">
        <f>HYPERLINK("https://www.wikidata.org/wiki/Q296064", "Q296064")</f>
        <v>0</v>
      </c>
      <c r="O8814" t="s">
        <v>20065</v>
      </c>
    </row>
    <row r="8815" spans="1:15">
      <c r="A8815" t="s">
        <v>44</v>
      </c>
      <c r="B8815" t="s">
        <v>149</v>
      </c>
      <c r="C8815" t="s">
        <v>176</v>
      </c>
      <c r="D8815" t="s">
        <v>305</v>
      </c>
      <c r="E8815" t="s">
        <v>371</v>
      </c>
      <c r="F8815">
        <f>HYPERLINK("https://www.wikidata.org/wiki/Q3111896", "Q3111896")</f>
        <v>0</v>
      </c>
      <c r="G8815" t="s">
        <v>966</v>
      </c>
      <c r="H8815" t="s">
        <v>5718</v>
      </c>
      <c r="I8815" t="s">
        <v>9605</v>
      </c>
      <c r="J8815" t="s">
        <v>11705</v>
      </c>
      <c r="K8815" t="s">
        <v>16108</v>
      </c>
      <c r="L8815">
        <f>HYPERLINK("https://www2.assemblee-nationale.fr/sycomore/fiche/(num_dept)/3460", "3460")</f>
        <v>0</v>
      </c>
      <c r="M8815">
        <f>HYPERLINK("https://www.senat.fr/senateur-3eme-republique/godart_justin1138r3.html", "godart_justin1138r3")</f>
        <v>0</v>
      </c>
      <c r="N8815">
        <f>HYPERLINK("https://www.wikidata.org/wiki/Q3190446", "Q3190446")</f>
        <v>0</v>
      </c>
      <c r="O8815" t="s">
        <v>20156</v>
      </c>
    </row>
    <row r="8816" spans="1:15">
      <c r="A8816" t="s">
        <v>44</v>
      </c>
      <c r="B8816" t="s">
        <v>149</v>
      </c>
      <c r="C8816" t="s">
        <v>176</v>
      </c>
      <c r="D8816" t="s">
        <v>305</v>
      </c>
      <c r="E8816" t="s">
        <v>371</v>
      </c>
      <c r="F8816">
        <f>HYPERLINK("https://www.wikidata.org/wiki/Q3111896", "Q3111896")</f>
        <v>0</v>
      </c>
      <c r="G8816" t="s">
        <v>1492</v>
      </c>
      <c r="H8816" t="s">
        <v>6190</v>
      </c>
      <c r="I8816" t="s">
        <v>9728</v>
      </c>
      <c r="J8816" t="s">
        <v>12210</v>
      </c>
      <c r="K8816" t="s">
        <v>16616</v>
      </c>
      <c r="L8816">
        <f>HYPERLINK("https://www2.assemblee-nationale.fr/sycomore/fiche/(num_dept)/3819", "3819")</f>
        <v>0</v>
      </c>
      <c r="M8816">
        <f>HYPERLINK("https://www.senat.fr/senateur-3eme-republique/herriot_edouard1121r3.html", "herriot_edouard1121r3")</f>
        <v>0</v>
      </c>
      <c r="N8816">
        <f>HYPERLINK("https://www.wikidata.org/wiki/Q274344", "Q274344")</f>
        <v>0</v>
      </c>
      <c r="O8816" t="s">
        <v>20157</v>
      </c>
    </row>
    <row r="8817" spans="1:15">
      <c r="A8817" t="s">
        <v>44</v>
      </c>
      <c r="B8817" t="s">
        <v>149</v>
      </c>
      <c r="C8817" t="s">
        <v>176</v>
      </c>
      <c r="D8817" t="s">
        <v>305</v>
      </c>
      <c r="E8817" t="s">
        <v>371</v>
      </c>
      <c r="F8817">
        <f>HYPERLINK("https://www.wikidata.org/wiki/Q3111896", "Q3111896")</f>
        <v>0</v>
      </c>
      <c r="G8817" t="s">
        <v>1517</v>
      </c>
      <c r="H8817" t="s">
        <v>6213</v>
      </c>
      <c r="I8817" t="s">
        <v>6495</v>
      </c>
      <c r="J8817" t="s">
        <v>12234</v>
      </c>
      <c r="K8817" t="s">
        <v>16640</v>
      </c>
      <c r="L8817">
        <f>HYPERLINK("https://www2.assemblee-nationale.fr/sycomore/fiche/(num_dept)/4823", "4823")</f>
        <v>0</v>
      </c>
      <c r="N8817">
        <f>HYPERLINK("https://www.wikidata.org/wiki/Q2788498", "Q2788498")</f>
        <v>0</v>
      </c>
      <c r="O8817" t="s">
        <v>20158</v>
      </c>
    </row>
    <row r="8818" spans="1:15">
      <c r="A8818" t="s">
        <v>44</v>
      </c>
      <c r="B8818" t="s">
        <v>149</v>
      </c>
      <c r="C8818" t="s">
        <v>176</v>
      </c>
      <c r="D8818" t="s">
        <v>305</v>
      </c>
      <c r="E8818" t="s">
        <v>371</v>
      </c>
      <c r="F8818">
        <f>HYPERLINK("https://www.wikidata.org/wiki/Q3111896", "Q3111896")</f>
        <v>0</v>
      </c>
      <c r="G8818" t="s">
        <v>721</v>
      </c>
      <c r="H8818" t="s">
        <v>5479</v>
      </c>
      <c r="I8818" t="s">
        <v>6495</v>
      </c>
      <c r="J8818" t="s">
        <v>11470</v>
      </c>
      <c r="K8818" t="s">
        <v>15872</v>
      </c>
      <c r="L8818">
        <f>HYPERLINK("https://www2.assemblee-nationale.fr/sycomore/fiche/(num_dept)/4940", "4940")</f>
        <v>0</v>
      </c>
      <c r="N8818">
        <f>HYPERLINK("https://www.wikidata.org/wiki/Q3262600", "Q3262600")</f>
        <v>0</v>
      </c>
      <c r="O8818" t="s">
        <v>20058</v>
      </c>
    </row>
    <row r="8819" spans="1:15">
      <c r="A8819" t="s">
        <v>44</v>
      </c>
      <c r="B8819" t="s">
        <v>149</v>
      </c>
      <c r="C8819" t="s">
        <v>176</v>
      </c>
      <c r="D8819" t="s">
        <v>305</v>
      </c>
      <c r="E8819" t="s">
        <v>371</v>
      </c>
      <c r="F8819">
        <f>HYPERLINK("https://www.wikidata.org/wiki/Q3111896", "Q3111896")</f>
        <v>0</v>
      </c>
      <c r="G8819" t="s">
        <v>730</v>
      </c>
      <c r="H8819" t="s">
        <v>5488</v>
      </c>
      <c r="I8819" t="s">
        <v>6584</v>
      </c>
      <c r="J8819" t="s">
        <v>11479</v>
      </c>
      <c r="K8819" t="s">
        <v>15881</v>
      </c>
      <c r="L8819">
        <f>HYPERLINK("https://www2.assemblee-nationale.fr/sycomore/fiche/(num_dept)/5228", "5228")</f>
        <v>0</v>
      </c>
      <c r="N8819">
        <f>HYPERLINK("https://www.wikidata.org/wiki/Q2831425", "Q2831425")</f>
        <v>0</v>
      </c>
      <c r="O8819" t="s">
        <v>20159</v>
      </c>
    </row>
    <row r="8820" spans="1:15">
      <c r="A8820" t="s">
        <v>44</v>
      </c>
      <c r="B8820" t="s">
        <v>149</v>
      </c>
      <c r="C8820" t="s">
        <v>176</v>
      </c>
      <c r="D8820" t="s">
        <v>305</v>
      </c>
      <c r="E8820" t="s">
        <v>371</v>
      </c>
      <c r="F8820">
        <f>HYPERLINK("https://www.wikidata.org/wiki/Q3111896", "Q3111896")</f>
        <v>0</v>
      </c>
      <c r="G8820" t="s">
        <v>1013</v>
      </c>
      <c r="H8820" t="s">
        <v>5763</v>
      </c>
      <c r="I8820" t="s">
        <v>6495</v>
      </c>
      <c r="J8820" t="s">
        <v>11750</v>
      </c>
      <c r="K8820" t="s">
        <v>16153</v>
      </c>
      <c r="L8820">
        <f>HYPERLINK("https://www2.assemblee-nationale.fr/sycomore/fiche/(num_dept)/5502", "5502")</f>
        <v>0</v>
      </c>
      <c r="N8820">
        <f>HYPERLINK("https://www.wikidata.org/wiki/Q3262775", "Q3262775")</f>
        <v>0</v>
      </c>
      <c r="O8820" t="s">
        <v>20106</v>
      </c>
    </row>
    <row r="8821" spans="1:15">
      <c r="A8821" t="s">
        <v>44</v>
      </c>
      <c r="B8821" t="s">
        <v>149</v>
      </c>
      <c r="C8821" t="s">
        <v>176</v>
      </c>
      <c r="D8821" t="s">
        <v>305</v>
      </c>
      <c r="E8821" t="s">
        <v>371</v>
      </c>
      <c r="F8821">
        <f>HYPERLINK("https://www.wikidata.org/wiki/Q3111896", "Q3111896")</f>
        <v>0</v>
      </c>
      <c r="G8821" t="s">
        <v>768</v>
      </c>
      <c r="H8821" t="s">
        <v>5526</v>
      </c>
      <c r="I8821" t="s">
        <v>5349</v>
      </c>
      <c r="J8821" t="s">
        <v>11515</v>
      </c>
      <c r="K8821" t="s">
        <v>15919</v>
      </c>
      <c r="L8821">
        <f>HYPERLINK("https://www2.assemblee-nationale.fr/sycomore/fiche/(num_dept)/6044", "6044")</f>
        <v>0</v>
      </c>
      <c r="N8821">
        <f>HYPERLINK("https://www.wikidata.org/wiki/Q2994888", "Q2994888")</f>
        <v>0</v>
      </c>
      <c r="O8821" t="s">
        <v>20160</v>
      </c>
    </row>
    <row r="8822" spans="1:15">
      <c r="A8822" t="s">
        <v>44</v>
      </c>
      <c r="B8822" t="s">
        <v>149</v>
      </c>
      <c r="C8822" t="s">
        <v>176</v>
      </c>
      <c r="D8822" t="s">
        <v>305</v>
      </c>
      <c r="E8822" t="s">
        <v>371</v>
      </c>
      <c r="F8822">
        <f>HYPERLINK("https://www.wikidata.org/wiki/Q3111896", "Q3111896")</f>
        <v>0</v>
      </c>
      <c r="G8822" t="s">
        <v>2671</v>
      </c>
      <c r="H8822" t="s">
        <v>7208</v>
      </c>
      <c r="I8822" t="s">
        <v>9553</v>
      </c>
      <c r="J8822" t="s">
        <v>13312</v>
      </c>
      <c r="K8822" t="s">
        <v>17712</v>
      </c>
      <c r="L8822">
        <f>HYPERLINK("https://www2.assemblee-nationale.fr/sycomore/fiche/(num_dept)/6727", "6727")</f>
        <v>0</v>
      </c>
      <c r="M8822">
        <f>HYPERLINK("https://www.senat.fr/senateur-3eme-republique/ribot_alexandre0941r3.html", "ribot_alexandre0941r3")</f>
        <v>0</v>
      </c>
      <c r="N8822">
        <f>HYPERLINK("https://www.wikidata.org/wiki/Q358387", "Q358387")</f>
        <v>0</v>
      </c>
      <c r="O8822" t="s">
        <v>20066</v>
      </c>
    </row>
    <row r="8823" spans="1:15">
      <c r="A8823" t="s">
        <v>44</v>
      </c>
      <c r="B8823" t="s">
        <v>149</v>
      </c>
      <c r="C8823" t="s">
        <v>176</v>
      </c>
      <c r="D8823" t="s">
        <v>305</v>
      </c>
      <c r="E8823" t="s">
        <v>371</v>
      </c>
      <c r="F8823">
        <f>HYPERLINK("https://www.wikidata.org/wiki/Q3111896", "Q3111896")</f>
        <v>0</v>
      </c>
      <c r="G8823" t="s">
        <v>827</v>
      </c>
      <c r="H8823" t="s">
        <v>5584</v>
      </c>
      <c r="I8823" t="s">
        <v>9476</v>
      </c>
      <c r="J8823" t="s">
        <v>11574</v>
      </c>
      <c r="K8823" t="s">
        <v>15976</v>
      </c>
      <c r="L8823">
        <f>HYPERLINK("https://www2.assemblee-nationale.fr/sycomore/fiche/(num_dept)/7368", "7368")</f>
        <v>0</v>
      </c>
      <c r="M8823">
        <f>HYPERLINK("https://www.senat.fr/senateur-3eme-republique/viviani_rene0627r3.html", "viviani_rene0627r3")</f>
        <v>0</v>
      </c>
      <c r="N8823">
        <f>HYPERLINK("https://www.wikidata.org/wiki/Q431074", "Q431074")</f>
        <v>0</v>
      </c>
      <c r="O8823" t="s">
        <v>20161</v>
      </c>
    </row>
    <row r="8824" spans="1:15">
      <c r="A8824" t="s">
        <v>44</v>
      </c>
      <c r="B8824" t="s">
        <v>149</v>
      </c>
      <c r="C8824" t="s">
        <v>176</v>
      </c>
      <c r="D8824" t="s">
        <v>305</v>
      </c>
      <c r="E8824" t="s">
        <v>371</v>
      </c>
      <c r="F8824">
        <f>HYPERLINK("https://www.wikidata.org/wiki/Q3111896", "Q3111896")</f>
        <v>0</v>
      </c>
      <c r="G8824" t="s">
        <v>4249</v>
      </c>
      <c r="H8824" t="s">
        <v>6367</v>
      </c>
      <c r="I8824" t="s">
        <v>6584</v>
      </c>
      <c r="J8824" t="s">
        <v>11799</v>
      </c>
      <c r="K8824" t="s">
        <v>16199</v>
      </c>
      <c r="N8824">
        <f>HYPERLINK("https://www.wikidata.org/wiki/Q363255", "Q363255")</f>
        <v>0</v>
      </c>
      <c r="O8824" t="s">
        <v>20162</v>
      </c>
    </row>
    <row r="8825" spans="1:15">
      <c r="A8825" t="s">
        <v>44</v>
      </c>
      <c r="B8825" t="s">
        <v>149</v>
      </c>
      <c r="C8825" t="s">
        <v>176</v>
      </c>
      <c r="D8825" t="s">
        <v>305</v>
      </c>
      <c r="E8825" t="s">
        <v>371</v>
      </c>
      <c r="F8825">
        <f>HYPERLINK("https://www.wikidata.org/wiki/Q3111896", "Q3111896")</f>
        <v>0</v>
      </c>
      <c r="G8825" t="s">
        <v>4250</v>
      </c>
      <c r="H8825" t="s">
        <v>8420</v>
      </c>
      <c r="I8825" t="s">
        <v>5445</v>
      </c>
      <c r="J8825" t="s">
        <v>14754</v>
      </c>
      <c r="K8825" t="s">
        <v>19101</v>
      </c>
      <c r="N8825">
        <f>HYPERLINK("https://www.wikidata.org/wiki/Q265104", "Q265104")</f>
        <v>0</v>
      </c>
      <c r="O8825" t="s">
        <v>20057</v>
      </c>
    </row>
    <row r="8826" spans="1:15">
      <c r="A8826" t="s">
        <v>44</v>
      </c>
      <c r="B8826" t="s">
        <v>149</v>
      </c>
      <c r="C8826" t="s">
        <v>176</v>
      </c>
      <c r="D8826" t="s">
        <v>305</v>
      </c>
      <c r="E8826" t="s">
        <v>371</v>
      </c>
      <c r="F8826">
        <f>HYPERLINK("https://www.wikidata.org/wiki/Q3111896", "Q3111896")</f>
        <v>0</v>
      </c>
      <c r="G8826" t="s">
        <v>4248</v>
      </c>
      <c r="H8826" t="s">
        <v>7371</v>
      </c>
      <c r="I8826" t="s">
        <v>9455</v>
      </c>
      <c r="J8826" t="s">
        <v>14753</v>
      </c>
      <c r="K8826" t="s">
        <v>19100</v>
      </c>
      <c r="N8826">
        <f>HYPERLINK("https://www.wikidata.org/wiki/Q932986", "Q932986")</f>
        <v>0</v>
      </c>
      <c r="O8826" t="s">
        <v>20053</v>
      </c>
    </row>
    <row r="8827" spans="1:15">
      <c r="A8827" t="s">
        <v>44</v>
      </c>
      <c r="B8827" t="s">
        <v>149</v>
      </c>
      <c r="C8827" t="s">
        <v>176</v>
      </c>
      <c r="D8827" t="s">
        <v>305</v>
      </c>
      <c r="E8827" t="s">
        <v>371</v>
      </c>
      <c r="F8827">
        <f>HYPERLINK("https://www.wikidata.org/wiki/Q3111896", "Q3111896")</f>
        <v>0</v>
      </c>
      <c r="G8827" t="s">
        <v>4248</v>
      </c>
      <c r="H8827" t="s">
        <v>7371</v>
      </c>
      <c r="I8827" t="s">
        <v>9455</v>
      </c>
      <c r="J8827" t="s">
        <v>14753</v>
      </c>
      <c r="K8827" t="s">
        <v>19100</v>
      </c>
      <c r="N8827">
        <f>HYPERLINK("https://www.wikidata.org/wiki/Q932986", "Q932986")</f>
        <v>0</v>
      </c>
      <c r="O8827" t="s">
        <v>20053</v>
      </c>
    </row>
    <row r="8828" spans="1:15">
      <c r="A8828" t="s">
        <v>44</v>
      </c>
      <c r="B8828" t="s">
        <v>149</v>
      </c>
      <c r="C8828" t="s">
        <v>176</v>
      </c>
      <c r="D8828" t="s">
        <v>305</v>
      </c>
      <c r="E8828" t="s">
        <v>371</v>
      </c>
      <c r="F8828">
        <f>HYPERLINK("https://www.wikidata.org/wiki/Q3111896", "Q3111896")</f>
        <v>0</v>
      </c>
      <c r="G8828" t="s">
        <v>4251</v>
      </c>
      <c r="H8828" t="s">
        <v>8421</v>
      </c>
      <c r="I8828" t="s">
        <v>11174</v>
      </c>
      <c r="J8828" t="s">
        <v>14755</v>
      </c>
      <c r="K8828" t="s">
        <v>19102</v>
      </c>
      <c r="M8828">
        <f>HYPERLINK("https://www.senat.fr/senateur-3eme-republique/claveille_albert0663r3.html", "claveille_albert0663r3")</f>
        <v>0</v>
      </c>
      <c r="N8828">
        <f>HYPERLINK("https://www.wikidata.org/wiki/Q2830877", "Q2830877")</f>
        <v>0</v>
      </c>
      <c r="O8828" t="s">
        <v>20163</v>
      </c>
    </row>
    <row r="8829" spans="1:15">
      <c r="A8829" t="s">
        <v>45</v>
      </c>
      <c r="B8829" t="s">
        <v>149</v>
      </c>
      <c r="C8829" t="s">
        <v>177</v>
      </c>
      <c r="D8829" t="s">
        <v>306</v>
      </c>
      <c r="E8829" t="s">
        <v>430</v>
      </c>
      <c r="F8829">
        <f>HYPERLINK("https://www.wikidata.org/wiki/Q3111897", "Q3111897")</f>
        <v>0</v>
      </c>
      <c r="G8829" t="s">
        <v>512</v>
      </c>
      <c r="H8829" t="s">
        <v>5277</v>
      </c>
      <c r="I8829" t="s">
        <v>6495</v>
      </c>
      <c r="J8829" t="s">
        <v>11264</v>
      </c>
      <c r="K8829" t="s">
        <v>15664</v>
      </c>
      <c r="L8829">
        <f>HYPERLINK("https://www2.assemblee-nationale.fr/sycomore/fiche/(num_dept)/451", "451")</f>
        <v>0</v>
      </c>
      <c r="M8829">
        <f>HYPERLINK("https://www.senat.fr/senateur-3eme-republique/barthou_louis1071r3.html", "barthou_louis1071r3")</f>
        <v>0</v>
      </c>
      <c r="N8829">
        <f>HYPERLINK("https://www.wikidata.org/wiki/Q271887", "Q271887")</f>
        <v>0</v>
      </c>
      <c r="O8829" t="s">
        <v>20057</v>
      </c>
    </row>
    <row r="8830" spans="1:15">
      <c r="A8830" t="s">
        <v>45</v>
      </c>
      <c r="B8830" t="s">
        <v>149</v>
      </c>
      <c r="C8830" t="s">
        <v>177</v>
      </c>
      <c r="D8830" t="s">
        <v>306</v>
      </c>
      <c r="E8830" t="s">
        <v>430</v>
      </c>
      <c r="F8830">
        <f>HYPERLINK("https://www.wikidata.org/wiki/Q3111897", "Q3111897")</f>
        <v>0</v>
      </c>
      <c r="G8830" t="s">
        <v>538</v>
      </c>
      <c r="H8830" t="s">
        <v>5302</v>
      </c>
      <c r="I8830" t="s">
        <v>5592</v>
      </c>
      <c r="J8830" t="s">
        <v>11290</v>
      </c>
      <c r="K8830" t="s">
        <v>15690</v>
      </c>
      <c r="L8830">
        <f>HYPERLINK("https://www2.assemblee-nationale.fr/sycomore/fiche/(num_dept)/955", "955")</f>
        <v>0</v>
      </c>
      <c r="M8830">
        <f>HYPERLINK("https://www.senat.fr/senateur-3eme-republique/bonnevay_laurent1123r3.html", "bonnevay_laurent1123r3")</f>
        <v>0</v>
      </c>
      <c r="N8830">
        <f>HYPERLINK("https://www.wikidata.org/wiki/Q3219051", "Q3219051")</f>
        <v>0</v>
      </c>
      <c r="O8830" t="s">
        <v>20064</v>
      </c>
    </row>
    <row r="8831" spans="1:15">
      <c r="A8831" t="s">
        <v>45</v>
      </c>
      <c r="B8831" t="s">
        <v>149</v>
      </c>
      <c r="C8831" t="s">
        <v>177</v>
      </c>
      <c r="D8831" t="s">
        <v>306</v>
      </c>
      <c r="E8831" t="s">
        <v>430</v>
      </c>
      <c r="F8831">
        <f>HYPERLINK("https://www.wikidata.org/wiki/Q3111897", "Q3111897")</f>
        <v>0</v>
      </c>
      <c r="G8831" t="s">
        <v>553</v>
      </c>
      <c r="H8831" t="s">
        <v>5316</v>
      </c>
      <c r="I8831" t="s">
        <v>9411</v>
      </c>
      <c r="J8831" t="s">
        <v>11304</v>
      </c>
      <c r="K8831" t="s">
        <v>15705</v>
      </c>
      <c r="L8831">
        <f>HYPERLINK("https://www2.assemblee-nationale.fr/sycomore/fiche/(num_dept)/1211", "1211")</f>
        <v>0</v>
      </c>
      <c r="N8831">
        <f>HYPERLINK("https://www.wikidata.org/wiki/Q179888", "Q179888")</f>
        <v>0</v>
      </c>
      <c r="O8831" t="s">
        <v>20062</v>
      </c>
    </row>
    <row r="8832" spans="1:15">
      <c r="A8832" t="s">
        <v>45</v>
      </c>
      <c r="B8832" t="s">
        <v>149</v>
      </c>
      <c r="C8832" t="s">
        <v>177</v>
      </c>
      <c r="D8832" t="s">
        <v>306</v>
      </c>
      <c r="E8832" t="s">
        <v>430</v>
      </c>
      <c r="F8832">
        <f>HYPERLINK("https://www.wikidata.org/wiki/Q3111897", "Q3111897")</f>
        <v>0</v>
      </c>
      <c r="G8832" t="s">
        <v>553</v>
      </c>
      <c r="H8832" t="s">
        <v>5316</v>
      </c>
      <c r="I8832" t="s">
        <v>9411</v>
      </c>
      <c r="J8832" t="s">
        <v>11304</v>
      </c>
      <c r="K8832" t="s">
        <v>15705</v>
      </c>
      <c r="L8832">
        <f>HYPERLINK("https://www2.assemblee-nationale.fr/sycomore/fiche/(num_dept)/1211", "1211")</f>
        <v>0</v>
      </c>
      <c r="N8832">
        <f>HYPERLINK("https://www.wikidata.org/wiki/Q179888", "Q179888")</f>
        <v>0</v>
      </c>
      <c r="O8832" t="s">
        <v>20052</v>
      </c>
    </row>
    <row r="8833" spans="1:15">
      <c r="A8833" t="s">
        <v>45</v>
      </c>
      <c r="B8833" t="s">
        <v>149</v>
      </c>
      <c r="C8833" t="s">
        <v>177</v>
      </c>
      <c r="D8833" t="s">
        <v>306</v>
      </c>
      <c r="E8833" t="s">
        <v>430</v>
      </c>
      <c r="F8833">
        <f>HYPERLINK("https://www.wikidata.org/wiki/Q3111897", "Q3111897")</f>
        <v>0</v>
      </c>
      <c r="G8833" t="s">
        <v>1413</v>
      </c>
      <c r="H8833" t="s">
        <v>6121</v>
      </c>
      <c r="I8833" t="s">
        <v>7642</v>
      </c>
      <c r="J8833" t="s">
        <v>12137</v>
      </c>
      <c r="K8833" t="s">
        <v>16540</v>
      </c>
      <c r="L8833">
        <f>HYPERLINK("https://www2.assemblee-nationale.fr/sycomore/fiche/(num_dept)/1923", "1923")</f>
        <v>0</v>
      </c>
      <c r="N8833">
        <f>HYPERLINK("https://www.wikidata.org/wiki/Q3300588", "Q3300588")</f>
        <v>0</v>
      </c>
      <c r="O8833" t="s">
        <v>20061</v>
      </c>
    </row>
    <row r="8834" spans="1:15">
      <c r="A8834" t="s">
        <v>45</v>
      </c>
      <c r="B8834" t="s">
        <v>149</v>
      </c>
      <c r="C8834" t="s">
        <v>177</v>
      </c>
      <c r="D8834" t="s">
        <v>306</v>
      </c>
      <c r="E8834" t="s">
        <v>430</v>
      </c>
      <c r="F8834">
        <f>HYPERLINK("https://www.wikidata.org/wiki/Q3111897", "Q3111897")</f>
        <v>0</v>
      </c>
      <c r="G8834" t="s">
        <v>1251</v>
      </c>
      <c r="H8834" t="s">
        <v>5975</v>
      </c>
      <c r="I8834" t="s">
        <v>9727</v>
      </c>
      <c r="J8834" t="s">
        <v>11981</v>
      </c>
      <c r="K8834" t="s">
        <v>16384</v>
      </c>
      <c r="L8834">
        <f>HYPERLINK("https://www2.assemblee-nationale.fr/sycomore/fiche/(num_dept)/2496", "2496")</f>
        <v>0</v>
      </c>
      <c r="N8834">
        <f>HYPERLINK("https://www.wikidata.org/wiki/Q725749", "Q725749")</f>
        <v>0</v>
      </c>
      <c r="O8834" t="s">
        <v>20164</v>
      </c>
    </row>
    <row r="8835" spans="1:15">
      <c r="A8835" t="s">
        <v>45</v>
      </c>
      <c r="B8835" t="s">
        <v>149</v>
      </c>
      <c r="C8835" t="s">
        <v>177</v>
      </c>
      <c r="D8835" t="s">
        <v>306</v>
      </c>
      <c r="E8835" t="s">
        <v>430</v>
      </c>
      <c r="F8835">
        <f>HYPERLINK("https://www.wikidata.org/wiki/Q3111897", "Q3111897")</f>
        <v>0</v>
      </c>
      <c r="G8835" t="s">
        <v>617</v>
      </c>
      <c r="H8835" t="s">
        <v>5377</v>
      </c>
      <c r="I8835" t="s">
        <v>9455</v>
      </c>
      <c r="J8835" t="s">
        <v>11367</v>
      </c>
      <c r="K8835" t="s">
        <v>15769</v>
      </c>
      <c r="L8835">
        <f>HYPERLINK("https://www2.assemblee-nationale.fr/sycomore/fiche/(num_dept)/2522", "2522")</f>
        <v>0</v>
      </c>
      <c r="N8835">
        <f>HYPERLINK("https://www.wikidata.org/wiki/Q3265475", "Q3265475")</f>
        <v>0</v>
      </c>
      <c r="O8835" t="s">
        <v>20110</v>
      </c>
    </row>
    <row r="8836" spans="1:15">
      <c r="A8836" t="s">
        <v>45</v>
      </c>
      <c r="B8836" t="s">
        <v>149</v>
      </c>
      <c r="C8836" t="s">
        <v>177</v>
      </c>
      <c r="D8836" t="s">
        <v>306</v>
      </c>
      <c r="E8836" t="s">
        <v>430</v>
      </c>
      <c r="F8836">
        <f>HYPERLINK("https://www.wikidata.org/wiki/Q3111897", "Q3111897")</f>
        <v>0</v>
      </c>
      <c r="G8836" t="s">
        <v>3381</v>
      </c>
      <c r="H8836" t="s">
        <v>7773</v>
      </c>
      <c r="I8836" t="s">
        <v>9388</v>
      </c>
      <c r="J8836" t="s">
        <v>13991</v>
      </c>
      <c r="K8836" t="s">
        <v>18361</v>
      </c>
      <c r="L8836">
        <f>HYPERLINK("https://www2.assemblee-nationale.fr/sycomore/fiche/(num_dept)/2569", "2569")</f>
        <v>0</v>
      </c>
      <c r="M8836">
        <f>HYPERLINK("https://www.senat.fr/senateur-3eme-republique/doumer_paul0473r3.html", "doumer_paul0473r3")</f>
        <v>0</v>
      </c>
      <c r="N8836">
        <f>HYPERLINK("https://www.wikidata.org/wiki/Q12680", "Q12680")</f>
        <v>0</v>
      </c>
      <c r="O8836" t="s">
        <v>20066</v>
      </c>
    </row>
    <row r="8837" spans="1:15">
      <c r="A8837" t="s">
        <v>45</v>
      </c>
      <c r="B8837" t="s">
        <v>149</v>
      </c>
      <c r="C8837" t="s">
        <v>177</v>
      </c>
      <c r="D8837" t="s">
        <v>306</v>
      </c>
      <c r="E8837" t="s">
        <v>430</v>
      </c>
      <c r="F8837">
        <f>HYPERLINK("https://www.wikidata.org/wiki/Q3111897", "Q3111897")</f>
        <v>0</v>
      </c>
      <c r="G8837" t="s">
        <v>1170</v>
      </c>
      <c r="H8837" t="s">
        <v>5901</v>
      </c>
      <c r="I8837" t="s">
        <v>5592</v>
      </c>
      <c r="J8837" t="s">
        <v>11903</v>
      </c>
      <c r="K8837" t="s">
        <v>16305</v>
      </c>
      <c r="L8837">
        <f>HYPERLINK("https://www2.assemblee-nationale.fr/sycomore/fiche/(num_dept)/2874", "2874")</f>
        <v>0</v>
      </c>
      <c r="M8837">
        <f>HYPERLINK("https://www.senat.fr/senateur-3eme-republique/eynac_laurent0520r3.html", "eynac_laurent0520r3")</f>
        <v>0</v>
      </c>
      <c r="N8837">
        <f>HYPERLINK("https://www.wikidata.org/wiki/Q3219208", "Q3219208")</f>
        <v>0</v>
      </c>
      <c r="O8837" t="s">
        <v>20165</v>
      </c>
    </row>
    <row r="8838" spans="1:15">
      <c r="A8838" t="s">
        <v>45</v>
      </c>
      <c r="B8838" t="s">
        <v>149</v>
      </c>
      <c r="C8838" t="s">
        <v>177</v>
      </c>
      <c r="D8838" t="s">
        <v>306</v>
      </c>
      <c r="E8838" t="s">
        <v>430</v>
      </c>
      <c r="F8838">
        <f>HYPERLINK("https://www.wikidata.org/wiki/Q3111897", "Q3111897")</f>
        <v>0</v>
      </c>
      <c r="G8838" t="s">
        <v>675</v>
      </c>
      <c r="H8838" t="s">
        <v>5434</v>
      </c>
      <c r="I8838" t="s">
        <v>7911</v>
      </c>
      <c r="J8838" t="s">
        <v>11425</v>
      </c>
      <c r="K8838" t="s">
        <v>15826</v>
      </c>
      <c r="L8838">
        <f>HYPERLINK("https://www2.assemblee-nationale.fr/sycomore/fiche/(num_dept)/3697", "3697")</f>
        <v>0</v>
      </c>
      <c r="N8838">
        <f>HYPERLINK("https://www.wikidata.org/wiki/Q2404053", "Q2404053")</f>
        <v>0</v>
      </c>
      <c r="O8838" t="s">
        <v>20053</v>
      </c>
    </row>
    <row r="8839" spans="1:15">
      <c r="A8839" t="s">
        <v>45</v>
      </c>
      <c r="B8839" t="s">
        <v>149</v>
      </c>
      <c r="C8839" t="s">
        <v>177</v>
      </c>
      <c r="D8839" t="s">
        <v>306</v>
      </c>
      <c r="E8839" t="s">
        <v>430</v>
      </c>
      <c r="F8839">
        <f>HYPERLINK("https://www.wikidata.org/wiki/Q3111897", "Q3111897")</f>
        <v>0</v>
      </c>
      <c r="G8839" t="s">
        <v>1267</v>
      </c>
      <c r="H8839" t="s">
        <v>5991</v>
      </c>
      <c r="I8839" t="s">
        <v>9388</v>
      </c>
      <c r="J8839" t="s">
        <v>11997</v>
      </c>
      <c r="K8839" t="s">
        <v>16400</v>
      </c>
      <c r="L8839">
        <f>HYPERLINK("https://www2.assemblee-nationale.fr/sycomore/fiche/(num_dept)/4253", "4253")</f>
        <v>0</v>
      </c>
      <c r="M8839">
        <f>HYPERLINK("https://www.senat.fr/senateur-3eme-republique/laffont_paul0184r3.html", "laffont_paul0184r3")</f>
        <v>0</v>
      </c>
      <c r="N8839">
        <f>HYPERLINK("https://www.wikidata.org/wiki/Q3371619", "Q3371619")</f>
        <v>0</v>
      </c>
      <c r="O8839" t="s">
        <v>20166</v>
      </c>
    </row>
    <row r="8840" spans="1:15">
      <c r="A8840" t="s">
        <v>45</v>
      </c>
      <c r="B8840" t="s">
        <v>149</v>
      </c>
      <c r="C8840" t="s">
        <v>177</v>
      </c>
      <c r="D8840" t="s">
        <v>306</v>
      </c>
      <c r="E8840" t="s">
        <v>430</v>
      </c>
      <c r="F8840">
        <f>HYPERLINK("https://www.wikidata.org/wiki/Q3111897", "Q3111897")</f>
        <v>0</v>
      </c>
      <c r="G8840" t="s">
        <v>1517</v>
      </c>
      <c r="H8840" t="s">
        <v>6213</v>
      </c>
      <c r="I8840" t="s">
        <v>6495</v>
      </c>
      <c r="J8840" t="s">
        <v>12234</v>
      </c>
      <c r="K8840" t="s">
        <v>16640</v>
      </c>
      <c r="L8840">
        <f>HYPERLINK("https://www2.assemblee-nationale.fr/sycomore/fiche/(num_dept)/4823", "4823")</f>
        <v>0</v>
      </c>
      <c r="N8840">
        <f>HYPERLINK("https://www.wikidata.org/wiki/Q2788498", "Q2788498")</f>
        <v>0</v>
      </c>
      <c r="O8840" t="s">
        <v>20167</v>
      </c>
    </row>
    <row r="8841" spans="1:15">
      <c r="A8841" t="s">
        <v>45</v>
      </c>
      <c r="B8841" t="s">
        <v>149</v>
      </c>
      <c r="C8841" t="s">
        <v>177</v>
      </c>
      <c r="D8841" t="s">
        <v>306</v>
      </c>
      <c r="E8841" t="s">
        <v>430</v>
      </c>
      <c r="F8841">
        <f>HYPERLINK("https://www.wikidata.org/wiki/Q3111897", "Q3111897")</f>
        <v>0</v>
      </c>
      <c r="G8841" t="s">
        <v>1273</v>
      </c>
      <c r="H8841" t="s">
        <v>5997</v>
      </c>
      <c r="I8841" t="s">
        <v>6175</v>
      </c>
      <c r="J8841" t="s">
        <v>12003</v>
      </c>
      <c r="K8841" t="s">
        <v>16406</v>
      </c>
      <c r="L8841">
        <f>HYPERLINK("https://www2.assemblee-nationale.fr/sycomore/fiche/(num_dept)/4850", "4850")</f>
        <v>0</v>
      </c>
      <c r="M8841">
        <f>HYPERLINK("https://www.senat.fr/senateur-3eme-republique/lugol_georges1591r3.html", "lugol_georges1591r3")</f>
        <v>0</v>
      </c>
      <c r="N8841">
        <f>HYPERLINK("https://www.wikidata.org/wiki/Q3188745", "Q3188745")</f>
        <v>0</v>
      </c>
      <c r="O8841" t="s">
        <v>20168</v>
      </c>
    </row>
    <row r="8842" spans="1:15">
      <c r="A8842" t="s">
        <v>45</v>
      </c>
      <c r="B8842" t="s">
        <v>149</v>
      </c>
      <c r="C8842" t="s">
        <v>177</v>
      </c>
      <c r="D8842" t="s">
        <v>306</v>
      </c>
      <c r="E8842" t="s">
        <v>430</v>
      </c>
      <c r="F8842">
        <f>HYPERLINK("https://www.wikidata.org/wiki/Q3111897", "Q3111897")</f>
        <v>0</v>
      </c>
      <c r="G8842" t="s">
        <v>717</v>
      </c>
      <c r="H8842" t="s">
        <v>5475</v>
      </c>
      <c r="I8842" t="s">
        <v>6585</v>
      </c>
      <c r="J8842" t="s">
        <v>11466</v>
      </c>
      <c r="K8842" t="s">
        <v>15868</v>
      </c>
      <c r="L8842">
        <f>HYPERLINK("https://www2.assemblee-nationale.fr/sycomore/fiche/(num_dept)/4882", "4882")</f>
        <v>0</v>
      </c>
      <c r="N8842">
        <f>HYPERLINK("https://www.wikidata.org/wiki/Q318617", "Q318617")</f>
        <v>0</v>
      </c>
      <c r="O8842" t="s">
        <v>20169</v>
      </c>
    </row>
    <row r="8843" spans="1:15">
      <c r="A8843" t="s">
        <v>45</v>
      </c>
      <c r="B8843" t="s">
        <v>149</v>
      </c>
      <c r="C8843" t="s">
        <v>177</v>
      </c>
      <c r="D8843" t="s">
        <v>306</v>
      </c>
      <c r="E8843" t="s">
        <v>430</v>
      </c>
      <c r="F8843">
        <f>HYPERLINK("https://www.wikidata.org/wiki/Q3111897", "Q3111897")</f>
        <v>0</v>
      </c>
      <c r="G8843" t="s">
        <v>1190</v>
      </c>
      <c r="H8843" t="s">
        <v>5920</v>
      </c>
      <c r="I8843" t="s">
        <v>6585</v>
      </c>
      <c r="J8843" t="s">
        <v>11923</v>
      </c>
      <c r="K8843" t="s">
        <v>16324</v>
      </c>
      <c r="L8843">
        <f>HYPERLINK("https://www2.assemblee-nationale.fr/sycomore/fiche/(num_dept)/5654", "5654")</f>
        <v>0</v>
      </c>
      <c r="N8843">
        <f>HYPERLINK("https://www.wikidata.org/wiki/Q2848387", "Q2848387")</f>
        <v>0</v>
      </c>
      <c r="O8843" t="s">
        <v>20054</v>
      </c>
    </row>
    <row r="8844" spans="1:15">
      <c r="A8844" t="s">
        <v>45</v>
      </c>
      <c r="B8844" t="s">
        <v>149</v>
      </c>
      <c r="C8844" t="s">
        <v>177</v>
      </c>
      <c r="D8844" t="s">
        <v>306</v>
      </c>
      <c r="E8844" t="s">
        <v>430</v>
      </c>
      <c r="F8844">
        <f>HYPERLINK("https://www.wikidata.org/wiki/Q3111897", "Q3111897")</f>
        <v>0</v>
      </c>
      <c r="G8844" t="s">
        <v>778</v>
      </c>
      <c r="H8844" t="s">
        <v>5536</v>
      </c>
      <c r="I8844" t="s">
        <v>6584</v>
      </c>
      <c r="J8844" t="s">
        <v>11525</v>
      </c>
      <c r="K8844" t="s">
        <v>15929</v>
      </c>
      <c r="L8844">
        <f>HYPERLINK("https://www2.assemblee-nationale.fr/sycomore/fiche/(num_dept)/6293", "6293")</f>
        <v>0</v>
      </c>
      <c r="M8844">
        <f>HYPERLINK("https://www.senat.fr/senateur-3eme-republique/sarraut_albert0265r3.html", "sarraut_albert0265r3")</f>
        <v>0</v>
      </c>
      <c r="N8844">
        <f>HYPERLINK("https://www.wikidata.org/wiki/Q460318", "Q460318")</f>
        <v>0</v>
      </c>
      <c r="O8844" t="s">
        <v>20065</v>
      </c>
    </row>
    <row r="8845" spans="1:15">
      <c r="A8845" t="s">
        <v>45</v>
      </c>
      <c r="B8845" t="s">
        <v>149</v>
      </c>
      <c r="C8845" t="s">
        <v>177</v>
      </c>
      <c r="D8845" t="s">
        <v>306</v>
      </c>
      <c r="E8845" t="s">
        <v>430</v>
      </c>
      <c r="F8845">
        <f>HYPERLINK("https://www.wikidata.org/wiki/Q3111897", "Q3111897")</f>
        <v>0</v>
      </c>
      <c r="G8845" t="s">
        <v>1605</v>
      </c>
      <c r="H8845" t="s">
        <v>6293</v>
      </c>
      <c r="I8845" t="s">
        <v>9552</v>
      </c>
      <c r="J8845" t="s">
        <v>12313</v>
      </c>
      <c r="K8845" t="s">
        <v>16722</v>
      </c>
      <c r="L8845">
        <f>HYPERLINK("https://www2.assemblee-nationale.fr/sycomore/fiche/(num_dept)/6537", "6537")</f>
        <v>0</v>
      </c>
      <c r="M8845">
        <f>HYPERLINK("https://www.senat.fr/senateur-3eme-republique/puis_auguste1718r3.html", "puis_auguste1718r3")</f>
        <v>0</v>
      </c>
      <c r="N8845">
        <f>HYPERLINK("https://www.wikidata.org/wiki/Q2871367", "Q2871367")</f>
        <v>0</v>
      </c>
      <c r="O8845" t="s">
        <v>20170</v>
      </c>
    </row>
    <row r="8846" spans="1:15">
      <c r="A8846" t="s">
        <v>45</v>
      </c>
      <c r="B8846" t="s">
        <v>149</v>
      </c>
      <c r="C8846" t="s">
        <v>177</v>
      </c>
      <c r="D8846" t="s">
        <v>306</v>
      </c>
      <c r="E8846" t="s">
        <v>430</v>
      </c>
      <c r="F8846">
        <f>HYPERLINK("https://www.wikidata.org/wiki/Q3111897", "Q3111897")</f>
        <v>0</v>
      </c>
      <c r="G8846" t="s">
        <v>1621</v>
      </c>
      <c r="H8846" t="s">
        <v>6306</v>
      </c>
      <c r="I8846" t="s">
        <v>9426</v>
      </c>
      <c r="J8846" t="s">
        <v>12328</v>
      </c>
      <c r="K8846" t="s">
        <v>16738</v>
      </c>
      <c r="L8846">
        <f>HYPERLINK("https://www2.assemblee-nationale.fr/sycomore/fiche/(num_dept)/6781", "6781")</f>
        <v>0</v>
      </c>
      <c r="M8846">
        <f>HYPERLINK("https://www.senat.fr/senateur-3eme-republique/rio_alphonse0903r3.html", "rio_alphonse0903r3")</f>
        <v>0</v>
      </c>
      <c r="N8846">
        <f>HYPERLINK("https://www.wikidata.org/wiki/Q2839950", "Q2839950")</f>
        <v>0</v>
      </c>
      <c r="O8846" t="s">
        <v>20171</v>
      </c>
    </row>
    <row r="8847" spans="1:15">
      <c r="A8847" t="s">
        <v>45</v>
      </c>
      <c r="B8847" t="s">
        <v>149</v>
      </c>
      <c r="C8847" t="s">
        <v>177</v>
      </c>
      <c r="D8847" t="s">
        <v>306</v>
      </c>
      <c r="E8847" t="s">
        <v>430</v>
      </c>
      <c r="F8847">
        <f>HYPERLINK("https://www.wikidata.org/wiki/Q3111897", "Q3111897")</f>
        <v>0</v>
      </c>
      <c r="G8847" t="s">
        <v>1067</v>
      </c>
      <c r="H8847" t="s">
        <v>5812</v>
      </c>
      <c r="I8847" t="s">
        <v>9488</v>
      </c>
      <c r="J8847" t="s">
        <v>11804</v>
      </c>
      <c r="K8847" t="s">
        <v>16204</v>
      </c>
      <c r="L8847">
        <f>HYPERLINK("https://www2.assemblee-nationale.fr/sycomore/fiche/(num_dept)/7361", "7361")</f>
        <v>0</v>
      </c>
      <c r="M8847">
        <f>HYPERLINK("https://www.senat.fr/senateur-3eme-republique/daniel_vincent_charles1382r3.html", "daniel_vincent_charles1382r3")</f>
        <v>0</v>
      </c>
      <c r="N8847">
        <f>HYPERLINK("https://www.wikidata.org/wiki/Q3014792", "Q3014792")</f>
        <v>0</v>
      </c>
      <c r="O8847" t="s">
        <v>20086</v>
      </c>
    </row>
    <row r="8848" spans="1:15">
      <c r="A8848" t="s">
        <v>45</v>
      </c>
      <c r="B8848" t="s">
        <v>149</v>
      </c>
      <c r="C8848" t="s">
        <v>177</v>
      </c>
      <c r="D8848" t="s">
        <v>306</v>
      </c>
      <c r="E8848" t="s">
        <v>430</v>
      </c>
      <c r="F8848">
        <f>HYPERLINK("https://www.wikidata.org/wiki/Q3111897", "Q3111897")</f>
        <v>0</v>
      </c>
      <c r="G8848" t="s">
        <v>1647</v>
      </c>
      <c r="H8848" t="s">
        <v>6330</v>
      </c>
      <c r="I8848" t="s">
        <v>9470</v>
      </c>
      <c r="J8848" t="s">
        <v>12354</v>
      </c>
      <c r="K8848" t="s">
        <v>16761</v>
      </c>
      <c r="L8848">
        <f>HYPERLINK("https://www2.assemblee-nationale.fr/sycomore/fiche/(num_dept)/7365", "7365")</f>
        <v>0</v>
      </c>
      <c r="N8848">
        <f>HYPERLINK("https://www.wikidata.org/wiki/Q3099181", "Q3099181")</f>
        <v>0</v>
      </c>
      <c r="O8848" t="s">
        <v>20172</v>
      </c>
    </row>
    <row r="8849" spans="1:15">
      <c r="A8849" t="s">
        <v>45</v>
      </c>
      <c r="B8849" t="s">
        <v>149</v>
      </c>
      <c r="C8849" t="s">
        <v>177</v>
      </c>
      <c r="D8849" t="s">
        <v>306</v>
      </c>
      <c r="E8849" t="s">
        <v>430</v>
      </c>
      <c r="F8849">
        <f>HYPERLINK("https://www.wikidata.org/wiki/Q3111897", "Q3111897")</f>
        <v>0</v>
      </c>
      <c r="G8849" t="s">
        <v>1659</v>
      </c>
      <c r="H8849" t="s">
        <v>6342</v>
      </c>
      <c r="I8849" t="s">
        <v>9843</v>
      </c>
      <c r="J8849" t="s">
        <v>12366</v>
      </c>
      <c r="K8849" t="s">
        <v>16773</v>
      </c>
      <c r="L8849">
        <f>HYPERLINK("https://www2.assemblee-nationale.fr/sycomore/fiche/(num_dept)/7630", "7630")</f>
        <v>0</v>
      </c>
      <c r="M8849">
        <f>HYPERLINK("https://www.senat.fr/senateur-3eme-republique/le_trocquer_yves0588r3.html", "le_trocquer_yves0588r3")</f>
        <v>0</v>
      </c>
      <c r="N8849">
        <f>HYPERLINK("https://www.wikidata.org/wiki/Q3573784", "Q3573784")</f>
        <v>0</v>
      </c>
      <c r="O8849" t="s">
        <v>20063</v>
      </c>
    </row>
    <row r="8850" spans="1:15">
      <c r="A8850" t="s">
        <v>45</v>
      </c>
      <c r="B8850" t="s">
        <v>149</v>
      </c>
      <c r="C8850" t="s">
        <v>177</v>
      </c>
      <c r="D8850" t="s">
        <v>306</v>
      </c>
      <c r="E8850" t="s">
        <v>430</v>
      </c>
      <c r="F8850">
        <f>HYPERLINK("https://www.wikidata.org/wiki/Q3111897", "Q3111897")</f>
        <v>0</v>
      </c>
      <c r="G8850" t="s">
        <v>1076</v>
      </c>
      <c r="H8850" t="s">
        <v>5820</v>
      </c>
      <c r="I8850" t="s">
        <v>9602</v>
      </c>
      <c r="J8850" t="s">
        <v>11812</v>
      </c>
      <c r="K8850" t="s">
        <v>16213</v>
      </c>
      <c r="L8850">
        <f>HYPERLINK("https://www2.assemblee-nationale.fr/sycomore/fiche/(num_dept)/7691", "7691")</f>
        <v>0</v>
      </c>
      <c r="M8850">
        <f>HYPERLINK("https://www.senat.fr/senateur-3eme-republique/lefebvre_du_prey_edmond0976r3.html", "lefebvre_du_prey_edmond0976r3")</f>
        <v>0</v>
      </c>
      <c r="N8850">
        <f>HYPERLINK("https://www.wikidata.org/wiki/Q1285694", "Q1285694")</f>
        <v>0</v>
      </c>
      <c r="O8850" t="s">
        <v>20123</v>
      </c>
    </row>
    <row r="8851" spans="1:15">
      <c r="A8851" t="s">
        <v>45</v>
      </c>
      <c r="B8851" t="s">
        <v>149</v>
      </c>
      <c r="C8851" t="s">
        <v>177</v>
      </c>
      <c r="D8851" t="s">
        <v>306</v>
      </c>
      <c r="E8851" t="s">
        <v>430</v>
      </c>
      <c r="F8851">
        <f>HYPERLINK("https://www.wikidata.org/wiki/Q3111897", "Q3111897")</f>
        <v>0</v>
      </c>
      <c r="G8851" t="s">
        <v>1328</v>
      </c>
      <c r="H8851" t="s">
        <v>6047</v>
      </c>
      <c r="I8851" t="s">
        <v>6175</v>
      </c>
      <c r="J8851" t="s">
        <v>12056</v>
      </c>
      <c r="K8851" t="s">
        <v>16457</v>
      </c>
      <c r="L8851">
        <f>HYPERLINK("https://www2.assemblee-nationale.fr/sycomore/fiche/(num_dept)/7789", "7789")</f>
        <v>0</v>
      </c>
      <c r="M8851">
        <f>HYPERLINK("https://www.senat.fr/senateur-3eme-republique/leredu_georges1647r3.html", "leredu_georges1647r3")</f>
        <v>0</v>
      </c>
      <c r="N8851">
        <f>HYPERLINK("https://www.wikidata.org/wiki/Q3103090", "Q3103090")</f>
        <v>0</v>
      </c>
      <c r="O8851" t="s">
        <v>20173</v>
      </c>
    </row>
    <row r="8852" spans="1:15">
      <c r="A8852" t="s">
        <v>45</v>
      </c>
      <c r="B8852" t="s">
        <v>149</v>
      </c>
      <c r="C8852" t="s">
        <v>177</v>
      </c>
      <c r="D8852" t="s">
        <v>306</v>
      </c>
      <c r="E8852" t="s">
        <v>430</v>
      </c>
      <c r="F8852">
        <f>HYPERLINK("https://www.wikidata.org/wiki/Q3111897", "Q3111897")</f>
        <v>0</v>
      </c>
      <c r="G8852" t="s">
        <v>522</v>
      </c>
      <c r="H8852" t="s">
        <v>5286</v>
      </c>
      <c r="I8852" t="s">
        <v>5528</v>
      </c>
      <c r="J8852" t="s">
        <v>11274</v>
      </c>
      <c r="K8852" t="s">
        <v>19078</v>
      </c>
      <c r="N8852">
        <f>HYPERLINK("https://www.wikidata.org/wiki/Q18384890", "Q18384890")</f>
        <v>0</v>
      </c>
      <c r="O8852" t="s">
        <v>20129</v>
      </c>
    </row>
    <row r="8853" spans="1:15">
      <c r="A8853" t="s">
        <v>45</v>
      </c>
      <c r="B8853" t="s">
        <v>149</v>
      </c>
      <c r="C8853" t="s">
        <v>177</v>
      </c>
      <c r="D8853" t="s">
        <v>306</v>
      </c>
      <c r="E8853" t="s">
        <v>430</v>
      </c>
      <c r="F8853">
        <f>HYPERLINK("https://www.wikidata.org/wiki/Q3111897", "Q3111897")</f>
        <v>0</v>
      </c>
      <c r="G8853" t="s">
        <v>4243</v>
      </c>
      <c r="H8853" t="s">
        <v>8417</v>
      </c>
      <c r="I8853" t="s">
        <v>6860</v>
      </c>
      <c r="J8853" t="s">
        <v>14749</v>
      </c>
      <c r="K8853" t="s">
        <v>19095</v>
      </c>
      <c r="M8853">
        <f>HYPERLINK("https://www.senat.fr/senateur-3eme-republique/marraud_pierre0748r3.html", "marraud_pierre0748r3")</f>
        <v>0</v>
      </c>
      <c r="N8853">
        <f>HYPERLINK("https://www.wikidata.org/wiki/Q3386156", "Q3386156")</f>
        <v>0</v>
      </c>
      <c r="O8853" t="s">
        <v>20113</v>
      </c>
    </row>
    <row r="8854" spans="1:15">
      <c r="A8854" t="s">
        <v>45</v>
      </c>
      <c r="B8854" t="s">
        <v>149</v>
      </c>
      <c r="C8854" t="s">
        <v>177</v>
      </c>
      <c r="D8854" t="s">
        <v>306</v>
      </c>
      <c r="E8854" t="s">
        <v>430</v>
      </c>
      <c r="F8854">
        <f>HYPERLINK("https://www.wikidata.org/wiki/Q3111897", "Q3111897")</f>
        <v>0</v>
      </c>
      <c r="G8854" t="s">
        <v>4252</v>
      </c>
      <c r="H8854" t="s">
        <v>5865</v>
      </c>
      <c r="I8854" t="s">
        <v>9533</v>
      </c>
      <c r="J8854" t="s">
        <v>14756</v>
      </c>
      <c r="K8854" t="s">
        <v>19103</v>
      </c>
      <c r="N8854">
        <f>HYPERLINK("https://www.wikidata.org/wiki/Q3526497", "Q3526497")</f>
        <v>0</v>
      </c>
      <c r="O8854" t="s">
        <v>20124</v>
      </c>
    </row>
    <row r="8855" spans="1:15">
      <c r="A8855" t="s">
        <v>46</v>
      </c>
      <c r="B8855" t="s">
        <v>149</v>
      </c>
      <c r="C8855" t="s">
        <v>178</v>
      </c>
      <c r="D8855" t="s">
        <v>307</v>
      </c>
      <c r="E8855" t="s">
        <v>431</v>
      </c>
      <c r="F8855">
        <f>HYPERLINK("https://www.wikidata.org/wiki/Q3111898", "Q3111898")</f>
        <v>0</v>
      </c>
      <c r="G8855" t="s">
        <v>520</v>
      </c>
      <c r="H8855" t="s">
        <v>5284</v>
      </c>
      <c r="I8855" t="s">
        <v>9388</v>
      </c>
      <c r="J8855" t="s">
        <v>11272</v>
      </c>
      <c r="K8855" t="s">
        <v>15672</v>
      </c>
      <c r="L8855">
        <f>HYPERLINK("https://www2.assemblee-nationale.fr/sycomore/fiche/(num_dept)/608", "608")</f>
        <v>0</v>
      </c>
      <c r="M8855">
        <f>HYPERLINK("https://www.senat.fr/senateur-3eme-republique/benazet_paul_louis0281r3.html", "benazet_paul_louis0281r3")</f>
        <v>0</v>
      </c>
      <c r="N8855">
        <f>HYPERLINK("https://www.wikidata.org/wiki/Q3370779", "Q3370779")</f>
        <v>0</v>
      </c>
      <c r="O8855" t="s">
        <v>20174</v>
      </c>
    </row>
    <row r="8856" spans="1:15">
      <c r="A8856" t="s">
        <v>46</v>
      </c>
      <c r="B8856" t="s">
        <v>149</v>
      </c>
      <c r="C8856" t="s">
        <v>178</v>
      </c>
      <c r="D8856" t="s">
        <v>307</v>
      </c>
      <c r="E8856" t="s">
        <v>431</v>
      </c>
      <c r="F8856">
        <f>HYPERLINK("https://www.wikidata.org/wiki/Q3111898", "Q3111898")</f>
        <v>0</v>
      </c>
      <c r="G8856" t="s">
        <v>520</v>
      </c>
      <c r="H8856" t="s">
        <v>5284</v>
      </c>
      <c r="I8856" t="s">
        <v>9388</v>
      </c>
      <c r="J8856" t="s">
        <v>11272</v>
      </c>
      <c r="K8856" t="s">
        <v>15672</v>
      </c>
      <c r="L8856">
        <f>HYPERLINK("https://www2.assemblee-nationale.fr/sycomore/fiche/(num_dept)/608", "608")</f>
        <v>0</v>
      </c>
      <c r="M8856">
        <f>HYPERLINK("https://www.senat.fr/senateur-3eme-republique/benazet_paul_louis0281r3.html", "benazet_paul_louis0281r3")</f>
        <v>0</v>
      </c>
      <c r="N8856">
        <f>HYPERLINK("https://www.wikidata.org/wiki/Q3370779", "Q3370779")</f>
        <v>0</v>
      </c>
      <c r="O8856" t="s">
        <v>20175</v>
      </c>
    </row>
    <row r="8857" spans="1:15">
      <c r="A8857" t="s">
        <v>46</v>
      </c>
      <c r="B8857" t="s">
        <v>149</v>
      </c>
      <c r="C8857" t="s">
        <v>178</v>
      </c>
      <c r="D8857" t="s">
        <v>307</v>
      </c>
      <c r="E8857" t="s">
        <v>431</v>
      </c>
      <c r="F8857">
        <f>HYPERLINK("https://www.wikidata.org/wiki/Q3111898", "Q3111898")</f>
        <v>0</v>
      </c>
      <c r="G8857" t="s">
        <v>553</v>
      </c>
      <c r="H8857" t="s">
        <v>5316</v>
      </c>
      <c r="I8857" t="s">
        <v>9411</v>
      </c>
      <c r="J8857" t="s">
        <v>11304</v>
      </c>
      <c r="K8857" t="s">
        <v>15705</v>
      </c>
      <c r="L8857">
        <f>HYPERLINK("https://www2.assemblee-nationale.fr/sycomore/fiche/(num_dept)/1211", "1211")</f>
        <v>0</v>
      </c>
      <c r="N8857">
        <f>HYPERLINK("https://www.wikidata.org/wiki/Q179888", "Q179888")</f>
        <v>0</v>
      </c>
      <c r="O8857" t="s">
        <v>20062</v>
      </c>
    </row>
    <row r="8858" spans="1:15">
      <c r="A8858" t="s">
        <v>46</v>
      </c>
      <c r="B8858" t="s">
        <v>149</v>
      </c>
      <c r="C8858" t="s">
        <v>178</v>
      </c>
      <c r="D8858" t="s">
        <v>307</v>
      </c>
      <c r="E8858" t="s">
        <v>431</v>
      </c>
      <c r="F8858">
        <f>HYPERLINK("https://www.wikidata.org/wiki/Q3111898", "Q3111898")</f>
        <v>0</v>
      </c>
      <c r="G8858" t="s">
        <v>553</v>
      </c>
      <c r="H8858" t="s">
        <v>5316</v>
      </c>
      <c r="I8858" t="s">
        <v>9411</v>
      </c>
      <c r="J8858" t="s">
        <v>11304</v>
      </c>
      <c r="K8858" t="s">
        <v>15705</v>
      </c>
      <c r="L8858">
        <f>HYPERLINK("https://www2.assemblee-nationale.fr/sycomore/fiche/(num_dept)/1211", "1211")</f>
        <v>0</v>
      </c>
      <c r="N8858">
        <f>HYPERLINK("https://www.wikidata.org/wiki/Q179888", "Q179888")</f>
        <v>0</v>
      </c>
      <c r="O8858" t="s">
        <v>20052</v>
      </c>
    </row>
    <row r="8859" spans="1:15">
      <c r="A8859" t="s">
        <v>46</v>
      </c>
      <c r="B8859" t="s">
        <v>149</v>
      </c>
      <c r="C8859" t="s">
        <v>178</v>
      </c>
      <c r="D8859" t="s">
        <v>307</v>
      </c>
      <c r="E8859" t="s">
        <v>431</v>
      </c>
      <c r="F8859">
        <f>HYPERLINK("https://www.wikidata.org/wiki/Q3111898", "Q3111898")</f>
        <v>0</v>
      </c>
      <c r="G8859" t="s">
        <v>1410</v>
      </c>
      <c r="H8859" t="s">
        <v>5337</v>
      </c>
      <c r="I8859" t="s">
        <v>9506</v>
      </c>
      <c r="J8859" t="s">
        <v>12135</v>
      </c>
      <c r="K8859" t="s">
        <v>16537</v>
      </c>
      <c r="L8859">
        <f>HYPERLINK("https://www2.assemblee-nationale.fr/sycomore/fiche/(num_dept)/1726", "1726")</f>
        <v>0</v>
      </c>
      <c r="M8859">
        <f>HYPERLINK("https://www.senat.fr/senateur-3eme-republique/chautemps_camille0380r3.html", "chautemps_camille0380r3")</f>
        <v>0</v>
      </c>
      <c r="N8859">
        <f>HYPERLINK("https://www.wikidata.org/wiki/Q263884", "Q263884")</f>
        <v>0</v>
      </c>
      <c r="O8859" t="s">
        <v>20113</v>
      </c>
    </row>
    <row r="8860" spans="1:15">
      <c r="A8860" t="s">
        <v>46</v>
      </c>
      <c r="B8860" t="s">
        <v>149</v>
      </c>
      <c r="C8860" t="s">
        <v>178</v>
      </c>
      <c r="D8860" t="s">
        <v>307</v>
      </c>
      <c r="E8860" t="s">
        <v>431</v>
      </c>
      <c r="F8860">
        <f>HYPERLINK("https://www.wikidata.org/wiki/Q3111898", "Q3111898")</f>
        <v>0</v>
      </c>
      <c r="G8860" t="s">
        <v>1759</v>
      </c>
      <c r="H8860" t="s">
        <v>6427</v>
      </c>
      <c r="I8860" t="s">
        <v>6175</v>
      </c>
      <c r="J8860" t="s">
        <v>12459</v>
      </c>
      <c r="K8860" t="s">
        <v>16865</v>
      </c>
      <c r="L8860">
        <f>HYPERLINK("https://www2.assemblee-nationale.fr/sycomore/fiche/(num_dept)/1737", "1737")</f>
        <v>0</v>
      </c>
      <c r="N8860">
        <f>HYPERLINK("https://www.wikidata.org/wiki/Q3102461", "Q3102461")</f>
        <v>0</v>
      </c>
      <c r="O8860" t="s">
        <v>20176</v>
      </c>
    </row>
    <row r="8861" spans="1:15">
      <c r="A8861" t="s">
        <v>46</v>
      </c>
      <c r="B8861" t="s">
        <v>149</v>
      </c>
      <c r="C8861" t="s">
        <v>178</v>
      </c>
      <c r="D8861" t="s">
        <v>307</v>
      </c>
      <c r="E8861" t="s">
        <v>431</v>
      </c>
      <c r="F8861">
        <f>HYPERLINK("https://www.wikidata.org/wiki/Q3111898", "Q3111898")</f>
        <v>0</v>
      </c>
      <c r="G8861" t="s">
        <v>1423</v>
      </c>
      <c r="H8861" t="s">
        <v>6128</v>
      </c>
      <c r="I8861" t="s">
        <v>9728</v>
      </c>
      <c r="J8861" t="s">
        <v>12147</v>
      </c>
      <c r="K8861" t="s">
        <v>16549</v>
      </c>
      <c r="L8861">
        <f>HYPERLINK("https://www2.assemblee-nationale.fr/sycomore/fiche/(num_dept)/2105", "2105")</f>
        <v>0</v>
      </c>
      <c r="N8861">
        <f>HYPERLINK("https://www.wikidata.org/wiki/Q213526", "Q213526")</f>
        <v>0</v>
      </c>
      <c r="O8861" t="s">
        <v>20129</v>
      </c>
    </row>
    <row r="8862" spans="1:15">
      <c r="A8862" t="s">
        <v>46</v>
      </c>
      <c r="B8862" t="s">
        <v>149</v>
      </c>
      <c r="C8862" t="s">
        <v>178</v>
      </c>
      <c r="D8862" t="s">
        <v>307</v>
      </c>
      <c r="E8862" t="s">
        <v>431</v>
      </c>
      <c r="F8862">
        <f>HYPERLINK("https://www.wikidata.org/wiki/Q3111898", "Q3111898")</f>
        <v>0</v>
      </c>
      <c r="G8862" t="s">
        <v>920</v>
      </c>
      <c r="H8862" t="s">
        <v>5676</v>
      </c>
      <c r="I8862" t="s">
        <v>9385</v>
      </c>
      <c r="J8862" t="s">
        <v>11662</v>
      </c>
      <c r="K8862" t="s">
        <v>16063</v>
      </c>
      <c r="L8862">
        <f>HYPERLINK("https://www2.assemblee-nationale.fr/sycomore/fiche/(num_dept)/2124", "2124")</f>
        <v>0</v>
      </c>
      <c r="N8862">
        <f>HYPERLINK("https://www.wikidata.org/wiki/Q2958846", "Q2958846")</f>
        <v>0</v>
      </c>
      <c r="O8862" t="s">
        <v>20133</v>
      </c>
    </row>
    <row r="8863" spans="1:15">
      <c r="A8863" t="s">
        <v>46</v>
      </c>
      <c r="B8863" t="s">
        <v>149</v>
      </c>
      <c r="C8863" t="s">
        <v>178</v>
      </c>
      <c r="D8863" t="s">
        <v>307</v>
      </c>
      <c r="E8863" t="s">
        <v>431</v>
      </c>
      <c r="F8863">
        <f>HYPERLINK("https://www.wikidata.org/wiki/Q3111898", "Q3111898")</f>
        <v>0</v>
      </c>
      <c r="G8863" t="s">
        <v>3381</v>
      </c>
      <c r="H8863" t="s">
        <v>7773</v>
      </c>
      <c r="I8863" t="s">
        <v>9388</v>
      </c>
      <c r="J8863" t="s">
        <v>13991</v>
      </c>
      <c r="K8863" t="s">
        <v>18361</v>
      </c>
      <c r="L8863">
        <f>HYPERLINK("https://www2.assemblee-nationale.fr/sycomore/fiche/(num_dept)/2569", "2569")</f>
        <v>0</v>
      </c>
      <c r="M8863">
        <f>HYPERLINK("https://www.senat.fr/senateur-3eme-republique/doumer_paul0473r3.html", "doumer_paul0473r3")</f>
        <v>0</v>
      </c>
      <c r="N8863">
        <f>HYPERLINK("https://www.wikidata.org/wiki/Q12680", "Q12680")</f>
        <v>0</v>
      </c>
      <c r="O8863" t="s">
        <v>20066</v>
      </c>
    </row>
    <row r="8864" spans="1:15">
      <c r="A8864" t="s">
        <v>46</v>
      </c>
      <c r="B8864" t="s">
        <v>149</v>
      </c>
      <c r="C8864" t="s">
        <v>178</v>
      </c>
      <c r="D8864" t="s">
        <v>307</v>
      </c>
      <c r="E8864" t="s">
        <v>431</v>
      </c>
      <c r="F8864">
        <f>HYPERLINK("https://www.wikidata.org/wiki/Q3111898", "Q3111898")</f>
        <v>0</v>
      </c>
      <c r="G8864" t="s">
        <v>952</v>
      </c>
      <c r="H8864" t="s">
        <v>5704</v>
      </c>
      <c r="I8864" t="s">
        <v>9401</v>
      </c>
      <c r="J8864" t="s">
        <v>11693</v>
      </c>
      <c r="K8864" t="s">
        <v>16094</v>
      </c>
      <c r="L8864">
        <f>HYPERLINK("https://www2.assemblee-nationale.fr/sycomore/fiche/(num_dept)/2750", "2750")</f>
        <v>0</v>
      </c>
      <c r="N8864">
        <f>HYPERLINK("https://www.wikidata.org/wiki/Q2853905", "Q2853905")</f>
        <v>0</v>
      </c>
      <c r="O8864" t="s">
        <v>20126</v>
      </c>
    </row>
    <row r="8865" spans="1:15">
      <c r="A8865" t="s">
        <v>46</v>
      </c>
      <c r="B8865" t="s">
        <v>149</v>
      </c>
      <c r="C8865" t="s">
        <v>178</v>
      </c>
      <c r="D8865" t="s">
        <v>307</v>
      </c>
      <c r="E8865" t="s">
        <v>431</v>
      </c>
      <c r="F8865">
        <f>HYPERLINK("https://www.wikidata.org/wiki/Q3111898", "Q3111898")</f>
        <v>0</v>
      </c>
      <c r="G8865" t="s">
        <v>1170</v>
      </c>
      <c r="H8865" t="s">
        <v>5901</v>
      </c>
      <c r="I8865" t="s">
        <v>5592</v>
      </c>
      <c r="J8865" t="s">
        <v>11903</v>
      </c>
      <c r="K8865" t="s">
        <v>16305</v>
      </c>
      <c r="L8865">
        <f>HYPERLINK("https://www2.assemblee-nationale.fr/sycomore/fiche/(num_dept)/2874", "2874")</f>
        <v>0</v>
      </c>
      <c r="M8865">
        <f>HYPERLINK("https://www.senat.fr/senateur-3eme-republique/eynac_laurent0520r3.html", "eynac_laurent0520r3")</f>
        <v>0</v>
      </c>
      <c r="N8865">
        <f>HYPERLINK("https://www.wikidata.org/wiki/Q3219208", "Q3219208")</f>
        <v>0</v>
      </c>
      <c r="O8865" t="s">
        <v>20128</v>
      </c>
    </row>
    <row r="8866" spans="1:15">
      <c r="A8866" t="s">
        <v>46</v>
      </c>
      <c r="B8866" t="s">
        <v>149</v>
      </c>
      <c r="C8866" t="s">
        <v>178</v>
      </c>
      <c r="D8866" t="s">
        <v>307</v>
      </c>
      <c r="E8866" t="s">
        <v>431</v>
      </c>
      <c r="F8866">
        <f>HYPERLINK("https://www.wikidata.org/wiki/Q3111898", "Q3111898")</f>
        <v>0</v>
      </c>
      <c r="G8866" t="s">
        <v>1507</v>
      </c>
      <c r="H8866" t="s">
        <v>6204</v>
      </c>
      <c r="I8866" t="s">
        <v>9388</v>
      </c>
      <c r="J8866" t="s">
        <v>12225</v>
      </c>
      <c r="K8866" t="s">
        <v>16630</v>
      </c>
      <c r="L8866">
        <f>HYPERLINK("https://www2.assemblee-nationale.fr/sycomore/fiche/(num_dept)/4069", "4069")</f>
        <v>0</v>
      </c>
      <c r="M8866">
        <f>HYPERLINK("https://www.senat.fr/senateur-3eme-republique/jourdain_paul1113r3.html", "jourdain_paul1113r3")</f>
        <v>0</v>
      </c>
      <c r="N8866">
        <f>HYPERLINK("https://www.wikidata.org/wiki/Q3371547", "Q3371547")</f>
        <v>0</v>
      </c>
      <c r="O8866" t="s">
        <v>20088</v>
      </c>
    </row>
    <row r="8867" spans="1:15">
      <c r="A8867" t="s">
        <v>46</v>
      </c>
      <c r="B8867" t="s">
        <v>149</v>
      </c>
      <c r="C8867" t="s">
        <v>178</v>
      </c>
      <c r="D8867" t="s">
        <v>307</v>
      </c>
      <c r="E8867" t="s">
        <v>431</v>
      </c>
      <c r="F8867">
        <f>HYPERLINK("https://www.wikidata.org/wiki/Q3111898", "Q3111898")</f>
        <v>0</v>
      </c>
      <c r="G8867" t="s">
        <v>1517</v>
      </c>
      <c r="H8867" t="s">
        <v>6213</v>
      </c>
      <c r="I8867" t="s">
        <v>6495</v>
      </c>
      <c r="J8867" t="s">
        <v>12234</v>
      </c>
      <c r="K8867" t="s">
        <v>16640</v>
      </c>
      <c r="L8867">
        <f>HYPERLINK("https://www2.assemblee-nationale.fr/sycomore/fiche/(num_dept)/4823", "4823")</f>
        <v>0</v>
      </c>
      <c r="N8867">
        <f>HYPERLINK("https://www.wikidata.org/wiki/Q2788498", "Q2788498")</f>
        <v>0</v>
      </c>
      <c r="O8867" t="s">
        <v>20066</v>
      </c>
    </row>
    <row r="8868" spans="1:15">
      <c r="A8868" t="s">
        <v>46</v>
      </c>
      <c r="B8868" t="s">
        <v>149</v>
      </c>
      <c r="C8868" t="s">
        <v>178</v>
      </c>
      <c r="D8868" t="s">
        <v>307</v>
      </c>
      <c r="E8868" t="s">
        <v>431</v>
      </c>
      <c r="F8868">
        <f>HYPERLINK("https://www.wikidata.org/wiki/Q3111898", "Q3111898")</f>
        <v>0</v>
      </c>
      <c r="G8868" t="s">
        <v>738</v>
      </c>
      <c r="H8868" t="s">
        <v>5496</v>
      </c>
      <c r="I8868" t="s">
        <v>9503</v>
      </c>
      <c r="J8868" t="s">
        <v>11487</v>
      </c>
      <c r="K8868" t="s">
        <v>15889</v>
      </c>
      <c r="L8868">
        <f>HYPERLINK("https://www2.assemblee-nationale.fr/sycomore/fiche/(num_dept)/5394", "5394")</f>
        <v>0</v>
      </c>
      <c r="M8868">
        <f>HYPERLINK("https://www.senat.fr/senateur-3eme-republique/de_monzie_anatole0605r3.html", "de_monzie_anatole0605r3")</f>
        <v>0</v>
      </c>
      <c r="N8868">
        <f>HYPERLINK("https://www.wikidata.org/wiki/Q2845619", "Q2845619")</f>
        <v>0</v>
      </c>
      <c r="O8868" t="s">
        <v>20063</v>
      </c>
    </row>
    <row r="8869" spans="1:15">
      <c r="A8869" t="s">
        <v>46</v>
      </c>
      <c r="B8869" t="s">
        <v>149</v>
      </c>
      <c r="C8869" t="s">
        <v>178</v>
      </c>
      <c r="D8869" t="s">
        <v>307</v>
      </c>
      <c r="E8869" t="s">
        <v>431</v>
      </c>
      <c r="F8869">
        <f>HYPERLINK("https://www.wikidata.org/wiki/Q3111898", "Q3111898")</f>
        <v>0</v>
      </c>
      <c r="G8869" t="s">
        <v>740</v>
      </c>
      <c r="H8869" t="s">
        <v>5498</v>
      </c>
      <c r="I8869" t="s">
        <v>9388</v>
      </c>
      <c r="J8869" t="s">
        <v>11489</v>
      </c>
      <c r="K8869" t="s">
        <v>15891</v>
      </c>
      <c r="L8869">
        <f>HYPERLINK("https://www2.assemblee-nationale.fr/sycomore/fiche/(num_dept)/5413", "5413")</f>
        <v>0</v>
      </c>
      <c r="N8869">
        <f>HYPERLINK("https://www.wikidata.org/wiki/Q3371866", "Q3371866")</f>
        <v>0</v>
      </c>
      <c r="O8869" t="s">
        <v>20177</v>
      </c>
    </row>
    <row r="8870" spans="1:15">
      <c r="A8870" t="s">
        <v>46</v>
      </c>
      <c r="B8870" t="s">
        <v>149</v>
      </c>
      <c r="C8870" t="s">
        <v>178</v>
      </c>
      <c r="D8870" t="s">
        <v>307</v>
      </c>
      <c r="E8870" t="s">
        <v>431</v>
      </c>
      <c r="F8870">
        <f>HYPERLINK("https://www.wikidata.org/wiki/Q3111898", "Q3111898")</f>
        <v>0</v>
      </c>
      <c r="G8870" t="s">
        <v>1286</v>
      </c>
      <c r="H8870" t="s">
        <v>6008</v>
      </c>
      <c r="I8870" t="s">
        <v>6200</v>
      </c>
      <c r="J8870" t="s">
        <v>12016</v>
      </c>
      <c r="K8870" t="s">
        <v>16419</v>
      </c>
      <c r="L8870">
        <f>HYPERLINK("https://www2.assemblee-nationale.fr/sycomore/fiche/(num_dept)/5624", "5624")</f>
        <v>0</v>
      </c>
      <c r="N8870">
        <f>HYPERLINK("https://www.wikidata.org/wiki/Q3173799", "Q3173799")</f>
        <v>0</v>
      </c>
      <c r="O8870" t="s">
        <v>20130</v>
      </c>
    </row>
    <row r="8871" spans="1:15">
      <c r="A8871" t="s">
        <v>46</v>
      </c>
      <c r="B8871" t="s">
        <v>149</v>
      </c>
      <c r="C8871" t="s">
        <v>178</v>
      </c>
      <c r="D8871" t="s">
        <v>307</v>
      </c>
      <c r="E8871" t="s">
        <v>431</v>
      </c>
      <c r="F8871">
        <f>HYPERLINK("https://www.wikidata.org/wiki/Q3111898", "Q3111898")</f>
        <v>0</v>
      </c>
      <c r="G8871" t="s">
        <v>1017</v>
      </c>
      <c r="H8871" t="s">
        <v>5767</v>
      </c>
      <c r="I8871" t="s">
        <v>9388</v>
      </c>
      <c r="J8871" t="s">
        <v>11754</v>
      </c>
      <c r="K8871" t="s">
        <v>16157</v>
      </c>
      <c r="L8871">
        <f>HYPERLINK("https://www2.assemblee-nationale.fr/sycomore/fiche/(num_dept)/5653", "5653")</f>
        <v>0</v>
      </c>
      <c r="N8871">
        <f>HYPERLINK("https://www.wikidata.org/wiki/Q315434", "Q315434")</f>
        <v>0</v>
      </c>
      <c r="O8871" t="s">
        <v>20057</v>
      </c>
    </row>
    <row r="8872" spans="1:15">
      <c r="A8872" t="s">
        <v>46</v>
      </c>
      <c r="B8872" t="s">
        <v>149</v>
      </c>
      <c r="C8872" t="s">
        <v>178</v>
      </c>
      <c r="D8872" t="s">
        <v>307</v>
      </c>
      <c r="E8872" t="s">
        <v>431</v>
      </c>
      <c r="F8872">
        <f>HYPERLINK("https://www.wikidata.org/wiki/Q3111898", "Q3111898")</f>
        <v>0</v>
      </c>
      <c r="G8872" t="s">
        <v>1026</v>
      </c>
      <c r="H8872" t="s">
        <v>5776</v>
      </c>
      <c r="I8872" t="s">
        <v>5528</v>
      </c>
      <c r="J8872" t="s">
        <v>11763</v>
      </c>
      <c r="K8872" t="s">
        <v>16164</v>
      </c>
      <c r="L8872">
        <f>HYPERLINK("https://www2.assemblee-nationale.fr/sycomore/fiche/(num_dept)/5811", "5811")</f>
        <v>0</v>
      </c>
      <c r="M8872">
        <f>HYPERLINK("https://www.senat.fr/senateur-3eme-republique/perrier_leon1193r3.html", "perrier_leon1193r3")</f>
        <v>0</v>
      </c>
      <c r="N8872">
        <f>HYPERLINK("https://www.wikidata.org/wiki/Q3271259", "Q3271259")</f>
        <v>0</v>
      </c>
      <c r="O8872" t="s">
        <v>20065</v>
      </c>
    </row>
    <row r="8873" spans="1:15">
      <c r="A8873" t="s">
        <v>46</v>
      </c>
      <c r="B8873" t="s">
        <v>149</v>
      </c>
      <c r="C8873" t="s">
        <v>178</v>
      </c>
      <c r="D8873" t="s">
        <v>307</v>
      </c>
      <c r="E8873" t="s">
        <v>431</v>
      </c>
      <c r="F8873">
        <f>HYPERLINK("https://www.wikidata.org/wiki/Q3111898", "Q3111898")</f>
        <v>0</v>
      </c>
      <c r="G8873" t="s">
        <v>804</v>
      </c>
      <c r="H8873" t="s">
        <v>5561</v>
      </c>
      <c r="I8873" t="s">
        <v>9476</v>
      </c>
      <c r="J8873" t="s">
        <v>11551</v>
      </c>
      <c r="K8873" t="s">
        <v>15955</v>
      </c>
      <c r="L8873">
        <f>HYPERLINK("https://www2.assemblee-nationale.fr/sycomore/fiche/(num_dept)/6684", "6684")</f>
        <v>0</v>
      </c>
      <c r="M8873">
        <f>HYPERLINK("https://www.senat.fr/senateur-3eme-republique/renoult_rene1734r3.html", "renoult_rene1734r3")</f>
        <v>0</v>
      </c>
      <c r="N8873">
        <f>HYPERLINK("https://www.wikidata.org/wiki/Q3426810", "Q3426810")</f>
        <v>0</v>
      </c>
      <c r="O8873" t="s">
        <v>20064</v>
      </c>
    </row>
    <row r="8874" spans="1:15">
      <c r="A8874" t="s">
        <v>46</v>
      </c>
      <c r="B8874" t="s">
        <v>149</v>
      </c>
      <c r="C8874" t="s">
        <v>178</v>
      </c>
      <c r="D8874" t="s">
        <v>307</v>
      </c>
      <c r="E8874" t="s">
        <v>431</v>
      </c>
      <c r="F8874">
        <f>HYPERLINK("https://www.wikidata.org/wiki/Q3111898", "Q3111898")</f>
        <v>0</v>
      </c>
      <c r="G8874" t="s">
        <v>1067</v>
      </c>
      <c r="H8874" t="s">
        <v>5812</v>
      </c>
      <c r="I8874" t="s">
        <v>9488</v>
      </c>
      <c r="J8874" t="s">
        <v>11804</v>
      </c>
      <c r="K8874" t="s">
        <v>16204</v>
      </c>
      <c r="L8874">
        <f>HYPERLINK("https://www2.assemblee-nationale.fr/sycomore/fiche/(num_dept)/7361", "7361")</f>
        <v>0</v>
      </c>
      <c r="M8874">
        <f>HYPERLINK("https://www.senat.fr/senateur-3eme-republique/daniel_vincent_charles1382r3.html", "daniel_vincent_charles1382r3")</f>
        <v>0</v>
      </c>
      <c r="N8874">
        <f>HYPERLINK("https://www.wikidata.org/wiki/Q3014792", "Q3014792")</f>
        <v>0</v>
      </c>
      <c r="O8874" t="s">
        <v>20110</v>
      </c>
    </row>
    <row r="8875" spans="1:15">
      <c r="A8875" t="s">
        <v>46</v>
      </c>
      <c r="B8875" t="s">
        <v>149</v>
      </c>
      <c r="C8875" t="s">
        <v>178</v>
      </c>
      <c r="D8875" t="s">
        <v>307</v>
      </c>
      <c r="E8875" t="s">
        <v>431</v>
      </c>
      <c r="F8875">
        <f>HYPERLINK("https://www.wikidata.org/wiki/Q3111898", "Q3111898")</f>
        <v>0</v>
      </c>
      <c r="G8875" t="s">
        <v>1323</v>
      </c>
      <c r="H8875" t="s">
        <v>6042</v>
      </c>
      <c r="I8875" t="s">
        <v>6860</v>
      </c>
      <c r="J8875" t="s">
        <v>12052</v>
      </c>
      <c r="K8875" t="s">
        <v>16453</v>
      </c>
      <c r="L8875">
        <f>HYPERLINK("https://www2.assemblee-nationale.fr/sycomore/fiche/(num_dept)/7519", "7519")</f>
        <v>0</v>
      </c>
      <c r="M8875">
        <f>HYPERLINK("https://www.senat.fr/senateur-3eme-republique/laval_pierre1565r3.html", "laval_pierre1565r3")</f>
        <v>0</v>
      </c>
      <c r="N8875">
        <f>HYPERLINK("https://www.wikidata.org/wiki/Q151983", "Q151983")</f>
        <v>0</v>
      </c>
      <c r="O8875" t="s">
        <v>20178</v>
      </c>
    </row>
    <row r="8876" spans="1:15">
      <c r="A8876" t="s">
        <v>46</v>
      </c>
      <c r="B8876" t="s">
        <v>149</v>
      </c>
      <c r="C8876" t="s">
        <v>178</v>
      </c>
      <c r="D8876" t="s">
        <v>307</v>
      </c>
      <c r="E8876" t="s">
        <v>431</v>
      </c>
      <c r="F8876">
        <f>HYPERLINK("https://www.wikidata.org/wiki/Q3111898", "Q3111898")</f>
        <v>0</v>
      </c>
      <c r="G8876" t="s">
        <v>1329</v>
      </c>
      <c r="H8876" t="s">
        <v>6048</v>
      </c>
      <c r="I8876" t="s">
        <v>9453</v>
      </c>
      <c r="J8876" t="s">
        <v>12057</v>
      </c>
      <c r="K8876" t="s">
        <v>16458</v>
      </c>
      <c r="L8876">
        <f>HYPERLINK("https://www2.assemblee-nationale.fr/sycomore/fiche/(num_dept)/7824", "7824")</f>
        <v>0</v>
      </c>
      <c r="N8876">
        <f>HYPERLINK("https://www.wikidata.org/wiki/Q2865199", "Q2865199")</f>
        <v>0</v>
      </c>
      <c r="O8876" t="s">
        <v>20134</v>
      </c>
    </row>
    <row r="8877" spans="1:15">
      <c r="A8877" t="s">
        <v>46</v>
      </c>
      <c r="B8877" t="s">
        <v>149</v>
      </c>
      <c r="C8877" t="s">
        <v>178</v>
      </c>
      <c r="D8877" t="s">
        <v>307</v>
      </c>
      <c r="E8877" t="s">
        <v>431</v>
      </c>
      <c r="F8877">
        <f>HYPERLINK("https://www.wikidata.org/wiki/Q3111898", "Q3111898")</f>
        <v>0</v>
      </c>
      <c r="G8877" t="s">
        <v>857</v>
      </c>
      <c r="H8877" t="s">
        <v>5613</v>
      </c>
      <c r="I8877" t="s">
        <v>6175</v>
      </c>
      <c r="J8877" t="s">
        <v>11603</v>
      </c>
      <c r="K8877" t="s">
        <v>16005</v>
      </c>
      <c r="L8877">
        <f>HYPERLINK("https://www2.assemblee-nationale.fr/sycomore/fiche/(num_dept)/7840", "7840")</f>
        <v>0</v>
      </c>
      <c r="N8877">
        <f>HYPERLINK("https://www.wikidata.org/wiki/Q728806", "Q728806")</f>
        <v>0</v>
      </c>
      <c r="O8877" t="s">
        <v>20053</v>
      </c>
    </row>
    <row r="8878" spans="1:15">
      <c r="A8878" t="s">
        <v>46</v>
      </c>
      <c r="B8878" t="s">
        <v>149</v>
      </c>
      <c r="C8878" t="s">
        <v>178</v>
      </c>
      <c r="D8878" t="s">
        <v>307</v>
      </c>
      <c r="E8878" t="s">
        <v>431</v>
      </c>
      <c r="F8878">
        <f>HYPERLINK("https://www.wikidata.org/wiki/Q3111898", "Q3111898")</f>
        <v>0</v>
      </c>
      <c r="G8878" t="s">
        <v>4253</v>
      </c>
      <c r="H8878" t="s">
        <v>8422</v>
      </c>
      <c r="I8878" t="s">
        <v>6478</v>
      </c>
      <c r="J8878" t="s">
        <v>14757</v>
      </c>
      <c r="K8878" t="s">
        <v>19104</v>
      </c>
      <c r="M8878">
        <f>HYPERLINK("https://www.senat.fr/senateur-3eme-republique/jouvenel_des_ursins_henri0468r3.html", "jouvenel_des_ursins_henri0468r3")</f>
        <v>0</v>
      </c>
      <c r="N8878">
        <f>HYPERLINK("https://www.wikidata.org/wiki/Q3133192", "Q3133192")</f>
        <v>0</v>
      </c>
      <c r="O8878" t="s">
        <v>20179</v>
      </c>
    </row>
    <row r="8879" spans="1:15">
      <c r="A8879" t="s">
        <v>46</v>
      </c>
      <c r="B8879" t="s">
        <v>149</v>
      </c>
      <c r="C8879" t="s">
        <v>178</v>
      </c>
      <c r="D8879" t="s">
        <v>307</v>
      </c>
      <c r="E8879" t="s">
        <v>431</v>
      </c>
      <c r="F8879">
        <f>HYPERLINK("https://www.wikidata.org/wiki/Q3111898", "Q3111898")</f>
        <v>0</v>
      </c>
      <c r="G8879" t="s">
        <v>628</v>
      </c>
      <c r="H8879" t="s">
        <v>5388</v>
      </c>
      <c r="I8879" t="s">
        <v>6200</v>
      </c>
      <c r="J8879" t="s">
        <v>11378</v>
      </c>
      <c r="K8879" t="s">
        <v>15780</v>
      </c>
      <c r="N8879">
        <f>HYPERLINK("https://www.wikidata.org/wiki/Q125250", "Q125250")</f>
        <v>0</v>
      </c>
      <c r="O8879" t="s">
        <v>20123</v>
      </c>
    </row>
    <row r="8880" spans="1:15">
      <c r="A8880" t="s">
        <v>47</v>
      </c>
      <c r="B8880" t="s">
        <v>149</v>
      </c>
      <c r="C8880" t="s">
        <v>179</v>
      </c>
      <c r="D8880" t="s">
        <v>308</v>
      </c>
      <c r="E8880" t="s">
        <v>432</v>
      </c>
      <c r="F8880">
        <f>HYPERLINK("https://www.wikidata.org/wiki/Q3111902", "Q3111902")</f>
        <v>0</v>
      </c>
      <c r="G8880" t="s">
        <v>520</v>
      </c>
      <c r="H8880" t="s">
        <v>5284</v>
      </c>
      <c r="I8880" t="s">
        <v>9388</v>
      </c>
      <c r="J8880" t="s">
        <v>11272</v>
      </c>
      <c r="K8880" t="s">
        <v>15672</v>
      </c>
      <c r="L8880">
        <f>HYPERLINK("https://www2.assemblee-nationale.fr/sycomore/fiche/(num_dept)/608", "608")</f>
        <v>0</v>
      </c>
      <c r="M8880">
        <f>HYPERLINK("https://www.senat.fr/senateur-3eme-republique/benazet_paul_louis0281r3.html", "benazet_paul_louis0281r3")</f>
        <v>0</v>
      </c>
      <c r="N8880">
        <f>HYPERLINK("https://www.wikidata.org/wiki/Q3370779", "Q3370779")</f>
        <v>0</v>
      </c>
      <c r="O8880" t="s">
        <v>20174</v>
      </c>
    </row>
    <row r="8881" spans="1:15">
      <c r="A8881" t="s">
        <v>47</v>
      </c>
      <c r="B8881" t="s">
        <v>149</v>
      </c>
      <c r="C8881" t="s">
        <v>179</v>
      </c>
      <c r="D8881" t="s">
        <v>308</v>
      </c>
      <c r="E8881" t="s">
        <v>432</v>
      </c>
      <c r="F8881">
        <f>HYPERLINK("https://www.wikidata.org/wiki/Q3111902", "Q3111902")</f>
        <v>0</v>
      </c>
      <c r="G8881" t="s">
        <v>520</v>
      </c>
      <c r="H8881" t="s">
        <v>5284</v>
      </c>
      <c r="I8881" t="s">
        <v>9388</v>
      </c>
      <c r="J8881" t="s">
        <v>11272</v>
      </c>
      <c r="K8881" t="s">
        <v>15672</v>
      </c>
      <c r="L8881">
        <f>HYPERLINK("https://www2.assemblee-nationale.fr/sycomore/fiche/(num_dept)/608", "608")</f>
        <v>0</v>
      </c>
      <c r="M8881">
        <f>HYPERLINK("https://www.senat.fr/senateur-3eme-republique/benazet_paul_louis0281r3.html", "benazet_paul_louis0281r3")</f>
        <v>0</v>
      </c>
      <c r="N8881">
        <f>HYPERLINK("https://www.wikidata.org/wiki/Q3370779", "Q3370779")</f>
        <v>0</v>
      </c>
      <c r="O8881" t="s">
        <v>20175</v>
      </c>
    </row>
    <row r="8882" spans="1:15">
      <c r="A8882" t="s">
        <v>47</v>
      </c>
      <c r="B8882" t="s">
        <v>149</v>
      </c>
      <c r="C8882" t="s">
        <v>179</v>
      </c>
      <c r="D8882" t="s">
        <v>308</v>
      </c>
      <c r="E8882" t="s">
        <v>432</v>
      </c>
      <c r="F8882">
        <f>HYPERLINK("https://www.wikidata.org/wiki/Q3111902", "Q3111902")</f>
        <v>0</v>
      </c>
      <c r="G8882" t="s">
        <v>530</v>
      </c>
      <c r="H8882" t="s">
        <v>5294</v>
      </c>
      <c r="I8882" t="s">
        <v>6166</v>
      </c>
      <c r="J8882" t="s">
        <v>11282</v>
      </c>
      <c r="K8882" t="s">
        <v>15682</v>
      </c>
      <c r="L8882">
        <f>HYPERLINK("https://www2.assemblee-nationale.fr/sycomore/fiche/(num_dept)/818", "818")</f>
        <v>0</v>
      </c>
      <c r="M8882">
        <f>HYPERLINK("https://www.senat.fr/senateur-3eme-republique/binet_francois0648r3.html", "binet_francois0648r3")</f>
        <v>0</v>
      </c>
      <c r="N8882">
        <f>HYPERLINK("https://www.wikidata.org/wiki/Q15973693", "Q15973693")</f>
        <v>0</v>
      </c>
      <c r="O8882" t="s">
        <v>20056</v>
      </c>
    </row>
    <row r="8883" spans="1:15">
      <c r="A8883" t="s">
        <v>47</v>
      </c>
      <c r="B8883" t="s">
        <v>149</v>
      </c>
      <c r="C8883" t="s">
        <v>179</v>
      </c>
      <c r="D8883" t="s">
        <v>308</v>
      </c>
      <c r="E8883" t="s">
        <v>432</v>
      </c>
      <c r="F8883">
        <f>HYPERLINK("https://www.wikidata.org/wiki/Q3111902", "Q3111902")</f>
        <v>0</v>
      </c>
      <c r="G8883" t="s">
        <v>553</v>
      </c>
      <c r="H8883" t="s">
        <v>5316</v>
      </c>
      <c r="I8883" t="s">
        <v>9411</v>
      </c>
      <c r="J8883" t="s">
        <v>11304</v>
      </c>
      <c r="K8883" t="s">
        <v>15705</v>
      </c>
      <c r="L8883">
        <f>HYPERLINK("https://www2.assemblee-nationale.fr/sycomore/fiche/(num_dept)/1211", "1211")</f>
        <v>0</v>
      </c>
      <c r="N8883">
        <f>HYPERLINK("https://www.wikidata.org/wiki/Q179888", "Q179888")</f>
        <v>0</v>
      </c>
      <c r="O8883" t="s">
        <v>20062</v>
      </c>
    </row>
    <row r="8884" spans="1:15">
      <c r="A8884" t="s">
        <v>47</v>
      </c>
      <c r="B8884" t="s">
        <v>149</v>
      </c>
      <c r="C8884" t="s">
        <v>179</v>
      </c>
      <c r="D8884" t="s">
        <v>308</v>
      </c>
      <c r="E8884" t="s">
        <v>432</v>
      </c>
      <c r="F8884">
        <f>HYPERLINK("https://www.wikidata.org/wiki/Q3111902", "Q3111902")</f>
        <v>0</v>
      </c>
      <c r="G8884" t="s">
        <v>553</v>
      </c>
      <c r="H8884" t="s">
        <v>5316</v>
      </c>
      <c r="I8884" t="s">
        <v>9411</v>
      </c>
      <c r="J8884" t="s">
        <v>11304</v>
      </c>
      <c r="K8884" t="s">
        <v>15705</v>
      </c>
      <c r="L8884">
        <f>HYPERLINK("https://www2.assemblee-nationale.fr/sycomore/fiche/(num_dept)/1211", "1211")</f>
        <v>0</v>
      </c>
      <c r="N8884">
        <f>HYPERLINK("https://www.wikidata.org/wiki/Q179888", "Q179888")</f>
        <v>0</v>
      </c>
      <c r="O8884" t="s">
        <v>20052</v>
      </c>
    </row>
    <row r="8885" spans="1:15">
      <c r="A8885" t="s">
        <v>47</v>
      </c>
      <c r="B8885" t="s">
        <v>149</v>
      </c>
      <c r="C8885" t="s">
        <v>179</v>
      </c>
      <c r="D8885" t="s">
        <v>308</v>
      </c>
      <c r="E8885" t="s">
        <v>432</v>
      </c>
      <c r="F8885">
        <f>HYPERLINK("https://www.wikidata.org/wiki/Q3111902", "Q3111902")</f>
        <v>0</v>
      </c>
      <c r="G8885" t="s">
        <v>920</v>
      </c>
      <c r="H8885" t="s">
        <v>5676</v>
      </c>
      <c r="I8885" t="s">
        <v>9385</v>
      </c>
      <c r="J8885" t="s">
        <v>11662</v>
      </c>
      <c r="K8885" t="s">
        <v>16063</v>
      </c>
      <c r="L8885">
        <f>HYPERLINK("https://www2.assemblee-nationale.fr/sycomore/fiche/(num_dept)/2124", "2124")</f>
        <v>0</v>
      </c>
      <c r="N8885">
        <f>HYPERLINK("https://www.wikidata.org/wiki/Q2958846", "Q2958846")</f>
        <v>0</v>
      </c>
      <c r="O8885" t="s">
        <v>20124</v>
      </c>
    </row>
    <row r="8886" spans="1:15">
      <c r="A8886" t="s">
        <v>47</v>
      </c>
      <c r="B8886" t="s">
        <v>149</v>
      </c>
      <c r="C8886" t="s">
        <v>179</v>
      </c>
      <c r="D8886" t="s">
        <v>308</v>
      </c>
      <c r="E8886" t="s">
        <v>432</v>
      </c>
      <c r="F8886">
        <f>HYPERLINK("https://www.wikidata.org/wiki/Q3111902", "Q3111902")</f>
        <v>0</v>
      </c>
      <c r="G8886" t="s">
        <v>952</v>
      </c>
      <c r="H8886" t="s">
        <v>5704</v>
      </c>
      <c r="I8886" t="s">
        <v>9401</v>
      </c>
      <c r="J8886" t="s">
        <v>11693</v>
      </c>
      <c r="K8886" t="s">
        <v>16094</v>
      </c>
      <c r="L8886">
        <f>HYPERLINK("https://www2.assemblee-nationale.fr/sycomore/fiche/(num_dept)/2750", "2750")</f>
        <v>0</v>
      </c>
      <c r="N8886">
        <f>HYPERLINK("https://www.wikidata.org/wiki/Q2853905", "Q2853905")</f>
        <v>0</v>
      </c>
      <c r="O8886" t="s">
        <v>20126</v>
      </c>
    </row>
    <row r="8887" spans="1:15">
      <c r="A8887" t="s">
        <v>47</v>
      </c>
      <c r="B8887" t="s">
        <v>149</v>
      </c>
      <c r="C8887" t="s">
        <v>179</v>
      </c>
      <c r="D8887" t="s">
        <v>308</v>
      </c>
      <c r="E8887" t="s">
        <v>432</v>
      </c>
      <c r="F8887">
        <f>HYPERLINK("https://www.wikidata.org/wiki/Q3111902", "Q3111902")</f>
        <v>0</v>
      </c>
      <c r="G8887" t="s">
        <v>1170</v>
      </c>
      <c r="H8887" t="s">
        <v>5901</v>
      </c>
      <c r="I8887" t="s">
        <v>5592</v>
      </c>
      <c r="J8887" t="s">
        <v>11903</v>
      </c>
      <c r="K8887" t="s">
        <v>16305</v>
      </c>
      <c r="L8887">
        <f>HYPERLINK("https://www2.assemblee-nationale.fr/sycomore/fiche/(num_dept)/2874", "2874")</f>
        <v>0</v>
      </c>
      <c r="M8887">
        <f>HYPERLINK("https://www.senat.fr/senateur-3eme-republique/eynac_laurent0520r3.html", "eynac_laurent0520r3")</f>
        <v>0</v>
      </c>
      <c r="N8887">
        <f>HYPERLINK("https://www.wikidata.org/wiki/Q3219208", "Q3219208")</f>
        <v>0</v>
      </c>
      <c r="O8887" t="s">
        <v>20128</v>
      </c>
    </row>
    <row r="8888" spans="1:15">
      <c r="A8888" t="s">
        <v>47</v>
      </c>
      <c r="B8888" t="s">
        <v>149</v>
      </c>
      <c r="C8888" t="s">
        <v>179</v>
      </c>
      <c r="D8888" t="s">
        <v>308</v>
      </c>
      <c r="E8888" t="s">
        <v>432</v>
      </c>
      <c r="F8888">
        <f>HYPERLINK("https://www.wikidata.org/wiki/Q3111902", "Q3111902")</f>
        <v>0</v>
      </c>
      <c r="G8888" t="s">
        <v>1456</v>
      </c>
      <c r="H8888" t="s">
        <v>6156</v>
      </c>
      <c r="I8888" t="s">
        <v>6585</v>
      </c>
      <c r="J8888" t="s">
        <v>12175</v>
      </c>
      <c r="K8888" t="s">
        <v>16581</v>
      </c>
      <c r="L8888">
        <f>HYPERLINK("https://www2.assemblee-nationale.fr/sycomore/fiche/(num_dept)/2900", "2900")</f>
        <v>0</v>
      </c>
      <c r="M8888">
        <f>HYPERLINK("https://www.senat.fr/senateur-3eme-republique/fallieres_andre0749r3.html", "fallieres_andre0749r3")</f>
        <v>0</v>
      </c>
      <c r="N8888">
        <f>HYPERLINK("https://www.wikidata.org/wiki/Q2847742", "Q2847742")</f>
        <v>0</v>
      </c>
      <c r="O8888" t="s">
        <v>20054</v>
      </c>
    </row>
    <row r="8889" spans="1:15">
      <c r="A8889" t="s">
        <v>47</v>
      </c>
      <c r="B8889" t="s">
        <v>149</v>
      </c>
      <c r="C8889" t="s">
        <v>179</v>
      </c>
      <c r="D8889" t="s">
        <v>308</v>
      </c>
      <c r="E8889" t="s">
        <v>432</v>
      </c>
      <c r="F8889">
        <f>HYPERLINK("https://www.wikidata.org/wiki/Q3111902", "Q3111902")</f>
        <v>0</v>
      </c>
      <c r="G8889" t="s">
        <v>1507</v>
      </c>
      <c r="H8889" t="s">
        <v>6204</v>
      </c>
      <c r="I8889" t="s">
        <v>9388</v>
      </c>
      <c r="J8889" t="s">
        <v>12225</v>
      </c>
      <c r="K8889" t="s">
        <v>16630</v>
      </c>
      <c r="L8889">
        <f>HYPERLINK("https://www2.assemblee-nationale.fr/sycomore/fiche/(num_dept)/4069", "4069")</f>
        <v>0</v>
      </c>
      <c r="M8889">
        <f>HYPERLINK("https://www.senat.fr/senateur-3eme-republique/jourdain_paul1113r3.html", "jourdain_paul1113r3")</f>
        <v>0</v>
      </c>
      <c r="N8889">
        <f>HYPERLINK("https://www.wikidata.org/wiki/Q3371547", "Q3371547")</f>
        <v>0</v>
      </c>
      <c r="O8889" t="s">
        <v>20088</v>
      </c>
    </row>
    <row r="8890" spans="1:15">
      <c r="A8890" t="s">
        <v>47</v>
      </c>
      <c r="B8890" t="s">
        <v>149</v>
      </c>
      <c r="C8890" t="s">
        <v>179</v>
      </c>
      <c r="D8890" t="s">
        <v>308</v>
      </c>
      <c r="E8890" t="s">
        <v>432</v>
      </c>
      <c r="F8890">
        <f>HYPERLINK("https://www.wikidata.org/wiki/Q3111902", "Q3111902")</f>
        <v>0</v>
      </c>
      <c r="G8890" t="s">
        <v>721</v>
      </c>
      <c r="H8890" t="s">
        <v>5479</v>
      </c>
      <c r="I8890" t="s">
        <v>6495</v>
      </c>
      <c r="J8890" t="s">
        <v>11470</v>
      </c>
      <c r="K8890" t="s">
        <v>15872</v>
      </c>
      <c r="L8890">
        <f>HYPERLINK("https://www2.assemblee-nationale.fr/sycomore/fiche/(num_dept)/4940", "4940")</f>
        <v>0</v>
      </c>
      <c r="N8890">
        <f>HYPERLINK("https://www.wikidata.org/wiki/Q3262600", "Q3262600")</f>
        <v>0</v>
      </c>
      <c r="O8890" t="s">
        <v>20113</v>
      </c>
    </row>
    <row r="8891" spans="1:15">
      <c r="A8891" t="s">
        <v>47</v>
      </c>
      <c r="B8891" t="s">
        <v>149</v>
      </c>
      <c r="C8891" t="s">
        <v>179</v>
      </c>
      <c r="D8891" t="s">
        <v>308</v>
      </c>
      <c r="E8891" t="s">
        <v>432</v>
      </c>
      <c r="F8891">
        <f>HYPERLINK("https://www.wikidata.org/wiki/Q3111902", "Q3111902")</f>
        <v>0</v>
      </c>
      <c r="G8891" t="s">
        <v>738</v>
      </c>
      <c r="H8891" t="s">
        <v>5496</v>
      </c>
      <c r="I8891" t="s">
        <v>9503</v>
      </c>
      <c r="J8891" t="s">
        <v>11487</v>
      </c>
      <c r="K8891" t="s">
        <v>15889</v>
      </c>
      <c r="L8891">
        <f>HYPERLINK("https://www2.assemblee-nationale.fr/sycomore/fiche/(num_dept)/5394", "5394")</f>
        <v>0</v>
      </c>
      <c r="M8891">
        <f>HYPERLINK("https://www.senat.fr/senateur-3eme-republique/de_monzie_anatole0605r3.html", "de_monzie_anatole0605r3")</f>
        <v>0</v>
      </c>
      <c r="N8891">
        <f>HYPERLINK("https://www.wikidata.org/wiki/Q2845619", "Q2845619")</f>
        <v>0</v>
      </c>
      <c r="O8891" t="s">
        <v>20063</v>
      </c>
    </row>
    <row r="8892" spans="1:15">
      <c r="A8892" t="s">
        <v>47</v>
      </c>
      <c r="B8892" t="s">
        <v>149</v>
      </c>
      <c r="C8892" t="s">
        <v>179</v>
      </c>
      <c r="D8892" t="s">
        <v>308</v>
      </c>
      <c r="E8892" t="s">
        <v>432</v>
      </c>
      <c r="F8892">
        <f>HYPERLINK("https://www.wikidata.org/wiki/Q3111902", "Q3111902")</f>
        <v>0</v>
      </c>
      <c r="G8892" t="s">
        <v>740</v>
      </c>
      <c r="H8892" t="s">
        <v>5498</v>
      </c>
      <c r="I8892" t="s">
        <v>9388</v>
      </c>
      <c r="J8892" t="s">
        <v>11489</v>
      </c>
      <c r="K8892" t="s">
        <v>15891</v>
      </c>
      <c r="L8892">
        <f>HYPERLINK("https://www2.assemblee-nationale.fr/sycomore/fiche/(num_dept)/5413", "5413")</f>
        <v>0</v>
      </c>
      <c r="N8892">
        <f>HYPERLINK("https://www.wikidata.org/wiki/Q3371866", "Q3371866")</f>
        <v>0</v>
      </c>
      <c r="O8892" t="s">
        <v>20176</v>
      </c>
    </row>
    <row r="8893" spans="1:15">
      <c r="A8893" t="s">
        <v>47</v>
      </c>
      <c r="B8893" t="s">
        <v>149</v>
      </c>
      <c r="C8893" t="s">
        <v>179</v>
      </c>
      <c r="D8893" t="s">
        <v>308</v>
      </c>
      <c r="E8893" t="s">
        <v>432</v>
      </c>
      <c r="F8893">
        <f>HYPERLINK("https://www.wikidata.org/wiki/Q3111902", "Q3111902")</f>
        <v>0</v>
      </c>
      <c r="G8893" t="s">
        <v>1286</v>
      </c>
      <c r="H8893" t="s">
        <v>6008</v>
      </c>
      <c r="I8893" t="s">
        <v>6200</v>
      </c>
      <c r="J8893" t="s">
        <v>12016</v>
      </c>
      <c r="K8893" t="s">
        <v>16419</v>
      </c>
      <c r="L8893">
        <f>HYPERLINK("https://www2.assemblee-nationale.fr/sycomore/fiche/(num_dept)/5624", "5624")</f>
        <v>0</v>
      </c>
      <c r="N8893">
        <f>HYPERLINK("https://www.wikidata.org/wiki/Q3173799", "Q3173799")</f>
        <v>0</v>
      </c>
      <c r="O8893" t="s">
        <v>20130</v>
      </c>
    </row>
    <row r="8894" spans="1:15">
      <c r="A8894" t="s">
        <v>47</v>
      </c>
      <c r="B8894" t="s">
        <v>149</v>
      </c>
      <c r="C8894" t="s">
        <v>179</v>
      </c>
      <c r="D8894" t="s">
        <v>308</v>
      </c>
      <c r="E8894" t="s">
        <v>432</v>
      </c>
      <c r="F8894">
        <f>HYPERLINK("https://www.wikidata.org/wiki/Q3111902", "Q3111902")</f>
        <v>0</v>
      </c>
      <c r="G8894" t="s">
        <v>1017</v>
      </c>
      <c r="H8894" t="s">
        <v>5767</v>
      </c>
      <c r="I8894" t="s">
        <v>9388</v>
      </c>
      <c r="J8894" t="s">
        <v>11754</v>
      </c>
      <c r="K8894" t="s">
        <v>16157</v>
      </c>
      <c r="L8894">
        <f>HYPERLINK("https://www2.assemblee-nationale.fr/sycomore/fiche/(num_dept)/5653", "5653")</f>
        <v>0</v>
      </c>
      <c r="N8894">
        <f>HYPERLINK("https://www.wikidata.org/wiki/Q315434", "Q315434")</f>
        <v>0</v>
      </c>
      <c r="O8894" t="s">
        <v>20057</v>
      </c>
    </row>
    <row r="8895" spans="1:15">
      <c r="A8895" t="s">
        <v>47</v>
      </c>
      <c r="B8895" t="s">
        <v>149</v>
      </c>
      <c r="C8895" t="s">
        <v>179</v>
      </c>
      <c r="D8895" t="s">
        <v>308</v>
      </c>
      <c r="E8895" t="s">
        <v>432</v>
      </c>
      <c r="F8895">
        <f>HYPERLINK("https://www.wikidata.org/wiki/Q3111902", "Q3111902")</f>
        <v>0</v>
      </c>
      <c r="G8895" t="s">
        <v>755</v>
      </c>
      <c r="H8895" t="s">
        <v>5513</v>
      </c>
      <c r="I8895" t="s">
        <v>9500</v>
      </c>
      <c r="J8895" t="s">
        <v>11503</v>
      </c>
      <c r="K8895" t="s">
        <v>15906</v>
      </c>
      <c r="L8895">
        <f>HYPERLINK("https://www2.assemblee-nationale.fr/sycomore/fiche/(num_dept)/5779", "5779")</f>
        <v>0</v>
      </c>
      <c r="M8895">
        <f>HYPERLINK("https://www.senat.fr/senateur-3eme-republique/peret_raoul1766r3.html", "peret_raoul1766r3")</f>
        <v>0</v>
      </c>
      <c r="N8895">
        <f>HYPERLINK("https://www.wikidata.org/wiki/Q3419252", "Q3419252")</f>
        <v>0</v>
      </c>
      <c r="O8895" t="s">
        <v>20066</v>
      </c>
    </row>
    <row r="8896" spans="1:15">
      <c r="A8896" t="s">
        <v>47</v>
      </c>
      <c r="B8896" t="s">
        <v>149</v>
      </c>
      <c r="C8896" t="s">
        <v>179</v>
      </c>
      <c r="D8896" t="s">
        <v>308</v>
      </c>
      <c r="E8896" t="s">
        <v>432</v>
      </c>
      <c r="F8896">
        <f>HYPERLINK("https://www.wikidata.org/wiki/Q3111902", "Q3111902")</f>
        <v>0</v>
      </c>
      <c r="G8896" t="s">
        <v>1026</v>
      </c>
      <c r="H8896" t="s">
        <v>5776</v>
      </c>
      <c r="I8896" t="s">
        <v>5528</v>
      </c>
      <c r="J8896" t="s">
        <v>11763</v>
      </c>
      <c r="K8896" t="s">
        <v>16164</v>
      </c>
      <c r="L8896">
        <f>HYPERLINK("https://www2.assemblee-nationale.fr/sycomore/fiche/(num_dept)/5811", "5811")</f>
        <v>0</v>
      </c>
      <c r="M8896">
        <f>HYPERLINK("https://www.senat.fr/senateur-3eme-republique/perrier_leon1193r3.html", "perrier_leon1193r3")</f>
        <v>0</v>
      </c>
      <c r="N8896">
        <f>HYPERLINK("https://www.wikidata.org/wiki/Q3271259", "Q3271259")</f>
        <v>0</v>
      </c>
      <c r="O8896" t="s">
        <v>20065</v>
      </c>
    </row>
    <row r="8897" spans="1:15">
      <c r="A8897" t="s">
        <v>47</v>
      </c>
      <c r="B8897" t="s">
        <v>149</v>
      </c>
      <c r="C8897" t="s">
        <v>179</v>
      </c>
      <c r="D8897" t="s">
        <v>308</v>
      </c>
      <c r="E8897" t="s">
        <v>432</v>
      </c>
      <c r="F8897">
        <f>HYPERLINK("https://www.wikidata.org/wiki/Q3111902", "Q3111902")</f>
        <v>0</v>
      </c>
      <c r="G8897" t="s">
        <v>1067</v>
      </c>
      <c r="H8897" t="s">
        <v>5812</v>
      </c>
      <c r="I8897" t="s">
        <v>9488</v>
      </c>
      <c r="J8897" t="s">
        <v>11804</v>
      </c>
      <c r="K8897" t="s">
        <v>16204</v>
      </c>
      <c r="L8897">
        <f>HYPERLINK("https://www2.assemblee-nationale.fr/sycomore/fiche/(num_dept)/7361", "7361")</f>
        <v>0</v>
      </c>
      <c r="M8897">
        <f>HYPERLINK("https://www.senat.fr/senateur-3eme-republique/daniel_vincent_charles1382r3.html", "daniel_vincent_charles1382r3")</f>
        <v>0</v>
      </c>
      <c r="N8897">
        <f>HYPERLINK("https://www.wikidata.org/wiki/Q3014792", "Q3014792")</f>
        <v>0</v>
      </c>
      <c r="O8897" t="s">
        <v>20110</v>
      </c>
    </row>
    <row r="8898" spans="1:15">
      <c r="A8898" t="s">
        <v>47</v>
      </c>
      <c r="B8898" t="s">
        <v>149</v>
      </c>
      <c r="C8898" t="s">
        <v>179</v>
      </c>
      <c r="D8898" t="s">
        <v>308</v>
      </c>
      <c r="E8898" t="s">
        <v>432</v>
      </c>
      <c r="F8898">
        <f>HYPERLINK("https://www.wikidata.org/wiki/Q3111902", "Q3111902")</f>
        <v>0</v>
      </c>
      <c r="G8898" t="s">
        <v>1323</v>
      </c>
      <c r="H8898" t="s">
        <v>6042</v>
      </c>
      <c r="I8898" t="s">
        <v>6860</v>
      </c>
      <c r="J8898" t="s">
        <v>12052</v>
      </c>
      <c r="K8898" t="s">
        <v>16453</v>
      </c>
      <c r="L8898">
        <f>HYPERLINK("https://www2.assemblee-nationale.fr/sycomore/fiche/(num_dept)/7519", "7519")</f>
        <v>0</v>
      </c>
      <c r="M8898">
        <f>HYPERLINK("https://www.senat.fr/senateur-3eme-republique/laval_pierre1565r3.html", "laval_pierre1565r3")</f>
        <v>0</v>
      </c>
      <c r="N8898">
        <f>HYPERLINK("https://www.wikidata.org/wiki/Q151983", "Q151983")</f>
        <v>0</v>
      </c>
      <c r="O8898" t="s">
        <v>20064</v>
      </c>
    </row>
    <row r="8899" spans="1:15">
      <c r="A8899" t="s">
        <v>47</v>
      </c>
      <c r="B8899" t="s">
        <v>149</v>
      </c>
      <c r="C8899" t="s">
        <v>179</v>
      </c>
      <c r="D8899" t="s">
        <v>308</v>
      </c>
      <c r="E8899" t="s">
        <v>432</v>
      </c>
      <c r="F8899">
        <f>HYPERLINK("https://www.wikidata.org/wiki/Q3111902", "Q3111902")</f>
        <v>0</v>
      </c>
      <c r="G8899" t="s">
        <v>1329</v>
      </c>
      <c r="H8899" t="s">
        <v>6048</v>
      </c>
      <c r="I8899" t="s">
        <v>9453</v>
      </c>
      <c r="J8899" t="s">
        <v>12057</v>
      </c>
      <c r="K8899" t="s">
        <v>16458</v>
      </c>
      <c r="L8899">
        <f>HYPERLINK("https://www2.assemblee-nationale.fr/sycomore/fiche/(num_dept)/7824", "7824")</f>
        <v>0</v>
      </c>
      <c r="N8899">
        <f>HYPERLINK("https://www.wikidata.org/wiki/Q2865199", "Q2865199")</f>
        <v>0</v>
      </c>
      <c r="O8899" t="s">
        <v>20134</v>
      </c>
    </row>
    <row r="8900" spans="1:15">
      <c r="A8900" t="s">
        <v>47</v>
      </c>
      <c r="B8900" t="s">
        <v>149</v>
      </c>
      <c r="C8900" t="s">
        <v>179</v>
      </c>
      <c r="D8900" t="s">
        <v>308</v>
      </c>
      <c r="E8900" t="s">
        <v>432</v>
      </c>
      <c r="F8900">
        <f>HYPERLINK("https://www.wikidata.org/wiki/Q3111902", "Q3111902")</f>
        <v>0</v>
      </c>
      <c r="G8900" t="s">
        <v>857</v>
      </c>
      <c r="H8900" t="s">
        <v>5613</v>
      </c>
      <c r="I8900" t="s">
        <v>6175</v>
      </c>
      <c r="J8900" t="s">
        <v>11603</v>
      </c>
      <c r="K8900" t="s">
        <v>16005</v>
      </c>
      <c r="L8900">
        <f>HYPERLINK("https://www2.assemblee-nationale.fr/sycomore/fiche/(num_dept)/7840", "7840")</f>
        <v>0</v>
      </c>
      <c r="N8900">
        <f>HYPERLINK("https://www.wikidata.org/wiki/Q728806", "Q728806")</f>
        <v>0</v>
      </c>
      <c r="O8900" t="s">
        <v>20053</v>
      </c>
    </row>
    <row r="8901" spans="1:15">
      <c r="A8901" t="s">
        <v>47</v>
      </c>
      <c r="B8901" t="s">
        <v>149</v>
      </c>
      <c r="C8901" t="s">
        <v>179</v>
      </c>
      <c r="D8901" t="s">
        <v>308</v>
      </c>
      <c r="E8901" t="s">
        <v>432</v>
      </c>
      <c r="F8901">
        <f>HYPERLINK("https://www.wikidata.org/wiki/Q3111902", "Q3111902")</f>
        <v>0</v>
      </c>
      <c r="G8901" t="s">
        <v>4253</v>
      </c>
      <c r="H8901" t="s">
        <v>8422</v>
      </c>
      <c r="I8901" t="s">
        <v>6478</v>
      </c>
      <c r="J8901" t="s">
        <v>14757</v>
      </c>
      <c r="K8901" t="s">
        <v>19104</v>
      </c>
      <c r="M8901">
        <f>HYPERLINK("https://www.senat.fr/senateur-3eme-republique/jouvenel_des_ursins_henri0468r3.html", "jouvenel_des_ursins_henri0468r3")</f>
        <v>0</v>
      </c>
      <c r="N8901">
        <f>HYPERLINK("https://www.wikidata.org/wiki/Q3133192", "Q3133192")</f>
        <v>0</v>
      </c>
      <c r="O8901" t="s">
        <v>20179</v>
      </c>
    </row>
    <row r="8902" spans="1:15">
      <c r="A8902" t="s">
        <v>47</v>
      </c>
      <c r="B8902" t="s">
        <v>149</v>
      </c>
      <c r="C8902" t="s">
        <v>179</v>
      </c>
      <c r="D8902" t="s">
        <v>308</v>
      </c>
      <c r="E8902" t="s">
        <v>432</v>
      </c>
      <c r="F8902">
        <f>HYPERLINK("https://www.wikidata.org/wiki/Q3111902", "Q3111902")</f>
        <v>0</v>
      </c>
      <c r="G8902" t="s">
        <v>628</v>
      </c>
      <c r="H8902" t="s">
        <v>5388</v>
      </c>
      <c r="I8902" t="s">
        <v>6200</v>
      </c>
      <c r="J8902" t="s">
        <v>11378</v>
      </c>
      <c r="K8902" t="s">
        <v>15780</v>
      </c>
      <c r="N8902">
        <f>HYPERLINK("https://www.wikidata.org/wiki/Q125250", "Q125250")</f>
        <v>0</v>
      </c>
      <c r="O8902" t="s">
        <v>20123</v>
      </c>
    </row>
    <row r="8903" spans="1:15">
      <c r="A8903" t="s">
        <v>47</v>
      </c>
      <c r="B8903" t="s">
        <v>149</v>
      </c>
      <c r="C8903" t="s">
        <v>179</v>
      </c>
      <c r="D8903" t="s">
        <v>308</v>
      </c>
      <c r="E8903" t="s">
        <v>432</v>
      </c>
      <c r="F8903">
        <f>HYPERLINK("https://www.wikidata.org/wiki/Q3111902", "Q3111902")</f>
        <v>0</v>
      </c>
      <c r="G8903" t="s">
        <v>1512</v>
      </c>
      <c r="H8903" t="s">
        <v>5734</v>
      </c>
      <c r="I8903" t="s">
        <v>9455</v>
      </c>
      <c r="J8903" t="s">
        <v>12229</v>
      </c>
      <c r="K8903" t="s">
        <v>16635</v>
      </c>
      <c r="N8903">
        <f>HYPERLINK("https://www.wikidata.org/wiki/Q3265579", "Q3265579")</f>
        <v>0</v>
      </c>
      <c r="O8903" t="s">
        <v>20129</v>
      </c>
    </row>
    <row r="8904" spans="1:15">
      <c r="A8904" t="s">
        <v>47</v>
      </c>
      <c r="B8904" t="s">
        <v>149</v>
      </c>
      <c r="C8904" t="s">
        <v>179</v>
      </c>
      <c r="D8904" t="s">
        <v>308</v>
      </c>
      <c r="E8904" t="s">
        <v>432</v>
      </c>
      <c r="F8904">
        <f>HYPERLINK("https://www.wikidata.org/wiki/Q3111902", "Q3111902")</f>
        <v>0</v>
      </c>
      <c r="G8904" t="s">
        <v>628</v>
      </c>
      <c r="H8904" t="s">
        <v>5388</v>
      </c>
      <c r="I8904" t="s">
        <v>6200</v>
      </c>
      <c r="J8904" t="s">
        <v>11378</v>
      </c>
      <c r="K8904" t="s">
        <v>15780</v>
      </c>
      <c r="N8904">
        <f>HYPERLINK("https://www.wikidata.org/wiki/Q125250", "Q125250")</f>
        <v>0</v>
      </c>
      <c r="O8904" t="s">
        <v>20058</v>
      </c>
    </row>
    <row r="8905" spans="1:15">
      <c r="A8905" t="s">
        <v>47</v>
      </c>
      <c r="B8905" t="s">
        <v>149</v>
      </c>
      <c r="C8905" t="s">
        <v>179</v>
      </c>
      <c r="D8905" t="s">
        <v>308</v>
      </c>
      <c r="E8905" t="s">
        <v>432</v>
      </c>
      <c r="F8905">
        <f>HYPERLINK("https://www.wikidata.org/wiki/Q3111902", "Q3111902")</f>
        <v>0</v>
      </c>
      <c r="G8905" t="s">
        <v>4234</v>
      </c>
      <c r="H8905" t="s">
        <v>8411</v>
      </c>
      <c r="I8905" t="s">
        <v>9593</v>
      </c>
      <c r="J8905" t="s">
        <v>14741</v>
      </c>
      <c r="K8905" t="s">
        <v>19086</v>
      </c>
      <c r="M8905">
        <f>HYPERLINK("https://www.senat.fr/senateur-3eme-republique/roustan_marius0246r3.html", "roustan_marius0246r3")</f>
        <v>0</v>
      </c>
      <c r="N8905">
        <f>HYPERLINK("https://www.wikidata.org/wiki/Q3293852", "Q3293852")</f>
        <v>0</v>
      </c>
      <c r="O8905" t="s">
        <v>20133</v>
      </c>
    </row>
    <row r="8906" spans="1:15">
      <c r="A8906" t="s">
        <v>48</v>
      </c>
      <c r="B8906" t="s">
        <v>149</v>
      </c>
      <c r="C8906" t="s">
        <v>180</v>
      </c>
      <c r="D8906" t="s">
        <v>309</v>
      </c>
      <c r="E8906" t="s">
        <v>433</v>
      </c>
      <c r="F8906">
        <f>HYPERLINK("https://www.wikidata.org/wiki/Q3112111", "Q3112111")</f>
        <v>0</v>
      </c>
      <c r="G8906" t="s">
        <v>892</v>
      </c>
      <c r="H8906" t="s">
        <v>5648</v>
      </c>
      <c r="I8906" t="s">
        <v>9457</v>
      </c>
      <c r="J8906" t="s">
        <v>11638</v>
      </c>
      <c r="K8906" t="s">
        <v>16038</v>
      </c>
      <c r="L8906">
        <f>HYPERLINK("https://www2.assemblee-nationale.fr/sycomore/fiche/(num_dept)/1240", "1240")</f>
        <v>0</v>
      </c>
      <c r="N8906">
        <f>HYPERLINK("https://www.wikidata.org/wiki/Q669725", "Q669725")</f>
        <v>0</v>
      </c>
      <c r="O8906" t="s">
        <v>20064</v>
      </c>
    </row>
    <row r="8907" spans="1:15">
      <c r="A8907" t="s">
        <v>48</v>
      </c>
      <c r="B8907" t="s">
        <v>149</v>
      </c>
      <c r="C8907" t="s">
        <v>180</v>
      </c>
      <c r="D8907" t="s">
        <v>309</v>
      </c>
      <c r="E8907" t="s">
        <v>433</v>
      </c>
      <c r="F8907">
        <f>HYPERLINK("https://www.wikidata.org/wiki/Q3112111", "Q3112111")</f>
        <v>0</v>
      </c>
      <c r="G8907" t="s">
        <v>892</v>
      </c>
      <c r="H8907" t="s">
        <v>5648</v>
      </c>
      <c r="I8907" t="s">
        <v>9457</v>
      </c>
      <c r="J8907" t="s">
        <v>11638</v>
      </c>
      <c r="K8907" t="s">
        <v>16038</v>
      </c>
      <c r="L8907">
        <f>HYPERLINK("https://www2.assemblee-nationale.fr/sycomore/fiche/(num_dept)/1240", "1240")</f>
        <v>0</v>
      </c>
      <c r="N8907">
        <f>HYPERLINK("https://www.wikidata.org/wiki/Q669725", "Q669725")</f>
        <v>0</v>
      </c>
      <c r="O8907" t="s">
        <v>20114</v>
      </c>
    </row>
    <row r="8908" spans="1:15">
      <c r="A8908" t="s">
        <v>48</v>
      </c>
      <c r="B8908" t="s">
        <v>149</v>
      </c>
      <c r="C8908" t="s">
        <v>180</v>
      </c>
      <c r="D8908" t="s">
        <v>309</v>
      </c>
      <c r="E8908" t="s">
        <v>433</v>
      </c>
      <c r="F8908">
        <f>HYPERLINK("https://www.wikidata.org/wiki/Q3112111", "Q3112111")</f>
        <v>0</v>
      </c>
      <c r="G8908" t="s">
        <v>2548</v>
      </c>
      <c r="H8908" t="s">
        <v>7107</v>
      </c>
      <c r="I8908" t="s">
        <v>9455</v>
      </c>
      <c r="J8908" t="s">
        <v>13192</v>
      </c>
      <c r="K8908" t="s">
        <v>17597</v>
      </c>
      <c r="L8908">
        <f>HYPERLINK("https://www2.assemblee-nationale.fr/sycomore/fiche/(num_dept)/2165", "2165")</f>
        <v>0</v>
      </c>
      <c r="M8908">
        <f>HYPERLINK("https://www.senat.fr/senateur-3eme-republique/dautresme_lucien1592r3.html", "dautresme_lucien1592r3")</f>
        <v>0</v>
      </c>
      <c r="N8908">
        <f>HYPERLINK("https://www.wikidata.org/wiki/Q3265453", "Q3265453")</f>
        <v>0</v>
      </c>
      <c r="O8908" t="s">
        <v>20069</v>
      </c>
    </row>
    <row r="8909" spans="1:15">
      <c r="A8909" t="s">
        <v>48</v>
      </c>
      <c r="B8909" t="s">
        <v>149</v>
      </c>
      <c r="C8909" t="s">
        <v>180</v>
      </c>
      <c r="D8909" t="s">
        <v>309</v>
      </c>
      <c r="E8909" t="s">
        <v>433</v>
      </c>
      <c r="F8909">
        <f>HYPERLINK("https://www.wikidata.org/wiki/Q3112111", "Q3112111")</f>
        <v>0</v>
      </c>
      <c r="G8909" t="s">
        <v>2593</v>
      </c>
      <c r="H8909" t="s">
        <v>7142</v>
      </c>
      <c r="I8909" t="s">
        <v>9476</v>
      </c>
      <c r="J8909" t="s">
        <v>13236</v>
      </c>
      <c r="K8909" t="s">
        <v>17640</v>
      </c>
      <c r="L8909">
        <f>HYPERLINK("https://www2.assemblee-nationale.fr/sycomore/fiche/(num_dept)/3457", "3457")</f>
        <v>0</v>
      </c>
      <c r="M8909">
        <f>HYPERLINK("https://www.senat.fr/senateur-3eme-republique/goblet_rene1409r3.html", "goblet_rene1409r3")</f>
        <v>0</v>
      </c>
      <c r="N8909">
        <f>HYPERLINK("https://www.wikidata.org/wiki/Q559645", "Q559645")</f>
        <v>0</v>
      </c>
      <c r="O8909" t="s">
        <v>20180</v>
      </c>
    </row>
    <row r="8910" spans="1:15">
      <c r="A8910" t="s">
        <v>48</v>
      </c>
      <c r="B8910" t="s">
        <v>149</v>
      </c>
      <c r="C8910" t="s">
        <v>180</v>
      </c>
      <c r="D8910" t="s">
        <v>309</v>
      </c>
      <c r="E8910" t="s">
        <v>433</v>
      </c>
      <c r="F8910">
        <f>HYPERLINK("https://www.wikidata.org/wiki/Q3112111", "Q3112111")</f>
        <v>0</v>
      </c>
      <c r="G8910" t="s">
        <v>2659</v>
      </c>
      <c r="H8910" t="s">
        <v>7199</v>
      </c>
      <c r="I8910" t="s">
        <v>9376</v>
      </c>
      <c r="J8910" t="s">
        <v>13300</v>
      </c>
      <c r="K8910" t="s">
        <v>17700</v>
      </c>
      <c r="L8910">
        <f>HYPERLINK("https://www2.assemblee-nationale.fr/sycomore/fiche/(num_dept)/6297", "6297")</f>
        <v>0</v>
      </c>
      <c r="M8910">
        <f>HYPERLINK("https://www.senat.fr/senateur-3eme-republique/sarrien_ferdinand1219r3.html", "sarrien_ferdinand1219r3")</f>
        <v>0</v>
      </c>
      <c r="N8910">
        <f>HYPERLINK("https://www.wikidata.org/wiki/Q718698", "Q718698")</f>
        <v>0</v>
      </c>
      <c r="O8910" t="s">
        <v>20181</v>
      </c>
    </row>
    <row r="8911" spans="1:15">
      <c r="A8911" t="s">
        <v>48</v>
      </c>
      <c r="B8911" t="s">
        <v>149</v>
      </c>
      <c r="C8911" t="s">
        <v>180</v>
      </c>
      <c r="D8911" t="s">
        <v>309</v>
      </c>
      <c r="E8911" t="s">
        <v>433</v>
      </c>
      <c r="F8911">
        <f>HYPERLINK("https://www.wikidata.org/wiki/Q3112111", "Q3112111")</f>
        <v>0</v>
      </c>
      <c r="G8911" t="s">
        <v>2692</v>
      </c>
      <c r="H8911" t="s">
        <v>7224</v>
      </c>
      <c r="I8911" t="s">
        <v>9602</v>
      </c>
      <c r="J8911" t="s">
        <v>13333</v>
      </c>
      <c r="K8911" t="s">
        <v>17733</v>
      </c>
      <c r="L8911">
        <f>HYPERLINK("https://www2.assemblee-nationale.fr/sycomore/fiche/(num_dept)/7178", "7178")</f>
        <v>0</v>
      </c>
      <c r="N8911">
        <f>HYPERLINK("https://www.wikidata.org/wiki/Q3048008", "Q3048008")</f>
        <v>0</v>
      </c>
      <c r="O8911" t="s">
        <v>20182</v>
      </c>
    </row>
    <row r="8912" spans="1:15">
      <c r="A8912" t="s">
        <v>48</v>
      </c>
      <c r="B8912" t="s">
        <v>149</v>
      </c>
      <c r="C8912" t="s">
        <v>180</v>
      </c>
      <c r="D8912" t="s">
        <v>309</v>
      </c>
      <c r="E8912" t="s">
        <v>433</v>
      </c>
      <c r="F8912">
        <f>HYPERLINK("https://www.wikidata.org/wiki/Q3112111", "Q3112111")</f>
        <v>0</v>
      </c>
      <c r="G8912" t="s">
        <v>2718</v>
      </c>
      <c r="H8912" t="s">
        <v>7244</v>
      </c>
      <c r="I8912" t="s">
        <v>6166</v>
      </c>
      <c r="J8912" t="s">
        <v>13359</v>
      </c>
      <c r="K8912" t="s">
        <v>17759</v>
      </c>
      <c r="L8912">
        <f>HYPERLINK("https://www2.assemblee-nationale.fr/sycomore/fiche/(num_dept)/7892", "7892")</f>
        <v>0</v>
      </c>
      <c r="N8912">
        <f>HYPERLINK("https://www.wikidata.org/wiki/Q2060426", "Q2060426")</f>
        <v>0</v>
      </c>
      <c r="O8912" t="s">
        <v>20117</v>
      </c>
    </row>
    <row r="8913" spans="1:15">
      <c r="A8913" t="s">
        <v>48</v>
      </c>
      <c r="B8913" t="s">
        <v>149</v>
      </c>
      <c r="C8913" t="s">
        <v>180</v>
      </c>
      <c r="D8913" t="s">
        <v>309</v>
      </c>
      <c r="E8913" t="s">
        <v>433</v>
      </c>
      <c r="F8913">
        <f>HYPERLINK("https://www.wikidata.org/wiki/Q3112111", "Q3112111")</f>
        <v>0</v>
      </c>
      <c r="G8913" t="s">
        <v>2737</v>
      </c>
      <c r="H8913" t="s">
        <v>7256</v>
      </c>
      <c r="I8913" t="s">
        <v>9472</v>
      </c>
      <c r="J8913" t="s">
        <v>13378</v>
      </c>
      <c r="K8913" t="s">
        <v>17776</v>
      </c>
      <c r="L8913">
        <f>HYPERLINK("https://www2.assemblee-nationale.fr/sycomore/fiche/(num_dept)/7956", "7956")</f>
        <v>0</v>
      </c>
      <c r="M8913">
        <f>HYPERLINK("https://www.senat.fr/senateur-3eme-republique/gomot_hippolyte0986r3.html", "gomot_hippolyte0986r3")</f>
        <v>0</v>
      </c>
      <c r="N8913">
        <f>HYPERLINK("https://www.wikidata.org/wiki/Q3136064", "Q3136064")</f>
        <v>0</v>
      </c>
      <c r="O8913" t="s">
        <v>20056</v>
      </c>
    </row>
    <row r="8914" spans="1:15">
      <c r="A8914" t="s">
        <v>48</v>
      </c>
      <c r="B8914" t="s">
        <v>149</v>
      </c>
      <c r="C8914" t="s">
        <v>180</v>
      </c>
      <c r="D8914" t="s">
        <v>309</v>
      </c>
      <c r="E8914" t="s">
        <v>433</v>
      </c>
      <c r="F8914">
        <f>HYPERLINK("https://www.wikidata.org/wiki/Q3112111", "Q3112111")</f>
        <v>0</v>
      </c>
      <c r="G8914" t="s">
        <v>2817</v>
      </c>
      <c r="H8914" t="s">
        <v>7318</v>
      </c>
      <c r="I8914" t="s">
        <v>7790</v>
      </c>
      <c r="J8914" t="s">
        <v>13457</v>
      </c>
      <c r="K8914" t="s">
        <v>17848</v>
      </c>
      <c r="L8914">
        <f>HYPERLINK("https://www2.assemblee-nationale.fr/sycomore/fiche/(num_dept)/8127", "8127")</f>
        <v>0</v>
      </c>
      <c r="M8914">
        <f>HYPERLINK("https://www.senat.fr/senateur-3eme-republique/rousseau_armand0808r3.html", "rousseau_armand0808r3")</f>
        <v>0</v>
      </c>
      <c r="N8914">
        <f>HYPERLINK("https://www.wikidata.org/wiki/Q2861960", "Q2861960")</f>
        <v>0</v>
      </c>
      <c r="O8914" t="s">
        <v>20183</v>
      </c>
    </row>
    <row r="8915" spans="1:15">
      <c r="A8915" t="s">
        <v>48</v>
      </c>
      <c r="B8915" t="s">
        <v>149</v>
      </c>
      <c r="C8915" t="s">
        <v>180</v>
      </c>
      <c r="D8915" t="s">
        <v>309</v>
      </c>
      <c r="E8915" t="s">
        <v>433</v>
      </c>
      <c r="F8915">
        <f>HYPERLINK("https://www.wikidata.org/wiki/Q3112111", "Q3112111")</f>
        <v>0</v>
      </c>
      <c r="G8915" t="s">
        <v>2851</v>
      </c>
      <c r="H8915" t="s">
        <v>7344</v>
      </c>
      <c r="I8915" t="s">
        <v>10232</v>
      </c>
      <c r="J8915" t="s">
        <v>13490</v>
      </c>
      <c r="K8915" t="s">
        <v>17878</v>
      </c>
      <c r="L8915">
        <f>HYPERLINK("https://www2.assemblee-nationale.fr/sycomore/fiche/(num_dept)/8175", "8175")</f>
        <v>0</v>
      </c>
      <c r="N8915">
        <f>HYPERLINK("https://www.wikidata.org/wiki/Q3134582", "Q3134582")</f>
        <v>0</v>
      </c>
      <c r="O8915" t="s">
        <v>20056</v>
      </c>
    </row>
    <row r="8916" spans="1:15">
      <c r="A8916" t="s">
        <v>48</v>
      </c>
      <c r="B8916" t="s">
        <v>149</v>
      </c>
      <c r="C8916" t="s">
        <v>180</v>
      </c>
      <c r="D8916" t="s">
        <v>309</v>
      </c>
      <c r="E8916" t="s">
        <v>433</v>
      </c>
      <c r="F8916">
        <f>HYPERLINK("https://www.wikidata.org/wiki/Q3112111", "Q3112111")</f>
        <v>0</v>
      </c>
      <c r="G8916" t="s">
        <v>2933</v>
      </c>
      <c r="H8916" t="s">
        <v>7411</v>
      </c>
      <c r="I8916" t="s">
        <v>9458</v>
      </c>
      <c r="J8916" t="s">
        <v>13566</v>
      </c>
      <c r="K8916" t="s">
        <v>17952</v>
      </c>
      <c r="L8916">
        <f>HYPERLINK("https://www2.assemblee-nationale.fr/sycomore/fiche/(num_dept)/8285", "8285")</f>
        <v>0</v>
      </c>
      <c r="N8916">
        <f>HYPERLINK("https://www.wikidata.org/wiki/Q2835190", "Q2835190")</f>
        <v>0</v>
      </c>
      <c r="O8916" t="s">
        <v>20184</v>
      </c>
    </row>
    <row r="8917" spans="1:15">
      <c r="A8917" t="s">
        <v>48</v>
      </c>
      <c r="B8917" t="s">
        <v>149</v>
      </c>
      <c r="C8917" t="s">
        <v>180</v>
      </c>
      <c r="D8917" t="s">
        <v>309</v>
      </c>
      <c r="E8917" t="s">
        <v>433</v>
      </c>
      <c r="F8917">
        <f>HYPERLINK("https://www.wikidata.org/wiki/Q3112111", "Q3112111")</f>
        <v>0</v>
      </c>
      <c r="G8917" t="s">
        <v>2933</v>
      </c>
      <c r="H8917" t="s">
        <v>7411</v>
      </c>
      <c r="I8917" t="s">
        <v>9458</v>
      </c>
      <c r="J8917" t="s">
        <v>13566</v>
      </c>
      <c r="K8917" t="s">
        <v>17952</v>
      </c>
      <c r="L8917">
        <f>HYPERLINK("https://www2.assemblee-nationale.fr/sycomore/fiche/(num_dept)/8285", "8285")</f>
        <v>0</v>
      </c>
      <c r="N8917">
        <f>HYPERLINK("https://www.wikidata.org/wiki/Q2835190", "Q2835190")</f>
        <v>0</v>
      </c>
      <c r="O8917" t="s">
        <v>20122</v>
      </c>
    </row>
    <row r="8918" spans="1:15">
      <c r="A8918" t="s">
        <v>48</v>
      </c>
      <c r="B8918" t="s">
        <v>149</v>
      </c>
      <c r="C8918" t="s">
        <v>180</v>
      </c>
      <c r="D8918" t="s">
        <v>309</v>
      </c>
      <c r="E8918" t="s">
        <v>433</v>
      </c>
      <c r="F8918">
        <f>HYPERLINK("https://www.wikidata.org/wiki/Q3112111", "Q3112111")</f>
        <v>0</v>
      </c>
      <c r="G8918" t="s">
        <v>4254</v>
      </c>
      <c r="H8918" t="s">
        <v>8423</v>
      </c>
      <c r="I8918" t="s">
        <v>11175</v>
      </c>
      <c r="J8918" t="s">
        <v>14758</v>
      </c>
      <c r="K8918" t="s">
        <v>17866</v>
      </c>
      <c r="M8918">
        <f>HYPERLINK("https://www.senat.fr/senateur-3eme-republique/campenon_jean_baptiste1442r3.html", "campenon_jean_baptiste1442r3")</f>
        <v>0</v>
      </c>
      <c r="N8918">
        <f>HYPERLINK("https://www.wikidata.org/wiki/Q704909", "Q704909")</f>
        <v>0</v>
      </c>
      <c r="O8918" t="s">
        <v>20057</v>
      </c>
    </row>
    <row r="8919" spans="1:15">
      <c r="A8919" t="s">
        <v>48</v>
      </c>
      <c r="B8919" t="s">
        <v>149</v>
      </c>
      <c r="C8919" t="s">
        <v>180</v>
      </c>
      <c r="D8919" t="s">
        <v>309</v>
      </c>
      <c r="E8919" t="s">
        <v>433</v>
      </c>
      <c r="F8919">
        <f>HYPERLINK("https://www.wikidata.org/wiki/Q3112111", "Q3112111")</f>
        <v>0</v>
      </c>
      <c r="G8919" t="s">
        <v>4255</v>
      </c>
      <c r="H8919" t="s">
        <v>8424</v>
      </c>
      <c r="I8919" t="s">
        <v>11176</v>
      </c>
      <c r="J8919" t="s">
        <v>14759</v>
      </c>
      <c r="K8919" t="s">
        <v>19105</v>
      </c>
      <c r="N8919">
        <f>HYPERLINK("https://www.wikidata.org/wiki/Q2958008", "Q2958008")</f>
        <v>0</v>
      </c>
      <c r="O8919" t="s">
        <v>20185</v>
      </c>
    </row>
    <row r="8920" spans="1:15">
      <c r="A8920" t="s">
        <v>48</v>
      </c>
      <c r="B8920" t="s">
        <v>149</v>
      </c>
      <c r="C8920" t="s">
        <v>180</v>
      </c>
      <c r="D8920" t="s">
        <v>309</v>
      </c>
      <c r="E8920" t="s">
        <v>433</v>
      </c>
      <c r="F8920">
        <f>HYPERLINK("https://www.wikidata.org/wiki/Q3112111", "Q3112111")</f>
        <v>0</v>
      </c>
      <c r="G8920" t="s">
        <v>4245</v>
      </c>
      <c r="H8920" t="s">
        <v>8418</v>
      </c>
      <c r="I8920" t="s">
        <v>9385</v>
      </c>
      <c r="J8920" t="s">
        <v>14751</v>
      </c>
      <c r="K8920" t="s">
        <v>19097</v>
      </c>
      <c r="M8920">
        <f>HYPERLINK("https://www.senat.fr/senateur-3eme-republique/de_saulces_de_freycinet_louis1713r3.html", "de_saulces_de_freycinet_louis1713r3")</f>
        <v>0</v>
      </c>
      <c r="N8920">
        <f>HYPERLINK("https://www.wikidata.org/wiki/Q317957", "Q317957")</f>
        <v>0</v>
      </c>
      <c r="O8920" t="s">
        <v>20062</v>
      </c>
    </row>
    <row r="8921" spans="1:15">
      <c r="A8921" t="s">
        <v>48</v>
      </c>
      <c r="B8921" t="s">
        <v>149</v>
      </c>
      <c r="C8921" t="s">
        <v>180</v>
      </c>
      <c r="D8921" t="s">
        <v>309</v>
      </c>
      <c r="E8921" t="s">
        <v>433</v>
      </c>
      <c r="F8921">
        <f>HYPERLINK("https://www.wikidata.org/wiki/Q3112111", "Q3112111")</f>
        <v>0</v>
      </c>
      <c r="G8921" t="s">
        <v>2528</v>
      </c>
      <c r="H8921" t="s">
        <v>5325</v>
      </c>
      <c r="I8921" t="s">
        <v>11177</v>
      </c>
      <c r="J8921" t="s">
        <v>13172</v>
      </c>
      <c r="K8921" t="s">
        <v>17578</v>
      </c>
      <c r="N8921">
        <f>HYPERLINK("https://www.wikidata.org/wiki/Q293001", "Q293001")</f>
        <v>0</v>
      </c>
      <c r="O8921" t="s">
        <v>20066</v>
      </c>
    </row>
    <row r="8922" spans="1:15">
      <c r="A8922" t="s">
        <v>48</v>
      </c>
      <c r="B8922" t="s">
        <v>149</v>
      </c>
      <c r="C8922" t="s">
        <v>180</v>
      </c>
      <c r="D8922" t="s">
        <v>309</v>
      </c>
      <c r="E8922" t="s">
        <v>433</v>
      </c>
      <c r="F8922">
        <f>HYPERLINK("https://www.wikidata.org/wiki/Q3112111", "Q3112111")</f>
        <v>0</v>
      </c>
      <c r="G8922" t="s">
        <v>4256</v>
      </c>
      <c r="H8922" t="s">
        <v>8425</v>
      </c>
      <c r="I8922" t="s">
        <v>11178</v>
      </c>
      <c r="J8922" t="s">
        <v>14760</v>
      </c>
      <c r="K8922" t="s">
        <v>18796</v>
      </c>
      <c r="M8922">
        <f>HYPERLINK("https://www.senat.fr/senateur-3eme-republique/clamageran_jean_jules1455r3.html", "clamageran_jean_jules1455r3")</f>
        <v>0</v>
      </c>
      <c r="N8922">
        <f>HYPERLINK("https://www.wikidata.org/wiki/Q3166560", "Q3166560")</f>
        <v>0</v>
      </c>
      <c r="O8922" t="s">
        <v>20066</v>
      </c>
    </row>
    <row r="8923" spans="1:15">
      <c r="A8923" t="s">
        <v>48</v>
      </c>
      <c r="B8923" t="s">
        <v>149</v>
      </c>
      <c r="C8923" t="s">
        <v>180</v>
      </c>
      <c r="D8923" t="s">
        <v>309</v>
      </c>
      <c r="E8923" t="s">
        <v>433</v>
      </c>
      <c r="F8923">
        <f>HYPERLINK("https://www.wikidata.org/wiki/Q3112111", "Q3112111")</f>
        <v>0</v>
      </c>
      <c r="G8923" t="s">
        <v>2528</v>
      </c>
      <c r="H8923" t="s">
        <v>5325</v>
      </c>
      <c r="I8923" t="s">
        <v>11177</v>
      </c>
      <c r="J8923" t="s">
        <v>13172</v>
      </c>
      <c r="K8923" t="s">
        <v>17578</v>
      </c>
      <c r="N8923">
        <f>HYPERLINK("https://www.wikidata.org/wiki/Q293001", "Q293001")</f>
        <v>0</v>
      </c>
      <c r="O8923" t="s">
        <v>20063</v>
      </c>
    </row>
    <row r="8924" spans="1:15">
      <c r="A8924" t="s">
        <v>48</v>
      </c>
      <c r="B8924" t="s">
        <v>149</v>
      </c>
      <c r="C8924" t="s">
        <v>180</v>
      </c>
      <c r="D8924" t="s">
        <v>309</v>
      </c>
      <c r="E8924" t="s">
        <v>433</v>
      </c>
      <c r="F8924">
        <f>HYPERLINK("https://www.wikidata.org/wiki/Q3112111", "Q3112111")</f>
        <v>0</v>
      </c>
      <c r="G8924" t="s">
        <v>4257</v>
      </c>
      <c r="H8924" t="s">
        <v>8426</v>
      </c>
      <c r="I8924" t="s">
        <v>9385</v>
      </c>
      <c r="J8924" t="s">
        <v>14761</v>
      </c>
      <c r="K8924" t="s">
        <v>19106</v>
      </c>
      <c r="M8924">
        <f>HYPERLINK("https://www.senat.fr/senateur-3eme-republique/demole_charles1218r3.html", "demole_charles1218r3")</f>
        <v>0</v>
      </c>
      <c r="N8924">
        <f>HYPERLINK("https://www.wikidata.org/wiki/Q2958875", "Q2958875")</f>
        <v>0</v>
      </c>
      <c r="O8924" t="s">
        <v>20063</v>
      </c>
    </row>
    <row r="8925" spans="1:15">
      <c r="A8925" t="s">
        <v>48</v>
      </c>
      <c r="B8925" t="s">
        <v>149</v>
      </c>
      <c r="C8925" t="s">
        <v>180</v>
      </c>
      <c r="D8925" t="s">
        <v>309</v>
      </c>
      <c r="E8925" t="s">
        <v>433</v>
      </c>
      <c r="F8925">
        <f>HYPERLINK("https://www.wikidata.org/wiki/Q3112111", "Q3112111")</f>
        <v>0</v>
      </c>
      <c r="G8925" t="s">
        <v>2711</v>
      </c>
      <c r="H8925" t="s">
        <v>5610</v>
      </c>
      <c r="I8925" t="s">
        <v>6860</v>
      </c>
      <c r="J8925" t="s">
        <v>13352</v>
      </c>
      <c r="K8925" t="s">
        <v>17752</v>
      </c>
      <c r="N8925">
        <f>HYPERLINK("https://www.wikidata.org/wiki/Q3385902", "Q3385902")</f>
        <v>0</v>
      </c>
      <c r="O8925" t="s">
        <v>20069</v>
      </c>
    </row>
    <row r="8926" spans="1:15">
      <c r="A8926" t="s">
        <v>48</v>
      </c>
      <c r="B8926" t="s">
        <v>149</v>
      </c>
      <c r="C8926" t="s">
        <v>180</v>
      </c>
      <c r="D8926" t="s">
        <v>309</v>
      </c>
      <c r="E8926" t="s">
        <v>433</v>
      </c>
      <c r="F8926">
        <f>HYPERLINK("https://www.wikidata.org/wiki/Q3112111", "Q3112111")</f>
        <v>0</v>
      </c>
      <c r="G8926" t="s">
        <v>3019</v>
      </c>
      <c r="H8926" t="s">
        <v>7476</v>
      </c>
      <c r="I8926" t="s">
        <v>11173</v>
      </c>
      <c r="J8926" t="s">
        <v>13647</v>
      </c>
      <c r="K8926" t="s">
        <v>18031</v>
      </c>
      <c r="N8926">
        <f>HYPERLINK("https://www.wikidata.org/wiki/Q21294910", "Q21294910")</f>
        <v>0</v>
      </c>
      <c r="O8926" t="s">
        <v>20121</v>
      </c>
    </row>
    <row r="8927" spans="1:15">
      <c r="A8927" t="s">
        <v>49</v>
      </c>
      <c r="B8927" t="s">
        <v>149</v>
      </c>
      <c r="C8927" t="s">
        <v>181</v>
      </c>
      <c r="D8927" t="s">
        <v>310</v>
      </c>
      <c r="E8927" t="s">
        <v>434</v>
      </c>
      <c r="F8927">
        <f>HYPERLINK("https://www.wikidata.org/wiki/Q3112113", "Q3112113")</f>
        <v>0</v>
      </c>
      <c r="G8927" t="s">
        <v>3373</v>
      </c>
      <c r="H8927" t="s">
        <v>7083</v>
      </c>
      <c r="I8927" t="s">
        <v>5528</v>
      </c>
      <c r="J8927" t="s">
        <v>13985</v>
      </c>
      <c r="K8927" t="s">
        <v>18353</v>
      </c>
      <c r="L8927">
        <f>HYPERLINK("https://www2.assemblee-nationale.fr/sycomore/fiche/(num_dept)/1083", "1083")</f>
        <v>0</v>
      </c>
      <c r="M8927">
        <f>HYPERLINK("https://www.senat.fr/senateur-3eme-republique/bourgeois_leon0647r3.html", "bourgeois_leon0647r3")</f>
        <v>0</v>
      </c>
      <c r="N8927">
        <f>HYPERLINK("https://www.wikidata.org/wiki/Q217706", "Q217706")</f>
        <v>0</v>
      </c>
      <c r="O8927" t="s">
        <v>20186</v>
      </c>
    </row>
    <row r="8928" spans="1:15">
      <c r="A8928" t="s">
        <v>49</v>
      </c>
      <c r="B8928" t="s">
        <v>149</v>
      </c>
      <c r="C8928" t="s">
        <v>181</v>
      </c>
      <c r="D8928" t="s">
        <v>310</v>
      </c>
      <c r="E8928" t="s">
        <v>434</v>
      </c>
      <c r="F8928">
        <f>HYPERLINK("https://www.wikidata.org/wiki/Q3112113", "Q3112113")</f>
        <v>0</v>
      </c>
      <c r="G8928" t="s">
        <v>892</v>
      </c>
      <c r="H8928" t="s">
        <v>5648</v>
      </c>
      <c r="I8928" t="s">
        <v>9457</v>
      </c>
      <c r="J8928" t="s">
        <v>11638</v>
      </c>
      <c r="K8928" t="s">
        <v>16038</v>
      </c>
      <c r="L8928">
        <f>HYPERLINK("https://www2.assemblee-nationale.fr/sycomore/fiche/(num_dept)/1240", "1240")</f>
        <v>0</v>
      </c>
      <c r="N8928">
        <f>HYPERLINK("https://www.wikidata.org/wiki/Q669725", "Q669725")</f>
        <v>0</v>
      </c>
      <c r="O8928" t="s">
        <v>20113</v>
      </c>
    </row>
    <row r="8929" spans="1:15">
      <c r="A8929" t="s">
        <v>49</v>
      </c>
      <c r="B8929" t="s">
        <v>149</v>
      </c>
      <c r="C8929" t="s">
        <v>181</v>
      </c>
      <c r="D8929" t="s">
        <v>310</v>
      </c>
      <c r="E8929" t="s">
        <v>434</v>
      </c>
      <c r="F8929">
        <f>HYPERLINK("https://www.wikidata.org/wiki/Q3112113", "Q3112113")</f>
        <v>0</v>
      </c>
      <c r="G8929" t="s">
        <v>892</v>
      </c>
      <c r="H8929" t="s">
        <v>5648</v>
      </c>
      <c r="I8929" t="s">
        <v>9457</v>
      </c>
      <c r="J8929" t="s">
        <v>11638</v>
      </c>
      <c r="K8929" t="s">
        <v>16038</v>
      </c>
      <c r="L8929">
        <f>HYPERLINK("https://www2.assemblee-nationale.fr/sycomore/fiche/(num_dept)/1240", "1240")</f>
        <v>0</v>
      </c>
      <c r="N8929">
        <f>HYPERLINK("https://www.wikidata.org/wiki/Q669725", "Q669725")</f>
        <v>0</v>
      </c>
      <c r="O8929" t="s">
        <v>20114</v>
      </c>
    </row>
    <row r="8930" spans="1:15">
      <c r="A8930" t="s">
        <v>49</v>
      </c>
      <c r="B8930" t="s">
        <v>149</v>
      </c>
      <c r="C8930" t="s">
        <v>181</v>
      </c>
      <c r="D8930" t="s">
        <v>310</v>
      </c>
      <c r="E8930" t="s">
        <v>434</v>
      </c>
      <c r="F8930">
        <f>HYPERLINK("https://www.wikidata.org/wiki/Q3112113", "Q3112113")</f>
        <v>0</v>
      </c>
      <c r="G8930" t="s">
        <v>608</v>
      </c>
      <c r="H8930" t="s">
        <v>5368</v>
      </c>
      <c r="I8930" t="s">
        <v>9451</v>
      </c>
      <c r="J8930" t="s">
        <v>11359</v>
      </c>
      <c r="K8930" t="s">
        <v>15760</v>
      </c>
      <c r="L8930">
        <f>HYPERLINK("https://www2.assemblee-nationale.fr/sycomore/fiche/(num_dept)/2283", "2283")</f>
        <v>0</v>
      </c>
      <c r="N8930">
        <f>HYPERLINK("https://www.wikidata.org/wiki/Q503827", "Q503827")</f>
        <v>0</v>
      </c>
      <c r="O8930" t="s">
        <v>20062</v>
      </c>
    </row>
    <row r="8931" spans="1:15">
      <c r="A8931" t="s">
        <v>49</v>
      </c>
      <c r="B8931" t="s">
        <v>149</v>
      </c>
      <c r="C8931" t="s">
        <v>181</v>
      </c>
      <c r="D8931" t="s">
        <v>310</v>
      </c>
      <c r="E8931" t="s">
        <v>434</v>
      </c>
      <c r="F8931">
        <f>HYPERLINK("https://www.wikidata.org/wiki/Q3112113", "Q3112113")</f>
        <v>0</v>
      </c>
      <c r="G8931" t="s">
        <v>3476</v>
      </c>
      <c r="H8931" t="s">
        <v>7849</v>
      </c>
      <c r="I8931" t="s">
        <v>9437</v>
      </c>
      <c r="J8931" t="s">
        <v>14076</v>
      </c>
      <c r="K8931" t="s">
        <v>18023</v>
      </c>
      <c r="L8931">
        <f>HYPERLINK("https://www2.assemblee-nationale.fr/sycomore/fiche/(num_dept)/5059", "5059")</f>
        <v>0</v>
      </c>
      <c r="N8931">
        <f>HYPERLINK("https://www.wikidata.org/wiki/Q3588648", "Q3588648")</f>
        <v>0</v>
      </c>
      <c r="O8931" t="s">
        <v>20115</v>
      </c>
    </row>
    <row r="8932" spans="1:15">
      <c r="A8932" t="s">
        <v>49</v>
      </c>
      <c r="B8932" t="s">
        <v>149</v>
      </c>
      <c r="C8932" t="s">
        <v>181</v>
      </c>
      <c r="D8932" t="s">
        <v>310</v>
      </c>
      <c r="E8932" t="s">
        <v>434</v>
      </c>
      <c r="F8932">
        <f>HYPERLINK("https://www.wikidata.org/wiki/Q3112113", "Q3112113")</f>
        <v>0</v>
      </c>
      <c r="G8932" t="s">
        <v>3718</v>
      </c>
      <c r="H8932" t="s">
        <v>8028</v>
      </c>
      <c r="I8932" t="s">
        <v>5528</v>
      </c>
      <c r="J8932" t="s">
        <v>14293</v>
      </c>
      <c r="K8932" t="s">
        <v>18648</v>
      </c>
      <c r="L8932">
        <f>HYPERLINK("https://www2.assemblee-nationale.fr/sycomore/fiche/(num_dept)/5445", "5445")</f>
        <v>0</v>
      </c>
      <c r="M8932">
        <f>HYPERLINK("https://www.senat.fr/senateur-3eme-republique/mougeot_leon0865r3.html", "mougeot_leon0865r3")</f>
        <v>0</v>
      </c>
      <c r="N8932">
        <f>HYPERLINK("https://www.wikidata.org/wiki/Q3271218", "Q3271218")</f>
        <v>0</v>
      </c>
      <c r="O8932" t="s">
        <v>20187</v>
      </c>
    </row>
    <row r="8933" spans="1:15">
      <c r="A8933" t="s">
        <v>49</v>
      </c>
      <c r="B8933" t="s">
        <v>149</v>
      </c>
      <c r="C8933" t="s">
        <v>181</v>
      </c>
      <c r="D8933" t="s">
        <v>310</v>
      </c>
      <c r="E8933" t="s">
        <v>434</v>
      </c>
      <c r="F8933">
        <f>HYPERLINK("https://www.wikidata.org/wiki/Q3112113", "Q3112113")</f>
        <v>0</v>
      </c>
      <c r="G8933" t="s">
        <v>2965</v>
      </c>
      <c r="H8933" t="s">
        <v>5848</v>
      </c>
      <c r="I8933" t="s">
        <v>9388</v>
      </c>
      <c r="J8933" t="s">
        <v>13597</v>
      </c>
      <c r="K8933" t="s">
        <v>17983</v>
      </c>
      <c r="L8933">
        <f>HYPERLINK("https://www2.assemblee-nationale.fr/sycomore/fiche/(num_dept)/5873", "5873")</f>
        <v>0</v>
      </c>
      <c r="M8933">
        <f>HYPERLINK("https://www.senat.fr/senateur-3eme-republique/peytral_paul0322r3.html", "peytral_paul0322r3")</f>
        <v>0</v>
      </c>
      <c r="N8933">
        <f>HYPERLINK("https://www.wikidata.org/wiki/Q179491", "Q179491")</f>
        <v>0</v>
      </c>
      <c r="O8933" t="s">
        <v>20066</v>
      </c>
    </row>
    <row r="8934" spans="1:15">
      <c r="A8934" t="s">
        <v>49</v>
      </c>
      <c r="B8934" t="s">
        <v>149</v>
      </c>
      <c r="C8934" t="s">
        <v>181</v>
      </c>
      <c r="D8934" t="s">
        <v>310</v>
      </c>
      <c r="E8934" t="s">
        <v>434</v>
      </c>
      <c r="F8934">
        <f>HYPERLINK("https://www.wikidata.org/wiki/Q3112113", "Q3112113")</f>
        <v>0</v>
      </c>
      <c r="G8934" t="s">
        <v>2659</v>
      </c>
      <c r="H8934" t="s">
        <v>7199</v>
      </c>
      <c r="I8934" t="s">
        <v>9376</v>
      </c>
      <c r="J8934" t="s">
        <v>13300</v>
      </c>
      <c r="K8934" t="s">
        <v>17700</v>
      </c>
      <c r="L8934">
        <f>HYPERLINK("https://www2.assemblee-nationale.fr/sycomore/fiche/(num_dept)/6297", "6297")</f>
        <v>0</v>
      </c>
      <c r="M8934">
        <f>HYPERLINK("https://www.senat.fr/senateur-3eme-republique/sarrien_ferdinand1219r3.html", "sarrien_ferdinand1219r3")</f>
        <v>0</v>
      </c>
      <c r="N8934">
        <f>HYPERLINK("https://www.wikidata.org/wiki/Q718698", "Q718698")</f>
        <v>0</v>
      </c>
      <c r="O8934" t="s">
        <v>20064</v>
      </c>
    </row>
    <row r="8935" spans="1:15">
      <c r="A8935" t="s">
        <v>49</v>
      </c>
      <c r="B8935" t="s">
        <v>149</v>
      </c>
      <c r="C8935" t="s">
        <v>181</v>
      </c>
      <c r="D8935" t="s">
        <v>310</v>
      </c>
      <c r="E8935" t="s">
        <v>434</v>
      </c>
      <c r="F8935">
        <f>HYPERLINK("https://www.wikidata.org/wiki/Q3112113", "Q3112113")</f>
        <v>0</v>
      </c>
      <c r="G8935" t="s">
        <v>3603</v>
      </c>
      <c r="H8935" t="s">
        <v>7947</v>
      </c>
      <c r="I8935" t="s">
        <v>6175</v>
      </c>
      <c r="J8935" t="s">
        <v>14188</v>
      </c>
      <c r="K8935" t="s">
        <v>18554</v>
      </c>
      <c r="L8935">
        <f>HYPERLINK("https://www2.assemblee-nationale.fr/sycomore/fiche/(num_dept)/7163", "7163")</f>
        <v>0</v>
      </c>
      <c r="M8935">
        <f>HYPERLINK("https://www.senat.fr/senateur-3eme-republique/trouillot_georges0444r3.html", "trouillot_georges0444r3")</f>
        <v>0</v>
      </c>
      <c r="N8935">
        <f>HYPERLINK("https://www.wikidata.org/wiki/Q3103564", "Q3103564")</f>
        <v>0</v>
      </c>
      <c r="O8935" t="s">
        <v>20065</v>
      </c>
    </row>
    <row r="8936" spans="1:15">
      <c r="A8936" t="s">
        <v>49</v>
      </c>
      <c r="B8936" t="s">
        <v>149</v>
      </c>
      <c r="C8936" t="s">
        <v>181</v>
      </c>
      <c r="D8936" t="s">
        <v>310</v>
      </c>
      <c r="E8936" t="s">
        <v>434</v>
      </c>
      <c r="F8936">
        <f>HYPERLINK("https://www.wikidata.org/wiki/Q3112113", "Q3112113")</f>
        <v>0</v>
      </c>
      <c r="G8936" t="s">
        <v>3290</v>
      </c>
      <c r="H8936" t="s">
        <v>7702</v>
      </c>
      <c r="I8936" t="s">
        <v>6584</v>
      </c>
      <c r="J8936" t="s">
        <v>13904</v>
      </c>
      <c r="K8936" t="s">
        <v>18275</v>
      </c>
      <c r="L8936">
        <f>HYPERLINK("https://www2.assemblee-nationale.fr/sycomore/fiche/(num_dept)/7443", "7443")</f>
        <v>0</v>
      </c>
      <c r="M8936">
        <f>HYPERLINK("https://www.senat.fr/senateur-3eme-republique/viger_albert0500r3.html", "viger_albert0500r3")</f>
        <v>0</v>
      </c>
      <c r="N8936">
        <f>HYPERLINK("https://www.wikidata.org/wiki/Q2153536", "Q2153536")</f>
        <v>0</v>
      </c>
      <c r="O8936" t="s">
        <v>20056</v>
      </c>
    </row>
    <row r="8937" spans="1:15">
      <c r="A8937" t="s">
        <v>49</v>
      </c>
      <c r="B8937" t="s">
        <v>149</v>
      </c>
      <c r="C8937" t="s">
        <v>181</v>
      </c>
      <c r="D8937" t="s">
        <v>310</v>
      </c>
      <c r="E8937" t="s">
        <v>434</v>
      </c>
      <c r="F8937">
        <f>HYPERLINK("https://www.wikidata.org/wiki/Q3112113", "Q3112113")</f>
        <v>0</v>
      </c>
      <c r="G8937" t="s">
        <v>3509</v>
      </c>
      <c r="H8937" t="s">
        <v>7876</v>
      </c>
      <c r="I8937" t="s">
        <v>9442</v>
      </c>
      <c r="J8937" t="s">
        <v>14106</v>
      </c>
      <c r="K8937" t="s">
        <v>18471</v>
      </c>
      <c r="L8937">
        <f>HYPERLINK("https://www2.assemblee-nationale.fr/sycomore/fiche/(num_dept)/7444", "7444")</f>
        <v>0</v>
      </c>
      <c r="M8937">
        <f>HYPERLINK("https://www.senat.fr/senateur-3eme-republique/valle_ernest0643r3.html", "valle_ernest0643r3")</f>
        <v>0</v>
      </c>
      <c r="N8937">
        <f>HYPERLINK("https://www.wikidata.org/wiki/Q3057194", "Q3057194")</f>
        <v>0</v>
      </c>
      <c r="O8937" t="s">
        <v>20188</v>
      </c>
    </row>
    <row r="8938" spans="1:15">
      <c r="A8938" t="s">
        <v>49</v>
      </c>
      <c r="B8938" t="s">
        <v>149</v>
      </c>
      <c r="C8938" t="s">
        <v>181</v>
      </c>
      <c r="D8938" t="s">
        <v>310</v>
      </c>
      <c r="E8938" t="s">
        <v>434</v>
      </c>
      <c r="F8938">
        <f>HYPERLINK("https://www.wikidata.org/wiki/Q3112113", "Q3112113")</f>
        <v>0</v>
      </c>
      <c r="G8938" t="s">
        <v>2717</v>
      </c>
      <c r="H8938" t="s">
        <v>7243</v>
      </c>
      <c r="I8938" t="s">
        <v>9728</v>
      </c>
      <c r="J8938" t="s">
        <v>13358</v>
      </c>
      <c r="K8938" t="s">
        <v>17758</v>
      </c>
      <c r="L8938">
        <f>HYPERLINK("https://www2.assemblee-nationale.fr/sycomore/fiche/(num_dept)/7875", "7875")</f>
        <v>0</v>
      </c>
      <c r="N8938">
        <f>HYPERLINK("https://www.wikidata.org/wiki/Q733836", "Q733836")</f>
        <v>0</v>
      </c>
      <c r="O8938" t="s">
        <v>20053</v>
      </c>
    </row>
    <row r="8939" spans="1:15">
      <c r="A8939" t="s">
        <v>49</v>
      </c>
      <c r="B8939" t="s">
        <v>149</v>
      </c>
      <c r="C8939" t="s">
        <v>181</v>
      </c>
      <c r="D8939" t="s">
        <v>310</v>
      </c>
      <c r="E8939" t="s">
        <v>434</v>
      </c>
      <c r="F8939">
        <f>HYPERLINK("https://www.wikidata.org/wiki/Q3112113", "Q3112113")</f>
        <v>0</v>
      </c>
      <c r="G8939" t="s">
        <v>3019</v>
      </c>
      <c r="H8939" t="s">
        <v>7476</v>
      </c>
      <c r="I8939" t="s">
        <v>11173</v>
      </c>
      <c r="J8939" t="s">
        <v>13647</v>
      </c>
      <c r="K8939" t="s">
        <v>18031</v>
      </c>
      <c r="N8939">
        <f>HYPERLINK("https://www.wikidata.org/wiki/Q21294910", "Q21294910")</f>
        <v>0</v>
      </c>
      <c r="O8939" t="s">
        <v>20057</v>
      </c>
    </row>
    <row r="8940" spans="1:15">
      <c r="A8940" t="s">
        <v>49</v>
      </c>
      <c r="B8940" t="s">
        <v>149</v>
      </c>
      <c r="C8940" t="s">
        <v>181</v>
      </c>
      <c r="D8940" t="s">
        <v>310</v>
      </c>
      <c r="E8940" t="s">
        <v>434</v>
      </c>
      <c r="F8940">
        <f>HYPERLINK("https://www.wikidata.org/wiki/Q3112113", "Q3112113")</f>
        <v>0</v>
      </c>
      <c r="G8940" t="s">
        <v>4258</v>
      </c>
      <c r="H8940" t="s">
        <v>8427</v>
      </c>
      <c r="I8940" t="s">
        <v>9449</v>
      </c>
      <c r="J8940" t="s">
        <v>14762</v>
      </c>
      <c r="K8940" t="s">
        <v>19107</v>
      </c>
      <c r="N8940">
        <f>HYPERLINK("https://www.wikidata.org/wiki/Q481402", "Q481402")</f>
        <v>0</v>
      </c>
      <c r="O8940" t="s">
        <v>20057</v>
      </c>
    </row>
    <row r="8941" spans="1:15">
      <c r="A8941" t="s">
        <v>49</v>
      </c>
      <c r="B8941" t="s">
        <v>149</v>
      </c>
      <c r="C8941" t="s">
        <v>181</v>
      </c>
      <c r="D8941" t="s">
        <v>310</v>
      </c>
      <c r="E8941" t="s">
        <v>434</v>
      </c>
      <c r="F8941">
        <f>HYPERLINK("https://www.wikidata.org/wiki/Q3112113", "Q3112113")</f>
        <v>0</v>
      </c>
      <c r="G8941" t="s">
        <v>4259</v>
      </c>
      <c r="H8941" t="s">
        <v>8428</v>
      </c>
      <c r="I8941" t="s">
        <v>9437</v>
      </c>
      <c r="J8941" t="s">
        <v>13621</v>
      </c>
      <c r="K8941" t="s">
        <v>19108</v>
      </c>
      <c r="N8941">
        <f>HYPERLINK("https://www.wikidata.org/wiki/Q274898", "Q274898")</f>
        <v>0</v>
      </c>
      <c r="O8941" t="s">
        <v>20057</v>
      </c>
    </row>
    <row r="8942" spans="1:15">
      <c r="A8942" t="s">
        <v>49</v>
      </c>
      <c r="B8942" t="s">
        <v>149</v>
      </c>
      <c r="C8942" t="s">
        <v>181</v>
      </c>
      <c r="D8942" t="s">
        <v>310</v>
      </c>
      <c r="E8942" t="s">
        <v>434</v>
      </c>
      <c r="F8942">
        <f>HYPERLINK("https://www.wikidata.org/wiki/Q3112113", "Q3112113")</f>
        <v>0</v>
      </c>
      <c r="G8942" t="s">
        <v>4260</v>
      </c>
      <c r="H8942" t="s">
        <v>8429</v>
      </c>
      <c r="I8942" t="s">
        <v>6495</v>
      </c>
      <c r="J8942" t="s">
        <v>13303</v>
      </c>
      <c r="K8942" t="s">
        <v>19109</v>
      </c>
      <c r="M8942">
        <f>HYPERLINK("https://www.senat.fr/senateur-3eme-republique/tillaye_louis0336r3.html", "tillaye_louis0336r3")</f>
        <v>0</v>
      </c>
      <c r="N8942">
        <f>HYPERLINK("https://www.wikidata.org/wiki/Q3261486", "Q3261486")</f>
        <v>0</v>
      </c>
      <c r="O8942" t="s">
        <v>20063</v>
      </c>
    </row>
    <row r="8943" spans="1:15">
      <c r="A8943" t="s">
        <v>49</v>
      </c>
      <c r="B8943" t="s">
        <v>149</v>
      </c>
      <c r="C8943" t="s">
        <v>181</v>
      </c>
      <c r="D8943" t="s">
        <v>310</v>
      </c>
      <c r="E8943" t="s">
        <v>434</v>
      </c>
      <c r="F8943">
        <f>HYPERLINK("https://www.wikidata.org/wiki/Q3112113", "Q3112113")</f>
        <v>0</v>
      </c>
      <c r="G8943" t="s">
        <v>4261</v>
      </c>
      <c r="H8943" t="s">
        <v>8430</v>
      </c>
      <c r="I8943" t="s">
        <v>9449</v>
      </c>
      <c r="J8943" t="s">
        <v>14763</v>
      </c>
      <c r="K8943" t="s">
        <v>17673</v>
      </c>
      <c r="M8943">
        <f>HYPERLINK("https://www.senat.fr/senateur-3eme-republique/godin_jules1831r3.html", "godin_jules1831r3")</f>
        <v>0</v>
      </c>
      <c r="N8943">
        <f>HYPERLINK("https://www.wikidata.org/wiki/Q3188626", "Q3188626")</f>
        <v>0</v>
      </c>
      <c r="O8943" t="s">
        <v>20063</v>
      </c>
    </row>
    <row r="8944" spans="1:15">
      <c r="A8944" t="s">
        <v>50</v>
      </c>
      <c r="B8944" t="s">
        <v>149</v>
      </c>
      <c r="C8944" t="s">
        <v>182</v>
      </c>
      <c r="D8944" t="s">
        <v>311</v>
      </c>
      <c r="E8944" t="s">
        <v>361</v>
      </c>
      <c r="F8944">
        <f>HYPERLINK("https://www.wikidata.org/wiki/Q2440172", "Q2440172")</f>
        <v>0</v>
      </c>
      <c r="G8944" t="s">
        <v>504</v>
      </c>
      <c r="H8944" t="s">
        <v>5269</v>
      </c>
      <c r="I8944" t="s">
        <v>9374</v>
      </c>
      <c r="J8944" t="s">
        <v>11256</v>
      </c>
      <c r="K8944" t="s">
        <v>15656</v>
      </c>
      <c r="L8944">
        <f>HYPERLINK("https://www2.assemblee-nationale.fr/sycomore/fiche/(num_dept)/261", "261")</f>
        <v>0</v>
      </c>
      <c r="N8944">
        <f>HYPERLINK("https://www.wikidata.org/wiki/Q653621", "Q653621")</f>
        <v>0</v>
      </c>
      <c r="O8944" t="s">
        <v>20120</v>
      </c>
    </row>
    <row r="8945" spans="1:15">
      <c r="A8945" t="s">
        <v>50</v>
      </c>
      <c r="B8945" t="s">
        <v>149</v>
      </c>
      <c r="C8945" t="s">
        <v>182</v>
      </c>
      <c r="D8945" t="s">
        <v>311</v>
      </c>
      <c r="E8945" t="s">
        <v>361</v>
      </c>
      <c r="F8945">
        <f>HYPERLINK("https://www.wikidata.org/wiki/Q2440172", "Q2440172")</f>
        <v>0</v>
      </c>
      <c r="G8945" t="s">
        <v>875</v>
      </c>
      <c r="H8945" t="s">
        <v>5631</v>
      </c>
      <c r="I8945" t="s">
        <v>9476</v>
      </c>
      <c r="J8945" t="s">
        <v>11621</v>
      </c>
      <c r="K8945" t="s">
        <v>16023</v>
      </c>
      <c r="L8945">
        <f>HYPERLINK("https://www2.assemblee-nationale.fr/sycomore/fiche/(num_dept)/749", "749")</f>
        <v>0</v>
      </c>
      <c r="M8945">
        <f>HYPERLINK("https://www.senat.fr/senateur-3eme-republique/besnard_rene0300r3.html", "besnard_rene0300r3")</f>
        <v>0</v>
      </c>
      <c r="N8945">
        <f>HYPERLINK("https://www.wikidata.org/wiki/Q3425839", "Q3425839")</f>
        <v>0</v>
      </c>
      <c r="O8945" t="s">
        <v>20122</v>
      </c>
    </row>
    <row r="8946" spans="1:15">
      <c r="A8946" t="s">
        <v>50</v>
      </c>
      <c r="B8946" t="s">
        <v>149</v>
      </c>
      <c r="C8946" t="s">
        <v>182</v>
      </c>
      <c r="D8946" t="s">
        <v>311</v>
      </c>
      <c r="E8946" t="s">
        <v>361</v>
      </c>
      <c r="F8946">
        <f>HYPERLINK("https://www.wikidata.org/wiki/Q2440172", "Q2440172")</f>
        <v>0</v>
      </c>
      <c r="G8946" t="s">
        <v>560</v>
      </c>
      <c r="H8946" t="s">
        <v>5323</v>
      </c>
      <c r="I8946" t="s">
        <v>9407</v>
      </c>
      <c r="J8946" t="s">
        <v>11311</v>
      </c>
      <c r="K8946" t="s">
        <v>15712</v>
      </c>
      <c r="L8946">
        <f>HYPERLINK("https://www2.assemblee-nationale.fr/sycomore/fiche/(num_dept)/1366", "1366")</f>
        <v>0</v>
      </c>
      <c r="M8946">
        <f>HYPERLINK("https://www.senat.fr/senateur-3eme-republique/caillaux_joseph1254r3.html", "caillaux_joseph1254r3")</f>
        <v>0</v>
      </c>
      <c r="N8946">
        <f>HYPERLINK("https://www.wikidata.org/wiki/Q450463", "Q450463")</f>
        <v>0</v>
      </c>
      <c r="O8946" t="s">
        <v>20117</v>
      </c>
    </row>
    <row r="8947" spans="1:15">
      <c r="A8947" t="s">
        <v>50</v>
      </c>
      <c r="B8947" t="s">
        <v>149</v>
      </c>
      <c r="C8947" t="s">
        <v>182</v>
      </c>
      <c r="D8947" t="s">
        <v>311</v>
      </c>
      <c r="E8947" t="s">
        <v>361</v>
      </c>
      <c r="F8947">
        <f>HYPERLINK("https://www.wikidata.org/wiki/Q2440172", "Q2440172")</f>
        <v>0</v>
      </c>
      <c r="G8947" t="s">
        <v>560</v>
      </c>
      <c r="H8947" t="s">
        <v>5323</v>
      </c>
      <c r="I8947" t="s">
        <v>9407</v>
      </c>
      <c r="J8947" t="s">
        <v>11311</v>
      </c>
      <c r="K8947" t="s">
        <v>15712</v>
      </c>
      <c r="L8947">
        <f>HYPERLINK("https://www2.assemblee-nationale.fr/sycomore/fiche/(num_dept)/1366", "1366")</f>
        <v>0</v>
      </c>
      <c r="M8947">
        <f>HYPERLINK("https://www.senat.fr/senateur-3eme-republique/caillaux_joseph1254r3.html", "caillaux_joseph1254r3")</f>
        <v>0</v>
      </c>
      <c r="N8947">
        <f>HYPERLINK("https://www.wikidata.org/wiki/Q450463", "Q450463")</f>
        <v>0</v>
      </c>
      <c r="O8947" t="s">
        <v>20052</v>
      </c>
    </row>
    <row r="8948" spans="1:15">
      <c r="A8948" t="s">
        <v>50</v>
      </c>
      <c r="B8948" t="s">
        <v>149</v>
      </c>
      <c r="C8948" t="s">
        <v>182</v>
      </c>
      <c r="D8948" t="s">
        <v>311</v>
      </c>
      <c r="E8948" t="s">
        <v>361</v>
      </c>
      <c r="F8948">
        <f>HYPERLINK("https://www.wikidata.org/wiki/Q2440172", "Q2440172")</f>
        <v>0</v>
      </c>
      <c r="G8948" t="s">
        <v>573</v>
      </c>
      <c r="H8948" t="s">
        <v>5336</v>
      </c>
      <c r="I8948" t="s">
        <v>9385</v>
      </c>
      <c r="J8948" t="s">
        <v>11324</v>
      </c>
      <c r="K8948" t="s">
        <v>15725</v>
      </c>
      <c r="L8948">
        <f>HYPERLINK("https://www2.assemblee-nationale.fr/sycomore/fiche/(num_dept)/1716", "1716")</f>
        <v>0</v>
      </c>
      <c r="M8948">
        <f>HYPERLINK("https://www.senat.fr/senateur-3eme-republique/chaumet_jean0195r3.html", "chaumet_jean0195r3")</f>
        <v>0</v>
      </c>
      <c r="N8948">
        <f>HYPERLINK("https://www.wikidata.org/wiki/Q2958718", "Q2958718")</f>
        <v>0</v>
      </c>
      <c r="O8948" t="s">
        <v>20187</v>
      </c>
    </row>
    <row r="8949" spans="1:15">
      <c r="A8949" t="s">
        <v>50</v>
      </c>
      <c r="B8949" t="s">
        <v>149</v>
      </c>
      <c r="C8949" t="s">
        <v>182</v>
      </c>
      <c r="D8949" t="s">
        <v>311</v>
      </c>
      <c r="E8949" t="s">
        <v>361</v>
      </c>
      <c r="F8949">
        <f>HYPERLINK("https://www.wikidata.org/wiki/Q2440172", "Q2440172")</f>
        <v>0</v>
      </c>
      <c r="G8949" t="s">
        <v>3873</v>
      </c>
      <c r="H8949" t="s">
        <v>8141</v>
      </c>
      <c r="I8949" t="s">
        <v>7642</v>
      </c>
      <c r="J8949" t="s">
        <v>12605</v>
      </c>
      <c r="K8949" t="s">
        <v>18784</v>
      </c>
      <c r="L8949">
        <f>HYPERLINK("https://www2.assemblee-nationale.fr/sycomore/fiche/(num_dept)/2057", "2057")</f>
        <v>0</v>
      </c>
      <c r="M8949">
        <f>HYPERLINK("https://www.senat.fr/senateur-3eme-republique/couyba_charles1178r3.html", "couyba_charles1178r3")</f>
        <v>0</v>
      </c>
      <c r="N8949">
        <f>HYPERLINK("https://www.wikidata.org/wiki/Q1750410", "Q1750410")</f>
        <v>0</v>
      </c>
      <c r="O8949" t="s">
        <v>20110</v>
      </c>
    </row>
    <row r="8950" spans="1:15">
      <c r="A8950" t="s">
        <v>50</v>
      </c>
      <c r="B8950" t="s">
        <v>149</v>
      </c>
      <c r="C8950" t="s">
        <v>182</v>
      </c>
      <c r="D8950" t="s">
        <v>311</v>
      </c>
      <c r="E8950" t="s">
        <v>361</v>
      </c>
      <c r="F8950">
        <f>HYPERLINK("https://www.wikidata.org/wiki/Q2440172", "Q2440172")</f>
        <v>0</v>
      </c>
      <c r="G8950" t="s">
        <v>594</v>
      </c>
      <c r="H8950" t="s">
        <v>5355</v>
      </c>
      <c r="I8950" t="s">
        <v>6200</v>
      </c>
      <c r="J8950" t="s">
        <v>11345</v>
      </c>
      <c r="K8950" t="s">
        <v>15746</v>
      </c>
      <c r="L8950">
        <f>HYPERLINK("https://www2.assemblee-nationale.fr/sycomore/fiche/(num_dept)/2080", "2080")</f>
        <v>0</v>
      </c>
      <c r="M8950">
        <f>HYPERLINK("https://www.senat.fr/senateur-3eme-republique/cruppi_jean0109r3.html", "cruppi_jean0109r3")</f>
        <v>0</v>
      </c>
      <c r="N8950">
        <f>HYPERLINK("https://www.wikidata.org/wiki/Q730383", "Q730383")</f>
        <v>0</v>
      </c>
      <c r="O8950" t="s">
        <v>20064</v>
      </c>
    </row>
    <row r="8951" spans="1:15">
      <c r="A8951" t="s">
        <v>50</v>
      </c>
      <c r="B8951" t="s">
        <v>149</v>
      </c>
      <c r="C8951" t="s">
        <v>182</v>
      </c>
      <c r="D8951" t="s">
        <v>311</v>
      </c>
      <c r="E8951" t="s">
        <v>361</v>
      </c>
      <c r="F8951">
        <f>HYPERLINK("https://www.wikidata.org/wiki/Q2440172", "Q2440172")</f>
        <v>0</v>
      </c>
      <c r="G8951" t="s">
        <v>608</v>
      </c>
      <c r="H8951" t="s">
        <v>5368</v>
      </c>
      <c r="I8951" t="s">
        <v>9451</v>
      </c>
      <c r="J8951" t="s">
        <v>11359</v>
      </c>
      <c r="K8951" t="s">
        <v>15760</v>
      </c>
      <c r="L8951">
        <f>HYPERLINK("https://www2.assemblee-nationale.fr/sycomore/fiche/(num_dept)/2283", "2283")</f>
        <v>0</v>
      </c>
      <c r="N8951">
        <f>HYPERLINK("https://www.wikidata.org/wiki/Q503827", "Q503827")</f>
        <v>0</v>
      </c>
      <c r="O8951" t="s">
        <v>20053</v>
      </c>
    </row>
    <row r="8952" spans="1:15">
      <c r="A8952" t="s">
        <v>50</v>
      </c>
      <c r="B8952" t="s">
        <v>149</v>
      </c>
      <c r="C8952" t="s">
        <v>182</v>
      </c>
      <c r="D8952" t="s">
        <v>311</v>
      </c>
      <c r="E8952" t="s">
        <v>361</v>
      </c>
      <c r="F8952">
        <f>HYPERLINK("https://www.wikidata.org/wiki/Q2440172", "Q2440172")</f>
        <v>0</v>
      </c>
      <c r="G8952" t="s">
        <v>623</v>
      </c>
      <c r="H8952" t="s">
        <v>5383</v>
      </c>
      <c r="I8952" t="s">
        <v>5394</v>
      </c>
      <c r="J8952" t="s">
        <v>11373</v>
      </c>
      <c r="K8952" t="s">
        <v>15775</v>
      </c>
      <c r="L8952">
        <f>HYPERLINK("https://www2.assemblee-nationale.fr/sycomore/fiche/(num_dept)/2685", "2685")</f>
        <v>0</v>
      </c>
      <c r="M8952">
        <f>HYPERLINK("https://www.senat.fr/senateur-3eme-republique/dujardin_beaumetz_henri0274r3.html", "dujardin_beaumetz_henri0274r3")</f>
        <v>0</v>
      </c>
      <c r="N8952">
        <f>HYPERLINK("https://www.wikidata.org/wiki/Q289596", "Q289596")</f>
        <v>0</v>
      </c>
      <c r="O8952" t="s">
        <v>20119</v>
      </c>
    </row>
    <row r="8953" spans="1:15">
      <c r="A8953" t="s">
        <v>50</v>
      </c>
      <c r="B8953" t="s">
        <v>149</v>
      </c>
      <c r="C8953" t="s">
        <v>182</v>
      </c>
      <c r="D8953" t="s">
        <v>311</v>
      </c>
      <c r="E8953" t="s">
        <v>361</v>
      </c>
      <c r="F8953">
        <f>HYPERLINK("https://www.wikidata.org/wiki/Q2440172", "Q2440172")</f>
        <v>0</v>
      </c>
      <c r="G8953" t="s">
        <v>696</v>
      </c>
      <c r="H8953" t="s">
        <v>5454</v>
      </c>
      <c r="I8953" t="s">
        <v>9484</v>
      </c>
      <c r="J8953" t="s">
        <v>11446</v>
      </c>
      <c r="K8953" t="s">
        <v>15847</v>
      </c>
      <c r="L8953">
        <f>HYPERLINK("https://www2.assemblee-nationale.fr/sycomore/fiche/(num_dept)/4148", "4148")</f>
        <v>0</v>
      </c>
      <c r="M8953">
        <f>HYPERLINK("https://www.senat.fr/senateur-3eme-republique/klotz_louis1683r3.html", "klotz_louis1683r3")</f>
        <v>0</v>
      </c>
      <c r="N8953">
        <f>HYPERLINK("https://www.wikidata.org/wiki/Q179586", "Q179586")</f>
        <v>0</v>
      </c>
      <c r="O8953" t="s">
        <v>20066</v>
      </c>
    </row>
    <row r="8954" spans="1:15">
      <c r="A8954" t="s">
        <v>50</v>
      </c>
      <c r="B8954" t="s">
        <v>149</v>
      </c>
      <c r="C8954" t="s">
        <v>182</v>
      </c>
      <c r="D8954" t="s">
        <v>311</v>
      </c>
      <c r="E8954" t="s">
        <v>361</v>
      </c>
      <c r="F8954">
        <f>HYPERLINK("https://www.wikidata.org/wiki/Q2440172", "Q2440172")</f>
        <v>0</v>
      </c>
      <c r="G8954" t="s">
        <v>721</v>
      </c>
      <c r="H8954" t="s">
        <v>5479</v>
      </c>
      <c r="I8954" t="s">
        <v>6495</v>
      </c>
      <c r="J8954" t="s">
        <v>11470</v>
      </c>
      <c r="K8954" t="s">
        <v>15872</v>
      </c>
      <c r="L8954">
        <f>HYPERLINK("https://www2.assemblee-nationale.fr/sycomore/fiche/(num_dept)/4940", "4940")</f>
        <v>0</v>
      </c>
      <c r="N8954">
        <f>HYPERLINK("https://www.wikidata.org/wiki/Q3262600", "Q3262600")</f>
        <v>0</v>
      </c>
      <c r="O8954" t="s">
        <v>20189</v>
      </c>
    </row>
    <row r="8955" spans="1:15">
      <c r="A8955" t="s">
        <v>50</v>
      </c>
      <c r="B8955" t="s">
        <v>149</v>
      </c>
      <c r="C8955" t="s">
        <v>182</v>
      </c>
      <c r="D8955" t="s">
        <v>311</v>
      </c>
      <c r="E8955" t="s">
        <v>361</v>
      </c>
      <c r="F8955">
        <f>HYPERLINK("https://www.wikidata.org/wiki/Q2440172", "Q2440172")</f>
        <v>0</v>
      </c>
      <c r="G8955" t="s">
        <v>1003</v>
      </c>
      <c r="H8955" t="s">
        <v>5754</v>
      </c>
      <c r="I8955" t="s">
        <v>9534</v>
      </c>
      <c r="J8955" t="s">
        <v>11740</v>
      </c>
      <c r="K8955" t="s">
        <v>16144</v>
      </c>
      <c r="L8955">
        <f>HYPERLINK("https://www2.assemblee-nationale.fr/sycomore/fiche/(num_dept)/5219", "5219")</f>
        <v>0</v>
      </c>
      <c r="M8955">
        <f>HYPERLINK("https://www.senat.fr/senateur-3eme-republique/messimy_adolphe0021r3.html", "messimy_adolphe0021r3")</f>
        <v>0</v>
      </c>
      <c r="N8955">
        <f>HYPERLINK("https://www.wikidata.org/wiki/Q365771", "Q365771")</f>
        <v>0</v>
      </c>
      <c r="O8955" t="s">
        <v>20057</v>
      </c>
    </row>
    <row r="8956" spans="1:15">
      <c r="A8956" t="s">
        <v>50</v>
      </c>
      <c r="B8956" t="s">
        <v>149</v>
      </c>
      <c r="C8956" t="s">
        <v>182</v>
      </c>
      <c r="D8956" t="s">
        <v>311</v>
      </c>
      <c r="E8956" t="s">
        <v>361</v>
      </c>
      <c r="F8956">
        <f>HYPERLINK("https://www.wikidata.org/wiki/Q2440172", "Q2440172")</f>
        <v>0</v>
      </c>
      <c r="G8956" t="s">
        <v>3721</v>
      </c>
      <c r="H8956" t="s">
        <v>8030</v>
      </c>
      <c r="I8956" t="s">
        <v>9449</v>
      </c>
      <c r="J8956" t="s">
        <v>14296</v>
      </c>
      <c r="K8956" t="s">
        <v>18650</v>
      </c>
      <c r="L8956">
        <f>HYPERLINK("https://www2.assemblee-nationale.fr/sycomore/fiche/(num_dept)/5665", "5665")</f>
        <v>0</v>
      </c>
      <c r="M8956">
        <f>HYPERLINK("https://www.senat.fr/senateur-3eme-republique/pams_jules1089r3.html", "pams_jules1089r3")</f>
        <v>0</v>
      </c>
      <c r="N8956">
        <f>HYPERLINK("https://www.wikidata.org/wiki/Q3188830", "Q3188830")</f>
        <v>0</v>
      </c>
      <c r="O8956" t="s">
        <v>20056</v>
      </c>
    </row>
    <row r="8957" spans="1:15">
      <c r="A8957" t="s">
        <v>50</v>
      </c>
      <c r="B8957" t="s">
        <v>149</v>
      </c>
      <c r="C8957" t="s">
        <v>182</v>
      </c>
      <c r="D8957" t="s">
        <v>311</v>
      </c>
      <c r="E8957" t="s">
        <v>361</v>
      </c>
      <c r="F8957">
        <f>HYPERLINK("https://www.wikidata.org/wiki/Q2440172", "Q2440172")</f>
        <v>0</v>
      </c>
      <c r="G8957" t="s">
        <v>804</v>
      </c>
      <c r="H8957" t="s">
        <v>5561</v>
      </c>
      <c r="I8957" t="s">
        <v>9476</v>
      </c>
      <c r="J8957" t="s">
        <v>11551</v>
      </c>
      <c r="K8957" t="s">
        <v>15955</v>
      </c>
      <c r="L8957">
        <f>HYPERLINK("https://www2.assemblee-nationale.fr/sycomore/fiche/(num_dept)/6684", "6684")</f>
        <v>0</v>
      </c>
      <c r="M8957">
        <f>HYPERLINK("https://www.senat.fr/senateur-3eme-republique/renoult_rene1734r3.html", "renoult_rene1734r3")</f>
        <v>0</v>
      </c>
      <c r="N8957">
        <f>HYPERLINK("https://www.wikidata.org/wiki/Q3426810", "Q3426810")</f>
        <v>0</v>
      </c>
      <c r="O8957" t="s">
        <v>20055</v>
      </c>
    </row>
    <row r="8958" spans="1:15">
      <c r="A8958" t="s">
        <v>50</v>
      </c>
      <c r="B8958" t="s">
        <v>149</v>
      </c>
      <c r="C8958" t="s">
        <v>182</v>
      </c>
      <c r="D8958" t="s">
        <v>311</v>
      </c>
      <c r="E8958" t="s">
        <v>361</v>
      </c>
      <c r="F8958">
        <f>HYPERLINK("https://www.wikidata.org/wiki/Q2440172", "Q2440172")</f>
        <v>0</v>
      </c>
      <c r="G8958" t="s">
        <v>814</v>
      </c>
      <c r="H8958" t="s">
        <v>5571</v>
      </c>
      <c r="I8958" t="s">
        <v>9533</v>
      </c>
      <c r="J8958" t="s">
        <v>11561</v>
      </c>
      <c r="K8958" t="s">
        <v>15965</v>
      </c>
      <c r="L8958">
        <f>HYPERLINK("https://www2.assemblee-nationale.fr/sycomore/fiche/(num_dept)/6904", "6904")</f>
        <v>0</v>
      </c>
      <c r="M8958">
        <f>HYPERLINK("https://www.senat.fr/senateur-3eme-republique/steeg_theodore1554r3.html", "steeg_theodore1554r3")</f>
        <v>0</v>
      </c>
      <c r="N8958">
        <f>HYPERLINK("https://www.wikidata.org/wiki/Q717905", "Q717905")</f>
        <v>0</v>
      </c>
      <c r="O8958" t="s">
        <v>20051</v>
      </c>
    </row>
    <row r="8959" spans="1:15">
      <c r="A8959" t="s">
        <v>50</v>
      </c>
      <c r="B8959" t="s">
        <v>149</v>
      </c>
      <c r="C8959" t="s">
        <v>182</v>
      </c>
      <c r="D8959" t="s">
        <v>311</v>
      </c>
      <c r="E8959" t="s">
        <v>361</v>
      </c>
      <c r="F8959">
        <f>HYPERLINK("https://www.wikidata.org/wiki/Q2440172", "Q2440172")</f>
        <v>0</v>
      </c>
      <c r="G8959" t="s">
        <v>846</v>
      </c>
      <c r="H8959" t="s">
        <v>5603</v>
      </c>
      <c r="I8959" t="s">
        <v>6584</v>
      </c>
      <c r="J8959" t="s">
        <v>11593</v>
      </c>
      <c r="K8959" t="s">
        <v>15784</v>
      </c>
      <c r="L8959">
        <f>HYPERLINK("https://www2.assemblee-nationale.fr/sycomore/fiche/(num_dept)/7652", "7652")</f>
        <v>0</v>
      </c>
      <c r="M8959">
        <f>HYPERLINK("https://www.senat.fr/senateur-3eme-republique/lebrun_albert0945r3.html", "lebrun_albert0945r3")</f>
        <v>0</v>
      </c>
      <c r="N8959">
        <f>HYPERLINK("https://www.wikidata.org/wiki/Q158749", "Q158749")</f>
        <v>0</v>
      </c>
      <c r="O8959" t="s">
        <v>20065</v>
      </c>
    </row>
    <row r="8960" spans="1:15">
      <c r="A8960" t="s">
        <v>50</v>
      </c>
      <c r="B8960" t="s">
        <v>149</v>
      </c>
      <c r="C8960" t="s">
        <v>182</v>
      </c>
      <c r="D8960" t="s">
        <v>311</v>
      </c>
      <c r="E8960" t="s">
        <v>361</v>
      </c>
      <c r="F8960">
        <f>HYPERLINK("https://www.wikidata.org/wiki/Q2440172", "Q2440172")</f>
        <v>0</v>
      </c>
      <c r="G8960" t="s">
        <v>4262</v>
      </c>
      <c r="H8960" t="s">
        <v>8431</v>
      </c>
      <c r="I8960" t="s">
        <v>9605</v>
      </c>
      <c r="J8960" t="s">
        <v>12022</v>
      </c>
      <c r="K8960" t="s">
        <v>19110</v>
      </c>
      <c r="M8960">
        <f>HYPERLINK("https://www.senat.fr/senateur-3eme-republique/de_selves_justin1727r3.html", "de_selves_justin1727r3")</f>
        <v>0</v>
      </c>
      <c r="N8960">
        <f>HYPERLINK("https://www.wikidata.org/wiki/Q2403337", "Q2403337")</f>
        <v>0</v>
      </c>
      <c r="O8960" t="s">
        <v>20062</v>
      </c>
    </row>
    <row r="8961" spans="1:15">
      <c r="A8961" t="s">
        <v>51</v>
      </c>
      <c r="B8961" t="s">
        <v>149</v>
      </c>
      <c r="C8961" t="s">
        <v>183</v>
      </c>
      <c r="D8961" t="s">
        <v>312</v>
      </c>
      <c r="E8961" t="s">
        <v>435</v>
      </c>
      <c r="F8961">
        <f>HYPERLINK("https://www.wikidata.org/wiki/Q2657309", "Q2657309")</f>
        <v>0</v>
      </c>
      <c r="G8961" t="s">
        <v>3237</v>
      </c>
      <c r="H8961" t="s">
        <v>7662</v>
      </c>
      <c r="I8961" t="s">
        <v>9552</v>
      </c>
      <c r="J8961" t="s">
        <v>13855</v>
      </c>
      <c r="K8961" t="s">
        <v>18227</v>
      </c>
      <c r="L8961">
        <f>HYPERLINK("https://www2.assemblee-nationale.fr/sycomore/fiche/(num_dept)/1312", "1312")</f>
        <v>0</v>
      </c>
      <c r="N8961">
        <f>HYPERLINK("https://www.wikidata.org/wiki/Q2341410", "Q2341410")</f>
        <v>0</v>
      </c>
      <c r="O8961" t="s">
        <v>20066</v>
      </c>
    </row>
    <row r="8962" spans="1:15">
      <c r="A8962" t="s">
        <v>51</v>
      </c>
      <c r="B8962" t="s">
        <v>149</v>
      </c>
      <c r="C8962" t="s">
        <v>183</v>
      </c>
      <c r="D8962" t="s">
        <v>312</v>
      </c>
      <c r="E8962" t="s">
        <v>435</v>
      </c>
      <c r="F8962">
        <f>HYPERLINK("https://www.wikidata.org/wiki/Q2657309", "Q2657309")</f>
        <v>0</v>
      </c>
      <c r="G8962" t="s">
        <v>2529</v>
      </c>
      <c r="H8962" t="s">
        <v>7090</v>
      </c>
      <c r="I8962" t="s">
        <v>6200</v>
      </c>
      <c r="J8962" t="s">
        <v>13173</v>
      </c>
      <c r="K8962" t="s">
        <v>17579</v>
      </c>
      <c r="L8962">
        <f>HYPERLINK("https://www2.assemblee-nationale.fr/sycomore/fiche/(num_dept)/1484", "1484")</f>
        <v>0</v>
      </c>
      <c r="N8962">
        <f>HYPERLINK("https://www.wikidata.org/wiki/Q315656", "Q315656")</f>
        <v>0</v>
      </c>
      <c r="O8962" t="s">
        <v>20062</v>
      </c>
    </row>
    <row r="8963" spans="1:15">
      <c r="A8963" t="s">
        <v>51</v>
      </c>
      <c r="B8963" t="s">
        <v>149</v>
      </c>
      <c r="C8963" t="s">
        <v>183</v>
      </c>
      <c r="D8963" t="s">
        <v>312</v>
      </c>
      <c r="E8963" t="s">
        <v>435</v>
      </c>
      <c r="F8963">
        <f>HYPERLINK("https://www.wikidata.org/wiki/Q2657309", "Q2657309")</f>
        <v>0</v>
      </c>
      <c r="G8963" t="s">
        <v>2529</v>
      </c>
      <c r="H8963" t="s">
        <v>7090</v>
      </c>
      <c r="I8963" t="s">
        <v>6200</v>
      </c>
      <c r="J8963" t="s">
        <v>13173</v>
      </c>
      <c r="K8963" t="s">
        <v>17579</v>
      </c>
      <c r="L8963">
        <f>HYPERLINK("https://www2.assemblee-nationale.fr/sycomore/fiche/(num_dept)/1484", "1484")</f>
        <v>0</v>
      </c>
      <c r="N8963">
        <f>HYPERLINK("https://www.wikidata.org/wiki/Q315656", "Q315656")</f>
        <v>0</v>
      </c>
      <c r="O8963" t="s">
        <v>20114</v>
      </c>
    </row>
    <row r="8964" spans="1:15">
      <c r="A8964" t="s">
        <v>51</v>
      </c>
      <c r="B8964" t="s">
        <v>149</v>
      </c>
      <c r="C8964" t="s">
        <v>183</v>
      </c>
      <c r="D8964" t="s">
        <v>312</v>
      </c>
      <c r="E8964" t="s">
        <v>435</v>
      </c>
      <c r="F8964">
        <f>HYPERLINK("https://www.wikidata.org/wiki/Q2657309", "Q2657309")</f>
        <v>0</v>
      </c>
      <c r="G8964" t="s">
        <v>2559</v>
      </c>
      <c r="H8964" t="s">
        <v>7117</v>
      </c>
      <c r="I8964" t="s">
        <v>10017</v>
      </c>
      <c r="J8964" t="s">
        <v>13203</v>
      </c>
      <c r="K8964" t="s">
        <v>17607</v>
      </c>
      <c r="L8964">
        <f>HYPERLINK("https://www2.assemblee-nationale.fr/sycomore/fiche/(num_dept)/2632", "2632")</f>
        <v>0</v>
      </c>
      <c r="M8964">
        <f>HYPERLINK("https://www.senat.fr/senateur-3eme-republique/dubost_antonin1187r3.html", "dubost_antonin1187r3")</f>
        <v>0</v>
      </c>
      <c r="N8964">
        <f>HYPERLINK("https://www.wikidata.org/wiki/Q2857118", "Q2857118")</f>
        <v>0</v>
      </c>
      <c r="O8964" t="s">
        <v>20064</v>
      </c>
    </row>
    <row r="8965" spans="1:15">
      <c r="A8965" t="s">
        <v>51</v>
      </c>
      <c r="B8965" t="s">
        <v>149</v>
      </c>
      <c r="C8965" t="s">
        <v>183</v>
      </c>
      <c r="D8965" t="s">
        <v>312</v>
      </c>
      <c r="E8965" t="s">
        <v>435</v>
      </c>
      <c r="F8965">
        <f>HYPERLINK("https://www.wikidata.org/wiki/Q2657309", "Q2657309")</f>
        <v>0</v>
      </c>
      <c r="G8965" t="s">
        <v>692</v>
      </c>
      <c r="H8965" t="s">
        <v>5450</v>
      </c>
      <c r="I8965" t="s">
        <v>9385</v>
      </c>
      <c r="J8965" t="s">
        <v>11442</v>
      </c>
      <c r="K8965" t="s">
        <v>15843</v>
      </c>
      <c r="L8965">
        <f>HYPERLINK("https://www2.assemblee-nationale.fr/sycomore/fiche/(num_dept)/4047", "4047")</f>
        <v>0</v>
      </c>
      <c r="M8965">
        <f>HYPERLINK("https://www.senat.fr/senateur-3eme-republique/jonnart_celestin0975r3.html", "jonnart_celestin0975r3")</f>
        <v>0</v>
      </c>
      <c r="N8965">
        <f>HYPERLINK("https://www.wikidata.org/wiki/Q212634", "Q212634")</f>
        <v>0</v>
      </c>
      <c r="O8965" t="s">
        <v>20063</v>
      </c>
    </row>
    <row r="8966" spans="1:15">
      <c r="A8966" t="s">
        <v>51</v>
      </c>
      <c r="B8966" t="s">
        <v>149</v>
      </c>
      <c r="C8966" t="s">
        <v>183</v>
      </c>
      <c r="D8966" t="s">
        <v>312</v>
      </c>
      <c r="E8966" t="s">
        <v>435</v>
      </c>
      <c r="F8966">
        <f>HYPERLINK("https://www.wikidata.org/wiki/Q2657309", "Q2657309")</f>
        <v>0</v>
      </c>
      <c r="G8966" t="s">
        <v>3263</v>
      </c>
      <c r="H8966" t="s">
        <v>6502</v>
      </c>
      <c r="I8966" t="s">
        <v>9401</v>
      </c>
      <c r="J8966" t="s">
        <v>13879</v>
      </c>
      <c r="K8966" t="s">
        <v>18251</v>
      </c>
      <c r="L8966">
        <f>HYPERLINK("https://www2.assemblee-nationale.fr/sycomore/fiche/(num_dept)/5058", "5058")</f>
        <v>0</v>
      </c>
      <c r="N8966">
        <f>HYPERLINK("https://www.wikidata.org/wiki/Q3173440", "Q3173440")</f>
        <v>0</v>
      </c>
      <c r="O8966" t="s">
        <v>20190</v>
      </c>
    </row>
    <row r="8967" spans="1:15">
      <c r="A8967" t="s">
        <v>51</v>
      </c>
      <c r="B8967" t="s">
        <v>149</v>
      </c>
      <c r="C8967" t="s">
        <v>183</v>
      </c>
      <c r="D8967" t="s">
        <v>312</v>
      </c>
      <c r="E8967" t="s">
        <v>435</v>
      </c>
      <c r="F8967">
        <f>HYPERLINK("https://www.wikidata.org/wiki/Q2657309", "Q2657309")</f>
        <v>0</v>
      </c>
      <c r="G8967" t="s">
        <v>2666</v>
      </c>
      <c r="H8967" t="s">
        <v>7204</v>
      </c>
      <c r="I8967" t="s">
        <v>5361</v>
      </c>
      <c r="J8967" t="s">
        <v>13307</v>
      </c>
      <c r="K8967" t="s">
        <v>17707</v>
      </c>
      <c r="L8967">
        <f>HYPERLINK("https://www2.assemblee-nationale.fr/sycomore/fiche/(num_dept)/6631", "6631")</f>
        <v>0</v>
      </c>
      <c r="M8967">
        <f>HYPERLINK("https://www.senat.fr/senateur-3eme-republique/raynal_david0206r3.html", "raynal_david0206r3")</f>
        <v>0</v>
      </c>
      <c r="N8967">
        <f>HYPERLINK("https://www.wikidata.org/wiki/Q3018665", "Q3018665")</f>
        <v>0</v>
      </c>
      <c r="O8967" t="s">
        <v>20113</v>
      </c>
    </row>
    <row r="8968" spans="1:15">
      <c r="A8968" t="s">
        <v>51</v>
      </c>
      <c r="B8968" t="s">
        <v>149</v>
      </c>
      <c r="C8968" t="s">
        <v>183</v>
      </c>
      <c r="D8968" t="s">
        <v>312</v>
      </c>
      <c r="E8968" t="s">
        <v>435</v>
      </c>
      <c r="F8968">
        <f>HYPERLINK("https://www.wikidata.org/wiki/Q2657309", "Q2657309")</f>
        <v>0</v>
      </c>
      <c r="G8968" t="s">
        <v>2681</v>
      </c>
      <c r="H8968" t="s">
        <v>7215</v>
      </c>
      <c r="I8968" t="s">
        <v>9465</v>
      </c>
      <c r="J8968" t="s">
        <v>13322</v>
      </c>
      <c r="K8968" t="s">
        <v>17722</v>
      </c>
      <c r="L8968">
        <f>HYPERLINK("https://www2.assemblee-nationale.fr/sycomore/fiche/(num_dept)/6901", "6901")</f>
        <v>0</v>
      </c>
      <c r="M8968">
        <f>HYPERLINK("https://www.senat.fr/senateur-3eme-republique/spuller_eugene0548r3.html", "spuller_eugene0548r3")</f>
        <v>0</v>
      </c>
      <c r="N8968">
        <f>HYPERLINK("https://www.wikidata.org/wiki/Q3060180", "Q3060180")</f>
        <v>0</v>
      </c>
      <c r="O8968" t="s">
        <v>20191</v>
      </c>
    </row>
    <row r="8969" spans="1:15">
      <c r="A8969" t="s">
        <v>51</v>
      </c>
      <c r="B8969" t="s">
        <v>149</v>
      </c>
      <c r="C8969" t="s">
        <v>183</v>
      </c>
      <c r="D8969" t="s">
        <v>312</v>
      </c>
      <c r="E8969" t="s">
        <v>435</v>
      </c>
      <c r="F8969">
        <f>HYPERLINK("https://www.wikidata.org/wiki/Q2657309", "Q2657309")</f>
        <v>0</v>
      </c>
      <c r="G8969" t="s">
        <v>3290</v>
      </c>
      <c r="H8969" t="s">
        <v>7702</v>
      </c>
      <c r="I8969" t="s">
        <v>6584</v>
      </c>
      <c r="J8969" t="s">
        <v>13904</v>
      </c>
      <c r="K8969" t="s">
        <v>18275</v>
      </c>
      <c r="L8969">
        <f>HYPERLINK("https://www2.assemblee-nationale.fr/sycomore/fiche/(num_dept)/7443", "7443")</f>
        <v>0</v>
      </c>
      <c r="M8969">
        <f>HYPERLINK("https://www.senat.fr/senateur-3eme-republique/viger_albert0500r3.html", "viger_albert0500r3")</f>
        <v>0</v>
      </c>
      <c r="N8969">
        <f>HYPERLINK("https://www.wikidata.org/wiki/Q2153536", "Q2153536")</f>
        <v>0</v>
      </c>
      <c r="O8969" t="s">
        <v>20056</v>
      </c>
    </row>
    <row r="8970" spans="1:15">
      <c r="A8970" t="s">
        <v>51</v>
      </c>
      <c r="B8970" t="s">
        <v>149</v>
      </c>
      <c r="C8970" t="s">
        <v>183</v>
      </c>
      <c r="D8970" t="s">
        <v>312</v>
      </c>
      <c r="E8970" t="s">
        <v>435</v>
      </c>
      <c r="F8970">
        <f>HYPERLINK("https://www.wikidata.org/wiki/Q2657309", "Q2657309")</f>
        <v>0</v>
      </c>
      <c r="G8970" t="s">
        <v>3639</v>
      </c>
      <c r="H8970" t="s">
        <v>7971</v>
      </c>
      <c r="I8970" t="s">
        <v>7642</v>
      </c>
      <c r="J8970" t="s">
        <v>14219</v>
      </c>
      <c r="K8970" t="s">
        <v>17561</v>
      </c>
      <c r="L8970">
        <f>HYPERLINK("https://www2.assemblee-nationale.fr/sycomore/fiche/(num_dept)/7646", "7646")</f>
        <v>0</v>
      </c>
      <c r="N8970">
        <f>HYPERLINK("https://www.wikidata.org/wiki/Q3301023", "Q3301023")</f>
        <v>0</v>
      </c>
      <c r="O8970" t="s">
        <v>20184</v>
      </c>
    </row>
    <row r="8971" spans="1:15">
      <c r="A8971" t="s">
        <v>51</v>
      </c>
      <c r="B8971" t="s">
        <v>149</v>
      </c>
      <c r="C8971" t="s">
        <v>183</v>
      </c>
      <c r="D8971" t="s">
        <v>312</v>
      </c>
      <c r="E8971" t="s">
        <v>435</v>
      </c>
      <c r="F8971">
        <f>HYPERLINK("https://www.wikidata.org/wiki/Q2657309", "Q2657309")</f>
        <v>0</v>
      </c>
      <c r="G8971" t="s">
        <v>4263</v>
      </c>
      <c r="H8971" t="s">
        <v>6235</v>
      </c>
      <c r="I8971" t="s">
        <v>9552</v>
      </c>
      <c r="J8971" t="s">
        <v>14764</v>
      </c>
      <c r="K8971" t="s">
        <v>19111</v>
      </c>
      <c r="M8971">
        <f>HYPERLINK("https://www.senat.fr/senateur-3eme-republique/mercier_auguste1293r3.html", "mercier_auguste1293r3")</f>
        <v>0</v>
      </c>
      <c r="N8971">
        <f>HYPERLINK("https://www.wikidata.org/wiki/Q766801", "Q766801")</f>
        <v>0</v>
      </c>
      <c r="O8971" t="s">
        <v>20057</v>
      </c>
    </row>
    <row r="8972" spans="1:15">
      <c r="A8972" t="s">
        <v>51</v>
      </c>
      <c r="B8972" t="s">
        <v>149</v>
      </c>
      <c r="C8972" t="s">
        <v>183</v>
      </c>
      <c r="D8972" t="s">
        <v>312</v>
      </c>
      <c r="E8972" t="s">
        <v>435</v>
      </c>
      <c r="F8972">
        <f>HYPERLINK("https://www.wikidata.org/wiki/Q2657309", "Q2657309")</f>
        <v>0</v>
      </c>
      <c r="G8972" t="s">
        <v>4264</v>
      </c>
      <c r="H8972" t="s">
        <v>5607</v>
      </c>
      <c r="I8972" t="s">
        <v>9552</v>
      </c>
      <c r="J8972" t="s">
        <v>14765</v>
      </c>
      <c r="K8972" t="s">
        <v>19112</v>
      </c>
      <c r="N8972">
        <f>HYPERLINK("https://www.wikidata.org/wiki/Q2871280", "Q2871280")</f>
        <v>0</v>
      </c>
      <c r="O8972" t="s">
        <v>20053</v>
      </c>
    </row>
    <row r="8973" spans="1:15">
      <c r="A8973" t="s">
        <v>51</v>
      </c>
      <c r="B8973" t="s">
        <v>149</v>
      </c>
      <c r="C8973" t="s">
        <v>183</v>
      </c>
      <c r="D8973" t="s">
        <v>312</v>
      </c>
      <c r="E8973" t="s">
        <v>435</v>
      </c>
      <c r="F8973">
        <f>HYPERLINK("https://www.wikidata.org/wiki/Q2657309", "Q2657309")</f>
        <v>0</v>
      </c>
      <c r="G8973" t="s">
        <v>4265</v>
      </c>
      <c r="H8973" t="s">
        <v>5955</v>
      </c>
      <c r="I8973" t="s">
        <v>9442</v>
      </c>
      <c r="J8973" t="s">
        <v>13544</v>
      </c>
      <c r="K8973" t="s">
        <v>19113</v>
      </c>
      <c r="N8973">
        <f>HYPERLINK("https://www.wikidata.org/wiki/Q3056857", "Q3056857")</f>
        <v>0</v>
      </c>
      <c r="O8973" t="s">
        <v>20065</v>
      </c>
    </row>
    <row r="8974" spans="1:15">
      <c r="A8974" t="s">
        <v>52</v>
      </c>
      <c r="B8974" t="s">
        <v>149</v>
      </c>
      <c r="C8974" t="s">
        <v>184</v>
      </c>
      <c r="D8974" t="s">
        <v>313</v>
      </c>
      <c r="E8974" t="s">
        <v>436</v>
      </c>
      <c r="F8974">
        <f>HYPERLINK("https://www.wikidata.org/wiki/Q3111941", "Q3111941")</f>
        <v>0</v>
      </c>
      <c r="G8974" t="s">
        <v>1345</v>
      </c>
      <c r="H8974" t="s">
        <v>6063</v>
      </c>
      <c r="I8974" t="s">
        <v>5528</v>
      </c>
      <c r="J8974" t="s">
        <v>12072</v>
      </c>
      <c r="K8974" t="s">
        <v>16474</v>
      </c>
      <c r="L8974">
        <f>HYPERLINK("https://www2.assemblee-nationale.fr/sycomore/fiche/(num_dept)/185", "185")</f>
        <v>0</v>
      </c>
      <c r="N8974">
        <f>HYPERLINK("https://www.wikidata.org/wiki/Q3270682", "Q3270682")</f>
        <v>0</v>
      </c>
      <c r="O8974" t="s">
        <v>20192</v>
      </c>
    </row>
    <row r="8975" spans="1:15">
      <c r="A8975" t="s">
        <v>52</v>
      </c>
      <c r="B8975" t="s">
        <v>149</v>
      </c>
      <c r="C8975" t="s">
        <v>184</v>
      </c>
      <c r="D8975" t="s">
        <v>313</v>
      </c>
      <c r="E8975" t="s">
        <v>436</v>
      </c>
      <c r="F8975">
        <f>HYPERLINK("https://www.wikidata.org/wiki/Q3111941", "Q3111941")</f>
        <v>0</v>
      </c>
      <c r="G8975" t="s">
        <v>1996</v>
      </c>
      <c r="H8975" t="s">
        <v>6632</v>
      </c>
      <c r="I8975" t="s">
        <v>6759</v>
      </c>
      <c r="J8975" t="s">
        <v>12675</v>
      </c>
      <c r="K8975" t="s">
        <v>17087</v>
      </c>
      <c r="L8975">
        <f>HYPERLINK("https://www2.assemblee-nationale.fr/sycomore/fiche/(num_dept)/586", "586")</f>
        <v>0</v>
      </c>
      <c r="M8975">
        <f>HYPERLINK("https://www.senat.fr/senateur-3eme-republique/bellanger_robert0561r3.html", "bellanger_robert0561r3")</f>
        <v>0</v>
      </c>
      <c r="N8975">
        <f>HYPERLINK("https://www.wikidata.org/wiki/Q3434547", "Q3434547")</f>
        <v>0</v>
      </c>
      <c r="O8975" t="s">
        <v>20147</v>
      </c>
    </row>
    <row r="8976" spans="1:15">
      <c r="A8976" t="s">
        <v>52</v>
      </c>
      <c r="B8976" t="s">
        <v>149</v>
      </c>
      <c r="C8976" t="s">
        <v>184</v>
      </c>
      <c r="D8976" t="s">
        <v>313</v>
      </c>
      <c r="E8976" t="s">
        <v>436</v>
      </c>
      <c r="F8976">
        <f>HYPERLINK("https://www.wikidata.org/wiki/Q3111941", "Q3111941")</f>
        <v>0</v>
      </c>
      <c r="G8976" t="s">
        <v>1091</v>
      </c>
      <c r="H8976" t="s">
        <v>5833</v>
      </c>
      <c r="I8976" t="s">
        <v>9445</v>
      </c>
      <c r="J8976" t="s">
        <v>11827</v>
      </c>
      <c r="K8976" t="s">
        <v>16227</v>
      </c>
      <c r="L8976">
        <f>HYPERLINK("https://www2.assemblee-nationale.fr/sycomore/fiche/(num_dept)/729", "729")</f>
        <v>0</v>
      </c>
      <c r="M8976">
        <f>HYPERLINK("https://www.senat.fr/senateur-3eme-republique/berthod_aime0449r3.html", "berthod_aime0449r3")</f>
        <v>0</v>
      </c>
      <c r="N8976">
        <f>HYPERLINK("https://www.wikidata.org/wiki/Q2825126", "Q2825126")</f>
        <v>0</v>
      </c>
      <c r="O8976" t="s">
        <v>20099</v>
      </c>
    </row>
    <row r="8977" spans="1:15">
      <c r="A8977" t="s">
        <v>52</v>
      </c>
      <c r="B8977" t="s">
        <v>149</v>
      </c>
      <c r="C8977" t="s">
        <v>184</v>
      </c>
      <c r="D8977" t="s">
        <v>313</v>
      </c>
      <c r="E8977" t="s">
        <v>436</v>
      </c>
      <c r="F8977">
        <f>HYPERLINK("https://www.wikidata.org/wiki/Q3111941", "Q3111941")</f>
        <v>0</v>
      </c>
      <c r="G8977" t="s">
        <v>875</v>
      </c>
      <c r="H8977" t="s">
        <v>5631</v>
      </c>
      <c r="I8977" t="s">
        <v>9476</v>
      </c>
      <c r="J8977" t="s">
        <v>11621</v>
      </c>
      <c r="K8977" t="s">
        <v>16023</v>
      </c>
      <c r="L8977">
        <f>HYPERLINK("https://www2.assemblee-nationale.fr/sycomore/fiche/(num_dept)/749", "749")</f>
        <v>0</v>
      </c>
      <c r="M8977">
        <f>HYPERLINK("https://www.senat.fr/senateur-3eme-republique/besnard_rene0300r3.html", "besnard_rene0300r3")</f>
        <v>0</v>
      </c>
      <c r="N8977">
        <f>HYPERLINK("https://www.wikidata.org/wiki/Q3425839", "Q3425839")</f>
        <v>0</v>
      </c>
      <c r="O8977" t="s">
        <v>20057</v>
      </c>
    </row>
    <row r="8978" spans="1:15">
      <c r="A8978" t="s">
        <v>52</v>
      </c>
      <c r="B8978" t="s">
        <v>149</v>
      </c>
      <c r="C8978" t="s">
        <v>184</v>
      </c>
      <c r="D8978" t="s">
        <v>313</v>
      </c>
      <c r="E8978" t="s">
        <v>436</v>
      </c>
      <c r="F8978">
        <f>HYPERLINK("https://www.wikidata.org/wiki/Q3111941", "Q3111941")</f>
        <v>0</v>
      </c>
      <c r="G8978" t="s">
        <v>550</v>
      </c>
      <c r="H8978" t="s">
        <v>5313</v>
      </c>
      <c r="I8978" t="s">
        <v>9408</v>
      </c>
      <c r="J8978" t="s">
        <v>11302</v>
      </c>
      <c r="K8978" t="s">
        <v>15702</v>
      </c>
      <c r="L8978">
        <f>HYPERLINK("https://www2.assemblee-nationale.fr/sycomore/fiche/(num_dept)/1147", "1147")</f>
        <v>0</v>
      </c>
      <c r="N8978">
        <f>HYPERLINK("https://www.wikidata.org/wiki/Q3270443", "Q3270443")</f>
        <v>0</v>
      </c>
      <c r="O8978" t="s">
        <v>20067</v>
      </c>
    </row>
    <row r="8979" spans="1:15">
      <c r="A8979" t="s">
        <v>52</v>
      </c>
      <c r="B8979" t="s">
        <v>149</v>
      </c>
      <c r="C8979" t="s">
        <v>184</v>
      </c>
      <c r="D8979" t="s">
        <v>313</v>
      </c>
      <c r="E8979" t="s">
        <v>436</v>
      </c>
      <c r="F8979">
        <f>HYPERLINK("https://www.wikidata.org/wiki/Q3111941", "Q3111941")</f>
        <v>0</v>
      </c>
      <c r="G8979" t="s">
        <v>553</v>
      </c>
      <c r="H8979" t="s">
        <v>5316</v>
      </c>
      <c r="I8979" t="s">
        <v>9411</v>
      </c>
      <c r="J8979" t="s">
        <v>11304</v>
      </c>
      <c r="K8979" t="s">
        <v>15705</v>
      </c>
      <c r="L8979">
        <f>HYPERLINK("https://www2.assemblee-nationale.fr/sycomore/fiche/(num_dept)/1211", "1211")</f>
        <v>0</v>
      </c>
      <c r="N8979">
        <f>HYPERLINK("https://www.wikidata.org/wiki/Q179888", "Q179888")</f>
        <v>0</v>
      </c>
      <c r="O8979" t="s">
        <v>20062</v>
      </c>
    </row>
    <row r="8980" spans="1:15">
      <c r="A8980" t="s">
        <v>52</v>
      </c>
      <c r="B8980" t="s">
        <v>149</v>
      </c>
      <c r="C8980" t="s">
        <v>184</v>
      </c>
      <c r="D8980" t="s">
        <v>313</v>
      </c>
      <c r="E8980" t="s">
        <v>436</v>
      </c>
      <c r="F8980">
        <f>HYPERLINK("https://www.wikidata.org/wiki/Q3111941", "Q3111941")</f>
        <v>0</v>
      </c>
      <c r="G8980" t="s">
        <v>906</v>
      </c>
      <c r="H8980" t="s">
        <v>5662</v>
      </c>
      <c r="I8980" t="s">
        <v>6495</v>
      </c>
      <c r="J8980" t="s">
        <v>11377</v>
      </c>
      <c r="K8980" t="s">
        <v>16050</v>
      </c>
      <c r="L8980">
        <f>HYPERLINK("https://www2.assemblee-nationale.fr/sycomore/fiche/(num_dept)/1648", "1648")</f>
        <v>0</v>
      </c>
      <c r="N8980">
        <f>HYPERLINK("https://www.wikidata.org/wiki/Q3263418", "Q3263418")</f>
        <v>0</v>
      </c>
      <c r="O8980" t="s">
        <v>20087</v>
      </c>
    </row>
    <row r="8981" spans="1:15">
      <c r="A8981" t="s">
        <v>52</v>
      </c>
      <c r="B8981" t="s">
        <v>149</v>
      </c>
      <c r="C8981" t="s">
        <v>184</v>
      </c>
      <c r="D8981" t="s">
        <v>313</v>
      </c>
      <c r="E8981" t="s">
        <v>436</v>
      </c>
      <c r="F8981">
        <f>HYPERLINK("https://www.wikidata.org/wiki/Q3111941", "Q3111941")</f>
        <v>0</v>
      </c>
      <c r="G8981" t="s">
        <v>1410</v>
      </c>
      <c r="H8981" t="s">
        <v>5337</v>
      </c>
      <c r="I8981" t="s">
        <v>9506</v>
      </c>
      <c r="J8981" t="s">
        <v>12135</v>
      </c>
      <c r="K8981" t="s">
        <v>16537</v>
      </c>
      <c r="L8981">
        <f>HYPERLINK("https://www2.assemblee-nationale.fr/sycomore/fiche/(num_dept)/1726", "1726")</f>
        <v>0</v>
      </c>
      <c r="M8981">
        <f>HYPERLINK("https://www.senat.fr/senateur-3eme-republique/chautemps_camille0380r3.html", "chautemps_camille0380r3")</f>
        <v>0</v>
      </c>
      <c r="N8981">
        <f>HYPERLINK("https://www.wikidata.org/wiki/Q263884", "Q263884")</f>
        <v>0</v>
      </c>
      <c r="O8981" t="s">
        <v>20058</v>
      </c>
    </row>
    <row r="8982" spans="1:15">
      <c r="A8982" t="s">
        <v>52</v>
      </c>
      <c r="B8982" t="s">
        <v>149</v>
      </c>
      <c r="C8982" t="s">
        <v>184</v>
      </c>
      <c r="D8982" t="s">
        <v>313</v>
      </c>
      <c r="E8982" t="s">
        <v>436</v>
      </c>
      <c r="F8982">
        <f>HYPERLINK("https://www.wikidata.org/wiki/Q3111941", "Q3111941")</f>
        <v>0</v>
      </c>
      <c r="G8982" t="s">
        <v>1410</v>
      </c>
      <c r="H8982" t="s">
        <v>5337</v>
      </c>
      <c r="I8982" t="s">
        <v>9506</v>
      </c>
      <c r="J8982" t="s">
        <v>12135</v>
      </c>
      <c r="K8982" t="s">
        <v>16537</v>
      </c>
      <c r="L8982">
        <f>HYPERLINK("https://www2.assemblee-nationale.fr/sycomore/fiche/(num_dept)/1726", "1726")</f>
        <v>0</v>
      </c>
      <c r="M8982">
        <f>HYPERLINK("https://www.senat.fr/senateur-3eme-republique/chautemps_camille0380r3.html", "chautemps_camille0380r3")</f>
        <v>0</v>
      </c>
      <c r="N8982">
        <f>HYPERLINK("https://www.wikidata.org/wiki/Q263884", "Q263884")</f>
        <v>0</v>
      </c>
      <c r="O8982" t="s">
        <v>20052</v>
      </c>
    </row>
    <row r="8983" spans="1:15">
      <c r="A8983" t="s">
        <v>52</v>
      </c>
      <c r="B8983" t="s">
        <v>149</v>
      </c>
      <c r="C8983" t="s">
        <v>184</v>
      </c>
      <c r="D8983" t="s">
        <v>313</v>
      </c>
      <c r="E8983" t="s">
        <v>436</v>
      </c>
      <c r="F8983">
        <f>HYPERLINK("https://www.wikidata.org/wiki/Q3111941", "Q3111941")</f>
        <v>0</v>
      </c>
      <c r="G8983" t="s">
        <v>1423</v>
      </c>
      <c r="H8983" t="s">
        <v>6128</v>
      </c>
      <c r="I8983" t="s">
        <v>9728</v>
      </c>
      <c r="J8983" t="s">
        <v>12147</v>
      </c>
      <c r="K8983" t="s">
        <v>16549</v>
      </c>
      <c r="L8983">
        <f>HYPERLINK("https://www2.assemblee-nationale.fr/sycomore/fiche/(num_dept)/2105", "2105")</f>
        <v>0</v>
      </c>
      <c r="N8983">
        <f>HYPERLINK("https://www.wikidata.org/wiki/Q213526", "Q213526")</f>
        <v>0</v>
      </c>
      <c r="O8983" t="s">
        <v>20063</v>
      </c>
    </row>
    <row r="8984" spans="1:15">
      <c r="A8984" t="s">
        <v>52</v>
      </c>
      <c r="B8984" t="s">
        <v>149</v>
      </c>
      <c r="C8984" t="s">
        <v>184</v>
      </c>
      <c r="D8984" t="s">
        <v>313</v>
      </c>
      <c r="E8984" t="s">
        <v>436</v>
      </c>
      <c r="F8984">
        <f>HYPERLINK("https://www.wikidata.org/wiki/Q3111941", "Q3111941")</f>
        <v>0</v>
      </c>
      <c r="G8984" t="s">
        <v>920</v>
      </c>
      <c r="H8984" t="s">
        <v>5676</v>
      </c>
      <c r="I8984" t="s">
        <v>9385</v>
      </c>
      <c r="J8984" t="s">
        <v>11662</v>
      </c>
      <c r="K8984" t="s">
        <v>16063</v>
      </c>
      <c r="L8984">
        <f>HYPERLINK("https://www2.assemblee-nationale.fr/sycomore/fiche/(num_dept)/2124", "2124")</f>
        <v>0</v>
      </c>
      <c r="N8984">
        <f>HYPERLINK("https://www.wikidata.org/wiki/Q2958846", "Q2958846")</f>
        <v>0</v>
      </c>
      <c r="O8984" t="s">
        <v>20108</v>
      </c>
    </row>
    <row r="8985" spans="1:15">
      <c r="A8985" t="s">
        <v>52</v>
      </c>
      <c r="B8985" t="s">
        <v>149</v>
      </c>
      <c r="C8985" t="s">
        <v>184</v>
      </c>
      <c r="D8985" t="s">
        <v>313</v>
      </c>
      <c r="E8985" t="s">
        <v>436</v>
      </c>
      <c r="F8985">
        <f>HYPERLINK("https://www.wikidata.org/wiki/Q3111941", "Q3111941")</f>
        <v>0</v>
      </c>
      <c r="G8985" t="s">
        <v>1788</v>
      </c>
      <c r="H8985" t="s">
        <v>5388</v>
      </c>
      <c r="I8985" t="s">
        <v>9535</v>
      </c>
      <c r="J8985" t="s">
        <v>12484</v>
      </c>
      <c r="K8985" t="s">
        <v>16893</v>
      </c>
      <c r="L8985">
        <f>HYPERLINK("https://www2.assemblee-nationale.fr/sycomore/fiche/(num_dept)/2759", "2759")</f>
        <v>0</v>
      </c>
      <c r="N8985">
        <f>HYPERLINK("https://www.wikidata.org/wiki/Q3189483", "Q3189483")</f>
        <v>0</v>
      </c>
      <c r="O8985" t="s">
        <v>20193</v>
      </c>
    </row>
    <row r="8986" spans="1:15">
      <c r="A8986" t="s">
        <v>52</v>
      </c>
      <c r="B8986" t="s">
        <v>149</v>
      </c>
      <c r="C8986" t="s">
        <v>184</v>
      </c>
      <c r="D8986" t="s">
        <v>313</v>
      </c>
      <c r="E8986" t="s">
        <v>436</v>
      </c>
      <c r="F8986">
        <f>HYPERLINK("https://www.wikidata.org/wiki/Q3111941", "Q3111941")</f>
        <v>0</v>
      </c>
      <c r="G8986" t="s">
        <v>1170</v>
      </c>
      <c r="H8986" t="s">
        <v>5901</v>
      </c>
      <c r="I8986" t="s">
        <v>5592</v>
      </c>
      <c r="J8986" t="s">
        <v>11903</v>
      </c>
      <c r="K8986" t="s">
        <v>16305</v>
      </c>
      <c r="L8986">
        <f>HYPERLINK("https://www2.assemblee-nationale.fr/sycomore/fiche/(num_dept)/2874", "2874")</f>
        <v>0</v>
      </c>
      <c r="M8986">
        <f>HYPERLINK("https://www.senat.fr/senateur-3eme-republique/eynac_laurent0520r3.html", "eynac_laurent0520r3")</f>
        <v>0</v>
      </c>
      <c r="N8986">
        <f>HYPERLINK("https://www.wikidata.org/wiki/Q3219208", "Q3219208")</f>
        <v>0</v>
      </c>
      <c r="O8986" t="s">
        <v>20072</v>
      </c>
    </row>
    <row r="8987" spans="1:15">
      <c r="A8987" t="s">
        <v>52</v>
      </c>
      <c r="B8987" t="s">
        <v>149</v>
      </c>
      <c r="C8987" t="s">
        <v>184</v>
      </c>
      <c r="D8987" t="s">
        <v>313</v>
      </c>
      <c r="E8987" t="s">
        <v>436</v>
      </c>
      <c r="F8987">
        <f>HYPERLINK("https://www.wikidata.org/wiki/Q3111941", "Q3111941")</f>
        <v>0</v>
      </c>
      <c r="G8987" t="s">
        <v>1517</v>
      </c>
      <c r="H8987" t="s">
        <v>6213</v>
      </c>
      <c r="I8987" t="s">
        <v>6495</v>
      </c>
      <c r="J8987" t="s">
        <v>12234</v>
      </c>
      <c r="K8987" t="s">
        <v>16640</v>
      </c>
      <c r="L8987">
        <f>HYPERLINK("https://www2.assemblee-nationale.fr/sycomore/fiche/(num_dept)/4823", "4823")</f>
        <v>0</v>
      </c>
      <c r="N8987">
        <f>HYPERLINK("https://www.wikidata.org/wiki/Q2788498", "Q2788498")</f>
        <v>0</v>
      </c>
      <c r="O8987" t="s">
        <v>20138</v>
      </c>
    </row>
    <row r="8988" spans="1:15">
      <c r="A8988" t="s">
        <v>52</v>
      </c>
      <c r="B8988" t="s">
        <v>149</v>
      </c>
      <c r="C8988" t="s">
        <v>184</v>
      </c>
      <c r="D8988" t="s">
        <v>313</v>
      </c>
      <c r="E8988" t="s">
        <v>436</v>
      </c>
      <c r="F8988">
        <f>HYPERLINK("https://www.wikidata.org/wiki/Q3111941", "Q3111941")</f>
        <v>0</v>
      </c>
      <c r="G8988" t="s">
        <v>1925</v>
      </c>
      <c r="H8988" t="s">
        <v>6572</v>
      </c>
      <c r="I8988" t="s">
        <v>9388</v>
      </c>
      <c r="J8988" t="s">
        <v>12610</v>
      </c>
      <c r="K8988" t="s">
        <v>17021</v>
      </c>
      <c r="L8988">
        <f>HYPERLINK("https://www2.assemblee-nationale.fr/sycomore/fiche/(num_dept)/4976", "4976")</f>
        <v>0</v>
      </c>
      <c r="N8988">
        <f>HYPERLINK("https://www.wikidata.org/wiki/Q3371769", "Q3371769")</f>
        <v>0</v>
      </c>
      <c r="O8988" t="s">
        <v>20068</v>
      </c>
    </row>
    <row r="8989" spans="1:15">
      <c r="A8989" t="s">
        <v>52</v>
      </c>
      <c r="B8989" t="s">
        <v>149</v>
      </c>
      <c r="C8989" t="s">
        <v>184</v>
      </c>
      <c r="D8989" t="s">
        <v>313</v>
      </c>
      <c r="E8989" t="s">
        <v>436</v>
      </c>
      <c r="F8989">
        <f>HYPERLINK("https://www.wikidata.org/wiki/Q3111941", "Q3111941")</f>
        <v>0</v>
      </c>
      <c r="G8989" t="s">
        <v>1861</v>
      </c>
      <c r="H8989" t="s">
        <v>6517</v>
      </c>
      <c r="I8989" t="s">
        <v>7642</v>
      </c>
      <c r="J8989" t="s">
        <v>11903</v>
      </c>
      <c r="K8989" t="s">
        <v>16962</v>
      </c>
      <c r="L8989">
        <f>HYPERLINK("https://www2.assemblee-nationale.fr/sycomore/fiche/(num_dept)/5662", "5662")</f>
        <v>0</v>
      </c>
      <c r="M8989">
        <f>HYPERLINK("https://www.senat.fr/senateur-3eme-republique/palmade_maurice0409r3.html", "palmade_maurice0409r3")</f>
        <v>0</v>
      </c>
      <c r="N8989">
        <f>HYPERLINK("https://www.wikidata.org/wiki/Q3301240", "Q3301240")</f>
        <v>0</v>
      </c>
      <c r="O8989" t="s">
        <v>20194</v>
      </c>
    </row>
    <row r="8990" spans="1:15">
      <c r="A8990" t="s">
        <v>52</v>
      </c>
      <c r="B8990" t="s">
        <v>149</v>
      </c>
      <c r="C8990" t="s">
        <v>184</v>
      </c>
      <c r="D8990" t="s">
        <v>313</v>
      </c>
      <c r="E8990" t="s">
        <v>436</v>
      </c>
      <c r="F8990">
        <f>HYPERLINK("https://www.wikidata.org/wiki/Q3111941", "Q3111941")</f>
        <v>0</v>
      </c>
      <c r="G8990" t="s">
        <v>1019</v>
      </c>
      <c r="H8990" t="s">
        <v>5769</v>
      </c>
      <c r="I8990" t="s">
        <v>6478</v>
      </c>
      <c r="J8990" t="s">
        <v>11756</v>
      </c>
      <c r="K8990" t="s">
        <v>16158</v>
      </c>
      <c r="L8990">
        <f>HYPERLINK("https://www2.assemblee-nationale.fr/sycomore/fiche/(num_dept)/5706", "5706")</f>
        <v>0</v>
      </c>
      <c r="N8990">
        <f>HYPERLINK("https://www.wikidata.org/wiki/Q3132997", "Q3132997")</f>
        <v>0</v>
      </c>
      <c r="O8990" t="s">
        <v>20195</v>
      </c>
    </row>
    <row r="8991" spans="1:15">
      <c r="A8991" t="s">
        <v>52</v>
      </c>
      <c r="B8991" t="s">
        <v>149</v>
      </c>
      <c r="C8991" t="s">
        <v>184</v>
      </c>
      <c r="D8991" t="s">
        <v>313</v>
      </c>
      <c r="E8991" t="s">
        <v>436</v>
      </c>
      <c r="F8991">
        <f>HYPERLINK("https://www.wikidata.org/wiki/Q3111941", "Q3111941")</f>
        <v>0</v>
      </c>
      <c r="G8991" t="s">
        <v>778</v>
      </c>
      <c r="H8991" t="s">
        <v>5536</v>
      </c>
      <c r="I8991" t="s">
        <v>6584</v>
      </c>
      <c r="J8991" t="s">
        <v>11525</v>
      </c>
      <c r="K8991" t="s">
        <v>15929</v>
      </c>
      <c r="L8991">
        <f>HYPERLINK("https://www2.assemblee-nationale.fr/sycomore/fiche/(num_dept)/6293", "6293")</f>
        <v>0</v>
      </c>
      <c r="M8991">
        <f>HYPERLINK("https://www.senat.fr/senateur-3eme-republique/sarraut_albert0265r3.html", "sarraut_albert0265r3")</f>
        <v>0</v>
      </c>
      <c r="N8991">
        <f>HYPERLINK("https://www.wikidata.org/wiki/Q460318", "Q460318")</f>
        <v>0</v>
      </c>
      <c r="O8991" t="s">
        <v>20053</v>
      </c>
    </row>
    <row r="8992" spans="1:15">
      <c r="A8992" t="s">
        <v>52</v>
      </c>
      <c r="B8992" t="s">
        <v>149</v>
      </c>
      <c r="C8992" t="s">
        <v>184</v>
      </c>
      <c r="D8992" t="s">
        <v>313</v>
      </c>
      <c r="E8992" t="s">
        <v>436</v>
      </c>
      <c r="F8992">
        <f>HYPERLINK("https://www.wikidata.org/wiki/Q3111941", "Q3111941")</f>
        <v>0</v>
      </c>
      <c r="G8992" t="s">
        <v>1304</v>
      </c>
      <c r="H8992" t="s">
        <v>6025</v>
      </c>
      <c r="I8992" t="s">
        <v>9457</v>
      </c>
      <c r="J8992" t="s">
        <v>12034</v>
      </c>
      <c r="K8992" t="s">
        <v>16435</v>
      </c>
      <c r="L8992">
        <f>HYPERLINK("https://www2.assemblee-nationale.fr/sycomore/fiche/(num_dept)/6554", "6554")</f>
        <v>0</v>
      </c>
      <c r="M8992">
        <f>HYPERLINK("https://www.senat.fr/senateur-3eme-republique/queuille_henri0469r3.html", "queuille_henri0469r3")</f>
        <v>0</v>
      </c>
      <c r="N8992">
        <f>HYPERLINK("https://www.wikidata.org/wiki/Q455655", "Q455655")</f>
        <v>0</v>
      </c>
      <c r="O8992" t="s">
        <v>20056</v>
      </c>
    </row>
    <row r="8993" spans="1:15">
      <c r="A8993" t="s">
        <v>52</v>
      </c>
      <c r="B8993" t="s">
        <v>149</v>
      </c>
      <c r="C8993" t="s">
        <v>184</v>
      </c>
      <c r="D8993" t="s">
        <v>313</v>
      </c>
      <c r="E8993" t="s">
        <v>436</v>
      </c>
      <c r="F8993">
        <f>HYPERLINK("https://www.wikidata.org/wiki/Q3111941", "Q3111941")</f>
        <v>0</v>
      </c>
      <c r="G8993" t="s">
        <v>814</v>
      </c>
      <c r="H8993" t="s">
        <v>5571</v>
      </c>
      <c r="I8993" t="s">
        <v>9533</v>
      </c>
      <c r="J8993" t="s">
        <v>11561</v>
      </c>
      <c r="K8993" t="s">
        <v>15965</v>
      </c>
      <c r="L8993">
        <f>HYPERLINK("https://www2.assemblee-nationale.fr/sycomore/fiche/(num_dept)/6904", "6904")</f>
        <v>0</v>
      </c>
      <c r="M8993">
        <f>HYPERLINK("https://www.senat.fr/senateur-3eme-republique/steeg_theodore1554r3.html", "steeg_theodore1554r3")</f>
        <v>0</v>
      </c>
      <c r="N8993">
        <f>HYPERLINK("https://www.wikidata.org/wiki/Q717905", "Q717905")</f>
        <v>0</v>
      </c>
      <c r="O8993" t="s">
        <v>20064</v>
      </c>
    </row>
    <row r="8994" spans="1:15">
      <c r="A8994" t="s">
        <v>52</v>
      </c>
      <c r="B8994" t="s">
        <v>149</v>
      </c>
      <c r="C8994" t="s">
        <v>184</v>
      </c>
      <c r="D8994" t="s">
        <v>313</v>
      </c>
      <c r="E8994" t="s">
        <v>436</v>
      </c>
      <c r="F8994">
        <f>HYPERLINK("https://www.wikidata.org/wiki/Q3111941", "Q3111941")</f>
        <v>0</v>
      </c>
      <c r="G8994" t="s">
        <v>628</v>
      </c>
      <c r="H8994" t="s">
        <v>5388</v>
      </c>
      <c r="I8994" t="s">
        <v>6200</v>
      </c>
      <c r="J8994" t="s">
        <v>11378</v>
      </c>
      <c r="K8994" t="s">
        <v>15780</v>
      </c>
      <c r="N8994">
        <f>HYPERLINK("https://www.wikidata.org/wiki/Q125250", "Q125250")</f>
        <v>0</v>
      </c>
      <c r="O8994" t="s">
        <v>20051</v>
      </c>
    </row>
    <row r="8995" spans="1:15">
      <c r="A8995" t="s">
        <v>52</v>
      </c>
      <c r="B8995" t="s">
        <v>149</v>
      </c>
      <c r="C8995" t="s">
        <v>184</v>
      </c>
      <c r="D8995" t="s">
        <v>313</v>
      </c>
      <c r="E8995" t="s">
        <v>436</v>
      </c>
      <c r="F8995">
        <f>HYPERLINK("https://www.wikidata.org/wiki/Q3111941", "Q3111941")</f>
        <v>0</v>
      </c>
      <c r="G8995" t="s">
        <v>1512</v>
      </c>
      <c r="H8995" t="s">
        <v>5734</v>
      </c>
      <c r="I8995" t="s">
        <v>9455</v>
      </c>
      <c r="J8995" t="s">
        <v>12229</v>
      </c>
      <c r="K8995" t="s">
        <v>16635</v>
      </c>
      <c r="N8995">
        <f>HYPERLINK("https://www.wikidata.org/wiki/Q3265579", "Q3265579")</f>
        <v>0</v>
      </c>
      <c r="O8995" t="s">
        <v>20065</v>
      </c>
    </row>
    <row r="8996" spans="1:15">
      <c r="A8996" t="s">
        <v>52</v>
      </c>
      <c r="B8996" t="s">
        <v>149</v>
      </c>
      <c r="C8996" t="s">
        <v>184</v>
      </c>
      <c r="D8996" t="s">
        <v>313</v>
      </c>
      <c r="E8996" t="s">
        <v>436</v>
      </c>
      <c r="F8996">
        <f>HYPERLINK("https://www.wikidata.org/wiki/Q3111941", "Q3111941")</f>
        <v>0</v>
      </c>
      <c r="G8996" t="s">
        <v>948</v>
      </c>
      <c r="H8996" t="s">
        <v>5386</v>
      </c>
      <c r="I8996" t="s">
        <v>9385</v>
      </c>
      <c r="J8996" t="s">
        <v>11689</v>
      </c>
      <c r="K8996" t="s">
        <v>16090</v>
      </c>
      <c r="N8996">
        <f>HYPERLINK("https://www.wikidata.org/wiki/Q475755", "Q475755")</f>
        <v>0</v>
      </c>
      <c r="O8996" t="s">
        <v>20066</v>
      </c>
    </row>
    <row r="8997" spans="1:15">
      <c r="A8997" t="s">
        <v>52</v>
      </c>
      <c r="B8997" t="s">
        <v>149</v>
      </c>
      <c r="C8997" t="s">
        <v>184</v>
      </c>
      <c r="D8997" t="s">
        <v>313</v>
      </c>
      <c r="E8997" t="s">
        <v>436</v>
      </c>
      <c r="F8997">
        <f>HYPERLINK("https://www.wikidata.org/wiki/Q3111941", "Q3111941")</f>
        <v>0</v>
      </c>
      <c r="G8997" t="s">
        <v>4266</v>
      </c>
      <c r="H8997" t="s">
        <v>6698</v>
      </c>
      <c r="I8997" t="s">
        <v>10909</v>
      </c>
      <c r="J8997" t="s">
        <v>14766</v>
      </c>
      <c r="K8997" t="s">
        <v>19114</v>
      </c>
      <c r="M8997">
        <f>HYPERLINK("https://www.senat.fr/senateur-3eme-republique/gallet_claudius1314r3.html", "gallet_claudius1314r3")</f>
        <v>0</v>
      </c>
      <c r="N8997">
        <f>HYPERLINK("https://www.wikidata.org/wiki/Q2978569", "Q2978569")</f>
        <v>0</v>
      </c>
      <c r="O8997" t="s">
        <v>20088</v>
      </c>
    </row>
    <row r="8998" spans="1:15">
      <c r="A8998" t="s">
        <v>52</v>
      </c>
      <c r="B8998" t="s">
        <v>149</v>
      </c>
      <c r="C8998" t="s">
        <v>184</v>
      </c>
      <c r="D8998" t="s">
        <v>313</v>
      </c>
      <c r="E8998" t="s">
        <v>436</v>
      </c>
      <c r="F8998">
        <f>HYPERLINK("https://www.wikidata.org/wiki/Q3111941", "Q3111941")</f>
        <v>0</v>
      </c>
      <c r="G8998" t="s">
        <v>1724</v>
      </c>
      <c r="H8998" t="s">
        <v>6360</v>
      </c>
      <c r="I8998" t="s">
        <v>6175</v>
      </c>
      <c r="J8998" t="s">
        <v>12425</v>
      </c>
      <c r="K8998" t="s">
        <v>16833</v>
      </c>
      <c r="N8998">
        <f>HYPERLINK("https://www.wikidata.org/wiki/Q3102323", "Q3102323")</f>
        <v>0</v>
      </c>
      <c r="O8998" t="s">
        <v>20135</v>
      </c>
    </row>
    <row r="8999" spans="1:15">
      <c r="A8999" t="s">
        <v>52</v>
      </c>
      <c r="B8999" t="s">
        <v>149</v>
      </c>
      <c r="C8999" t="s">
        <v>184</v>
      </c>
      <c r="D8999" t="s">
        <v>313</v>
      </c>
      <c r="E8999" t="s">
        <v>436</v>
      </c>
      <c r="F8999">
        <f>HYPERLINK("https://www.wikidata.org/wiki/Q3111941", "Q3111941")</f>
        <v>0</v>
      </c>
      <c r="G8999" t="s">
        <v>4267</v>
      </c>
      <c r="H8999" t="s">
        <v>8432</v>
      </c>
      <c r="I8999" t="s">
        <v>10131</v>
      </c>
      <c r="J8999" t="s">
        <v>14767</v>
      </c>
      <c r="K8999" t="s">
        <v>19115</v>
      </c>
      <c r="N8999">
        <f>HYPERLINK("https://www.wikidata.org/wiki/Q3010435", "Q3010435")</f>
        <v>0</v>
      </c>
      <c r="O8999" t="s">
        <v>20196</v>
      </c>
    </row>
    <row r="9000" spans="1:15">
      <c r="A9000" t="s">
        <v>52</v>
      </c>
      <c r="B9000" t="s">
        <v>149</v>
      </c>
      <c r="C9000" t="s">
        <v>184</v>
      </c>
      <c r="D9000" t="s">
        <v>313</v>
      </c>
      <c r="E9000" t="s">
        <v>436</v>
      </c>
      <c r="F9000">
        <f>HYPERLINK("https://www.wikidata.org/wiki/Q3111941", "Q3111941")</f>
        <v>0</v>
      </c>
      <c r="G9000" t="s">
        <v>4234</v>
      </c>
      <c r="H9000" t="s">
        <v>8411</v>
      </c>
      <c r="I9000" t="s">
        <v>9593</v>
      </c>
      <c r="J9000" t="s">
        <v>14741</v>
      </c>
      <c r="K9000" t="s">
        <v>19086</v>
      </c>
      <c r="M9000">
        <f>HYPERLINK("https://www.senat.fr/senateur-3eme-republique/roustan_marius0246r3.html", "roustan_marius0246r3")</f>
        <v>0</v>
      </c>
      <c r="N9000">
        <f>HYPERLINK("https://www.wikidata.org/wiki/Q3293852", "Q3293852")</f>
        <v>0</v>
      </c>
      <c r="O9000" t="s">
        <v>20197</v>
      </c>
    </row>
    <row r="9001" spans="1:15">
      <c r="A9001" t="s">
        <v>52</v>
      </c>
      <c r="B9001" t="s">
        <v>149</v>
      </c>
      <c r="C9001" t="s">
        <v>184</v>
      </c>
      <c r="D9001" t="s">
        <v>313</v>
      </c>
      <c r="E9001" t="s">
        <v>436</v>
      </c>
      <c r="F9001">
        <f>HYPERLINK("https://www.wikidata.org/wiki/Q3111941", "Q3111941")</f>
        <v>0</v>
      </c>
      <c r="G9001" t="s">
        <v>1829</v>
      </c>
      <c r="H9001" t="s">
        <v>6491</v>
      </c>
      <c r="I9001" t="s">
        <v>9385</v>
      </c>
      <c r="J9001" t="s">
        <v>12523</v>
      </c>
      <c r="K9001" t="s">
        <v>16933</v>
      </c>
      <c r="N9001">
        <f>HYPERLINK("https://www.wikidata.org/wiki/Q5080038", "Q5080038")</f>
        <v>0</v>
      </c>
      <c r="O9001" t="s">
        <v>20130</v>
      </c>
    </row>
    <row r="9002" spans="1:15">
      <c r="A9002" t="s">
        <v>52</v>
      </c>
      <c r="B9002" t="s">
        <v>149</v>
      </c>
      <c r="C9002" t="s">
        <v>184</v>
      </c>
      <c r="D9002" t="s">
        <v>313</v>
      </c>
      <c r="E9002" t="s">
        <v>436</v>
      </c>
      <c r="F9002">
        <f>HYPERLINK("https://www.wikidata.org/wiki/Q3111941", "Q3111941")</f>
        <v>0</v>
      </c>
      <c r="G9002" t="s">
        <v>4268</v>
      </c>
      <c r="H9002" t="s">
        <v>8433</v>
      </c>
      <c r="I9002" t="s">
        <v>5394</v>
      </c>
      <c r="J9002" t="s">
        <v>14768</v>
      </c>
      <c r="K9002" t="s">
        <v>19116</v>
      </c>
      <c r="N9002">
        <f>HYPERLINK("https://www.wikidata.org/wiki/Q3592105", "Q3592105")</f>
        <v>0</v>
      </c>
      <c r="O9002" t="s">
        <v>20198</v>
      </c>
    </row>
    <row r="9003" spans="1:15">
      <c r="A9003" t="s">
        <v>53</v>
      </c>
      <c r="B9003" t="s">
        <v>149</v>
      </c>
      <c r="C9003" t="s">
        <v>185</v>
      </c>
      <c r="D9003" t="s">
        <v>314</v>
      </c>
      <c r="E9003" t="s">
        <v>437</v>
      </c>
      <c r="F9003">
        <f>HYPERLINK("https://www.wikidata.org/wiki/Q3111946", "Q3111946")</f>
        <v>0</v>
      </c>
      <c r="G9003" t="s">
        <v>1224</v>
      </c>
      <c r="H9003" t="s">
        <v>5630</v>
      </c>
      <c r="I9003" t="s">
        <v>9712</v>
      </c>
      <c r="J9003" t="s">
        <v>11956</v>
      </c>
      <c r="K9003" t="s">
        <v>16358</v>
      </c>
      <c r="L9003">
        <f>HYPERLINK("https://www2.assemblee-nationale.fr/sycomore/fiche/(num_dept)/748", "748")</f>
        <v>0</v>
      </c>
      <c r="M9003">
        <f>HYPERLINK("https://www.senat.fr/senateur-3eme-republique/bertrand_williams0414r3.html", "bertrand_williams0414r3")</f>
        <v>0</v>
      </c>
      <c r="N9003">
        <f>HYPERLINK("https://www.wikidata.org/wiki/Q3568432", "Q3568432")</f>
        <v>0</v>
      </c>
      <c r="O9003" t="s">
        <v>20108</v>
      </c>
    </row>
    <row r="9004" spans="1:15">
      <c r="A9004" t="s">
        <v>53</v>
      </c>
      <c r="B9004" t="s">
        <v>149</v>
      </c>
      <c r="C9004" t="s">
        <v>185</v>
      </c>
      <c r="D9004" t="s">
        <v>314</v>
      </c>
      <c r="E9004" t="s">
        <v>437</v>
      </c>
      <c r="F9004">
        <f>HYPERLINK("https://www.wikidata.org/wiki/Q3111946", "Q3111946")</f>
        <v>0</v>
      </c>
      <c r="G9004" t="s">
        <v>1224</v>
      </c>
      <c r="H9004" t="s">
        <v>5630</v>
      </c>
      <c r="I9004" t="s">
        <v>9712</v>
      </c>
      <c r="J9004" t="s">
        <v>11956</v>
      </c>
      <c r="K9004" t="s">
        <v>16358</v>
      </c>
      <c r="L9004">
        <f>HYPERLINK("https://www2.assemblee-nationale.fr/sycomore/fiche/(num_dept)/748", "748")</f>
        <v>0</v>
      </c>
      <c r="M9004">
        <f>HYPERLINK("https://www.senat.fr/senateur-3eme-republique/bertrand_williams0414r3.html", "bertrand_williams0414r3")</f>
        <v>0</v>
      </c>
      <c r="N9004">
        <f>HYPERLINK("https://www.wikidata.org/wiki/Q3568432", "Q3568432")</f>
        <v>0</v>
      </c>
      <c r="O9004" t="s">
        <v>20199</v>
      </c>
    </row>
    <row r="9005" spans="1:15">
      <c r="A9005" t="s">
        <v>53</v>
      </c>
      <c r="B9005" t="s">
        <v>149</v>
      </c>
      <c r="C9005" t="s">
        <v>185</v>
      </c>
      <c r="D9005" t="s">
        <v>314</v>
      </c>
      <c r="E9005" t="s">
        <v>437</v>
      </c>
      <c r="F9005">
        <f>HYPERLINK("https://www.wikidata.org/wiki/Q3111946", "Q3111946")</f>
        <v>0</v>
      </c>
      <c r="G9005" t="s">
        <v>1410</v>
      </c>
      <c r="H9005" t="s">
        <v>5337</v>
      </c>
      <c r="I9005" t="s">
        <v>9506</v>
      </c>
      <c r="J9005" t="s">
        <v>12135</v>
      </c>
      <c r="K9005" t="s">
        <v>16537</v>
      </c>
      <c r="L9005">
        <f>HYPERLINK("https://www2.assemblee-nationale.fr/sycomore/fiche/(num_dept)/1726", "1726")</f>
        <v>0</v>
      </c>
      <c r="M9005">
        <f>HYPERLINK("https://www.senat.fr/senateur-3eme-republique/chautemps_camille0380r3.html", "chautemps_camille0380r3")</f>
        <v>0</v>
      </c>
      <c r="N9005">
        <f>HYPERLINK("https://www.wikidata.org/wiki/Q263884", "Q263884")</f>
        <v>0</v>
      </c>
      <c r="O9005" t="s">
        <v>20058</v>
      </c>
    </row>
    <row r="9006" spans="1:15">
      <c r="A9006" t="s">
        <v>53</v>
      </c>
      <c r="B9006" t="s">
        <v>149</v>
      </c>
      <c r="C9006" t="s">
        <v>185</v>
      </c>
      <c r="D9006" t="s">
        <v>314</v>
      </c>
      <c r="E9006" t="s">
        <v>437</v>
      </c>
      <c r="F9006">
        <f>HYPERLINK("https://www.wikidata.org/wiki/Q3111946", "Q3111946")</f>
        <v>0</v>
      </c>
      <c r="G9006" t="s">
        <v>1410</v>
      </c>
      <c r="H9006" t="s">
        <v>5337</v>
      </c>
      <c r="I9006" t="s">
        <v>9506</v>
      </c>
      <c r="J9006" t="s">
        <v>12135</v>
      </c>
      <c r="K9006" t="s">
        <v>16537</v>
      </c>
      <c r="L9006">
        <f>HYPERLINK("https://www2.assemblee-nationale.fr/sycomore/fiche/(num_dept)/1726", "1726")</f>
        <v>0</v>
      </c>
      <c r="M9006">
        <f>HYPERLINK("https://www.senat.fr/senateur-3eme-republique/chautemps_camille0380r3.html", "chautemps_camille0380r3")</f>
        <v>0</v>
      </c>
      <c r="N9006">
        <f>HYPERLINK("https://www.wikidata.org/wiki/Q263884", "Q263884")</f>
        <v>0</v>
      </c>
      <c r="O9006" t="s">
        <v>20052</v>
      </c>
    </row>
    <row r="9007" spans="1:15">
      <c r="A9007" t="s">
        <v>53</v>
      </c>
      <c r="B9007" t="s">
        <v>149</v>
      </c>
      <c r="C9007" t="s">
        <v>185</v>
      </c>
      <c r="D9007" t="s">
        <v>314</v>
      </c>
      <c r="E9007" t="s">
        <v>437</v>
      </c>
      <c r="F9007">
        <f>HYPERLINK("https://www.wikidata.org/wiki/Q3111946", "Q3111946")</f>
        <v>0</v>
      </c>
      <c r="G9007" t="s">
        <v>1411</v>
      </c>
      <c r="H9007" t="s">
        <v>5338</v>
      </c>
      <c r="I9007" t="s">
        <v>9534</v>
      </c>
      <c r="J9007" t="s">
        <v>12136</v>
      </c>
      <c r="K9007" t="s">
        <v>16538</v>
      </c>
      <c r="L9007">
        <f>HYPERLINK("https://www2.assemblee-nationale.fr/sycomore/fiche/(num_dept)/1767", "1767")</f>
        <v>0</v>
      </c>
      <c r="N9007">
        <f>HYPERLINK("https://www.wikidata.org/wiki/Q2824794", "Q2824794")</f>
        <v>0</v>
      </c>
      <c r="O9007" t="s">
        <v>20200</v>
      </c>
    </row>
    <row r="9008" spans="1:15">
      <c r="A9008" t="s">
        <v>53</v>
      </c>
      <c r="B9008" t="s">
        <v>149</v>
      </c>
      <c r="C9008" t="s">
        <v>185</v>
      </c>
      <c r="D9008" t="s">
        <v>314</v>
      </c>
      <c r="E9008" t="s">
        <v>437</v>
      </c>
      <c r="F9008">
        <f>HYPERLINK("https://www.wikidata.org/wiki/Q3111946", "Q3111946")</f>
        <v>0</v>
      </c>
      <c r="G9008" t="s">
        <v>1946</v>
      </c>
      <c r="H9008" t="s">
        <v>6590</v>
      </c>
      <c r="I9008" t="s">
        <v>6860</v>
      </c>
      <c r="J9008" t="s">
        <v>12630</v>
      </c>
      <c r="K9008" t="s">
        <v>17040</v>
      </c>
      <c r="L9008">
        <f>HYPERLINK("https://www2.assemblee-nationale.fr/sycomore/fiche/(num_dept)/1997", "1997")</f>
        <v>0</v>
      </c>
      <c r="N9008">
        <f>HYPERLINK("https://www.wikidata.org/wiki/Q2274693", "Q2274693")</f>
        <v>0</v>
      </c>
      <c r="O9008" t="s">
        <v>20072</v>
      </c>
    </row>
    <row r="9009" spans="1:15">
      <c r="A9009" t="s">
        <v>53</v>
      </c>
      <c r="B9009" t="s">
        <v>149</v>
      </c>
      <c r="C9009" t="s">
        <v>185</v>
      </c>
      <c r="D9009" t="s">
        <v>314</v>
      </c>
      <c r="E9009" t="s">
        <v>437</v>
      </c>
      <c r="F9009">
        <f>HYPERLINK("https://www.wikidata.org/wiki/Q3111946", "Q3111946")</f>
        <v>0</v>
      </c>
      <c r="G9009" t="s">
        <v>1423</v>
      </c>
      <c r="H9009" t="s">
        <v>6128</v>
      </c>
      <c r="I9009" t="s">
        <v>9728</v>
      </c>
      <c r="J9009" t="s">
        <v>12147</v>
      </c>
      <c r="K9009" t="s">
        <v>16549</v>
      </c>
      <c r="L9009">
        <f>HYPERLINK("https://www2.assemblee-nationale.fr/sycomore/fiche/(num_dept)/2105", "2105")</f>
        <v>0</v>
      </c>
      <c r="N9009">
        <f>HYPERLINK("https://www.wikidata.org/wiki/Q213526", "Q213526")</f>
        <v>0</v>
      </c>
      <c r="O9009" t="s">
        <v>20057</v>
      </c>
    </row>
    <row r="9010" spans="1:15">
      <c r="A9010" t="s">
        <v>53</v>
      </c>
      <c r="B9010" t="s">
        <v>149</v>
      </c>
      <c r="C9010" t="s">
        <v>185</v>
      </c>
      <c r="D9010" t="s">
        <v>314</v>
      </c>
      <c r="E9010" t="s">
        <v>437</v>
      </c>
      <c r="F9010">
        <f>HYPERLINK("https://www.wikidata.org/wiki/Q3111946", "Q3111946")</f>
        <v>0</v>
      </c>
      <c r="G9010" t="s">
        <v>597</v>
      </c>
      <c r="H9010" t="s">
        <v>5358</v>
      </c>
      <c r="I9010" t="s">
        <v>6584</v>
      </c>
      <c r="J9010" t="s">
        <v>11348</v>
      </c>
      <c r="K9010" t="s">
        <v>15749</v>
      </c>
      <c r="L9010">
        <f>HYPERLINK("https://www2.assemblee-nationale.fr/sycomore/fiche/(num_dept)/2110", "2110")</f>
        <v>0</v>
      </c>
      <c r="N9010">
        <f>HYPERLINK("https://www.wikidata.org/wiki/Q2831073", "Q2831073")</f>
        <v>0</v>
      </c>
      <c r="O9010" t="s">
        <v>20065</v>
      </c>
    </row>
    <row r="9011" spans="1:15">
      <c r="A9011" t="s">
        <v>53</v>
      </c>
      <c r="B9011" t="s">
        <v>149</v>
      </c>
      <c r="C9011" t="s">
        <v>185</v>
      </c>
      <c r="D9011" t="s">
        <v>314</v>
      </c>
      <c r="E9011" t="s">
        <v>437</v>
      </c>
      <c r="F9011">
        <f>HYPERLINK("https://www.wikidata.org/wiki/Q3111946", "Q3111946")</f>
        <v>0</v>
      </c>
      <c r="G9011" t="s">
        <v>1444</v>
      </c>
      <c r="H9011" t="s">
        <v>6145</v>
      </c>
      <c r="I9011" t="s">
        <v>9472</v>
      </c>
      <c r="J9011" t="s">
        <v>12165</v>
      </c>
      <c r="K9011" t="s">
        <v>16570</v>
      </c>
      <c r="L9011">
        <f>HYPERLINK("https://www2.assemblee-nationale.fr/sycomore/fiche/(num_dept)/2655", "2655")</f>
        <v>0</v>
      </c>
      <c r="N9011">
        <f>HYPERLINK("https://www.wikidata.org/wiki/Q3136053", "Q3136053")</f>
        <v>0</v>
      </c>
      <c r="O9011" t="s">
        <v>20088</v>
      </c>
    </row>
    <row r="9012" spans="1:15">
      <c r="A9012" t="s">
        <v>53</v>
      </c>
      <c r="B9012" t="s">
        <v>149</v>
      </c>
      <c r="C9012" t="s">
        <v>185</v>
      </c>
      <c r="D9012" t="s">
        <v>314</v>
      </c>
      <c r="E9012" t="s">
        <v>437</v>
      </c>
      <c r="F9012">
        <f>HYPERLINK("https://www.wikidata.org/wiki/Q3111946", "Q3111946")</f>
        <v>0</v>
      </c>
      <c r="G9012" t="s">
        <v>1170</v>
      </c>
      <c r="H9012" t="s">
        <v>5901</v>
      </c>
      <c r="I9012" t="s">
        <v>5592</v>
      </c>
      <c r="J9012" t="s">
        <v>11903</v>
      </c>
      <c r="K9012" t="s">
        <v>16305</v>
      </c>
      <c r="L9012">
        <f>HYPERLINK("https://www2.assemblee-nationale.fr/sycomore/fiche/(num_dept)/2874", "2874")</f>
        <v>0</v>
      </c>
      <c r="M9012">
        <f>HYPERLINK("https://www.senat.fr/senateur-3eme-republique/eynac_laurent0520r3.html", "eynac_laurent0520r3")</f>
        <v>0</v>
      </c>
      <c r="N9012">
        <f>HYPERLINK("https://www.wikidata.org/wiki/Q3219208", "Q3219208")</f>
        <v>0</v>
      </c>
      <c r="O9012" t="s">
        <v>20110</v>
      </c>
    </row>
    <row r="9013" spans="1:15">
      <c r="A9013" t="s">
        <v>53</v>
      </c>
      <c r="B9013" t="s">
        <v>149</v>
      </c>
      <c r="C9013" t="s">
        <v>185</v>
      </c>
      <c r="D9013" t="s">
        <v>314</v>
      </c>
      <c r="E9013" t="s">
        <v>437</v>
      </c>
      <c r="F9013">
        <f>HYPERLINK("https://www.wikidata.org/wiki/Q3111946", "Q3111946")</f>
        <v>0</v>
      </c>
      <c r="G9013" t="s">
        <v>1802</v>
      </c>
      <c r="H9013" t="s">
        <v>6467</v>
      </c>
      <c r="I9013" t="s">
        <v>9465</v>
      </c>
      <c r="J9013" t="s">
        <v>12497</v>
      </c>
      <c r="K9013" t="s">
        <v>16907</v>
      </c>
      <c r="L9013">
        <f>HYPERLINK("https://www2.assemblee-nationale.fr/sycomore/fiche/(num_dept)/3167", "3167")</f>
        <v>0</v>
      </c>
      <c r="N9013">
        <f>HYPERLINK("https://www.wikidata.org/wiki/Q3059882", "Q3059882")</f>
        <v>0</v>
      </c>
      <c r="O9013" t="s">
        <v>20058</v>
      </c>
    </row>
    <row r="9014" spans="1:15">
      <c r="A9014" t="s">
        <v>53</v>
      </c>
      <c r="B9014" t="s">
        <v>149</v>
      </c>
      <c r="C9014" t="s">
        <v>185</v>
      </c>
      <c r="D9014" t="s">
        <v>314</v>
      </c>
      <c r="E9014" t="s">
        <v>437</v>
      </c>
      <c r="F9014">
        <f>HYPERLINK("https://www.wikidata.org/wiki/Q3111946", "Q3111946")</f>
        <v>0</v>
      </c>
      <c r="G9014" t="s">
        <v>1802</v>
      </c>
      <c r="H9014" t="s">
        <v>6467</v>
      </c>
      <c r="I9014" t="s">
        <v>9465</v>
      </c>
      <c r="J9014" t="s">
        <v>12497</v>
      </c>
      <c r="K9014" t="s">
        <v>16907</v>
      </c>
      <c r="L9014">
        <f>HYPERLINK("https://www2.assemblee-nationale.fr/sycomore/fiche/(num_dept)/3167", "3167")</f>
        <v>0</v>
      </c>
      <c r="N9014">
        <f>HYPERLINK("https://www.wikidata.org/wiki/Q3059882", "Q3059882")</f>
        <v>0</v>
      </c>
      <c r="O9014" t="s">
        <v>20108</v>
      </c>
    </row>
    <row r="9015" spans="1:15">
      <c r="A9015" t="s">
        <v>53</v>
      </c>
      <c r="B9015" t="s">
        <v>149</v>
      </c>
      <c r="C9015" t="s">
        <v>185</v>
      </c>
      <c r="D9015" t="s">
        <v>314</v>
      </c>
      <c r="E9015" t="s">
        <v>437</v>
      </c>
      <c r="F9015">
        <f>HYPERLINK("https://www.wikidata.org/wiki/Q3111946", "Q3111946")</f>
        <v>0</v>
      </c>
      <c r="G9015" t="s">
        <v>1498</v>
      </c>
      <c r="H9015" t="s">
        <v>6196</v>
      </c>
      <c r="I9015" t="s">
        <v>9553</v>
      </c>
      <c r="J9015" t="s">
        <v>12216</v>
      </c>
      <c r="K9015" t="s">
        <v>16621</v>
      </c>
      <c r="L9015">
        <f>HYPERLINK("https://www2.assemblee-nationale.fr/sycomore/fiche/(num_dept)/3948", "3948")</f>
        <v>0</v>
      </c>
      <c r="M9015">
        <f>HYPERLINK("https://www.senat.fr/senateur-3eme-republique/israel_alexandre0223r3.html", "israel_alexandre0223r3")</f>
        <v>0</v>
      </c>
      <c r="N9015">
        <f>HYPERLINK("https://www.wikidata.org/wiki/Q2833756", "Q2833756")</f>
        <v>0</v>
      </c>
      <c r="O9015" t="s">
        <v>20089</v>
      </c>
    </row>
    <row r="9016" spans="1:15">
      <c r="A9016" t="s">
        <v>53</v>
      </c>
      <c r="B9016" t="s">
        <v>149</v>
      </c>
      <c r="C9016" t="s">
        <v>185</v>
      </c>
      <c r="D9016" t="s">
        <v>314</v>
      </c>
      <c r="E9016" t="s">
        <v>437</v>
      </c>
      <c r="F9016">
        <f>HYPERLINK("https://www.wikidata.org/wiki/Q3111946", "Q3111946")</f>
        <v>0</v>
      </c>
      <c r="G9016" t="s">
        <v>1960</v>
      </c>
      <c r="H9016" t="s">
        <v>6601</v>
      </c>
      <c r="I9016" t="s">
        <v>6713</v>
      </c>
      <c r="J9016" t="s">
        <v>12643</v>
      </c>
      <c r="K9016" t="s">
        <v>17053</v>
      </c>
      <c r="L9016">
        <f>HYPERLINK("https://www2.assemblee-nationale.fr/sycomore/fiche/(num_dept)/4175", "4175")</f>
        <v>0</v>
      </c>
      <c r="N9016">
        <f>HYPERLINK("https://www.wikidata.org/wiki/Q3121895", "Q3121895")</f>
        <v>0</v>
      </c>
      <c r="O9016" t="s">
        <v>20130</v>
      </c>
    </row>
    <row r="9017" spans="1:15">
      <c r="A9017" t="s">
        <v>53</v>
      </c>
      <c r="B9017" t="s">
        <v>149</v>
      </c>
      <c r="C9017" t="s">
        <v>185</v>
      </c>
      <c r="D9017" t="s">
        <v>314</v>
      </c>
      <c r="E9017" t="s">
        <v>437</v>
      </c>
      <c r="F9017">
        <f>HYPERLINK("https://www.wikidata.org/wiki/Q3111946", "Q3111946")</f>
        <v>0</v>
      </c>
      <c r="G9017" t="s">
        <v>1925</v>
      </c>
      <c r="H9017" t="s">
        <v>6572</v>
      </c>
      <c r="I9017" t="s">
        <v>9388</v>
      </c>
      <c r="J9017" t="s">
        <v>12610</v>
      </c>
      <c r="K9017" t="s">
        <v>17021</v>
      </c>
      <c r="L9017">
        <f>HYPERLINK("https://www2.assemblee-nationale.fr/sycomore/fiche/(num_dept)/4976", "4976")</f>
        <v>0</v>
      </c>
      <c r="N9017">
        <f>HYPERLINK("https://www.wikidata.org/wiki/Q3371769", "Q3371769")</f>
        <v>0</v>
      </c>
      <c r="O9017" t="s">
        <v>20194</v>
      </c>
    </row>
    <row r="9018" spans="1:15">
      <c r="A9018" t="s">
        <v>53</v>
      </c>
      <c r="B9018" t="s">
        <v>149</v>
      </c>
      <c r="C9018" t="s">
        <v>185</v>
      </c>
      <c r="D9018" t="s">
        <v>314</v>
      </c>
      <c r="E9018" t="s">
        <v>437</v>
      </c>
      <c r="F9018">
        <f>HYPERLINK("https://www.wikidata.org/wiki/Q3111946", "Q3111946")</f>
        <v>0</v>
      </c>
      <c r="G9018" t="s">
        <v>2107</v>
      </c>
      <c r="H9018" t="s">
        <v>6730</v>
      </c>
      <c r="I9018" t="s">
        <v>7265</v>
      </c>
      <c r="J9018" t="s">
        <v>12772</v>
      </c>
      <c r="K9018" t="s">
        <v>17189</v>
      </c>
      <c r="L9018">
        <f>HYPERLINK("https://www2.assemblee-nationale.fr/sycomore/fiche/(num_dept)/4982", "4982")</f>
        <v>0</v>
      </c>
      <c r="N9018">
        <f>HYPERLINK("https://www.wikidata.org/wiki/Q3380310", "Q3380310")</f>
        <v>0</v>
      </c>
      <c r="O9018" t="s">
        <v>20201</v>
      </c>
    </row>
    <row r="9019" spans="1:15">
      <c r="A9019" t="s">
        <v>53</v>
      </c>
      <c r="B9019" t="s">
        <v>149</v>
      </c>
      <c r="C9019" t="s">
        <v>185</v>
      </c>
      <c r="D9019" t="s">
        <v>314</v>
      </c>
      <c r="E9019" t="s">
        <v>437</v>
      </c>
      <c r="F9019">
        <f>HYPERLINK("https://www.wikidata.org/wiki/Q3111946", "Q3111946")</f>
        <v>0</v>
      </c>
      <c r="G9019" t="s">
        <v>2120</v>
      </c>
      <c r="H9019" t="s">
        <v>6740</v>
      </c>
      <c r="I9019" t="s">
        <v>6200</v>
      </c>
      <c r="J9019" t="s">
        <v>12784</v>
      </c>
      <c r="K9019" t="s">
        <v>17200</v>
      </c>
      <c r="L9019">
        <f>HYPERLINK("https://www2.assemblee-nationale.fr/sycomore/fiche/(num_dept)/5310", "5310")</f>
        <v>0</v>
      </c>
      <c r="N9019">
        <f>HYPERLINK("https://www.wikidata.org/wiki/Q845559", "Q845559")</f>
        <v>0</v>
      </c>
      <c r="O9019" t="s">
        <v>20078</v>
      </c>
    </row>
    <row r="9020" spans="1:15">
      <c r="A9020" t="s">
        <v>53</v>
      </c>
      <c r="B9020" t="s">
        <v>149</v>
      </c>
      <c r="C9020" t="s">
        <v>185</v>
      </c>
      <c r="D9020" t="s">
        <v>314</v>
      </c>
      <c r="E9020" t="s">
        <v>437</v>
      </c>
      <c r="F9020">
        <f>HYPERLINK("https://www.wikidata.org/wiki/Q3111946", "Q3111946")</f>
        <v>0</v>
      </c>
      <c r="G9020" t="s">
        <v>738</v>
      </c>
      <c r="H9020" t="s">
        <v>5496</v>
      </c>
      <c r="I9020" t="s">
        <v>9503</v>
      </c>
      <c r="J9020" t="s">
        <v>11487</v>
      </c>
      <c r="K9020" t="s">
        <v>15889</v>
      </c>
      <c r="L9020">
        <f>HYPERLINK("https://www2.assemblee-nationale.fr/sycomore/fiche/(num_dept)/5394", "5394")</f>
        <v>0</v>
      </c>
      <c r="M9020">
        <f>HYPERLINK("https://www.senat.fr/senateur-3eme-republique/de_monzie_anatole0605r3.html", "de_monzie_anatole0605r3")</f>
        <v>0</v>
      </c>
      <c r="N9020">
        <f>HYPERLINK("https://www.wikidata.org/wiki/Q2845619", "Q2845619")</f>
        <v>0</v>
      </c>
      <c r="O9020" t="s">
        <v>20085</v>
      </c>
    </row>
    <row r="9021" spans="1:15">
      <c r="A9021" t="s">
        <v>53</v>
      </c>
      <c r="B9021" t="s">
        <v>149</v>
      </c>
      <c r="C9021" t="s">
        <v>185</v>
      </c>
      <c r="D9021" t="s">
        <v>314</v>
      </c>
      <c r="E9021" t="s">
        <v>437</v>
      </c>
      <c r="F9021">
        <f>HYPERLINK("https://www.wikidata.org/wiki/Q3111946", "Q3111946")</f>
        <v>0</v>
      </c>
      <c r="G9021" t="s">
        <v>1860</v>
      </c>
      <c r="H9021" t="s">
        <v>6516</v>
      </c>
      <c r="I9021" t="s">
        <v>9407</v>
      </c>
      <c r="J9021" t="s">
        <v>12550</v>
      </c>
      <c r="K9021" t="s">
        <v>16961</v>
      </c>
      <c r="L9021">
        <f>HYPERLINK("https://www2.assemblee-nationale.fr/sycomore/fiche/(num_dept)/5646", "5646")</f>
        <v>0</v>
      </c>
      <c r="M9021">
        <f>HYPERLINK("https://www.senat.fr/senateur-3eme-republique/paganon_joseph1203r3.html", "paganon_joseph1203r3")</f>
        <v>0</v>
      </c>
      <c r="N9021">
        <f>HYPERLINK("https://www.wikidata.org/wiki/Q3185441", "Q3185441")</f>
        <v>0</v>
      </c>
      <c r="O9021" t="s">
        <v>20063</v>
      </c>
    </row>
    <row r="9022" spans="1:15">
      <c r="A9022" t="s">
        <v>53</v>
      </c>
      <c r="B9022" t="s">
        <v>149</v>
      </c>
      <c r="C9022" t="s">
        <v>185</v>
      </c>
      <c r="D9022" t="s">
        <v>314</v>
      </c>
      <c r="E9022" t="s">
        <v>437</v>
      </c>
      <c r="F9022">
        <f>HYPERLINK("https://www.wikidata.org/wiki/Q3111946", "Q3111946")</f>
        <v>0</v>
      </c>
      <c r="G9022" t="s">
        <v>1967</v>
      </c>
      <c r="H9022" t="s">
        <v>6607</v>
      </c>
      <c r="I9022" t="s">
        <v>9692</v>
      </c>
      <c r="J9022" t="s">
        <v>12649</v>
      </c>
      <c r="K9022" t="s">
        <v>17058</v>
      </c>
      <c r="L9022">
        <f>HYPERLINK("https://www2.assemblee-nationale.fr/sycomore/fiche/(num_dept)/5707", "5707")</f>
        <v>0</v>
      </c>
      <c r="N9022">
        <f>HYPERLINK("https://www.wikidata.org/wiki/Q2569191", "Q2569191")</f>
        <v>0</v>
      </c>
      <c r="O9022" t="s">
        <v>20202</v>
      </c>
    </row>
    <row r="9023" spans="1:15">
      <c r="A9023" t="s">
        <v>53</v>
      </c>
      <c r="B9023" t="s">
        <v>149</v>
      </c>
      <c r="C9023" t="s">
        <v>185</v>
      </c>
      <c r="D9023" t="s">
        <v>314</v>
      </c>
      <c r="E9023" t="s">
        <v>437</v>
      </c>
      <c r="F9023">
        <f>HYPERLINK("https://www.wikidata.org/wiki/Q3111946", "Q3111946")</f>
        <v>0</v>
      </c>
      <c r="G9023" t="s">
        <v>752</v>
      </c>
      <c r="H9023" t="s">
        <v>5510</v>
      </c>
      <c r="I9023" t="s">
        <v>9407</v>
      </c>
      <c r="J9023" t="s">
        <v>11500</v>
      </c>
      <c r="K9023" t="s">
        <v>15903</v>
      </c>
      <c r="L9023">
        <f>HYPERLINK("https://www2.assemblee-nationale.fr/sycomore/fiche/(num_dept)/5724", "5724")</f>
        <v>0</v>
      </c>
      <c r="M9023">
        <f>HYPERLINK("https://www.senat.fr/senateur-3eme-republique/paul_boncour_joseph0550r4.html", "paul_boncour_joseph0550r4")</f>
        <v>0</v>
      </c>
      <c r="N9023">
        <f>HYPERLINK("https://www.wikidata.org/wiki/Q285865", "Q285865")</f>
        <v>0</v>
      </c>
      <c r="O9023" t="s">
        <v>20062</v>
      </c>
    </row>
    <row r="9024" spans="1:15">
      <c r="A9024" t="s">
        <v>53</v>
      </c>
      <c r="B9024" t="s">
        <v>149</v>
      </c>
      <c r="C9024" t="s">
        <v>185</v>
      </c>
      <c r="D9024" t="s">
        <v>314</v>
      </c>
      <c r="E9024" t="s">
        <v>437</v>
      </c>
      <c r="F9024">
        <f>HYPERLINK("https://www.wikidata.org/wiki/Q3111946", "Q3111946")</f>
        <v>0</v>
      </c>
      <c r="G9024" t="s">
        <v>778</v>
      </c>
      <c r="H9024" t="s">
        <v>5536</v>
      </c>
      <c r="I9024" t="s">
        <v>6584</v>
      </c>
      <c r="J9024" t="s">
        <v>11525</v>
      </c>
      <c r="K9024" t="s">
        <v>15929</v>
      </c>
      <c r="L9024">
        <f>HYPERLINK("https://www2.assemblee-nationale.fr/sycomore/fiche/(num_dept)/6293", "6293")</f>
        <v>0</v>
      </c>
      <c r="M9024">
        <f>HYPERLINK("https://www.senat.fr/senateur-3eme-republique/sarraut_albert0265r3.html", "sarraut_albert0265r3")</f>
        <v>0</v>
      </c>
      <c r="N9024">
        <f>HYPERLINK("https://www.wikidata.org/wiki/Q460318", "Q460318")</f>
        <v>0</v>
      </c>
      <c r="O9024" t="s">
        <v>20053</v>
      </c>
    </row>
    <row r="9025" spans="1:15">
      <c r="A9025" t="s">
        <v>53</v>
      </c>
      <c r="B9025" t="s">
        <v>149</v>
      </c>
      <c r="C9025" t="s">
        <v>185</v>
      </c>
      <c r="D9025" t="s">
        <v>314</v>
      </c>
      <c r="E9025" t="s">
        <v>437</v>
      </c>
      <c r="F9025">
        <f>HYPERLINK("https://www.wikidata.org/wiki/Q3111946", "Q3111946")</f>
        <v>0</v>
      </c>
      <c r="G9025" t="s">
        <v>1304</v>
      </c>
      <c r="H9025" t="s">
        <v>6025</v>
      </c>
      <c r="I9025" t="s">
        <v>9457</v>
      </c>
      <c r="J9025" t="s">
        <v>12034</v>
      </c>
      <c r="K9025" t="s">
        <v>16435</v>
      </c>
      <c r="L9025">
        <f>HYPERLINK("https://www2.assemblee-nationale.fr/sycomore/fiche/(num_dept)/6554", "6554")</f>
        <v>0</v>
      </c>
      <c r="M9025">
        <f>HYPERLINK("https://www.senat.fr/senateur-3eme-republique/queuille_henri0469r3.html", "queuille_henri0469r3")</f>
        <v>0</v>
      </c>
      <c r="N9025">
        <f>HYPERLINK("https://www.wikidata.org/wiki/Q455655", "Q455655")</f>
        <v>0</v>
      </c>
      <c r="O9025" t="s">
        <v>20056</v>
      </c>
    </row>
    <row r="9026" spans="1:15">
      <c r="A9026" t="s">
        <v>53</v>
      </c>
      <c r="B9026" t="s">
        <v>149</v>
      </c>
      <c r="C9026" t="s">
        <v>185</v>
      </c>
      <c r="D9026" t="s">
        <v>314</v>
      </c>
      <c r="E9026" t="s">
        <v>437</v>
      </c>
      <c r="F9026">
        <f>HYPERLINK("https://www.wikidata.org/wiki/Q3111946", "Q3111946")</f>
        <v>0</v>
      </c>
      <c r="G9026" t="s">
        <v>1608</v>
      </c>
      <c r="H9026" t="s">
        <v>6295</v>
      </c>
      <c r="I9026" t="s">
        <v>9465</v>
      </c>
      <c r="J9026" t="s">
        <v>12315</v>
      </c>
      <c r="K9026" t="s">
        <v>16725</v>
      </c>
      <c r="L9026">
        <f>HYPERLINK("https://www2.assemblee-nationale.fr/sycomore/fiche/(num_dept)/6633", "6633")</f>
        <v>0</v>
      </c>
      <c r="M9026">
        <f>HYPERLINK("https://www.senat.fr/senateur-3eme-republique/raynaldy_eugene0290r3.html", "raynaldy_eugene0290r3")</f>
        <v>0</v>
      </c>
      <c r="N9026">
        <f>HYPERLINK("https://www.wikidata.org/wiki/Q3060128", "Q3060128")</f>
        <v>0</v>
      </c>
      <c r="O9026" t="s">
        <v>20064</v>
      </c>
    </row>
    <row r="9027" spans="1:15">
      <c r="A9027" t="s">
        <v>53</v>
      </c>
      <c r="B9027" t="s">
        <v>149</v>
      </c>
      <c r="C9027" t="s">
        <v>185</v>
      </c>
      <c r="D9027" t="s">
        <v>314</v>
      </c>
      <c r="E9027" t="s">
        <v>437</v>
      </c>
      <c r="F9027">
        <f>HYPERLINK("https://www.wikidata.org/wiki/Q3111946", "Q3111946")</f>
        <v>0</v>
      </c>
      <c r="G9027" t="s">
        <v>2175</v>
      </c>
      <c r="H9027" t="s">
        <v>6789</v>
      </c>
      <c r="I9027" t="s">
        <v>6166</v>
      </c>
      <c r="J9027" t="s">
        <v>12339</v>
      </c>
      <c r="K9027" t="s">
        <v>17251</v>
      </c>
      <c r="L9027">
        <f>HYPERLINK("https://www2.assemblee-nationale.fr/sycomore/fiche/(num_dept)/6999", "6999")</f>
        <v>0</v>
      </c>
      <c r="N9027">
        <f>HYPERLINK("https://www.wikidata.org/wiki/Q3086325", "Q3086325")</f>
        <v>0</v>
      </c>
      <c r="O9027" t="s">
        <v>20203</v>
      </c>
    </row>
    <row r="9028" spans="1:15">
      <c r="A9028" t="s">
        <v>53</v>
      </c>
      <c r="B9028" t="s">
        <v>149</v>
      </c>
      <c r="C9028" t="s">
        <v>185</v>
      </c>
      <c r="D9028" t="s">
        <v>314</v>
      </c>
      <c r="E9028" t="s">
        <v>437</v>
      </c>
      <c r="F9028">
        <f>HYPERLINK("https://www.wikidata.org/wiki/Q3111946", "Q3111946")</f>
        <v>0</v>
      </c>
      <c r="G9028" t="s">
        <v>1512</v>
      </c>
      <c r="H9028" t="s">
        <v>5734</v>
      </c>
      <c r="I9028" t="s">
        <v>9455</v>
      </c>
      <c r="J9028" t="s">
        <v>12229</v>
      </c>
      <c r="K9028" t="s">
        <v>16635</v>
      </c>
      <c r="N9028">
        <f>HYPERLINK("https://www.wikidata.org/wiki/Q3265579", "Q3265579")</f>
        <v>0</v>
      </c>
      <c r="O9028" t="s">
        <v>20065</v>
      </c>
    </row>
    <row r="9029" spans="1:15">
      <c r="A9029" t="s">
        <v>53</v>
      </c>
      <c r="B9029" t="s">
        <v>149</v>
      </c>
      <c r="C9029" t="s">
        <v>185</v>
      </c>
      <c r="D9029" t="s">
        <v>314</v>
      </c>
      <c r="E9029" t="s">
        <v>437</v>
      </c>
      <c r="F9029">
        <f>HYPERLINK("https://www.wikidata.org/wiki/Q3111946", "Q3111946")</f>
        <v>0</v>
      </c>
      <c r="G9029" t="s">
        <v>1724</v>
      </c>
      <c r="H9029" t="s">
        <v>6360</v>
      </c>
      <c r="I9029" t="s">
        <v>6175</v>
      </c>
      <c r="J9029" t="s">
        <v>12425</v>
      </c>
      <c r="K9029" t="s">
        <v>16833</v>
      </c>
      <c r="N9029">
        <f>HYPERLINK("https://www.wikidata.org/wiki/Q3102323", "Q3102323")</f>
        <v>0</v>
      </c>
      <c r="O9029" t="s">
        <v>20066</v>
      </c>
    </row>
    <row r="9030" spans="1:15">
      <c r="A9030" t="s">
        <v>53</v>
      </c>
      <c r="B9030" t="s">
        <v>149</v>
      </c>
      <c r="C9030" t="s">
        <v>185</v>
      </c>
      <c r="D9030" t="s">
        <v>314</v>
      </c>
      <c r="E9030" t="s">
        <v>437</v>
      </c>
      <c r="F9030">
        <f>HYPERLINK("https://www.wikidata.org/wiki/Q3111946", "Q3111946")</f>
        <v>0</v>
      </c>
      <c r="G9030" t="s">
        <v>1512</v>
      </c>
      <c r="H9030" t="s">
        <v>5734</v>
      </c>
      <c r="I9030" t="s">
        <v>9455</v>
      </c>
      <c r="J9030" t="s">
        <v>12229</v>
      </c>
      <c r="K9030" t="s">
        <v>16635</v>
      </c>
      <c r="N9030">
        <f>HYPERLINK("https://www.wikidata.org/wiki/Q3265579", "Q3265579")</f>
        <v>0</v>
      </c>
      <c r="O9030" t="s">
        <v>20204</v>
      </c>
    </row>
    <row r="9031" spans="1:15">
      <c r="A9031" t="s">
        <v>53</v>
      </c>
      <c r="B9031" t="s">
        <v>149</v>
      </c>
      <c r="C9031" t="s">
        <v>185</v>
      </c>
      <c r="D9031" t="s">
        <v>314</v>
      </c>
      <c r="E9031" t="s">
        <v>437</v>
      </c>
      <c r="F9031">
        <f>HYPERLINK("https://www.wikidata.org/wiki/Q3111946", "Q3111946")</f>
        <v>0</v>
      </c>
      <c r="G9031" t="s">
        <v>1430</v>
      </c>
      <c r="H9031" t="s">
        <v>6135</v>
      </c>
      <c r="I9031" t="s">
        <v>9385</v>
      </c>
      <c r="J9031" t="s">
        <v>12153</v>
      </c>
      <c r="K9031" t="s">
        <v>16556</v>
      </c>
      <c r="N9031">
        <f>HYPERLINK("https://www.wikidata.org/wiki/Q2958866", "Q2958866")</f>
        <v>0</v>
      </c>
      <c r="O9031" t="s">
        <v>20205</v>
      </c>
    </row>
    <row r="9032" spans="1:15">
      <c r="A9032" t="s">
        <v>53</v>
      </c>
      <c r="B9032" t="s">
        <v>149</v>
      </c>
      <c r="C9032" t="s">
        <v>185</v>
      </c>
      <c r="D9032" t="s">
        <v>314</v>
      </c>
      <c r="E9032" t="s">
        <v>437</v>
      </c>
      <c r="F9032">
        <f>HYPERLINK("https://www.wikidata.org/wiki/Q3111946", "Q3111946")</f>
        <v>0</v>
      </c>
      <c r="G9032" t="s">
        <v>4269</v>
      </c>
      <c r="H9032" t="s">
        <v>8434</v>
      </c>
      <c r="I9032" t="s">
        <v>9483</v>
      </c>
      <c r="J9032" t="s">
        <v>14769</v>
      </c>
      <c r="K9032" t="s">
        <v>17473</v>
      </c>
      <c r="M9032">
        <f>HYPERLINK("https://www.senat.fr/senateur-3eme-republique/le_gorgeu_victor0818r3.html", "le_gorgeu_victor0818r3")</f>
        <v>0</v>
      </c>
      <c r="N9032">
        <f>HYPERLINK("https://www.wikidata.org/wiki/Q3557509", "Q3557509")</f>
        <v>0</v>
      </c>
      <c r="O9032" t="s">
        <v>20206</v>
      </c>
    </row>
    <row r="9033" spans="1:15">
      <c r="A9033" t="s">
        <v>54</v>
      </c>
      <c r="B9033" t="s">
        <v>149</v>
      </c>
      <c r="C9033" t="s">
        <v>186</v>
      </c>
      <c r="D9033" t="s">
        <v>315</v>
      </c>
      <c r="E9033" t="s">
        <v>438</v>
      </c>
      <c r="F9033">
        <f>HYPERLINK("https://www.wikidata.org/wiki/Q659214", "Q659214")</f>
        <v>0</v>
      </c>
      <c r="G9033" t="s">
        <v>1984</v>
      </c>
      <c r="H9033" t="s">
        <v>6622</v>
      </c>
      <c r="I9033" t="s">
        <v>6478</v>
      </c>
      <c r="J9033" t="s">
        <v>12664</v>
      </c>
      <c r="K9033" t="s">
        <v>17075</v>
      </c>
      <c r="L9033">
        <f>HYPERLINK("https://www2.assemblee-nationale.fr/sycomore/fiche/(num_dept)/127", "127")</f>
        <v>0</v>
      </c>
      <c r="N9033">
        <f>HYPERLINK("https://www.wikidata.org/wiki/Q3132579", "Q3132579")</f>
        <v>0</v>
      </c>
      <c r="O9033" t="s">
        <v>20205</v>
      </c>
    </row>
    <row r="9034" spans="1:15">
      <c r="A9034" t="s">
        <v>54</v>
      </c>
      <c r="B9034" t="s">
        <v>149</v>
      </c>
      <c r="C9034" t="s">
        <v>186</v>
      </c>
      <c r="D9034" t="s">
        <v>315</v>
      </c>
      <c r="E9034" t="s">
        <v>438</v>
      </c>
      <c r="F9034">
        <f>HYPERLINK("https://www.wikidata.org/wiki/Q659214", "Q659214")</f>
        <v>0</v>
      </c>
      <c r="G9034" t="s">
        <v>1985</v>
      </c>
      <c r="H9034" t="s">
        <v>6623</v>
      </c>
      <c r="I9034" t="s">
        <v>9500</v>
      </c>
      <c r="J9034" t="s">
        <v>12520</v>
      </c>
      <c r="K9034" t="s">
        <v>17076</v>
      </c>
      <c r="L9034">
        <f>HYPERLINK("https://www2.assemblee-nationale.fr/sycomore/fiche/(num_dept)/228", "228")</f>
        <v>0</v>
      </c>
      <c r="N9034">
        <f>HYPERLINK("https://www.wikidata.org/wiki/Q3419119", "Q3419119")</f>
        <v>0</v>
      </c>
      <c r="O9034" t="s">
        <v>20068</v>
      </c>
    </row>
    <row r="9035" spans="1:15">
      <c r="A9035" t="s">
        <v>54</v>
      </c>
      <c r="B9035" t="s">
        <v>149</v>
      </c>
      <c r="C9035" t="s">
        <v>186</v>
      </c>
      <c r="D9035" t="s">
        <v>315</v>
      </c>
      <c r="E9035" t="s">
        <v>438</v>
      </c>
      <c r="F9035">
        <f>HYPERLINK("https://www.wikidata.org/wiki/Q659214", "Q659214")</f>
        <v>0</v>
      </c>
      <c r="G9035" t="s">
        <v>1217</v>
      </c>
      <c r="H9035" t="s">
        <v>5622</v>
      </c>
      <c r="I9035" t="s">
        <v>5812</v>
      </c>
      <c r="J9035" t="s">
        <v>11949</v>
      </c>
      <c r="K9035" t="s">
        <v>16351</v>
      </c>
      <c r="L9035">
        <f>HYPERLINK("https://www2.assemblee-nationale.fr/sycomore/fiche/(num_dept)/285", "285")</f>
        <v>0</v>
      </c>
      <c r="N9035">
        <f>HYPERLINK("https://www.wikidata.org/wiki/Q158772", "Q158772")</f>
        <v>0</v>
      </c>
      <c r="O9035" t="s">
        <v>20064</v>
      </c>
    </row>
    <row r="9036" spans="1:15">
      <c r="A9036" t="s">
        <v>54</v>
      </c>
      <c r="B9036" t="s">
        <v>149</v>
      </c>
      <c r="C9036" t="s">
        <v>186</v>
      </c>
      <c r="D9036" t="s">
        <v>315</v>
      </c>
      <c r="E9036" t="s">
        <v>438</v>
      </c>
      <c r="F9036">
        <f>HYPERLINK("https://www.wikidata.org/wiki/Q659214", "Q659214")</f>
        <v>0</v>
      </c>
      <c r="G9036" t="s">
        <v>1224</v>
      </c>
      <c r="H9036" t="s">
        <v>5630</v>
      </c>
      <c r="I9036" t="s">
        <v>9712</v>
      </c>
      <c r="J9036" t="s">
        <v>11956</v>
      </c>
      <c r="K9036" t="s">
        <v>16358</v>
      </c>
      <c r="L9036">
        <f>HYPERLINK("https://www2.assemblee-nationale.fr/sycomore/fiche/(num_dept)/748", "748")</f>
        <v>0</v>
      </c>
      <c r="M9036">
        <f>HYPERLINK("https://www.senat.fr/senateur-3eme-republique/bertrand_williams0414r3.html", "bertrand_williams0414r3")</f>
        <v>0</v>
      </c>
      <c r="N9036">
        <f>HYPERLINK("https://www.wikidata.org/wiki/Q3568432", "Q3568432")</f>
        <v>0</v>
      </c>
      <c r="O9036" t="s">
        <v>20099</v>
      </c>
    </row>
    <row r="9037" spans="1:15">
      <c r="A9037" t="s">
        <v>54</v>
      </c>
      <c r="B9037" t="s">
        <v>149</v>
      </c>
      <c r="C9037" t="s">
        <v>186</v>
      </c>
      <c r="D9037" t="s">
        <v>315</v>
      </c>
      <c r="E9037" t="s">
        <v>438</v>
      </c>
      <c r="F9037">
        <f>HYPERLINK("https://www.wikidata.org/wiki/Q659214", "Q659214")</f>
        <v>0</v>
      </c>
      <c r="G9037" t="s">
        <v>2007</v>
      </c>
      <c r="H9037" t="s">
        <v>6641</v>
      </c>
      <c r="I9037" t="s">
        <v>6166</v>
      </c>
      <c r="J9037" t="s">
        <v>12686</v>
      </c>
      <c r="K9037" t="s">
        <v>17095</v>
      </c>
      <c r="L9037">
        <f>HYPERLINK("https://www2.assemblee-nationale.fr/sycomore/fiche/(num_dept)/857", "857")</f>
        <v>0</v>
      </c>
      <c r="N9037">
        <f>HYPERLINK("https://www.wikidata.org/wiki/Q3083995", "Q3083995")</f>
        <v>0</v>
      </c>
      <c r="O9037" t="s">
        <v>20070</v>
      </c>
    </row>
    <row r="9038" spans="1:15">
      <c r="A9038" t="s">
        <v>54</v>
      </c>
      <c r="B9038" t="s">
        <v>149</v>
      </c>
      <c r="C9038" t="s">
        <v>186</v>
      </c>
      <c r="D9038" t="s">
        <v>315</v>
      </c>
      <c r="E9038" t="s">
        <v>438</v>
      </c>
      <c r="F9038">
        <f>HYPERLINK("https://www.wikidata.org/wiki/Q659214", "Q659214")</f>
        <v>0</v>
      </c>
      <c r="G9038" t="s">
        <v>1380</v>
      </c>
      <c r="H9038" t="s">
        <v>6091</v>
      </c>
      <c r="I9038" t="s">
        <v>5528</v>
      </c>
      <c r="J9038" t="s">
        <v>12106</v>
      </c>
      <c r="K9038" t="s">
        <v>16507</v>
      </c>
      <c r="L9038">
        <f>HYPERLINK("https://www2.assemblee-nationale.fr/sycomore/fiche/(num_dept)/880", "880")</f>
        <v>0</v>
      </c>
      <c r="N9038">
        <f>HYPERLINK("https://www.wikidata.org/wiki/Q18434", "Q18434")</f>
        <v>0</v>
      </c>
      <c r="O9038" t="s">
        <v>20074</v>
      </c>
    </row>
    <row r="9039" spans="1:15">
      <c r="A9039" t="s">
        <v>54</v>
      </c>
      <c r="B9039" t="s">
        <v>149</v>
      </c>
      <c r="C9039" t="s">
        <v>186</v>
      </c>
      <c r="D9039" t="s">
        <v>315</v>
      </c>
      <c r="E9039" t="s">
        <v>438</v>
      </c>
      <c r="F9039">
        <f>HYPERLINK("https://www.wikidata.org/wiki/Q659214", "Q659214")</f>
        <v>0</v>
      </c>
      <c r="G9039" t="s">
        <v>2021</v>
      </c>
      <c r="H9039" t="s">
        <v>5650</v>
      </c>
      <c r="I9039" t="s">
        <v>9476</v>
      </c>
      <c r="J9039" t="s">
        <v>12697</v>
      </c>
      <c r="K9039" t="s">
        <v>17108</v>
      </c>
      <c r="L9039">
        <f>HYPERLINK("https://www2.assemblee-nationale.fr/sycomore/fiche/(num_dept)/1290", "1290")</f>
        <v>0</v>
      </c>
      <c r="N9039">
        <f>HYPERLINK("https://www.wikidata.org/wiki/Q3425935", "Q3425935")</f>
        <v>0</v>
      </c>
      <c r="O9039" t="s">
        <v>20054</v>
      </c>
    </row>
    <row r="9040" spans="1:15">
      <c r="A9040" t="s">
        <v>54</v>
      </c>
      <c r="B9040" t="s">
        <v>149</v>
      </c>
      <c r="C9040" t="s">
        <v>186</v>
      </c>
      <c r="D9040" t="s">
        <v>315</v>
      </c>
      <c r="E9040" t="s">
        <v>438</v>
      </c>
      <c r="F9040">
        <f>HYPERLINK("https://www.wikidata.org/wiki/Q659214", "Q659214")</f>
        <v>0</v>
      </c>
      <c r="G9040" t="s">
        <v>2241</v>
      </c>
      <c r="H9040" t="s">
        <v>6847</v>
      </c>
      <c r="I9040" t="s">
        <v>10131</v>
      </c>
      <c r="J9040" t="s">
        <v>12902</v>
      </c>
      <c r="K9040" t="s">
        <v>17312</v>
      </c>
      <c r="L9040">
        <f>HYPERLINK("https://www2.assemblee-nationale.fr/sycomore/fiche/(num_dept)/1406", "1406")</f>
        <v>0</v>
      </c>
      <c r="N9040">
        <f>HYPERLINK("https://www.wikidata.org/wiki/Q3010436", "Q3010436")</f>
        <v>0</v>
      </c>
      <c r="O9040" t="s">
        <v>20053</v>
      </c>
    </row>
    <row r="9041" spans="1:15">
      <c r="A9041" t="s">
        <v>54</v>
      </c>
      <c r="B9041" t="s">
        <v>149</v>
      </c>
      <c r="C9041" t="s">
        <v>186</v>
      </c>
      <c r="D9041" t="s">
        <v>315</v>
      </c>
      <c r="E9041" t="s">
        <v>438</v>
      </c>
      <c r="F9041">
        <f>HYPERLINK("https://www.wikidata.org/wiki/Q659214", "Q659214")</f>
        <v>0</v>
      </c>
      <c r="G9041" t="s">
        <v>1410</v>
      </c>
      <c r="H9041" t="s">
        <v>5337</v>
      </c>
      <c r="I9041" t="s">
        <v>9506</v>
      </c>
      <c r="J9041" t="s">
        <v>12135</v>
      </c>
      <c r="K9041" t="s">
        <v>16537</v>
      </c>
      <c r="L9041">
        <f>HYPERLINK("https://www2.assemblee-nationale.fr/sycomore/fiche/(num_dept)/1726", "1726")</f>
        <v>0</v>
      </c>
      <c r="M9041">
        <f>HYPERLINK("https://www.senat.fr/senateur-3eme-republique/chautemps_camille0380r3.html", "chautemps_camille0380r3")</f>
        <v>0</v>
      </c>
      <c r="N9041">
        <f>HYPERLINK("https://www.wikidata.org/wiki/Q263884", "Q263884")</f>
        <v>0</v>
      </c>
      <c r="O9041" t="s">
        <v>20052</v>
      </c>
    </row>
    <row r="9042" spans="1:15">
      <c r="A9042" t="s">
        <v>54</v>
      </c>
      <c r="B9042" t="s">
        <v>149</v>
      </c>
      <c r="C9042" t="s">
        <v>186</v>
      </c>
      <c r="D9042" t="s">
        <v>315</v>
      </c>
      <c r="E9042" t="s">
        <v>438</v>
      </c>
      <c r="F9042">
        <f>HYPERLINK("https://www.wikidata.org/wiki/Q659214", "Q659214")</f>
        <v>0</v>
      </c>
      <c r="G9042" t="s">
        <v>1946</v>
      </c>
      <c r="H9042" t="s">
        <v>6590</v>
      </c>
      <c r="I9042" t="s">
        <v>6860</v>
      </c>
      <c r="J9042" t="s">
        <v>12630</v>
      </c>
      <c r="K9042" t="s">
        <v>17040</v>
      </c>
      <c r="L9042">
        <f>HYPERLINK("https://www2.assemblee-nationale.fr/sycomore/fiche/(num_dept)/1997", "1997")</f>
        <v>0</v>
      </c>
      <c r="N9042">
        <f>HYPERLINK("https://www.wikidata.org/wiki/Q2274693", "Q2274693")</f>
        <v>0</v>
      </c>
      <c r="O9042" t="s">
        <v>20072</v>
      </c>
    </row>
    <row r="9043" spans="1:15">
      <c r="A9043" t="s">
        <v>54</v>
      </c>
      <c r="B9043" t="s">
        <v>149</v>
      </c>
      <c r="C9043" t="s">
        <v>186</v>
      </c>
      <c r="D9043" t="s">
        <v>315</v>
      </c>
      <c r="E9043" t="s">
        <v>438</v>
      </c>
      <c r="F9043">
        <f>HYPERLINK("https://www.wikidata.org/wiki/Q659214", "Q659214")</f>
        <v>0</v>
      </c>
      <c r="G9043" t="s">
        <v>1423</v>
      </c>
      <c r="H9043" t="s">
        <v>6128</v>
      </c>
      <c r="I9043" t="s">
        <v>9728</v>
      </c>
      <c r="J9043" t="s">
        <v>12147</v>
      </c>
      <c r="K9043" t="s">
        <v>16549</v>
      </c>
      <c r="L9043">
        <f>HYPERLINK("https://www2.assemblee-nationale.fr/sycomore/fiche/(num_dept)/2105", "2105")</f>
        <v>0</v>
      </c>
      <c r="N9043">
        <f>HYPERLINK("https://www.wikidata.org/wiki/Q213526", "Q213526")</f>
        <v>0</v>
      </c>
      <c r="O9043" t="s">
        <v>20073</v>
      </c>
    </row>
    <row r="9044" spans="1:15">
      <c r="A9044" t="s">
        <v>54</v>
      </c>
      <c r="B9044" t="s">
        <v>149</v>
      </c>
      <c r="C9044" t="s">
        <v>186</v>
      </c>
      <c r="D9044" t="s">
        <v>315</v>
      </c>
      <c r="E9044" t="s">
        <v>438</v>
      </c>
      <c r="F9044">
        <f>HYPERLINK("https://www.wikidata.org/wiki/Q659214", "Q659214")</f>
        <v>0</v>
      </c>
      <c r="G9044" t="s">
        <v>1778</v>
      </c>
      <c r="H9044" t="s">
        <v>6446</v>
      </c>
      <c r="I9044" t="s">
        <v>9946</v>
      </c>
      <c r="J9044" t="s">
        <v>12475</v>
      </c>
      <c r="K9044" t="s">
        <v>16884</v>
      </c>
      <c r="L9044">
        <f>HYPERLINK("https://www2.assemblee-nationale.fr/sycomore/fiche/(num_dept)/2282", "2282")</f>
        <v>0</v>
      </c>
      <c r="N9044">
        <f>HYPERLINK("https://www.wikidata.org/wiki/Q362673", "Q362673")</f>
        <v>0</v>
      </c>
      <c r="O9044" t="s">
        <v>20062</v>
      </c>
    </row>
    <row r="9045" spans="1:15">
      <c r="A9045" t="s">
        <v>54</v>
      </c>
      <c r="B9045" t="s">
        <v>149</v>
      </c>
      <c r="C9045" t="s">
        <v>186</v>
      </c>
      <c r="D9045" t="s">
        <v>315</v>
      </c>
      <c r="E9045" t="s">
        <v>438</v>
      </c>
      <c r="F9045">
        <f>HYPERLINK("https://www.wikidata.org/wiki/Q659214", "Q659214")</f>
        <v>0</v>
      </c>
      <c r="G9045" t="s">
        <v>2235</v>
      </c>
      <c r="H9045" t="s">
        <v>6142</v>
      </c>
      <c r="I9045" t="s">
        <v>10127</v>
      </c>
      <c r="J9045" t="s">
        <v>12896</v>
      </c>
      <c r="K9045" t="s">
        <v>17307</v>
      </c>
      <c r="L9045">
        <f>HYPERLINK("https://www2.assemblee-nationale.fr/sycomore/fiche/(num_dept)/2560", "2560")</f>
        <v>0</v>
      </c>
      <c r="M9045">
        <f>HYPERLINK("https://www.senat.fr/senateur-3eme-republique/dormoy_marx0045r3.html", "dormoy_marx0045r3")</f>
        <v>0</v>
      </c>
      <c r="N9045">
        <f>HYPERLINK("https://www.wikidata.org/wiki/Q255618", "Q255618")</f>
        <v>0</v>
      </c>
      <c r="O9045" t="s">
        <v>20058</v>
      </c>
    </row>
    <row r="9046" spans="1:15">
      <c r="A9046" t="s">
        <v>54</v>
      </c>
      <c r="B9046" t="s">
        <v>149</v>
      </c>
      <c r="C9046" t="s">
        <v>186</v>
      </c>
      <c r="D9046" t="s">
        <v>315</v>
      </c>
      <c r="E9046" t="s">
        <v>438</v>
      </c>
      <c r="F9046">
        <f>HYPERLINK("https://www.wikidata.org/wiki/Q659214", "Q659214")</f>
        <v>0</v>
      </c>
      <c r="G9046" t="s">
        <v>1795</v>
      </c>
      <c r="H9046" t="s">
        <v>5397</v>
      </c>
      <c r="I9046" t="s">
        <v>9388</v>
      </c>
      <c r="J9046" t="s">
        <v>12490</v>
      </c>
      <c r="K9046" t="s">
        <v>16900</v>
      </c>
      <c r="L9046">
        <f>HYPERLINK("https://www2.assemblee-nationale.fr/sycomore/fiche/(num_dept)/2934", "2934")</f>
        <v>0</v>
      </c>
      <c r="N9046">
        <f>HYPERLINK("https://www.wikidata.org/wiki/Q783434", "Q783434")</f>
        <v>0</v>
      </c>
      <c r="O9046" t="s">
        <v>20077</v>
      </c>
    </row>
    <row r="9047" spans="1:15">
      <c r="A9047" t="s">
        <v>54</v>
      </c>
      <c r="B9047" t="s">
        <v>149</v>
      </c>
      <c r="C9047" t="s">
        <v>186</v>
      </c>
      <c r="D9047" t="s">
        <v>315</v>
      </c>
      <c r="E9047" t="s">
        <v>438</v>
      </c>
      <c r="F9047">
        <f>HYPERLINK("https://www.wikidata.org/wiki/Q659214", "Q659214")</f>
        <v>0</v>
      </c>
      <c r="G9047" t="s">
        <v>1797</v>
      </c>
      <c r="H9047" t="s">
        <v>6462</v>
      </c>
      <c r="I9047" t="s">
        <v>6585</v>
      </c>
      <c r="J9047" t="s">
        <v>12492</v>
      </c>
      <c r="K9047" t="s">
        <v>16902</v>
      </c>
      <c r="L9047">
        <f>HYPERLINK("https://www2.assemblee-nationale.fr/sycomore/fiche/(num_dept)/2995", "2995")</f>
        <v>0</v>
      </c>
      <c r="N9047">
        <f>HYPERLINK("https://www.wikidata.org/wiki/Q2847791", "Q2847791")</f>
        <v>0</v>
      </c>
      <c r="O9047" t="s">
        <v>20086</v>
      </c>
    </row>
    <row r="9048" spans="1:15">
      <c r="A9048" t="s">
        <v>54</v>
      </c>
      <c r="B9048" t="s">
        <v>149</v>
      </c>
      <c r="C9048" t="s">
        <v>186</v>
      </c>
      <c r="D9048" t="s">
        <v>315</v>
      </c>
      <c r="E9048" t="s">
        <v>438</v>
      </c>
      <c r="F9048">
        <f>HYPERLINK("https://www.wikidata.org/wiki/Q659214", "Q659214")</f>
        <v>0</v>
      </c>
      <c r="G9048" t="s">
        <v>2093</v>
      </c>
      <c r="H9048" t="s">
        <v>6717</v>
      </c>
      <c r="I9048" t="s">
        <v>10079</v>
      </c>
      <c r="J9048" t="s">
        <v>12762</v>
      </c>
      <c r="K9048" t="s">
        <v>17175</v>
      </c>
      <c r="L9048">
        <f>HYPERLINK("https://www2.assemblee-nationale.fr/sycomore/fiche/(num_dept)/3919", "3919")</f>
        <v>0</v>
      </c>
      <c r="N9048">
        <f>HYPERLINK("https://www.wikidata.org/wiki/Q3302161", "Q3302161")</f>
        <v>0</v>
      </c>
      <c r="O9048" t="s">
        <v>20102</v>
      </c>
    </row>
    <row r="9049" spans="1:15">
      <c r="A9049" t="s">
        <v>54</v>
      </c>
      <c r="B9049" t="s">
        <v>149</v>
      </c>
      <c r="C9049" t="s">
        <v>186</v>
      </c>
      <c r="D9049" t="s">
        <v>315</v>
      </c>
      <c r="E9049" t="s">
        <v>438</v>
      </c>
      <c r="F9049">
        <f>HYPERLINK("https://www.wikidata.org/wiki/Q659214", "Q659214")</f>
        <v>0</v>
      </c>
      <c r="G9049" t="s">
        <v>2232</v>
      </c>
      <c r="H9049" t="s">
        <v>6841</v>
      </c>
      <c r="I9049" t="s">
        <v>9458</v>
      </c>
      <c r="J9049" t="s">
        <v>12893</v>
      </c>
      <c r="K9049" t="s">
        <v>17304</v>
      </c>
      <c r="L9049">
        <f>HYPERLINK("https://www2.assemblee-nationale.fr/sycomore/fiche/(num_dept)/4092", "4092")</f>
        <v>0</v>
      </c>
      <c r="N9049">
        <f>HYPERLINK("https://www.wikidata.org/wiki/Q2835216", "Q2835216")</f>
        <v>0</v>
      </c>
      <c r="O9049" t="s">
        <v>20079</v>
      </c>
    </row>
    <row r="9050" spans="1:15">
      <c r="A9050" t="s">
        <v>54</v>
      </c>
      <c r="B9050" t="s">
        <v>149</v>
      </c>
      <c r="C9050" t="s">
        <v>186</v>
      </c>
      <c r="D9050" t="s">
        <v>315</v>
      </c>
      <c r="E9050" t="s">
        <v>438</v>
      </c>
      <c r="F9050">
        <f>HYPERLINK("https://www.wikidata.org/wiki/Q659214", "Q659214")</f>
        <v>0</v>
      </c>
      <c r="G9050" t="s">
        <v>2338</v>
      </c>
      <c r="H9050" t="s">
        <v>6926</v>
      </c>
      <c r="I9050" t="s">
        <v>9408</v>
      </c>
      <c r="J9050" t="s">
        <v>12992</v>
      </c>
      <c r="K9050" t="s">
        <v>17402</v>
      </c>
      <c r="L9050">
        <f>HYPERLINK("https://www2.assemblee-nationale.fr/sycomore/fiche/(num_dept)/4268", "4268")</f>
        <v>0</v>
      </c>
      <c r="N9050">
        <f>HYPERLINK("https://www.wikidata.org/wiki/Q3270494", "Q3270494")</f>
        <v>0</v>
      </c>
      <c r="O9050" t="s">
        <v>20207</v>
      </c>
    </row>
    <row r="9051" spans="1:15">
      <c r="A9051" t="s">
        <v>54</v>
      </c>
      <c r="B9051" t="s">
        <v>149</v>
      </c>
      <c r="C9051" t="s">
        <v>186</v>
      </c>
      <c r="D9051" t="s">
        <v>315</v>
      </c>
      <c r="E9051" t="s">
        <v>438</v>
      </c>
      <c r="F9051">
        <f>HYPERLINK("https://www.wikidata.org/wiki/Q659214", "Q659214")</f>
        <v>0</v>
      </c>
      <c r="G9051" t="s">
        <v>2361</v>
      </c>
      <c r="H9051" t="s">
        <v>6945</v>
      </c>
      <c r="I9051" t="s">
        <v>9470</v>
      </c>
      <c r="J9051" t="s">
        <v>13013</v>
      </c>
      <c r="K9051" t="s">
        <v>17423</v>
      </c>
      <c r="L9051">
        <f>HYPERLINK("https://www2.assemblee-nationale.fr/sycomore/fiche/(num_dept)/5348", "5348")</f>
        <v>0</v>
      </c>
      <c r="N9051">
        <f>HYPERLINK("https://www.wikidata.org/wiki/Q443841", "Q443841")</f>
        <v>0</v>
      </c>
      <c r="O9051" t="s">
        <v>20192</v>
      </c>
    </row>
    <row r="9052" spans="1:15">
      <c r="A9052" t="s">
        <v>54</v>
      </c>
      <c r="B9052" t="s">
        <v>149</v>
      </c>
      <c r="C9052" t="s">
        <v>186</v>
      </c>
      <c r="D9052" t="s">
        <v>315</v>
      </c>
      <c r="E9052" t="s">
        <v>438</v>
      </c>
      <c r="F9052">
        <f>HYPERLINK("https://www.wikidata.org/wiki/Q659214", "Q659214")</f>
        <v>0</v>
      </c>
      <c r="G9052" t="s">
        <v>2122</v>
      </c>
      <c r="H9052" t="s">
        <v>6742</v>
      </c>
      <c r="I9052" t="s">
        <v>6175</v>
      </c>
      <c r="J9052" t="s">
        <v>12786</v>
      </c>
      <c r="K9052" t="s">
        <v>17202</v>
      </c>
      <c r="L9052">
        <f>HYPERLINK("https://www2.assemblee-nationale.fr/sycomore/fiche/(num_dept)/5350", "5350")</f>
        <v>0</v>
      </c>
      <c r="N9052">
        <f>HYPERLINK("https://www.wikidata.org/wiki/Q3103220", "Q3103220")</f>
        <v>0</v>
      </c>
      <c r="O9052" t="s">
        <v>20056</v>
      </c>
    </row>
    <row r="9053" spans="1:15">
      <c r="A9053" t="s">
        <v>54</v>
      </c>
      <c r="B9053" t="s">
        <v>149</v>
      </c>
      <c r="C9053" t="s">
        <v>186</v>
      </c>
      <c r="D9053" t="s">
        <v>315</v>
      </c>
      <c r="E9053" t="s">
        <v>438</v>
      </c>
      <c r="F9053">
        <f>HYPERLINK("https://www.wikidata.org/wiki/Q659214", "Q659214")</f>
        <v>0</v>
      </c>
      <c r="G9053" t="s">
        <v>1336</v>
      </c>
      <c r="H9053" t="s">
        <v>6054</v>
      </c>
      <c r="I9053" t="s">
        <v>9593</v>
      </c>
      <c r="J9053" t="s">
        <v>12063</v>
      </c>
      <c r="K9053" t="s">
        <v>16465</v>
      </c>
      <c r="L9053">
        <f>HYPERLINK("https://www2.assemblee-nationale.fr/sycomore/fiche/(num_dept)/5466", "5466")</f>
        <v>0</v>
      </c>
      <c r="N9053">
        <f>HYPERLINK("https://www.wikidata.org/wiki/Q3293837", "Q3293837")</f>
        <v>0</v>
      </c>
      <c r="O9053" t="s">
        <v>20065</v>
      </c>
    </row>
    <row r="9054" spans="1:15">
      <c r="A9054" t="s">
        <v>54</v>
      </c>
      <c r="B9054" t="s">
        <v>149</v>
      </c>
      <c r="C9054" t="s">
        <v>186</v>
      </c>
      <c r="D9054" t="s">
        <v>315</v>
      </c>
      <c r="E9054" t="s">
        <v>438</v>
      </c>
      <c r="F9054">
        <f>HYPERLINK("https://www.wikidata.org/wiki/Q659214", "Q659214")</f>
        <v>0</v>
      </c>
      <c r="G9054" t="s">
        <v>2149</v>
      </c>
      <c r="H9054" t="s">
        <v>6763</v>
      </c>
      <c r="I9054" t="s">
        <v>9499</v>
      </c>
      <c r="J9054" t="s">
        <v>12813</v>
      </c>
      <c r="K9054" t="s">
        <v>17228</v>
      </c>
      <c r="L9054">
        <f>HYPERLINK("https://www2.assemblee-nationale.fr/sycomore/fiche/(num_dept)/6184", "6184")</f>
        <v>0</v>
      </c>
      <c r="N9054">
        <f>HYPERLINK("https://www.wikidata.org/wiki/Q950845", "Q950845")</f>
        <v>0</v>
      </c>
      <c r="O9054" t="s">
        <v>20089</v>
      </c>
    </row>
    <row r="9055" spans="1:15">
      <c r="A9055" t="s">
        <v>54</v>
      </c>
      <c r="B9055" t="s">
        <v>149</v>
      </c>
      <c r="C9055" t="s">
        <v>186</v>
      </c>
      <c r="D9055" t="s">
        <v>315</v>
      </c>
      <c r="E9055" t="s">
        <v>438</v>
      </c>
      <c r="F9055">
        <f>HYPERLINK("https://www.wikidata.org/wiki/Q659214", "Q659214")</f>
        <v>0</v>
      </c>
      <c r="G9055" t="s">
        <v>778</v>
      </c>
      <c r="H9055" t="s">
        <v>5536</v>
      </c>
      <c r="I9055" t="s">
        <v>6584</v>
      </c>
      <c r="J9055" t="s">
        <v>11525</v>
      </c>
      <c r="K9055" t="s">
        <v>15929</v>
      </c>
      <c r="L9055">
        <f>HYPERLINK("https://www2.assemblee-nationale.fr/sycomore/fiche/(num_dept)/6293", "6293")</f>
        <v>0</v>
      </c>
      <c r="M9055">
        <f>HYPERLINK("https://www.senat.fr/senateur-3eme-republique/sarraut_albert0265r3.html", "sarraut_albert0265r3")</f>
        <v>0</v>
      </c>
      <c r="N9055">
        <f>HYPERLINK("https://www.wikidata.org/wiki/Q460318", "Q460318")</f>
        <v>0</v>
      </c>
      <c r="O9055" t="s">
        <v>20071</v>
      </c>
    </row>
    <row r="9056" spans="1:15">
      <c r="A9056" t="s">
        <v>54</v>
      </c>
      <c r="B9056" t="s">
        <v>149</v>
      </c>
      <c r="C9056" t="s">
        <v>186</v>
      </c>
      <c r="D9056" t="s">
        <v>315</v>
      </c>
      <c r="E9056" t="s">
        <v>438</v>
      </c>
      <c r="F9056">
        <f>HYPERLINK("https://www.wikidata.org/wiki/Q659214", "Q659214")</f>
        <v>0</v>
      </c>
      <c r="G9056" t="s">
        <v>2411</v>
      </c>
      <c r="H9056" t="s">
        <v>6020</v>
      </c>
      <c r="I9056" t="s">
        <v>7265</v>
      </c>
      <c r="J9056" t="s">
        <v>13061</v>
      </c>
      <c r="K9056" t="s">
        <v>17471</v>
      </c>
      <c r="L9056">
        <f>HYPERLINK("https://www2.assemblee-nationale.fr/sycomore/fiche/(num_dept)/6400", "6400")</f>
        <v>0</v>
      </c>
      <c r="N9056">
        <f>HYPERLINK("https://www.wikidata.org/wiki/Q2327528", "Q2327528")</f>
        <v>0</v>
      </c>
      <c r="O9056" t="s">
        <v>20105</v>
      </c>
    </row>
    <row r="9057" spans="1:15">
      <c r="A9057" t="s">
        <v>54</v>
      </c>
      <c r="B9057" t="s">
        <v>149</v>
      </c>
      <c r="C9057" t="s">
        <v>186</v>
      </c>
      <c r="D9057" t="s">
        <v>315</v>
      </c>
      <c r="E9057" t="s">
        <v>438</v>
      </c>
      <c r="F9057">
        <f>HYPERLINK("https://www.wikidata.org/wiki/Q659214", "Q659214")</f>
        <v>0</v>
      </c>
      <c r="G9057" t="s">
        <v>1304</v>
      </c>
      <c r="H9057" t="s">
        <v>6025</v>
      </c>
      <c r="I9057" t="s">
        <v>9457</v>
      </c>
      <c r="J9057" t="s">
        <v>12034</v>
      </c>
      <c r="K9057" t="s">
        <v>16435</v>
      </c>
      <c r="L9057">
        <f>HYPERLINK("https://www2.assemblee-nationale.fr/sycomore/fiche/(num_dept)/6554", "6554")</f>
        <v>0</v>
      </c>
      <c r="M9057">
        <f>HYPERLINK("https://www.senat.fr/senateur-3eme-republique/queuille_henri0469r3.html", "queuille_henri0469r3")</f>
        <v>0</v>
      </c>
      <c r="N9057">
        <f>HYPERLINK("https://www.wikidata.org/wiki/Q455655", "Q455655")</f>
        <v>0</v>
      </c>
      <c r="O9057" t="s">
        <v>20063</v>
      </c>
    </row>
    <row r="9058" spans="1:15">
      <c r="A9058" t="s">
        <v>54</v>
      </c>
      <c r="B9058" t="s">
        <v>149</v>
      </c>
      <c r="C9058" t="s">
        <v>186</v>
      </c>
      <c r="D9058" t="s">
        <v>315</v>
      </c>
      <c r="E9058" t="s">
        <v>438</v>
      </c>
      <c r="F9058">
        <f>HYPERLINK("https://www.wikidata.org/wiki/Q659214", "Q659214")</f>
        <v>0</v>
      </c>
      <c r="G9058" t="s">
        <v>2160</v>
      </c>
      <c r="H9058" t="s">
        <v>6774</v>
      </c>
      <c r="I9058" t="s">
        <v>9388</v>
      </c>
      <c r="J9058" t="s">
        <v>12824</v>
      </c>
      <c r="K9058" t="s">
        <v>17239</v>
      </c>
      <c r="L9058">
        <f>HYPERLINK("https://www2.assemblee-nationale.fr/sycomore/fiche/(num_dept)/6588", "6588")</f>
        <v>0</v>
      </c>
      <c r="N9058">
        <f>HYPERLINK("https://www.wikidata.org/wiki/Q328235", "Q328235")</f>
        <v>0</v>
      </c>
      <c r="O9058" t="s">
        <v>20208</v>
      </c>
    </row>
    <row r="9059" spans="1:15">
      <c r="A9059" t="s">
        <v>54</v>
      </c>
      <c r="B9059" t="s">
        <v>149</v>
      </c>
      <c r="C9059" t="s">
        <v>186</v>
      </c>
      <c r="D9059" t="s">
        <v>315</v>
      </c>
      <c r="E9059" t="s">
        <v>438</v>
      </c>
      <c r="F9059">
        <f>HYPERLINK("https://www.wikidata.org/wiki/Q659214", "Q659214")</f>
        <v>0</v>
      </c>
      <c r="G9059" t="s">
        <v>1898</v>
      </c>
      <c r="H9059" t="s">
        <v>6548</v>
      </c>
      <c r="I9059" t="s">
        <v>9457</v>
      </c>
      <c r="J9059" t="s">
        <v>12585</v>
      </c>
      <c r="K9059" t="s">
        <v>16997</v>
      </c>
      <c r="L9059">
        <f>HYPERLINK("https://www2.assemblee-nationale.fr/sycomore/fiche/(num_dept)/6960", "6960")</f>
        <v>0</v>
      </c>
      <c r="M9059">
        <f>HYPERLINK("https://www.senat.fr/senateur-3eme-republique/tasso_henri0331r3.html", "tasso_henri0331r3")</f>
        <v>0</v>
      </c>
      <c r="N9059">
        <f>HYPERLINK("https://www.wikidata.org/wiki/Q3132056", "Q3132056")</f>
        <v>0</v>
      </c>
      <c r="O9059" t="s">
        <v>20106</v>
      </c>
    </row>
    <row r="9060" spans="1:15">
      <c r="A9060" t="s">
        <v>54</v>
      </c>
      <c r="B9060" t="s">
        <v>149</v>
      </c>
      <c r="C9060" t="s">
        <v>186</v>
      </c>
      <c r="D9060" t="s">
        <v>315</v>
      </c>
      <c r="E9060" t="s">
        <v>438</v>
      </c>
      <c r="F9060">
        <f>HYPERLINK("https://www.wikidata.org/wiki/Q659214", "Q659214")</f>
        <v>0</v>
      </c>
      <c r="G9060" t="s">
        <v>2175</v>
      </c>
      <c r="H9060" t="s">
        <v>6789</v>
      </c>
      <c r="I9060" t="s">
        <v>6166</v>
      </c>
      <c r="J9060" t="s">
        <v>12339</v>
      </c>
      <c r="K9060" t="s">
        <v>17251</v>
      </c>
      <c r="L9060">
        <f>HYPERLINK("https://www2.assemblee-nationale.fr/sycomore/fiche/(num_dept)/6999", "6999")</f>
        <v>0</v>
      </c>
      <c r="N9060">
        <f>HYPERLINK("https://www.wikidata.org/wiki/Q3086325", "Q3086325")</f>
        <v>0</v>
      </c>
      <c r="O9060" t="s">
        <v>20084</v>
      </c>
    </row>
    <row r="9061" spans="1:15">
      <c r="A9061" t="s">
        <v>54</v>
      </c>
      <c r="B9061" t="s">
        <v>149</v>
      </c>
      <c r="C9061" t="s">
        <v>186</v>
      </c>
      <c r="D9061" t="s">
        <v>315</v>
      </c>
      <c r="E9061" t="s">
        <v>438</v>
      </c>
      <c r="F9061">
        <f>HYPERLINK("https://www.wikidata.org/wiki/Q659214", "Q659214")</f>
        <v>0</v>
      </c>
      <c r="G9061" t="s">
        <v>823</v>
      </c>
      <c r="H9061" t="s">
        <v>5580</v>
      </c>
      <c r="I9061" t="s">
        <v>7642</v>
      </c>
      <c r="J9061" t="s">
        <v>11570</v>
      </c>
      <c r="K9061" t="s">
        <v>15973</v>
      </c>
      <c r="L9061">
        <f>HYPERLINK("https://www2.assemblee-nationale.fr/sycomore/fiche/(num_dept)/7238", "7238")</f>
        <v>0</v>
      </c>
      <c r="M9061">
        <f>HYPERLINK("https://www.senat.fr/senateur-3eme-republique/viollette_maurice0773r3.html", "viollette_maurice0773r3")</f>
        <v>0</v>
      </c>
      <c r="N9061">
        <f>HYPERLINK("https://www.wikidata.org/wiki/Q3301513", "Q3301513")</f>
        <v>0</v>
      </c>
      <c r="O9061" t="s">
        <v>20077</v>
      </c>
    </row>
    <row r="9062" spans="1:15">
      <c r="A9062" t="s">
        <v>54</v>
      </c>
      <c r="B9062" t="s">
        <v>149</v>
      </c>
      <c r="C9062" t="s">
        <v>186</v>
      </c>
      <c r="D9062" t="s">
        <v>315</v>
      </c>
      <c r="E9062" t="s">
        <v>438</v>
      </c>
      <c r="F9062">
        <f>HYPERLINK("https://www.wikidata.org/wiki/Q659214", "Q659214")</f>
        <v>0</v>
      </c>
      <c r="G9062" t="s">
        <v>2400</v>
      </c>
      <c r="H9062" t="s">
        <v>6977</v>
      </c>
      <c r="I9062" t="s">
        <v>6200</v>
      </c>
      <c r="J9062" t="s">
        <v>13050</v>
      </c>
      <c r="K9062" t="s">
        <v>17460</v>
      </c>
      <c r="L9062">
        <f>HYPERLINK("https://www2.assemblee-nationale.fr/sycomore/fiche/(num_dept)/7291", "7291")</f>
        <v>0</v>
      </c>
      <c r="N9062">
        <f>HYPERLINK("https://www.wikidata.org/wiki/Q713487", "Q713487")</f>
        <v>0</v>
      </c>
      <c r="O9062" t="s">
        <v>20085</v>
      </c>
    </row>
    <row r="9063" spans="1:15">
      <c r="A9063" t="s">
        <v>54</v>
      </c>
      <c r="B9063" t="s">
        <v>149</v>
      </c>
      <c r="C9063" t="s">
        <v>186</v>
      </c>
      <c r="D9063" t="s">
        <v>315</v>
      </c>
      <c r="E9063" t="s">
        <v>438</v>
      </c>
      <c r="F9063">
        <f>HYPERLINK("https://www.wikidata.org/wiki/Q659214", "Q659214")</f>
        <v>0</v>
      </c>
      <c r="G9063" t="s">
        <v>1660</v>
      </c>
      <c r="H9063" t="s">
        <v>6343</v>
      </c>
      <c r="I9063" t="s">
        <v>9474</v>
      </c>
      <c r="J9063" t="s">
        <v>12367</v>
      </c>
      <c r="K9063" t="s">
        <v>16774</v>
      </c>
      <c r="L9063">
        <f>HYPERLINK("https://www2.assemblee-nationale.fr/sycomore/fiche/(num_dept)/7636", "7636")</f>
        <v>0</v>
      </c>
      <c r="N9063">
        <f>HYPERLINK("https://www.wikidata.org/wiki/Q830456", "Q830456")</f>
        <v>0</v>
      </c>
      <c r="O9063" t="s">
        <v>20078</v>
      </c>
    </row>
    <row r="9064" spans="1:15">
      <c r="A9064" t="s">
        <v>54</v>
      </c>
      <c r="B9064" t="s">
        <v>149</v>
      </c>
      <c r="C9064" t="s">
        <v>186</v>
      </c>
      <c r="D9064" t="s">
        <v>315</v>
      </c>
      <c r="E9064" t="s">
        <v>438</v>
      </c>
      <c r="F9064">
        <f>HYPERLINK("https://www.wikidata.org/wiki/Q659214", "Q659214")</f>
        <v>0</v>
      </c>
      <c r="G9064" t="s">
        <v>2407</v>
      </c>
      <c r="H9064" t="s">
        <v>6983</v>
      </c>
      <c r="I9064" t="s">
        <v>6585</v>
      </c>
      <c r="J9064" t="s">
        <v>13057</v>
      </c>
      <c r="K9064" t="s">
        <v>17467</v>
      </c>
      <c r="L9064">
        <f>HYPERLINK("https://www2.assemblee-nationale.fr/sycomore/fiche/(num_dept)/7846", "7846")</f>
        <v>0</v>
      </c>
      <c r="N9064">
        <f>HYPERLINK("https://www.wikidata.org/wiki/Q2848169", "Q2848169")</f>
        <v>0</v>
      </c>
      <c r="O9064" t="s">
        <v>20087</v>
      </c>
    </row>
    <row r="9065" spans="1:15">
      <c r="A9065" t="s">
        <v>54</v>
      </c>
      <c r="B9065" t="s">
        <v>149</v>
      </c>
      <c r="C9065" t="s">
        <v>186</v>
      </c>
      <c r="D9065" t="s">
        <v>315</v>
      </c>
      <c r="E9065" t="s">
        <v>438</v>
      </c>
      <c r="F9065">
        <f>HYPERLINK("https://www.wikidata.org/wiki/Q659214", "Q659214")</f>
        <v>0</v>
      </c>
      <c r="G9065" t="s">
        <v>2195</v>
      </c>
      <c r="H9065" t="s">
        <v>6806</v>
      </c>
      <c r="I9065" t="s">
        <v>6584</v>
      </c>
      <c r="J9065" t="s">
        <v>12858</v>
      </c>
      <c r="K9065" t="s">
        <v>16325</v>
      </c>
      <c r="L9065">
        <f>HYPERLINK("https://www2.assemblee-nationale.fr/sycomore/fiche/(num_dept)/19493", "19493")</f>
        <v>0</v>
      </c>
      <c r="N9065">
        <f>HYPERLINK("https://www.wikidata.org/wiki/Q2831506", "Q2831506")</f>
        <v>0</v>
      </c>
      <c r="O9065" t="s">
        <v>20088</v>
      </c>
    </row>
    <row r="9066" spans="1:15">
      <c r="A9066" t="s">
        <v>54</v>
      </c>
      <c r="B9066" t="s">
        <v>149</v>
      </c>
      <c r="C9066" t="s">
        <v>186</v>
      </c>
      <c r="D9066" t="s">
        <v>315</v>
      </c>
      <c r="E9066" t="s">
        <v>438</v>
      </c>
      <c r="F9066">
        <f>HYPERLINK("https://www.wikidata.org/wiki/Q659214", "Q659214")</f>
        <v>0</v>
      </c>
      <c r="G9066" t="s">
        <v>1724</v>
      </c>
      <c r="H9066" t="s">
        <v>6360</v>
      </c>
      <c r="I9066" t="s">
        <v>6175</v>
      </c>
      <c r="J9066" t="s">
        <v>12425</v>
      </c>
      <c r="K9066" t="s">
        <v>16833</v>
      </c>
      <c r="N9066">
        <f>HYPERLINK("https://www.wikidata.org/wiki/Q3102323", "Q3102323")</f>
        <v>0</v>
      </c>
      <c r="O9066" t="s">
        <v>20066</v>
      </c>
    </row>
    <row r="9067" spans="1:15">
      <c r="A9067" t="s">
        <v>54</v>
      </c>
      <c r="B9067" t="s">
        <v>149</v>
      </c>
      <c r="C9067" t="s">
        <v>186</v>
      </c>
      <c r="D9067" t="s">
        <v>315</v>
      </c>
      <c r="E9067" t="s">
        <v>438</v>
      </c>
      <c r="F9067">
        <f>HYPERLINK("https://www.wikidata.org/wiki/Q659214", "Q659214")</f>
        <v>0</v>
      </c>
      <c r="G9067" t="s">
        <v>4242</v>
      </c>
      <c r="H9067" t="s">
        <v>8416</v>
      </c>
      <c r="I9067" t="s">
        <v>9446</v>
      </c>
      <c r="J9067" t="s">
        <v>14748</v>
      </c>
      <c r="K9067" t="s">
        <v>19094</v>
      </c>
      <c r="M9067">
        <f>HYPERLINK("https://www.senat.fr/senateur-3eme-republique/chapsal_fernand0417r3.html", "chapsal_fernand0417r3")</f>
        <v>0</v>
      </c>
      <c r="N9067">
        <f>HYPERLINK("https://www.wikidata.org/wiki/Q3069075", "Q3069075")</f>
        <v>0</v>
      </c>
      <c r="O9067" t="s">
        <v>20069</v>
      </c>
    </row>
    <row r="9068" spans="1:15">
      <c r="A9068" t="s">
        <v>55</v>
      </c>
      <c r="B9068" t="s">
        <v>149</v>
      </c>
      <c r="C9068" t="s">
        <v>187</v>
      </c>
      <c r="D9068" t="s">
        <v>316</v>
      </c>
      <c r="E9068" t="s">
        <v>439</v>
      </c>
      <c r="F9068">
        <f>HYPERLINK("https://www.wikidata.org/wiki/Q3111949", "Q3111949")</f>
        <v>0</v>
      </c>
      <c r="G9068" t="s">
        <v>1985</v>
      </c>
      <c r="H9068" t="s">
        <v>6623</v>
      </c>
      <c r="I9068" t="s">
        <v>9500</v>
      </c>
      <c r="J9068" t="s">
        <v>12520</v>
      </c>
      <c r="K9068" t="s">
        <v>17076</v>
      </c>
      <c r="L9068">
        <f>HYPERLINK("https://www2.assemblee-nationale.fr/sycomore/fiche/(num_dept)/228", "228")</f>
        <v>0</v>
      </c>
      <c r="N9068">
        <f>HYPERLINK("https://www.wikidata.org/wiki/Q3419119", "Q3419119")</f>
        <v>0</v>
      </c>
      <c r="O9068" t="s">
        <v>20068</v>
      </c>
    </row>
    <row r="9069" spans="1:15">
      <c r="A9069" t="s">
        <v>55</v>
      </c>
      <c r="B9069" t="s">
        <v>149</v>
      </c>
      <c r="C9069" t="s">
        <v>187</v>
      </c>
      <c r="D9069" t="s">
        <v>316</v>
      </c>
      <c r="E9069" t="s">
        <v>439</v>
      </c>
      <c r="F9069">
        <f>HYPERLINK("https://www.wikidata.org/wiki/Q3111949", "Q3111949")</f>
        <v>0</v>
      </c>
      <c r="G9069" t="s">
        <v>1224</v>
      </c>
      <c r="H9069" t="s">
        <v>5630</v>
      </c>
      <c r="I9069" t="s">
        <v>9712</v>
      </c>
      <c r="J9069" t="s">
        <v>11956</v>
      </c>
      <c r="K9069" t="s">
        <v>16358</v>
      </c>
      <c r="L9069">
        <f>HYPERLINK("https://www2.assemblee-nationale.fr/sycomore/fiche/(num_dept)/748", "748")</f>
        <v>0</v>
      </c>
      <c r="M9069">
        <f>HYPERLINK("https://www.senat.fr/senateur-3eme-republique/bertrand_williams0414r3.html", "bertrand_williams0414r3")</f>
        <v>0</v>
      </c>
      <c r="N9069">
        <f>HYPERLINK("https://www.wikidata.org/wiki/Q3568432", "Q3568432")</f>
        <v>0</v>
      </c>
      <c r="O9069" t="s">
        <v>20097</v>
      </c>
    </row>
    <row r="9070" spans="1:15">
      <c r="A9070" t="s">
        <v>55</v>
      </c>
      <c r="B9070" t="s">
        <v>149</v>
      </c>
      <c r="C9070" t="s">
        <v>187</v>
      </c>
      <c r="D9070" t="s">
        <v>316</v>
      </c>
      <c r="E9070" t="s">
        <v>439</v>
      </c>
      <c r="F9070">
        <f>HYPERLINK("https://www.wikidata.org/wiki/Q3111949", "Q3111949")</f>
        <v>0</v>
      </c>
      <c r="G9070" t="s">
        <v>1718</v>
      </c>
      <c r="H9070" t="s">
        <v>6393</v>
      </c>
      <c r="I9070" t="s">
        <v>9908</v>
      </c>
      <c r="J9070" t="s">
        <v>12419</v>
      </c>
      <c r="K9070" t="s">
        <v>16827</v>
      </c>
      <c r="L9070">
        <f>HYPERLINK("https://www2.assemblee-nationale.fr/sycomore/fiche/(num_dept)/782", "782")</f>
        <v>0</v>
      </c>
      <c r="N9070">
        <f>HYPERLINK("https://www.wikidata.org/wiki/Q3302423", "Q3302423")</f>
        <v>0</v>
      </c>
      <c r="O9070" t="s">
        <v>20102</v>
      </c>
    </row>
    <row r="9071" spans="1:15">
      <c r="A9071" t="s">
        <v>55</v>
      </c>
      <c r="B9071" t="s">
        <v>149</v>
      </c>
      <c r="C9071" t="s">
        <v>187</v>
      </c>
      <c r="D9071" t="s">
        <v>316</v>
      </c>
      <c r="E9071" t="s">
        <v>439</v>
      </c>
      <c r="F9071">
        <f>HYPERLINK("https://www.wikidata.org/wiki/Q3111949", "Q3111949")</f>
        <v>0</v>
      </c>
      <c r="G9071" t="s">
        <v>2241</v>
      </c>
      <c r="H9071" t="s">
        <v>6847</v>
      </c>
      <c r="I9071" t="s">
        <v>10131</v>
      </c>
      <c r="J9071" t="s">
        <v>12902</v>
      </c>
      <c r="K9071" t="s">
        <v>17312</v>
      </c>
      <c r="L9071">
        <f>HYPERLINK("https://www2.assemblee-nationale.fr/sycomore/fiche/(num_dept)/1406", "1406")</f>
        <v>0</v>
      </c>
      <c r="N9071">
        <f>HYPERLINK("https://www.wikidata.org/wiki/Q3010436", "Q3010436")</f>
        <v>0</v>
      </c>
      <c r="O9071" t="s">
        <v>20064</v>
      </c>
    </row>
    <row r="9072" spans="1:15">
      <c r="A9072" t="s">
        <v>55</v>
      </c>
      <c r="B9072" t="s">
        <v>149</v>
      </c>
      <c r="C9072" t="s">
        <v>187</v>
      </c>
      <c r="D9072" t="s">
        <v>316</v>
      </c>
      <c r="E9072" t="s">
        <v>439</v>
      </c>
      <c r="F9072">
        <f>HYPERLINK("https://www.wikidata.org/wiki/Q3111949", "Q3111949")</f>
        <v>0</v>
      </c>
      <c r="G9072" t="s">
        <v>1410</v>
      </c>
      <c r="H9072" t="s">
        <v>5337</v>
      </c>
      <c r="I9072" t="s">
        <v>9506</v>
      </c>
      <c r="J9072" t="s">
        <v>12135</v>
      </c>
      <c r="K9072" t="s">
        <v>16537</v>
      </c>
      <c r="L9072">
        <f>HYPERLINK("https://www2.assemblee-nationale.fr/sycomore/fiche/(num_dept)/1726", "1726")</f>
        <v>0</v>
      </c>
      <c r="M9072">
        <f>HYPERLINK("https://www.senat.fr/senateur-3eme-republique/chautemps_camille0380r3.html", "chautemps_camille0380r3")</f>
        <v>0</v>
      </c>
      <c r="N9072">
        <f>HYPERLINK("https://www.wikidata.org/wiki/Q263884", "Q263884")</f>
        <v>0</v>
      </c>
      <c r="O9072" t="s">
        <v>20052</v>
      </c>
    </row>
    <row r="9073" spans="1:15">
      <c r="A9073" t="s">
        <v>55</v>
      </c>
      <c r="B9073" t="s">
        <v>149</v>
      </c>
      <c r="C9073" t="s">
        <v>187</v>
      </c>
      <c r="D9073" t="s">
        <v>316</v>
      </c>
      <c r="E9073" t="s">
        <v>439</v>
      </c>
      <c r="F9073">
        <f>HYPERLINK("https://www.wikidata.org/wiki/Q3111949", "Q3111949")</f>
        <v>0</v>
      </c>
      <c r="G9073" t="s">
        <v>1946</v>
      </c>
      <c r="H9073" t="s">
        <v>6590</v>
      </c>
      <c r="I9073" t="s">
        <v>6860</v>
      </c>
      <c r="J9073" t="s">
        <v>12630</v>
      </c>
      <c r="K9073" t="s">
        <v>17040</v>
      </c>
      <c r="L9073">
        <f>HYPERLINK("https://www2.assemblee-nationale.fr/sycomore/fiche/(num_dept)/1997", "1997")</f>
        <v>0</v>
      </c>
      <c r="N9073">
        <f>HYPERLINK("https://www.wikidata.org/wiki/Q2274693", "Q2274693")</f>
        <v>0</v>
      </c>
      <c r="O9073" t="s">
        <v>20069</v>
      </c>
    </row>
    <row r="9074" spans="1:15">
      <c r="A9074" t="s">
        <v>55</v>
      </c>
      <c r="B9074" t="s">
        <v>149</v>
      </c>
      <c r="C9074" t="s">
        <v>187</v>
      </c>
      <c r="D9074" t="s">
        <v>316</v>
      </c>
      <c r="E9074" t="s">
        <v>439</v>
      </c>
      <c r="F9074">
        <f>HYPERLINK("https://www.wikidata.org/wiki/Q3111949", "Q3111949")</f>
        <v>0</v>
      </c>
      <c r="G9074" t="s">
        <v>2296</v>
      </c>
      <c r="H9074" t="s">
        <v>6891</v>
      </c>
      <c r="I9074" t="s">
        <v>5528</v>
      </c>
      <c r="J9074" t="s">
        <v>12953</v>
      </c>
      <c r="K9074" t="s">
        <v>17360</v>
      </c>
      <c r="L9074">
        <f>HYPERLINK("https://www2.assemblee-nationale.fr/sycomore/fiche/(num_dept)/2030", "2030")</f>
        <v>0</v>
      </c>
      <c r="N9074">
        <f>HYPERLINK("https://www.wikidata.org/wiki/Q3270844", "Q3270844")</f>
        <v>0</v>
      </c>
      <c r="O9074" t="s">
        <v>20209</v>
      </c>
    </row>
    <row r="9075" spans="1:15">
      <c r="A9075" t="s">
        <v>55</v>
      </c>
      <c r="B9075" t="s">
        <v>149</v>
      </c>
      <c r="C9075" t="s">
        <v>187</v>
      </c>
      <c r="D9075" t="s">
        <v>316</v>
      </c>
      <c r="E9075" t="s">
        <v>439</v>
      </c>
      <c r="F9075">
        <f>HYPERLINK("https://www.wikidata.org/wiki/Q3111949", "Q3111949")</f>
        <v>0</v>
      </c>
      <c r="G9075" t="s">
        <v>1423</v>
      </c>
      <c r="H9075" t="s">
        <v>6128</v>
      </c>
      <c r="I9075" t="s">
        <v>9728</v>
      </c>
      <c r="J9075" t="s">
        <v>12147</v>
      </c>
      <c r="K9075" t="s">
        <v>16549</v>
      </c>
      <c r="L9075">
        <f>HYPERLINK("https://www2.assemblee-nationale.fr/sycomore/fiche/(num_dept)/2105", "2105")</f>
        <v>0</v>
      </c>
      <c r="N9075">
        <f>HYPERLINK("https://www.wikidata.org/wiki/Q213526", "Q213526")</f>
        <v>0</v>
      </c>
      <c r="O9075" t="s">
        <v>20073</v>
      </c>
    </row>
    <row r="9076" spans="1:15">
      <c r="A9076" t="s">
        <v>55</v>
      </c>
      <c r="B9076" t="s">
        <v>149</v>
      </c>
      <c r="C9076" t="s">
        <v>187</v>
      </c>
      <c r="D9076" t="s">
        <v>316</v>
      </c>
      <c r="E9076" t="s">
        <v>439</v>
      </c>
      <c r="F9076">
        <f>HYPERLINK("https://www.wikidata.org/wiki/Q3111949", "Q3111949")</f>
        <v>0</v>
      </c>
      <c r="G9076" t="s">
        <v>1423</v>
      </c>
      <c r="H9076" t="s">
        <v>6128</v>
      </c>
      <c r="I9076" t="s">
        <v>9728</v>
      </c>
      <c r="J9076" t="s">
        <v>12147</v>
      </c>
      <c r="K9076" t="s">
        <v>16549</v>
      </c>
      <c r="L9076">
        <f>HYPERLINK("https://www2.assemblee-nationale.fr/sycomore/fiche/(num_dept)/2105", "2105")</f>
        <v>0</v>
      </c>
      <c r="N9076">
        <f>HYPERLINK("https://www.wikidata.org/wiki/Q213526", "Q213526")</f>
        <v>0</v>
      </c>
      <c r="O9076" t="s">
        <v>20074</v>
      </c>
    </row>
    <row r="9077" spans="1:15">
      <c r="A9077" t="s">
        <v>55</v>
      </c>
      <c r="B9077" t="s">
        <v>149</v>
      </c>
      <c r="C9077" t="s">
        <v>187</v>
      </c>
      <c r="D9077" t="s">
        <v>316</v>
      </c>
      <c r="E9077" t="s">
        <v>439</v>
      </c>
      <c r="F9077">
        <f>HYPERLINK("https://www.wikidata.org/wiki/Q3111949", "Q3111949")</f>
        <v>0</v>
      </c>
      <c r="G9077" t="s">
        <v>1778</v>
      </c>
      <c r="H9077" t="s">
        <v>6446</v>
      </c>
      <c r="I9077" t="s">
        <v>9946</v>
      </c>
      <c r="J9077" t="s">
        <v>12475</v>
      </c>
      <c r="K9077" t="s">
        <v>16884</v>
      </c>
      <c r="L9077">
        <f>HYPERLINK("https://www2.assemblee-nationale.fr/sycomore/fiche/(num_dept)/2282", "2282")</f>
        <v>0</v>
      </c>
      <c r="N9077">
        <f>HYPERLINK("https://www.wikidata.org/wiki/Q362673", "Q362673")</f>
        <v>0</v>
      </c>
      <c r="O9077" t="s">
        <v>20062</v>
      </c>
    </row>
    <row r="9078" spans="1:15">
      <c r="A9078" t="s">
        <v>55</v>
      </c>
      <c r="B9078" t="s">
        <v>149</v>
      </c>
      <c r="C9078" t="s">
        <v>187</v>
      </c>
      <c r="D9078" t="s">
        <v>316</v>
      </c>
      <c r="E9078" t="s">
        <v>439</v>
      </c>
      <c r="F9078">
        <f>HYPERLINK("https://www.wikidata.org/wiki/Q3111949", "Q3111949")</f>
        <v>0</v>
      </c>
      <c r="G9078" t="s">
        <v>2302</v>
      </c>
      <c r="H9078" t="s">
        <v>5895</v>
      </c>
      <c r="I9078" t="s">
        <v>7642</v>
      </c>
      <c r="J9078" t="s">
        <v>12959</v>
      </c>
      <c r="K9078" t="s">
        <v>17366</v>
      </c>
      <c r="L9078">
        <f>HYPERLINK("https://www2.assemblee-nationale.fr/sycomore/fiche/(num_dept)/2324", "2324")</f>
        <v>0</v>
      </c>
      <c r="N9078">
        <f>HYPERLINK("https://www.wikidata.org/wiki/Q3300664", "Q3300664")</f>
        <v>0</v>
      </c>
      <c r="O9078" t="s">
        <v>20095</v>
      </c>
    </row>
    <row r="9079" spans="1:15">
      <c r="A9079" t="s">
        <v>55</v>
      </c>
      <c r="B9079" t="s">
        <v>149</v>
      </c>
      <c r="C9079" t="s">
        <v>187</v>
      </c>
      <c r="D9079" t="s">
        <v>316</v>
      </c>
      <c r="E9079" t="s">
        <v>439</v>
      </c>
      <c r="F9079">
        <f>HYPERLINK("https://www.wikidata.org/wiki/Q3111949", "Q3111949")</f>
        <v>0</v>
      </c>
      <c r="G9079" t="s">
        <v>2418</v>
      </c>
      <c r="H9079" t="s">
        <v>6993</v>
      </c>
      <c r="I9079" t="s">
        <v>9388</v>
      </c>
      <c r="J9079" t="s">
        <v>13068</v>
      </c>
      <c r="K9079" t="s">
        <v>17477</v>
      </c>
      <c r="L9079">
        <f>HYPERLINK("https://www2.assemblee-nationale.fr/sycomore/fiche/(num_dept)/2816", "2816")</f>
        <v>0</v>
      </c>
      <c r="N9079">
        <f>HYPERLINK("https://www.wikidata.org/wiki/Q3371159", "Q3371159")</f>
        <v>0</v>
      </c>
      <c r="O9079" t="s">
        <v>20108</v>
      </c>
    </row>
    <row r="9080" spans="1:15">
      <c r="A9080" t="s">
        <v>55</v>
      </c>
      <c r="B9080" t="s">
        <v>149</v>
      </c>
      <c r="C9080" t="s">
        <v>187</v>
      </c>
      <c r="D9080" t="s">
        <v>316</v>
      </c>
      <c r="E9080" t="s">
        <v>439</v>
      </c>
      <c r="F9080">
        <f>HYPERLINK("https://www.wikidata.org/wiki/Q3111949", "Q3111949")</f>
        <v>0</v>
      </c>
      <c r="G9080" t="s">
        <v>1955</v>
      </c>
      <c r="H9080" t="s">
        <v>6597</v>
      </c>
      <c r="I9080" t="s">
        <v>10016</v>
      </c>
      <c r="J9080" t="s">
        <v>12638</v>
      </c>
      <c r="K9080" t="s">
        <v>17048</v>
      </c>
      <c r="L9080">
        <f>HYPERLINK("https://www2.assemblee-nationale.fr/sycomore/fiche/(num_dept)/3166", "3166")</f>
        <v>0</v>
      </c>
      <c r="N9080">
        <f>HYPERLINK("https://www.wikidata.org/wiki/Q1109027", "Q1109027")</f>
        <v>0</v>
      </c>
      <c r="O9080" t="s">
        <v>20071</v>
      </c>
    </row>
    <row r="9081" spans="1:15">
      <c r="A9081" t="s">
        <v>55</v>
      </c>
      <c r="B9081" t="s">
        <v>149</v>
      </c>
      <c r="C9081" t="s">
        <v>187</v>
      </c>
      <c r="D9081" t="s">
        <v>316</v>
      </c>
      <c r="E9081" t="s">
        <v>439</v>
      </c>
      <c r="F9081">
        <f>HYPERLINK("https://www.wikidata.org/wiki/Q3111949", "Q3111949")</f>
        <v>0</v>
      </c>
      <c r="G9081" t="s">
        <v>2326</v>
      </c>
      <c r="H9081" t="s">
        <v>6916</v>
      </c>
      <c r="I9081" t="s">
        <v>9446</v>
      </c>
      <c r="J9081" t="s">
        <v>12842</v>
      </c>
      <c r="K9081" t="s">
        <v>17390</v>
      </c>
      <c r="L9081">
        <f>HYPERLINK("https://www2.assemblee-nationale.fr/sycomore/fiche/(num_dept)/3346", "3346")</f>
        <v>0</v>
      </c>
      <c r="N9081">
        <f>HYPERLINK("https://www.wikidata.org/wiki/Q3069167", "Q3069167")</f>
        <v>0</v>
      </c>
      <c r="O9081" t="s">
        <v>20078</v>
      </c>
    </row>
    <row r="9082" spans="1:15">
      <c r="A9082" t="s">
        <v>55</v>
      </c>
      <c r="B9082" t="s">
        <v>149</v>
      </c>
      <c r="C9082" t="s">
        <v>187</v>
      </c>
      <c r="D9082" t="s">
        <v>316</v>
      </c>
      <c r="E9082" t="s">
        <v>439</v>
      </c>
      <c r="F9082">
        <f>HYPERLINK("https://www.wikidata.org/wiki/Q3111949", "Q3111949")</f>
        <v>0</v>
      </c>
      <c r="G9082" t="s">
        <v>2093</v>
      </c>
      <c r="H9082" t="s">
        <v>6717</v>
      </c>
      <c r="I9082" t="s">
        <v>10079</v>
      </c>
      <c r="J9082" t="s">
        <v>12762</v>
      </c>
      <c r="K9082" t="s">
        <v>17175</v>
      </c>
      <c r="L9082">
        <f>HYPERLINK("https://www2.assemblee-nationale.fr/sycomore/fiche/(num_dept)/3919", "3919")</f>
        <v>0</v>
      </c>
      <c r="N9082">
        <f>HYPERLINK("https://www.wikidata.org/wiki/Q3302161", "Q3302161")</f>
        <v>0</v>
      </c>
      <c r="O9082" t="s">
        <v>20054</v>
      </c>
    </row>
    <row r="9083" spans="1:15">
      <c r="A9083" t="s">
        <v>55</v>
      </c>
      <c r="B9083" t="s">
        <v>149</v>
      </c>
      <c r="C9083" t="s">
        <v>187</v>
      </c>
      <c r="D9083" t="s">
        <v>316</v>
      </c>
      <c r="E9083" t="s">
        <v>439</v>
      </c>
      <c r="F9083">
        <f>HYPERLINK("https://www.wikidata.org/wiki/Q3111949", "Q3111949")</f>
        <v>0</v>
      </c>
      <c r="G9083" t="s">
        <v>2095</v>
      </c>
      <c r="H9083" t="s">
        <v>6719</v>
      </c>
      <c r="I9083" t="s">
        <v>10080</v>
      </c>
      <c r="J9083" t="s">
        <v>12764</v>
      </c>
      <c r="K9083" t="s">
        <v>17177</v>
      </c>
      <c r="L9083">
        <f>HYPERLINK("https://www2.assemblee-nationale.fr/sycomore/fiche/(num_dept)/4009", "4009")</f>
        <v>0</v>
      </c>
      <c r="N9083">
        <f>HYPERLINK("https://www.wikidata.org/wiki/Q3163678", "Q3163678")</f>
        <v>0</v>
      </c>
      <c r="O9083" t="s">
        <v>20208</v>
      </c>
    </row>
    <row r="9084" spans="1:15">
      <c r="A9084" t="s">
        <v>55</v>
      </c>
      <c r="B9084" t="s">
        <v>149</v>
      </c>
      <c r="C9084" t="s">
        <v>187</v>
      </c>
      <c r="D9084" t="s">
        <v>316</v>
      </c>
      <c r="E9084" t="s">
        <v>439</v>
      </c>
      <c r="F9084">
        <f>HYPERLINK("https://www.wikidata.org/wiki/Q3111949", "Q3111949")</f>
        <v>0</v>
      </c>
      <c r="G9084" t="s">
        <v>2232</v>
      </c>
      <c r="H9084" t="s">
        <v>6841</v>
      </c>
      <c r="I9084" t="s">
        <v>9458</v>
      </c>
      <c r="J9084" t="s">
        <v>12893</v>
      </c>
      <c r="K9084" t="s">
        <v>17304</v>
      </c>
      <c r="L9084">
        <f>HYPERLINK("https://www2.assemblee-nationale.fr/sycomore/fiche/(num_dept)/4092", "4092")</f>
        <v>0</v>
      </c>
      <c r="N9084">
        <f>HYPERLINK("https://www.wikidata.org/wiki/Q2835216", "Q2835216")</f>
        <v>0</v>
      </c>
      <c r="O9084" t="s">
        <v>20079</v>
      </c>
    </row>
    <row r="9085" spans="1:15">
      <c r="A9085" t="s">
        <v>55</v>
      </c>
      <c r="B9085" t="s">
        <v>149</v>
      </c>
      <c r="C9085" t="s">
        <v>187</v>
      </c>
      <c r="D9085" t="s">
        <v>316</v>
      </c>
      <c r="E9085" t="s">
        <v>439</v>
      </c>
      <c r="F9085">
        <f>HYPERLINK("https://www.wikidata.org/wiki/Q3111949", "Q3111949")</f>
        <v>0</v>
      </c>
      <c r="G9085" t="s">
        <v>1960</v>
      </c>
      <c r="H9085" t="s">
        <v>6601</v>
      </c>
      <c r="I9085" t="s">
        <v>6713</v>
      </c>
      <c r="J9085" t="s">
        <v>12643</v>
      </c>
      <c r="K9085" t="s">
        <v>17053</v>
      </c>
      <c r="L9085">
        <f>HYPERLINK("https://www2.assemblee-nationale.fr/sycomore/fiche/(num_dept)/4175", "4175")</f>
        <v>0</v>
      </c>
      <c r="N9085">
        <f>HYPERLINK("https://www.wikidata.org/wiki/Q3121895", "Q3121895")</f>
        <v>0</v>
      </c>
      <c r="O9085" t="s">
        <v>20072</v>
      </c>
    </row>
    <row r="9086" spans="1:15">
      <c r="A9086" t="s">
        <v>55</v>
      </c>
      <c r="B9086" t="s">
        <v>149</v>
      </c>
      <c r="C9086" t="s">
        <v>187</v>
      </c>
      <c r="D9086" t="s">
        <v>316</v>
      </c>
      <c r="E9086" t="s">
        <v>439</v>
      </c>
      <c r="F9086">
        <f>HYPERLINK("https://www.wikidata.org/wiki/Q3111949", "Q3111949")</f>
        <v>0</v>
      </c>
      <c r="G9086" t="s">
        <v>2097</v>
      </c>
      <c r="H9086" t="s">
        <v>6721</v>
      </c>
      <c r="I9086" t="s">
        <v>7911</v>
      </c>
      <c r="J9086" t="s">
        <v>12766</v>
      </c>
      <c r="K9086" t="s">
        <v>17179</v>
      </c>
      <c r="L9086">
        <f>HYPERLINK("https://www2.assemblee-nationale.fr/sycomore/fiche/(num_dept)/4247", "4247")</f>
        <v>0</v>
      </c>
      <c r="N9086">
        <f>HYPERLINK("https://www.wikidata.org/wiki/Q3093813", "Q3093813")</f>
        <v>0</v>
      </c>
      <c r="O9086" t="s">
        <v>20105</v>
      </c>
    </row>
    <row r="9087" spans="1:15">
      <c r="A9087" t="s">
        <v>55</v>
      </c>
      <c r="B9087" t="s">
        <v>149</v>
      </c>
      <c r="C9087" t="s">
        <v>187</v>
      </c>
      <c r="D9087" t="s">
        <v>316</v>
      </c>
      <c r="E9087" t="s">
        <v>439</v>
      </c>
      <c r="F9087">
        <f>HYPERLINK("https://www.wikidata.org/wiki/Q3111949", "Q3111949")</f>
        <v>0</v>
      </c>
      <c r="G9087" t="s">
        <v>1832</v>
      </c>
      <c r="H9087" t="s">
        <v>6494</v>
      </c>
      <c r="I9087" t="s">
        <v>6759</v>
      </c>
      <c r="J9087" t="s">
        <v>12526</v>
      </c>
      <c r="K9087" t="s">
        <v>16936</v>
      </c>
      <c r="L9087">
        <f>HYPERLINK("https://www2.assemblee-nationale.fr/sycomore/fiche/(num_dept)/4380", "4380")</f>
        <v>0</v>
      </c>
      <c r="N9087">
        <f>HYPERLINK("https://www.wikidata.org/wiki/Q3435667", "Q3435667")</f>
        <v>0</v>
      </c>
      <c r="O9087" t="s">
        <v>20088</v>
      </c>
    </row>
    <row r="9088" spans="1:15">
      <c r="A9088" t="s">
        <v>55</v>
      </c>
      <c r="B9088" t="s">
        <v>149</v>
      </c>
      <c r="C9088" t="s">
        <v>187</v>
      </c>
      <c r="D9088" t="s">
        <v>316</v>
      </c>
      <c r="E9088" t="s">
        <v>439</v>
      </c>
      <c r="F9088">
        <f>HYPERLINK("https://www.wikidata.org/wiki/Q3111949", "Q3111949")</f>
        <v>0</v>
      </c>
      <c r="G9088" t="s">
        <v>1925</v>
      </c>
      <c r="H9088" t="s">
        <v>6572</v>
      </c>
      <c r="I9088" t="s">
        <v>9388</v>
      </c>
      <c r="J9088" t="s">
        <v>12610</v>
      </c>
      <c r="K9088" t="s">
        <v>17021</v>
      </c>
      <c r="L9088">
        <f>HYPERLINK("https://www2.assemblee-nationale.fr/sycomore/fiche/(num_dept)/4976", "4976")</f>
        <v>0</v>
      </c>
      <c r="N9088">
        <f>HYPERLINK("https://www.wikidata.org/wiki/Q3371769", "Q3371769")</f>
        <v>0</v>
      </c>
      <c r="O9088" t="s">
        <v>20066</v>
      </c>
    </row>
    <row r="9089" spans="1:15">
      <c r="A9089" t="s">
        <v>55</v>
      </c>
      <c r="B9089" t="s">
        <v>149</v>
      </c>
      <c r="C9089" t="s">
        <v>187</v>
      </c>
      <c r="D9089" t="s">
        <v>316</v>
      </c>
      <c r="E9089" t="s">
        <v>439</v>
      </c>
      <c r="F9089">
        <f>HYPERLINK("https://www.wikidata.org/wiki/Q3111949", "Q3111949")</f>
        <v>0</v>
      </c>
      <c r="G9089" t="s">
        <v>2361</v>
      </c>
      <c r="H9089" t="s">
        <v>6945</v>
      </c>
      <c r="I9089" t="s">
        <v>9470</v>
      </c>
      <c r="J9089" t="s">
        <v>13013</v>
      </c>
      <c r="K9089" t="s">
        <v>17423</v>
      </c>
      <c r="L9089">
        <f>HYPERLINK("https://www2.assemblee-nationale.fr/sycomore/fiche/(num_dept)/5348", "5348")</f>
        <v>0</v>
      </c>
      <c r="N9089">
        <f>HYPERLINK("https://www.wikidata.org/wiki/Q443841", "Q443841")</f>
        <v>0</v>
      </c>
      <c r="O9089" t="s">
        <v>20192</v>
      </c>
    </row>
    <row r="9090" spans="1:15">
      <c r="A9090" t="s">
        <v>55</v>
      </c>
      <c r="B9090" t="s">
        <v>149</v>
      </c>
      <c r="C9090" t="s">
        <v>187</v>
      </c>
      <c r="D9090" t="s">
        <v>316</v>
      </c>
      <c r="E9090" t="s">
        <v>439</v>
      </c>
      <c r="F9090">
        <f>HYPERLINK("https://www.wikidata.org/wiki/Q3111949", "Q3111949")</f>
        <v>0</v>
      </c>
      <c r="G9090" t="s">
        <v>2149</v>
      </c>
      <c r="H9090" t="s">
        <v>6763</v>
      </c>
      <c r="I9090" t="s">
        <v>9499</v>
      </c>
      <c r="J9090" t="s">
        <v>12813</v>
      </c>
      <c r="K9090" t="s">
        <v>17228</v>
      </c>
      <c r="L9090">
        <f>HYPERLINK("https://www2.assemblee-nationale.fr/sycomore/fiche/(num_dept)/6184", "6184")</f>
        <v>0</v>
      </c>
      <c r="N9090">
        <f>HYPERLINK("https://www.wikidata.org/wiki/Q950845", "Q950845")</f>
        <v>0</v>
      </c>
      <c r="O9090" t="s">
        <v>20089</v>
      </c>
    </row>
    <row r="9091" spans="1:15">
      <c r="A9091" t="s">
        <v>55</v>
      </c>
      <c r="B9091" t="s">
        <v>149</v>
      </c>
      <c r="C9091" t="s">
        <v>187</v>
      </c>
      <c r="D9091" t="s">
        <v>316</v>
      </c>
      <c r="E9091" t="s">
        <v>439</v>
      </c>
      <c r="F9091">
        <f>HYPERLINK("https://www.wikidata.org/wiki/Q3111949", "Q3111949")</f>
        <v>0</v>
      </c>
      <c r="G9091" t="s">
        <v>778</v>
      </c>
      <c r="H9091" t="s">
        <v>5536</v>
      </c>
      <c r="I9091" t="s">
        <v>6584</v>
      </c>
      <c r="J9091" t="s">
        <v>11525</v>
      </c>
      <c r="K9091" t="s">
        <v>15929</v>
      </c>
      <c r="L9091">
        <f>HYPERLINK("https://www2.assemblee-nationale.fr/sycomore/fiche/(num_dept)/6293", "6293")</f>
        <v>0</v>
      </c>
      <c r="M9091">
        <f>HYPERLINK("https://www.senat.fr/senateur-3eme-republique/sarraut_albert0265r3.html", "sarraut_albert0265r3")</f>
        <v>0</v>
      </c>
      <c r="N9091">
        <f>HYPERLINK("https://www.wikidata.org/wiki/Q460318", "Q460318")</f>
        <v>0</v>
      </c>
      <c r="O9091" t="s">
        <v>20058</v>
      </c>
    </row>
    <row r="9092" spans="1:15">
      <c r="A9092" t="s">
        <v>55</v>
      </c>
      <c r="B9092" t="s">
        <v>149</v>
      </c>
      <c r="C9092" t="s">
        <v>187</v>
      </c>
      <c r="D9092" t="s">
        <v>316</v>
      </c>
      <c r="E9092" t="s">
        <v>439</v>
      </c>
      <c r="F9092">
        <f>HYPERLINK("https://www.wikidata.org/wiki/Q3111949", "Q3111949")</f>
        <v>0</v>
      </c>
      <c r="G9092" t="s">
        <v>2411</v>
      </c>
      <c r="H9092" t="s">
        <v>6020</v>
      </c>
      <c r="I9092" t="s">
        <v>7265</v>
      </c>
      <c r="J9092" t="s">
        <v>13061</v>
      </c>
      <c r="K9092" t="s">
        <v>17471</v>
      </c>
      <c r="L9092">
        <f>HYPERLINK("https://www2.assemblee-nationale.fr/sycomore/fiche/(num_dept)/6400", "6400")</f>
        <v>0</v>
      </c>
      <c r="N9092">
        <f>HYPERLINK("https://www.wikidata.org/wiki/Q2327528", "Q2327528")</f>
        <v>0</v>
      </c>
      <c r="O9092" t="s">
        <v>20210</v>
      </c>
    </row>
    <row r="9093" spans="1:15">
      <c r="A9093" t="s">
        <v>55</v>
      </c>
      <c r="B9093" t="s">
        <v>149</v>
      </c>
      <c r="C9093" t="s">
        <v>187</v>
      </c>
      <c r="D9093" t="s">
        <v>316</v>
      </c>
      <c r="E9093" t="s">
        <v>439</v>
      </c>
      <c r="F9093">
        <f>HYPERLINK("https://www.wikidata.org/wiki/Q3111949", "Q3111949")</f>
        <v>0</v>
      </c>
      <c r="G9093" t="s">
        <v>1304</v>
      </c>
      <c r="H9093" t="s">
        <v>6025</v>
      </c>
      <c r="I9093" t="s">
        <v>9457</v>
      </c>
      <c r="J9093" t="s">
        <v>12034</v>
      </c>
      <c r="K9093" t="s">
        <v>16435</v>
      </c>
      <c r="L9093">
        <f>HYPERLINK("https://www2.assemblee-nationale.fr/sycomore/fiche/(num_dept)/6554", "6554")</f>
        <v>0</v>
      </c>
      <c r="M9093">
        <f>HYPERLINK("https://www.senat.fr/senateur-3eme-republique/queuille_henri0469r3.html", "queuille_henri0469r3")</f>
        <v>0</v>
      </c>
      <c r="N9093">
        <f>HYPERLINK("https://www.wikidata.org/wiki/Q455655", "Q455655")</f>
        <v>0</v>
      </c>
      <c r="O9093" t="s">
        <v>20063</v>
      </c>
    </row>
    <row r="9094" spans="1:15">
      <c r="A9094" t="s">
        <v>55</v>
      </c>
      <c r="B9094" t="s">
        <v>149</v>
      </c>
      <c r="C9094" t="s">
        <v>187</v>
      </c>
      <c r="D9094" t="s">
        <v>316</v>
      </c>
      <c r="E9094" t="s">
        <v>439</v>
      </c>
      <c r="F9094">
        <f>HYPERLINK("https://www.wikidata.org/wiki/Q3111949", "Q3111949")</f>
        <v>0</v>
      </c>
      <c r="G9094" t="s">
        <v>2160</v>
      </c>
      <c r="H9094" t="s">
        <v>6774</v>
      </c>
      <c r="I9094" t="s">
        <v>9388</v>
      </c>
      <c r="J9094" t="s">
        <v>12824</v>
      </c>
      <c r="K9094" t="s">
        <v>17239</v>
      </c>
      <c r="L9094">
        <f>HYPERLINK("https://www2.assemblee-nationale.fr/sycomore/fiche/(num_dept)/6588", "6588")</f>
        <v>0</v>
      </c>
      <c r="N9094">
        <f>HYPERLINK("https://www.wikidata.org/wiki/Q328235", "Q328235")</f>
        <v>0</v>
      </c>
      <c r="O9094" t="s">
        <v>20086</v>
      </c>
    </row>
    <row r="9095" spans="1:15">
      <c r="A9095" t="s">
        <v>55</v>
      </c>
      <c r="B9095" t="s">
        <v>149</v>
      </c>
      <c r="C9095" t="s">
        <v>187</v>
      </c>
      <c r="D9095" t="s">
        <v>316</v>
      </c>
      <c r="E9095" t="s">
        <v>439</v>
      </c>
      <c r="F9095">
        <f>HYPERLINK("https://www.wikidata.org/wiki/Q3111949", "Q3111949")</f>
        <v>0</v>
      </c>
      <c r="G9095" t="s">
        <v>814</v>
      </c>
      <c r="H9095" t="s">
        <v>5571</v>
      </c>
      <c r="I9095" t="s">
        <v>9533</v>
      </c>
      <c r="J9095" t="s">
        <v>11561</v>
      </c>
      <c r="K9095" t="s">
        <v>15965</v>
      </c>
      <c r="L9095">
        <f>HYPERLINK("https://www2.assemblee-nationale.fr/sycomore/fiche/(num_dept)/6904", "6904")</f>
        <v>0</v>
      </c>
      <c r="M9095">
        <f>HYPERLINK("https://www.senat.fr/senateur-3eme-republique/steeg_theodore1554r3.html", "steeg_theodore1554r3")</f>
        <v>0</v>
      </c>
      <c r="N9095">
        <f>HYPERLINK("https://www.wikidata.org/wiki/Q717905", "Q717905")</f>
        <v>0</v>
      </c>
      <c r="O9095" t="s">
        <v>20065</v>
      </c>
    </row>
    <row r="9096" spans="1:15">
      <c r="A9096" t="s">
        <v>55</v>
      </c>
      <c r="B9096" t="s">
        <v>149</v>
      </c>
      <c r="C9096" t="s">
        <v>187</v>
      </c>
      <c r="D9096" t="s">
        <v>316</v>
      </c>
      <c r="E9096" t="s">
        <v>439</v>
      </c>
      <c r="F9096">
        <f>HYPERLINK("https://www.wikidata.org/wiki/Q3111949", "Q3111949")</f>
        <v>0</v>
      </c>
      <c r="G9096" t="s">
        <v>2175</v>
      </c>
      <c r="H9096" t="s">
        <v>6789</v>
      </c>
      <c r="I9096" t="s">
        <v>6166</v>
      </c>
      <c r="J9096" t="s">
        <v>12339</v>
      </c>
      <c r="K9096" t="s">
        <v>17251</v>
      </c>
      <c r="L9096">
        <f>HYPERLINK("https://www2.assemblee-nationale.fr/sycomore/fiche/(num_dept)/6999", "6999")</f>
        <v>0</v>
      </c>
      <c r="N9096">
        <f>HYPERLINK("https://www.wikidata.org/wiki/Q3086325", "Q3086325")</f>
        <v>0</v>
      </c>
      <c r="O9096" t="s">
        <v>20084</v>
      </c>
    </row>
    <row r="9097" spans="1:15">
      <c r="A9097" t="s">
        <v>55</v>
      </c>
      <c r="B9097" t="s">
        <v>149</v>
      </c>
      <c r="C9097" t="s">
        <v>187</v>
      </c>
      <c r="D9097" t="s">
        <v>316</v>
      </c>
      <c r="E9097" t="s">
        <v>439</v>
      </c>
      <c r="F9097">
        <f>HYPERLINK("https://www.wikidata.org/wiki/Q3111949", "Q3111949")</f>
        <v>0</v>
      </c>
      <c r="G9097" t="s">
        <v>2400</v>
      </c>
      <c r="H9097" t="s">
        <v>6977</v>
      </c>
      <c r="I9097" t="s">
        <v>6200</v>
      </c>
      <c r="J9097" t="s">
        <v>13050</v>
      </c>
      <c r="K9097" t="s">
        <v>17460</v>
      </c>
      <c r="L9097">
        <f>HYPERLINK("https://www2.assemblee-nationale.fr/sycomore/fiche/(num_dept)/7291", "7291")</f>
        <v>0</v>
      </c>
      <c r="N9097">
        <f>HYPERLINK("https://www.wikidata.org/wiki/Q713487", "Q713487")</f>
        <v>0</v>
      </c>
      <c r="O9097" t="s">
        <v>20085</v>
      </c>
    </row>
    <row r="9098" spans="1:15">
      <c r="A9098" t="s">
        <v>55</v>
      </c>
      <c r="B9098" t="s">
        <v>149</v>
      </c>
      <c r="C9098" t="s">
        <v>187</v>
      </c>
      <c r="D9098" t="s">
        <v>316</v>
      </c>
      <c r="E9098" t="s">
        <v>439</v>
      </c>
      <c r="F9098">
        <f>HYPERLINK("https://www.wikidata.org/wiki/Q3111949", "Q3111949")</f>
        <v>0</v>
      </c>
      <c r="G9098" t="s">
        <v>2443</v>
      </c>
      <c r="H9098" t="s">
        <v>7016</v>
      </c>
      <c r="I9098" t="s">
        <v>9437</v>
      </c>
      <c r="J9098" t="s">
        <v>13091</v>
      </c>
      <c r="K9098" t="s">
        <v>360</v>
      </c>
      <c r="L9098">
        <f>HYPERLINK("https://www2.assemblee-nationale.fr/sycomore/fiche/(num_dept)/7498", "7498")</f>
        <v>0</v>
      </c>
      <c r="N9098">
        <f>HYPERLINK("https://www.wikidata.org/wiki/Q3588602", "Q3588602")</f>
        <v>0</v>
      </c>
      <c r="O9098" t="s">
        <v>20099</v>
      </c>
    </row>
    <row r="9099" spans="1:15">
      <c r="A9099" t="s">
        <v>55</v>
      </c>
      <c r="B9099" t="s">
        <v>149</v>
      </c>
      <c r="C9099" t="s">
        <v>187</v>
      </c>
      <c r="D9099" t="s">
        <v>316</v>
      </c>
      <c r="E9099" t="s">
        <v>439</v>
      </c>
      <c r="F9099">
        <f>HYPERLINK("https://www.wikidata.org/wiki/Q3111949", "Q3111949")</f>
        <v>0</v>
      </c>
      <c r="G9099" t="s">
        <v>2407</v>
      </c>
      <c r="H9099" t="s">
        <v>6983</v>
      </c>
      <c r="I9099" t="s">
        <v>6585</v>
      </c>
      <c r="J9099" t="s">
        <v>13057</v>
      </c>
      <c r="K9099" t="s">
        <v>17467</v>
      </c>
      <c r="L9099">
        <f>HYPERLINK("https://www2.assemblee-nationale.fr/sycomore/fiche/(num_dept)/7846", "7846")</f>
        <v>0</v>
      </c>
      <c r="N9099">
        <f>HYPERLINK("https://www.wikidata.org/wiki/Q2848169", "Q2848169")</f>
        <v>0</v>
      </c>
      <c r="O9099" t="s">
        <v>20087</v>
      </c>
    </row>
    <row r="9100" spans="1:15">
      <c r="A9100" t="s">
        <v>55</v>
      </c>
      <c r="B9100" t="s">
        <v>149</v>
      </c>
      <c r="C9100" t="s">
        <v>187</v>
      </c>
      <c r="D9100" t="s">
        <v>316</v>
      </c>
      <c r="E9100" t="s">
        <v>439</v>
      </c>
      <c r="F9100">
        <f>HYPERLINK("https://www.wikidata.org/wiki/Q3111949", "Q3111949")</f>
        <v>0</v>
      </c>
      <c r="G9100" t="s">
        <v>1724</v>
      </c>
      <c r="H9100" t="s">
        <v>6360</v>
      </c>
      <c r="I9100" t="s">
        <v>6175</v>
      </c>
      <c r="J9100" t="s">
        <v>12425</v>
      </c>
      <c r="K9100" t="s">
        <v>16833</v>
      </c>
      <c r="N9100">
        <f>HYPERLINK("https://www.wikidata.org/wiki/Q3102323", "Q3102323")</f>
        <v>0</v>
      </c>
      <c r="O9100" t="s">
        <v>20077</v>
      </c>
    </row>
    <row r="9101" spans="1:15">
      <c r="A9101" t="s">
        <v>55</v>
      </c>
      <c r="B9101" t="s">
        <v>149</v>
      </c>
      <c r="C9101" t="s">
        <v>187</v>
      </c>
      <c r="D9101" t="s">
        <v>316</v>
      </c>
      <c r="E9101" t="s">
        <v>439</v>
      </c>
      <c r="F9101">
        <f>HYPERLINK("https://www.wikidata.org/wiki/Q3111949", "Q3111949")</f>
        <v>0</v>
      </c>
      <c r="G9101" t="s">
        <v>4242</v>
      </c>
      <c r="H9101" t="s">
        <v>8416</v>
      </c>
      <c r="I9101" t="s">
        <v>9446</v>
      </c>
      <c r="J9101" t="s">
        <v>14748</v>
      </c>
      <c r="K9101" t="s">
        <v>19094</v>
      </c>
      <c r="M9101">
        <f>HYPERLINK("https://www.senat.fr/senateur-3eme-republique/chapsal_fernand0417r3.html", "chapsal_fernand0417r3")</f>
        <v>0</v>
      </c>
      <c r="N9101">
        <f>HYPERLINK("https://www.wikidata.org/wiki/Q3069075", "Q3069075")</f>
        <v>0</v>
      </c>
      <c r="O9101" t="s">
        <v>20056</v>
      </c>
    </row>
    <row r="9102" spans="1:15">
      <c r="A9102" t="s">
        <v>56</v>
      </c>
      <c r="B9102" t="s">
        <v>149</v>
      </c>
      <c r="C9102" t="s">
        <v>188</v>
      </c>
      <c r="D9102" t="s">
        <v>317</v>
      </c>
      <c r="E9102" t="s">
        <v>440</v>
      </c>
      <c r="F9102">
        <f>HYPERLINK("https://www.wikidata.org/wiki/Q3112064", "Q3112064")</f>
        <v>0</v>
      </c>
      <c r="G9102" t="s">
        <v>512</v>
      </c>
      <c r="H9102" t="s">
        <v>5277</v>
      </c>
      <c r="I9102" t="s">
        <v>6495</v>
      </c>
      <c r="J9102" t="s">
        <v>11264</v>
      </c>
      <c r="K9102" t="s">
        <v>15664</v>
      </c>
      <c r="L9102">
        <f>HYPERLINK("https://www2.assemblee-nationale.fr/sycomore/fiche/(num_dept)/451", "451")</f>
        <v>0</v>
      </c>
      <c r="M9102">
        <f>HYPERLINK("https://www.senat.fr/senateur-3eme-republique/barthou_louis1071r3.html", "barthou_louis1071r3")</f>
        <v>0</v>
      </c>
      <c r="N9102">
        <f>HYPERLINK("https://www.wikidata.org/wiki/Q271887", "Q271887")</f>
        <v>0</v>
      </c>
      <c r="O9102" t="s">
        <v>20120</v>
      </c>
    </row>
    <row r="9103" spans="1:15">
      <c r="A9103" t="s">
        <v>56</v>
      </c>
      <c r="B9103" t="s">
        <v>149</v>
      </c>
      <c r="C9103" t="s">
        <v>188</v>
      </c>
      <c r="D9103" t="s">
        <v>317</v>
      </c>
      <c r="E9103" t="s">
        <v>440</v>
      </c>
      <c r="F9103">
        <f>HYPERLINK("https://www.wikidata.org/wiki/Q3112064", "Q3112064")</f>
        <v>0</v>
      </c>
      <c r="G9103" t="s">
        <v>553</v>
      </c>
      <c r="H9103" t="s">
        <v>5316</v>
      </c>
      <c r="I9103" t="s">
        <v>9411</v>
      </c>
      <c r="J9103" t="s">
        <v>11304</v>
      </c>
      <c r="K9103" t="s">
        <v>15705</v>
      </c>
      <c r="L9103">
        <f>HYPERLINK("https://www2.assemblee-nationale.fr/sycomore/fiche/(num_dept)/1211", "1211")</f>
        <v>0</v>
      </c>
      <c r="N9103">
        <f>HYPERLINK("https://www.wikidata.org/wiki/Q179888", "Q179888")</f>
        <v>0</v>
      </c>
      <c r="O9103" t="s">
        <v>20116</v>
      </c>
    </row>
    <row r="9104" spans="1:15">
      <c r="A9104" t="s">
        <v>56</v>
      </c>
      <c r="B9104" t="s">
        <v>149</v>
      </c>
      <c r="C9104" t="s">
        <v>188</v>
      </c>
      <c r="D9104" t="s">
        <v>317</v>
      </c>
      <c r="E9104" t="s">
        <v>440</v>
      </c>
      <c r="F9104">
        <f>HYPERLINK("https://www.wikidata.org/wiki/Q3112064", "Q3112064")</f>
        <v>0</v>
      </c>
      <c r="G9104" t="s">
        <v>553</v>
      </c>
      <c r="H9104" t="s">
        <v>5316</v>
      </c>
      <c r="I9104" t="s">
        <v>9411</v>
      </c>
      <c r="J9104" t="s">
        <v>11304</v>
      </c>
      <c r="K9104" t="s">
        <v>15705</v>
      </c>
      <c r="L9104">
        <f>HYPERLINK("https://www2.assemblee-nationale.fr/sycomore/fiche/(num_dept)/1211", "1211")</f>
        <v>0</v>
      </c>
      <c r="N9104">
        <f>HYPERLINK("https://www.wikidata.org/wiki/Q179888", "Q179888")</f>
        <v>0</v>
      </c>
      <c r="O9104" t="s">
        <v>20211</v>
      </c>
    </row>
    <row r="9105" spans="1:15">
      <c r="A9105" t="s">
        <v>56</v>
      </c>
      <c r="B9105" t="s">
        <v>149</v>
      </c>
      <c r="C9105" t="s">
        <v>188</v>
      </c>
      <c r="D9105" t="s">
        <v>317</v>
      </c>
      <c r="E9105" t="s">
        <v>440</v>
      </c>
      <c r="F9105">
        <f>HYPERLINK("https://www.wikidata.org/wiki/Q3112064", "Q3112064")</f>
        <v>0</v>
      </c>
      <c r="G9105" t="s">
        <v>560</v>
      </c>
      <c r="H9105" t="s">
        <v>5323</v>
      </c>
      <c r="I9105" t="s">
        <v>9407</v>
      </c>
      <c r="J9105" t="s">
        <v>11311</v>
      </c>
      <c r="K9105" t="s">
        <v>15712</v>
      </c>
      <c r="L9105">
        <f>HYPERLINK("https://www2.assemblee-nationale.fr/sycomore/fiche/(num_dept)/1366", "1366")</f>
        <v>0</v>
      </c>
      <c r="M9105">
        <f>HYPERLINK("https://www.senat.fr/senateur-3eme-republique/caillaux_joseph1254r3.html", "caillaux_joseph1254r3")</f>
        <v>0</v>
      </c>
      <c r="N9105">
        <f>HYPERLINK("https://www.wikidata.org/wiki/Q450463", "Q450463")</f>
        <v>0</v>
      </c>
      <c r="O9105" t="s">
        <v>20066</v>
      </c>
    </row>
    <row r="9106" spans="1:15">
      <c r="A9106" t="s">
        <v>56</v>
      </c>
      <c r="B9106" t="s">
        <v>149</v>
      </c>
      <c r="C9106" t="s">
        <v>188</v>
      </c>
      <c r="D9106" t="s">
        <v>317</v>
      </c>
      <c r="E9106" t="s">
        <v>440</v>
      </c>
      <c r="F9106">
        <f>HYPERLINK("https://www.wikidata.org/wiki/Q3112064", "Q3112064")</f>
        <v>0</v>
      </c>
      <c r="G9106" t="s">
        <v>576</v>
      </c>
      <c r="H9106" t="s">
        <v>5338</v>
      </c>
      <c r="I9106" t="s">
        <v>6478</v>
      </c>
      <c r="J9106" t="s">
        <v>11327</v>
      </c>
      <c r="K9106" t="s">
        <v>15728</v>
      </c>
      <c r="L9106">
        <f>HYPERLINK("https://www2.assemblee-nationale.fr/sycomore/fiche/(num_dept)/1768", "1768")</f>
        <v>0</v>
      </c>
      <c r="M9106">
        <f>HYPERLINK("https://www.senat.fr/senateur-3eme-republique/cheron_henry0337r3.html", "cheron_henry0337r3")</f>
        <v>0</v>
      </c>
      <c r="N9106">
        <f>HYPERLINK("https://www.wikidata.org/wiki/Q3132698", "Q3132698")</f>
        <v>0</v>
      </c>
      <c r="O9106" t="s">
        <v>20121</v>
      </c>
    </row>
    <row r="9107" spans="1:15">
      <c r="A9107" t="s">
        <v>56</v>
      </c>
      <c r="B9107" t="s">
        <v>149</v>
      </c>
      <c r="C9107" t="s">
        <v>188</v>
      </c>
      <c r="D9107" t="s">
        <v>317</v>
      </c>
      <c r="E9107" t="s">
        <v>440</v>
      </c>
      <c r="F9107">
        <f>HYPERLINK("https://www.wikidata.org/wiki/Q3112064", "Q3112064")</f>
        <v>0</v>
      </c>
      <c r="G9107" t="s">
        <v>2539</v>
      </c>
      <c r="H9107" t="s">
        <v>7099</v>
      </c>
      <c r="I9107" t="s">
        <v>6175</v>
      </c>
      <c r="J9107" t="s">
        <v>13183</v>
      </c>
      <c r="K9107" t="s">
        <v>17588</v>
      </c>
      <c r="L9107">
        <f>HYPERLINK("https://www2.assemblee-nationale.fr/sycomore/fiche/(num_dept)/1844", "1844")</f>
        <v>0</v>
      </c>
      <c r="M9107">
        <f>HYPERLINK("https://www.senat.fr/senateur-3eme-republique/clemenceau_georges1741r3.html", "clemenceau_georges1741r3")</f>
        <v>0</v>
      </c>
      <c r="N9107">
        <f>HYPERLINK("https://www.wikidata.org/wiki/Q171730", "Q171730")</f>
        <v>0</v>
      </c>
      <c r="O9107" t="s">
        <v>20058</v>
      </c>
    </row>
    <row r="9108" spans="1:15">
      <c r="A9108" t="s">
        <v>56</v>
      </c>
      <c r="B9108" t="s">
        <v>149</v>
      </c>
      <c r="C9108" t="s">
        <v>188</v>
      </c>
      <c r="D9108" t="s">
        <v>317</v>
      </c>
      <c r="E9108" t="s">
        <v>440</v>
      </c>
      <c r="F9108">
        <f>HYPERLINK("https://www.wikidata.org/wiki/Q3112064", "Q3112064")</f>
        <v>0</v>
      </c>
      <c r="G9108" t="s">
        <v>2539</v>
      </c>
      <c r="H9108" t="s">
        <v>7099</v>
      </c>
      <c r="I9108" t="s">
        <v>6175</v>
      </c>
      <c r="J9108" t="s">
        <v>13183</v>
      </c>
      <c r="K9108" t="s">
        <v>17588</v>
      </c>
      <c r="L9108">
        <f>HYPERLINK("https://www2.assemblee-nationale.fr/sycomore/fiche/(num_dept)/1844", "1844")</f>
        <v>0</v>
      </c>
      <c r="M9108">
        <f>HYPERLINK("https://www.senat.fr/senateur-3eme-republique/clemenceau_georges1741r3.html", "clemenceau_georges1741r3")</f>
        <v>0</v>
      </c>
      <c r="N9108">
        <f>HYPERLINK("https://www.wikidata.org/wiki/Q171730", "Q171730")</f>
        <v>0</v>
      </c>
      <c r="O9108" t="s">
        <v>20052</v>
      </c>
    </row>
    <row r="9109" spans="1:15">
      <c r="A9109" t="s">
        <v>56</v>
      </c>
      <c r="B9109" t="s">
        <v>149</v>
      </c>
      <c r="C9109" t="s">
        <v>188</v>
      </c>
      <c r="D9109" t="s">
        <v>317</v>
      </c>
      <c r="E9109" t="s">
        <v>440</v>
      </c>
      <c r="F9109">
        <f>HYPERLINK("https://www.wikidata.org/wiki/Q3112064", "Q3112064")</f>
        <v>0</v>
      </c>
      <c r="G9109" t="s">
        <v>594</v>
      </c>
      <c r="H9109" t="s">
        <v>5355</v>
      </c>
      <c r="I9109" t="s">
        <v>6200</v>
      </c>
      <c r="J9109" t="s">
        <v>11345</v>
      </c>
      <c r="K9109" t="s">
        <v>15746</v>
      </c>
      <c r="L9109">
        <f>HYPERLINK("https://www2.assemblee-nationale.fr/sycomore/fiche/(num_dept)/2080", "2080")</f>
        <v>0</v>
      </c>
      <c r="M9109">
        <f>HYPERLINK("https://www.senat.fr/senateur-3eme-republique/cruppi_jean0109r3.html", "cruppi_jean0109r3")</f>
        <v>0</v>
      </c>
      <c r="N9109">
        <f>HYPERLINK("https://www.wikidata.org/wiki/Q730383", "Q730383")</f>
        <v>0</v>
      </c>
      <c r="O9109" t="s">
        <v>20135</v>
      </c>
    </row>
    <row r="9110" spans="1:15">
      <c r="A9110" t="s">
        <v>56</v>
      </c>
      <c r="B9110" t="s">
        <v>149</v>
      </c>
      <c r="C9110" t="s">
        <v>188</v>
      </c>
      <c r="D9110" t="s">
        <v>317</v>
      </c>
      <c r="E9110" t="s">
        <v>440</v>
      </c>
      <c r="F9110">
        <f>HYPERLINK("https://www.wikidata.org/wiki/Q3112064", "Q3112064")</f>
        <v>0</v>
      </c>
      <c r="G9110" t="s">
        <v>3819</v>
      </c>
      <c r="H9110" t="s">
        <v>8103</v>
      </c>
      <c r="I9110" t="s">
        <v>9470</v>
      </c>
      <c r="J9110" t="s">
        <v>14385</v>
      </c>
      <c r="K9110" t="s">
        <v>18737</v>
      </c>
      <c r="L9110">
        <f>HYPERLINK("https://www2.assemblee-nationale.fr/sycomore/fiche/(num_dept)/2570", "2570")</f>
        <v>0</v>
      </c>
      <c r="M9110">
        <f>HYPERLINK("https://www.senat.fr/senateur-3eme-republique/doumergue_gaston0833r3.html", "doumergue_gaston0833r3")</f>
        <v>0</v>
      </c>
      <c r="N9110">
        <f>HYPERLINK("https://www.wikidata.org/wiki/Q296064", "Q296064")</f>
        <v>0</v>
      </c>
      <c r="O9110" t="s">
        <v>20211</v>
      </c>
    </row>
    <row r="9111" spans="1:15">
      <c r="A9111" t="s">
        <v>56</v>
      </c>
      <c r="B9111" t="s">
        <v>149</v>
      </c>
      <c r="C9111" t="s">
        <v>188</v>
      </c>
      <c r="D9111" t="s">
        <v>317</v>
      </c>
      <c r="E9111" t="s">
        <v>440</v>
      </c>
      <c r="F9111">
        <f>HYPERLINK("https://www.wikidata.org/wiki/Q3112064", "Q3112064")</f>
        <v>0</v>
      </c>
      <c r="G9111" t="s">
        <v>3819</v>
      </c>
      <c r="H9111" t="s">
        <v>8103</v>
      </c>
      <c r="I9111" t="s">
        <v>9470</v>
      </c>
      <c r="J9111" t="s">
        <v>14385</v>
      </c>
      <c r="K9111" t="s">
        <v>18737</v>
      </c>
      <c r="L9111">
        <f>HYPERLINK("https://www2.assemblee-nationale.fr/sycomore/fiche/(num_dept)/2570", "2570")</f>
        <v>0</v>
      </c>
      <c r="M9111">
        <f>HYPERLINK("https://www.senat.fr/senateur-3eme-republique/doumergue_gaston0833r3.html", "doumergue_gaston0833r3")</f>
        <v>0</v>
      </c>
      <c r="N9111">
        <f>HYPERLINK("https://www.wikidata.org/wiki/Q296064", "Q296064")</f>
        <v>0</v>
      </c>
      <c r="O9111" t="s">
        <v>20110</v>
      </c>
    </row>
    <row r="9112" spans="1:15">
      <c r="A9112" t="s">
        <v>56</v>
      </c>
      <c r="B9112" t="s">
        <v>149</v>
      </c>
      <c r="C9112" t="s">
        <v>188</v>
      </c>
      <c r="D9112" t="s">
        <v>317</v>
      </c>
      <c r="E9112" t="s">
        <v>440</v>
      </c>
      <c r="F9112">
        <f>HYPERLINK("https://www.wikidata.org/wiki/Q3112064", "Q3112064")</f>
        <v>0</v>
      </c>
      <c r="G9112" t="s">
        <v>623</v>
      </c>
      <c r="H9112" t="s">
        <v>5383</v>
      </c>
      <c r="I9112" t="s">
        <v>5394</v>
      </c>
      <c r="J9112" t="s">
        <v>11373</v>
      </c>
      <c r="K9112" t="s">
        <v>15775</v>
      </c>
      <c r="L9112">
        <f>HYPERLINK("https://www2.assemblee-nationale.fr/sycomore/fiche/(num_dept)/2685", "2685")</f>
        <v>0</v>
      </c>
      <c r="M9112">
        <f>HYPERLINK("https://www.senat.fr/senateur-3eme-republique/dujardin_beaumetz_henri0274r3.html", "dujardin_beaumetz_henri0274r3")</f>
        <v>0</v>
      </c>
      <c r="N9112">
        <f>HYPERLINK("https://www.wikidata.org/wiki/Q289596", "Q289596")</f>
        <v>0</v>
      </c>
      <c r="O9112" t="s">
        <v>20119</v>
      </c>
    </row>
    <row r="9113" spans="1:15">
      <c r="A9113" t="s">
        <v>56</v>
      </c>
      <c r="B9113" t="s">
        <v>149</v>
      </c>
      <c r="C9113" t="s">
        <v>188</v>
      </c>
      <c r="D9113" t="s">
        <v>317</v>
      </c>
      <c r="E9113" t="s">
        <v>440</v>
      </c>
      <c r="F9113">
        <f>HYPERLINK("https://www.wikidata.org/wiki/Q3112064", "Q3112064")</f>
        <v>0</v>
      </c>
      <c r="G9113" t="s">
        <v>3255</v>
      </c>
      <c r="H9113" t="s">
        <v>7675</v>
      </c>
      <c r="I9113" t="s">
        <v>6200</v>
      </c>
      <c r="J9113" t="s">
        <v>13872</v>
      </c>
      <c r="K9113" t="s">
        <v>18243</v>
      </c>
      <c r="L9113">
        <f>HYPERLINK("https://www2.assemblee-nationale.fr/sycomore/fiche/(num_dept)/3714", "3714")</f>
        <v>0</v>
      </c>
      <c r="N9113">
        <f>HYPERLINK("https://www.wikidata.org/wiki/Q3172111", "Q3172111")</f>
        <v>0</v>
      </c>
      <c r="O9113" t="s">
        <v>20064</v>
      </c>
    </row>
    <row r="9114" spans="1:15">
      <c r="A9114" t="s">
        <v>56</v>
      </c>
      <c r="B9114" t="s">
        <v>149</v>
      </c>
      <c r="C9114" t="s">
        <v>188</v>
      </c>
      <c r="D9114" t="s">
        <v>317</v>
      </c>
      <c r="E9114" t="s">
        <v>440</v>
      </c>
      <c r="F9114">
        <f>HYPERLINK("https://www.wikidata.org/wiki/Q3112064", "Q3112064")</f>
        <v>0</v>
      </c>
      <c r="G9114" t="s">
        <v>3578</v>
      </c>
      <c r="H9114" t="s">
        <v>7929</v>
      </c>
      <c r="I9114" t="s">
        <v>9534</v>
      </c>
      <c r="J9114" t="s">
        <v>14165</v>
      </c>
      <c r="K9114" t="s">
        <v>18534</v>
      </c>
      <c r="L9114">
        <f>HYPERLINK("https://www2.assemblee-nationale.fr/sycomore/fiche/(num_dept)/5116", "5116")</f>
        <v>0</v>
      </c>
      <c r="M9114">
        <f>HYPERLINK("https://www.senat.fr/senateur-3eme-republique/maujan_adolphe1560r3.html", "maujan_adolphe1560r3")</f>
        <v>0</v>
      </c>
      <c r="N9114">
        <f>HYPERLINK("https://www.wikidata.org/wiki/Q2824874", "Q2824874")</f>
        <v>0</v>
      </c>
      <c r="O9114" t="s">
        <v>20212</v>
      </c>
    </row>
    <row r="9115" spans="1:15">
      <c r="A9115" t="s">
        <v>56</v>
      </c>
      <c r="B9115" t="s">
        <v>149</v>
      </c>
      <c r="C9115" t="s">
        <v>188</v>
      </c>
      <c r="D9115" t="s">
        <v>317</v>
      </c>
      <c r="E9115" t="s">
        <v>440</v>
      </c>
      <c r="F9115">
        <f>HYPERLINK("https://www.wikidata.org/wiki/Q3112064", "Q3112064")</f>
        <v>0</v>
      </c>
      <c r="G9115" t="s">
        <v>3276</v>
      </c>
      <c r="H9115" t="s">
        <v>7691</v>
      </c>
      <c r="I9115" t="s">
        <v>10740</v>
      </c>
      <c r="J9115" t="s">
        <v>13890</v>
      </c>
      <c r="K9115" t="s">
        <v>18262</v>
      </c>
      <c r="L9115">
        <f>HYPERLINK("https://www2.assemblee-nationale.fr/sycomore/fiche/(num_dept)/5905", "5905")</f>
        <v>0</v>
      </c>
      <c r="M9115">
        <f>HYPERLINK("https://www.senat.fr/senateur-3eme-republique/pichon_stephen0429r3.html", "pichon_stephen0429r3")</f>
        <v>0</v>
      </c>
      <c r="N9115">
        <f>HYPERLINK("https://www.wikidata.org/wiki/Q1069292", "Q1069292")</f>
        <v>0</v>
      </c>
      <c r="O9115" t="s">
        <v>20062</v>
      </c>
    </row>
    <row r="9116" spans="1:15">
      <c r="A9116" t="s">
        <v>56</v>
      </c>
      <c r="B9116" t="s">
        <v>149</v>
      </c>
      <c r="C9116" t="s">
        <v>188</v>
      </c>
      <c r="D9116" t="s">
        <v>317</v>
      </c>
      <c r="E9116" t="s">
        <v>440</v>
      </c>
      <c r="F9116">
        <f>HYPERLINK("https://www.wikidata.org/wiki/Q3112064", "Q3112064")</f>
        <v>0</v>
      </c>
      <c r="G9116" t="s">
        <v>776</v>
      </c>
      <c r="H9116" t="s">
        <v>5534</v>
      </c>
      <c r="I9116" t="s">
        <v>9407</v>
      </c>
      <c r="J9116" t="s">
        <v>11523</v>
      </c>
      <c r="K9116" t="s">
        <v>15927</v>
      </c>
      <c r="L9116">
        <f>HYPERLINK("https://www2.assemblee-nationale.fr/sycomore/fiche/(num_dept)/6182", "6182")</f>
        <v>0</v>
      </c>
      <c r="N9116">
        <f>HYPERLINK("https://www.wikidata.org/wiki/Q3185595", "Q3185595")</f>
        <v>0</v>
      </c>
      <c r="O9116" t="s">
        <v>20056</v>
      </c>
    </row>
    <row r="9117" spans="1:15">
      <c r="A9117" t="s">
        <v>56</v>
      </c>
      <c r="B9117" t="s">
        <v>149</v>
      </c>
      <c r="C9117" t="s">
        <v>188</v>
      </c>
      <c r="D9117" t="s">
        <v>317</v>
      </c>
      <c r="E9117" t="s">
        <v>440</v>
      </c>
      <c r="F9117">
        <f>HYPERLINK("https://www.wikidata.org/wiki/Q3112064", "Q3112064")</f>
        <v>0</v>
      </c>
      <c r="G9117" t="s">
        <v>778</v>
      </c>
      <c r="H9117" t="s">
        <v>5536</v>
      </c>
      <c r="I9117" t="s">
        <v>6584</v>
      </c>
      <c r="J9117" t="s">
        <v>11525</v>
      </c>
      <c r="K9117" t="s">
        <v>15929</v>
      </c>
      <c r="L9117">
        <f>HYPERLINK("https://www2.assemblee-nationale.fr/sycomore/fiche/(num_dept)/6293", "6293")</f>
        <v>0</v>
      </c>
      <c r="M9117">
        <f>HYPERLINK("https://www.senat.fr/senateur-3eme-republique/sarraut_albert0265r3.html", "sarraut_albert0265r3")</f>
        <v>0</v>
      </c>
      <c r="N9117">
        <f>HYPERLINK("https://www.wikidata.org/wiki/Q460318", "Q460318")</f>
        <v>0</v>
      </c>
      <c r="O9117" t="s">
        <v>20212</v>
      </c>
    </row>
    <row r="9118" spans="1:15">
      <c r="A9118" t="s">
        <v>56</v>
      </c>
      <c r="B9118" t="s">
        <v>149</v>
      </c>
      <c r="C9118" t="s">
        <v>188</v>
      </c>
      <c r="D9118" t="s">
        <v>317</v>
      </c>
      <c r="E9118" t="s">
        <v>440</v>
      </c>
      <c r="F9118">
        <f>HYPERLINK("https://www.wikidata.org/wiki/Q3112064", "Q3112064")</f>
        <v>0</v>
      </c>
      <c r="G9118" t="s">
        <v>811</v>
      </c>
      <c r="H9118" t="s">
        <v>5568</v>
      </c>
      <c r="I9118" t="s">
        <v>9535</v>
      </c>
      <c r="J9118" t="s">
        <v>11558</v>
      </c>
      <c r="K9118" t="s">
        <v>15962</v>
      </c>
      <c r="L9118">
        <f>HYPERLINK("https://www2.assemblee-nationale.fr/sycomore/fiche/(num_dept)/6854", "6854")</f>
        <v>0</v>
      </c>
      <c r="M9118">
        <f>HYPERLINK("https://www.senat.fr/senateur-3eme-republique/simyan_julien1227r3.html", "simyan_julien1227r3")</f>
        <v>0</v>
      </c>
      <c r="N9118">
        <f>HYPERLINK("https://www.wikidata.org/wiki/Q3189661", "Q3189661")</f>
        <v>0</v>
      </c>
      <c r="O9118" t="s">
        <v>20187</v>
      </c>
    </row>
    <row r="9119" spans="1:15">
      <c r="A9119" t="s">
        <v>56</v>
      </c>
      <c r="B9119" t="s">
        <v>149</v>
      </c>
      <c r="C9119" t="s">
        <v>188</v>
      </c>
      <c r="D9119" t="s">
        <v>317</v>
      </c>
      <c r="E9119" t="s">
        <v>440</v>
      </c>
      <c r="F9119">
        <f>HYPERLINK("https://www.wikidata.org/wiki/Q3112064", "Q3112064")</f>
        <v>0</v>
      </c>
      <c r="G9119" t="s">
        <v>818</v>
      </c>
      <c r="H9119" t="s">
        <v>5575</v>
      </c>
      <c r="I9119" t="s">
        <v>9470</v>
      </c>
      <c r="J9119" t="s">
        <v>11565</v>
      </c>
      <c r="K9119" t="s">
        <v>15969</v>
      </c>
      <c r="L9119">
        <f>HYPERLINK("https://www2.assemblee-nationale.fr/sycomore/fiche/(num_dept)/7055", "7055")</f>
        <v>0</v>
      </c>
      <c r="N9119">
        <f>HYPERLINK("https://www.wikidata.org/wiki/Q2246519", "Q2246519")</f>
        <v>0</v>
      </c>
      <c r="O9119" t="s">
        <v>20053</v>
      </c>
    </row>
    <row r="9120" spans="1:15">
      <c r="A9120" t="s">
        <v>56</v>
      </c>
      <c r="B9120" t="s">
        <v>149</v>
      </c>
      <c r="C9120" t="s">
        <v>188</v>
      </c>
      <c r="D9120" t="s">
        <v>317</v>
      </c>
      <c r="E9120" t="s">
        <v>440</v>
      </c>
      <c r="F9120">
        <f>HYPERLINK("https://www.wikidata.org/wiki/Q3112064", "Q3112064")</f>
        <v>0</v>
      </c>
      <c r="G9120" t="s">
        <v>827</v>
      </c>
      <c r="H9120" t="s">
        <v>5584</v>
      </c>
      <c r="I9120" t="s">
        <v>9476</v>
      </c>
      <c r="J9120" t="s">
        <v>11574</v>
      </c>
      <c r="K9120" t="s">
        <v>15976</v>
      </c>
      <c r="L9120">
        <f>HYPERLINK("https://www2.assemblee-nationale.fr/sycomore/fiche/(num_dept)/7368", "7368")</f>
        <v>0</v>
      </c>
      <c r="M9120">
        <f>HYPERLINK("https://www.senat.fr/senateur-3eme-republique/viviani_rene0627r3.html", "viviani_rene0627r3")</f>
        <v>0</v>
      </c>
      <c r="N9120">
        <f>HYPERLINK("https://www.wikidata.org/wiki/Q431074", "Q431074")</f>
        <v>0</v>
      </c>
      <c r="O9120" t="s">
        <v>20055</v>
      </c>
    </row>
    <row r="9121" spans="1:15">
      <c r="A9121" t="s">
        <v>56</v>
      </c>
      <c r="B9121" t="s">
        <v>149</v>
      </c>
      <c r="C9121" t="s">
        <v>188</v>
      </c>
      <c r="D9121" t="s">
        <v>317</v>
      </c>
      <c r="E9121" t="s">
        <v>440</v>
      </c>
      <c r="F9121">
        <f>HYPERLINK("https://www.wikidata.org/wiki/Q3112064", "Q3112064")</f>
        <v>0</v>
      </c>
      <c r="G9121" t="s">
        <v>4270</v>
      </c>
      <c r="H9121" t="s">
        <v>8435</v>
      </c>
      <c r="I9121" t="s">
        <v>6175</v>
      </c>
      <c r="J9121" t="s">
        <v>12311</v>
      </c>
      <c r="K9121" t="s">
        <v>19117</v>
      </c>
      <c r="N9121">
        <f>HYPERLINK("https://www.wikidata.org/wiki/Q717539", "Q717539")</f>
        <v>0</v>
      </c>
      <c r="O9121" t="s">
        <v>20057</v>
      </c>
    </row>
    <row r="9122" spans="1:15">
      <c r="A9122" t="s">
        <v>56</v>
      </c>
      <c r="B9122" t="s">
        <v>149</v>
      </c>
      <c r="C9122" t="s">
        <v>188</v>
      </c>
      <c r="D9122" t="s">
        <v>317</v>
      </c>
      <c r="E9122" t="s">
        <v>440</v>
      </c>
      <c r="F9122">
        <f>HYPERLINK("https://www.wikidata.org/wiki/Q3112064", "Q3112064")</f>
        <v>0</v>
      </c>
      <c r="G9122" t="s">
        <v>4271</v>
      </c>
      <c r="H9122" t="s">
        <v>5777</v>
      </c>
      <c r="I9122" t="s">
        <v>9458</v>
      </c>
      <c r="J9122" t="s">
        <v>14770</v>
      </c>
      <c r="K9122" t="s">
        <v>19118</v>
      </c>
      <c r="N9122">
        <f>HYPERLINK("https://www.wikidata.org/wiki/Q2645477", "Q2645477")</f>
        <v>0</v>
      </c>
      <c r="O9122" t="s">
        <v>20053</v>
      </c>
    </row>
    <row r="9123" spans="1:15">
      <c r="A9123" t="s">
        <v>56</v>
      </c>
      <c r="B9123" t="s">
        <v>149</v>
      </c>
      <c r="C9123" t="s">
        <v>188</v>
      </c>
      <c r="D9123" t="s">
        <v>317</v>
      </c>
      <c r="E9123" t="s">
        <v>440</v>
      </c>
      <c r="F9123">
        <f>HYPERLINK("https://www.wikidata.org/wiki/Q3112064", "Q3112064")</f>
        <v>0</v>
      </c>
      <c r="G9123" t="s">
        <v>4272</v>
      </c>
      <c r="H9123" t="s">
        <v>8436</v>
      </c>
      <c r="I9123" t="s">
        <v>9512</v>
      </c>
      <c r="J9123" t="s">
        <v>14771</v>
      </c>
      <c r="K9123" t="s">
        <v>19119</v>
      </c>
      <c r="M9123">
        <f>HYPERLINK("https://www.senat.fr/senateur-3eme-republique/millies_lacroix_raphael0351r3.html", "millies_lacroix_raphael0351r3")</f>
        <v>0</v>
      </c>
      <c r="N9123">
        <f>HYPERLINK("https://www.wikidata.org/wiki/Q3419492", "Q3419492")</f>
        <v>0</v>
      </c>
      <c r="O9123" t="s">
        <v>20065</v>
      </c>
    </row>
    <row r="9124" spans="1:15">
      <c r="A9124" t="s">
        <v>57</v>
      </c>
      <c r="B9124" t="s">
        <v>149</v>
      </c>
      <c r="C9124" t="s">
        <v>189</v>
      </c>
      <c r="D9124" t="s">
        <v>318</v>
      </c>
      <c r="E9124" t="s">
        <v>441</v>
      </c>
      <c r="F9124">
        <f>HYPERLINK("https://www.wikidata.org/wiki/Q3112068", "Q3112068")</f>
        <v>0</v>
      </c>
      <c r="G9124" t="s">
        <v>1145</v>
      </c>
      <c r="H9124" t="s">
        <v>5880</v>
      </c>
      <c r="I9124" t="s">
        <v>5528</v>
      </c>
      <c r="J9124" t="s">
        <v>11879</v>
      </c>
      <c r="K9124" t="s">
        <v>16281</v>
      </c>
      <c r="L9124">
        <f>HYPERLINK("https://www2.assemblee-nationale.fr/sycomore/fiche/(num_dept)/24", "24")</f>
        <v>0</v>
      </c>
      <c r="N9124">
        <f>HYPERLINK("https://www.wikidata.org/wiki/Q2370802", "Q2370802")</f>
        <v>0</v>
      </c>
      <c r="O9124" t="s">
        <v>20213</v>
      </c>
    </row>
    <row r="9125" spans="1:15">
      <c r="A9125" t="s">
        <v>57</v>
      </c>
      <c r="B9125" t="s">
        <v>149</v>
      </c>
      <c r="C9125" t="s">
        <v>189</v>
      </c>
      <c r="D9125" t="s">
        <v>318</v>
      </c>
      <c r="E9125" t="s">
        <v>441</v>
      </c>
      <c r="F9125">
        <f>HYPERLINK("https://www.wikidata.org/wiki/Q3112068", "Q3112068")</f>
        <v>0</v>
      </c>
      <c r="G9125" t="s">
        <v>1215</v>
      </c>
      <c r="H9125" t="s">
        <v>5943</v>
      </c>
      <c r="I9125" t="s">
        <v>9442</v>
      </c>
      <c r="J9125" t="s">
        <v>11947</v>
      </c>
      <c r="K9125" t="s">
        <v>16349</v>
      </c>
      <c r="L9125">
        <f>HYPERLINK("https://www2.assemblee-nationale.fr/sycomore/fiche/(num_dept)/70", "70")</f>
        <v>0</v>
      </c>
      <c r="N9125">
        <f>HYPERLINK("https://www.wikidata.org/wiki/Q2830887", "Q2830887")</f>
        <v>0</v>
      </c>
      <c r="O9125" t="s">
        <v>20068</v>
      </c>
    </row>
    <row r="9126" spans="1:15">
      <c r="A9126" t="s">
        <v>57</v>
      </c>
      <c r="B9126" t="s">
        <v>149</v>
      </c>
      <c r="C9126" t="s">
        <v>189</v>
      </c>
      <c r="D9126" t="s">
        <v>318</v>
      </c>
      <c r="E9126" t="s">
        <v>441</v>
      </c>
      <c r="F9126">
        <f>HYPERLINK("https://www.wikidata.org/wiki/Q3112068", "Q3112068")</f>
        <v>0</v>
      </c>
      <c r="G9126" t="s">
        <v>878</v>
      </c>
      <c r="H9126" t="s">
        <v>5634</v>
      </c>
      <c r="I9126" t="s">
        <v>9483</v>
      </c>
      <c r="J9126" t="s">
        <v>11624</v>
      </c>
      <c r="K9126" t="s">
        <v>16025</v>
      </c>
      <c r="L9126">
        <f>HYPERLINK("https://www2.assemblee-nationale.fr/sycomore/fiche/(num_dept)/976", "976")</f>
        <v>0</v>
      </c>
      <c r="M9126">
        <f>HYPERLINK("https://www.senat.fr/senateur-3eme-republique/boret_victor1774r3.html", "boret_victor1774r3")</f>
        <v>0</v>
      </c>
      <c r="N9126">
        <f>HYPERLINK("https://www.wikidata.org/wiki/Q3557173", "Q3557173")</f>
        <v>0</v>
      </c>
      <c r="O9126" t="s">
        <v>20214</v>
      </c>
    </row>
    <row r="9127" spans="1:15">
      <c r="A9127" t="s">
        <v>57</v>
      </c>
      <c r="B9127" t="s">
        <v>149</v>
      </c>
      <c r="C9127" t="s">
        <v>189</v>
      </c>
      <c r="D9127" t="s">
        <v>318</v>
      </c>
      <c r="E9127" t="s">
        <v>441</v>
      </c>
      <c r="F9127">
        <f>HYPERLINK("https://www.wikidata.org/wiki/Q3112068", "Q3112068")</f>
        <v>0</v>
      </c>
      <c r="G9127" t="s">
        <v>903</v>
      </c>
      <c r="H9127" t="s">
        <v>5659</v>
      </c>
      <c r="I9127" t="s">
        <v>6200</v>
      </c>
      <c r="J9127" t="s">
        <v>11648</v>
      </c>
      <c r="K9127" t="s">
        <v>16047</v>
      </c>
      <c r="L9127">
        <f>HYPERLINK("https://www2.assemblee-nationale.fr/sycomore/fiche/(num_dept)/1572", "1572")</f>
        <v>0</v>
      </c>
      <c r="N9127">
        <f>HYPERLINK("https://www.wikidata.org/wiki/Q3171180", "Q3171180")</f>
        <v>0</v>
      </c>
      <c r="O9127" t="s">
        <v>20215</v>
      </c>
    </row>
    <row r="9128" spans="1:15">
      <c r="A9128" t="s">
        <v>57</v>
      </c>
      <c r="B9128" t="s">
        <v>149</v>
      </c>
      <c r="C9128" t="s">
        <v>189</v>
      </c>
      <c r="D9128" t="s">
        <v>318</v>
      </c>
      <c r="E9128" t="s">
        <v>441</v>
      </c>
      <c r="F9128">
        <f>HYPERLINK("https://www.wikidata.org/wiki/Q3112068", "Q3112068")</f>
        <v>0</v>
      </c>
      <c r="G9128" t="s">
        <v>903</v>
      </c>
      <c r="H9128" t="s">
        <v>5659</v>
      </c>
      <c r="I9128" t="s">
        <v>6200</v>
      </c>
      <c r="J9128" t="s">
        <v>11648</v>
      </c>
      <c r="K9128" t="s">
        <v>16047</v>
      </c>
      <c r="L9128">
        <f>HYPERLINK("https://www2.assemblee-nationale.fr/sycomore/fiche/(num_dept)/1572", "1572")</f>
        <v>0</v>
      </c>
      <c r="N9128">
        <f>HYPERLINK("https://www.wikidata.org/wiki/Q3171180", "Q3171180")</f>
        <v>0</v>
      </c>
      <c r="O9128" t="s">
        <v>20216</v>
      </c>
    </row>
    <row r="9129" spans="1:15">
      <c r="A9129" t="s">
        <v>57</v>
      </c>
      <c r="B9129" t="s">
        <v>149</v>
      </c>
      <c r="C9129" t="s">
        <v>189</v>
      </c>
      <c r="D9129" t="s">
        <v>318</v>
      </c>
      <c r="E9129" t="s">
        <v>441</v>
      </c>
      <c r="F9129">
        <f>HYPERLINK("https://www.wikidata.org/wiki/Q3112068", "Q3112068")</f>
        <v>0</v>
      </c>
      <c r="G9129" t="s">
        <v>2539</v>
      </c>
      <c r="H9129" t="s">
        <v>7099</v>
      </c>
      <c r="I9129" t="s">
        <v>6175</v>
      </c>
      <c r="J9129" t="s">
        <v>13183</v>
      </c>
      <c r="K9129" t="s">
        <v>17588</v>
      </c>
      <c r="L9129">
        <f>HYPERLINK("https://www2.assemblee-nationale.fr/sycomore/fiche/(num_dept)/1844", "1844")</f>
        <v>0</v>
      </c>
      <c r="M9129">
        <f>HYPERLINK("https://www.senat.fr/senateur-3eme-republique/clemenceau_georges1741r3.html", "clemenceau_georges1741r3")</f>
        <v>0</v>
      </c>
      <c r="N9129">
        <f>HYPERLINK("https://www.wikidata.org/wiki/Q171730", "Q171730")</f>
        <v>0</v>
      </c>
      <c r="O9129" t="s">
        <v>20057</v>
      </c>
    </row>
    <row r="9130" spans="1:15">
      <c r="A9130" t="s">
        <v>57</v>
      </c>
      <c r="B9130" t="s">
        <v>149</v>
      </c>
      <c r="C9130" t="s">
        <v>189</v>
      </c>
      <c r="D9130" t="s">
        <v>318</v>
      </c>
      <c r="E9130" t="s">
        <v>441</v>
      </c>
      <c r="F9130">
        <f>HYPERLINK("https://www.wikidata.org/wiki/Q3112068", "Q3112068")</f>
        <v>0</v>
      </c>
      <c r="G9130" t="s">
        <v>2539</v>
      </c>
      <c r="H9130" t="s">
        <v>7099</v>
      </c>
      <c r="I9130" t="s">
        <v>6175</v>
      </c>
      <c r="J9130" t="s">
        <v>13183</v>
      </c>
      <c r="K9130" t="s">
        <v>17588</v>
      </c>
      <c r="L9130">
        <f>HYPERLINK("https://www2.assemblee-nationale.fr/sycomore/fiche/(num_dept)/1844", "1844")</f>
        <v>0</v>
      </c>
      <c r="M9130">
        <f>HYPERLINK("https://www.senat.fr/senateur-3eme-republique/clemenceau_georges1741r3.html", "clemenceau_georges1741r3")</f>
        <v>0</v>
      </c>
      <c r="N9130">
        <f>HYPERLINK("https://www.wikidata.org/wiki/Q171730", "Q171730")</f>
        <v>0</v>
      </c>
      <c r="O9130" t="s">
        <v>20052</v>
      </c>
    </row>
    <row r="9131" spans="1:15">
      <c r="A9131" t="s">
        <v>57</v>
      </c>
      <c r="B9131" t="s">
        <v>149</v>
      </c>
      <c r="C9131" t="s">
        <v>189</v>
      </c>
      <c r="D9131" t="s">
        <v>318</v>
      </c>
      <c r="E9131" t="s">
        <v>441</v>
      </c>
      <c r="F9131">
        <f>HYPERLINK("https://www.wikidata.org/wiki/Q3112068", "Q3112068")</f>
        <v>0</v>
      </c>
      <c r="G9131" t="s">
        <v>579</v>
      </c>
      <c r="H9131" t="s">
        <v>5341</v>
      </c>
      <c r="I9131" t="s">
        <v>5394</v>
      </c>
      <c r="J9131" t="s">
        <v>11330</v>
      </c>
      <c r="K9131" t="s">
        <v>15731</v>
      </c>
      <c r="L9131">
        <f>HYPERLINK("https://www2.assemblee-nationale.fr/sycomore/fiche/(num_dept)/1849", "1849")</f>
        <v>0</v>
      </c>
      <c r="M9131">
        <f>HYPERLINK("https://www.senat.fr/senateur-3eme-republique/clementel_etienne1006r3.html", "clementel_etienne1006r3")</f>
        <v>0</v>
      </c>
      <c r="N9131">
        <f>HYPERLINK("https://www.wikidata.org/wiki/Q3592114", "Q3592114")</f>
        <v>0</v>
      </c>
      <c r="O9131" t="s">
        <v>20217</v>
      </c>
    </row>
    <row r="9132" spans="1:15">
      <c r="A9132" t="s">
        <v>57</v>
      </c>
      <c r="B9132" t="s">
        <v>149</v>
      </c>
      <c r="C9132" t="s">
        <v>189</v>
      </c>
      <c r="D9132" t="s">
        <v>318</v>
      </c>
      <c r="E9132" t="s">
        <v>441</v>
      </c>
      <c r="F9132">
        <f>HYPERLINK("https://www.wikidata.org/wiki/Q3112068", "Q3112068")</f>
        <v>0</v>
      </c>
      <c r="G9132" t="s">
        <v>913</v>
      </c>
      <c r="H9132" t="s">
        <v>5669</v>
      </c>
      <c r="I9132" t="s">
        <v>6860</v>
      </c>
      <c r="J9132" t="s">
        <v>11657</v>
      </c>
      <c r="K9132" t="s">
        <v>16056</v>
      </c>
      <c r="L9132">
        <f>HYPERLINK("https://www2.assemblee-nationale.fr/sycomore/fiche/(num_dept)/1906", "1906")</f>
        <v>0</v>
      </c>
      <c r="N9132">
        <f>HYPERLINK("https://www.wikidata.org/wiki/Q3384481", "Q3384481")</f>
        <v>0</v>
      </c>
      <c r="O9132" t="s">
        <v>20055</v>
      </c>
    </row>
    <row r="9133" spans="1:15">
      <c r="A9133" t="s">
        <v>57</v>
      </c>
      <c r="B9133" t="s">
        <v>149</v>
      </c>
      <c r="C9133" t="s">
        <v>189</v>
      </c>
      <c r="D9133" t="s">
        <v>318</v>
      </c>
      <c r="E9133" t="s">
        <v>441</v>
      </c>
      <c r="F9133">
        <f>HYPERLINK("https://www.wikidata.org/wiki/Q3112068", "Q3112068")</f>
        <v>0</v>
      </c>
      <c r="G9133" t="s">
        <v>597</v>
      </c>
      <c r="H9133" t="s">
        <v>5358</v>
      </c>
      <c r="I9133" t="s">
        <v>6584</v>
      </c>
      <c r="J9133" t="s">
        <v>11348</v>
      </c>
      <c r="K9133" t="s">
        <v>15749</v>
      </c>
      <c r="L9133">
        <f>HYPERLINK("https://www2.assemblee-nationale.fr/sycomore/fiche/(num_dept)/2110", "2110")</f>
        <v>0</v>
      </c>
      <c r="N9133">
        <f>HYPERLINK("https://www.wikidata.org/wiki/Q2831073", "Q2831073")</f>
        <v>0</v>
      </c>
      <c r="O9133" t="s">
        <v>20155</v>
      </c>
    </row>
    <row r="9134" spans="1:15">
      <c r="A9134" t="s">
        <v>57</v>
      </c>
      <c r="B9134" t="s">
        <v>149</v>
      </c>
      <c r="C9134" t="s">
        <v>189</v>
      </c>
      <c r="D9134" t="s">
        <v>318</v>
      </c>
      <c r="E9134" t="s">
        <v>441</v>
      </c>
      <c r="F9134">
        <f>HYPERLINK("https://www.wikidata.org/wiki/Q3112068", "Q3112068")</f>
        <v>0</v>
      </c>
      <c r="G9134" t="s">
        <v>625</v>
      </c>
      <c r="H9134" t="s">
        <v>5385</v>
      </c>
      <c r="I9134" t="s">
        <v>9460</v>
      </c>
      <c r="J9134" t="s">
        <v>11375</v>
      </c>
      <c r="K9134" t="s">
        <v>15777</v>
      </c>
      <c r="L9134">
        <f>HYPERLINK("https://www2.assemblee-nationale.fr/sycomore/fiche/(num_dept)/2699", "2699")</f>
        <v>0</v>
      </c>
      <c r="M9134">
        <f>HYPERLINK("https://www.senat.fr/senateur-3eme-republique/dumesnil_jacques1613r3.html", "dumesnil_jacques1613r3")</f>
        <v>0</v>
      </c>
      <c r="N9134">
        <f>HYPERLINK("https://www.wikidata.org/wiki/Q3157989", "Q3157989")</f>
        <v>0</v>
      </c>
      <c r="O9134" t="s">
        <v>20218</v>
      </c>
    </row>
    <row r="9135" spans="1:15">
      <c r="A9135" t="s">
        <v>57</v>
      </c>
      <c r="B9135" t="s">
        <v>149</v>
      </c>
      <c r="C9135" t="s">
        <v>189</v>
      </c>
      <c r="D9135" t="s">
        <v>318</v>
      </c>
      <c r="E9135" t="s">
        <v>441</v>
      </c>
      <c r="F9135">
        <f>HYPERLINK("https://www.wikidata.org/wiki/Q3112068", "Q3112068")</f>
        <v>0</v>
      </c>
      <c r="G9135" t="s">
        <v>966</v>
      </c>
      <c r="H9135" t="s">
        <v>5718</v>
      </c>
      <c r="I9135" t="s">
        <v>9605</v>
      </c>
      <c r="J9135" t="s">
        <v>11705</v>
      </c>
      <c r="K9135" t="s">
        <v>16108</v>
      </c>
      <c r="L9135">
        <f>HYPERLINK("https://www2.assemblee-nationale.fr/sycomore/fiche/(num_dept)/3460", "3460")</f>
        <v>0</v>
      </c>
      <c r="M9135">
        <f>HYPERLINK("https://www.senat.fr/senateur-3eme-republique/godart_justin1138r3.html", "godart_justin1138r3")</f>
        <v>0</v>
      </c>
      <c r="N9135">
        <f>HYPERLINK("https://www.wikidata.org/wiki/Q3190446", "Q3190446")</f>
        <v>0</v>
      </c>
      <c r="O9135" t="s">
        <v>20156</v>
      </c>
    </row>
    <row r="9136" spans="1:15">
      <c r="A9136" t="s">
        <v>57</v>
      </c>
      <c r="B9136" t="s">
        <v>149</v>
      </c>
      <c r="C9136" t="s">
        <v>189</v>
      </c>
      <c r="D9136" t="s">
        <v>318</v>
      </c>
      <c r="E9136" t="s">
        <v>441</v>
      </c>
      <c r="F9136">
        <f>HYPERLINK("https://www.wikidata.org/wiki/Q3112068", "Q3112068")</f>
        <v>0</v>
      </c>
      <c r="G9136" t="s">
        <v>1261</v>
      </c>
      <c r="H9136" t="s">
        <v>5985</v>
      </c>
      <c r="I9136" t="s">
        <v>9728</v>
      </c>
      <c r="J9136" t="s">
        <v>11991</v>
      </c>
      <c r="K9136" t="s">
        <v>16394</v>
      </c>
      <c r="L9136">
        <f>HYPERLINK("https://www2.assemblee-nationale.fr/sycomore/fiche/(num_dept)/3926", "3926")</f>
        <v>0</v>
      </c>
      <c r="N9136">
        <f>HYPERLINK("https://www.wikidata.org/wiki/Q3579897", "Q3579897")</f>
        <v>0</v>
      </c>
      <c r="O9136" t="s">
        <v>20219</v>
      </c>
    </row>
    <row r="9137" spans="1:15">
      <c r="A9137" t="s">
        <v>57</v>
      </c>
      <c r="B9137" t="s">
        <v>149</v>
      </c>
      <c r="C9137" t="s">
        <v>189</v>
      </c>
      <c r="D9137" t="s">
        <v>318</v>
      </c>
      <c r="E9137" t="s">
        <v>441</v>
      </c>
      <c r="F9137">
        <f>HYPERLINK("https://www.wikidata.org/wiki/Q3112068", "Q3112068")</f>
        <v>0</v>
      </c>
      <c r="G9137" t="s">
        <v>4068</v>
      </c>
      <c r="H9137" t="s">
        <v>8288</v>
      </c>
      <c r="I9137" t="s">
        <v>9449</v>
      </c>
      <c r="J9137" t="s">
        <v>14608</v>
      </c>
      <c r="K9137" t="s">
        <v>18945</v>
      </c>
      <c r="L9137">
        <f>HYPERLINK("https://www2.assemblee-nationale.fr/sycomore/fiche/(num_dept)/4024", "4024")</f>
        <v>0</v>
      </c>
      <c r="M9137">
        <f>HYPERLINK("https://www.senat.fr/senateur-3eme-republique/jeanneney_jules1206r3.html", "jeanneney_jules1206r3")</f>
        <v>0</v>
      </c>
      <c r="N9137">
        <f>HYPERLINK("https://www.wikidata.org/wiki/Q3188688", "Q3188688")</f>
        <v>0</v>
      </c>
      <c r="O9137" t="s">
        <v>20220</v>
      </c>
    </row>
    <row r="9138" spans="1:15">
      <c r="A9138" t="s">
        <v>57</v>
      </c>
      <c r="B9138" t="s">
        <v>149</v>
      </c>
      <c r="C9138" t="s">
        <v>189</v>
      </c>
      <c r="D9138" t="s">
        <v>318</v>
      </c>
      <c r="E9138" t="s">
        <v>441</v>
      </c>
      <c r="F9138">
        <f>HYPERLINK("https://www.wikidata.org/wiki/Q3112068", "Q3112068")</f>
        <v>0</v>
      </c>
      <c r="G9138" t="s">
        <v>692</v>
      </c>
      <c r="H9138" t="s">
        <v>5450</v>
      </c>
      <c r="I9138" t="s">
        <v>9385</v>
      </c>
      <c r="J9138" t="s">
        <v>11442</v>
      </c>
      <c r="K9138" t="s">
        <v>15843</v>
      </c>
      <c r="L9138">
        <f>HYPERLINK("https://www2.assemblee-nationale.fr/sycomore/fiche/(num_dept)/4047", "4047")</f>
        <v>0</v>
      </c>
      <c r="M9138">
        <f>HYPERLINK("https://www.senat.fr/senateur-3eme-republique/jonnart_celestin0975r3.html", "jonnart_celestin0975r3")</f>
        <v>0</v>
      </c>
      <c r="N9138">
        <f>HYPERLINK("https://www.wikidata.org/wiki/Q212634", "Q212634")</f>
        <v>0</v>
      </c>
      <c r="O9138" t="s">
        <v>20221</v>
      </c>
    </row>
    <row r="9139" spans="1:15">
      <c r="A9139" t="s">
        <v>57</v>
      </c>
      <c r="B9139" t="s">
        <v>149</v>
      </c>
      <c r="C9139" t="s">
        <v>189</v>
      </c>
      <c r="D9139" t="s">
        <v>318</v>
      </c>
      <c r="E9139" t="s">
        <v>441</v>
      </c>
      <c r="F9139">
        <f>HYPERLINK("https://www.wikidata.org/wiki/Q3112068", "Q3112068")</f>
        <v>0</v>
      </c>
      <c r="G9139" t="s">
        <v>1507</v>
      </c>
      <c r="H9139" t="s">
        <v>6204</v>
      </c>
      <c r="I9139" t="s">
        <v>9388</v>
      </c>
      <c r="J9139" t="s">
        <v>12225</v>
      </c>
      <c r="K9139" t="s">
        <v>16630</v>
      </c>
      <c r="L9139">
        <f>HYPERLINK("https://www2.assemblee-nationale.fr/sycomore/fiche/(num_dept)/4069", "4069")</f>
        <v>0</v>
      </c>
      <c r="M9139">
        <f>HYPERLINK("https://www.senat.fr/senateur-3eme-republique/jourdain_paul1113r3.html", "jourdain_paul1113r3")</f>
        <v>0</v>
      </c>
      <c r="N9139">
        <f>HYPERLINK("https://www.wikidata.org/wiki/Q3371547", "Q3371547")</f>
        <v>0</v>
      </c>
      <c r="O9139" t="s">
        <v>20055</v>
      </c>
    </row>
    <row r="9140" spans="1:15">
      <c r="A9140" t="s">
        <v>57</v>
      </c>
      <c r="B9140" t="s">
        <v>149</v>
      </c>
      <c r="C9140" t="s">
        <v>189</v>
      </c>
      <c r="D9140" t="s">
        <v>318</v>
      </c>
      <c r="E9140" t="s">
        <v>441</v>
      </c>
      <c r="F9140">
        <f>HYPERLINK("https://www.wikidata.org/wiki/Q3112068", "Q3112068")</f>
        <v>0</v>
      </c>
      <c r="G9140" t="s">
        <v>696</v>
      </c>
      <c r="H9140" t="s">
        <v>5454</v>
      </c>
      <c r="I9140" t="s">
        <v>9484</v>
      </c>
      <c r="J9140" t="s">
        <v>11446</v>
      </c>
      <c r="K9140" t="s">
        <v>15847</v>
      </c>
      <c r="L9140">
        <f>HYPERLINK("https://www2.assemblee-nationale.fr/sycomore/fiche/(num_dept)/4148", "4148")</f>
        <v>0</v>
      </c>
      <c r="M9140">
        <f>HYPERLINK("https://www.senat.fr/senateur-3eme-republique/klotz_louis1683r3.html", "klotz_louis1683r3")</f>
        <v>0</v>
      </c>
      <c r="N9140">
        <f>HYPERLINK("https://www.wikidata.org/wiki/Q179586", "Q179586")</f>
        <v>0</v>
      </c>
      <c r="O9140" t="s">
        <v>20066</v>
      </c>
    </row>
    <row r="9141" spans="1:15">
      <c r="A9141" t="s">
        <v>57</v>
      </c>
      <c r="B9141" t="s">
        <v>149</v>
      </c>
      <c r="C9141" t="s">
        <v>189</v>
      </c>
      <c r="D9141" t="s">
        <v>318</v>
      </c>
      <c r="E9141" t="s">
        <v>441</v>
      </c>
      <c r="F9141">
        <f>HYPERLINK("https://www.wikidata.org/wiki/Q3112068", "Q3112068")</f>
        <v>0</v>
      </c>
      <c r="G9141" t="s">
        <v>980</v>
      </c>
      <c r="H9141" t="s">
        <v>5732</v>
      </c>
      <c r="I9141" t="s">
        <v>6495</v>
      </c>
      <c r="J9141" t="s">
        <v>11718</v>
      </c>
      <c r="K9141" t="s">
        <v>16122</v>
      </c>
      <c r="L9141">
        <f>HYPERLINK("https://www2.assemblee-nationale.fr/sycomore/fiche/(num_dept)/4248", "4248")</f>
        <v>0</v>
      </c>
      <c r="M9141">
        <f>HYPERLINK("https://www.senat.fr/senateur-3eme-republique/lafferre_antonin0251r3.html", "lafferre_antonin0251r3")</f>
        <v>0</v>
      </c>
      <c r="N9141">
        <f>HYPERLINK("https://www.wikidata.org/wiki/Q3262422", "Q3262422")</f>
        <v>0</v>
      </c>
      <c r="O9141" t="s">
        <v>20051</v>
      </c>
    </row>
    <row r="9142" spans="1:15">
      <c r="A9142" t="s">
        <v>57</v>
      </c>
      <c r="B9142" t="s">
        <v>149</v>
      </c>
      <c r="C9142" t="s">
        <v>189</v>
      </c>
      <c r="D9142" t="s">
        <v>318</v>
      </c>
      <c r="E9142" t="s">
        <v>441</v>
      </c>
      <c r="F9142">
        <f>HYPERLINK("https://www.wikidata.org/wiki/Q3112068", "Q3112068")</f>
        <v>0</v>
      </c>
      <c r="G9142" t="s">
        <v>1517</v>
      </c>
      <c r="H9142" t="s">
        <v>6213</v>
      </c>
      <c r="I9142" t="s">
        <v>6495</v>
      </c>
      <c r="J9142" t="s">
        <v>12234</v>
      </c>
      <c r="K9142" t="s">
        <v>16640</v>
      </c>
      <c r="L9142">
        <f>HYPERLINK("https://www2.assemblee-nationale.fr/sycomore/fiche/(num_dept)/4823", "4823")</f>
        <v>0</v>
      </c>
      <c r="N9142">
        <f>HYPERLINK("https://www.wikidata.org/wiki/Q2788498", "Q2788498")</f>
        <v>0</v>
      </c>
      <c r="O9142" t="s">
        <v>20162</v>
      </c>
    </row>
    <row r="9143" spans="1:15">
      <c r="A9143" t="s">
        <v>57</v>
      </c>
      <c r="B9143" t="s">
        <v>149</v>
      </c>
      <c r="C9143" t="s">
        <v>189</v>
      </c>
      <c r="D9143" t="s">
        <v>318</v>
      </c>
      <c r="E9143" t="s">
        <v>441</v>
      </c>
      <c r="F9143">
        <f>HYPERLINK("https://www.wikidata.org/wiki/Q3112068", "Q3112068")</f>
        <v>0</v>
      </c>
      <c r="G9143" t="s">
        <v>1517</v>
      </c>
      <c r="H9143" t="s">
        <v>6213</v>
      </c>
      <c r="I9143" t="s">
        <v>6495</v>
      </c>
      <c r="J9143" t="s">
        <v>12234</v>
      </c>
      <c r="K9143" t="s">
        <v>16640</v>
      </c>
      <c r="L9143">
        <f>HYPERLINK("https://www2.assemblee-nationale.fr/sycomore/fiche/(num_dept)/4823", "4823")</f>
        <v>0</v>
      </c>
      <c r="N9143">
        <f>HYPERLINK("https://www.wikidata.org/wiki/Q2788498", "Q2788498")</f>
        <v>0</v>
      </c>
      <c r="O9143" t="s">
        <v>20222</v>
      </c>
    </row>
    <row r="9144" spans="1:15">
      <c r="A9144" t="s">
        <v>57</v>
      </c>
      <c r="B9144" t="s">
        <v>149</v>
      </c>
      <c r="C9144" t="s">
        <v>189</v>
      </c>
      <c r="D9144" t="s">
        <v>318</v>
      </c>
      <c r="E9144" t="s">
        <v>441</v>
      </c>
      <c r="F9144">
        <f>HYPERLINK("https://www.wikidata.org/wiki/Q3112068", "Q3112068")</f>
        <v>0</v>
      </c>
      <c r="G9144" t="s">
        <v>740</v>
      </c>
      <c r="H9144" t="s">
        <v>5498</v>
      </c>
      <c r="I9144" t="s">
        <v>9388</v>
      </c>
      <c r="J9144" t="s">
        <v>11489</v>
      </c>
      <c r="K9144" t="s">
        <v>15891</v>
      </c>
      <c r="L9144">
        <f>HYPERLINK("https://www2.assemblee-nationale.fr/sycomore/fiche/(num_dept)/5413", "5413")</f>
        <v>0</v>
      </c>
      <c r="N9144">
        <f>HYPERLINK("https://www.wikidata.org/wiki/Q3371866", "Q3371866")</f>
        <v>0</v>
      </c>
      <c r="O9144" t="s">
        <v>20223</v>
      </c>
    </row>
    <row r="9145" spans="1:15">
      <c r="A9145" t="s">
        <v>57</v>
      </c>
      <c r="B9145" t="s">
        <v>149</v>
      </c>
      <c r="C9145" t="s">
        <v>189</v>
      </c>
      <c r="D9145" t="s">
        <v>318</v>
      </c>
      <c r="E9145" t="s">
        <v>441</v>
      </c>
      <c r="F9145">
        <f>HYPERLINK("https://www.wikidata.org/wiki/Q3112068", "Q3112068")</f>
        <v>0</v>
      </c>
      <c r="G9145" t="s">
        <v>1279</v>
      </c>
      <c r="H9145" t="s">
        <v>6002</v>
      </c>
      <c r="I9145" t="s">
        <v>6495</v>
      </c>
      <c r="J9145" t="s">
        <v>12009</v>
      </c>
      <c r="K9145" t="s">
        <v>16412</v>
      </c>
      <c r="L9145">
        <f>HYPERLINK("https://www2.assemblee-nationale.fr/sycomore/fiche/(num_dept)/5456", "5456")</f>
        <v>0</v>
      </c>
      <c r="M9145">
        <f>HYPERLINK("https://www.senat.fr/senateur-3eme-republique/mourier_louis0823r3.html", "mourier_louis0823r3")</f>
        <v>0</v>
      </c>
      <c r="N9145">
        <f>HYPERLINK("https://www.wikidata.org/wiki/Q1871877", "Q1871877")</f>
        <v>0</v>
      </c>
      <c r="O9145" t="s">
        <v>20156</v>
      </c>
    </row>
    <row r="9146" spans="1:15">
      <c r="A9146" t="s">
        <v>57</v>
      </c>
      <c r="B9146" t="s">
        <v>149</v>
      </c>
      <c r="C9146" t="s">
        <v>189</v>
      </c>
      <c r="D9146" t="s">
        <v>318</v>
      </c>
      <c r="E9146" t="s">
        <v>441</v>
      </c>
      <c r="F9146">
        <f>HYPERLINK("https://www.wikidata.org/wiki/Q3112068", "Q3112068")</f>
        <v>0</v>
      </c>
      <c r="G9146" t="s">
        <v>1013</v>
      </c>
      <c r="H9146" t="s">
        <v>5763</v>
      </c>
      <c r="I9146" t="s">
        <v>6495</v>
      </c>
      <c r="J9146" t="s">
        <v>11750</v>
      </c>
      <c r="K9146" t="s">
        <v>16153</v>
      </c>
      <c r="L9146">
        <f>HYPERLINK("https://www2.assemblee-nationale.fr/sycomore/fiche/(num_dept)/5502", "5502")</f>
        <v>0</v>
      </c>
      <c r="N9146">
        <f>HYPERLINK("https://www.wikidata.org/wiki/Q3262775", "Q3262775")</f>
        <v>0</v>
      </c>
      <c r="O9146" t="s">
        <v>20064</v>
      </c>
    </row>
    <row r="9147" spans="1:15">
      <c r="A9147" t="s">
        <v>57</v>
      </c>
      <c r="B9147" t="s">
        <v>149</v>
      </c>
      <c r="C9147" t="s">
        <v>189</v>
      </c>
      <c r="D9147" t="s">
        <v>318</v>
      </c>
      <c r="E9147" t="s">
        <v>441</v>
      </c>
      <c r="F9147">
        <f>HYPERLINK("https://www.wikidata.org/wiki/Q3112068", "Q3112068")</f>
        <v>0</v>
      </c>
      <c r="G9147" t="s">
        <v>748</v>
      </c>
      <c r="H9147" t="s">
        <v>5506</v>
      </c>
      <c r="I9147" t="s">
        <v>9407</v>
      </c>
      <c r="J9147" t="s">
        <v>11330</v>
      </c>
      <c r="K9147" t="s">
        <v>15899</v>
      </c>
      <c r="L9147">
        <f>HYPERLINK("https://www2.assemblee-nationale.fr/sycomore/fiche/(num_dept)/5583", "5583")</f>
        <v>0</v>
      </c>
      <c r="M9147">
        <f>HYPERLINK("https://www.senat.fr/senateur-3eme-republique/noulens_jean_baptiste0149r3.html", "noulens_jean_baptiste0149r3")</f>
        <v>0</v>
      </c>
      <c r="N9147">
        <f>HYPERLINK("https://www.wikidata.org/wiki/Q3185419", "Q3185419")</f>
        <v>0</v>
      </c>
      <c r="O9147" t="s">
        <v>20214</v>
      </c>
    </row>
    <row r="9148" spans="1:15">
      <c r="A9148" t="s">
        <v>57</v>
      </c>
      <c r="B9148" t="s">
        <v>149</v>
      </c>
      <c r="C9148" t="s">
        <v>189</v>
      </c>
      <c r="D9148" t="s">
        <v>318</v>
      </c>
      <c r="E9148" t="s">
        <v>441</v>
      </c>
      <c r="F9148">
        <f>HYPERLINK("https://www.wikidata.org/wiki/Q3112068", "Q3112068")</f>
        <v>0</v>
      </c>
      <c r="G9148" t="s">
        <v>3721</v>
      </c>
      <c r="H9148" t="s">
        <v>8030</v>
      </c>
      <c r="I9148" t="s">
        <v>9449</v>
      </c>
      <c r="J9148" t="s">
        <v>14296</v>
      </c>
      <c r="K9148" t="s">
        <v>18650</v>
      </c>
      <c r="L9148">
        <f>HYPERLINK("https://www2.assemblee-nationale.fr/sycomore/fiche/(num_dept)/5665", "5665")</f>
        <v>0</v>
      </c>
      <c r="M9148">
        <f>HYPERLINK("https://www.senat.fr/senateur-3eme-republique/pams_jules1089r3.html", "pams_jules1089r3")</f>
        <v>0</v>
      </c>
      <c r="N9148">
        <f>HYPERLINK("https://www.wikidata.org/wiki/Q3188830", "Q3188830")</f>
        <v>0</v>
      </c>
      <c r="O9148" t="s">
        <v>20058</v>
      </c>
    </row>
    <row r="9149" spans="1:15">
      <c r="A9149" t="s">
        <v>57</v>
      </c>
      <c r="B9149" t="s">
        <v>149</v>
      </c>
      <c r="C9149" t="s">
        <v>189</v>
      </c>
      <c r="D9149" t="s">
        <v>318</v>
      </c>
      <c r="E9149" t="s">
        <v>441</v>
      </c>
      <c r="F9149">
        <f>HYPERLINK("https://www.wikidata.org/wiki/Q3112068", "Q3112068")</f>
        <v>0</v>
      </c>
      <c r="G9149" t="s">
        <v>3276</v>
      </c>
      <c r="H9149" t="s">
        <v>7691</v>
      </c>
      <c r="I9149" t="s">
        <v>10740</v>
      </c>
      <c r="J9149" t="s">
        <v>13890</v>
      </c>
      <c r="K9149" t="s">
        <v>18262</v>
      </c>
      <c r="L9149">
        <f>HYPERLINK("https://www2.assemblee-nationale.fr/sycomore/fiche/(num_dept)/5905", "5905")</f>
        <v>0</v>
      </c>
      <c r="M9149">
        <f>HYPERLINK("https://www.senat.fr/senateur-3eme-republique/pichon_stephen0429r3.html", "pichon_stephen0429r3")</f>
        <v>0</v>
      </c>
      <c r="N9149">
        <f>HYPERLINK("https://www.wikidata.org/wiki/Q1069292", "Q1069292")</f>
        <v>0</v>
      </c>
      <c r="O9149" t="s">
        <v>20062</v>
      </c>
    </row>
    <row r="9150" spans="1:15">
      <c r="A9150" t="s">
        <v>57</v>
      </c>
      <c r="B9150" t="s">
        <v>149</v>
      </c>
      <c r="C9150" t="s">
        <v>189</v>
      </c>
      <c r="D9150" t="s">
        <v>318</v>
      </c>
      <c r="E9150" t="s">
        <v>441</v>
      </c>
      <c r="F9150">
        <f>HYPERLINK("https://www.wikidata.org/wiki/Q3112068", "Q3112068")</f>
        <v>0</v>
      </c>
      <c r="G9150" t="s">
        <v>1206</v>
      </c>
      <c r="H9150" t="s">
        <v>5934</v>
      </c>
      <c r="I9150" t="s">
        <v>6585</v>
      </c>
      <c r="J9150" t="s">
        <v>11939</v>
      </c>
      <c r="K9150" t="s">
        <v>16340</v>
      </c>
      <c r="L9150">
        <f>HYPERLINK("https://www2.assemblee-nationale.fr/sycomore/fiche/(num_dept)/6953", "6953")</f>
        <v>0</v>
      </c>
      <c r="N9150">
        <f>HYPERLINK("https://www.wikidata.org/wiki/Q346648", "Q346648")</f>
        <v>0</v>
      </c>
      <c r="O9150" t="s">
        <v>20224</v>
      </c>
    </row>
    <row r="9151" spans="1:15">
      <c r="A9151" t="s">
        <v>57</v>
      </c>
      <c r="B9151" t="s">
        <v>149</v>
      </c>
      <c r="C9151" t="s">
        <v>189</v>
      </c>
      <c r="D9151" t="s">
        <v>318</v>
      </c>
      <c r="E9151" t="s">
        <v>441</v>
      </c>
      <c r="F9151">
        <f>HYPERLINK("https://www.wikidata.org/wiki/Q3112068", "Q3112068")</f>
        <v>0</v>
      </c>
      <c r="G9151" t="s">
        <v>1659</v>
      </c>
      <c r="H9151" t="s">
        <v>6342</v>
      </c>
      <c r="I9151" t="s">
        <v>9843</v>
      </c>
      <c r="J9151" t="s">
        <v>12366</v>
      </c>
      <c r="K9151" t="s">
        <v>16773</v>
      </c>
      <c r="L9151">
        <f>HYPERLINK("https://www2.assemblee-nationale.fr/sycomore/fiche/(num_dept)/7630", "7630")</f>
        <v>0</v>
      </c>
      <c r="M9151">
        <f>HYPERLINK("https://www.senat.fr/senateur-3eme-republique/le_trocquer_yves0588r3.html", "le_trocquer_yves0588r3")</f>
        <v>0</v>
      </c>
      <c r="N9151">
        <f>HYPERLINK("https://www.wikidata.org/wiki/Q3573784", "Q3573784")</f>
        <v>0</v>
      </c>
      <c r="O9151" t="s">
        <v>20122</v>
      </c>
    </row>
    <row r="9152" spans="1:15">
      <c r="A9152" t="s">
        <v>57</v>
      </c>
      <c r="B9152" t="s">
        <v>149</v>
      </c>
      <c r="C9152" t="s">
        <v>189</v>
      </c>
      <c r="D9152" t="s">
        <v>318</v>
      </c>
      <c r="E9152" t="s">
        <v>441</v>
      </c>
      <c r="F9152">
        <f>HYPERLINK("https://www.wikidata.org/wiki/Q3112068", "Q3112068")</f>
        <v>0</v>
      </c>
      <c r="G9152" t="s">
        <v>846</v>
      </c>
      <c r="H9152" t="s">
        <v>5603</v>
      </c>
      <c r="I9152" t="s">
        <v>6584</v>
      </c>
      <c r="J9152" t="s">
        <v>11593</v>
      </c>
      <c r="K9152" t="s">
        <v>15784</v>
      </c>
      <c r="L9152">
        <f>HYPERLINK("https://www2.assemblee-nationale.fr/sycomore/fiche/(num_dept)/7652", "7652")</f>
        <v>0</v>
      </c>
      <c r="M9152">
        <f>HYPERLINK("https://www.senat.fr/senateur-3eme-republique/lebrun_albert0945r3.html", "lebrun_albert0945r3")</f>
        <v>0</v>
      </c>
      <c r="N9152">
        <f>HYPERLINK("https://www.wikidata.org/wiki/Q158749", "Q158749")</f>
        <v>0</v>
      </c>
      <c r="O9152" t="s">
        <v>20225</v>
      </c>
    </row>
    <row r="9153" spans="1:15">
      <c r="A9153" t="s">
        <v>57</v>
      </c>
      <c r="B9153" t="s">
        <v>149</v>
      </c>
      <c r="C9153" t="s">
        <v>189</v>
      </c>
      <c r="D9153" t="s">
        <v>318</v>
      </c>
      <c r="E9153" t="s">
        <v>441</v>
      </c>
      <c r="F9153">
        <f>HYPERLINK("https://www.wikidata.org/wiki/Q3112068", "Q3112068")</f>
        <v>0</v>
      </c>
      <c r="G9153" t="s">
        <v>1212</v>
      </c>
      <c r="H9153" t="s">
        <v>5940</v>
      </c>
      <c r="I9153" t="s">
        <v>6478</v>
      </c>
      <c r="J9153" t="s">
        <v>11944</v>
      </c>
      <c r="K9153" t="s">
        <v>16346</v>
      </c>
      <c r="L9153">
        <f>HYPERLINK("https://www2.assemblee-nationale.fr/sycomore/fiche/(num_dept)/7751", "7751")</f>
        <v>0</v>
      </c>
      <c r="M9153">
        <f>HYPERLINK("https://www.senat.fr/senateur-3eme-republique/lemery_henry0701r3.html", "lemery_henry0701r3")</f>
        <v>0</v>
      </c>
      <c r="N9153">
        <f>HYPERLINK("https://www.wikidata.org/wiki/Q3132926", "Q3132926")</f>
        <v>0</v>
      </c>
      <c r="O9153" t="s">
        <v>20226</v>
      </c>
    </row>
    <row r="9154" spans="1:15">
      <c r="A9154" t="s">
        <v>57</v>
      </c>
      <c r="B9154" t="s">
        <v>149</v>
      </c>
      <c r="C9154" t="s">
        <v>189</v>
      </c>
      <c r="D9154" t="s">
        <v>318</v>
      </c>
      <c r="E9154" t="s">
        <v>441</v>
      </c>
      <c r="F9154">
        <f>HYPERLINK("https://www.wikidata.org/wiki/Q3112068", "Q3112068")</f>
        <v>0</v>
      </c>
      <c r="G9154" t="s">
        <v>857</v>
      </c>
      <c r="H9154" t="s">
        <v>5613</v>
      </c>
      <c r="I9154" t="s">
        <v>6175</v>
      </c>
      <c r="J9154" t="s">
        <v>11603</v>
      </c>
      <c r="K9154" t="s">
        <v>16005</v>
      </c>
      <c r="L9154">
        <f>HYPERLINK("https://www2.assemblee-nationale.fr/sycomore/fiche/(num_dept)/7840", "7840")</f>
        <v>0</v>
      </c>
      <c r="N9154">
        <f>HYPERLINK("https://www.wikidata.org/wiki/Q728806", "Q728806")</f>
        <v>0</v>
      </c>
      <c r="O9154" t="s">
        <v>20053</v>
      </c>
    </row>
    <row r="9155" spans="1:15">
      <c r="A9155" t="s">
        <v>57</v>
      </c>
      <c r="B9155" t="s">
        <v>149</v>
      </c>
      <c r="C9155" t="s">
        <v>189</v>
      </c>
      <c r="D9155" t="s">
        <v>318</v>
      </c>
      <c r="E9155" t="s">
        <v>441</v>
      </c>
      <c r="F9155">
        <f>HYPERLINK("https://www.wikidata.org/wiki/Q3112068", "Q3112068")</f>
        <v>0</v>
      </c>
      <c r="G9155" t="s">
        <v>4273</v>
      </c>
      <c r="H9155" t="s">
        <v>6822</v>
      </c>
      <c r="I9155" t="s">
        <v>6478</v>
      </c>
      <c r="J9155" t="s">
        <v>14772</v>
      </c>
      <c r="K9155" t="s">
        <v>19120</v>
      </c>
      <c r="M9155">
        <f>HYPERLINK("https://www.senat.fr/senateur-3eme-republique/berenger_henry0845r3.html", "berenger_henry0845r3")</f>
        <v>0</v>
      </c>
      <c r="N9155">
        <f>HYPERLINK("https://www.wikidata.org/wiki/Q377169", "Q377169")</f>
        <v>0</v>
      </c>
      <c r="O9155" t="s">
        <v>20227</v>
      </c>
    </row>
    <row r="9156" spans="1:15">
      <c r="A9156" t="s">
        <v>57</v>
      </c>
      <c r="B9156" t="s">
        <v>149</v>
      </c>
      <c r="C9156" t="s">
        <v>189</v>
      </c>
      <c r="D9156" t="s">
        <v>318</v>
      </c>
      <c r="E9156" t="s">
        <v>441</v>
      </c>
      <c r="F9156">
        <f>HYPERLINK("https://www.wikidata.org/wiki/Q3112068", "Q3112068")</f>
        <v>0</v>
      </c>
      <c r="G9156" t="s">
        <v>1053</v>
      </c>
      <c r="H9156" t="s">
        <v>5800</v>
      </c>
      <c r="I9156" t="s">
        <v>6478</v>
      </c>
      <c r="J9156" t="s">
        <v>11790</v>
      </c>
      <c r="K9156" t="s">
        <v>16191</v>
      </c>
      <c r="N9156">
        <f>HYPERLINK("https://www.wikidata.org/wiki/Q5728332", "Q5728332")</f>
        <v>0</v>
      </c>
      <c r="O9156" t="s">
        <v>20065</v>
      </c>
    </row>
    <row r="9157" spans="1:15">
      <c r="A9157" t="s">
        <v>57</v>
      </c>
      <c r="B9157" t="s">
        <v>149</v>
      </c>
      <c r="C9157" t="s">
        <v>189</v>
      </c>
      <c r="D9157" t="s">
        <v>318</v>
      </c>
      <c r="E9157" t="s">
        <v>441</v>
      </c>
      <c r="F9157">
        <f>HYPERLINK("https://www.wikidata.org/wiki/Q3112068", "Q3112068")</f>
        <v>0</v>
      </c>
      <c r="G9157" t="s">
        <v>4251</v>
      </c>
      <c r="H9157" t="s">
        <v>8421</v>
      </c>
      <c r="I9157" t="s">
        <v>11174</v>
      </c>
      <c r="J9157" t="s">
        <v>14755</v>
      </c>
      <c r="K9157" t="s">
        <v>19102</v>
      </c>
      <c r="M9157">
        <f>HYPERLINK("https://www.senat.fr/senateur-3eme-republique/claveille_albert0663r3.html", "claveille_albert0663r3")</f>
        <v>0</v>
      </c>
      <c r="N9157">
        <f>HYPERLINK("https://www.wikidata.org/wiki/Q2830877", "Q2830877")</f>
        <v>0</v>
      </c>
      <c r="O9157" t="s">
        <v>20228</v>
      </c>
    </row>
    <row r="9158" spans="1:15">
      <c r="A9158" t="s">
        <v>57</v>
      </c>
      <c r="B9158" t="s">
        <v>149</v>
      </c>
      <c r="C9158" t="s">
        <v>189</v>
      </c>
      <c r="D9158" t="s">
        <v>318</v>
      </c>
      <c r="E9158" t="s">
        <v>441</v>
      </c>
      <c r="F9158">
        <f>HYPERLINK("https://www.wikidata.org/wiki/Q3112068", "Q3112068")</f>
        <v>0</v>
      </c>
      <c r="G9158" t="s">
        <v>1141</v>
      </c>
      <c r="H9158" t="s">
        <v>5876</v>
      </c>
      <c r="I9158" t="s">
        <v>6495</v>
      </c>
      <c r="J9158" t="s">
        <v>11875</v>
      </c>
      <c r="K9158" t="s">
        <v>16277</v>
      </c>
      <c r="N9158">
        <f>HYPERLINK("https://www.wikidata.org/wiki/Q3261710", "Q3261710")</f>
        <v>0</v>
      </c>
      <c r="O9158" t="s">
        <v>20229</v>
      </c>
    </row>
    <row r="9159" spans="1:15">
      <c r="A9159" t="s">
        <v>57</v>
      </c>
      <c r="B9159" t="s">
        <v>149</v>
      </c>
      <c r="C9159" t="s">
        <v>189</v>
      </c>
      <c r="D9159" t="s">
        <v>318</v>
      </c>
      <c r="E9159" t="s">
        <v>441</v>
      </c>
      <c r="F9159">
        <f>HYPERLINK("https://www.wikidata.org/wiki/Q3112068", "Q3112068")</f>
        <v>0</v>
      </c>
      <c r="G9159" t="s">
        <v>939</v>
      </c>
      <c r="H9159" t="s">
        <v>5695</v>
      </c>
      <c r="I9159" t="s">
        <v>6495</v>
      </c>
      <c r="J9159" t="s">
        <v>11680</v>
      </c>
      <c r="K9159" t="s">
        <v>16081</v>
      </c>
      <c r="N9159">
        <f>HYPERLINK("https://www.wikidata.org/wiki/Q3261764", "Q3261764")</f>
        <v>0</v>
      </c>
      <c r="O9159" t="s">
        <v>20230</v>
      </c>
    </row>
    <row r="9160" spans="1:15">
      <c r="A9160" t="s">
        <v>57</v>
      </c>
      <c r="B9160" t="s">
        <v>149</v>
      </c>
      <c r="C9160" t="s">
        <v>189</v>
      </c>
      <c r="D9160" t="s">
        <v>318</v>
      </c>
      <c r="E9160" t="s">
        <v>441</v>
      </c>
      <c r="F9160">
        <f>HYPERLINK("https://www.wikidata.org/wiki/Q3112068", "Q3112068")</f>
        <v>0</v>
      </c>
      <c r="G9160" t="s">
        <v>4274</v>
      </c>
      <c r="H9160" t="s">
        <v>8437</v>
      </c>
      <c r="I9160" t="s">
        <v>9442</v>
      </c>
      <c r="J9160" t="s">
        <v>14773</v>
      </c>
      <c r="K9160" t="s">
        <v>16242</v>
      </c>
      <c r="N9160">
        <f>HYPERLINK("https://www.wikidata.org/wiki/Q3057200", "Q3057200")</f>
        <v>0</v>
      </c>
      <c r="O9160" t="s">
        <v>20231</v>
      </c>
    </row>
    <row r="9161" spans="1:15">
      <c r="A9161" t="s">
        <v>57</v>
      </c>
      <c r="B9161" t="s">
        <v>149</v>
      </c>
      <c r="C9161" t="s">
        <v>189</v>
      </c>
      <c r="D9161" t="s">
        <v>318</v>
      </c>
      <c r="E9161" t="s">
        <v>441</v>
      </c>
      <c r="F9161">
        <f>HYPERLINK("https://www.wikidata.org/wiki/Q3112068", "Q3112068")</f>
        <v>0</v>
      </c>
      <c r="G9161" t="s">
        <v>522</v>
      </c>
      <c r="H9161" t="s">
        <v>5286</v>
      </c>
      <c r="I9161" t="s">
        <v>5528</v>
      </c>
      <c r="J9161" t="s">
        <v>11274</v>
      </c>
      <c r="K9161" t="s">
        <v>19078</v>
      </c>
      <c r="N9161">
        <f>HYPERLINK("https://www.wikidata.org/wiki/Q18384890", "Q18384890")</f>
        <v>0</v>
      </c>
      <c r="O9161" t="s">
        <v>20119</v>
      </c>
    </row>
    <row r="9162" spans="1:15">
      <c r="A9162" t="s">
        <v>57</v>
      </c>
      <c r="B9162" t="s">
        <v>149</v>
      </c>
      <c r="C9162" t="s">
        <v>189</v>
      </c>
      <c r="D9162" t="s">
        <v>318</v>
      </c>
      <c r="E9162" t="s">
        <v>441</v>
      </c>
      <c r="F9162">
        <f>HYPERLINK("https://www.wikidata.org/wiki/Q3112068", "Q3112068")</f>
        <v>0</v>
      </c>
      <c r="G9162" t="s">
        <v>4275</v>
      </c>
      <c r="H9162" t="s">
        <v>8438</v>
      </c>
      <c r="I9162" t="s">
        <v>9385</v>
      </c>
      <c r="J9162" t="s">
        <v>14774</v>
      </c>
      <c r="K9162" t="s">
        <v>19121</v>
      </c>
      <c r="N9162">
        <f>HYPERLINK("https://www.wikidata.org/wiki/Q2960216", "Q2960216")</f>
        <v>0</v>
      </c>
      <c r="O9162" t="s">
        <v>20054</v>
      </c>
    </row>
    <row r="9163" spans="1:15">
      <c r="A9163" t="s">
        <v>57</v>
      </c>
      <c r="B9163" t="s">
        <v>149</v>
      </c>
      <c r="C9163" t="s">
        <v>189</v>
      </c>
      <c r="D9163" t="s">
        <v>318</v>
      </c>
      <c r="E9163" t="s">
        <v>441</v>
      </c>
      <c r="F9163">
        <f>HYPERLINK("https://www.wikidata.org/wiki/Q3112068", "Q3112068")</f>
        <v>0</v>
      </c>
      <c r="G9163" t="s">
        <v>1141</v>
      </c>
      <c r="H9163" t="s">
        <v>5876</v>
      </c>
      <c r="I9163" t="s">
        <v>6495</v>
      </c>
      <c r="J9163" t="s">
        <v>11875</v>
      </c>
      <c r="K9163" t="s">
        <v>16277</v>
      </c>
      <c r="N9163">
        <f>HYPERLINK("https://www.wikidata.org/wiki/Q3261710", "Q3261710")</f>
        <v>0</v>
      </c>
      <c r="O9163" t="s">
        <v>20232</v>
      </c>
    </row>
    <row r="9164" spans="1:15">
      <c r="A9164" t="s">
        <v>58</v>
      </c>
      <c r="B9164" t="s">
        <v>149</v>
      </c>
      <c r="C9164" t="s">
        <v>190</v>
      </c>
      <c r="D9164" t="s">
        <v>319</v>
      </c>
      <c r="E9164" t="s">
        <v>442</v>
      </c>
      <c r="F9164">
        <f>HYPERLINK("https://www.wikidata.org/wiki/Q1829373", "Q1829373")</f>
        <v>0</v>
      </c>
      <c r="G9164" t="s">
        <v>3678</v>
      </c>
      <c r="H9164" t="s">
        <v>5286</v>
      </c>
      <c r="I9164" t="s">
        <v>9553</v>
      </c>
      <c r="J9164" t="s">
        <v>14255</v>
      </c>
      <c r="K9164" t="s">
        <v>18616</v>
      </c>
      <c r="L9164">
        <f>HYPERLINK("https://www2.assemblee-nationale.fr/sycomore/fiche/(num_dept)/647", "647")</f>
        <v>0</v>
      </c>
      <c r="M9164">
        <f>HYPERLINK("https://www.senat.fr/senateur-3eme-republique/berard_alexandre0019r3.html", "berard_alexandre0019r3")</f>
        <v>0</v>
      </c>
      <c r="N9164">
        <f>HYPERLINK("https://www.wikidata.org/wiki/Q2833511", "Q2833511")</f>
        <v>0</v>
      </c>
      <c r="O9164" t="s">
        <v>20187</v>
      </c>
    </row>
    <row r="9165" spans="1:15">
      <c r="A9165" t="s">
        <v>58</v>
      </c>
      <c r="B9165" t="s">
        <v>149</v>
      </c>
      <c r="C9165" t="s">
        <v>190</v>
      </c>
      <c r="D9165" t="s">
        <v>319</v>
      </c>
      <c r="E9165" t="s">
        <v>442</v>
      </c>
      <c r="F9165">
        <f>HYPERLINK("https://www.wikidata.org/wiki/Q1829373", "Q1829373")</f>
        <v>0</v>
      </c>
      <c r="G9165" t="s">
        <v>525</v>
      </c>
      <c r="H9165" t="s">
        <v>5289</v>
      </c>
      <c r="I9165" t="s">
        <v>7642</v>
      </c>
      <c r="J9165" t="s">
        <v>11277</v>
      </c>
      <c r="K9165" t="s">
        <v>15677</v>
      </c>
      <c r="L9165">
        <f>HYPERLINK("https://www2.assemblee-nationale.fr/sycomore/fiche/(num_dept)/720", "720")</f>
        <v>0</v>
      </c>
      <c r="N9165">
        <f>HYPERLINK("https://www.wikidata.org/wiki/Q3300415", "Q3300415")</f>
        <v>0</v>
      </c>
      <c r="O9165" t="s">
        <v>20057</v>
      </c>
    </row>
    <row r="9166" spans="1:15">
      <c r="A9166" t="s">
        <v>58</v>
      </c>
      <c r="B9166" t="s">
        <v>149</v>
      </c>
      <c r="C9166" t="s">
        <v>190</v>
      </c>
      <c r="D9166" t="s">
        <v>319</v>
      </c>
      <c r="E9166" t="s">
        <v>442</v>
      </c>
      <c r="F9166">
        <f>HYPERLINK("https://www.wikidata.org/wiki/Q1829373", "Q1829373")</f>
        <v>0</v>
      </c>
      <c r="G9166" t="s">
        <v>608</v>
      </c>
      <c r="H9166" t="s">
        <v>5368</v>
      </c>
      <c r="I9166" t="s">
        <v>9451</v>
      </c>
      <c r="J9166" t="s">
        <v>11359</v>
      </c>
      <c r="K9166" t="s">
        <v>15760</v>
      </c>
      <c r="L9166">
        <f>HYPERLINK("https://www2.assemblee-nationale.fr/sycomore/fiche/(num_dept)/2283", "2283")</f>
        <v>0</v>
      </c>
      <c r="N9166">
        <f>HYPERLINK("https://www.wikidata.org/wiki/Q503827", "Q503827")</f>
        <v>0</v>
      </c>
      <c r="O9166" t="s">
        <v>20062</v>
      </c>
    </row>
    <row r="9167" spans="1:15">
      <c r="A9167" t="s">
        <v>58</v>
      </c>
      <c r="B9167" t="s">
        <v>149</v>
      </c>
      <c r="C9167" t="s">
        <v>190</v>
      </c>
      <c r="D9167" t="s">
        <v>319</v>
      </c>
      <c r="E9167" t="s">
        <v>442</v>
      </c>
      <c r="F9167">
        <f>HYPERLINK("https://www.wikidata.org/wiki/Q1829373", "Q1829373")</f>
        <v>0</v>
      </c>
      <c r="G9167" t="s">
        <v>3819</v>
      </c>
      <c r="H9167" t="s">
        <v>8103</v>
      </c>
      <c r="I9167" t="s">
        <v>9470</v>
      </c>
      <c r="J9167" t="s">
        <v>14385</v>
      </c>
      <c r="K9167" t="s">
        <v>18737</v>
      </c>
      <c r="L9167">
        <f>HYPERLINK("https://www2.assemblee-nationale.fr/sycomore/fiche/(num_dept)/2570", "2570")</f>
        <v>0</v>
      </c>
      <c r="M9167">
        <f>HYPERLINK("https://www.senat.fr/senateur-3eme-republique/doumergue_gaston0833r3.html", "doumergue_gaston0833r3")</f>
        <v>0</v>
      </c>
      <c r="N9167">
        <f>HYPERLINK("https://www.wikidata.org/wiki/Q296064", "Q296064")</f>
        <v>0</v>
      </c>
      <c r="O9167" t="s">
        <v>20065</v>
      </c>
    </row>
    <row r="9168" spans="1:15">
      <c r="A9168" t="s">
        <v>58</v>
      </c>
      <c r="B9168" t="s">
        <v>149</v>
      </c>
      <c r="C9168" t="s">
        <v>190</v>
      </c>
      <c r="D9168" t="s">
        <v>319</v>
      </c>
      <c r="E9168" t="s">
        <v>442</v>
      </c>
      <c r="F9168">
        <f>HYPERLINK("https://www.wikidata.org/wiki/Q1829373", "Q1829373")</f>
        <v>0</v>
      </c>
      <c r="G9168" t="s">
        <v>3476</v>
      </c>
      <c r="H9168" t="s">
        <v>7849</v>
      </c>
      <c r="I9168" t="s">
        <v>9437</v>
      </c>
      <c r="J9168" t="s">
        <v>14076</v>
      </c>
      <c r="K9168" t="s">
        <v>18023</v>
      </c>
      <c r="L9168">
        <f>HYPERLINK("https://www2.assemblee-nationale.fr/sycomore/fiche/(num_dept)/5059", "5059")</f>
        <v>0</v>
      </c>
      <c r="N9168">
        <f>HYPERLINK("https://www.wikidata.org/wiki/Q3588648", "Q3588648")</f>
        <v>0</v>
      </c>
      <c r="O9168" t="s">
        <v>20063</v>
      </c>
    </row>
    <row r="9169" spans="1:15">
      <c r="A9169" t="s">
        <v>58</v>
      </c>
      <c r="B9169" t="s">
        <v>149</v>
      </c>
      <c r="C9169" t="s">
        <v>190</v>
      </c>
      <c r="D9169" t="s">
        <v>319</v>
      </c>
      <c r="E9169" t="s">
        <v>442</v>
      </c>
      <c r="F9169">
        <f>HYPERLINK("https://www.wikidata.org/wiki/Q1829373", "Q1829373")</f>
        <v>0</v>
      </c>
      <c r="G9169" t="s">
        <v>3718</v>
      </c>
      <c r="H9169" t="s">
        <v>8028</v>
      </c>
      <c r="I9169" t="s">
        <v>5528</v>
      </c>
      <c r="J9169" t="s">
        <v>14293</v>
      </c>
      <c r="K9169" t="s">
        <v>18648</v>
      </c>
      <c r="L9169">
        <f>HYPERLINK("https://www2.assemblee-nationale.fr/sycomore/fiche/(num_dept)/5445", "5445")</f>
        <v>0</v>
      </c>
      <c r="M9169">
        <f>HYPERLINK("https://www.senat.fr/senateur-3eme-republique/mougeot_leon0865r3.html", "mougeot_leon0865r3")</f>
        <v>0</v>
      </c>
      <c r="N9169">
        <f>HYPERLINK("https://www.wikidata.org/wiki/Q3271218", "Q3271218")</f>
        <v>0</v>
      </c>
      <c r="O9169" t="s">
        <v>20056</v>
      </c>
    </row>
    <row r="9170" spans="1:15">
      <c r="A9170" t="s">
        <v>58</v>
      </c>
      <c r="B9170" t="s">
        <v>149</v>
      </c>
      <c r="C9170" t="s">
        <v>190</v>
      </c>
      <c r="D9170" t="s">
        <v>319</v>
      </c>
      <c r="E9170" t="s">
        <v>442</v>
      </c>
      <c r="F9170">
        <f>HYPERLINK("https://www.wikidata.org/wiki/Q1829373", "Q1829373")</f>
        <v>0</v>
      </c>
      <c r="G9170" t="s">
        <v>754</v>
      </c>
      <c r="H9170" t="s">
        <v>5512</v>
      </c>
      <c r="I9170" t="s">
        <v>9506</v>
      </c>
      <c r="J9170" t="s">
        <v>11502</v>
      </c>
      <c r="K9170" t="s">
        <v>15905</v>
      </c>
      <c r="L9170">
        <f>HYPERLINK("https://www2.assemblee-nationale.fr/sycomore/fiche/(num_dept)/5764", "5764")</f>
        <v>0</v>
      </c>
      <c r="M9170">
        <f>HYPERLINK("https://www.senat.fr/senateur-3eme-republique/pelletan_camille0312r3.html", "pelletan_camille0312r3")</f>
        <v>0</v>
      </c>
      <c r="N9170">
        <f>HYPERLINK("https://www.wikidata.org/wiki/Q2862434", "Q2862434")</f>
        <v>0</v>
      </c>
      <c r="O9170" t="s">
        <v>20053</v>
      </c>
    </row>
    <row r="9171" spans="1:15">
      <c r="A9171" t="s">
        <v>58</v>
      </c>
      <c r="B9171" t="s">
        <v>149</v>
      </c>
      <c r="C9171" t="s">
        <v>190</v>
      </c>
      <c r="D9171" t="s">
        <v>319</v>
      </c>
      <c r="E9171" t="s">
        <v>442</v>
      </c>
      <c r="F9171">
        <f>HYPERLINK("https://www.wikidata.org/wiki/Q1829373", "Q1829373")</f>
        <v>0</v>
      </c>
      <c r="G9171" t="s">
        <v>2650</v>
      </c>
      <c r="H9171" t="s">
        <v>7191</v>
      </c>
      <c r="I9171" t="s">
        <v>7642</v>
      </c>
      <c r="J9171" t="s">
        <v>13292</v>
      </c>
      <c r="K9171" t="s">
        <v>17691</v>
      </c>
      <c r="L9171">
        <f>HYPERLINK("https://www2.assemblee-nationale.fr/sycomore/fiche/(num_dept)/6152", "6152")</f>
        <v>0</v>
      </c>
      <c r="M9171">
        <f>HYPERLINK("https://www.senat.fr/senateur-3eme-republique/rouvier_maurice0115r3.html", "rouvier_maurice0115r3")</f>
        <v>0</v>
      </c>
      <c r="N9171">
        <f>HYPERLINK("https://www.wikidata.org/wiki/Q471293", "Q471293")</f>
        <v>0</v>
      </c>
      <c r="O9171" t="s">
        <v>20066</v>
      </c>
    </row>
    <row r="9172" spans="1:15">
      <c r="A9172" t="s">
        <v>58</v>
      </c>
      <c r="B9172" t="s">
        <v>149</v>
      </c>
      <c r="C9172" t="s">
        <v>190</v>
      </c>
      <c r="D9172" t="s">
        <v>319</v>
      </c>
      <c r="E9172" t="s">
        <v>442</v>
      </c>
      <c r="F9172">
        <f>HYPERLINK("https://www.wikidata.org/wiki/Q1829373", "Q1829373")</f>
        <v>0</v>
      </c>
      <c r="G9172" t="s">
        <v>3603</v>
      </c>
      <c r="H9172" t="s">
        <v>7947</v>
      </c>
      <c r="I9172" t="s">
        <v>6175</v>
      </c>
      <c r="J9172" t="s">
        <v>14188</v>
      </c>
      <c r="K9172" t="s">
        <v>18554</v>
      </c>
      <c r="L9172">
        <f>HYPERLINK("https://www2.assemblee-nationale.fr/sycomore/fiche/(num_dept)/7163", "7163")</f>
        <v>0</v>
      </c>
      <c r="M9172">
        <f>HYPERLINK("https://www.senat.fr/senateur-3eme-republique/trouillot_georges0444r3.html", "trouillot_georges0444r3")</f>
        <v>0</v>
      </c>
      <c r="N9172">
        <f>HYPERLINK("https://www.wikidata.org/wiki/Q3103564", "Q3103564")</f>
        <v>0</v>
      </c>
      <c r="O9172" t="s">
        <v>20233</v>
      </c>
    </row>
    <row r="9173" spans="1:15">
      <c r="A9173" t="s">
        <v>58</v>
      </c>
      <c r="B9173" t="s">
        <v>149</v>
      </c>
      <c r="C9173" t="s">
        <v>190</v>
      </c>
      <c r="D9173" t="s">
        <v>319</v>
      </c>
      <c r="E9173" t="s">
        <v>442</v>
      </c>
      <c r="F9173">
        <f>HYPERLINK("https://www.wikidata.org/wiki/Q1829373", "Q1829373")</f>
        <v>0</v>
      </c>
      <c r="G9173" t="s">
        <v>3509</v>
      </c>
      <c r="H9173" t="s">
        <v>7876</v>
      </c>
      <c r="I9173" t="s">
        <v>9442</v>
      </c>
      <c r="J9173" t="s">
        <v>14106</v>
      </c>
      <c r="K9173" t="s">
        <v>18471</v>
      </c>
      <c r="L9173">
        <f>HYPERLINK("https://www2.assemblee-nationale.fr/sycomore/fiche/(num_dept)/7444", "7444")</f>
        <v>0</v>
      </c>
      <c r="M9173">
        <f>HYPERLINK("https://www.senat.fr/senateur-3eme-republique/valle_ernest0643r3.html", "valle_ernest0643r3")</f>
        <v>0</v>
      </c>
      <c r="N9173">
        <f>HYPERLINK("https://www.wikidata.org/wiki/Q3057194", "Q3057194")</f>
        <v>0</v>
      </c>
      <c r="O9173" t="s">
        <v>20064</v>
      </c>
    </row>
    <row r="9174" spans="1:15">
      <c r="A9174" t="s">
        <v>58</v>
      </c>
      <c r="B9174" t="s">
        <v>149</v>
      </c>
      <c r="C9174" t="s">
        <v>190</v>
      </c>
      <c r="D9174" t="s">
        <v>319</v>
      </c>
      <c r="E9174" t="s">
        <v>442</v>
      </c>
      <c r="F9174">
        <f>HYPERLINK("https://www.wikidata.org/wiki/Q1829373", "Q1829373")</f>
        <v>0</v>
      </c>
      <c r="G9174" t="s">
        <v>4276</v>
      </c>
      <c r="H9174" t="s">
        <v>5892</v>
      </c>
      <c r="I9174" t="s">
        <v>9407</v>
      </c>
      <c r="J9174" t="s">
        <v>14775</v>
      </c>
      <c r="K9174" t="s">
        <v>19122</v>
      </c>
      <c r="M9174">
        <f>HYPERLINK("https://www.senat.fr/senateur-3eme-republique/chaumie_joseph0747r3.html", "chaumie_joseph0747r3")</f>
        <v>0</v>
      </c>
      <c r="N9174">
        <f>HYPERLINK("https://www.wikidata.org/wiki/Q3184755", "Q3184755")</f>
        <v>0</v>
      </c>
      <c r="O9174" t="s">
        <v>20051</v>
      </c>
    </row>
    <row r="9175" spans="1:15">
      <c r="A9175" t="s">
        <v>58</v>
      </c>
      <c r="B9175" t="s">
        <v>149</v>
      </c>
      <c r="C9175" t="s">
        <v>190</v>
      </c>
      <c r="D9175" t="s">
        <v>319</v>
      </c>
      <c r="E9175" t="s">
        <v>442</v>
      </c>
      <c r="F9175">
        <f>HYPERLINK("https://www.wikidata.org/wiki/Q1829373", "Q1829373")</f>
        <v>0</v>
      </c>
      <c r="G9175" t="s">
        <v>4236</v>
      </c>
      <c r="H9175" t="s">
        <v>8413</v>
      </c>
      <c r="I9175" t="s">
        <v>9437</v>
      </c>
      <c r="J9175" t="s">
        <v>14743</v>
      </c>
      <c r="K9175" t="s">
        <v>19088</v>
      </c>
      <c r="M9175">
        <f>HYPERLINK("https://www.senat.fr/senateur-3eme-republique/combes_emile0416r3.html", "combes_emile0416r3")</f>
        <v>0</v>
      </c>
      <c r="N9175">
        <f>HYPERLINK("https://www.wikidata.org/wiki/Q275020", "Q275020")</f>
        <v>0</v>
      </c>
      <c r="O9175" t="s">
        <v>20117</v>
      </c>
    </row>
    <row r="9176" spans="1:15">
      <c r="A9176" t="s">
        <v>58</v>
      </c>
      <c r="B9176" t="s">
        <v>149</v>
      </c>
      <c r="C9176" t="s">
        <v>190</v>
      </c>
      <c r="D9176" t="s">
        <v>319</v>
      </c>
      <c r="E9176" t="s">
        <v>442</v>
      </c>
      <c r="F9176">
        <f>HYPERLINK("https://www.wikidata.org/wiki/Q1829373", "Q1829373")</f>
        <v>0</v>
      </c>
      <c r="G9176" t="s">
        <v>4277</v>
      </c>
      <c r="H9176" t="s">
        <v>6585</v>
      </c>
      <c r="I9176" t="s">
        <v>6495</v>
      </c>
      <c r="J9176" t="s">
        <v>14776</v>
      </c>
      <c r="K9176" t="s">
        <v>19123</v>
      </c>
      <c r="N9176">
        <f>HYPERLINK("https://www.wikidata.org/wiki/Q3261042", "Q3261042")</f>
        <v>0</v>
      </c>
      <c r="O9176" t="s">
        <v>20057</v>
      </c>
    </row>
    <row r="9177" spans="1:15">
      <c r="A9177" t="s">
        <v>58</v>
      </c>
      <c r="B9177" t="s">
        <v>149</v>
      </c>
      <c r="C9177" t="s">
        <v>190</v>
      </c>
      <c r="D9177" t="s">
        <v>319</v>
      </c>
      <c r="E9177" t="s">
        <v>442</v>
      </c>
      <c r="F9177">
        <f>HYPERLINK("https://www.wikidata.org/wiki/Q1829373", "Q1829373")</f>
        <v>0</v>
      </c>
      <c r="G9177" t="s">
        <v>4236</v>
      </c>
      <c r="H9177" t="s">
        <v>8413</v>
      </c>
      <c r="I9177" t="s">
        <v>9437</v>
      </c>
      <c r="J9177" t="s">
        <v>14743</v>
      </c>
      <c r="K9177" t="s">
        <v>19088</v>
      </c>
      <c r="M9177">
        <f>HYPERLINK("https://www.senat.fr/senateur-3eme-republique/combes_emile0416r3.html", "combes_emile0416r3")</f>
        <v>0</v>
      </c>
      <c r="N9177">
        <f>HYPERLINK("https://www.wikidata.org/wiki/Q275020", "Q275020")</f>
        <v>0</v>
      </c>
      <c r="O9177" t="s">
        <v>20052</v>
      </c>
    </row>
    <row r="9178" spans="1:15">
      <c r="A9178" t="s">
        <v>59</v>
      </c>
      <c r="B9178" t="s">
        <v>149</v>
      </c>
      <c r="C9178" t="s">
        <v>191</v>
      </c>
      <c r="D9178" t="s">
        <v>320</v>
      </c>
      <c r="E9178" t="s">
        <v>443</v>
      </c>
      <c r="F9178">
        <f>HYPERLINK("https://www.wikidata.org/wiki/Q972341", "Q972341")</f>
        <v>0</v>
      </c>
      <c r="G9178" t="s">
        <v>1939</v>
      </c>
      <c r="H9178" t="s">
        <v>6584</v>
      </c>
      <c r="I9178" t="s">
        <v>6166</v>
      </c>
      <c r="J9178" t="s">
        <v>12623</v>
      </c>
      <c r="K9178" t="s">
        <v>485</v>
      </c>
      <c r="L9178">
        <f>HYPERLINK("https://www2.assemblee-nationale.fr/sycomore/fiche/(num_dept)/69", "69")</f>
        <v>0</v>
      </c>
      <c r="M9178">
        <f>HYPERLINK("https://www.senat.fr/senateur-3eme-republique/albert_francois1773r3.html", "albert_francois1773r3")</f>
        <v>0</v>
      </c>
      <c r="N9178">
        <f>HYPERLINK("https://www.wikidata.org/wiki/Q3083780", "Q3083780")</f>
        <v>0</v>
      </c>
      <c r="O9178" t="s">
        <v>20204</v>
      </c>
    </row>
    <row r="9179" spans="1:15">
      <c r="A9179" t="s">
        <v>59</v>
      </c>
      <c r="B9179" t="s">
        <v>149</v>
      </c>
      <c r="C9179" t="s">
        <v>191</v>
      </c>
      <c r="D9179" t="s">
        <v>320</v>
      </c>
      <c r="E9179" t="s">
        <v>443</v>
      </c>
      <c r="F9179">
        <f>HYPERLINK("https://www.wikidata.org/wiki/Q972341", "Q972341")</f>
        <v>0</v>
      </c>
      <c r="G9179" t="s">
        <v>1410</v>
      </c>
      <c r="H9179" t="s">
        <v>5337</v>
      </c>
      <c r="I9179" t="s">
        <v>9506</v>
      </c>
      <c r="J9179" t="s">
        <v>12135</v>
      </c>
      <c r="K9179" t="s">
        <v>16537</v>
      </c>
      <c r="L9179">
        <f>HYPERLINK("https://www2.assemblee-nationale.fr/sycomore/fiche/(num_dept)/1726", "1726")</f>
        <v>0</v>
      </c>
      <c r="M9179">
        <f>HYPERLINK("https://www.senat.fr/senateur-3eme-republique/chautemps_camille0380r3.html", "chautemps_camille0380r3")</f>
        <v>0</v>
      </c>
      <c r="N9179">
        <f>HYPERLINK("https://www.wikidata.org/wiki/Q263884", "Q263884")</f>
        <v>0</v>
      </c>
      <c r="O9179" t="s">
        <v>20058</v>
      </c>
    </row>
    <row r="9180" spans="1:15">
      <c r="A9180" t="s">
        <v>59</v>
      </c>
      <c r="B9180" t="s">
        <v>149</v>
      </c>
      <c r="C9180" t="s">
        <v>191</v>
      </c>
      <c r="D9180" t="s">
        <v>320</v>
      </c>
      <c r="E9180" t="s">
        <v>443</v>
      </c>
      <c r="F9180">
        <f>HYPERLINK("https://www.wikidata.org/wiki/Q972341", "Q972341")</f>
        <v>0</v>
      </c>
      <c r="G9180" t="s">
        <v>1946</v>
      </c>
      <c r="H9180" t="s">
        <v>6590</v>
      </c>
      <c r="I9180" t="s">
        <v>6860</v>
      </c>
      <c r="J9180" t="s">
        <v>12630</v>
      </c>
      <c r="K9180" t="s">
        <v>17040</v>
      </c>
      <c r="L9180">
        <f>HYPERLINK("https://www2.assemblee-nationale.fr/sycomore/fiche/(num_dept)/1997", "1997")</f>
        <v>0</v>
      </c>
      <c r="N9180">
        <f>HYPERLINK("https://www.wikidata.org/wiki/Q2274693", "Q2274693")</f>
        <v>0</v>
      </c>
      <c r="O9180" t="s">
        <v>20072</v>
      </c>
    </row>
    <row r="9181" spans="1:15">
      <c r="A9181" t="s">
        <v>59</v>
      </c>
      <c r="B9181" t="s">
        <v>149</v>
      </c>
      <c r="C9181" t="s">
        <v>191</v>
      </c>
      <c r="D9181" t="s">
        <v>320</v>
      </c>
      <c r="E9181" t="s">
        <v>443</v>
      </c>
      <c r="F9181">
        <f>HYPERLINK("https://www.wikidata.org/wiki/Q972341", "Q972341")</f>
        <v>0</v>
      </c>
      <c r="G9181" t="s">
        <v>1423</v>
      </c>
      <c r="H9181" t="s">
        <v>6128</v>
      </c>
      <c r="I9181" t="s">
        <v>9728</v>
      </c>
      <c r="J9181" t="s">
        <v>12147</v>
      </c>
      <c r="K9181" t="s">
        <v>16549</v>
      </c>
      <c r="L9181">
        <f>HYPERLINK("https://www2.assemblee-nationale.fr/sycomore/fiche/(num_dept)/2105", "2105")</f>
        <v>0</v>
      </c>
      <c r="N9181">
        <f>HYPERLINK("https://www.wikidata.org/wiki/Q213526", "Q213526")</f>
        <v>0</v>
      </c>
      <c r="O9181" t="s">
        <v>20057</v>
      </c>
    </row>
    <row r="9182" spans="1:15">
      <c r="A9182" t="s">
        <v>59</v>
      </c>
      <c r="B9182" t="s">
        <v>149</v>
      </c>
      <c r="C9182" t="s">
        <v>191</v>
      </c>
      <c r="D9182" t="s">
        <v>320</v>
      </c>
      <c r="E9182" t="s">
        <v>443</v>
      </c>
      <c r="F9182">
        <f>HYPERLINK("https://www.wikidata.org/wiki/Q972341", "Q972341")</f>
        <v>0</v>
      </c>
      <c r="G9182" t="s">
        <v>1423</v>
      </c>
      <c r="H9182" t="s">
        <v>6128</v>
      </c>
      <c r="I9182" t="s">
        <v>9728</v>
      </c>
      <c r="J9182" t="s">
        <v>12147</v>
      </c>
      <c r="K9182" t="s">
        <v>16549</v>
      </c>
      <c r="L9182">
        <f>HYPERLINK("https://www2.assemblee-nationale.fr/sycomore/fiche/(num_dept)/2105", "2105")</f>
        <v>0</v>
      </c>
      <c r="N9182">
        <f>HYPERLINK("https://www.wikidata.org/wiki/Q213526", "Q213526")</f>
        <v>0</v>
      </c>
      <c r="O9182" t="s">
        <v>20052</v>
      </c>
    </row>
    <row r="9183" spans="1:15">
      <c r="A9183" t="s">
        <v>59</v>
      </c>
      <c r="B9183" t="s">
        <v>149</v>
      </c>
      <c r="C9183" t="s">
        <v>191</v>
      </c>
      <c r="D9183" t="s">
        <v>320</v>
      </c>
      <c r="E9183" t="s">
        <v>443</v>
      </c>
      <c r="F9183">
        <f>HYPERLINK("https://www.wikidata.org/wiki/Q972341", "Q972341")</f>
        <v>0</v>
      </c>
      <c r="G9183" t="s">
        <v>597</v>
      </c>
      <c r="H9183" t="s">
        <v>5358</v>
      </c>
      <c r="I9183" t="s">
        <v>6584</v>
      </c>
      <c r="J9183" t="s">
        <v>11348</v>
      </c>
      <c r="K9183" t="s">
        <v>15749</v>
      </c>
      <c r="L9183">
        <f>HYPERLINK("https://www2.assemblee-nationale.fr/sycomore/fiche/(num_dept)/2110", "2110")</f>
        <v>0</v>
      </c>
      <c r="N9183">
        <f>HYPERLINK("https://www.wikidata.org/wiki/Q2831073", "Q2831073")</f>
        <v>0</v>
      </c>
      <c r="O9183" t="s">
        <v>20065</v>
      </c>
    </row>
    <row r="9184" spans="1:15">
      <c r="A9184" t="s">
        <v>59</v>
      </c>
      <c r="B9184" t="s">
        <v>149</v>
      </c>
      <c r="C9184" t="s">
        <v>191</v>
      </c>
      <c r="D9184" t="s">
        <v>320</v>
      </c>
      <c r="E9184" t="s">
        <v>443</v>
      </c>
      <c r="F9184">
        <f>HYPERLINK("https://www.wikidata.org/wiki/Q972341", "Q972341")</f>
        <v>0</v>
      </c>
      <c r="G9184" t="s">
        <v>920</v>
      </c>
      <c r="H9184" t="s">
        <v>5676</v>
      </c>
      <c r="I9184" t="s">
        <v>9385</v>
      </c>
      <c r="J9184" t="s">
        <v>11662</v>
      </c>
      <c r="K9184" t="s">
        <v>16063</v>
      </c>
      <c r="L9184">
        <f>HYPERLINK("https://www2.assemblee-nationale.fr/sycomore/fiche/(num_dept)/2124", "2124")</f>
        <v>0</v>
      </c>
      <c r="N9184">
        <f>HYPERLINK("https://www.wikidata.org/wiki/Q2958846", "Q2958846")</f>
        <v>0</v>
      </c>
      <c r="O9184" t="s">
        <v>20089</v>
      </c>
    </row>
    <row r="9185" spans="1:15">
      <c r="A9185" t="s">
        <v>59</v>
      </c>
      <c r="B9185" t="s">
        <v>149</v>
      </c>
      <c r="C9185" t="s">
        <v>191</v>
      </c>
      <c r="D9185" t="s">
        <v>320</v>
      </c>
      <c r="E9185" t="s">
        <v>443</v>
      </c>
      <c r="F9185">
        <f>HYPERLINK("https://www.wikidata.org/wiki/Q972341", "Q972341")</f>
        <v>0</v>
      </c>
      <c r="G9185" t="s">
        <v>1444</v>
      </c>
      <c r="H9185" t="s">
        <v>6145</v>
      </c>
      <c r="I9185" t="s">
        <v>9472</v>
      </c>
      <c r="J9185" t="s">
        <v>12165</v>
      </c>
      <c r="K9185" t="s">
        <v>16570</v>
      </c>
      <c r="L9185">
        <f>HYPERLINK("https://www2.assemblee-nationale.fr/sycomore/fiche/(num_dept)/2655", "2655")</f>
        <v>0</v>
      </c>
      <c r="N9185">
        <f>HYPERLINK("https://www.wikidata.org/wiki/Q3136053", "Q3136053")</f>
        <v>0</v>
      </c>
      <c r="O9185" t="s">
        <v>20234</v>
      </c>
    </row>
    <row r="9186" spans="1:15">
      <c r="A9186" t="s">
        <v>59</v>
      </c>
      <c r="B9186" t="s">
        <v>149</v>
      </c>
      <c r="C9186" t="s">
        <v>191</v>
      </c>
      <c r="D9186" t="s">
        <v>320</v>
      </c>
      <c r="E9186" t="s">
        <v>443</v>
      </c>
      <c r="F9186">
        <f>HYPERLINK("https://www.wikidata.org/wiki/Q972341", "Q972341")</f>
        <v>0</v>
      </c>
      <c r="G9186" t="s">
        <v>1170</v>
      </c>
      <c r="H9186" t="s">
        <v>5901</v>
      </c>
      <c r="I9186" t="s">
        <v>5592</v>
      </c>
      <c r="J9186" t="s">
        <v>11903</v>
      </c>
      <c r="K9186" t="s">
        <v>16305</v>
      </c>
      <c r="L9186">
        <f>HYPERLINK("https://www2.assemblee-nationale.fr/sycomore/fiche/(num_dept)/2874", "2874")</f>
        <v>0</v>
      </c>
      <c r="M9186">
        <f>HYPERLINK("https://www.senat.fr/senateur-3eme-republique/eynac_laurent0520r3.html", "eynac_laurent0520r3")</f>
        <v>0</v>
      </c>
      <c r="N9186">
        <f>HYPERLINK("https://www.wikidata.org/wiki/Q3219208", "Q3219208")</f>
        <v>0</v>
      </c>
      <c r="O9186" t="s">
        <v>20078</v>
      </c>
    </row>
    <row r="9187" spans="1:15">
      <c r="A9187" t="s">
        <v>59</v>
      </c>
      <c r="B9187" t="s">
        <v>149</v>
      </c>
      <c r="C9187" t="s">
        <v>191</v>
      </c>
      <c r="D9187" t="s">
        <v>320</v>
      </c>
      <c r="E9187" t="s">
        <v>443</v>
      </c>
      <c r="F9187">
        <f>HYPERLINK("https://www.wikidata.org/wiki/Q972341", "Q972341")</f>
        <v>0</v>
      </c>
      <c r="G9187" t="s">
        <v>1802</v>
      </c>
      <c r="H9187" t="s">
        <v>6467</v>
      </c>
      <c r="I9187" t="s">
        <v>9465</v>
      </c>
      <c r="J9187" t="s">
        <v>12497</v>
      </c>
      <c r="K9187" t="s">
        <v>16907</v>
      </c>
      <c r="L9187">
        <f>HYPERLINK("https://www2.assemblee-nationale.fr/sycomore/fiche/(num_dept)/3167", "3167")</f>
        <v>0</v>
      </c>
      <c r="N9187">
        <f>HYPERLINK("https://www.wikidata.org/wiki/Q3059882", "Q3059882")</f>
        <v>0</v>
      </c>
      <c r="O9187" t="s">
        <v>20108</v>
      </c>
    </row>
    <row r="9188" spans="1:15">
      <c r="A9188" t="s">
        <v>59</v>
      </c>
      <c r="B9188" t="s">
        <v>149</v>
      </c>
      <c r="C9188" t="s">
        <v>191</v>
      </c>
      <c r="D9188" t="s">
        <v>320</v>
      </c>
      <c r="E9188" t="s">
        <v>443</v>
      </c>
      <c r="F9188">
        <f>HYPERLINK("https://www.wikidata.org/wiki/Q972341", "Q972341")</f>
        <v>0</v>
      </c>
      <c r="G9188" t="s">
        <v>1817</v>
      </c>
      <c r="H9188" t="s">
        <v>6481</v>
      </c>
      <c r="I9188" t="s">
        <v>6860</v>
      </c>
      <c r="J9188" t="s">
        <v>12511</v>
      </c>
      <c r="K9188" t="s">
        <v>16001</v>
      </c>
      <c r="L9188">
        <f>HYPERLINK("https://www2.assemblee-nationale.fr/sycomore/fiche/(num_dept)/3904", "3904")</f>
        <v>0</v>
      </c>
      <c r="N9188">
        <f>HYPERLINK("https://www.wikidata.org/wiki/Q3385472", "Q3385472")</f>
        <v>0</v>
      </c>
      <c r="O9188" t="s">
        <v>20235</v>
      </c>
    </row>
    <row r="9189" spans="1:15">
      <c r="A9189" t="s">
        <v>59</v>
      </c>
      <c r="B9189" t="s">
        <v>149</v>
      </c>
      <c r="C9189" t="s">
        <v>191</v>
      </c>
      <c r="D9189" t="s">
        <v>320</v>
      </c>
      <c r="E9189" t="s">
        <v>443</v>
      </c>
      <c r="F9189">
        <f>HYPERLINK("https://www.wikidata.org/wiki/Q972341", "Q972341")</f>
        <v>0</v>
      </c>
      <c r="G9189" t="s">
        <v>1960</v>
      </c>
      <c r="H9189" t="s">
        <v>6601</v>
      </c>
      <c r="I9189" t="s">
        <v>6713</v>
      </c>
      <c r="J9189" t="s">
        <v>12643</v>
      </c>
      <c r="K9189" t="s">
        <v>17053</v>
      </c>
      <c r="L9189">
        <f>HYPERLINK("https://www2.assemblee-nationale.fr/sycomore/fiche/(num_dept)/4175", "4175")</f>
        <v>0</v>
      </c>
      <c r="N9189">
        <f>HYPERLINK("https://www.wikidata.org/wiki/Q3121895", "Q3121895")</f>
        <v>0</v>
      </c>
      <c r="O9189" t="s">
        <v>20236</v>
      </c>
    </row>
    <row r="9190" spans="1:15">
      <c r="A9190" t="s">
        <v>59</v>
      </c>
      <c r="B9190" t="s">
        <v>149</v>
      </c>
      <c r="C9190" t="s">
        <v>191</v>
      </c>
      <c r="D9190" t="s">
        <v>320</v>
      </c>
      <c r="E9190" t="s">
        <v>443</v>
      </c>
      <c r="F9190">
        <f>HYPERLINK("https://www.wikidata.org/wiki/Q972341", "Q972341")</f>
        <v>0</v>
      </c>
      <c r="G9190" t="s">
        <v>1673</v>
      </c>
      <c r="H9190" t="s">
        <v>6353</v>
      </c>
      <c r="I9190" t="s">
        <v>9602</v>
      </c>
      <c r="J9190" t="s">
        <v>12379</v>
      </c>
      <c r="K9190" t="s">
        <v>16787</v>
      </c>
      <c r="L9190">
        <f>HYPERLINK("https://www2.assemblee-nationale.fr/sycomore/fiche/(num_dept)/5271", "5271")</f>
        <v>0</v>
      </c>
      <c r="N9190">
        <f>HYPERLINK("https://www.wikidata.org/wiki/Q3047928", "Q3047928")</f>
        <v>0</v>
      </c>
      <c r="O9190" t="s">
        <v>20088</v>
      </c>
    </row>
    <row r="9191" spans="1:15">
      <c r="A9191" t="s">
        <v>59</v>
      </c>
      <c r="B9191" t="s">
        <v>149</v>
      </c>
      <c r="C9191" t="s">
        <v>191</v>
      </c>
      <c r="D9191" t="s">
        <v>320</v>
      </c>
      <c r="E9191" t="s">
        <v>443</v>
      </c>
      <c r="F9191">
        <f>HYPERLINK("https://www.wikidata.org/wiki/Q972341", "Q972341")</f>
        <v>0</v>
      </c>
      <c r="G9191" t="s">
        <v>738</v>
      </c>
      <c r="H9191" t="s">
        <v>5496</v>
      </c>
      <c r="I9191" t="s">
        <v>9503</v>
      </c>
      <c r="J9191" t="s">
        <v>11487</v>
      </c>
      <c r="K9191" t="s">
        <v>15889</v>
      </c>
      <c r="L9191">
        <f>HYPERLINK("https://www2.assemblee-nationale.fr/sycomore/fiche/(num_dept)/5394", "5394")</f>
        <v>0</v>
      </c>
      <c r="M9191">
        <f>HYPERLINK("https://www.senat.fr/senateur-3eme-republique/de_monzie_anatole0605r3.html", "de_monzie_anatole0605r3")</f>
        <v>0</v>
      </c>
      <c r="N9191">
        <f>HYPERLINK("https://www.wikidata.org/wiki/Q2845619", "Q2845619")</f>
        <v>0</v>
      </c>
      <c r="O9191" t="s">
        <v>20085</v>
      </c>
    </row>
    <row r="9192" spans="1:15">
      <c r="A9192" t="s">
        <v>59</v>
      </c>
      <c r="B9192" t="s">
        <v>149</v>
      </c>
      <c r="C9192" t="s">
        <v>191</v>
      </c>
      <c r="D9192" t="s">
        <v>320</v>
      </c>
      <c r="E9192" t="s">
        <v>443</v>
      </c>
      <c r="F9192">
        <f>HYPERLINK("https://www.wikidata.org/wiki/Q972341", "Q972341")</f>
        <v>0</v>
      </c>
      <c r="G9192" t="s">
        <v>1860</v>
      </c>
      <c r="H9192" t="s">
        <v>6516</v>
      </c>
      <c r="I9192" t="s">
        <v>9407</v>
      </c>
      <c r="J9192" t="s">
        <v>12550</v>
      </c>
      <c r="K9192" t="s">
        <v>16961</v>
      </c>
      <c r="L9192">
        <f>HYPERLINK("https://www2.assemblee-nationale.fr/sycomore/fiche/(num_dept)/5646", "5646")</f>
        <v>0</v>
      </c>
      <c r="M9192">
        <f>HYPERLINK("https://www.senat.fr/senateur-3eme-republique/paganon_joseph1203r3.html", "paganon_joseph1203r3")</f>
        <v>0</v>
      </c>
      <c r="N9192">
        <f>HYPERLINK("https://www.wikidata.org/wiki/Q3185441", "Q3185441")</f>
        <v>0</v>
      </c>
      <c r="O9192" t="s">
        <v>20063</v>
      </c>
    </row>
    <row r="9193" spans="1:15">
      <c r="A9193" t="s">
        <v>59</v>
      </c>
      <c r="B9193" t="s">
        <v>149</v>
      </c>
      <c r="C9193" t="s">
        <v>191</v>
      </c>
      <c r="D9193" t="s">
        <v>320</v>
      </c>
      <c r="E9193" t="s">
        <v>443</v>
      </c>
      <c r="F9193">
        <f>HYPERLINK("https://www.wikidata.org/wiki/Q972341", "Q972341")</f>
        <v>0</v>
      </c>
      <c r="G9193" t="s">
        <v>1967</v>
      </c>
      <c r="H9193" t="s">
        <v>6607</v>
      </c>
      <c r="I9193" t="s">
        <v>9692</v>
      </c>
      <c r="J9193" t="s">
        <v>12649</v>
      </c>
      <c r="K9193" t="s">
        <v>17058</v>
      </c>
      <c r="L9193">
        <f>HYPERLINK("https://www2.assemblee-nationale.fr/sycomore/fiche/(num_dept)/5707", "5707")</f>
        <v>0</v>
      </c>
      <c r="N9193">
        <f>HYPERLINK("https://www.wikidata.org/wiki/Q2569191", "Q2569191")</f>
        <v>0</v>
      </c>
      <c r="O9193" t="s">
        <v>20237</v>
      </c>
    </row>
    <row r="9194" spans="1:15">
      <c r="A9194" t="s">
        <v>59</v>
      </c>
      <c r="B9194" t="s">
        <v>149</v>
      </c>
      <c r="C9194" t="s">
        <v>191</v>
      </c>
      <c r="D9194" t="s">
        <v>320</v>
      </c>
      <c r="E9194" t="s">
        <v>443</v>
      </c>
      <c r="F9194">
        <f>HYPERLINK("https://www.wikidata.org/wiki/Q972341", "Q972341")</f>
        <v>0</v>
      </c>
      <c r="G9194" t="s">
        <v>752</v>
      </c>
      <c r="H9194" t="s">
        <v>5510</v>
      </c>
      <c r="I9194" t="s">
        <v>9407</v>
      </c>
      <c r="J9194" t="s">
        <v>11500</v>
      </c>
      <c r="K9194" t="s">
        <v>15903</v>
      </c>
      <c r="L9194">
        <f>HYPERLINK("https://www2.assemblee-nationale.fr/sycomore/fiche/(num_dept)/5724", "5724")</f>
        <v>0</v>
      </c>
      <c r="M9194">
        <f>HYPERLINK("https://www.senat.fr/senateur-3eme-republique/paul_boncour_joseph0550r4.html", "paul_boncour_joseph0550r4")</f>
        <v>0</v>
      </c>
      <c r="N9194">
        <f>HYPERLINK("https://www.wikidata.org/wiki/Q285865", "Q285865")</f>
        <v>0</v>
      </c>
      <c r="O9194" t="s">
        <v>20062</v>
      </c>
    </row>
    <row r="9195" spans="1:15">
      <c r="A9195" t="s">
        <v>59</v>
      </c>
      <c r="B9195" t="s">
        <v>149</v>
      </c>
      <c r="C9195" t="s">
        <v>191</v>
      </c>
      <c r="D9195" t="s">
        <v>320</v>
      </c>
      <c r="E9195" t="s">
        <v>443</v>
      </c>
      <c r="F9195">
        <f>HYPERLINK("https://www.wikidata.org/wiki/Q972341", "Q972341")</f>
        <v>0</v>
      </c>
      <c r="G9195" t="s">
        <v>778</v>
      </c>
      <c r="H9195" t="s">
        <v>5536</v>
      </c>
      <c r="I9195" t="s">
        <v>6584</v>
      </c>
      <c r="J9195" t="s">
        <v>11525</v>
      </c>
      <c r="K9195" t="s">
        <v>15929</v>
      </c>
      <c r="L9195">
        <f>HYPERLINK("https://www2.assemblee-nationale.fr/sycomore/fiche/(num_dept)/6293", "6293")</f>
        <v>0</v>
      </c>
      <c r="M9195">
        <f>HYPERLINK("https://www.senat.fr/senateur-3eme-republique/sarraut_albert0265r3.html", "sarraut_albert0265r3")</f>
        <v>0</v>
      </c>
      <c r="N9195">
        <f>HYPERLINK("https://www.wikidata.org/wiki/Q460318", "Q460318")</f>
        <v>0</v>
      </c>
      <c r="O9195" t="s">
        <v>20053</v>
      </c>
    </row>
    <row r="9196" spans="1:15">
      <c r="A9196" t="s">
        <v>59</v>
      </c>
      <c r="B9196" t="s">
        <v>149</v>
      </c>
      <c r="C9196" t="s">
        <v>191</v>
      </c>
      <c r="D9196" t="s">
        <v>320</v>
      </c>
      <c r="E9196" t="s">
        <v>443</v>
      </c>
      <c r="F9196">
        <f>HYPERLINK("https://www.wikidata.org/wiki/Q972341", "Q972341")</f>
        <v>0</v>
      </c>
      <c r="G9196" t="s">
        <v>778</v>
      </c>
      <c r="H9196" t="s">
        <v>5536</v>
      </c>
      <c r="I9196" t="s">
        <v>6584</v>
      </c>
      <c r="J9196" t="s">
        <v>11525</v>
      </c>
      <c r="K9196" t="s">
        <v>15929</v>
      </c>
      <c r="L9196">
        <f>HYPERLINK("https://www2.assemblee-nationale.fr/sycomore/fiche/(num_dept)/6293", "6293")</f>
        <v>0</v>
      </c>
      <c r="M9196">
        <f>HYPERLINK("https://www.senat.fr/senateur-3eme-republique/sarraut_albert0265r3.html", "sarraut_albert0265r3")</f>
        <v>0</v>
      </c>
      <c r="N9196">
        <f>HYPERLINK("https://www.wikidata.org/wiki/Q460318", "Q460318")</f>
        <v>0</v>
      </c>
      <c r="O9196" t="s">
        <v>20065</v>
      </c>
    </row>
    <row r="9197" spans="1:15">
      <c r="A9197" t="s">
        <v>59</v>
      </c>
      <c r="B9197" t="s">
        <v>149</v>
      </c>
      <c r="C9197" t="s">
        <v>191</v>
      </c>
      <c r="D9197" t="s">
        <v>320</v>
      </c>
      <c r="E9197" t="s">
        <v>443</v>
      </c>
      <c r="F9197">
        <f>HYPERLINK("https://www.wikidata.org/wiki/Q972341", "Q972341")</f>
        <v>0</v>
      </c>
      <c r="G9197" t="s">
        <v>1298</v>
      </c>
      <c r="H9197" t="s">
        <v>6020</v>
      </c>
      <c r="I9197" t="s">
        <v>6495</v>
      </c>
      <c r="J9197" t="s">
        <v>12028</v>
      </c>
      <c r="K9197" t="s">
        <v>16430</v>
      </c>
      <c r="L9197">
        <f>HYPERLINK("https://www2.assemblee-nationale.fr/sycomore/fiche/(num_dept)/6399", "6399")</f>
        <v>0</v>
      </c>
      <c r="M9197">
        <f>HYPERLINK("https://www.senat.fr/senateur-3eme-republique/serre_louis1705r3.html", "serre_louis1705r3")</f>
        <v>0</v>
      </c>
      <c r="N9197">
        <f>HYPERLINK("https://www.wikidata.org/wiki/Q195990", "Q195990")</f>
        <v>0</v>
      </c>
      <c r="O9197" t="s">
        <v>20110</v>
      </c>
    </row>
    <row r="9198" spans="1:15">
      <c r="A9198" t="s">
        <v>59</v>
      </c>
      <c r="B9198" t="s">
        <v>149</v>
      </c>
      <c r="C9198" t="s">
        <v>191</v>
      </c>
      <c r="D9198" t="s">
        <v>320</v>
      </c>
      <c r="E9198" t="s">
        <v>443</v>
      </c>
      <c r="F9198">
        <f>HYPERLINK("https://www.wikidata.org/wiki/Q972341", "Q972341")</f>
        <v>0</v>
      </c>
      <c r="G9198" t="s">
        <v>1304</v>
      </c>
      <c r="H9198" t="s">
        <v>6025</v>
      </c>
      <c r="I9198" t="s">
        <v>9457</v>
      </c>
      <c r="J9198" t="s">
        <v>12034</v>
      </c>
      <c r="K9198" t="s">
        <v>16435</v>
      </c>
      <c r="L9198">
        <f>HYPERLINK("https://www2.assemblee-nationale.fr/sycomore/fiche/(num_dept)/6554", "6554")</f>
        <v>0</v>
      </c>
      <c r="M9198">
        <f>HYPERLINK("https://www.senat.fr/senateur-3eme-republique/queuille_henri0469r3.html", "queuille_henri0469r3")</f>
        <v>0</v>
      </c>
      <c r="N9198">
        <f>HYPERLINK("https://www.wikidata.org/wiki/Q455655", "Q455655")</f>
        <v>0</v>
      </c>
      <c r="O9198" t="s">
        <v>20056</v>
      </c>
    </row>
    <row r="9199" spans="1:15">
      <c r="A9199" t="s">
        <v>59</v>
      </c>
      <c r="B9199" t="s">
        <v>149</v>
      </c>
      <c r="C9199" t="s">
        <v>191</v>
      </c>
      <c r="D9199" t="s">
        <v>320</v>
      </c>
      <c r="E9199" t="s">
        <v>443</v>
      </c>
      <c r="F9199">
        <f>HYPERLINK("https://www.wikidata.org/wiki/Q972341", "Q972341")</f>
        <v>0</v>
      </c>
      <c r="G9199" t="s">
        <v>857</v>
      </c>
      <c r="H9199" t="s">
        <v>5613</v>
      </c>
      <c r="I9199" t="s">
        <v>6175</v>
      </c>
      <c r="J9199" t="s">
        <v>11603</v>
      </c>
      <c r="K9199" t="s">
        <v>16005</v>
      </c>
      <c r="L9199">
        <f>HYPERLINK("https://www2.assemblee-nationale.fr/sycomore/fiche/(num_dept)/7840", "7840")</f>
        <v>0</v>
      </c>
      <c r="N9199">
        <f>HYPERLINK("https://www.wikidata.org/wiki/Q728806", "Q728806")</f>
        <v>0</v>
      </c>
      <c r="O9199" t="s">
        <v>20053</v>
      </c>
    </row>
    <row r="9200" spans="1:15">
      <c r="A9200" t="s">
        <v>59</v>
      </c>
      <c r="B9200" t="s">
        <v>149</v>
      </c>
      <c r="C9200" t="s">
        <v>191</v>
      </c>
      <c r="D9200" t="s">
        <v>320</v>
      </c>
      <c r="E9200" t="s">
        <v>443</v>
      </c>
      <c r="F9200">
        <f>HYPERLINK("https://www.wikidata.org/wiki/Q972341", "Q972341")</f>
        <v>0</v>
      </c>
      <c r="G9200" t="s">
        <v>4278</v>
      </c>
      <c r="H9200" t="s">
        <v>8439</v>
      </c>
      <c r="I9200" t="s">
        <v>9465</v>
      </c>
      <c r="J9200" t="s">
        <v>14777</v>
      </c>
      <c r="K9200" t="s">
        <v>19124</v>
      </c>
      <c r="M9200">
        <f>HYPERLINK("https://www.senat.fr/senateur-3eme-republique/penancier_eugene1605r3.html", "penancier_eugene1605r3")</f>
        <v>0</v>
      </c>
      <c r="N9200">
        <f>HYPERLINK("https://www.wikidata.org/wiki/Q3060086", "Q3060086")</f>
        <v>0</v>
      </c>
      <c r="O9200" t="s">
        <v>20064</v>
      </c>
    </row>
    <row r="9201" spans="1:15">
      <c r="A9201" t="s">
        <v>59</v>
      </c>
      <c r="B9201" t="s">
        <v>149</v>
      </c>
      <c r="C9201" t="s">
        <v>191</v>
      </c>
      <c r="D9201" t="s">
        <v>320</v>
      </c>
      <c r="E9201" t="s">
        <v>443</v>
      </c>
      <c r="F9201">
        <f>HYPERLINK("https://www.wikidata.org/wiki/Q972341", "Q972341")</f>
        <v>0</v>
      </c>
      <c r="G9201" t="s">
        <v>1724</v>
      </c>
      <c r="H9201" t="s">
        <v>6360</v>
      </c>
      <c r="I9201" t="s">
        <v>6175</v>
      </c>
      <c r="J9201" t="s">
        <v>12425</v>
      </c>
      <c r="K9201" t="s">
        <v>16833</v>
      </c>
      <c r="N9201">
        <f>HYPERLINK("https://www.wikidata.org/wiki/Q3102323", "Q3102323")</f>
        <v>0</v>
      </c>
      <c r="O9201" t="s">
        <v>20066</v>
      </c>
    </row>
    <row r="9202" spans="1:15">
      <c r="A9202" t="s">
        <v>59</v>
      </c>
      <c r="B9202" t="s">
        <v>149</v>
      </c>
      <c r="C9202" t="s">
        <v>191</v>
      </c>
      <c r="D9202" t="s">
        <v>320</v>
      </c>
      <c r="E9202" t="s">
        <v>443</v>
      </c>
      <c r="F9202">
        <f>HYPERLINK("https://www.wikidata.org/wiki/Q972341", "Q972341")</f>
        <v>0</v>
      </c>
      <c r="G9202" t="s">
        <v>1512</v>
      </c>
      <c r="H9202" t="s">
        <v>5734</v>
      </c>
      <c r="I9202" t="s">
        <v>9455</v>
      </c>
      <c r="J9202" t="s">
        <v>12229</v>
      </c>
      <c r="K9202" t="s">
        <v>16635</v>
      </c>
      <c r="N9202">
        <f>HYPERLINK("https://www.wikidata.org/wiki/Q3265579", "Q3265579")</f>
        <v>0</v>
      </c>
      <c r="O9202" t="s">
        <v>20194</v>
      </c>
    </row>
    <row r="9203" spans="1:15">
      <c r="A9203" t="s">
        <v>59</v>
      </c>
      <c r="B9203" t="s">
        <v>149</v>
      </c>
      <c r="C9203" t="s">
        <v>191</v>
      </c>
      <c r="D9203" t="s">
        <v>320</v>
      </c>
      <c r="E9203" t="s">
        <v>443</v>
      </c>
      <c r="F9203">
        <f>HYPERLINK("https://www.wikidata.org/wiki/Q972341", "Q972341")</f>
        <v>0</v>
      </c>
      <c r="G9203" t="s">
        <v>4279</v>
      </c>
      <c r="H9203" t="s">
        <v>8440</v>
      </c>
      <c r="I9203" t="s">
        <v>6860</v>
      </c>
      <c r="J9203" t="s">
        <v>14778</v>
      </c>
      <c r="K9203" t="s">
        <v>19125</v>
      </c>
      <c r="N9203">
        <f>HYPERLINK("https://www.wikidata.org/wiki/Q3383753", "Q3383753")</f>
        <v>0</v>
      </c>
      <c r="O9203" t="s">
        <v>20198</v>
      </c>
    </row>
    <row r="9204" spans="1:15">
      <c r="A9204" t="s">
        <v>60</v>
      </c>
      <c r="B9204" t="s">
        <v>149</v>
      </c>
      <c r="C9204" t="s">
        <v>192</v>
      </c>
      <c r="D9204" t="s">
        <v>321</v>
      </c>
      <c r="E9204" t="s">
        <v>444</v>
      </c>
      <c r="F9204">
        <f>HYPERLINK("https://www.wikidata.org/wiki/Q3112678", "Q3112678")</f>
        <v>0</v>
      </c>
      <c r="G9204" t="s">
        <v>2202</v>
      </c>
      <c r="H9204" t="s">
        <v>6812</v>
      </c>
      <c r="I9204" t="s">
        <v>6585</v>
      </c>
      <c r="J9204" t="s">
        <v>12864</v>
      </c>
      <c r="K9204" t="s">
        <v>17276</v>
      </c>
      <c r="L9204">
        <f>HYPERLINK("https://www2.assemblee-nationale.fr/sycomore/fiche/(num_dept)/401", "401")</f>
        <v>0</v>
      </c>
      <c r="N9204">
        <f>HYPERLINK("https://www.wikidata.org/wiki/Q2847200", "Q2847200")</f>
        <v>0</v>
      </c>
      <c r="O9204" t="s">
        <v>20238</v>
      </c>
    </row>
    <row r="9205" spans="1:15">
      <c r="A9205" t="s">
        <v>60</v>
      </c>
      <c r="B9205" t="s">
        <v>149</v>
      </c>
      <c r="C9205" t="s">
        <v>192</v>
      </c>
      <c r="D9205" t="s">
        <v>321</v>
      </c>
      <c r="E9205" t="s">
        <v>444</v>
      </c>
      <c r="F9205">
        <f>HYPERLINK("https://www.wikidata.org/wiki/Q3112678", "Q3112678")</f>
        <v>0</v>
      </c>
      <c r="G9205" t="s">
        <v>1091</v>
      </c>
      <c r="H9205" t="s">
        <v>5833</v>
      </c>
      <c r="I9205" t="s">
        <v>9445</v>
      </c>
      <c r="J9205" t="s">
        <v>11827</v>
      </c>
      <c r="K9205" t="s">
        <v>16227</v>
      </c>
      <c r="L9205">
        <f>HYPERLINK("https://www2.assemblee-nationale.fr/sycomore/fiche/(num_dept)/729", "729")</f>
        <v>0</v>
      </c>
      <c r="M9205">
        <f>HYPERLINK("https://www.senat.fr/senateur-3eme-republique/berthod_aime0449r3.html", "berthod_aime0449r3")</f>
        <v>0</v>
      </c>
      <c r="N9205">
        <f>HYPERLINK("https://www.wikidata.org/wiki/Q2825126", "Q2825126")</f>
        <v>0</v>
      </c>
      <c r="O9205" t="s">
        <v>20085</v>
      </c>
    </row>
    <row r="9206" spans="1:15">
      <c r="A9206" t="s">
        <v>60</v>
      </c>
      <c r="B9206" t="s">
        <v>149</v>
      </c>
      <c r="C9206" t="s">
        <v>192</v>
      </c>
      <c r="D9206" t="s">
        <v>321</v>
      </c>
      <c r="E9206" t="s">
        <v>444</v>
      </c>
      <c r="F9206">
        <f>HYPERLINK("https://www.wikidata.org/wiki/Q3112678", "Q3112678")</f>
        <v>0</v>
      </c>
      <c r="G9206" t="s">
        <v>1718</v>
      </c>
      <c r="H9206" t="s">
        <v>6393</v>
      </c>
      <c r="I9206" t="s">
        <v>9908</v>
      </c>
      <c r="J9206" t="s">
        <v>12419</v>
      </c>
      <c r="K9206" t="s">
        <v>16827</v>
      </c>
      <c r="L9206">
        <f>HYPERLINK("https://www2.assemblee-nationale.fr/sycomore/fiche/(num_dept)/782", "782")</f>
        <v>0</v>
      </c>
      <c r="N9206">
        <f>HYPERLINK("https://www.wikidata.org/wiki/Q3302423", "Q3302423")</f>
        <v>0</v>
      </c>
      <c r="O9206" t="s">
        <v>20239</v>
      </c>
    </row>
    <row r="9207" spans="1:15">
      <c r="A9207" t="s">
        <v>60</v>
      </c>
      <c r="B9207" t="s">
        <v>149</v>
      </c>
      <c r="C9207" t="s">
        <v>192</v>
      </c>
      <c r="D9207" t="s">
        <v>321</v>
      </c>
      <c r="E9207" t="s">
        <v>444</v>
      </c>
      <c r="F9207">
        <f>HYPERLINK("https://www.wikidata.org/wiki/Q3112678", "Q3112678")</f>
        <v>0</v>
      </c>
      <c r="G9207" t="s">
        <v>906</v>
      </c>
      <c r="H9207" t="s">
        <v>5662</v>
      </c>
      <c r="I9207" t="s">
        <v>6495</v>
      </c>
      <c r="J9207" t="s">
        <v>11377</v>
      </c>
      <c r="K9207" t="s">
        <v>16050</v>
      </c>
      <c r="L9207">
        <f>HYPERLINK("https://www2.assemblee-nationale.fr/sycomore/fiche/(num_dept)/1648", "1648")</f>
        <v>0</v>
      </c>
      <c r="N9207">
        <f>HYPERLINK("https://www.wikidata.org/wiki/Q3263418", "Q3263418")</f>
        <v>0</v>
      </c>
      <c r="O9207" t="s">
        <v>20097</v>
      </c>
    </row>
    <row r="9208" spans="1:15">
      <c r="A9208" t="s">
        <v>60</v>
      </c>
      <c r="B9208" t="s">
        <v>149</v>
      </c>
      <c r="C9208" t="s">
        <v>192</v>
      </c>
      <c r="D9208" t="s">
        <v>321</v>
      </c>
      <c r="E9208" t="s">
        <v>444</v>
      </c>
      <c r="F9208">
        <f>HYPERLINK("https://www.wikidata.org/wiki/Q3112678", "Q3112678")</f>
        <v>0</v>
      </c>
      <c r="G9208" t="s">
        <v>1946</v>
      </c>
      <c r="H9208" t="s">
        <v>6590</v>
      </c>
      <c r="I9208" t="s">
        <v>6860</v>
      </c>
      <c r="J9208" t="s">
        <v>12630</v>
      </c>
      <c r="K9208" t="s">
        <v>17040</v>
      </c>
      <c r="L9208">
        <f>HYPERLINK("https://www2.assemblee-nationale.fr/sycomore/fiche/(num_dept)/1997", "1997")</f>
        <v>0</v>
      </c>
      <c r="N9208">
        <f>HYPERLINK("https://www.wikidata.org/wiki/Q2274693", "Q2274693")</f>
        <v>0</v>
      </c>
      <c r="O9208" t="s">
        <v>20072</v>
      </c>
    </row>
    <row r="9209" spans="1:15">
      <c r="A9209" t="s">
        <v>60</v>
      </c>
      <c r="B9209" t="s">
        <v>149</v>
      </c>
      <c r="C9209" t="s">
        <v>192</v>
      </c>
      <c r="D9209" t="s">
        <v>321</v>
      </c>
      <c r="E9209" t="s">
        <v>444</v>
      </c>
      <c r="F9209">
        <f>HYPERLINK("https://www.wikidata.org/wiki/Q3112678", "Q3112678")</f>
        <v>0</v>
      </c>
      <c r="G9209" t="s">
        <v>1423</v>
      </c>
      <c r="H9209" t="s">
        <v>6128</v>
      </c>
      <c r="I9209" t="s">
        <v>9728</v>
      </c>
      <c r="J9209" t="s">
        <v>12147</v>
      </c>
      <c r="K9209" t="s">
        <v>16549</v>
      </c>
      <c r="L9209">
        <f>HYPERLINK("https://www2.assemblee-nationale.fr/sycomore/fiche/(num_dept)/2105", "2105")</f>
        <v>0</v>
      </c>
      <c r="N9209">
        <f>HYPERLINK("https://www.wikidata.org/wiki/Q213526", "Q213526")</f>
        <v>0</v>
      </c>
      <c r="O9209" t="s">
        <v>20062</v>
      </c>
    </row>
    <row r="9210" spans="1:15">
      <c r="A9210" t="s">
        <v>60</v>
      </c>
      <c r="B9210" t="s">
        <v>149</v>
      </c>
      <c r="C9210" t="s">
        <v>192</v>
      </c>
      <c r="D9210" t="s">
        <v>321</v>
      </c>
      <c r="E9210" t="s">
        <v>444</v>
      </c>
      <c r="F9210">
        <f>HYPERLINK("https://www.wikidata.org/wiki/Q3112678", "Q3112678")</f>
        <v>0</v>
      </c>
      <c r="G9210" t="s">
        <v>1423</v>
      </c>
      <c r="H9210" t="s">
        <v>6128</v>
      </c>
      <c r="I9210" t="s">
        <v>9728</v>
      </c>
      <c r="J9210" t="s">
        <v>12147</v>
      </c>
      <c r="K9210" t="s">
        <v>16549</v>
      </c>
      <c r="L9210">
        <f>HYPERLINK("https://www2.assemblee-nationale.fr/sycomore/fiche/(num_dept)/2105", "2105")</f>
        <v>0</v>
      </c>
      <c r="N9210">
        <f>HYPERLINK("https://www.wikidata.org/wiki/Q213526", "Q213526")</f>
        <v>0</v>
      </c>
      <c r="O9210" t="s">
        <v>20052</v>
      </c>
    </row>
    <row r="9211" spans="1:15">
      <c r="A9211" t="s">
        <v>60</v>
      </c>
      <c r="B9211" t="s">
        <v>149</v>
      </c>
      <c r="C9211" t="s">
        <v>192</v>
      </c>
      <c r="D9211" t="s">
        <v>321</v>
      </c>
      <c r="E9211" t="s">
        <v>444</v>
      </c>
      <c r="F9211">
        <f>HYPERLINK("https://www.wikidata.org/wiki/Q3112678", "Q3112678")</f>
        <v>0</v>
      </c>
      <c r="G9211" t="s">
        <v>2058</v>
      </c>
      <c r="H9211" t="s">
        <v>6689</v>
      </c>
      <c r="I9211" t="s">
        <v>9421</v>
      </c>
      <c r="J9211" t="s">
        <v>12730</v>
      </c>
      <c r="K9211" t="s">
        <v>17140</v>
      </c>
      <c r="L9211">
        <f>HYPERLINK("https://www2.assemblee-nationale.fr/sycomore/fiche/(num_dept)/2571", "2571")</f>
        <v>0</v>
      </c>
      <c r="N9211">
        <f>HYPERLINK("https://www.wikidata.org/wiki/Q3121168", "Q3121168")</f>
        <v>0</v>
      </c>
      <c r="O9211" t="s">
        <v>20206</v>
      </c>
    </row>
    <row r="9212" spans="1:15">
      <c r="A9212" t="s">
        <v>60</v>
      </c>
      <c r="B9212" t="s">
        <v>149</v>
      </c>
      <c r="C9212" t="s">
        <v>192</v>
      </c>
      <c r="D9212" t="s">
        <v>321</v>
      </c>
      <c r="E9212" t="s">
        <v>444</v>
      </c>
      <c r="F9212">
        <f>HYPERLINK("https://www.wikidata.org/wiki/Q3112678", "Q3112678")</f>
        <v>0</v>
      </c>
      <c r="G9212" t="s">
        <v>1444</v>
      </c>
      <c r="H9212" t="s">
        <v>6145</v>
      </c>
      <c r="I9212" t="s">
        <v>9472</v>
      </c>
      <c r="J9212" t="s">
        <v>12165</v>
      </c>
      <c r="K9212" t="s">
        <v>16570</v>
      </c>
      <c r="L9212">
        <f>HYPERLINK("https://www2.assemblee-nationale.fr/sycomore/fiche/(num_dept)/2655", "2655")</f>
        <v>0</v>
      </c>
      <c r="N9212">
        <f>HYPERLINK("https://www.wikidata.org/wiki/Q3136053", "Q3136053")</f>
        <v>0</v>
      </c>
      <c r="O9212" t="s">
        <v>20088</v>
      </c>
    </row>
    <row r="9213" spans="1:15">
      <c r="A9213" t="s">
        <v>60</v>
      </c>
      <c r="B9213" t="s">
        <v>149</v>
      </c>
      <c r="C9213" t="s">
        <v>192</v>
      </c>
      <c r="D9213" t="s">
        <v>321</v>
      </c>
      <c r="E9213" t="s">
        <v>444</v>
      </c>
      <c r="F9213">
        <f>HYPERLINK("https://www.wikidata.org/wiki/Q3112678", "Q3112678")</f>
        <v>0</v>
      </c>
      <c r="G9213" t="s">
        <v>1455</v>
      </c>
      <c r="H9213" t="s">
        <v>6155</v>
      </c>
      <c r="I9213" t="s">
        <v>6200</v>
      </c>
      <c r="J9213" t="s">
        <v>12174</v>
      </c>
      <c r="K9213" t="s">
        <v>16580</v>
      </c>
      <c r="L9213">
        <f>HYPERLINK("https://www2.assemblee-nationale.fr/sycomore/fiche/(num_dept)/2884", "2884")</f>
        <v>0</v>
      </c>
      <c r="M9213">
        <f>HYPERLINK("https://www.senat.fr/senateur-3eme-republique/fabry_jean0685r3.html", "fabry_jean0685r3")</f>
        <v>0</v>
      </c>
      <c r="N9213">
        <f>HYPERLINK("https://www.wikidata.org/wiki/Q3171965", "Q3171965")</f>
        <v>0</v>
      </c>
      <c r="O9213" t="s">
        <v>20240</v>
      </c>
    </row>
    <row r="9214" spans="1:15">
      <c r="A9214" t="s">
        <v>60</v>
      </c>
      <c r="B9214" t="s">
        <v>149</v>
      </c>
      <c r="C9214" t="s">
        <v>192</v>
      </c>
      <c r="D9214" t="s">
        <v>321</v>
      </c>
      <c r="E9214" t="s">
        <v>444</v>
      </c>
      <c r="F9214">
        <f>HYPERLINK("https://www.wikidata.org/wiki/Q3112678", "Q3112678")</f>
        <v>0</v>
      </c>
      <c r="G9214" t="s">
        <v>1802</v>
      </c>
      <c r="H9214" t="s">
        <v>6467</v>
      </c>
      <c r="I9214" t="s">
        <v>9465</v>
      </c>
      <c r="J9214" t="s">
        <v>12497</v>
      </c>
      <c r="K9214" t="s">
        <v>16907</v>
      </c>
      <c r="L9214">
        <f>HYPERLINK("https://www2.assemblee-nationale.fr/sycomore/fiche/(num_dept)/3167", "3167")</f>
        <v>0</v>
      </c>
      <c r="N9214">
        <f>HYPERLINK("https://www.wikidata.org/wiki/Q3059882", "Q3059882")</f>
        <v>0</v>
      </c>
      <c r="O9214" t="s">
        <v>20058</v>
      </c>
    </row>
    <row r="9215" spans="1:15">
      <c r="A9215" t="s">
        <v>60</v>
      </c>
      <c r="B9215" t="s">
        <v>149</v>
      </c>
      <c r="C9215" t="s">
        <v>192</v>
      </c>
      <c r="D9215" t="s">
        <v>321</v>
      </c>
      <c r="E9215" t="s">
        <v>444</v>
      </c>
      <c r="F9215">
        <f>HYPERLINK("https://www.wikidata.org/wiki/Q3112678", "Q3112678")</f>
        <v>0</v>
      </c>
      <c r="G9215" t="s">
        <v>2091</v>
      </c>
      <c r="H9215" t="s">
        <v>6716</v>
      </c>
      <c r="I9215" t="s">
        <v>6200</v>
      </c>
      <c r="J9215" t="s">
        <v>12760</v>
      </c>
      <c r="K9215" t="s">
        <v>17173</v>
      </c>
      <c r="L9215">
        <f>HYPERLINK("https://www2.assemblee-nationale.fr/sycomore/fiche/(num_dept)/3803", "3803")</f>
        <v>0</v>
      </c>
      <c r="N9215">
        <f>HYPERLINK("https://www.wikidata.org/wiki/Q3172596", "Q3172596")</f>
        <v>0</v>
      </c>
      <c r="O9215" t="s">
        <v>20061</v>
      </c>
    </row>
    <row r="9216" spans="1:15">
      <c r="A9216" t="s">
        <v>60</v>
      </c>
      <c r="B9216" t="s">
        <v>149</v>
      </c>
      <c r="C9216" t="s">
        <v>192</v>
      </c>
      <c r="D9216" t="s">
        <v>321</v>
      </c>
      <c r="E9216" t="s">
        <v>444</v>
      </c>
      <c r="F9216">
        <f>HYPERLINK("https://www.wikidata.org/wiki/Q3112678", "Q3112678")</f>
        <v>0</v>
      </c>
      <c r="G9216" t="s">
        <v>2095</v>
      </c>
      <c r="H9216" t="s">
        <v>6719</v>
      </c>
      <c r="I9216" t="s">
        <v>10080</v>
      </c>
      <c r="J9216" t="s">
        <v>12764</v>
      </c>
      <c r="K9216" t="s">
        <v>17177</v>
      </c>
      <c r="L9216">
        <f>HYPERLINK("https://www2.assemblee-nationale.fr/sycomore/fiche/(num_dept)/4009", "4009")</f>
        <v>0</v>
      </c>
      <c r="N9216">
        <f>HYPERLINK("https://www.wikidata.org/wiki/Q3163678", "Q3163678")</f>
        <v>0</v>
      </c>
      <c r="O9216" t="s">
        <v>20054</v>
      </c>
    </row>
    <row r="9217" spans="1:15">
      <c r="A9217" t="s">
        <v>60</v>
      </c>
      <c r="B9217" t="s">
        <v>149</v>
      </c>
      <c r="C9217" t="s">
        <v>192</v>
      </c>
      <c r="D9217" t="s">
        <v>321</v>
      </c>
      <c r="E9217" t="s">
        <v>444</v>
      </c>
      <c r="F9217">
        <f>HYPERLINK("https://www.wikidata.org/wiki/Q3112678", "Q3112678")</f>
        <v>0</v>
      </c>
      <c r="G9217" t="s">
        <v>1960</v>
      </c>
      <c r="H9217" t="s">
        <v>6601</v>
      </c>
      <c r="I9217" t="s">
        <v>6713</v>
      </c>
      <c r="J9217" t="s">
        <v>12643</v>
      </c>
      <c r="K9217" t="s">
        <v>17053</v>
      </c>
      <c r="L9217">
        <f>HYPERLINK("https://www2.assemblee-nationale.fr/sycomore/fiche/(num_dept)/4175", "4175")</f>
        <v>0</v>
      </c>
      <c r="N9217">
        <f>HYPERLINK("https://www.wikidata.org/wiki/Q3121895", "Q3121895")</f>
        <v>0</v>
      </c>
      <c r="O9217" t="s">
        <v>20108</v>
      </c>
    </row>
    <row r="9218" spans="1:15">
      <c r="A9218" t="s">
        <v>60</v>
      </c>
      <c r="B9218" t="s">
        <v>149</v>
      </c>
      <c r="C9218" t="s">
        <v>192</v>
      </c>
      <c r="D9218" t="s">
        <v>321</v>
      </c>
      <c r="E9218" t="s">
        <v>444</v>
      </c>
      <c r="F9218">
        <f>HYPERLINK("https://www.wikidata.org/wiki/Q3112678", "Q3112678")</f>
        <v>0</v>
      </c>
      <c r="G9218" t="s">
        <v>2102</v>
      </c>
      <c r="H9218" t="s">
        <v>6725</v>
      </c>
      <c r="I9218" t="s">
        <v>6585</v>
      </c>
      <c r="J9218" t="s">
        <v>12769</v>
      </c>
      <c r="K9218" t="s">
        <v>17184</v>
      </c>
      <c r="L9218">
        <f>HYPERLINK("https://www2.assemblee-nationale.fr/sycomore/fiche/(num_dept)/4808", "4808")</f>
        <v>0</v>
      </c>
      <c r="N9218">
        <f>HYPERLINK("https://www.wikidata.org/wiki/Q2848176", "Q2848176")</f>
        <v>0</v>
      </c>
      <c r="O9218" t="s">
        <v>20200</v>
      </c>
    </row>
    <row r="9219" spans="1:15">
      <c r="A9219" t="s">
        <v>60</v>
      </c>
      <c r="B9219" t="s">
        <v>149</v>
      </c>
      <c r="C9219" t="s">
        <v>192</v>
      </c>
      <c r="D9219" t="s">
        <v>321</v>
      </c>
      <c r="E9219" t="s">
        <v>444</v>
      </c>
      <c r="F9219">
        <f>HYPERLINK("https://www.wikidata.org/wiki/Q3112678", "Q3112678")</f>
        <v>0</v>
      </c>
      <c r="G9219" t="s">
        <v>1925</v>
      </c>
      <c r="H9219" t="s">
        <v>6572</v>
      </c>
      <c r="I9219" t="s">
        <v>9388</v>
      </c>
      <c r="J9219" t="s">
        <v>12610</v>
      </c>
      <c r="K9219" t="s">
        <v>17021</v>
      </c>
      <c r="L9219">
        <f>HYPERLINK("https://www2.assemblee-nationale.fr/sycomore/fiche/(num_dept)/4976", "4976")</f>
        <v>0</v>
      </c>
      <c r="N9219">
        <f>HYPERLINK("https://www.wikidata.org/wiki/Q3371769", "Q3371769")</f>
        <v>0</v>
      </c>
      <c r="O9219" t="s">
        <v>20066</v>
      </c>
    </row>
    <row r="9220" spans="1:15">
      <c r="A9220" t="s">
        <v>60</v>
      </c>
      <c r="B9220" t="s">
        <v>149</v>
      </c>
      <c r="C9220" t="s">
        <v>192</v>
      </c>
      <c r="D9220" t="s">
        <v>321</v>
      </c>
      <c r="E9220" t="s">
        <v>444</v>
      </c>
      <c r="F9220">
        <f>HYPERLINK("https://www.wikidata.org/wiki/Q3112678", "Q3112678")</f>
        <v>0</v>
      </c>
      <c r="G9220" t="s">
        <v>2108</v>
      </c>
      <c r="H9220" t="s">
        <v>6731</v>
      </c>
      <c r="I9220" t="s">
        <v>6585</v>
      </c>
      <c r="J9220" t="s">
        <v>12773</v>
      </c>
      <c r="K9220" t="s">
        <v>17190</v>
      </c>
      <c r="L9220">
        <f>HYPERLINK("https://www2.assemblee-nationale.fr/sycomore/fiche/(num_dept)/4997", "4997")</f>
        <v>0</v>
      </c>
      <c r="N9220">
        <f>HYPERLINK("https://www.wikidata.org/wiki/Q440565", "Q440565")</f>
        <v>0</v>
      </c>
      <c r="O9220" t="s">
        <v>20241</v>
      </c>
    </row>
    <row r="9221" spans="1:15">
      <c r="A9221" t="s">
        <v>60</v>
      </c>
      <c r="B9221" t="s">
        <v>149</v>
      </c>
      <c r="C9221" t="s">
        <v>192</v>
      </c>
      <c r="D9221" t="s">
        <v>321</v>
      </c>
      <c r="E9221" t="s">
        <v>444</v>
      </c>
      <c r="F9221">
        <f>HYPERLINK("https://www.wikidata.org/wiki/Q3112678", "Q3112678")</f>
        <v>0</v>
      </c>
      <c r="G9221" t="s">
        <v>2350</v>
      </c>
      <c r="H9221" t="s">
        <v>6936</v>
      </c>
      <c r="I9221" t="s">
        <v>5528</v>
      </c>
      <c r="J9221" t="s">
        <v>13003</v>
      </c>
      <c r="K9221" t="s">
        <v>17413</v>
      </c>
      <c r="L9221">
        <f>HYPERLINK("https://www2.assemblee-nationale.fr/sycomore/fiche/(num_dept)/5049", "5049")</f>
        <v>0</v>
      </c>
      <c r="N9221">
        <f>HYPERLINK("https://www.wikidata.org/wiki/Q1255723", "Q1255723")</f>
        <v>0</v>
      </c>
      <c r="O9221" t="s">
        <v>20242</v>
      </c>
    </row>
    <row r="9222" spans="1:15">
      <c r="A9222" t="s">
        <v>60</v>
      </c>
      <c r="B9222" t="s">
        <v>149</v>
      </c>
      <c r="C9222" t="s">
        <v>192</v>
      </c>
      <c r="D9222" t="s">
        <v>321</v>
      </c>
      <c r="E9222" t="s">
        <v>444</v>
      </c>
      <c r="F9222">
        <f>HYPERLINK("https://www.wikidata.org/wiki/Q3112678", "Q3112678")</f>
        <v>0</v>
      </c>
      <c r="G9222" t="s">
        <v>2120</v>
      </c>
      <c r="H9222" t="s">
        <v>6740</v>
      </c>
      <c r="I9222" t="s">
        <v>6200</v>
      </c>
      <c r="J9222" t="s">
        <v>12784</v>
      </c>
      <c r="K9222" t="s">
        <v>17200</v>
      </c>
      <c r="L9222">
        <f>HYPERLINK("https://www2.assemblee-nationale.fr/sycomore/fiche/(num_dept)/5310", "5310")</f>
        <v>0</v>
      </c>
      <c r="N9222">
        <f>HYPERLINK("https://www.wikidata.org/wiki/Q845559", "Q845559")</f>
        <v>0</v>
      </c>
      <c r="O9222" t="s">
        <v>20110</v>
      </c>
    </row>
    <row r="9223" spans="1:15">
      <c r="A9223" t="s">
        <v>60</v>
      </c>
      <c r="B9223" t="s">
        <v>149</v>
      </c>
      <c r="C9223" t="s">
        <v>192</v>
      </c>
      <c r="D9223" t="s">
        <v>321</v>
      </c>
      <c r="E9223" t="s">
        <v>444</v>
      </c>
      <c r="F9223">
        <f>HYPERLINK("https://www.wikidata.org/wiki/Q3112678", "Q3112678")</f>
        <v>0</v>
      </c>
      <c r="G9223" t="s">
        <v>1860</v>
      </c>
      <c r="H9223" t="s">
        <v>6516</v>
      </c>
      <c r="I9223" t="s">
        <v>9407</v>
      </c>
      <c r="J9223" t="s">
        <v>12550</v>
      </c>
      <c r="K9223" t="s">
        <v>16961</v>
      </c>
      <c r="L9223">
        <f>HYPERLINK("https://www2.assemblee-nationale.fr/sycomore/fiche/(num_dept)/5646", "5646")</f>
        <v>0</v>
      </c>
      <c r="M9223">
        <f>HYPERLINK("https://www.senat.fr/senateur-3eme-republique/paganon_joseph1203r3.html", "paganon_joseph1203r3")</f>
        <v>0</v>
      </c>
      <c r="N9223">
        <f>HYPERLINK("https://www.wikidata.org/wiki/Q3185441", "Q3185441")</f>
        <v>0</v>
      </c>
      <c r="O9223" t="s">
        <v>20063</v>
      </c>
    </row>
    <row r="9224" spans="1:15">
      <c r="A9224" t="s">
        <v>60</v>
      </c>
      <c r="B9224" t="s">
        <v>149</v>
      </c>
      <c r="C9224" t="s">
        <v>192</v>
      </c>
      <c r="D9224" t="s">
        <v>321</v>
      </c>
      <c r="E9224" t="s">
        <v>444</v>
      </c>
      <c r="F9224">
        <f>HYPERLINK("https://www.wikidata.org/wiki/Q3112678", "Q3112678")</f>
        <v>0</v>
      </c>
      <c r="G9224" t="s">
        <v>1967</v>
      </c>
      <c r="H9224" t="s">
        <v>6607</v>
      </c>
      <c r="I9224" t="s">
        <v>9692</v>
      </c>
      <c r="J9224" t="s">
        <v>12649</v>
      </c>
      <c r="K9224" t="s">
        <v>17058</v>
      </c>
      <c r="L9224">
        <f>HYPERLINK("https://www2.assemblee-nationale.fr/sycomore/fiche/(num_dept)/5707", "5707")</f>
        <v>0</v>
      </c>
      <c r="N9224">
        <f>HYPERLINK("https://www.wikidata.org/wiki/Q2569191", "Q2569191")</f>
        <v>0</v>
      </c>
      <c r="O9224" t="s">
        <v>20243</v>
      </c>
    </row>
    <row r="9225" spans="1:15">
      <c r="A9225" t="s">
        <v>60</v>
      </c>
      <c r="B9225" t="s">
        <v>149</v>
      </c>
      <c r="C9225" t="s">
        <v>192</v>
      </c>
      <c r="D9225" t="s">
        <v>321</v>
      </c>
      <c r="E9225" t="s">
        <v>444</v>
      </c>
      <c r="F9225">
        <f>HYPERLINK("https://www.wikidata.org/wiki/Q3112678", "Q3112678")</f>
        <v>0</v>
      </c>
      <c r="G9225" t="s">
        <v>752</v>
      </c>
      <c r="H9225" t="s">
        <v>5510</v>
      </c>
      <c r="I9225" t="s">
        <v>9407</v>
      </c>
      <c r="J9225" t="s">
        <v>11500</v>
      </c>
      <c r="K9225" t="s">
        <v>15903</v>
      </c>
      <c r="L9225">
        <f>HYPERLINK("https://www2.assemblee-nationale.fr/sycomore/fiche/(num_dept)/5724", "5724")</f>
        <v>0</v>
      </c>
      <c r="M9225">
        <f>HYPERLINK("https://www.senat.fr/senateur-3eme-republique/paul_boncour_joseph0550r4.html", "paul_boncour_joseph0550r4")</f>
        <v>0</v>
      </c>
      <c r="N9225">
        <f>HYPERLINK("https://www.wikidata.org/wiki/Q285865", "Q285865")</f>
        <v>0</v>
      </c>
      <c r="O9225" t="s">
        <v>20062</v>
      </c>
    </row>
    <row r="9226" spans="1:15">
      <c r="A9226" t="s">
        <v>60</v>
      </c>
      <c r="B9226" t="s">
        <v>149</v>
      </c>
      <c r="C9226" t="s">
        <v>192</v>
      </c>
      <c r="D9226" t="s">
        <v>321</v>
      </c>
      <c r="E9226" t="s">
        <v>444</v>
      </c>
      <c r="F9226">
        <f>HYPERLINK("https://www.wikidata.org/wiki/Q3112678", "Q3112678")</f>
        <v>0</v>
      </c>
      <c r="G9226" t="s">
        <v>1873</v>
      </c>
      <c r="H9226" t="s">
        <v>6528</v>
      </c>
      <c r="I9226" t="s">
        <v>6166</v>
      </c>
      <c r="J9226" t="s">
        <v>12561</v>
      </c>
      <c r="K9226" t="s">
        <v>16973</v>
      </c>
      <c r="L9226">
        <f>HYPERLINK("https://www2.assemblee-nationale.fr/sycomore/fiche/(num_dept)/5924", "5924")</f>
        <v>0</v>
      </c>
      <c r="N9226">
        <f>HYPERLINK("https://www.wikidata.org/wiki/Q3085590", "Q3085590")</f>
        <v>0</v>
      </c>
      <c r="O9226" t="s">
        <v>20066</v>
      </c>
    </row>
    <row r="9227" spans="1:15">
      <c r="A9227" t="s">
        <v>60</v>
      </c>
      <c r="B9227" t="s">
        <v>149</v>
      </c>
      <c r="C9227" t="s">
        <v>192</v>
      </c>
      <c r="D9227" t="s">
        <v>321</v>
      </c>
      <c r="E9227" t="s">
        <v>444</v>
      </c>
      <c r="F9227">
        <f>HYPERLINK("https://www.wikidata.org/wiki/Q3112678", "Q3112678")</f>
        <v>0</v>
      </c>
      <c r="G9227" t="s">
        <v>1304</v>
      </c>
      <c r="H9227" t="s">
        <v>6025</v>
      </c>
      <c r="I9227" t="s">
        <v>9457</v>
      </c>
      <c r="J9227" t="s">
        <v>12034</v>
      </c>
      <c r="K9227" t="s">
        <v>16435</v>
      </c>
      <c r="L9227">
        <f>HYPERLINK("https://www2.assemblee-nationale.fr/sycomore/fiche/(num_dept)/6554", "6554")</f>
        <v>0</v>
      </c>
      <c r="M9227">
        <f>HYPERLINK("https://www.senat.fr/senateur-3eme-republique/queuille_henri0469r3.html", "queuille_henri0469r3")</f>
        <v>0</v>
      </c>
      <c r="N9227">
        <f>HYPERLINK("https://www.wikidata.org/wiki/Q455655", "Q455655")</f>
        <v>0</v>
      </c>
      <c r="O9227" t="s">
        <v>20056</v>
      </c>
    </row>
    <row r="9228" spans="1:15">
      <c r="A9228" t="s">
        <v>60</v>
      </c>
      <c r="B9228" t="s">
        <v>149</v>
      </c>
      <c r="C9228" t="s">
        <v>192</v>
      </c>
      <c r="D9228" t="s">
        <v>321</v>
      </c>
      <c r="E9228" t="s">
        <v>444</v>
      </c>
      <c r="F9228">
        <f>HYPERLINK("https://www.wikidata.org/wiki/Q3112678", "Q3112678")</f>
        <v>0</v>
      </c>
      <c r="G9228" t="s">
        <v>4253</v>
      </c>
      <c r="H9228" t="s">
        <v>8422</v>
      </c>
      <c r="I9228" t="s">
        <v>6478</v>
      </c>
      <c r="J9228" t="s">
        <v>14757</v>
      </c>
      <c r="K9228" t="s">
        <v>19104</v>
      </c>
      <c r="M9228">
        <f>HYPERLINK("https://www.senat.fr/senateur-3eme-republique/jouvenel_des_ursins_henri0468r3.html", "jouvenel_des_ursins_henri0468r3")</f>
        <v>0</v>
      </c>
      <c r="N9228">
        <f>HYPERLINK("https://www.wikidata.org/wiki/Q3133192", "Q3133192")</f>
        <v>0</v>
      </c>
      <c r="O9228" t="s">
        <v>20244</v>
      </c>
    </row>
    <row r="9229" spans="1:15">
      <c r="A9229" t="s">
        <v>60</v>
      </c>
      <c r="B9229" t="s">
        <v>149</v>
      </c>
      <c r="C9229" t="s">
        <v>192</v>
      </c>
      <c r="D9229" t="s">
        <v>321</v>
      </c>
      <c r="E9229" t="s">
        <v>444</v>
      </c>
      <c r="F9229">
        <f>HYPERLINK("https://www.wikidata.org/wiki/Q3112678", "Q3112678")</f>
        <v>0</v>
      </c>
      <c r="G9229" t="s">
        <v>4278</v>
      </c>
      <c r="H9229" t="s">
        <v>8439</v>
      </c>
      <c r="I9229" t="s">
        <v>9465</v>
      </c>
      <c r="J9229" t="s">
        <v>14777</v>
      </c>
      <c r="K9229" t="s">
        <v>19124</v>
      </c>
      <c r="M9229">
        <f>HYPERLINK("https://www.senat.fr/senateur-3eme-republique/penancier_eugene1605r3.html", "penancier_eugene1605r3")</f>
        <v>0</v>
      </c>
      <c r="N9229">
        <f>HYPERLINK("https://www.wikidata.org/wiki/Q3060086", "Q3060086")</f>
        <v>0</v>
      </c>
      <c r="O9229" t="s">
        <v>20064</v>
      </c>
    </row>
    <row r="9230" spans="1:15">
      <c r="A9230" t="s">
        <v>60</v>
      </c>
      <c r="B9230" t="s">
        <v>149</v>
      </c>
      <c r="C9230" t="s">
        <v>192</v>
      </c>
      <c r="D9230" t="s">
        <v>321</v>
      </c>
      <c r="E9230" t="s">
        <v>444</v>
      </c>
      <c r="F9230">
        <f>HYPERLINK("https://www.wikidata.org/wiki/Q3112678", "Q3112678")</f>
        <v>0</v>
      </c>
      <c r="G9230" t="s">
        <v>4280</v>
      </c>
      <c r="H9230" t="s">
        <v>8441</v>
      </c>
      <c r="I9230" t="s">
        <v>9437</v>
      </c>
      <c r="J9230" t="s">
        <v>14779</v>
      </c>
      <c r="K9230" t="s">
        <v>19126</v>
      </c>
      <c r="M9230">
        <f>HYPERLINK("https://www.senat.fr/senateur-3eme-republique/lisbonne_emile0723r3.html", "lisbonne_emile0723r3")</f>
        <v>0</v>
      </c>
      <c r="N9230">
        <f>HYPERLINK("https://www.wikidata.org/wiki/Q3588624", "Q3588624")</f>
        <v>0</v>
      </c>
      <c r="O9230" t="s">
        <v>20089</v>
      </c>
    </row>
    <row r="9231" spans="1:15">
      <c r="A9231" t="s">
        <v>60</v>
      </c>
      <c r="B9231" t="s">
        <v>149</v>
      </c>
      <c r="C9231" t="s">
        <v>192</v>
      </c>
      <c r="D9231" t="s">
        <v>321</v>
      </c>
      <c r="E9231" t="s">
        <v>444</v>
      </c>
      <c r="F9231">
        <f>HYPERLINK("https://www.wikidata.org/wiki/Q3112678", "Q3112678")</f>
        <v>0</v>
      </c>
      <c r="G9231" t="s">
        <v>4281</v>
      </c>
      <c r="H9231" t="s">
        <v>6085</v>
      </c>
      <c r="I9231" t="s">
        <v>9388</v>
      </c>
      <c r="J9231" t="s">
        <v>14780</v>
      </c>
      <c r="K9231" t="s">
        <v>16499</v>
      </c>
      <c r="N9231">
        <f>HYPERLINK("https://www.wikidata.org/wiki/Q3370621", "Q3370621")</f>
        <v>0</v>
      </c>
      <c r="O9231" t="s">
        <v>20078</v>
      </c>
    </row>
    <row r="9232" spans="1:15">
      <c r="A9232" t="s">
        <v>60</v>
      </c>
      <c r="B9232" t="s">
        <v>149</v>
      </c>
      <c r="C9232" t="s">
        <v>192</v>
      </c>
      <c r="D9232" t="s">
        <v>321</v>
      </c>
      <c r="E9232" t="s">
        <v>444</v>
      </c>
      <c r="F9232">
        <f>HYPERLINK("https://www.wikidata.org/wiki/Q3112678", "Q3112678")</f>
        <v>0</v>
      </c>
      <c r="G9232" t="s">
        <v>4282</v>
      </c>
      <c r="H9232" t="s">
        <v>8442</v>
      </c>
      <c r="I9232" t="s">
        <v>6200</v>
      </c>
      <c r="J9232" t="s">
        <v>14781</v>
      </c>
      <c r="K9232" t="s">
        <v>19127</v>
      </c>
      <c r="M9232">
        <f>HYPERLINK("https://www.senat.fr/senateur-3eme-republique/valadier_jean0770r3.html", "valadier_jean0770r3")</f>
        <v>0</v>
      </c>
      <c r="N9232">
        <f>HYPERLINK("https://www.wikidata.org/wiki/Q3174926", "Q3174926")</f>
        <v>0</v>
      </c>
      <c r="O9232" t="s">
        <v>20204</v>
      </c>
    </row>
    <row r="9233" spans="1:15">
      <c r="A9233" t="s">
        <v>61</v>
      </c>
      <c r="B9233" t="s">
        <v>149</v>
      </c>
      <c r="C9233" t="s">
        <v>193</v>
      </c>
      <c r="D9233" t="s">
        <v>322</v>
      </c>
      <c r="E9233" t="s">
        <v>323</v>
      </c>
      <c r="F9233">
        <f>HYPERLINK("https://www.wikidata.org/wiki/Q3112680", "Q3112680")</f>
        <v>0</v>
      </c>
      <c r="G9233" t="s">
        <v>2241</v>
      </c>
      <c r="H9233" t="s">
        <v>6847</v>
      </c>
      <c r="I9233" t="s">
        <v>10131</v>
      </c>
      <c r="J9233" t="s">
        <v>12902</v>
      </c>
      <c r="K9233" t="s">
        <v>17312</v>
      </c>
      <c r="L9233">
        <f>HYPERLINK("https://www2.assemblee-nationale.fr/sycomore/fiche/(num_dept)/1406", "1406")</f>
        <v>0</v>
      </c>
      <c r="N9233">
        <f>HYPERLINK("https://www.wikidata.org/wiki/Q3010436", "Q3010436")</f>
        <v>0</v>
      </c>
      <c r="O9233" t="s">
        <v>20097</v>
      </c>
    </row>
    <row r="9234" spans="1:15">
      <c r="A9234" t="s">
        <v>61</v>
      </c>
      <c r="B9234" t="s">
        <v>149</v>
      </c>
      <c r="C9234" t="s">
        <v>193</v>
      </c>
      <c r="D9234" t="s">
        <v>322</v>
      </c>
      <c r="E9234" t="s">
        <v>323</v>
      </c>
      <c r="F9234">
        <f>HYPERLINK("https://www.wikidata.org/wiki/Q3112680", "Q3112680")</f>
        <v>0</v>
      </c>
      <c r="G9234" t="s">
        <v>1754</v>
      </c>
      <c r="H9234" t="s">
        <v>6424</v>
      </c>
      <c r="I9234" t="s">
        <v>9552</v>
      </c>
      <c r="J9234" t="s">
        <v>12454</v>
      </c>
      <c r="K9234" t="s">
        <v>16860</v>
      </c>
      <c r="L9234">
        <f>HYPERLINK("https://www2.assemblee-nationale.fr/sycomore/fiche/(num_dept)/1631", "1631")</f>
        <v>0</v>
      </c>
      <c r="M9234">
        <f>HYPERLINK("https://www.senat.fr/senateur-3eme-republique/champetier_de_ribes_auguste0517r4.html", "champetier_de_ribes_auguste0517r4")</f>
        <v>0</v>
      </c>
      <c r="N9234">
        <f>HYPERLINK("https://www.wikidata.org/wiki/Q478746", "Q478746")</f>
        <v>0</v>
      </c>
      <c r="O9234" t="s">
        <v>20245</v>
      </c>
    </row>
    <row r="9235" spans="1:15">
      <c r="A9235" t="s">
        <v>61</v>
      </c>
      <c r="B9235" t="s">
        <v>149</v>
      </c>
      <c r="C9235" t="s">
        <v>193</v>
      </c>
      <c r="D9235" t="s">
        <v>322</v>
      </c>
      <c r="E9235" t="s">
        <v>323</v>
      </c>
      <c r="F9235">
        <f>HYPERLINK("https://www.wikidata.org/wiki/Q3112680", "Q3112680")</f>
        <v>0</v>
      </c>
      <c r="G9235" t="s">
        <v>906</v>
      </c>
      <c r="H9235" t="s">
        <v>5662</v>
      </c>
      <c r="I9235" t="s">
        <v>6495</v>
      </c>
      <c r="J9235" t="s">
        <v>11377</v>
      </c>
      <c r="K9235" t="s">
        <v>16050</v>
      </c>
      <c r="L9235">
        <f>HYPERLINK("https://www2.assemblee-nationale.fr/sycomore/fiche/(num_dept)/1648", "1648")</f>
        <v>0</v>
      </c>
      <c r="N9235">
        <f>HYPERLINK("https://www.wikidata.org/wiki/Q3263418", "Q3263418")</f>
        <v>0</v>
      </c>
      <c r="O9235" t="s">
        <v>20108</v>
      </c>
    </row>
    <row r="9236" spans="1:15">
      <c r="A9236" t="s">
        <v>61</v>
      </c>
      <c r="B9236" t="s">
        <v>149</v>
      </c>
      <c r="C9236" t="s">
        <v>193</v>
      </c>
      <c r="D9236" t="s">
        <v>322</v>
      </c>
      <c r="E9236" t="s">
        <v>323</v>
      </c>
      <c r="F9236">
        <f>HYPERLINK("https://www.wikidata.org/wiki/Q3112680", "Q3112680")</f>
        <v>0</v>
      </c>
      <c r="G9236" t="s">
        <v>1410</v>
      </c>
      <c r="H9236" t="s">
        <v>5337</v>
      </c>
      <c r="I9236" t="s">
        <v>9506</v>
      </c>
      <c r="J9236" t="s">
        <v>12135</v>
      </c>
      <c r="K9236" t="s">
        <v>16537</v>
      </c>
      <c r="L9236">
        <f>HYPERLINK("https://www2.assemblee-nationale.fr/sycomore/fiche/(num_dept)/1726", "1726")</f>
        <v>0</v>
      </c>
      <c r="M9236">
        <f>HYPERLINK("https://www.senat.fr/senateur-3eme-republique/chautemps_camille0380r3.html", "chautemps_camille0380r3")</f>
        <v>0</v>
      </c>
      <c r="N9236">
        <f>HYPERLINK("https://www.wikidata.org/wiki/Q263884", "Q263884")</f>
        <v>0</v>
      </c>
      <c r="O9236" t="s">
        <v>20246</v>
      </c>
    </row>
    <row r="9237" spans="1:15">
      <c r="A9237" t="s">
        <v>61</v>
      </c>
      <c r="B9237" t="s">
        <v>149</v>
      </c>
      <c r="C9237" t="s">
        <v>193</v>
      </c>
      <c r="D9237" t="s">
        <v>322</v>
      </c>
      <c r="E9237" t="s">
        <v>323</v>
      </c>
      <c r="F9237">
        <f>HYPERLINK("https://www.wikidata.org/wiki/Q3112680", "Q3112680")</f>
        <v>0</v>
      </c>
      <c r="G9237" t="s">
        <v>1423</v>
      </c>
      <c r="H9237" t="s">
        <v>6128</v>
      </c>
      <c r="I9237" t="s">
        <v>9728</v>
      </c>
      <c r="J9237" t="s">
        <v>12147</v>
      </c>
      <c r="K9237" t="s">
        <v>16549</v>
      </c>
      <c r="L9237">
        <f>HYPERLINK("https://www2.assemblee-nationale.fr/sycomore/fiche/(num_dept)/2105", "2105")</f>
        <v>0</v>
      </c>
      <c r="N9237">
        <f>HYPERLINK("https://www.wikidata.org/wiki/Q213526", "Q213526")</f>
        <v>0</v>
      </c>
      <c r="O9237" t="s">
        <v>20247</v>
      </c>
    </row>
    <row r="9238" spans="1:15">
      <c r="A9238" t="s">
        <v>61</v>
      </c>
      <c r="B9238" t="s">
        <v>149</v>
      </c>
      <c r="C9238" t="s">
        <v>193</v>
      </c>
      <c r="D9238" t="s">
        <v>322</v>
      </c>
      <c r="E9238" t="s">
        <v>323</v>
      </c>
      <c r="F9238">
        <f>HYPERLINK("https://www.wikidata.org/wiki/Q3112680", "Q3112680")</f>
        <v>0</v>
      </c>
      <c r="G9238" t="s">
        <v>1423</v>
      </c>
      <c r="H9238" t="s">
        <v>6128</v>
      </c>
      <c r="I9238" t="s">
        <v>9728</v>
      </c>
      <c r="J9238" t="s">
        <v>12147</v>
      </c>
      <c r="K9238" t="s">
        <v>16549</v>
      </c>
      <c r="L9238">
        <f>HYPERLINK("https://www2.assemblee-nationale.fr/sycomore/fiche/(num_dept)/2105", "2105")</f>
        <v>0</v>
      </c>
      <c r="N9238">
        <f>HYPERLINK("https://www.wikidata.org/wiki/Q213526", "Q213526")</f>
        <v>0</v>
      </c>
      <c r="O9238" t="s">
        <v>20052</v>
      </c>
    </row>
    <row r="9239" spans="1:15">
      <c r="A9239" t="s">
        <v>61</v>
      </c>
      <c r="B9239" t="s">
        <v>149</v>
      </c>
      <c r="C9239" t="s">
        <v>193</v>
      </c>
      <c r="D9239" t="s">
        <v>322</v>
      </c>
      <c r="E9239" t="s">
        <v>323</v>
      </c>
      <c r="F9239">
        <f>HYPERLINK("https://www.wikidata.org/wiki/Q3112680", "Q3112680")</f>
        <v>0</v>
      </c>
      <c r="G9239" t="s">
        <v>1955</v>
      </c>
      <c r="H9239" t="s">
        <v>6597</v>
      </c>
      <c r="I9239" t="s">
        <v>10016</v>
      </c>
      <c r="J9239" t="s">
        <v>12638</v>
      </c>
      <c r="K9239" t="s">
        <v>17048</v>
      </c>
      <c r="L9239">
        <f>HYPERLINK("https://www2.assemblee-nationale.fr/sycomore/fiche/(num_dept)/3166", "3166")</f>
        <v>0</v>
      </c>
      <c r="N9239">
        <f>HYPERLINK("https://www.wikidata.org/wiki/Q1109027", "Q1109027")</f>
        <v>0</v>
      </c>
      <c r="O9239" t="s">
        <v>20063</v>
      </c>
    </row>
    <row r="9240" spans="1:15">
      <c r="A9240" t="s">
        <v>61</v>
      </c>
      <c r="B9240" t="s">
        <v>149</v>
      </c>
      <c r="C9240" t="s">
        <v>193</v>
      </c>
      <c r="D9240" t="s">
        <v>322</v>
      </c>
      <c r="E9240" t="s">
        <v>323</v>
      </c>
      <c r="F9240">
        <f>HYPERLINK("https://www.wikidata.org/wiki/Q3112680", "Q3112680")</f>
        <v>0</v>
      </c>
      <c r="G9240" t="s">
        <v>2326</v>
      </c>
      <c r="H9240" t="s">
        <v>6916</v>
      </c>
      <c r="I9240" t="s">
        <v>9446</v>
      </c>
      <c r="J9240" t="s">
        <v>12842</v>
      </c>
      <c r="K9240" t="s">
        <v>17390</v>
      </c>
      <c r="L9240">
        <f>HYPERLINK("https://www2.assemblee-nationale.fr/sycomore/fiche/(num_dept)/3346", "3346")</f>
        <v>0</v>
      </c>
      <c r="N9240">
        <f>HYPERLINK("https://www.wikidata.org/wiki/Q3069167", "Q3069167")</f>
        <v>0</v>
      </c>
      <c r="O9240" t="s">
        <v>20069</v>
      </c>
    </row>
    <row r="9241" spans="1:15">
      <c r="A9241" t="s">
        <v>61</v>
      </c>
      <c r="B9241" t="s">
        <v>149</v>
      </c>
      <c r="C9241" t="s">
        <v>193</v>
      </c>
      <c r="D9241" t="s">
        <v>322</v>
      </c>
      <c r="E9241" t="s">
        <v>323</v>
      </c>
      <c r="F9241">
        <f>HYPERLINK("https://www.wikidata.org/wiki/Q3112680", "Q3112680")</f>
        <v>0</v>
      </c>
      <c r="G9241" t="s">
        <v>2232</v>
      </c>
      <c r="H9241" t="s">
        <v>6841</v>
      </c>
      <c r="I9241" t="s">
        <v>9458</v>
      </c>
      <c r="J9241" t="s">
        <v>12893</v>
      </c>
      <c r="K9241" t="s">
        <v>17304</v>
      </c>
      <c r="L9241">
        <f>HYPERLINK("https://www2.assemblee-nationale.fr/sycomore/fiche/(num_dept)/4092", "4092")</f>
        <v>0</v>
      </c>
      <c r="N9241">
        <f>HYPERLINK("https://www.wikidata.org/wiki/Q2835216", "Q2835216")</f>
        <v>0</v>
      </c>
      <c r="O9241" t="s">
        <v>20078</v>
      </c>
    </row>
    <row r="9242" spans="1:15">
      <c r="A9242" t="s">
        <v>61</v>
      </c>
      <c r="B9242" t="s">
        <v>149</v>
      </c>
      <c r="C9242" t="s">
        <v>193</v>
      </c>
      <c r="D9242" t="s">
        <v>322</v>
      </c>
      <c r="E9242" t="s">
        <v>323</v>
      </c>
      <c r="F9242">
        <f>HYPERLINK("https://www.wikidata.org/wiki/Q3112680", "Q3112680")</f>
        <v>0</v>
      </c>
      <c r="G9242" t="s">
        <v>1960</v>
      </c>
      <c r="H9242" t="s">
        <v>6601</v>
      </c>
      <c r="I9242" t="s">
        <v>6713</v>
      </c>
      <c r="J9242" t="s">
        <v>12643</v>
      </c>
      <c r="K9242" t="s">
        <v>17053</v>
      </c>
      <c r="L9242">
        <f>HYPERLINK("https://www2.assemblee-nationale.fr/sycomore/fiche/(num_dept)/4175", "4175")</f>
        <v>0</v>
      </c>
      <c r="N9242">
        <f>HYPERLINK("https://www.wikidata.org/wiki/Q3121895", "Q3121895")</f>
        <v>0</v>
      </c>
      <c r="O9242" t="s">
        <v>20072</v>
      </c>
    </row>
    <row r="9243" spans="1:15">
      <c r="A9243" t="s">
        <v>61</v>
      </c>
      <c r="B9243" t="s">
        <v>149</v>
      </c>
      <c r="C9243" t="s">
        <v>193</v>
      </c>
      <c r="D9243" t="s">
        <v>322</v>
      </c>
      <c r="E9243" t="s">
        <v>323</v>
      </c>
      <c r="F9243">
        <f>HYPERLINK("https://www.wikidata.org/wiki/Q3112680", "Q3112680")</f>
        <v>0</v>
      </c>
      <c r="G9243" t="s">
        <v>1526</v>
      </c>
      <c r="H9243" t="s">
        <v>6221</v>
      </c>
      <c r="I9243" t="s">
        <v>6175</v>
      </c>
      <c r="J9243" t="s">
        <v>12243</v>
      </c>
      <c r="K9243" t="s">
        <v>16649</v>
      </c>
      <c r="L9243">
        <f>HYPERLINK("https://www2.assemblee-nationale.fr/sycomore/fiche/(num_dept)/4952", "4952")</f>
        <v>0</v>
      </c>
      <c r="N9243">
        <f>HYPERLINK("https://www.wikidata.org/wiki/Q669893", "Q669893")</f>
        <v>0</v>
      </c>
      <c r="O9243" t="s">
        <v>20065</v>
      </c>
    </row>
    <row r="9244" spans="1:15">
      <c r="A9244" t="s">
        <v>61</v>
      </c>
      <c r="B9244" t="s">
        <v>149</v>
      </c>
      <c r="C9244" t="s">
        <v>193</v>
      </c>
      <c r="D9244" t="s">
        <v>322</v>
      </c>
      <c r="E9244" t="s">
        <v>323</v>
      </c>
      <c r="F9244">
        <f>HYPERLINK("https://www.wikidata.org/wiki/Q3112680", "Q3112680")</f>
        <v>0</v>
      </c>
      <c r="G9244" t="s">
        <v>1925</v>
      </c>
      <c r="H9244" t="s">
        <v>6572</v>
      </c>
      <c r="I9244" t="s">
        <v>9388</v>
      </c>
      <c r="J9244" t="s">
        <v>12610</v>
      </c>
      <c r="K9244" t="s">
        <v>17021</v>
      </c>
      <c r="L9244">
        <f>HYPERLINK("https://www2.assemblee-nationale.fr/sycomore/fiche/(num_dept)/4976", "4976")</f>
        <v>0</v>
      </c>
      <c r="N9244">
        <f>HYPERLINK("https://www.wikidata.org/wiki/Q3371769", "Q3371769")</f>
        <v>0</v>
      </c>
      <c r="O9244" t="s">
        <v>20064</v>
      </c>
    </row>
    <row r="9245" spans="1:15">
      <c r="A9245" t="s">
        <v>61</v>
      </c>
      <c r="B9245" t="s">
        <v>149</v>
      </c>
      <c r="C9245" t="s">
        <v>193</v>
      </c>
      <c r="D9245" t="s">
        <v>322</v>
      </c>
      <c r="E9245" t="s">
        <v>323</v>
      </c>
      <c r="F9245">
        <f>HYPERLINK("https://www.wikidata.org/wiki/Q3112680", "Q3112680")</f>
        <v>0</v>
      </c>
      <c r="G9245" t="s">
        <v>1925</v>
      </c>
      <c r="H9245" t="s">
        <v>6572</v>
      </c>
      <c r="I9245" t="s">
        <v>9388</v>
      </c>
      <c r="J9245" t="s">
        <v>12610</v>
      </c>
      <c r="K9245" t="s">
        <v>17021</v>
      </c>
      <c r="L9245">
        <f>HYPERLINK("https://www2.assemblee-nationale.fr/sycomore/fiche/(num_dept)/4976", "4976")</f>
        <v>0</v>
      </c>
      <c r="N9245">
        <f>HYPERLINK("https://www.wikidata.org/wiki/Q3371769", "Q3371769")</f>
        <v>0</v>
      </c>
      <c r="O9245" t="s">
        <v>20066</v>
      </c>
    </row>
    <row r="9246" spans="1:15">
      <c r="A9246" t="s">
        <v>61</v>
      </c>
      <c r="B9246" t="s">
        <v>149</v>
      </c>
      <c r="C9246" t="s">
        <v>193</v>
      </c>
      <c r="D9246" t="s">
        <v>322</v>
      </c>
      <c r="E9246" t="s">
        <v>323</v>
      </c>
      <c r="F9246">
        <f>HYPERLINK("https://www.wikidata.org/wiki/Q3112680", "Q3112680")</f>
        <v>0</v>
      </c>
      <c r="G9246" t="s">
        <v>738</v>
      </c>
      <c r="H9246" t="s">
        <v>5496</v>
      </c>
      <c r="I9246" t="s">
        <v>9503</v>
      </c>
      <c r="J9246" t="s">
        <v>11487</v>
      </c>
      <c r="K9246" t="s">
        <v>15889</v>
      </c>
      <c r="L9246">
        <f>HYPERLINK("https://www2.assemblee-nationale.fr/sycomore/fiche/(num_dept)/5394", "5394")</f>
        <v>0</v>
      </c>
      <c r="M9246">
        <f>HYPERLINK("https://www.senat.fr/senateur-3eme-republique/de_monzie_anatole0605r3.html", "de_monzie_anatole0605r3")</f>
        <v>0</v>
      </c>
      <c r="N9246">
        <f>HYPERLINK("https://www.wikidata.org/wiki/Q2845619", "Q2845619")</f>
        <v>0</v>
      </c>
      <c r="O9246" t="s">
        <v>20063</v>
      </c>
    </row>
    <row r="9247" spans="1:15">
      <c r="A9247" t="s">
        <v>61</v>
      </c>
      <c r="B9247" t="s">
        <v>149</v>
      </c>
      <c r="C9247" t="s">
        <v>193</v>
      </c>
      <c r="D9247" t="s">
        <v>322</v>
      </c>
      <c r="E9247" t="s">
        <v>323</v>
      </c>
      <c r="F9247">
        <f>HYPERLINK("https://www.wikidata.org/wiki/Q3112680", "Q3112680")</f>
        <v>0</v>
      </c>
      <c r="G9247" t="s">
        <v>1967</v>
      </c>
      <c r="H9247" t="s">
        <v>6607</v>
      </c>
      <c r="I9247" t="s">
        <v>9692</v>
      </c>
      <c r="J9247" t="s">
        <v>12649</v>
      </c>
      <c r="K9247" t="s">
        <v>17058</v>
      </c>
      <c r="L9247">
        <f>HYPERLINK("https://www2.assemblee-nationale.fr/sycomore/fiche/(num_dept)/5707", "5707")</f>
        <v>0</v>
      </c>
      <c r="N9247">
        <f>HYPERLINK("https://www.wikidata.org/wiki/Q2569191", "Q2569191")</f>
        <v>0</v>
      </c>
      <c r="O9247" t="s">
        <v>20082</v>
      </c>
    </row>
    <row r="9248" spans="1:15">
      <c r="A9248" t="s">
        <v>61</v>
      </c>
      <c r="B9248" t="s">
        <v>149</v>
      </c>
      <c r="C9248" t="s">
        <v>193</v>
      </c>
      <c r="D9248" t="s">
        <v>322</v>
      </c>
      <c r="E9248" t="s">
        <v>323</v>
      </c>
      <c r="F9248">
        <f>HYPERLINK("https://www.wikidata.org/wiki/Q3112680", "Q3112680")</f>
        <v>0</v>
      </c>
      <c r="G9248" t="s">
        <v>2149</v>
      </c>
      <c r="H9248" t="s">
        <v>6763</v>
      </c>
      <c r="I9248" t="s">
        <v>9499</v>
      </c>
      <c r="J9248" t="s">
        <v>12813</v>
      </c>
      <c r="K9248" t="s">
        <v>17228</v>
      </c>
      <c r="L9248">
        <f>HYPERLINK("https://www2.assemblee-nationale.fr/sycomore/fiche/(num_dept)/6184", "6184")</f>
        <v>0</v>
      </c>
      <c r="N9248">
        <f>HYPERLINK("https://www.wikidata.org/wiki/Q950845", "Q950845")</f>
        <v>0</v>
      </c>
      <c r="O9248" t="s">
        <v>20089</v>
      </c>
    </row>
    <row r="9249" spans="1:15">
      <c r="A9249" t="s">
        <v>61</v>
      </c>
      <c r="B9249" t="s">
        <v>149</v>
      </c>
      <c r="C9249" t="s">
        <v>193</v>
      </c>
      <c r="D9249" t="s">
        <v>322</v>
      </c>
      <c r="E9249" t="s">
        <v>323</v>
      </c>
      <c r="F9249">
        <f>HYPERLINK("https://www.wikidata.org/wiki/Q3112680", "Q3112680")</f>
        <v>0</v>
      </c>
      <c r="G9249" t="s">
        <v>778</v>
      </c>
      <c r="H9249" t="s">
        <v>5536</v>
      </c>
      <c r="I9249" t="s">
        <v>6584</v>
      </c>
      <c r="J9249" t="s">
        <v>11525</v>
      </c>
      <c r="K9249" t="s">
        <v>15929</v>
      </c>
      <c r="L9249">
        <f>HYPERLINK("https://www2.assemblee-nationale.fr/sycomore/fiche/(num_dept)/6293", "6293")</f>
        <v>0</v>
      </c>
      <c r="M9249">
        <f>HYPERLINK("https://www.senat.fr/senateur-3eme-republique/sarraut_albert0265r3.html", "sarraut_albert0265r3")</f>
        <v>0</v>
      </c>
      <c r="N9249">
        <f>HYPERLINK("https://www.wikidata.org/wiki/Q460318", "Q460318")</f>
        <v>0</v>
      </c>
      <c r="O9249" t="s">
        <v>20058</v>
      </c>
    </row>
    <row r="9250" spans="1:15">
      <c r="A9250" t="s">
        <v>61</v>
      </c>
      <c r="B9250" t="s">
        <v>149</v>
      </c>
      <c r="C9250" t="s">
        <v>193</v>
      </c>
      <c r="D9250" t="s">
        <v>322</v>
      </c>
      <c r="E9250" t="s">
        <v>323</v>
      </c>
      <c r="F9250">
        <f>HYPERLINK("https://www.wikidata.org/wiki/Q3112680", "Q3112680")</f>
        <v>0</v>
      </c>
      <c r="G9250" t="s">
        <v>2156</v>
      </c>
      <c r="H9250" t="s">
        <v>6770</v>
      </c>
      <c r="I9250" t="s">
        <v>9385</v>
      </c>
      <c r="J9250" t="s">
        <v>12820</v>
      </c>
      <c r="K9250" t="s">
        <v>17235</v>
      </c>
      <c r="L9250">
        <f>HYPERLINK("https://www2.assemblee-nationale.fr/sycomore/fiche/(num_dept)/6406", "6406")</f>
        <v>0</v>
      </c>
      <c r="N9250">
        <f>HYPERLINK("https://www.wikidata.org/wiki/Q2960033", "Q2960033")</f>
        <v>0</v>
      </c>
      <c r="O9250" t="s">
        <v>20086</v>
      </c>
    </row>
    <row r="9251" spans="1:15">
      <c r="A9251" t="s">
        <v>61</v>
      </c>
      <c r="B9251" t="s">
        <v>149</v>
      </c>
      <c r="C9251" t="s">
        <v>193</v>
      </c>
      <c r="D9251" t="s">
        <v>322</v>
      </c>
      <c r="E9251" t="s">
        <v>323</v>
      </c>
      <c r="F9251">
        <f>HYPERLINK("https://www.wikidata.org/wiki/Q3112680", "Q3112680")</f>
        <v>0</v>
      </c>
      <c r="G9251" t="s">
        <v>1304</v>
      </c>
      <c r="H9251" t="s">
        <v>6025</v>
      </c>
      <c r="I9251" t="s">
        <v>9457</v>
      </c>
      <c r="J9251" t="s">
        <v>12034</v>
      </c>
      <c r="K9251" t="s">
        <v>16435</v>
      </c>
      <c r="L9251">
        <f>HYPERLINK("https://www2.assemblee-nationale.fr/sycomore/fiche/(num_dept)/6554", "6554")</f>
        <v>0</v>
      </c>
      <c r="M9251">
        <f>HYPERLINK("https://www.senat.fr/senateur-3eme-republique/queuille_henri0469r3.html", "queuille_henri0469r3")</f>
        <v>0</v>
      </c>
      <c r="N9251">
        <f>HYPERLINK("https://www.wikidata.org/wiki/Q455655", "Q455655")</f>
        <v>0</v>
      </c>
      <c r="O9251" t="s">
        <v>20056</v>
      </c>
    </row>
    <row r="9252" spans="1:15">
      <c r="A9252" t="s">
        <v>61</v>
      </c>
      <c r="B9252" t="s">
        <v>149</v>
      </c>
      <c r="C9252" t="s">
        <v>193</v>
      </c>
      <c r="D9252" t="s">
        <v>322</v>
      </c>
      <c r="E9252" t="s">
        <v>323</v>
      </c>
      <c r="F9252">
        <f>HYPERLINK("https://www.wikidata.org/wiki/Q3112680", "Q3112680")</f>
        <v>0</v>
      </c>
      <c r="G9252" t="s">
        <v>2160</v>
      </c>
      <c r="H9252" t="s">
        <v>6774</v>
      </c>
      <c r="I9252" t="s">
        <v>9388</v>
      </c>
      <c r="J9252" t="s">
        <v>12824</v>
      </c>
      <c r="K9252" t="s">
        <v>17239</v>
      </c>
      <c r="L9252">
        <f>HYPERLINK("https://www2.assemblee-nationale.fr/sycomore/fiche/(num_dept)/6588", "6588")</f>
        <v>0</v>
      </c>
      <c r="N9252">
        <f>HYPERLINK("https://www.wikidata.org/wiki/Q328235", "Q328235")</f>
        <v>0</v>
      </c>
      <c r="O9252" t="s">
        <v>20086</v>
      </c>
    </row>
    <row r="9253" spans="1:15">
      <c r="A9253" t="s">
        <v>61</v>
      </c>
      <c r="B9253" t="s">
        <v>149</v>
      </c>
      <c r="C9253" t="s">
        <v>193</v>
      </c>
      <c r="D9253" t="s">
        <v>322</v>
      </c>
      <c r="E9253" t="s">
        <v>323</v>
      </c>
      <c r="F9253">
        <f>HYPERLINK("https://www.wikidata.org/wiki/Q3112680", "Q3112680")</f>
        <v>0</v>
      </c>
      <c r="G9253" t="s">
        <v>1616</v>
      </c>
      <c r="H9253" t="s">
        <v>6301</v>
      </c>
      <c r="I9253" t="s">
        <v>9388</v>
      </c>
      <c r="J9253" t="s">
        <v>12323</v>
      </c>
      <c r="K9253" t="s">
        <v>16733</v>
      </c>
      <c r="L9253">
        <f>HYPERLINK("https://www2.assemblee-nationale.fr/sycomore/fiche/(num_dept)/6710", "6710")</f>
        <v>0</v>
      </c>
      <c r="N9253">
        <f>HYPERLINK("https://www.wikidata.org/wiki/Q161076", "Q161076")</f>
        <v>0</v>
      </c>
      <c r="O9253" t="s">
        <v>20064</v>
      </c>
    </row>
    <row r="9254" spans="1:15">
      <c r="A9254" t="s">
        <v>61</v>
      </c>
      <c r="B9254" t="s">
        <v>149</v>
      </c>
      <c r="C9254" t="s">
        <v>193</v>
      </c>
      <c r="D9254" t="s">
        <v>322</v>
      </c>
      <c r="E9254" t="s">
        <v>323</v>
      </c>
      <c r="F9254">
        <f>HYPERLINK("https://www.wikidata.org/wiki/Q3112680", "Q3112680")</f>
        <v>0</v>
      </c>
      <c r="G9254" t="s">
        <v>1616</v>
      </c>
      <c r="H9254" t="s">
        <v>6301</v>
      </c>
      <c r="I9254" t="s">
        <v>9388</v>
      </c>
      <c r="J9254" t="s">
        <v>12323</v>
      </c>
      <c r="K9254" t="s">
        <v>16733</v>
      </c>
      <c r="L9254">
        <f>HYPERLINK("https://www2.assemblee-nationale.fr/sycomore/fiche/(num_dept)/6710", "6710")</f>
        <v>0</v>
      </c>
      <c r="N9254">
        <f>HYPERLINK("https://www.wikidata.org/wiki/Q161076", "Q161076")</f>
        <v>0</v>
      </c>
      <c r="O9254" t="s">
        <v>20064</v>
      </c>
    </row>
    <row r="9255" spans="1:15">
      <c r="A9255" t="s">
        <v>61</v>
      </c>
      <c r="B9255" t="s">
        <v>149</v>
      </c>
      <c r="C9255" t="s">
        <v>193</v>
      </c>
      <c r="D9255" t="s">
        <v>322</v>
      </c>
      <c r="E9255" t="s">
        <v>323</v>
      </c>
      <c r="F9255">
        <f>HYPERLINK("https://www.wikidata.org/wiki/Q3112680", "Q3112680")</f>
        <v>0</v>
      </c>
      <c r="G9255" t="s">
        <v>2400</v>
      </c>
      <c r="H9255" t="s">
        <v>6977</v>
      </c>
      <c r="I9255" t="s">
        <v>6200</v>
      </c>
      <c r="J9255" t="s">
        <v>13050</v>
      </c>
      <c r="K9255" t="s">
        <v>17460</v>
      </c>
      <c r="L9255">
        <f>HYPERLINK("https://www2.assemblee-nationale.fr/sycomore/fiche/(num_dept)/7291", "7291")</f>
        <v>0</v>
      </c>
      <c r="N9255">
        <f>HYPERLINK("https://www.wikidata.org/wiki/Q713487", "Q713487")</f>
        <v>0</v>
      </c>
      <c r="O9255" t="s">
        <v>20085</v>
      </c>
    </row>
    <row r="9256" spans="1:15">
      <c r="A9256" t="s">
        <v>61</v>
      </c>
      <c r="B9256" t="s">
        <v>149</v>
      </c>
      <c r="C9256" t="s">
        <v>193</v>
      </c>
      <c r="D9256" t="s">
        <v>322</v>
      </c>
      <c r="E9256" t="s">
        <v>323</v>
      </c>
      <c r="F9256">
        <f>HYPERLINK("https://www.wikidata.org/wiki/Q3112680", "Q3112680")</f>
        <v>0</v>
      </c>
      <c r="G9256" t="s">
        <v>1724</v>
      </c>
      <c r="H9256" t="s">
        <v>6360</v>
      </c>
      <c r="I9256" t="s">
        <v>6175</v>
      </c>
      <c r="J9256" t="s">
        <v>12425</v>
      </c>
      <c r="K9256" t="s">
        <v>16833</v>
      </c>
      <c r="N9256">
        <f>HYPERLINK("https://www.wikidata.org/wiki/Q3102323", "Q3102323")</f>
        <v>0</v>
      </c>
      <c r="O9256" t="s">
        <v>20062</v>
      </c>
    </row>
    <row r="9257" spans="1:15">
      <c r="A9257" t="s">
        <v>62</v>
      </c>
      <c r="B9257" t="s">
        <v>149</v>
      </c>
      <c r="C9257" t="s">
        <v>194</v>
      </c>
      <c r="D9257" t="s">
        <v>323</v>
      </c>
      <c r="E9257" t="s">
        <v>324</v>
      </c>
      <c r="F9257">
        <f>HYPERLINK("https://www.wikidata.org/wiki/Q3112681", "Q3112681")</f>
        <v>0</v>
      </c>
      <c r="G9257" t="s">
        <v>2241</v>
      </c>
      <c r="H9257" t="s">
        <v>6847</v>
      </c>
      <c r="I9257" t="s">
        <v>10131</v>
      </c>
      <c r="J9257" t="s">
        <v>12902</v>
      </c>
      <c r="K9257" t="s">
        <v>17312</v>
      </c>
      <c r="L9257">
        <f>HYPERLINK("https://www2.assemblee-nationale.fr/sycomore/fiche/(num_dept)/1406", "1406")</f>
        <v>0</v>
      </c>
      <c r="N9257">
        <f>HYPERLINK("https://www.wikidata.org/wiki/Q3010436", "Q3010436")</f>
        <v>0</v>
      </c>
      <c r="O9257" t="s">
        <v>20097</v>
      </c>
    </row>
    <row r="9258" spans="1:15">
      <c r="A9258" t="s">
        <v>62</v>
      </c>
      <c r="B9258" t="s">
        <v>149</v>
      </c>
      <c r="C9258" t="s">
        <v>194</v>
      </c>
      <c r="D9258" t="s">
        <v>323</v>
      </c>
      <c r="E9258" t="s">
        <v>324</v>
      </c>
      <c r="F9258">
        <f>HYPERLINK("https://www.wikidata.org/wiki/Q3112681", "Q3112681")</f>
        <v>0</v>
      </c>
      <c r="G9258" t="s">
        <v>1754</v>
      </c>
      <c r="H9258" t="s">
        <v>6424</v>
      </c>
      <c r="I9258" t="s">
        <v>9552</v>
      </c>
      <c r="J9258" t="s">
        <v>12454</v>
      </c>
      <c r="K9258" t="s">
        <v>16860</v>
      </c>
      <c r="L9258">
        <f>HYPERLINK("https://www2.assemblee-nationale.fr/sycomore/fiche/(num_dept)/1631", "1631")</f>
        <v>0</v>
      </c>
      <c r="M9258">
        <f>HYPERLINK("https://www.senat.fr/senateur-3eme-republique/champetier_de_ribes_auguste0517r4.html", "champetier_de_ribes_auguste0517r4")</f>
        <v>0</v>
      </c>
      <c r="N9258">
        <f>HYPERLINK("https://www.wikidata.org/wiki/Q478746", "Q478746")</f>
        <v>0</v>
      </c>
      <c r="O9258" t="s">
        <v>20245</v>
      </c>
    </row>
    <row r="9259" spans="1:15">
      <c r="A9259" t="s">
        <v>62</v>
      </c>
      <c r="B9259" t="s">
        <v>149</v>
      </c>
      <c r="C9259" t="s">
        <v>194</v>
      </c>
      <c r="D9259" t="s">
        <v>323</v>
      </c>
      <c r="E9259" t="s">
        <v>324</v>
      </c>
      <c r="F9259">
        <f>HYPERLINK("https://www.wikidata.org/wiki/Q3112681", "Q3112681")</f>
        <v>0</v>
      </c>
      <c r="G9259" t="s">
        <v>906</v>
      </c>
      <c r="H9259" t="s">
        <v>5662</v>
      </c>
      <c r="I9259" t="s">
        <v>6495</v>
      </c>
      <c r="J9259" t="s">
        <v>11377</v>
      </c>
      <c r="K9259" t="s">
        <v>16050</v>
      </c>
      <c r="L9259">
        <f>HYPERLINK("https://www2.assemblee-nationale.fr/sycomore/fiche/(num_dept)/1648", "1648")</f>
        <v>0</v>
      </c>
      <c r="N9259">
        <f>HYPERLINK("https://www.wikidata.org/wiki/Q3263418", "Q3263418")</f>
        <v>0</v>
      </c>
      <c r="O9259" t="s">
        <v>20108</v>
      </c>
    </row>
    <row r="9260" spans="1:15">
      <c r="A9260" t="s">
        <v>62</v>
      </c>
      <c r="B9260" t="s">
        <v>149</v>
      </c>
      <c r="C9260" t="s">
        <v>194</v>
      </c>
      <c r="D9260" t="s">
        <v>323</v>
      </c>
      <c r="E9260" t="s">
        <v>324</v>
      </c>
      <c r="F9260">
        <f>HYPERLINK("https://www.wikidata.org/wiki/Q3112681", "Q3112681")</f>
        <v>0</v>
      </c>
      <c r="G9260" t="s">
        <v>1410</v>
      </c>
      <c r="H9260" t="s">
        <v>5337</v>
      </c>
      <c r="I9260" t="s">
        <v>9506</v>
      </c>
      <c r="J9260" t="s">
        <v>12135</v>
      </c>
      <c r="K9260" t="s">
        <v>16537</v>
      </c>
      <c r="L9260">
        <f>HYPERLINK("https://www2.assemblee-nationale.fr/sycomore/fiche/(num_dept)/1726", "1726")</f>
        <v>0</v>
      </c>
      <c r="M9260">
        <f>HYPERLINK("https://www.senat.fr/senateur-3eme-republique/chautemps_camille0380r3.html", "chautemps_camille0380r3")</f>
        <v>0</v>
      </c>
      <c r="N9260">
        <f>HYPERLINK("https://www.wikidata.org/wiki/Q263884", "Q263884")</f>
        <v>0</v>
      </c>
      <c r="O9260" t="s">
        <v>20246</v>
      </c>
    </row>
    <row r="9261" spans="1:15">
      <c r="A9261" t="s">
        <v>62</v>
      </c>
      <c r="B9261" t="s">
        <v>149</v>
      </c>
      <c r="C9261" t="s">
        <v>194</v>
      </c>
      <c r="D9261" t="s">
        <v>323</v>
      </c>
      <c r="E9261" t="s">
        <v>324</v>
      </c>
      <c r="F9261">
        <f>HYPERLINK("https://www.wikidata.org/wiki/Q3112681", "Q3112681")</f>
        <v>0</v>
      </c>
      <c r="G9261" t="s">
        <v>1423</v>
      </c>
      <c r="H9261" t="s">
        <v>6128</v>
      </c>
      <c r="I9261" t="s">
        <v>9728</v>
      </c>
      <c r="J9261" t="s">
        <v>12147</v>
      </c>
      <c r="K9261" t="s">
        <v>16549</v>
      </c>
      <c r="L9261">
        <f>HYPERLINK("https://www2.assemblee-nationale.fr/sycomore/fiche/(num_dept)/2105", "2105")</f>
        <v>0</v>
      </c>
      <c r="N9261">
        <f>HYPERLINK("https://www.wikidata.org/wiki/Q213526", "Q213526")</f>
        <v>0</v>
      </c>
      <c r="O9261" t="s">
        <v>20247</v>
      </c>
    </row>
    <row r="9262" spans="1:15">
      <c r="A9262" t="s">
        <v>62</v>
      </c>
      <c r="B9262" t="s">
        <v>149</v>
      </c>
      <c r="C9262" t="s">
        <v>194</v>
      </c>
      <c r="D9262" t="s">
        <v>323</v>
      </c>
      <c r="E9262" t="s">
        <v>324</v>
      </c>
      <c r="F9262">
        <f>HYPERLINK("https://www.wikidata.org/wiki/Q3112681", "Q3112681")</f>
        <v>0</v>
      </c>
      <c r="G9262" t="s">
        <v>1423</v>
      </c>
      <c r="H9262" t="s">
        <v>6128</v>
      </c>
      <c r="I9262" t="s">
        <v>9728</v>
      </c>
      <c r="J9262" t="s">
        <v>12147</v>
      </c>
      <c r="K9262" t="s">
        <v>16549</v>
      </c>
      <c r="L9262">
        <f>HYPERLINK("https://www2.assemblee-nationale.fr/sycomore/fiche/(num_dept)/2105", "2105")</f>
        <v>0</v>
      </c>
      <c r="N9262">
        <f>HYPERLINK("https://www.wikidata.org/wiki/Q213526", "Q213526")</f>
        <v>0</v>
      </c>
      <c r="O9262" t="s">
        <v>20052</v>
      </c>
    </row>
    <row r="9263" spans="1:15">
      <c r="A9263" t="s">
        <v>62</v>
      </c>
      <c r="B9263" t="s">
        <v>149</v>
      </c>
      <c r="C9263" t="s">
        <v>194</v>
      </c>
      <c r="D9263" t="s">
        <v>323</v>
      </c>
      <c r="E9263" t="s">
        <v>324</v>
      </c>
      <c r="F9263">
        <f>HYPERLINK("https://www.wikidata.org/wiki/Q3112681", "Q3112681")</f>
        <v>0</v>
      </c>
      <c r="G9263" t="s">
        <v>2326</v>
      </c>
      <c r="H9263" t="s">
        <v>6916</v>
      </c>
      <c r="I9263" t="s">
        <v>9446</v>
      </c>
      <c r="J9263" t="s">
        <v>12842</v>
      </c>
      <c r="K9263" t="s">
        <v>17390</v>
      </c>
      <c r="L9263">
        <f>HYPERLINK("https://www2.assemblee-nationale.fr/sycomore/fiche/(num_dept)/3346", "3346")</f>
        <v>0</v>
      </c>
      <c r="N9263">
        <f>HYPERLINK("https://www.wikidata.org/wiki/Q3069167", "Q3069167")</f>
        <v>0</v>
      </c>
      <c r="O9263" t="s">
        <v>20069</v>
      </c>
    </row>
    <row r="9264" spans="1:15">
      <c r="A9264" t="s">
        <v>62</v>
      </c>
      <c r="B9264" t="s">
        <v>149</v>
      </c>
      <c r="C9264" t="s">
        <v>194</v>
      </c>
      <c r="D9264" t="s">
        <v>323</v>
      </c>
      <c r="E9264" t="s">
        <v>324</v>
      </c>
      <c r="F9264">
        <f>HYPERLINK("https://www.wikidata.org/wiki/Q3112681", "Q3112681")</f>
        <v>0</v>
      </c>
      <c r="G9264" t="s">
        <v>2232</v>
      </c>
      <c r="H9264" t="s">
        <v>6841</v>
      </c>
      <c r="I9264" t="s">
        <v>9458</v>
      </c>
      <c r="J9264" t="s">
        <v>12893</v>
      </c>
      <c r="K9264" t="s">
        <v>17304</v>
      </c>
      <c r="L9264">
        <f>HYPERLINK("https://www2.assemblee-nationale.fr/sycomore/fiche/(num_dept)/4092", "4092")</f>
        <v>0</v>
      </c>
      <c r="N9264">
        <f>HYPERLINK("https://www.wikidata.org/wiki/Q2835216", "Q2835216")</f>
        <v>0</v>
      </c>
      <c r="O9264" t="s">
        <v>20078</v>
      </c>
    </row>
    <row r="9265" spans="1:15">
      <c r="A9265" t="s">
        <v>62</v>
      </c>
      <c r="B9265" t="s">
        <v>149</v>
      </c>
      <c r="C9265" t="s">
        <v>194</v>
      </c>
      <c r="D9265" t="s">
        <v>323</v>
      </c>
      <c r="E9265" t="s">
        <v>324</v>
      </c>
      <c r="F9265">
        <f>HYPERLINK("https://www.wikidata.org/wiki/Q3112681", "Q3112681")</f>
        <v>0</v>
      </c>
      <c r="G9265" t="s">
        <v>1960</v>
      </c>
      <c r="H9265" t="s">
        <v>6601</v>
      </c>
      <c r="I9265" t="s">
        <v>6713</v>
      </c>
      <c r="J9265" t="s">
        <v>12643</v>
      </c>
      <c r="K9265" t="s">
        <v>17053</v>
      </c>
      <c r="L9265">
        <f>HYPERLINK("https://www2.assemblee-nationale.fr/sycomore/fiche/(num_dept)/4175", "4175")</f>
        <v>0</v>
      </c>
      <c r="N9265">
        <f>HYPERLINK("https://www.wikidata.org/wiki/Q3121895", "Q3121895")</f>
        <v>0</v>
      </c>
      <c r="O9265" t="s">
        <v>20072</v>
      </c>
    </row>
    <row r="9266" spans="1:15">
      <c r="A9266" t="s">
        <v>62</v>
      </c>
      <c r="B9266" t="s">
        <v>149</v>
      </c>
      <c r="C9266" t="s">
        <v>194</v>
      </c>
      <c r="D9266" t="s">
        <v>323</v>
      </c>
      <c r="E9266" t="s">
        <v>324</v>
      </c>
      <c r="F9266">
        <f>HYPERLINK("https://www.wikidata.org/wiki/Q3112681", "Q3112681")</f>
        <v>0</v>
      </c>
      <c r="G9266" t="s">
        <v>1526</v>
      </c>
      <c r="H9266" t="s">
        <v>6221</v>
      </c>
      <c r="I9266" t="s">
        <v>6175</v>
      </c>
      <c r="J9266" t="s">
        <v>12243</v>
      </c>
      <c r="K9266" t="s">
        <v>16649</v>
      </c>
      <c r="L9266">
        <f>HYPERLINK("https://www2.assemblee-nationale.fr/sycomore/fiche/(num_dept)/4952", "4952")</f>
        <v>0</v>
      </c>
      <c r="N9266">
        <f>HYPERLINK("https://www.wikidata.org/wiki/Q669893", "Q669893")</f>
        <v>0</v>
      </c>
      <c r="O9266" t="s">
        <v>20065</v>
      </c>
    </row>
    <row r="9267" spans="1:15">
      <c r="A9267" t="s">
        <v>62</v>
      </c>
      <c r="B9267" t="s">
        <v>149</v>
      </c>
      <c r="C9267" t="s">
        <v>194</v>
      </c>
      <c r="D9267" t="s">
        <v>323</v>
      </c>
      <c r="E9267" t="s">
        <v>324</v>
      </c>
      <c r="F9267">
        <f>HYPERLINK("https://www.wikidata.org/wiki/Q3112681", "Q3112681")</f>
        <v>0</v>
      </c>
      <c r="G9267" t="s">
        <v>1925</v>
      </c>
      <c r="H9267" t="s">
        <v>6572</v>
      </c>
      <c r="I9267" t="s">
        <v>9388</v>
      </c>
      <c r="J9267" t="s">
        <v>12610</v>
      </c>
      <c r="K9267" t="s">
        <v>17021</v>
      </c>
      <c r="L9267">
        <f>HYPERLINK("https://www2.assemblee-nationale.fr/sycomore/fiche/(num_dept)/4976", "4976")</f>
        <v>0</v>
      </c>
      <c r="N9267">
        <f>HYPERLINK("https://www.wikidata.org/wiki/Q3371769", "Q3371769")</f>
        <v>0</v>
      </c>
      <c r="O9267" t="s">
        <v>20064</v>
      </c>
    </row>
    <row r="9268" spans="1:15">
      <c r="A9268" t="s">
        <v>62</v>
      </c>
      <c r="B9268" t="s">
        <v>149</v>
      </c>
      <c r="C9268" t="s">
        <v>194</v>
      </c>
      <c r="D9268" t="s">
        <v>323</v>
      </c>
      <c r="E9268" t="s">
        <v>324</v>
      </c>
      <c r="F9268">
        <f>HYPERLINK("https://www.wikidata.org/wiki/Q3112681", "Q3112681")</f>
        <v>0</v>
      </c>
      <c r="G9268" t="s">
        <v>738</v>
      </c>
      <c r="H9268" t="s">
        <v>5496</v>
      </c>
      <c r="I9268" t="s">
        <v>9503</v>
      </c>
      <c r="J9268" t="s">
        <v>11487</v>
      </c>
      <c r="K9268" t="s">
        <v>15889</v>
      </c>
      <c r="L9268">
        <f>HYPERLINK("https://www2.assemblee-nationale.fr/sycomore/fiche/(num_dept)/5394", "5394")</f>
        <v>0</v>
      </c>
      <c r="M9268">
        <f>HYPERLINK("https://www.senat.fr/senateur-3eme-republique/de_monzie_anatole0605r3.html", "de_monzie_anatole0605r3")</f>
        <v>0</v>
      </c>
      <c r="N9268">
        <f>HYPERLINK("https://www.wikidata.org/wiki/Q2845619", "Q2845619")</f>
        <v>0</v>
      </c>
      <c r="O9268" t="s">
        <v>20063</v>
      </c>
    </row>
    <row r="9269" spans="1:15">
      <c r="A9269" t="s">
        <v>62</v>
      </c>
      <c r="B9269" t="s">
        <v>149</v>
      </c>
      <c r="C9269" t="s">
        <v>194</v>
      </c>
      <c r="D9269" t="s">
        <v>323</v>
      </c>
      <c r="E9269" t="s">
        <v>324</v>
      </c>
      <c r="F9269">
        <f>HYPERLINK("https://www.wikidata.org/wiki/Q3112681", "Q3112681")</f>
        <v>0</v>
      </c>
      <c r="G9269" t="s">
        <v>1967</v>
      </c>
      <c r="H9269" t="s">
        <v>6607</v>
      </c>
      <c r="I9269" t="s">
        <v>9692</v>
      </c>
      <c r="J9269" t="s">
        <v>12649</v>
      </c>
      <c r="K9269" t="s">
        <v>17058</v>
      </c>
      <c r="L9269">
        <f>HYPERLINK("https://www2.assemblee-nationale.fr/sycomore/fiche/(num_dept)/5707", "5707")</f>
        <v>0</v>
      </c>
      <c r="N9269">
        <f>HYPERLINK("https://www.wikidata.org/wiki/Q2569191", "Q2569191")</f>
        <v>0</v>
      </c>
      <c r="O9269" t="s">
        <v>20082</v>
      </c>
    </row>
    <row r="9270" spans="1:15">
      <c r="A9270" t="s">
        <v>62</v>
      </c>
      <c r="B9270" t="s">
        <v>149</v>
      </c>
      <c r="C9270" t="s">
        <v>194</v>
      </c>
      <c r="D9270" t="s">
        <v>323</v>
      </c>
      <c r="E9270" t="s">
        <v>324</v>
      </c>
      <c r="F9270">
        <f>HYPERLINK("https://www.wikidata.org/wiki/Q3112681", "Q3112681")</f>
        <v>0</v>
      </c>
      <c r="G9270" t="s">
        <v>2149</v>
      </c>
      <c r="H9270" t="s">
        <v>6763</v>
      </c>
      <c r="I9270" t="s">
        <v>9499</v>
      </c>
      <c r="J9270" t="s">
        <v>12813</v>
      </c>
      <c r="K9270" t="s">
        <v>17228</v>
      </c>
      <c r="L9270">
        <f>HYPERLINK("https://www2.assemblee-nationale.fr/sycomore/fiche/(num_dept)/6184", "6184")</f>
        <v>0</v>
      </c>
      <c r="N9270">
        <f>HYPERLINK("https://www.wikidata.org/wiki/Q950845", "Q950845")</f>
        <v>0</v>
      </c>
      <c r="O9270" t="s">
        <v>20089</v>
      </c>
    </row>
    <row r="9271" spans="1:15">
      <c r="A9271" t="s">
        <v>62</v>
      </c>
      <c r="B9271" t="s">
        <v>149</v>
      </c>
      <c r="C9271" t="s">
        <v>194</v>
      </c>
      <c r="D9271" t="s">
        <v>323</v>
      </c>
      <c r="E9271" t="s">
        <v>324</v>
      </c>
      <c r="F9271">
        <f>HYPERLINK("https://www.wikidata.org/wiki/Q3112681", "Q3112681")</f>
        <v>0</v>
      </c>
      <c r="G9271" t="s">
        <v>778</v>
      </c>
      <c r="H9271" t="s">
        <v>5536</v>
      </c>
      <c r="I9271" t="s">
        <v>6584</v>
      </c>
      <c r="J9271" t="s">
        <v>11525</v>
      </c>
      <c r="K9271" t="s">
        <v>15929</v>
      </c>
      <c r="L9271">
        <f>HYPERLINK("https://www2.assemblee-nationale.fr/sycomore/fiche/(num_dept)/6293", "6293")</f>
        <v>0</v>
      </c>
      <c r="M9271">
        <f>HYPERLINK("https://www.senat.fr/senateur-3eme-republique/sarraut_albert0265r3.html", "sarraut_albert0265r3")</f>
        <v>0</v>
      </c>
      <c r="N9271">
        <f>HYPERLINK("https://www.wikidata.org/wiki/Q460318", "Q460318")</f>
        <v>0</v>
      </c>
      <c r="O9271" t="s">
        <v>20058</v>
      </c>
    </row>
    <row r="9272" spans="1:15">
      <c r="A9272" t="s">
        <v>62</v>
      </c>
      <c r="B9272" t="s">
        <v>149</v>
      </c>
      <c r="C9272" t="s">
        <v>194</v>
      </c>
      <c r="D9272" t="s">
        <v>323</v>
      </c>
      <c r="E9272" t="s">
        <v>324</v>
      </c>
      <c r="F9272">
        <f>HYPERLINK("https://www.wikidata.org/wiki/Q3112681", "Q3112681")</f>
        <v>0</v>
      </c>
      <c r="G9272" t="s">
        <v>2156</v>
      </c>
      <c r="H9272" t="s">
        <v>6770</v>
      </c>
      <c r="I9272" t="s">
        <v>9385</v>
      </c>
      <c r="J9272" t="s">
        <v>12820</v>
      </c>
      <c r="K9272" t="s">
        <v>17235</v>
      </c>
      <c r="L9272">
        <f>HYPERLINK("https://www2.assemblee-nationale.fr/sycomore/fiche/(num_dept)/6406", "6406")</f>
        <v>0</v>
      </c>
      <c r="N9272">
        <f>HYPERLINK("https://www.wikidata.org/wiki/Q2960033", "Q2960033")</f>
        <v>0</v>
      </c>
      <c r="O9272" t="s">
        <v>20086</v>
      </c>
    </row>
    <row r="9273" spans="1:15">
      <c r="A9273" t="s">
        <v>62</v>
      </c>
      <c r="B9273" t="s">
        <v>149</v>
      </c>
      <c r="C9273" t="s">
        <v>194</v>
      </c>
      <c r="D9273" t="s">
        <v>323</v>
      </c>
      <c r="E9273" t="s">
        <v>324</v>
      </c>
      <c r="F9273">
        <f>HYPERLINK("https://www.wikidata.org/wiki/Q3112681", "Q3112681")</f>
        <v>0</v>
      </c>
      <c r="G9273" t="s">
        <v>1304</v>
      </c>
      <c r="H9273" t="s">
        <v>6025</v>
      </c>
      <c r="I9273" t="s">
        <v>9457</v>
      </c>
      <c r="J9273" t="s">
        <v>12034</v>
      </c>
      <c r="K9273" t="s">
        <v>16435</v>
      </c>
      <c r="L9273">
        <f>HYPERLINK("https://www2.assemblee-nationale.fr/sycomore/fiche/(num_dept)/6554", "6554")</f>
        <v>0</v>
      </c>
      <c r="M9273">
        <f>HYPERLINK("https://www.senat.fr/senateur-3eme-republique/queuille_henri0469r3.html", "queuille_henri0469r3")</f>
        <v>0</v>
      </c>
      <c r="N9273">
        <f>HYPERLINK("https://www.wikidata.org/wiki/Q455655", "Q455655")</f>
        <v>0</v>
      </c>
      <c r="O9273" t="s">
        <v>20056</v>
      </c>
    </row>
    <row r="9274" spans="1:15">
      <c r="A9274" t="s">
        <v>62</v>
      </c>
      <c r="B9274" t="s">
        <v>149</v>
      </c>
      <c r="C9274" t="s">
        <v>194</v>
      </c>
      <c r="D9274" t="s">
        <v>323</v>
      </c>
      <c r="E9274" t="s">
        <v>324</v>
      </c>
      <c r="F9274">
        <f>HYPERLINK("https://www.wikidata.org/wiki/Q3112681", "Q3112681")</f>
        <v>0</v>
      </c>
      <c r="G9274" t="s">
        <v>1616</v>
      </c>
      <c r="H9274" t="s">
        <v>6301</v>
      </c>
      <c r="I9274" t="s">
        <v>9388</v>
      </c>
      <c r="J9274" t="s">
        <v>12323</v>
      </c>
      <c r="K9274" t="s">
        <v>16733</v>
      </c>
      <c r="L9274">
        <f>HYPERLINK("https://www2.assemblee-nationale.fr/sycomore/fiche/(num_dept)/6710", "6710")</f>
        <v>0</v>
      </c>
      <c r="N9274">
        <f>HYPERLINK("https://www.wikidata.org/wiki/Q161076", "Q161076")</f>
        <v>0</v>
      </c>
      <c r="O9274" t="s">
        <v>20066</v>
      </c>
    </row>
    <row r="9275" spans="1:15">
      <c r="A9275" t="s">
        <v>62</v>
      </c>
      <c r="B9275" t="s">
        <v>149</v>
      </c>
      <c r="C9275" t="s">
        <v>194</v>
      </c>
      <c r="D9275" t="s">
        <v>323</v>
      </c>
      <c r="E9275" t="s">
        <v>324</v>
      </c>
      <c r="F9275">
        <f>HYPERLINK("https://www.wikidata.org/wiki/Q3112681", "Q3112681")</f>
        <v>0</v>
      </c>
      <c r="G9275" t="s">
        <v>2400</v>
      </c>
      <c r="H9275" t="s">
        <v>6977</v>
      </c>
      <c r="I9275" t="s">
        <v>6200</v>
      </c>
      <c r="J9275" t="s">
        <v>13050</v>
      </c>
      <c r="K9275" t="s">
        <v>17460</v>
      </c>
      <c r="L9275">
        <f>HYPERLINK("https://www2.assemblee-nationale.fr/sycomore/fiche/(num_dept)/7291", "7291")</f>
        <v>0</v>
      </c>
      <c r="N9275">
        <f>HYPERLINK("https://www.wikidata.org/wiki/Q713487", "Q713487")</f>
        <v>0</v>
      </c>
      <c r="O9275" t="s">
        <v>20085</v>
      </c>
    </row>
    <row r="9276" spans="1:15">
      <c r="A9276" t="s">
        <v>62</v>
      </c>
      <c r="B9276" t="s">
        <v>149</v>
      </c>
      <c r="C9276" t="s">
        <v>194</v>
      </c>
      <c r="D9276" t="s">
        <v>323</v>
      </c>
      <c r="E9276" t="s">
        <v>324</v>
      </c>
      <c r="F9276">
        <f>HYPERLINK("https://www.wikidata.org/wiki/Q3112681", "Q3112681")</f>
        <v>0</v>
      </c>
      <c r="G9276" t="s">
        <v>4283</v>
      </c>
      <c r="H9276" t="s">
        <v>8443</v>
      </c>
      <c r="I9276" t="s">
        <v>6200</v>
      </c>
      <c r="J9276" t="s">
        <v>14782</v>
      </c>
      <c r="K9276" t="s">
        <v>19128</v>
      </c>
      <c r="N9276">
        <f>HYPERLINK("https://www.wikidata.org/wiki/Q309974", "Q309974")</f>
        <v>0</v>
      </c>
      <c r="O9276" t="s">
        <v>20248</v>
      </c>
    </row>
    <row r="9277" spans="1:15">
      <c r="A9277" t="s">
        <v>62</v>
      </c>
      <c r="B9277" t="s">
        <v>149</v>
      </c>
      <c r="C9277" t="s">
        <v>194</v>
      </c>
      <c r="D9277" t="s">
        <v>323</v>
      </c>
      <c r="E9277" t="s">
        <v>324</v>
      </c>
      <c r="F9277">
        <f>HYPERLINK("https://www.wikidata.org/wiki/Q3112681", "Q3112681")</f>
        <v>0</v>
      </c>
      <c r="G9277" t="s">
        <v>1724</v>
      </c>
      <c r="H9277" t="s">
        <v>6360</v>
      </c>
      <c r="I9277" t="s">
        <v>6175</v>
      </c>
      <c r="J9277" t="s">
        <v>12425</v>
      </c>
      <c r="K9277" t="s">
        <v>16833</v>
      </c>
      <c r="N9277">
        <f>HYPERLINK("https://www.wikidata.org/wiki/Q3102323", "Q3102323")</f>
        <v>0</v>
      </c>
      <c r="O9277" t="s">
        <v>20062</v>
      </c>
    </row>
    <row r="9278" spans="1:15">
      <c r="A9278" t="s">
        <v>63</v>
      </c>
      <c r="B9278" t="s">
        <v>149</v>
      </c>
      <c r="C9278" t="s">
        <v>195</v>
      </c>
      <c r="D9278" t="s">
        <v>324</v>
      </c>
      <c r="E9278" t="s">
        <v>445</v>
      </c>
      <c r="F9278">
        <f>HYPERLINK("https://www.wikidata.org/wiki/Q3112682", "Q3112682")</f>
        <v>0</v>
      </c>
      <c r="G9278" t="s">
        <v>2241</v>
      </c>
      <c r="H9278" t="s">
        <v>6847</v>
      </c>
      <c r="I9278" t="s">
        <v>10131</v>
      </c>
      <c r="J9278" t="s">
        <v>12902</v>
      </c>
      <c r="K9278" t="s">
        <v>17312</v>
      </c>
      <c r="L9278">
        <f>HYPERLINK("https://www2.assemblee-nationale.fr/sycomore/fiche/(num_dept)/1406", "1406")</f>
        <v>0</v>
      </c>
      <c r="N9278">
        <f>HYPERLINK("https://www.wikidata.org/wiki/Q3010436", "Q3010436")</f>
        <v>0</v>
      </c>
      <c r="O9278" t="s">
        <v>20097</v>
      </c>
    </row>
    <row r="9279" spans="1:15">
      <c r="A9279" t="s">
        <v>63</v>
      </c>
      <c r="B9279" t="s">
        <v>149</v>
      </c>
      <c r="C9279" t="s">
        <v>195</v>
      </c>
      <c r="D9279" t="s">
        <v>324</v>
      </c>
      <c r="E9279" t="s">
        <v>445</v>
      </c>
      <c r="F9279">
        <f>HYPERLINK("https://www.wikidata.org/wiki/Q3112682", "Q3112682")</f>
        <v>0</v>
      </c>
      <c r="G9279" t="s">
        <v>1754</v>
      </c>
      <c r="H9279" t="s">
        <v>6424</v>
      </c>
      <c r="I9279" t="s">
        <v>9552</v>
      </c>
      <c r="J9279" t="s">
        <v>12454</v>
      </c>
      <c r="K9279" t="s">
        <v>16860</v>
      </c>
      <c r="L9279">
        <f>HYPERLINK("https://www2.assemblee-nationale.fr/sycomore/fiche/(num_dept)/1631", "1631")</f>
        <v>0</v>
      </c>
      <c r="M9279">
        <f>HYPERLINK("https://www.senat.fr/senateur-3eme-republique/champetier_de_ribes_auguste0517r4.html", "champetier_de_ribes_auguste0517r4")</f>
        <v>0</v>
      </c>
      <c r="N9279">
        <f>HYPERLINK("https://www.wikidata.org/wiki/Q478746", "Q478746")</f>
        <v>0</v>
      </c>
      <c r="O9279" t="s">
        <v>20249</v>
      </c>
    </row>
    <row r="9280" spans="1:15">
      <c r="A9280" t="s">
        <v>63</v>
      </c>
      <c r="B9280" t="s">
        <v>149</v>
      </c>
      <c r="C9280" t="s">
        <v>195</v>
      </c>
      <c r="D9280" t="s">
        <v>324</v>
      </c>
      <c r="E9280" t="s">
        <v>445</v>
      </c>
      <c r="F9280">
        <f>HYPERLINK("https://www.wikidata.org/wiki/Q3112682", "Q3112682")</f>
        <v>0</v>
      </c>
      <c r="G9280" t="s">
        <v>1410</v>
      </c>
      <c r="H9280" t="s">
        <v>5337</v>
      </c>
      <c r="I9280" t="s">
        <v>9506</v>
      </c>
      <c r="J9280" t="s">
        <v>12135</v>
      </c>
      <c r="K9280" t="s">
        <v>16537</v>
      </c>
      <c r="L9280">
        <f>HYPERLINK("https://www2.assemblee-nationale.fr/sycomore/fiche/(num_dept)/1726", "1726")</f>
        <v>0</v>
      </c>
      <c r="M9280">
        <f>HYPERLINK("https://www.senat.fr/senateur-3eme-republique/chautemps_camille0380r3.html", "chautemps_camille0380r3")</f>
        <v>0</v>
      </c>
      <c r="N9280">
        <f>HYPERLINK("https://www.wikidata.org/wiki/Q263884", "Q263884")</f>
        <v>0</v>
      </c>
      <c r="O9280" t="s">
        <v>20250</v>
      </c>
    </row>
    <row r="9281" spans="1:15">
      <c r="A9281" t="s">
        <v>63</v>
      </c>
      <c r="B9281" t="s">
        <v>149</v>
      </c>
      <c r="C9281" t="s">
        <v>195</v>
      </c>
      <c r="D9281" t="s">
        <v>324</v>
      </c>
      <c r="E9281" t="s">
        <v>445</v>
      </c>
      <c r="F9281">
        <f>HYPERLINK("https://www.wikidata.org/wiki/Q3112682", "Q3112682")</f>
        <v>0</v>
      </c>
      <c r="G9281" t="s">
        <v>1423</v>
      </c>
      <c r="H9281" t="s">
        <v>6128</v>
      </c>
      <c r="I9281" t="s">
        <v>9728</v>
      </c>
      <c r="J9281" t="s">
        <v>12147</v>
      </c>
      <c r="K9281" t="s">
        <v>16549</v>
      </c>
      <c r="L9281">
        <f>HYPERLINK("https://www2.assemblee-nationale.fr/sycomore/fiche/(num_dept)/2105", "2105")</f>
        <v>0</v>
      </c>
      <c r="N9281">
        <f>HYPERLINK("https://www.wikidata.org/wiki/Q213526", "Q213526")</f>
        <v>0</v>
      </c>
      <c r="O9281" t="s">
        <v>20247</v>
      </c>
    </row>
    <row r="9282" spans="1:15">
      <c r="A9282" t="s">
        <v>63</v>
      </c>
      <c r="B9282" t="s">
        <v>149</v>
      </c>
      <c r="C9282" t="s">
        <v>195</v>
      </c>
      <c r="D9282" t="s">
        <v>324</v>
      </c>
      <c r="E9282" t="s">
        <v>445</v>
      </c>
      <c r="F9282">
        <f>HYPERLINK("https://www.wikidata.org/wiki/Q3112682", "Q3112682")</f>
        <v>0</v>
      </c>
      <c r="G9282" t="s">
        <v>1423</v>
      </c>
      <c r="H9282" t="s">
        <v>6128</v>
      </c>
      <c r="I9282" t="s">
        <v>9728</v>
      </c>
      <c r="J9282" t="s">
        <v>12147</v>
      </c>
      <c r="K9282" t="s">
        <v>16549</v>
      </c>
      <c r="L9282">
        <f>HYPERLINK("https://www2.assemblee-nationale.fr/sycomore/fiche/(num_dept)/2105", "2105")</f>
        <v>0</v>
      </c>
      <c r="N9282">
        <f>HYPERLINK("https://www.wikidata.org/wiki/Q213526", "Q213526")</f>
        <v>0</v>
      </c>
      <c r="O9282" t="s">
        <v>20062</v>
      </c>
    </row>
    <row r="9283" spans="1:15">
      <c r="A9283" t="s">
        <v>63</v>
      </c>
      <c r="B9283" t="s">
        <v>149</v>
      </c>
      <c r="C9283" t="s">
        <v>195</v>
      </c>
      <c r="D9283" t="s">
        <v>324</v>
      </c>
      <c r="E9283" t="s">
        <v>445</v>
      </c>
      <c r="F9283">
        <f>HYPERLINK("https://www.wikidata.org/wiki/Q3112682", "Q3112682")</f>
        <v>0</v>
      </c>
      <c r="G9283" t="s">
        <v>1423</v>
      </c>
      <c r="H9283" t="s">
        <v>6128</v>
      </c>
      <c r="I9283" t="s">
        <v>9728</v>
      </c>
      <c r="J9283" t="s">
        <v>12147</v>
      </c>
      <c r="K9283" t="s">
        <v>16549</v>
      </c>
      <c r="L9283">
        <f>HYPERLINK("https://www2.assemblee-nationale.fr/sycomore/fiche/(num_dept)/2105", "2105")</f>
        <v>0</v>
      </c>
      <c r="N9283">
        <f>HYPERLINK("https://www.wikidata.org/wiki/Q213526", "Q213526")</f>
        <v>0</v>
      </c>
      <c r="O9283" t="s">
        <v>20052</v>
      </c>
    </row>
    <row r="9284" spans="1:15">
      <c r="A9284" t="s">
        <v>63</v>
      </c>
      <c r="B9284" t="s">
        <v>149</v>
      </c>
      <c r="C9284" t="s">
        <v>195</v>
      </c>
      <c r="D9284" t="s">
        <v>324</v>
      </c>
      <c r="E9284" t="s">
        <v>445</v>
      </c>
      <c r="F9284">
        <f>HYPERLINK("https://www.wikidata.org/wiki/Q3112682", "Q3112682")</f>
        <v>0</v>
      </c>
      <c r="G9284" t="s">
        <v>1778</v>
      </c>
      <c r="H9284" t="s">
        <v>6446</v>
      </c>
      <c r="I9284" t="s">
        <v>9946</v>
      </c>
      <c r="J9284" t="s">
        <v>12475</v>
      </c>
      <c r="K9284" t="s">
        <v>16884</v>
      </c>
      <c r="L9284">
        <f>HYPERLINK("https://www2.assemblee-nationale.fr/sycomore/fiche/(num_dept)/2282", "2282")</f>
        <v>0</v>
      </c>
      <c r="N9284">
        <f>HYPERLINK("https://www.wikidata.org/wiki/Q362673", "Q362673")</f>
        <v>0</v>
      </c>
      <c r="O9284" t="s">
        <v>20085</v>
      </c>
    </row>
    <row r="9285" spans="1:15">
      <c r="A9285" t="s">
        <v>63</v>
      </c>
      <c r="B9285" t="s">
        <v>149</v>
      </c>
      <c r="C9285" t="s">
        <v>195</v>
      </c>
      <c r="D9285" t="s">
        <v>324</v>
      </c>
      <c r="E9285" t="s">
        <v>445</v>
      </c>
      <c r="F9285">
        <f>HYPERLINK("https://www.wikidata.org/wiki/Q3112682", "Q3112682")</f>
        <v>0</v>
      </c>
      <c r="G9285" t="s">
        <v>1444</v>
      </c>
      <c r="H9285" t="s">
        <v>6145</v>
      </c>
      <c r="I9285" t="s">
        <v>9472</v>
      </c>
      <c r="J9285" t="s">
        <v>12165</v>
      </c>
      <c r="K9285" t="s">
        <v>16570</v>
      </c>
      <c r="L9285">
        <f>HYPERLINK("https://www2.assemblee-nationale.fr/sycomore/fiche/(num_dept)/2655", "2655")</f>
        <v>0</v>
      </c>
      <c r="N9285">
        <f>HYPERLINK("https://www.wikidata.org/wiki/Q3136053", "Q3136053")</f>
        <v>0</v>
      </c>
      <c r="O9285" t="s">
        <v>20251</v>
      </c>
    </row>
    <row r="9286" spans="1:15">
      <c r="A9286" t="s">
        <v>63</v>
      </c>
      <c r="B9286" t="s">
        <v>149</v>
      </c>
      <c r="C9286" t="s">
        <v>195</v>
      </c>
      <c r="D9286" t="s">
        <v>324</v>
      </c>
      <c r="E9286" t="s">
        <v>445</v>
      </c>
      <c r="F9286">
        <f>HYPERLINK("https://www.wikidata.org/wiki/Q3112682", "Q3112682")</f>
        <v>0</v>
      </c>
      <c r="G9286" t="s">
        <v>2326</v>
      </c>
      <c r="H9286" t="s">
        <v>6916</v>
      </c>
      <c r="I9286" t="s">
        <v>9446</v>
      </c>
      <c r="J9286" t="s">
        <v>12842</v>
      </c>
      <c r="K9286" t="s">
        <v>17390</v>
      </c>
      <c r="L9286">
        <f>HYPERLINK("https://www2.assemblee-nationale.fr/sycomore/fiche/(num_dept)/3346", "3346")</f>
        <v>0</v>
      </c>
      <c r="N9286">
        <f>HYPERLINK("https://www.wikidata.org/wiki/Q3069167", "Q3069167")</f>
        <v>0</v>
      </c>
      <c r="O9286" t="s">
        <v>20069</v>
      </c>
    </row>
    <row r="9287" spans="1:15">
      <c r="A9287" t="s">
        <v>63</v>
      </c>
      <c r="B9287" t="s">
        <v>149</v>
      </c>
      <c r="C9287" t="s">
        <v>195</v>
      </c>
      <c r="D9287" t="s">
        <v>324</v>
      </c>
      <c r="E9287" t="s">
        <v>445</v>
      </c>
      <c r="F9287">
        <f>HYPERLINK("https://www.wikidata.org/wiki/Q3112682", "Q3112682")</f>
        <v>0</v>
      </c>
      <c r="G9287" t="s">
        <v>2232</v>
      </c>
      <c r="H9287" t="s">
        <v>6841</v>
      </c>
      <c r="I9287" t="s">
        <v>9458</v>
      </c>
      <c r="J9287" t="s">
        <v>12893</v>
      </c>
      <c r="K9287" t="s">
        <v>17304</v>
      </c>
      <c r="L9287">
        <f>HYPERLINK("https://www2.assemblee-nationale.fr/sycomore/fiche/(num_dept)/4092", "4092")</f>
        <v>0</v>
      </c>
      <c r="N9287">
        <f>HYPERLINK("https://www.wikidata.org/wiki/Q2835216", "Q2835216")</f>
        <v>0</v>
      </c>
      <c r="O9287" t="s">
        <v>20078</v>
      </c>
    </row>
    <row r="9288" spans="1:15">
      <c r="A9288" t="s">
        <v>63</v>
      </c>
      <c r="B9288" t="s">
        <v>149</v>
      </c>
      <c r="C9288" t="s">
        <v>195</v>
      </c>
      <c r="D9288" t="s">
        <v>324</v>
      </c>
      <c r="E9288" t="s">
        <v>445</v>
      </c>
      <c r="F9288">
        <f>HYPERLINK("https://www.wikidata.org/wiki/Q3112682", "Q3112682")</f>
        <v>0</v>
      </c>
      <c r="G9288" t="s">
        <v>1960</v>
      </c>
      <c r="H9288" t="s">
        <v>6601</v>
      </c>
      <c r="I9288" t="s">
        <v>6713</v>
      </c>
      <c r="J9288" t="s">
        <v>12643</v>
      </c>
      <c r="K9288" t="s">
        <v>17053</v>
      </c>
      <c r="L9288">
        <f>HYPERLINK("https://www2.assemblee-nationale.fr/sycomore/fiche/(num_dept)/4175", "4175")</f>
        <v>0</v>
      </c>
      <c r="N9288">
        <f>HYPERLINK("https://www.wikidata.org/wiki/Q3121895", "Q3121895")</f>
        <v>0</v>
      </c>
      <c r="O9288" t="s">
        <v>20072</v>
      </c>
    </row>
    <row r="9289" spans="1:15">
      <c r="A9289" t="s">
        <v>63</v>
      </c>
      <c r="B9289" t="s">
        <v>149</v>
      </c>
      <c r="C9289" t="s">
        <v>195</v>
      </c>
      <c r="D9289" t="s">
        <v>324</v>
      </c>
      <c r="E9289" t="s">
        <v>445</v>
      </c>
      <c r="F9289">
        <f>HYPERLINK("https://www.wikidata.org/wiki/Q3112682", "Q3112682")</f>
        <v>0</v>
      </c>
      <c r="G9289" t="s">
        <v>1526</v>
      </c>
      <c r="H9289" t="s">
        <v>6221</v>
      </c>
      <c r="I9289" t="s">
        <v>6175</v>
      </c>
      <c r="J9289" t="s">
        <v>12243</v>
      </c>
      <c r="K9289" t="s">
        <v>16649</v>
      </c>
      <c r="L9289">
        <f>HYPERLINK("https://www2.assemblee-nationale.fr/sycomore/fiche/(num_dept)/4952", "4952")</f>
        <v>0</v>
      </c>
      <c r="N9289">
        <f>HYPERLINK("https://www.wikidata.org/wiki/Q669893", "Q669893")</f>
        <v>0</v>
      </c>
      <c r="O9289" t="s">
        <v>20065</v>
      </c>
    </row>
    <row r="9290" spans="1:15">
      <c r="A9290" t="s">
        <v>63</v>
      </c>
      <c r="B9290" t="s">
        <v>149</v>
      </c>
      <c r="C9290" t="s">
        <v>195</v>
      </c>
      <c r="D9290" t="s">
        <v>324</v>
      </c>
      <c r="E9290" t="s">
        <v>445</v>
      </c>
      <c r="F9290">
        <f>HYPERLINK("https://www.wikidata.org/wiki/Q3112682", "Q3112682")</f>
        <v>0</v>
      </c>
      <c r="G9290" t="s">
        <v>738</v>
      </c>
      <c r="H9290" t="s">
        <v>5496</v>
      </c>
      <c r="I9290" t="s">
        <v>9503</v>
      </c>
      <c r="J9290" t="s">
        <v>11487</v>
      </c>
      <c r="K9290" t="s">
        <v>15889</v>
      </c>
      <c r="L9290">
        <f>HYPERLINK("https://www2.assemblee-nationale.fr/sycomore/fiche/(num_dept)/5394", "5394")</f>
        <v>0</v>
      </c>
      <c r="M9290">
        <f>HYPERLINK("https://www.senat.fr/senateur-3eme-republique/de_monzie_anatole0605r3.html", "de_monzie_anatole0605r3")</f>
        <v>0</v>
      </c>
      <c r="N9290">
        <f>HYPERLINK("https://www.wikidata.org/wiki/Q2845619", "Q2845619")</f>
        <v>0</v>
      </c>
      <c r="O9290" t="s">
        <v>20063</v>
      </c>
    </row>
    <row r="9291" spans="1:15">
      <c r="A9291" t="s">
        <v>63</v>
      </c>
      <c r="B9291" t="s">
        <v>149</v>
      </c>
      <c r="C9291" t="s">
        <v>195</v>
      </c>
      <c r="D9291" t="s">
        <v>324</v>
      </c>
      <c r="E9291" t="s">
        <v>445</v>
      </c>
      <c r="F9291">
        <f>HYPERLINK("https://www.wikidata.org/wiki/Q3112682", "Q3112682")</f>
        <v>0</v>
      </c>
      <c r="G9291" t="s">
        <v>1967</v>
      </c>
      <c r="H9291" t="s">
        <v>6607</v>
      </c>
      <c r="I9291" t="s">
        <v>9692</v>
      </c>
      <c r="J9291" t="s">
        <v>12649</v>
      </c>
      <c r="K9291" t="s">
        <v>17058</v>
      </c>
      <c r="L9291">
        <f>HYPERLINK("https://www2.assemblee-nationale.fr/sycomore/fiche/(num_dept)/5707", "5707")</f>
        <v>0</v>
      </c>
      <c r="N9291">
        <f>HYPERLINK("https://www.wikidata.org/wiki/Q2569191", "Q2569191")</f>
        <v>0</v>
      </c>
      <c r="O9291" t="s">
        <v>20082</v>
      </c>
    </row>
    <row r="9292" spans="1:15">
      <c r="A9292" t="s">
        <v>63</v>
      </c>
      <c r="B9292" t="s">
        <v>149</v>
      </c>
      <c r="C9292" t="s">
        <v>195</v>
      </c>
      <c r="D9292" t="s">
        <v>324</v>
      </c>
      <c r="E9292" t="s">
        <v>445</v>
      </c>
      <c r="F9292">
        <f>HYPERLINK("https://www.wikidata.org/wiki/Q3112682", "Q3112682")</f>
        <v>0</v>
      </c>
      <c r="G9292" t="s">
        <v>1869</v>
      </c>
      <c r="H9292" t="s">
        <v>6525</v>
      </c>
      <c r="I9292" t="s">
        <v>6175</v>
      </c>
      <c r="J9292" t="s">
        <v>12557</v>
      </c>
      <c r="K9292" t="s">
        <v>16970</v>
      </c>
      <c r="L9292">
        <f>HYPERLINK("https://www2.assemblee-nationale.fr/sycomore/fiche/(num_dept)/5799", "5799")</f>
        <v>0</v>
      </c>
      <c r="M9292">
        <f>HYPERLINK("https://www.senat.fr/senateur-3eme-republique/pernot_georges0335r4.html", "pernot_georges0335r4")</f>
        <v>0</v>
      </c>
      <c r="N9292">
        <f>HYPERLINK("https://www.wikidata.org/wiki/Q2670356", "Q2670356")</f>
        <v>0</v>
      </c>
      <c r="O9292" t="s">
        <v>20252</v>
      </c>
    </row>
    <row r="9293" spans="1:15">
      <c r="A9293" t="s">
        <v>63</v>
      </c>
      <c r="B9293" t="s">
        <v>149</v>
      </c>
      <c r="C9293" t="s">
        <v>195</v>
      </c>
      <c r="D9293" t="s">
        <v>324</v>
      </c>
      <c r="E9293" t="s">
        <v>445</v>
      </c>
      <c r="F9293">
        <f>HYPERLINK("https://www.wikidata.org/wiki/Q3112682", "Q3112682")</f>
        <v>0</v>
      </c>
      <c r="G9293" t="s">
        <v>2149</v>
      </c>
      <c r="H9293" t="s">
        <v>6763</v>
      </c>
      <c r="I9293" t="s">
        <v>9499</v>
      </c>
      <c r="J9293" t="s">
        <v>12813</v>
      </c>
      <c r="K9293" t="s">
        <v>17228</v>
      </c>
      <c r="L9293">
        <f>HYPERLINK("https://www2.assemblee-nationale.fr/sycomore/fiche/(num_dept)/6184", "6184")</f>
        <v>0</v>
      </c>
      <c r="N9293">
        <f>HYPERLINK("https://www.wikidata.org/wiki/Q950845", "Q950845")</f>
        <v>0</v>
      </c>
      <c r="O9293" t="s">
        <v>20089</v>
      </c>
    </row>
    <row r="9294" spans="1:15">
      <c r="A9294" t="s">
        <v>63</v>
      </c>
      <c r="B9294" t="s">
        <v>149</v>
      </c>
      <c r="C9294" t="s">
        <v>195</v>
      </c>
      <c r="D9294" t="s">
        <v>324</v>
      </c>
      <c r="E9294" t="s">
        <v>445</v>
      </c>
      <c r="F9294">
        <f>HYPERLINK("https://www.wikidata.org/wiki/Q3112682", "Q3112682")</f>
        <v>0</v>
      </c>
      <c r="G9294" t="s">
        <v>778</v>
      </c>
      <c r="H9294" t="s">
        <v>5536</v>
      </c>
      <c r="I9294" t="s">
        <v>6584</v>
      </c>
      <c r="J9294" t="s">
        <v>11525</v>
      </c>
      <c r="K9294" t="s">
        <v>15929</v>
      </c>
      <c r="L9294">
        <f>HYPERLINK("https://www2.assemblee-nationale.fr/sycomore/fiche/(num_dept)/6293", "6293")</f>
        <v>0</v>
      </c>
      <c r="M9294">
        <f>HYPERLINK("https://www.senat.fr/senateur-3eme-republique/sarraut_albert0265r3.html", "sarraut_albert0265r3")</f>
        <v>0</v>
      </c>
      <c r="N9294">
        <f>HYPERLINK("https://www.wikidata.org/wiki/Q460318", "Q460318")</f>
        <v>0</v>
      </c>
      <c r="O9294" t="s">
        <v>20058</v>
      </c>
    </row>
    <row r="9295" spans="1:15">
      <c r="A9295" t="s">
        <v>63</v>
      </c>
      <c r="B9295" t="s">
        <v>149</v>
      </c>
      <c r="C9295" t="s">
        <v>195</v>
      </c>
      <c r="D9295" t="s">
        <v>324</v>
      </c>
      <c r="E9295" t="s">
        <v>445</v>
      </c>
      <c r="F9295">
        <f>HYPERLINK("https://www.wikidata.org/wiki/Q3112682", "Q3112682")</f>
        <v>0</v>
      </c>
      <c r="G9295" t="s">
        <v>2156</v>
      </c>
      <c r="H9295" t="s">
        <v>6770</v>
      </c>
      <c r="I9295" t="s">
        <v>9385</v>
      </c>
      <c r="J9295" t="s">
        <v>12820</v>
      </c>
      <c r="K9295" t="s">
        <v>17235</v>
      </c>
      <c r="L9295">
        <f>HYPERLINK("https://www2.assemblee-nationale.fr/sycomore/fiche/(num_dept)/6406", "6406")</f>
        <v>0</v>
      </c>
      <c r="N9295">
        <f>HYPERLINK("https://www.wikidata.org/wiki/Q2960033", "Q2960033")</f>
        <v>0</v>
      </c>
      <c r="O9295" t="s">
        <v>20086</v>
      </c>
    </row>
    <row r="9296" spans="1:15">
      <c r="A9296" t="s">
        <v>63</v>
      </c>
      <c r="B9296" t="s">
        <v>149</v>
      </c>
      <c r="C9296" t="s">
        <v>195</v>
      </c>
      <c r="D9296" t="s">
        <v>324</v>
      </c>
      <c r="E9296" t="s">
        <v>445</v>
      </c>
      <c r="F9296">
        <f>HYPERLINK("https://www.wikidata.org/wiki/Q3112682", "Q3112682")</f>
        <v>0</v>
      </c>
      <c r="G9296" t="s">
        <v>1304</v>
      </c>
      <c r="H9296" t="s">
        <v>6025</v>
      </c>
      <c r="I9296" t="s">
        <v>9457</v>
      </c>
      <c r="J9296" t="s">
        <v>12034</v>
      </c>
      <c r="K9296" t="s">
        <v>16435</v>
      </c>
      <c r="L9296">
        <f>HYPERLINK("https://www2.assemblee-nationale.fr/sycomore/fiche/(num_dept)/6554", "6554")</f>
        <v>0</v>
      </c>
      <c r="M9296">
        <f>HYPERLINK("https://www.senat.fr/senateur-3eme-republique/queuille_henri0469r3.html", "queuille_henri0469r3")</f>
        <v>0</v>
      </c>
      <c r="N9296">
        <f>HYPERLINK("https://www.wikidata.org/wiki/Q455655", "Q455655")</f>
        <v>0</v>
      </c>
      <c r="O9296" t="s">
        <v>20056</v>
      </c>
    </row>
    <row r="9297" spans="1:15">
      <c r="A9297" t="s">
        <v>63</v>
      </c>
      <c r="B9297" t="s">
        <v>149</v>
      </c>
      <c r="C9297" t="s">
        <v>195</v>
      </c>
      <c r="D9297" t="s">
        <v>324</v>
      </c>
      <c r="E9297" t="s">
        <v>445</v>
      </c>
      <c r="F9297">
        <f>HYPERLINK("https://www.wikidata.org/wiki/Q3112682", "Q3112682")</f>
        <v>0</v>
      </c>
      <c r="G9297" t="s">
        <v>1616</v>
      </c>
      <c r="H9297" t="s">
        <v>6301</v>
      </c>
      <c r="I9297" t="s">
        <v>9388</v>
      </c>
      <c r="J9297" t="s">
        <v>12323</v>
      </c>
      <c r="K9297" t="s">
        <v>16733</v>
      </c>
      <c r="L9297">
        <f>HYPERLINK("https://www2.assemblee-nationale.fr/sycomore/fiche/(num_dept)/6710", "6710")</f>
        <v>0</v>
      </c>
      <c r="N9297">
        <f>HYPERLINK("https://www.wikidata.org/wiki/Q161076", "Q161076")</f>
        <v>0</v>
      </c>
      <c r="O9297" t="s">
        <v>20066</v>
      </c>
    </row>
    <row r="9298" spans="1:15">
      <c r="A9298" t="s">
        <v>63</v>
      </c>
      <c r="B9298" t="s">
        <v>149</v>
      </c>
      <c r="C9298" t="s">
        <v>195</v>
      </c>
      <c r="D9298" t="s">
        <v>324</v>
      </c>
      <c r="E9298" t="s">
        <v>445</v>
      </c>
      <c r="F9298">
        <f>HYPERLINK("https://www.wikidata.org/wiki/Q3112682", "Q3112682")</f>
        <v>0</v>
      </c>
      <c r="G9298" t="s">
        <v>1621</v>
      </c>
      <c r="H9298" t="s">
        <v>6306</v>
      </c>
      <c r="I9298" t="s">
        <v>9426</v>
      </c>
      <c r="J9298" t="s">
        <v>12328</v>
      </c>
      <c r="K9298" t="s">
        <v>16738</v>
      </c>
      <c r="L9298">
        <f>HYPERLINK("https://www2.assemblee-nationale.fr/sycomore/fiche/(num_dept)/6781", "6781")</f>
        <v>0</v>
      </c>
      <c r="M9298">
        <f>HYPERLINK("https://www.senat.fr/senateur-3eme-republique/rio_alphonse0903r3.html", "rio_alphonse0903r3")</f>
        <v>0</v>
      </c>
      <c r="N9298">
        <f>HYPERLINK("https://www.wikidata.org/wiki/Q2839950", "Q2839950")</f>
        <v>0</v>
      </c>
      <c r="O9298" t="s">
        <v>20108</v>
      </c>
    </row>
    <row r="9299" spans="1:15">
      <c r="A9299" t="s">
        <v>63</v>
      </c>
      <c r="B9299" t="s">
        <v>149</v>
      </c>
      <c r="C9299" t="s">
        <v>195</v>
      </c>
      <c r="D9299" t="s">
        <v>324</v>
      </c>
      <c r="E9299" t="s">
        <v>445</v>
      </c>
      <c r="F9299">
        <f>HYPERLINK("https://www.wikidata.org/wiki/Q3112682", "Q3112682")</f>
        <v>0</v>
      </c>
      <c r="G9299" t="s">
        <v>4284</v>
      </c>
      <c r="H9299" t="s">
        <v>8444</v>
      </c>
      <c r="I9299" t="s">
        <v>9488</v>
      </c>
      <c r="J9299" t="s">
        <v>14783</v>
      </c>
      <c r="K9299" t="s">
        <v>19129</v>
      </c>
      <c r="N9299">
        <f>HYPERLINK("https://www.wikidata.org/wiki/Q3014669", "Q3014669")</f>
        <v>0</v>
      </c>
      <c r="O9299" t="s">
        <v>20253</v>
      </c>
    </row>
    <row r="9300" spans="1:15">
      <c r="A9300" t="s">
        <v>63</v>
      </c>
      <c r="B9300" t="s">
        <v>149</v>
      </c>
      <c r="C9300" t="s">
        <v>195</v>
      </c>
      <c r="D9300" t="s">
        <v>324</v>
      </c>
      <c r="E9300" t="s">
        <v>445</v>
      </c>
      <c r="F9300">
        <f>HYPERLINK("https://www.wikidata.org/wiki/Q3112682", "Q3112682")</f>
        <v>0</v>
      </c>
      <c r="G9300" t="s">
        <v>4283</v>
      </c>
      <c r="H9300" t="s">
        <v>8443</v>
      </c>
      <c r="I9300" t="s">
        <v>6200</v>
      </c>
      <c r="J9300" t="s">
        <v>14782</v>
      </c>
      <c r="K9300" t="s">
        <v>19128</v>
      </c>
      <c r="N9300">
        <f>HYPERLINK("https://www.wikidata.org/wiki/Q309974", "Q309974")</f>
        <v>0</v>
      </c>
      <c r="O9300" t="s">
        <v>20248</v>
      </c>
    </row>
    <row r="9301" spans="1:15">
      <c r="A9301" t="s">
        <v>63</v>
      </c>
      <c r="B9301" t="s">
        <v>149</v>
      </c>
      <c r="C9301" t="s">
        <v>195</v>
      </c>
      <c r="D9301" t="s">
        <v>324</v>
      </c>
      <c r="E9301" t="s">
        <v>445</v>
      </c>
      <c r="F9301">
        <f>HYPERLINK("https://www.wikidata.org/wiki/Q3112682", "Q3112682")</f>
        <v>0</v>
      </c>
      <c r="G9301" t="s">
        <v>4285</v>
      </c>
      <c r="H9301" t="s">
        <v>8445</v>
      </c>
      <c r="I9301" t="s">
        <v>9500</v>
      </c>
      <c r="J9301" t="s">
        <v>14784</v>
      </c>
      <c r="K9301" t="s">
        <v>19130</v>
      </c>
      <c r="N9301">
        <f>HYPERLINK("https://www.wikidata.org/wiki/Q1877439", "Q1877439")</f>
        <v>0</v>
      </c>
      <c r="O9301" t="s">
        <v>20254</v>
      </c>
    </row>
    <row r="9302" spans="1:15">
      <c r="A9302" t="s">
        <v>63</v>
      </c>
      <c r="B9302" t="s">
        <v>149</v>
      </c>
      <c r="C9302" t="s">
        <v>195</v>
      </c>
      <c r="D9302" t="s">
        <v>324</v>
      </c>
      <c r="E9302" t="s">
        <v>445</v>
      </c>
      <c r="F9302">
        <f>HYPERLINK("https://www.wikidata.org/wiki/Q3112682", "Q3112682")</f>
        <v>0</v>
      </c>
      <c r="G9302" t="s">
        <v>1724</v>
      </c>
      <c r="H9302" t="s">
        <v>6360</v>
      </c>
      <c r="I9302" t="s">
        <v>6175</v>
      </c>
      <c r="J9302" t="s">
        <v>12425</v>
      </c>
      <c r="K9302" t="s">
        <v>16833</v>
      </c>
      <c r="N9302">
        <f>HYPERLINK("https://www.wikidata.org/wiki/Q3102323", "Q3102323")</f>
        <v>0</v>
      </c>
      <c r="O9302" t="s">
        <v>20064</v>
      </c>
    </row>
    <row r="9303" spans="1:15">
      <c r="A9303" t="s">
        <v>63</v>
      </c>
      <c r="B9303" t="s">
        <v>149</v>
      </c>
      <c r="C9303" t="s">
        <v>195</v>
      </c>
      <c r="D9303" t="s">
        <v>324</v>
      </c>
      <c r="E9303" t="s">
        <v>445</v>
      </c>
      <c r="F9303">
        <f>HYPERLINK("https://www.wikidata.org/wiki/Q3112682", "Q3112682")</f>
        <v>0</v>
      </c>
      <c r="G9303" t="s">
        <v>2274</v>
      </c>
      <c r="H9303" t="s">
        <v>6873</v>
      </c>
      <c r="I9303" t="s">
        <v>9476</v>
      </c>
      <c r="J9303" t="s">
        <v>12932</v>
      </c>
      <c r="K9303" t="s">
        <v>17341</v>
      </c>
      <c r="N9303">
        <f>HYPERLINK("https://www.wikidata.org/wiki/Q18384898", "Q18384898")</f>
        <v>0</v>
      </c>
      <c r="O9303" t="s">
        <v>20245</v>
      </c>
    </row>
    <row r="9304" spans="1:15">
      <c r="A9304" t="s">
        <v>64</v>
      </c>
      <c r="B9304" t="s">
        <v>149</v>
      </c>
      <c r="C9304" t="s">
        <v>196</v>
      </c>
      <c r="D9304" t="s">
        <v>325</v>
      </c>
      <c r="E9304" t="s">
        <v>446</v>
      </c>
      <c r="F9304">
        <f>HYPERLINK("https://www.wikidata.org/wiki/Q3111970", "Q3111970")</f>
        <v>0</v>
      </c>
      <c r="G9304" t="s">
        <v>2497</v>
      </c>
      <c r="H9304" t="s">
        <v>7068</v>
      </c>
      <c r="I9304" t="s">
        <v>6584</v>
      </c>
      <c r="J9304" t="s">
        <v>13141</v>
      </c>
      <c r="K9304" t="s">
        <v>17549</v>
      </c>
      <c r="L9304">
        <f>HYPERLINK("https://www2.assemblee-nationale.fr/sycomore/fiche/(num_dept)/674", "674")</f>
        <v>0</v>
      </c>
      <c r="M9304">
        <f>HYPERLINK("https://www.senat.fr/senateur-3eme-republique/berlet_albert0929r3.html", "berlet_albert0929r3")</f>
        <v>0</v>
      </c>
      <c r="N9304">
        <f>HYPERLINK("https://www.wikidata.org/wiki/Q2384848", "Q2384848")</f>
        <v>0</v>
      </c>
      <c r="O9304" t="s">
        <v>20255</v>
      </c>
    </row>
    <row r="9305" spans="1:15">
      <c r="A9305" t="s">
        <v>64</v>
      </c>
      <c r="B9305" t="s">
        <v>149</v>
      </c>
      <c r="C9305" t="s">
        <v>196</v>
      </c>
      <c r="D9305" t="s">
        <v>325</v>
      </c>
      <c r="E9305" t="s">
        <v>446</v>
      </c>
      <c r="F9305">
        <f>HYPERLINK("https://www.wikidata.org/wiki/Q3111970", "Q3111970")</f>
        <v>0</v>
      </c>
      <c r="G9305" t="s">
        <v>2554</v>
      </c>
      <c r="H9305" t="s">
        <v>7113</v>
      </c>
      <c r="I9305" t="s">
        <v>9449</v>
      </c>
      <c r="J9305" t="s">
        <v>13198</v>
      </c>
      <c r="K9305" t="s">
        <v>17603</v>
      </c>
      <c r="L9305">
        <f>HYPERLINK("https://www2.assemblee-nationale.fr/sycomore/fiche/(num_dept)/2474", "2474")</f>
        <v>0</v>
      </c>
      <c r="M9305">
        <f>HYPERLINK("https://www.senat.fr/senateur-3eme-republique/develle_jules1013r3.html", "develle_jules1013r3")</f>
        <v>0</v>
      </c>
      <c r="N9305">
        <f>HYPERLINK("https://www.wikidata.org/wiki/Q939193", "Q939193")</f>
        <v>0</v>
      </c>
      <c r="O9305" t="s">
        <v>20188</v>
      </c>
    </row>
    <row r="9306" spans="1:15">
      <c r="A9306" t="s">
        <v>64</v>
      </c>
      <c r="B9306" t="s">
        <v>149</v>
      </c>
      <c r="C9306" t="s">
        <v>196</v>
      </c>
      <c r="D9306" t="s">
        <v>325</v>
      </c>
      <c r="E9306" t="s">
        <v>446</v>
      </c>
      <c r="F9306">
        <f>HYPERLINK("https://www.wikidata.org/wiki/Q3111970", "Q3111970")</f>
        <v>0</v>
      </c>
      <c r="G9306" t="s">
        <v>2593</v>
      </c>
      <c r="H9306" t="s">
        <v>7142</v>
      </c>
      <c r="I9306" t="s">
        <v>9476</v>
      </c>
      <c r="J9306" t="s">
        <v>13236</v>
      </c>
      <c r="K9306" t="s">
        <v>17640</v>
      </c>
      <c r="L9306">
        <f>HYPERLINK("https://www2.assemblee-nationale.fr/sycomore/fiche/(num_dept)/3457", "3457")</f>
        <v>0</v>
      </c>
      <c r="M9306">
        <f>HYPERLINK("https://www.senat.fr/senateur-3eme-republique/goblet_rene1409r3.html", "goblet_rene1409r3")</f>
        <v>0</v>
      </c>
      <c r="N9306">
        <f>HYPERLINK("https://www.wikidata.org/wiki/Q559645", "Q559645")</f>
        <v>0</v>
      </c>
      <c r="O9306" t="s">
        <v>20058</v>
      </c>
    </row>
    <row r="9307" spans="1:15">
      <c r="A9307" t="s">
        <v>64</v>
      </c>
      <c r="B9307" t="s">
        <v>149</v>
      </c>
      <c r="C9307" t="s">
        <v>196</v>
      </c>
      <c r="D9307" t="s">
        <v>325</v>
      </c>
      <c r="E9307" t="s">
        <v>446</v>
      </c>
      <c r="F9307">
        <f>HYPERLINK("https://www.wikidata.org/wiki/Q3111970", "Q3111970")</f>
        <v>0</v>
      </c>
      <c r="G9307" t="s">
        <v>2964</v>
      </c>
      <c r="H9307" t="s">
        <v>7434</v>
      </c>
      <c r="I9307" t="s">
        <v>6166</v>
      </c>
      <c r="J9307" t="s">
        <v>13596</v>
      </c>
      <c r="K9307" t="s">
        <v>17982</v>
      </c>
      <c r="L9307">
        <f>HYPERLINK("https://www2.assemblee-nationale.fr/sycomore/fiche/(num_dept)/4897", "4897")</f>
        <v>0</v>
      </c>
      <c r="N9307">
        <f>HYPERLINK("https://www.wikidata.org/wiki/Q962478", "Q962478")</f>
        <v>0</v>
      </c>
      <c r="O9307" t="s">
        <v>20056</v>
      </c>
    </row>
    <row r="9308" spans="1:15">
      <c r="A9308" t="s">
        <v>64</v>
      </c>
      <c r="B9308" t="s">
        <v>149</v>
      </c>
      <c r="C9308" t="s">
        <v>196</v>
      </c>
      <c r="D9308" t="s">
        <v>325</v>
      </c>
      <c r="E9308" t="s">
        <v>446</v>
      </c>
      <c r="F9308">
        <f>HYPERLINK("https://www.wikidata.org/wiki/Q3111970", "Q3111970")</f>
        <v>0</v>
      </c>
      <c r="G9308" t="s">
        <v>3494</v>
      </c>
      <c r="H9308" t="s">
        <v>7864</v>
      </c>
      <c r="I9308" t="s">
        <v>5528</v>
      </c>
      <c r="J9308" t="s">
        <v>13235</v>
      </c>
      <c r="K9308" t="s">
        <v>18458</v>
      </c>
      <c r="L9308">
        <f>HYPERLINK("https://www2.assemblee-nationale.fr/sycomore/fiche/(num_dept)/6327", "6327")</f>
        <v>0</v>
      </c>
      <c r="M9308">
        <f>HYPERLINK("https://www.senat.fr/senateur-3eme-republique/say_leon1623r3.html", "say_leon1623r3")</f>
        <v>0</v>
      </c>
      <c r="N9308">
        <f>HYPERLINK("https://www.wikidata.org/wiki/Q3271322", "Q3271322")</f>
        <v>0</v>
      </c>
      <c r="O9308" t="s">
        <v>20066</v>
      </c>
    </row>
    <row r="9309" spans="1:15">
      <c r="A9309" t="s">
        <v>64</v>
      </c>
      <c r="B9309" t="s">
        <v>149</v>
      </c>
      <c r="C9309" t="s">
        <v>196</v>
      </c>
      <c r="D9309" t="s">
        <v>325</v>
      </c>
      <c r="E9309" t="s">
        <v>446</v>
      </c>
      <c r="F9309">
        <f>HYPERLINK("https://www.wikidata.org/wiki/Q3111970", "Q3111970")</f>
        <v>0</v>
      </c>
      <c r="G9309" t="s">
        <v>2728</v>
      </c>
      <c r="H9309" t="s">
        <v>5344</v>
      </c>
      <c r="I9309" t="s">
        <v>9534</v>
      </c>
      <c r="J9309" t="s">
        <v>13369</v>
      </c>
      <c r="K9309" t="s">
        <v>17649</v>
      </c>
      <c r="L9309">
        <f>HYPERLINK("https://www2.assemblee-nationale.fr/sycomore/fiche/(num_dept)/7924", "7924")</f>
        <v>0</v>
      </c>
      <c r="M9309">
        <f>HYPERLINK("https://www.senat.fr/senateur-3eme-republique/cochery_adolphe0505r3.html", "cochery_adolphe0505r3")</f>
        <v>0</v>
      </c>
      <c r="N9309">
        <f>HYPERLINK("https://www.wikidata.org/wiki/Q960751", "Q960751")</f>
        <v>0</v>
      </c>
      <c r="O9309" t="s">
        <v>20181</v>
      </c>
    </row>
    <row r="9310" spans="1:15">
      <c r="A9310" t="s">
        <v>64</v>
      </c>
      <c r="B9310" t="s">
        <v>149</v>
      </c>
      <c r="C9310" t="s">
        <v>196</v>
      </c>
      <c r="D9310" t="s">
        <v>325</v>
      </c>
      <c r="E9310" t="s">
        <v>446</v>
      </c>
      <c r="F9310">
        <f>HYPERLINK("https://www.wikidata.org/wiki/Q3111970", "Q3111970")</f>
        <v>0</v>
      </c>
      <c r="G9310" t="s">
        <v>2731</v>
      </c>
      <c r="H9310" t="s">
        <v>7253</v>
      </c>
      <c r="I9310" t="s">
        <v>9449</v>
      </c>
      <c r="J9310" t="s">
        <v>13372</v>
      </c>
      <c r="K9310" t="s">
        <v>17771</v>
      </c>
      <c r="L9310">
        <f>HYPERLINK("https://www2.assemblee-nationale.fr/sycomore/fiche/(num_dept)/7943", "7943")</f>
        <v>0</v>
      </c>
      <c r="N9310">
        <f>HYPERLINK("https://www.wikidata.org/wiki/Q3188566", "Q3188566")</f>
        <v>0</v>
      </c>
      <c r="O9310" t="s">
        <v>20256</v>
      </c>
    </row>
    <row r="9311" spans="1:15">
      <c r="A9311" t="s">
        <v>64</v>
      </c>
      <c r="B9311" t="s">
        <v>149</v>
      </c>
      <c r="C9311" t="s">
        <v>196</v>
      </c>
      <c r="D9311" t="s">
        <v>325</v>
      </c>
      <c r="E9311" t="s">
        <v>446</v>
      </c>
      <c r="F9311">
        <f>HYPERLINK("https://www.wikidata.org/wiki/Q3111970", "Q3111970")</f>
        <v>0</v>
      </c>
      <c r="G9311" t="s">
        <v>2733</v>
      </c>
      <c r="H9311" t="s">
        <v>5400</v>
      </c>
      <c r="I9311" t="s">
        <v>9449</v>
      </c>
      <c r="J9311" t="s">
        <v>13374</v>
      </c>
      <c r="K9311" t="s">
        <v>17773</v>
      </c>
      <c r="L9311">
        <f>HYPERLINK("https://www2.assemblee-nationale.fr/sycomore/fiche/(num_dept)/7945", "7945")</f>
        <v>0</v>
      </c>
      <c r="M9311">
        <f>HYPERLINK("https://www.senat.fr/senateur-3eme-republique/ferry_jules1809r3.html", "ferry_jules1809r3")</f>
        <v>0</v>
      </c>
      <c r="N9311">
        <f>HYPERLINK("https://www.wikidata.org/wiki/Q959708", "Q959708")</f>
        <v>0</v>
      </c>
      <c r="O9311" t="s">
        <v>20257</v>
      </c>
    </row>
    <row r="9312" spans="1:15">
      <c r="A9312" t="s">
        <v>64</v>
      </c>
      <c r="B9312" t="s">
        <v>149</v>
      </c>
      <c r="C9312" t="s">
        <v>196</v>
      </c>
      <c r="D9312" t="s">
        <v>325</v>
      </c>
      <c r="E9312" t="s">
        <v>446</v>
      </c>
      <c r="F9312">
        <f>HYPERLINK("https://www.wikidata.org/wiki/Q3111970", "Q3111970")</f>
        <v>0</v>
      </c>
      <c r="G9312" t="s">
        <v>2817</v>
      </c>
      <c r="H9312" t="s">
        <v>7318</v>
      </c>
      <c r="I9312" t="s">
        <v>7790</v>
      </c>
      <c r="J9312" t="s">
        <v>13457</v>
      </c>
      <c r="K9312" t="s">
        <v>17848</v>
      </c>
      <c r="L9312">
        <f>HYPERLINK("https://www2.assemblee-nationale.fr/sycomore/fiche/(num_dept)/8127", "8127")</f>
        <v>0</v>
      </c>
      <c r="M9312">
        <f>HYPERLINK("https://www.senat.fr/senateur-3eme-republique/rousseau_armand0808r3.html", "rousseau_armand0808r3")</f>
        <v>0</v>
      </c>
      <c r="N9312">
        <f>HYPERLINK("https://www.wikidata.org/wiki/Q2861960", "Q2861960")</f>
        <v>0</v>
      </c>
      <c r="O9312" t="s">
        <v>20208</v>
      </c>
    </row>
    <row r="9313" spans="1:15">
      <c r="A9313" t="s">
        <v>64</v>
      </c>
      <c r="B9313" t="s">
        <v>149</v>
      </c>
      <c r="C9313" t="s">
        <v>196</v>
      </c>
      <c r="D9313" t="s">
        <v>325</v>
      </c>
      <c r="E9313" t="s">
        <v>446</v>
      </c>
      <c r="F9313">
        <f>HYPERLINK("https://www.wikidata.org/wiki/Q3111970", "Q3111970")</f>
        <v>0</v>
      </c>
      <c r="G9313" t="s">
        <v>2892</v>
      </c>
      <c r="H9313" t="s">
        <v>7376</v>
      </c>
      <c r="I9313" t="s">
        <v>6166</v>
      </c>
      <c r="J9313" t="s">
        <v>13527</v>
      </c>
      <c r="K9313" t="s">
        <v>17915</v>
      </c>
      <c r="L9313">
        <f>HYPERLINK("https://www2.assemblee-nationale.fr/sycomore/fiche/(num_dept)/8226", "8226")</f>
        <v>0</v>
      </c>
      <c r="N9313">
        <f>HYPERLINK("https://www.wikidata.org/wiki/Q3085976", "Q3085976")</f>
        <v>0</v>
      </c>
      <c r="O9313" t="s">
        <v>20258</v>
      </c>
    </row>
    <row r="9314" spans="1:15">
      <c r="A9314" t="s">
        <v>64</v>
      </c>
      <c r="B9314" t="s">
        <v>149</v>
      </c>
      <c r="C9314" t="s">
        <v>196</v>
      </c>
      <c r="D9314" t="s">
        <v>325</v>
      </c>
      <c r="E9314" t="s">
        <v>446</v>
      </c>
      <c r="F9314">
        <f>HYPERLINK("https://www.wikidata.org/wiki/Q3111970", "Q3111970")</f>
        <v>0</v>
      </c>
      <c r="G9314" t="s">
        <v>2907</v>
      </c>
      <c r="H9314" t="s">
        <v>7389</v>
      </c>
      <c r="I9314" t="s">
        <v>6860</v>
      </c>
      <c r="J9314" t="s">
        <v>13542</v>
      </c>
      <c r="K9314" t="s">
        <v>17928</v>
      </c>
      <c r="L9314">
        <f>HYPERLINK("https://www2.assemblee-nationale.fr/sycomore/fiche/(num_dept)/8246", "8246")</f>
        <v>0</v>
      </c>
      <c r="M9314">
        <f>HYPERLINK("https://www.senat.fr/senateur-3eme-republique/tirard_pierre1538r3.html", "tirard_pierre1538r3")</f>
        <v>0</v>
      </c>
      <c r="N9314">
        <f>HYPERLINK("https://www.wikidata.org/wiki/Q708359", "Q708359")</f>
        <v>0</v>
      </c>
      <c r="O9314" t="s">
        <v>20069</v>
      </c>
    </row>
    <row r="9315" spans="1:15">
      <c r="A9315" t="s">
        <v>64</v>
      </c>
      <c r="B9315" t="s">
        <v>149</v>
      </c>
      <c r="C9315" t="s">
        <v>196</v>
      </c>
      <c r="D9315" t="s">
        <v>325</v>
      </c>
      <c r="E9315" t="s">
        <v>446</v>
      </c>
      <c r="F9315">
        <f>HYPERLINK("https://www.wikidata.org/wiki/Q3111970", "Q3111970")</f>
        <v>0</v>
      </c>
      <c r="G9315" t="s">
        <v>4286</v>
      </c>
      <c r="H9315" t="s">
        <v>7575</v>
      </c>
      <c r="I9315" t="s">
        <v>9421</v>
      </c>
      <c r="J9315" t="s">
        <v>14785</v>
      </c>
      <c r="K9315" t="s">
        <v>17979</v>
      </c>
      <c r="M9315">
        <f>HYPERLINK("https://www.senat.fr/senateur-3eme-republique/humbert_gustave1485r3.html", "humbert_gustave1485r3")</f>
        <v>0</v>
      </c>
      <c r="N9315">
        <f>HYPERLINK("https://www.wikidata.org/wiki/Q1556684", "Q1556684")</f>
        <v>0</v>
      </c>
      <c r="O9315" t="s">
        <v>20259</v>
      </c>
    </row>
    <row r="9316" spans="1:15">
      <c r="A9316" t="s">
        <v>64</v>
      </c>
      <c r="B9316" t="s">
        <v>149</v>
      </c>
      <c r="C9316" t="s">
        <v>196</v>
      </c>
      <c r="D9316" t="s">
        <v>325</v>
      </c>
      <c r="E9316" t="s">
        <v>446</v>
      </c>
      <c r="F9316">
        <f>HYPERLINK("https://www.wikidata.org/wiki/Q3111970", "Q3111970")</f>
        <v>0</v>
      </c>
      <c r="G9316" t="s">
        <v>4287</v>
      </c>
      <c r="H9316" t="s">
        <v>8446</v>
      </c>
      <c r="I9316" t="s">
        <v>9474</v>
      </c>
      <c r="J9316" t="s">
        <v>14786</v>
      </c>
      <c r="K9316" t="s">
        <v>19131</v>
      </c>
      <c r="M9316">
        <f>HYPERLINK("https://www.senat.fr/senateur-3eme-republique/billot_jean_baptiste1437r3.html", "billot_jean_baptiste1437r3")</f>
        <v>0</v>
      </c>
      <c r="N9316">
        <f>HYPERLINK("https://www.wikidata.org/wiki/Q1684617", "Q1684617")</f>
        <v>0</v>
      </c>
      <c r="O9316" t="s">
        <v>20057</v>
      </c>
    </row>
    <row r="9317" spans="1:15">
      <c r="A9317" t="s">
        <v>64</v>
      </c>
      <c r="B9317" t="s">
        <v>149</v>
      </c>
      <c r="C9317" t="s">
        <v>196</v>
      </c>
      <c r="D9317" t="s">
        <v>325</v>
      </c>
      <c r="E9317" t="s">
        <v>446</v>
      </c>
      <c r="F9317">
        <f>HYPERLINK("https://www.wikidata.org/wiki/Q3111970", "Q3111970")</f>
        <v>0</v>
      </c>
      <c r="G9317" t="s">
        <v>4288</v>
      </c>
      <c r="H9317" t="s">
        <v>8447</v>
      </c>
      <c r="I9317" t="s">
        <v>5948</v>
      </c>
      <c r="J9317" t="s">
        <v>14787</v>
      </c>
      <c r="K9317" t="s">
        <v>11881</v>
      </c>
      <c r="M9317">
        <f>HYPERLINK("https://www.senat.fr/senateur-3eme-republique/jaureguiberry_bernard1486r3.html", "jaureguiberry_bernard1486r3")</f>
        <v>0</v>
      </c>
      <c r="N9317">
        <f>HYPERLINK("https://www.wikidata.org/wiki/Q259435", "Q259435")</f>
        <v>0</v>
      </c>
      <c r="O9317" t="s">
        <v>20185</v>
      </c>
    </row>
    <row r="9318" spans="1:15">
      <c r="A9318" t="s">
        <v>64</v>
      </c>
      <c r="B9318" t="s">
        <v>149</v>
      </c>
      <c r="C9318" t="s">
        <v>196</v>
      </c>
      <c r="D9318" t="s">
        <v>325</v>
      </c>
      <c r="E9318" t="s">
        <v>446</v>
      </c>
      <c r="F9318">
        <f>HYPERLINK("https://www.wikidata.org/wiki/Q3111970", "Q3111970")</f>
        <v>0</v>
      </c>
      <c r="G9318" t="s">
        <v>4245</v>
      </c>
      <c r="H9318" t="s">
        <v>8418</v>
      </c>
      <c r="I9318" t="s">
        <v>9385</v>
      </c>
      <c r="J9318" t="s">
        <v>14751</v>
      </c>
      <c r="K9318" t="s">
        <v>19097</v>
      </c>
      <c r="M9318">
        <f>HYPERLINK("https://www.senat.fr/senateur-3eme-republique/de_saulces_de_freycinet_louis1713r3.html", "de_saulces_de_freycinet_louis1713r3")</f>
        <v>0</v>
      </c>
      <c r="N9318">
        <f>HYPERLINK("https://www.wikidata.org/wiki/Q317957", "Q317957")</f>
        <v>0</v>
      </c>
      <c r="O9318" t="s">
        <v>20062</v>
      </c>
    </row>
    <row r="9319" spans="1:15">
      <c r="A9319" t="s">
        <v>64</v>
      </c>
      <c r="B9319" t="s">
        <v>149</v>
      </c>
      <c r="C9319" t="s">
        <v>196</v>
      </c>
      <c r="D9319" t="s">
        <v>325</v>
      </c>
      <c r="E9319" t="s">
        <v>446</v>
      </c>
      <c r="F9319">
        <f>HYPERLINK("https://www.wikidata.org/wiki/Q3111970", "Q3111970")</f>
        <v>0</v>
      </c>
      <c r="G9319" t="s">
        <v>4289</v>
      </c>
      <c r="H9319" t="s">
        <v>8448</v>
      </c>
      <c r="I9319" t="s">
        <v>9457</v>
      </c>
      <c r="J9319" t="s">
        <v>14788</v>
      </c>
      <c r="K9319" t="s">
        <v>19132</v>
      </c>
      <c r="M9319">
        <f>HYPERLINK("https://www.senat.fr/senateur-3eme-republique/varroy_henry0928r3.html", "varroy_henry0928r3")</f>
        <v>0</v>
      </c>
      <c r="N9319">
        <f>HYPERLINK("https://www.wikidata.org/wiki/Q3132133", "Q3132133")</f>
        <v>0</v>
      </c>
      <c r="O9319" t="s">
        <v>20063</v>
      </c>
    </row>
    <row r="9320" spans="1:15">
      <c r="A9320" t="s">
        <v>64</v>
      </c>
      <c r="B9320" t="s">
        <v>149</v>
      </c>
      <c r="C9320" t="s">
        <v>196</v>
      </c>
      <c r="D9320" t="s">
        <v>325</v>
      </c>
      <c r="E9320" t="s">
        <v>446</v>
      </c>
      <c r="F9320">
        <f>HYPERLINK("https://www.wikidata.org/wiki/Q3111970", "Q3111970")</f>
        <v>0</v>
      </c>
      <c r="G9320" t="s">
        <v>4245</v>
      </c>
      <c r="H9320" t="s">
        <v>8418</v>
      </c>
      <c r="I9320" t="s">
        <v>9385</v>
      </c>
      <c r="J9320" t="s">
        <v>14751</v>
      </c>
      <c r="K9320" t="s">
        <v>19097</v>
      </c>
      <c r="M9320">
        <f>HYPERLINK("https://www.senat.fr/senateur-3eme-republique/de_saulces_de_freycinet_louis1713r3.html", "de_saulces_de_freycinet_louis1713r3")</f>
        <v>0</v>
      </c>
      <c r="N9320">
        <f>HYPERLINK("https://www.wikidata.org/wiki/Q317957", "Q317957")</f>
        <v>0</v>
      </c>
      <c r="O9320" t="s">
        <v>20052</v>
      </c>
    </row>
    <row r="9321" spans="1:15">
      <c r="A9321" t="s">
        <v>65</v>
      </c>
      <c r="B9321" t="s">
        <v>149</v>
      </c>
      <c r="C9321" t="s">
        <v>197</v>
      </c>
      <c r="D9321" t="s">
        <v>326</v>
      </c>
      <c r="E9321" t="s">
        <v>447</v>
      </c>
      <c r="F9321">
        <f>HYPERLINK("https://www.wikidata.org/wiki/Q3111971", "Q3111971")</f>
        <v>0</v>
      </c>
      <c r="G9321" t="s">
        <v>2489</v>
      </c>
      <c r="H9321" t="s">
        <v>7062</v>
      </c>
      <c r="I9321" t="s">
        <v>9385</v>
      </c>
      <c r="J9321" t="s">
        <v>13133</v>
      </c>
      <c r="K9321" t="s">
        <v>17542</v>
      </c>
      <c r="L9321">
        <f>HYPERLINK("https://www2.assemblee-nationale.fr/sycomore/fiche/(num_dept)/337", "337")</f>
        <v>0</v>
      </c>
      <c r="N9321">
        <f>HYPERLINK("https://www.wikidata.org/wiki/Q2958501", "Q2958501")</f>
        <v>0</v>
      </c>
      <c r="O9321" t="s">
        <v>20063</v>
      </c>
    </row>
    <row r="9322" spans="1:15">
      <c r="A9322" t="s">
        <v>65</v>
      </c>
      <c r="B9322" t="s">
        <v>149</v>
      </c>
      <c r="C9322" t="s">
        <v>197</v>
      </c>
      <c r="D9322" t="s">
        <v>326</v>
      </c>
      <c r="E9322" t="s">
        <v>447</v>
      </c>
      <c r="F9322">
        <f>HYPERLINK("https://www.wikidata.org/wiki/Q3111971", "Q3111971")</f>
        <v>0</v>
      </c>
      <c r="G9322" t="s">
        <v>3382</v>
      </c>
      <c r="H9322" t="s">
        <v>5955</v>
      </c>
      <c r="I9322" t="s">
        <v>6175</v>
      </c>
      <c r="J9322" t="s">
        <v>13992</v>
      </c>
      <c r="K9322" t="s">
        <v>18362</v>
      </c>
      <c r="L9322">
        <f>HYPERLINK("https://www2.assemblee-nationale.fr/sycomore/fiche/(num_dept)/1047", "1047")</f>
        <v>0</v>
      </c>
      <c r="N9322">
        <f>HYPERLINK("https://www.wikidata.org/wiki/Q315747", "Q315747")</f>
        <v>0</v>
      </c>
      <c r="O9322" t="s">
        <v>20057</v>
      </c>
    </row>
    <row r="9323" spans="1:15">
      <c r="A9323" t="s">
        <v>65</v>
      </c>
      <c r="B9323" t="s">
        <v>149</v>
      </c>
      <c r="C9323" t="s">
        <v>197</v>
      </c>
      <c r="D9323" t="s">
        <v>326</v>
      </c>
      <c r="E9323" t="s">
        <v>447</v>
      </c>
      <c r="F9323">
        <f>HYPERLINK("https://www.wikidata.org/wiki/Q3111971", "Q3111971")</f>
        <v>0</v>
      </c>
      <c r="G9323" t="s">
        <v>2554</v>
      </c>
      <c r="H9323" t="s">
        <v>7113</v>
      </c>
      <c r="I9323" t="s">
        <v>9449</v>
      </c>
      <c r="J9323" t="s">
        <v>13198</v>
      </c>
      <c r="K9323" t="s">
        <v>17603</v>
      </c>
      <c r="L9323">
        <f>HYPERLINK("https://www2.assemblee-nationale.fr/sycomore/fiche/(num_dept)/2474", "2474")</f>
        <v>0</v>
      </c>
      <c r="M9323">
        <f>HYPERLINK("https://www.senat.fr/senateur-3eme-republique/develle_jules1013r3.html", "develle_jules1013r3")</f>
        <v>0</v>
      </c>
      <c r="N9323">
        <f>HYPERLINK("https://www.wikidata.org/wiki/Q939193", "Q939193")</f>
        <v>0</v>
      </c>
      <c r="O9323" t="s">
        <v>20056</v>
      </c>
    </row>
    <row r="9324" spans="1:15">
      <c r="A9324" t="s">
        <v>65</v>
      </c>
      <c r="B9324" t="s">
        <v>149</v>
      </c>
      <c r="C9324" t="s">
        <v>197</v>
      </c>
      <c r="D9324" t="s">
        <v>326</v>
      </c>
      <c r="E9324" t="s">
        <v>447</v>
      </c>
      <c r="F9324">
        <f>HYPERLINK("https://www.wikidata.org/wiki/Q3111971", "Q3111971")</f>
        <v>0</v>
      </c>
      <c r="G9324" t="s">
        <v>2593</v>
      </c>
      <c r="H9324" t="s">
        <v>7142</v>
      </c>
      <c r="I9324" t="s">
        <v>9476</v>
      </c>
      <c r="J9324" t="s">
        <v>13236</v>
      </c>
      <c r="K9324" t="s">
        <v>17640</v>
      </c>
      <c r="L9324">
        <f>HYPERLINK("https://www2.assemblee-nationale.fr/sycomore/fiche/(num_dept)/3457", "3457")</f>
        <v>0</v>
      </c>
      <c r="M9324">
        <f>HYPERLINK("https://www.senat.fr/senateur-3eme-republique/goblet_rene1409r3.html", "goblet_rene1409r3")</f>
        <v>0</v>
      </c>
      <c r="N9324">
        <f>HYPERLINK("https://www.wikidata.org/wiki/Q559645", "Q559645")</f>
        <v>0</v>
      </c>
      <c r="O9324" t="s">
        <v>20142</v>
      </c>
    </row>
    <row r="9325" spans="1:15">
      <c r="A9325" t="s">
        <v>65</v>
      </c>
      <c r="B9325" t="s">
        <v>149</v>
      </c>
      <c r="C9325" t="s">
        <v>197</v>
      </c>
      <c r="D9325" t="s">
        <v>326</v>
      </c>
      <c r="E9325" t="s">
        <v>447</v>
      </c>
      <c r="F9325">
        <f>HYPERLINK("https://www.wikidata.org/wiki/Q3111971", "Q3111971")</f>
        <v>0</v>
      </c>
      <c r="G9325" t="s">
        <v>3008</v>
      </c>
      <c r="H9325" t="s">
        <v>7469</v>
      </c>
      <c r="I9325" t="s">
        <v>6158</v>
      </c>
      <c r="J9325" t="s">
        <v>13637</v>
      </c>
      <c r="K9325" t="s">
        <v>18022</v>
      </c>
      <c r="L9325">
        <f>HYPERLINK("https://www2.assemblee-nationale.fr/sycomore/fiche/(num_dept)/3547", "3547")</f>
        <v>0</v>
      </c>
      <c r="N9325">
        <f>HYPERLINK("https://www.wikidata.org/wiki/Q3092454", "Q3092454")</f>
        <v>0</v>
      </c>
      <c r="O9325" t="s">
        <v>20181</v>
      </c>
    </row>
    <row r="9326" spans="1:15">
      <c r="A9326" t="s">
        <v>65</v>
      </c>
      <c r="B9326" t="s">
        <v>149</v>
      </c>
      <c r="C9326" t="s">
        <v>197</v>
      </c>
      <c r="D9326" t="s">
        <v>326</v>
      </c>
      <c r="E9326" t="s">
        <v>447</v>
      </c>
      <c r="F9326">
        <f>HYPERLINK("https://www.wikidata.org/wiki/Q3111971", "Q3111971")</f>
        <v>0</v>
      </c>
      <c r="G9326" t="s">
        <v>2606</v>
      </c>
      <c r="H9326" t="s">
        <v>7155</v>
      </c>
      <c r="I9326" t="s">
        <v>9440</v>
      </c>
      <c r="J9326" t="s">
        <v>13249</v>
      </c>
      <c r="K9326" t="s">
        <v>17651</v>
      </c>
      <c r="L9326">
        <f>HYPERLINK("https://www2.assemblee-nationale.fr/sycomore/fiche/(num_dept)/4183", "4183")</f>
        <v>0</v>
      </c>
      <c r="N9326">
        <f>HYPERLINK("https://www.wikidata.org/wiki/Q2844734", "Q2844734")</f>
        <v>0</v>
      </c>
      <c r="O9326" t="s">
        <v>20147</v>
      </c>
    </row>
    <row r="9327" spans="1:15">
      <c r="A9327" t="s">
        <v>65</v>
      </c>
      <c r="B9327" t="s">
        <v>149</v>
      </c>
      <c r="C9327" t="s">
        <v>197</v>
      </c>
      <c r="D9327" t="s">
        <v>326</v>
      </c>
      <c r="E9327" t="s">
        <v>447</v>
      </c>
      <c r="F9327">
        <f>HYPERLINK("https://www.wikidata.org/wiki/Q3111971", "Q3111971")</f>
        <v>0</v>
      </c>
      <c r="G9327" t="s">
        <v>2965</v>
      </c>
      <c r="H9327" t="s">
        <v>5848</v>
      </c>
      <c r="I9327" t="s">
        <v>9388</v>
      </c>
      <c r="J9327" t="s">
        <v>13597</v>
      </c>
      <c r="K9327" t="s">
        <v>17983</v>
      </c>
      <c r="L9327">
        <f>HYPERLINK("https://www2.assemblee-nationale.fr/sycomore/fiche/(num_dept)/5873", "5873")</f>
        <v>0</v>
      </c>
      <c r="M9327">
        <f>HYPERLINK("https://www.senat.fr/senateur-3eme-republique/peytral_paul0322r3.html", "peytral_paul0322r3")</f>
        <v>0</v>
      </c>
      <c r="N9327">
        <f>HYPERLINK("https://www.wikidata.org/wiki/Q179491", "Q179491")</f>
        <v>0</v>
      </c>
      <c r="O9327" t="s">
        <v>20054</v>
      </c>
    </row>
    <row r="9328" spans="1:15">
      <c r="A9328" t="s">
        <v>65</v>
      </c>
      <c r="B9328" t="s">
        <v>149</v>
      </c>
      <c r="C9328" t="s">
        <v>197</v>
      </c>
      <c r="D9328" t="s">
        <v>326</v>
      </c>
      <c r="E9328" t="s">
        <v>447</v>
      </c>
      <c r="F9328">
        <f>HYPERLINK("https://www.wikidata.org/wiki/Q3111971", "Q3111971")</f>
        <v>0</v>
      </c>
      <c r="G9328" t="s">
        <v>2659</v>
      </c>
      <c r="H9328" t="s">
        <v>7199</v>
      </c>
      <c r="I9328" t="s">
        <v>9376</v>
      </c>
      <c r="J9328" t="s">
        <v>13300</v>
      </c>
      <c r="K9328" t="s">
        <v>17700</v>
      </c>
      <c r="L9328">
        <f>HYPERLINK("https://www2.assemblee-nationale.fr/sycomore/fiche/(num_dept)/6297", "6297")</f>
        <v>0</v>
      </c>
      <c r="M9328">
        <f>HYPERLINK("https://www.senat.fr/senateur-3eme-republique/sarrien_ferdinand1219r3.html", "sarrien_ferdinand1219r3")</f>
        <v>0</v>
      </c>
      <c r="N9328">
        <f>HYPERLINK("https://www.wikidata.org/wiki/Q718698", "Q718698")</f>
        <v>0</v>
      </c>
      <c r="O9328" t="s">
        <v>20113</v>
      </c>
    </row>
    <row r="9329" spans="1:15">
      <c r="A9329" t="s">
        <v>65</v>
      </c>
      <c r="B9329" t="s">
        <v>149</v>
      </c>
      <c r="C9329" t="s">
        <v>197</v>
      </c>
      <c r="D9329" t="s">
        <v>326</v>
      </c>
      <c r="E9329" t="s">
        <v>447</v>
      </c>
      <c r="F9329">
        <f>HYPERLINK("https://www.wikidata.org/wiki/Q3111971", "Q3111971")</f>
        <v>0</v>
      </c>
      <c r="G9329" t="s">
        <v>2692</v>
      </c>
      <c r="H9329" t="s">
        <v>7224</v>
      </c>
      <c r="I9329" t="s">
        <v>9602</v>
      </c>
      <c r="J9329" t="s">
        <v>13333</v>
      </c>
      <c r="K9329" t="s">
        <v>17733</v>
      </c>
      <c r="L9329">
        <f>HYPERLINK("https://www2.assemblee-nationale.fr/sycomore/fiche/(num_dept)/7178", "7178")</f>
        <v>0</v>
      </c>
      <c r="N9329">
        <f>HYPERLINK("https://www.wikidata.org/wiki/Q3048008", "Q3048008")</f>
        <v>0</v>
      </c>
      <c r="O9329" t="s">
        <v>20260</v>
      </c>
    </row>
    <row r="9330" spans="1:15">
      <c r="A9330" t="s">
        <v>65</v>
      </c>
      <c r="B9330" t="s">
        <v>149</v>
      </c>
      <c r="C9330" t="s">
        <v>197</v>
      </c>
      <c r="D9330" t="s">
        <v>326</v>
      </c>
      <c r="E9330" t="s">
        <v>447</v>
      </c>
      <c r="F9330">
        <f>HYPERLINK("https://www.wikidata.org/wiki/Q3111971", "Q3111971")</f>
        <v>0</v>
      </c>
      <c r="G9330" t="s">
        <v>2717</v>
      </c>
      <c r="H9330" t="s">
        <v>7243</v>
      </c>
      <c r="I9330" t="s">
        <v>9728</v>
      </c>
      <c r="J9330" t="s">
        <v>13358</v>
      </c>
      <c r="K9330" t="s">
        <v>17758</v>
      </c>
      <c r="L9330">
        <f>HYPERLINK("https://www2.assemblee-nationale.fr/sycomore/fiche/(num_dept)/7875", "7875")</f>
        <v>0</v>
      </c>
      <c r="N9330">
        <f>HYPERLINK("https://www.wikidata.org/wiki/Q733836", "Q733836")</f>
        <v>0</v>
      </c>
      <c r="O9330" t="s">
        <v>20135</v>
      </c>
    </row>
    <row r="9331" spans="1:15">
      <c r="A9331" t="s">
        <v>65</v>
      </c>
      <c r="B9331" t="s">
        <v>149</v>
      </c>
      <c r="C9331" t="s">
        <v>197</v>
      </c>
      <c r="D9331" t="s">
        <v>326</v>
      </c>
      <c r="E9331" t="s">
        <v>447</v>
      </c>
      <c r="F9331">
        <f>HYPERLINK("https://www.wikidata.org/wiki/Q3111971", "Q3111971")</f>
        <v>0</v>
      </c>
      <c r="G9331" t="s">
        <v>4257</v>
      </c>
      <c r="H9331" t="s">
        <v>8426</v>
      </c>
      <c r="I9331" t="s">
        <v>9385</v>
      </c>
      <c r="J9331" t="s">
        <v>14761</v>
      </c>
      <c r="K9331" t="s">
        <v>19106</v>
      </c>
      <c r="M9331">
        <f>HYPERLINK("https://www.senat.fr/senateur-3eme-republique/demole_charles1218r3.html", "demole_charles1218r3")</f>
        <v>0</v>
      </c>
      <c r="N9331">
        <f>HYPERLINK("https://www.wikidata.org/wiki/Q2958875", "Q2958875")</f>
        <v>0</v>
      </c>
      <c r="O9331" t="s">
        <v>20064</v>
      </c>
    </row>
    <row r="9332" spans="1:15">
      <c r="A9332" t="s">
        <v>65</v>
      </c>
      <c r="B9332" t="s">
        <v>149</v>
      </c>
      <c r="C9332" t="s">
        <v>197</v>
      </c>
      <c r="D9332" t="s">
        <v>326</v>
      </c>
      <c r="E9332" t="s">
        <v>447</v>
      </c>
      <c r="F9332">
        <f>HYPERLINK("https://www.wikidata.org/wiki/Q3111971", "Q3111971")</f>
        <v>0</v>
      </c>
      <c r="G9332" t="s">
        <v>4290</v>
      </c>
      <c r="H9332" t="s">
        <v>8449</v>
      </c>
      <c r="I9332" t="s">
        <v>9451</v>
      </c>
      <c r="J9332" t="s">
        <v>14789</v>
      </c>
      <c r="K9332" t="s">
        <v>19133</v>
      </c>
      <c r="N9332">
        <f>HYPERLINK("https://www.wikidata.org/wiki/Q1639740", "Q1639740")</f>
        <v>0</v>
      </c>
      <c r="O9332" t="s">
        <v>20053</v>
      </c>
    </row>
    <row r="9333" spans="1:15">
      <c r="A9333" t="s">
        <v>65</v>
      </c>
      <c r="B9333" t="s">
        <v>149</v>
      </c>
      <c r="C9333" t="s">
        <v>197</v>
      </c>
      <c r="D9333" t="s">
        <v>326</v>
      </c>
      <c r="E9333" t="s">
        <v>447</v>
      </c>
      <c r="F9333">
        <f>HYPERLINK("https://www.wikidata.org/wiki/Q3111971", "Q3111971")</f>
        <v>0</v>
      </c>
      <c r="G9333" t="s">
        <v>4245</v>
      </c>
      <c r="H9333" t="s">
        <v>8418</v>
      </c>
      <c r="I9333" t="s">
        <v>9385</v>
      </c>
      <c r="J9333" t="s">
        <v>14751</v>
      </c>
      <c r="K9333" t="s">
        <v>19097</v>
      </c>
      <c r="M9333">
        <f>HYPERLINK("https://www.senat.fr/senateur-3eme-republique/de_saulces_de_freycinet_louis1713r3.html", "de_saulces_de_freycinet_louis1713r3")</f>
        <v>0</v>
      </c>
      <c r="N9333">
        <f>HYPERLINK("https://www.wikidata.org/wiki/Q317957", "Q317957")</f>
        <v>0</v>
      </c>
      <c r="O9333" t="s">
        <v>20062</v>
      </c>
    </row>
    <row r="9334" spans="1:15">
      <c r="A9334" t="s">
        <v>65</v>
      </c>
      <c r="B9334" t="s">
        <v>149</v>
      </c>
      <c r="C9334" t="s">
        <v>197</v>
      </c>
      <c r="D9334" t="s">
        <v>326</v>
      </c>
      <c r="E9334" t="s">
        <v>447</v>
      </c>
      <c r="F9334">
        <f>HYPERLINK("https://www.wikidata.org/wiki/Q3111971", "Q3111971")</f>
        <v>0</v>
      </c>
      <c r="G9334" t="s">
        <v>2528</v>
      </c>
      <c r="H9334" t="s">
        <v>5325</v>
      </c>
      <c r="I9334" t="s">
        <v>11177</v>
      </c>
      <c r="J9334" t="s">
        <v>13172</v>
      </c>
      <c r="K9334" t="s">
        <v>17578</v>
      </c>
      <c r="N9334">
        <f>HYPERLINK("https://www.wikidata.org/wiki/Q293001", "Q293001")</f>
        <v>0</v>
      </c>
      <c r="O9334" t="s">
        <v>20066</v>
      </c>
    </row>
    <row r="9335" spans="1:15">
      <c r="A9335" t="s">
        <v>65</v>
      </c>
      <c r="B9335" t="s">
        <v>149</v>
      </c>
      <c r="C9335" t="s">
        <v>197</v>
      </c>
      <c r="D9335" t="s">
        <v>326</v>
      </c>
      <c r="E9335" t="s">
        <v>447</v>
      </c>
      <c r="F9335">
        <f>HYPERLINK("https://www.wikidata.org/wiki/Q3111971", "Q3111971")</f>
        <v>0</v>
      </c>
      <c r="G9335" t="s">
        <v>4291</v>
      </c>
      <c r="H9335" t="s">
        <v>8450</v>
      </c>
      <c r="I9335" t="s">
        <v>9728</v>
      </c>
      <c r="J9335" t="s">
        <v>14790</v>
      </c>
      <c r="K9335" t="s">
        <v>19134</v>
      </c>
      <c r="M9335">
        <f>HYPERLINK("https://www.senat.fr/senateur-3eme-republique/millaud_edouard1120r3.html", "millaud_edouard1120r3")</f>
        <v>0</v>
      </c>
      <c r="N9335">
        <f>HYPERLINK("https://www.wikidata.org/wiki/Q3579963", "Q3579963")</f>
        <v>0</v>
      </c>
      <c r="O9335" t="s">
        <v>20063</v>
      </c>
    </row>
    <row r="9336" spans="1:15">
      <c r="A9336" t="s">
        <v>65</v>
      </c>
      <c r="B9336" t="s">
        <v>149</v>
      </c>
      <c r="C9336" t="s">
        <v>197</v>
      </c>
      <c r="D9336" t="s">
        <v>326</v>
      </c>
      <c r="E9336" t="s">
        <v>447</v>
      </c>
      <c r="F9336">
        <f>HYPERLINK("https://www.wikidata.org/wiki/Q3111971", "Q3111971")</f>
        <v>0</v>
      </c>
      <c r="G9336" t="s">
        <v>4245</v>
      </c>
      <c r="H9336" t="s">
        <v>8418</v>
      </c>
      <c r="I9336" t="s">
        <v>9385</v>
      </c>
      <c r="J9336" t="s">
        <v>14751</v>
      </c>
      <c r="K9336" t="s">
        <v>19097</v>
      </c>
      <c r="M9336">
        <f>HYPERLINK("https://www.senat.fr/senateur-3eme-republique/de_saulces_de_freycinet_louis1713r3.html", "de_saulces_de_freycinet_louis1713r3")</f>
        <v>0</v>
      </c>
      <c r="N9336">
        <f>HYPERLINK("https://www.wikidata.org/wiki/Q317957", "Q317957")</f>
        <v>0</v>
      </c>
      <c r="O9336" t="s">
        <v>20114</v>
      </c>
    </row>
    <row r="9337" spans="1:15">
      <c r="A9337" t="s">
        <v>65</v>
      </c>
      <c r="B9337" t="s">
        <v>149</v>
      </c>
      <c r="C9337" t="s">
        <v>197</v>
      </c>
      <c r="D9337" t="s">
        <v>326</v>
      </c>
      <c r="E9337" t="s">
        <v>447</v>
      </c>
      <c r="F9337">
        <f>HYPERLINK("https://www.wikidata.org/wiki/Q3111971", "Q3111971")</f>
        <v>0</v>
      </c>
      <c r="G9337" t="s">
        <v>2498</v>
      </c>
      <c r="H9337" t="s">
        <v>5948</v>
      </c>
      <c r="I9337" t="s">
        <v>6200</v>
      </c>
      <c r="J9337" t="s">
        <v>13142</v>
      </c>
      <c r="K9337" t="s">
        <v>17550</v>
      </c>
      <c r="N9337">
        <f>HYPERLINK("https://www.wikidata.org/wiki/Q1635623", "Q1635623")</f>
        <v>0</v>
      </c>
      <c r="O9337" t="s">
        <v>20068</v>
      </c>
    </row>
    <row r="9338" spans="1:15">
      <c r="A9338" t="s">
        <v>66</v>
      </c>
      <c r="B9338" t="s">
        <v>149</v>
      </c>
      <c r="C9338" t="s">
        <v>198</v>
      </c>
      <c r="D9338" t="s">
        <v>327</v>
      </c>
      <c r="E9338" t="s">
        <v>448</v>
      </c>
      <c r="F9338">
        <f>HYPERLINK("https://www.wikidata.org/wiki/Q21427344", "Q21427344")</f>
        <v>0</v>
      </c>
      <c r="G9338" t="s">
        <v>3373</v>
      </c>
      <c r="H9338" t="s">
        <v>7083</v>
      </c>
      <c r="I9338" t="s">
        <v>5528</v>
      </c>
      <c r="J9338" t="s">
        <v>13985</v>
      </c>
      <c r="K9338" t="s">
        <v>18353</v>
      </c>
      <c r="L9338">
        <f>HYPERLINK("https://www2.assemblee-nationale.fr/sycomore/fiche/(num_dept)/1083", "1083")</f>
        <v>0</v>
      </c>
      <c r="M9338">
        <f>HYPERLINK("https://www.senat.fr/senateur-3eme-republique/bourgeois_leon0647r3.html", "bourgeois_leon0647r3")</f>
        <v>0</v>
      </c>
      <c r="N9338">
        <f>HYPERLINK("https://www.wikidata.org/wiki/Q217706", "Q217706")</f>
        <v>0</v>
      </c>
      <c r="O9338" t="s">
        <v>20186</v>
      </c>
    </row>
    <row r="9339" spans="1:15">
      <c r="A9339" t="s">
        <v>66</v>
      </c>
      <c r="B9339" t="s">
        <v>149</v>
      </c>
      <c r="C9339" t="s">
        <v>198</v>
      </c>
      <c r="D9339" t="s">
        <v>327</v>
      </c>
      <c r="E9339" t="s">
        <v>448</v>
      </c>
      <c r="F9339">
        <f>HYPERLINK("https://www.wikidata.org/wiki/Q21427344", "Q21427344")</f>
        <v>0</v>
      </c>
      <c r="G9339" t="s">
        <v>2542</v>
      </c>
      <c r="H9339" t="s">
        <v>5867</v>
      </c>
      <c r="I9339" t="s">
        <v>9442</v>
      </c>
      <c r="J9339" t="s">
        <v>13186</v>
      </c>
      <c r="K9339" t="s">
        <v>17591</v>
      </c>
      <c r="L9339">
        <f>HYPERLINK("https://www2.assemblee-nationale.fr/sycomore/fiche/(num_dept)/1942", "1942")</f>
        <v>0</v>
      </c>
      <c r="M9339">
        <f>HYPERLINK("https://www.senat.fr/senateur-3eme-republique/constans_ernest0107r3.html", "constans_ernest0107r3")</f>
        <v>0</v>
      </c>
      <c r="N9339">
        <f>HYPERLINK("https://www.wikidata.org/wiki/Q1934639", "Q1934639")</f>
        <v>0</v>
      </c>
      <c r="O9339" t="s">
        <v>20113</v>
      </c>
    </row>
    <row r="9340" spans="1:15">
      <c r="A9340" t="s">
        <v>66</v>
      </c>
      <c r="B9340" t="s">
        <v>149</v>
      </c>
      <c r="C9340" t="s">
        <v>198</v>
      </c>
      <c r="D9340" t="s">
        <v>327</v>
      </c>
      <c r="E9340" t="s">
        <v>448</v>
      </c>
      <c r="F9340">
        <f>HYPERLINK("https://www.wikidata.org/wiki/Q21427344", "Q21427344")</f>
        <v>0</v>
      </c>
      <c r="G9340" t="s">
        <v>2554</v>
      </c>
      <c r="H9340" t="s">
        <v>7113</v>
      </c>
      <c r="I9340" t="s">
        <v>9449</v>
      </c>
      <c r="J9340" t="s">
        <v>13198</v>
      </c>
      <c r="K9340" t="s">
        <v>17603</v>
      </c>
      <c r="L9340">
        <f>HYPERLINK("https://www2.assemblee-nationale.fr/sycomore/fiche/(num_dept)/2474", "2474")</f>
        <v>0</v>
      </c>
      <c r="M9340">
        <f>HYPERLINK("https://www.senat.fr/senateur-3eme-republique/develle_jules1013r3.html", "develle_jules1013r3")</f>
        <v>0</v>
      </c>
      <c r="N9340">
        <f>HYPERLINK("https://www.wikidata.org/wiki/Q939193", "Q939193")</f>
        <v>0</v>
      </c>
      <c r="O9340" t="s">
        <v>20056</v>
      </c>
    </row>
    <row r="9341" spans="1:15">
      <c r="A9341" t="s">
        <v>66</v>
      </c>
      <c r="B9341" t="s">
        <v>149</v>
      </c>
      <c r="C9341" t="s">
        <v>198</v>
      </c>
      <c r="D9341" t="s">
        <v>327</v>
      </c>
      <c r="E9341" t="s">
        <v>448</v>
      </c>
      <c r="F9341">
        <f>HYPERLINK("https://www.wikidata.org/wiki/Q21427344", "Q21427344")</f>
        <v>0</v>
      </c>
      <c r="G9341" t="s">
        <v>635</v>
      </c>
      <c r="H9341" t="s">
        <v>5394</v>
      </c>
      <c r="I9341" t="s">
        <v>9465</v>
      </c>
      <c r="J9341" t="s">
        <v>11385</v>
      </c>
      <c r="K9341" t="s">
        <v>15787</v>
      </c>
      <c r="L9341">
        <f>HYPERLINK("https://www2.assemblee-nationale.fr/sycomore/fiche/(num_dept)/2861", "2861")</f>
        <v>0</v>
      </c>
      <c r="M9341">
        <f>HYPERLINK("https://www.senat.fr/senateur-3eme-republique/etienne_eugene1824r3.html", "etienne_eugene1824r3")</f>
        <v>0</v>
      </c>
      <c r="N9341">
        <f>HYPERLINK("https://www.wikidata.org/wiki/Q2612305", "Q2612305")</f>
        <v>0</v>
      </c>
      <c r="O9341" t="s">
        <v>20184</v>
      </c>
    </row>
    <row r="9342" spans="1:15">
      <c r="A9342" t="s">
        <v>66</v>
      </c>
      <c r="B9342" t="s">
        <v>149</v>
      </c>
      <c r="C9342" t="s">
        <v>198</v>
      </c>
      <c r="D9342" t="s">
        <v>327</v>
      </c>
      <c r="E9342" t="s">
        <v>448</v>
      </c>
      <c r="F9342">
        <f>HYPERLINK("https://www.wikidata.org/wiki/Q21427344", "Q21427344")</f>
        <v>0</v>
      </c>
      <c r="G9342" t="s">
        <v>2570</v>
      </c>
      <c r="H9342" t="s">
        <v>6156</v>
      </c>
      <c r="I9342" t="s">
        <v>7790</v>
      </c>
      <c r="J9342" t="s">
        <v>13214</v>
      </c>
      <c r="K9342" t="s">
        <v>17617</v>
      </c>
      <c r="L9342">
        <f>HYPERLINK("https://www2.assemblee-nationale.fr/sycomore/fiche/(num_dept)/2901", "2901")</f>
        <v>0</v>
      </c>
      <c r="M9342">
        <f>HYPERLINK("https://www.senat.fr/senateur-3eme-republique/fallieres_armand0754r3.html", "fallieres_armand0754r3")</f>
        <v>0</v>
      </c>
      <c r="N9342">
        <f>HYPERLINK("https://www.wikidata.org/wiki/Q296673", "Q296673")</f>
        <v>0</v>
      </c>
      <c r="O9342" t="s">
        <v>20064</v>
      </c>
    </row>
    <row r="9343" spans="1:15">
      <c r="A9343" t="s">
        <v>66</v>
      </c>
      <c r="B9343" t="s">
        <v>149</v>
      </c>
      <c r="C9343" t="s">
        <v>198</v>
      </c>
      <c r="D9343" t="s">
        <v>327</v>
      </c>
      <c r="E9343" t="s">
        <v>448</v>
      </c>
      <c r="F9343">
        <f>HYPERLINK("https://www.wikidata.org/wiki/Q21427344", "Q21427344")</f>
        <v>0</v>
      </c>
      <c r="G9343" t="s">
        <v>767</v>
      </c>
      <c r="H9343" t="s">
        <v>5525</v>
      </c>
      <c r="I9343" t="s">
        <v>9449</v>
      </c>
      <c r="J9343" t="s">
        <v>11514</v>
      </c>
      <c r="K9343" t="s">
        <v>15918</v>
      </c>
      <c r="L9343">
        <f>HYPERLINK("https://www2.assemblee-nationale.fr/sycomore/fiche/(num_dept)/6031", "6031")</f>
        <v>0</v>
      </c>
      <c r="N9343">
        <f>HYPERLINK("https://www.wikidata.org/wiki/Q3188891", "Q3188891")</f>
        <v>0</v>
      </c>
      <c r="O9343" t="s">
        <v>20190</v>
      </c>
    </row>
    <row r="9344" spans="1:15">
      <c r="A9344" t="s">
        <v>66</v>
      </c>
      <c r="B9344" t="s">
        <v>149</v>
      </c>
      <c r="C9344" t="s">
        <v>198</v>
      </c>
      <c r="D9344" t="s">
        <v>327</v>
      </c>
      <c r="E9344" t="s">
        <v>448</v>
      </c>
      <c r="F9344">
        <f>HYPERLINK("https://www.wikidata.org/wiki/Q21427344", "Q21427344")</f>
        <v>0</v>
      </c>
      <c r="G9344" t="s">
        <v>2650</v>
      </c>
      <c r="H9344" t="s">
        <v>7191</v>
      </c>
      <c r="I9344" t="s">
        <v>7642</v>
      </c>
      <c r="J9344" t="s">
        <v>13292</v>
      </c>
      <c r="K9344" t="s">
        <v>17691</v>
      </c>
      <c r="L9344">
        <f>HYPERLINK("https://www2.assemblee-nationale.fr/sycomore/fiche/(num_dept)/6152", "6152")</f>
        <v>0</v>
      </c>
      <c r="M9344">
        <f>HYPERLINK("https://www.senat.fr/senateur-3eme-republique/rouvier_maurice0115r3.html", "rouvier_maurice0115r3")</f>
        <v>0</v>
      </c>
      <c r="N9344">
        <f>HYPERLINK("https://www.wikidata.org/wiki/Q471293", "Q471293")</f>
        <v>0</v>
      </c>
      <c r="O9344" t="s">
        <v>20066</v>
      </c>
    </row>
    <row r="9345" spans="1:15">
      <c r="A9345" t="s">
        <v>66</v>
      </c>
      <c r="B9345" t="s">
        <v>149</v>
      </c>
      <c r="C9345" t="s">
        <v>198</v>
      </c>
      <c r="D9345" t="s">
        <v>327</v>
      </c>
      <c r="E9345" t="s">
        <v>448</v>
      </c>
      <c r="F9345">
        <f>HYPERLINK("https://www.wikidata.org/wiki/Q21427344", "Q21427344")</f>
        <v>0</v>
      </c>
      <c r="G9345" t="s">
        <v>2671</v>
      </c>
      <c r="H9345" t="s">
        <v>7208</v>
      </c>
      <c r="I9345" t="s">
        <v>9553</v>
      </c>
      <c r="J9345" t="s">
        <v>13312</v>
      </c>
      <c r="K9345" t="s">
        <v>17712</v>
      </c>
      <c r="L9345">
        <f>HYPERLINK("https://www2.assemblee-nationale.fr/sycomore/fiche/(num_dept)/6727", "6727")</f>
        <v>0</v>
      </c>
      <c r="M9345">
        <f>HYPERLINK("https://www.senat.fr/senateur-3eme-republique/ribot_alexandre0941r3.html", "ribot_alexandre0941r3")</f>
        <v>0</v>
      </c>
      <c r="N9345">
        <f>HYPERLINK("https://www.wikidata.org/wiki/Q358387", "Q358387")</f>
        <v>0</v>
      </c>
      <c r="O9345" t="s">
        <v>20062</v>
      </c>
    </row>
    <row r="9346" spans="1:15">
      <c r="A9346" t="s">
        <v>66</v>
      </c>
      <c r="B9346" t="s">
        <v>149</v>
      </c>
      <c r="C9346" t="s">
        <v>198</v>
      </c>
      <c r="D9346" t="s">
        <v>327</v>
      </c>
      <c r="E9346" t="s">
        <v>448</v>
      </c>
      <c r="F9346">
        <f>HYPERLINK("https://www.wikidata.org/wiki/Q21427344", "Q21427344")</f>
        <v>0</v>
      </c>
      <c r="G9346" t="s">
        <v>3314</v>
      </c>
      <c r="H9346" t="s">
        <v>7378</v>
      </c>
      <c r="I9346" t="s">
        <v>9843</v>
      </c>
      <c r="J9346" t="s">
        <v>13928</v>
      </c>
      <c r="K9346" t="s">
        <v>18298</v>
      </c>
      <c r="L9346">
        <f>HYPERLINK("https://www2.assemblee-nationale.fr/sycomore/fiche/(num_dept)/7958", "7958")</f>
        <v>0</v>
      </c>
      <c r="N9346">
        <f>HYPERLINK("https://www.wikidata.org/wiki/Q249982", "Q249982")</f>
        <v>0</v>
      </c>
      <c r="O9346" t="s">
        <v>20063</v>
      </c>
    </row>
    <row r="9347" spans="1:15">
      <c r="A9347" t="s">
        <v>66</v>
      </c>
      <c r="B9347" t="s">
        <v>149</v>
      </c>
      <c r="C9347" t="s">
        <v>198</v>
      </c>
      <c r="D9347" t="s">
        <v>327</v>
      </c>
      <c r="E9347" t="s">
        <v>448</v>
      </c>
      <c r="F9347">
        <f>HYPERLINK("https://www.wikidata.org/wiki/Q21427344", "Q21427344")</f>
        <v>0</v>
      </c>
      <c r="G9347" t="s">
        <v>4245</v>
      </c>
      <c r="H9347" t="s">
        <v>8418</v>
      </c>
      <c r="I9347" t="s">
        <v>9385</v>
      </c>
      <c r="J9347" t="s">
        <v>14751</v>
      </c>
      <c r="K9347" t="s">
        <v>19097</v>
      </c>
      <c r="M9347">
        <f>HYPERLINK("https://www.senat.fr/senateur-3eme-republique/de_saulces_de_freycinet_louis1713r3.html", "de_saulces_de_freycinet_louis1713r3")</f>
        <v>0</v>
      </c>
      <c r="N9347">
        <f>HYPERLINK("https://www.wikidata.org/wiki/Q317957", "Q317957")</f>
        <v>0</v>
      </c>
      <c r="O9347" t="s">
        <v>20057</v>
      </c>
    </row>
    <row r="9348" spans="1:15">
      <c r="A9348" t="s">
        <v>66</v>
      </c>
      <c r="B9348" t="s">
        <v>149</v>
      </c>
      <c r="C9348" t="s">
        <v>198</v>
      </c>
      <c r="D9348" t="s">
        <v>327</v>
      </c>
      <c r="E9348" t="s">
        <v>448</v>
      </c>
      <c r="F9348">
        <f>HYPERLINK("https://www.wikidata.org/wiki/Q21427344", "Q21427344")</f>
        <v>0</v>
      </c>
      <c r="G9348" t="s">
        <v>4292</v>
      </c>
      <c r="H9348" t="s">
        <v>8451</v>
      </c>
      <c r="I9348" t="s">
        <v>9728</v>
      </c>
      <c r="J9348" t="s">
        <v>14791</v>
      </c>
      <c r="K9348" t="s">
        <v>19135</v>
      </c>
      <c r="M9348">
        <f>HYPERLINK("https://www.senat.fr/senateur-3eme-republique/barbey_edouard1693r3.html", "barbey_edouard1693r3")</f>
        <v>0</v>
      </c>
      <c r="N9348">
        <f>HYPERLINK("https://www.wikidata.org/wiki/Q1857743", "Q1857743")</f>
        <v>0</v>
      </c>
      <c r="O9348" t="s">
        <v>20053</v>
      </c>
    </row>
    <row r="9349" spans="1:15">
      <c r="A9349" t="s">
        <v>66</v>
      </c>
      <c r="B9349" t="s">
        <v>149</v>
      </c>
      <c r="C9349" t="s">
        <v>198</v>
      </c>
      <c r="D9349" t="s">
        <v>327</v>
      </c>
      <c r="E9349" t="s">
        <v>448</v>
      </c>
      <c r="F9349">
        <f>HYPERLINK("https://www.wikidata.org/wiki/Q21427344", "Q21427344")</f>
        <v>0</v>
      </c>
      <c r="G9349" t="s">
        <v>4245</v>
      </c>
      <c r="H9349" t="s">
        <v>8418</v>
      </c>
      <c r="I9349" t="s">
        <v>9385</v>
      </c>
      <c r="J9349" t="s">
        <v>14751</v>
      </c>
      <c r="K9349" t="s">
        <v>19097</v>
      </c>
      <c r="M9349">
        <f>HYPERLINK("https://www.senat.fr/senateur-3eme-republique/de_saulces_de_freycinet_louis1713r3.html", "de_saulces_de_freycinet_louis1713r3")</f>
        <v>0</v>
      </c>
      <c r="N9349">
        <f>HYPERLINK("https://www.wikidata.org/wiki/Q317957", "Q317957")</f>
        <v>0</v>
      </c>
      <c r="O9349" t="s">
        <v>20114</v>
      </c>
    </row>
    <row r="9350" spans="1:15">
      <c r="A9350" t="s">
        <v>67</v>
      </c>
      <c r="B9350" t="s">
        <v>149</v>
      </c>
      <c r="C9350" t="s">
        <v>199</v>
      </c>
      <c r="D9350" t="s">
        <v>328</v>
      </c>
      <c r="E9350" t="s">
        <v>449</v>
      </c>
      <c r="F9350">
        <f>HYPERLINK("https://www.wikidata.org/wiki/Q3112055", "Q3112055")</f>
        <v>0</v>
      </c>
      <c r="G9350" t="s">
        <v>495</v>
      </c>
      <c r="H9350" t="s">
        <v>5260</v>
      </c>
      <c r="I9350" t="s">
        <v>7642</v>
      </c>
      <c r="J9350" t="s">
        <v>11247</v>
      </c>
      <c r="K9350" t="s">
        <v>15647</v>
      </c>
      <c r="L9350">
        <f>HYPERLINK("https://www2.assemblee-nationale.fr/sycomore/fiche/(num_dept)/61", "61")</f>
        <v>0</v>
      </c>
      <c r="M9350">
        <f>HYPERLINK("https://www.senat.fr/senateur-3eme-republique/ajam_pierre1240r3.html", "ajam_pierre1240r3")</f>
        <v>0</v>
      </c>
      <c r="N9350">
        <f>HYPERLINK("https://www.wikidata.org/wiki/Q3383653", "Q3383653")</f>
        <v>0</v>
      </c>
      <c r="O9350" t="s">
        <v>20060</v>
      </c>
    </row>
    <row r="9351" spans="1:15">
      <c r="A9351" t="s">
        <v>67</v>
      </c>
      <c r="B9351" t="s">
        <v>149</v>
      </c>
      <c r="C9351" t="s">
        <v>199</v>
      </c>
      <c r="D9351" t="s">
        <v>328</v>
      </c>
      <c r="E9351" t="s">
        <v>449</v>
      </c>
      <c r="F9351">
        <f>HYPERLINK("https://www.wikidata.org/wiki/Q3112055", "Q3112055")</f>
        <v>0</v>
      </c>
      <c r="G9351" t="s">
        <v>3872</v>
      </c>
      <c r="H9351" t="s">
        <v>8140</v>
      </c>
      <c r="I9351" t="s">
        <v>6200</v>
      </c>
      <c r="J9351" t="s">
        <v>14431</v>
      </c>
      <c r="K9351" t="s">
        <v>18783</v>
      </c>
      <c r="L9351">
        <f>HYPERLINK("https://www2.assemblee-nationale.fr/sycomore/fiche/(num_dept)/790", "790")</f>
        <v>0</v>
      </c>
      <c r="M9351">
        <f>HYPERLINK("https://www.senat.fr/senateur-3eme-republique/bienvenu_martin_jean_baptiste1840r3.html", "bienvenu_martin_jean_baptiste1840r3")</f>
        <v>0</v>
      </c>
      <c r="N9351">
        <f>HYPERLINK("https://www.wikidata.org/wiki/Q325552", "Q325552")</f>
        <v>0</v>
      </c>
      <c r="O9351" t="s">
        <v>20064</v>
      </c>
    </row>
    <row r="9352" spans="1:15">
      <c r="A9352" t="s">
        <v>67</v>
      </c>
      <c r="B9352" t="s">
        <v>149</v>
      </c>
      <c r="C9352" t="s">
        <v>199</v>
      </c>
      <c r="D9352" t="s">
        <v>328</v>
      </c>
      <c r="E9352" t="s">
        <v>449</v>
      </c>
      <c r="F9352">
        <f>HYPERLINK("https://www.wikidata.org/wiki/Q3112055", "Q3112055")</f>
        <v>0</v>
      </c>
      <c r="G9352" t="s">
        <v>560</v>
      </c>
      <c r="H9352" t="s">
        <v>5323</v>
      </c>
      <c r="I9352" t="s">
        <v>9407</v>
      </c>
      <c r="J9352" t="s">
        <v>11311</v>
      </c>
      <c r="K9352" t="s">
        <v>15712</v>
      </c>
      <c r="L9352">
        <f>HYPERLINK("https://www2.assemblee-nationale.fr/sycomore/fiche/(num_dept)/1366", "1366")</f>
        <v>0</v>
      </c>
      <c r="M9352">
        <f>HYPERLINK("https://www.senat.fr/senateur-3eme-republique/caillaux_joseph1254r3.html", "caillaux_joseph1254r3")</f>
        <v>0</v>
      </c>
      <c r="N9352">
        <f>HYPERLINK("https://www.wikidata.org/wiki/Q450463", "Q450463")</f>
        <v>0</v>
      </c>
      <c r="O9352" t="s">
        <v>20066</v>
      </c>
    </row>
    <row r="9353" spans="1:15">
      <c r="A9353" t="s">
        <v>67</v>
      </c>
      <c r="B9353" t="s">
        <v>149</v>
      </c>
      <c r="C9353" t="s">
        <v>199</v>
      </c>
      <c r="D9353" t="s">
        <v>328</v>
      </c>
      <c r="E9353" t="s">
        <v>449</v>
      </c>
      <c r="F9353">
        <f>HYPERLINK("https://www.wikidata.org/wiki/Q3112055", "Q3112055")</f>
        <v>0</v>
      </c>
      <c r="G9353" t="s">
        <v>600</v>
      </c>
      <c r="H9353" t="s">
        <v>5361</v>
      </c>
      <c r="I9353" t="s">
        <v>9446</v>
      </c>
      <c r="J9353" t="s">
        <v>11351</v>
      </c>
      <c r="K9353" t="s">
        <v>15752</v>
      </c>
      <c r="L9353">
        <f>HYPERLINK("https://www2.assemblee-nationale.fr/sycomore/fiche/(num_dept)/2171", "2171")</f>
        <v>0</v>
      </c>
      <c r="M9353">
        <f>HYPERLINK("https://www.senat.fr/senateur-3eme-republique/david_fernand1309r3.html", "david_fernand1309r3")</f>
        <v>0</v>
      </c>
      <c r="N9353">
        <f>HYPERLINK("https://www.wikidata.org/wiki/Q3069115", "Q3069115")</f>
        <v>0</v>
      </c>
      <c r="O9353" t="s">
        <v>20063</v>
      </c>
    </row>
    <row r="9354" spans="1:15">
      <c r="A9354" t="s">
        <v>67</v>
      </c>
      <c r="B9354" t="s">
        <v>149</v>
      </c>
      <c r="C9354" t="s">
        <v>199</v>
      </c>
      <c r="D9354" t="s">
        <v>328</v>
      </c>
      <c r="E9354" t="s">
        <v>449</v>
      </c>
      <c r="F9354">
        <f>HYPERLINK("https://www.wikidata.org/wiki/Q3112055", "Q3112055")</f>
        <v>0</v>
      </c>
      <c r="G9354" t="s">
        <v>3819</v>
      </c>
      <c r="H9354" t="s">
        <v>8103</v>
      </c>
      <c r="I9354" t="s">
        <v>9470</v>
      </c>
      <c r="J9354" t="s">
        <v>14385</v>
      </c>
      <c r="K9354" t="s">
        <v>18737</v>
      </c>
      <c r="L9354">
        <f>HYPERLINK("https://www2.assemblee-nationale.fr/sycomore/fiche/(num_dept)/2570", "2570")</f>
        <v>0</v>
      </c>
      <c r="M9354">
        <f>HYPERLINK("https://www.senat.fr/senateur-3eme-republique/doumergue_gaston0833r3.html", "doumergue_gaston0833r3")</f>
        <v>0</v>
      </c>
      <c r="N9354">
        <f>HYPERLINK("https://www.wikidata.org/wiki/Q296064", "Q296064")</f>
        <v>0</v>
      </c>
      <c r="O9354" t="s">
        <v>20052</v>
      </c>
    </row>
    <row r="9355" spans="1:15">
      <c r="A9355" t="s">
        <v>67</v>
      </c>
      <c r="B9355" t="s">
        <v>149</v>
      </c>
      <c r="C9355" t="s">
        <v>199</v>
      </c>
      <c r="D9355" t="s">
        <v>328</v>
      </c>
      <c r="E9355" t="s">
        <v>449</v>
      </c>
      <c r="F9355">
        <f>HYPERLINK("https://www.wikidata.org/wiki/Q3112055", "Q3112055")</f>
        <v>0</v>
      </c>
      <c r="G9355" t="s">
        <v>689</v>
      </c>
      <c r="H9355" t="s">
        <v>5447</v>
      </c>
      <c r="I9355" t="s">
        <v>9388</v>
      </c>
      <c r="J9355" t="s">
        <v>11439</v>
      </c>
      <c r="K9355" t="s">
        <v>15840</v>
      </c>
      <c r="L9355">
        <f>HYPERLINK("https://www2.assemblee-nationale.fr/sycomore/fiche/(num_dept)/3970", "3970")</f>
        <v>0</v>
      </c>
      <c r="M9355">
        <f>HYPERLINK("https://www.senat.fr/senateur-3eme-republique/jacquier_paul1310r3.html", "jacquier_paul1310r3")</f>
        <v>0</v>
      </c>
      <c r="N9355">
        <f>HYPERLINK("https://www.wikidata.org/wiki/Q3371508", "Q3371508")</f>
        <v>0</v>
      </c>
      <c r="O9355" t="s">
        <v>20261</v>
      </c>
    </row>
    <row r="9356" spans="1:15">
      <c r="A9356" t="s">
        <v>67</v>
      </c>
      <c r="B9356" t="s">
        <v>149</v>
      </c>
      <c r="C9356" t="s">
        <v>199</v>
      </c>
      <c r="D9356" t="s">
        <v>328</v>
      </c>
      <c r="E9356" t="s">
        <v>449</v>
      </c>
      <c r="F9356">
        <f>HYPERLINK("https://www.wikidata.org/wiki/Q3112055", "Q3112055")</f>
        <v>0</v>
      </c>
      <c r="G9356" t="s">
        <v>717</v>
      </c>
      <c r="H9356" t="s">
        <v>5475</v>
      </c>
      <c r="I9356" t="s">
        <v>6585</v>
      </c>
      <c r="J9356" t="s">
        <v>11466</v>
      </c>
      <c r="K9356" t="s">
        <v>15868</v>
      </c>
      <c r="L9356">
        <f>HYPERLINK("https://www2.assemblee-nationale.fr/sycomore/fiche/(num_dept)/4882", "4882")</f>
        <v>0</v>
      </c>
      <c r="N9356">
        <f>HYPERLINK("https://www.wikidata.org/wiki/Q318617", "Q318617")</f>
        <v>0</v>
      </c>
      <c r="O9356" t="s">
        <v>20130</v>
      </c>
    </row>
    <row r="9357" spans="1:15">
      <c r="A9357" t="s">
        <v>67</v>
      </c>
      <c r="B9357" t="s">
        <v>149</v>
      </c>
      <c r="C9357" t="s">
        <v>199</v>
      </c>
      <c r="D9357" t="s">
        <v>328</v>
      </c>
      <c r="E9357" t="s">
        <v>449</v>
      </c>
      <c r="F9357">
        <f>HYPERLINK("https://www.wikidata.org/wiki/Q3112055", "Q3112055")</f>
        <v>0</v>
      </c>
      <c r="G9357" t="s">
        <v>721</v>
      </c>
      <c r="H9357" t="s">
        <v>5479</v>
      </c>
      <c r="I9357" t="s">
        <v>6495</v>
      </c>
      <c r="J9357" t="s">
        <v>11470</v>
      </c>
      <c r="K9357" t="s">
        <v>15872</v>
      </c>
      <c r="L9357">
        <f>HYPERLINK("https://www2.assemblee-nationale.fr/sycomore/fiche/(num_dept)/4940", "4940")</f>
        <v>0</v>
      </c>
      <c r="N9357">
        <f>HYPERLINK("https://www.wikidata.org/wiki/Q3262600", "Q3262600")</f>
        <v>0</v>
      </c>
      <c r="O9357" t="s">
        <v>20058</v>
      </c>
    </row>
    <row r="9358" spans="1:15">
      <c r="A9358" t="s">
        <v>67</v>
      </c>
      <c r="B9358" t="s">
        <v>149</v>
      </c>
      <c r="C9358" t="s">
        <v>199</v>
      </c>
      <c r="D9358" t="s">
        <v>328</v>
      </c>
      <c r="E9358" t="s">
        <v>449</v>
      </c>
      <c r="F9358">
        <f>HYPERLINK("https://www.wikidata.org/wiki/Q3112055", "Q3112055")</f>
        <v>0</v>
      </c>
      <c r="G9358" t="s">
        <v>721</v>
      </c>
      <c r="H9358" t="s">
        <v>5479</v>
      </c>
      <c r="I9358" t="s">
        <v>6495</v>
      </c>
      <c r="J9358" t="s">
        <v>11470</v>
      </c>
      <c r="K9358" t="s">
        <v>15872</v>
      </c>
      <c r="L9358">
        <f>HYPERLINK("https://www2.assemblee-nationale.fr/sycomore/fiche/(num_dept)/4940", "4940")</f>
        <v>0</v>
      </c>
      <c r="N9358">
        <f>HYPERLINK("https://www.wikidata.org/wiki/Q3262600", "Q3262600")</f>
        <v>0</v>
      </c>
      <c r="O9358" t="s">
        <v>20059</v>
      </c>
    </row>
    <row r="9359" spans="1:15">
      <c r="A9359" t="s">
        <v>67</v>
      </c>
      <c r="B9359" t="s">
        <v>149</v>
      </c>
      <c r="C9359" t="s">
        <v>199</v>
      </c>
      <c r="D9359" t="s">
        <v>328</v>
      </c>
      <c r="E9359" t="s">
        <v>449</v>
      </c>
      <c r="F9359">
        <f>HYPERLINK("https://www.wikidata.org/wiki/Q3112055", "Q3112055")</f>
        <v>0</v>
      </c>
      <c r="G9359" t="s">
        <v>730</v>
      </c>
      <c r="H9359" t="s">
        <v>5488</v>
      </c>
      <c r="I9359" t="s">
        <v>6584</v>
      </c>
      <c r="J9359" t="s">
        <v>11479</v>
      </c>
      <c r="K9359" t="s">
        <v>15881</v>
      </c>
      <c r="L9359">
        <f>HYPERLINK("https://www2.assemblee-nationale.fr/sycomore/fiche/(num_dept)/5228", "5228")</f>
        <v>0</v>
      </c>
      <c r="N9359">
        <f>HYPERLINK("https://www.wikidata.org/wiki/Q2831425", "Q2831425")</f>
        <v>0</v>
      </c>
      <c r="O9359" t="s">
        <v>20055</v>
      </c>
    </row>
    <row r="9360" spans="1:15">
      <c r="A9360" t="s">
        <v>67</v>
      </c>
      <c r="B9360" t="s">
        <v>149</v>
      </c>
      <c r="C9360" t="s">
        <v>199</v>
      </c>
      <c r="D9360" t="s">
        <v>328</v>
      </c>
      <c r="E9360" t="s">
        <v>449</v>
      </c>
      <c r="F9360">
        <f>HYPERLINK("https://www.wikidata.org/wiki/Q3112055", "Q3112055")</f>
        <v>0</v>
      </c>
      <c r="G9360" t="s">
        <v>3269</v>
      </c>
      <c r="H9360" t="s">
        <v>7684</v>
      </c>
      <c r="I9360" t="s">
        <v>9442</v>
      </c>
      <c r="J9360" t="s">
        <v>13883</v>
      </c>
      <c r="K9360" t="s">
        <v>18257</v>
      </c>
      <c r="L9360">
        <f>HYPERLINK("https://www2.assemblee-nationale.fr/sycomore/fiche/(num_dept)/5343", "5343")</f>
        <v>0</v>
      </c>
      <c r="M9360">
        <f>HYPERLINK("https://www.senat.fr/senateur-3eme-republique/monis_ernest0193r3.html", "monis_ernest0193r3")</f>
        <v>0</v>
      </c>
      <c r="N9360">
        <f>HYPERLINK("https://www.wikidata.org/wiki/Q561583", "Q561583")</f>
        <v>0</v>
      </c>
      <c r="O9360" t="s">
        <v>20053</v>
      </c>
    </row>
    <row r="9361" spans="1:15">
      <c r="A9361" t="s">
        <v>67</v>
      </c>
      <c r="B9361" t="s">
        <v>149</v>
      </c>
      <c r="C9361" t="s">
        <v>199</v>
      </c>
      <c r="D9361" t="s">
        <v>328</v>
      </c>
      <c r="E9361" t="s">
        <v>449</v>
      </c>
      <c r="F9361">
        <f>HYPERLINK("https://www.wikidata.org/wiki/Q3112055", "Q3112055")</f>
        <v>0</v>
      </c>
      <c r="G9361" t="s">
        <v>748</v>
      </c>
      <c r="H9361" t="s">
        <v>5506</v>
      </c>
      <c r="I9361" t="s">
        <v>9407</v>
      </c>
      <c r="J9361" t="s">
        <v>11330</v>
      </c>
      <c r="K9361" t="s">
        <v>15899</v>
      </c>
      <c r="L9361">
        <f>HYPERLINK("https://www2.assemblee-nationale.fr/sycomore/fiche/(num_dept)/5583", "5583")</f>
        <v>0</v>
      </c>
      <c r="M9361">
        <f>HYPERLINK("https://www.senat.fr/senateur-3eme-republique/noulens_jean_baptiste0149r3.html", "noulens_jean_baptiste0149r3")</f>
        <v>0</v>
      </c>
      <c r="N9361">
        <f>HYPERLINK("https://www.wikidata.org/wiki/Q3185419", "Q3185419")</f>
        <v>0</v>
      </c>
      <c r="O9361" t="s">
        <v>20057</v>
      </c>
    </row>
    <row r="9362" spans="1:15">
      <c r="A9362" t="s">
        <v>67</v>
      </c>
      <c r="B9362" t="s">
        <v>149</v>
      </c>
      <c r="C9362" t="s">
        <v>199</v>
      </c>
      <c r="D9362" t="s">
        <v>328</v>
      </c>
      <c r="E9362" t="s">
        <v>449</v>
      </c>
      <c r="F9362">
        <f>HYPERLINK("https://www.wikidata.org/wiki/Q3112055", "Q3112055")</f>
        <v>0</v>
      </c>
      <c r="G9362" t="s">
        <v>755</v>
      </c>
      <c r="H9362" t="s">
        <v>5513</v>
      </c>
      <c r="I9362" t="s">
        <v>9500</v>
      </c>
      <c r="J9362" t="s">
        <v>11503</v>
      </c>
      <c r="K9362" t="s">
        <v>15906</v>
      </c>
      <c r="L9362">
        <f>HYPERLINK("https://www2.assemblee-nationale.fr/sycomore/fiche/(num_dept)/5779", "5779")</f>
        <v>0</v>
      </c>
      <c r="M9362">
        <f>HYPERLINK("https://www.senat.fr/senateur-3eme-republique/peret_raoul1766r3.html", "peret_raoul1766r3")</f>
        <v>0</v>
      </c>
      <c r="N9362">
        <f>HYPERLINK("https://www.wikidata.org/wiki/Q3419252", "Q3419252")</f>
        <v>0</v>
      </c>
      <c r="O9362" t="s">
        <v>20262</v>
      </c>
    </row>
    <row r="9363" spans="1:15">
      <c r="A9363" t="s">
        <v>67</v>
      </c>
      <c r="B9363" t="s">
        <v>149</v>
      </c>
      <c r="C9363" t="s">
        <v>199</v>
      </c>
      <c r="D9363" t="s">
        <v>328</v>
      </c>
      <c r="E9363" t="s">
        <v>449</v>
      </c>
      <c r="F9363">
        <f>HYPERLINK("https://www.wikidata.org/wiki/Q3112055", "Q3112055")</f>
        <v>0</v>
      </c>
      <c r="G9363" t="s">
        <v>755</v>
      </c>
      <c r="H9363" t="s">
        <v>5513</v>
      </c>
      <c r="I9363" t="s">
        <v>9500</v>
      </c>
      <c r="J9363" t="s">
        <v>11503</v>
      </c>
      <c r="K9363" t="s">
        <v>15906</v>
      </c>
      <c r="L9363">
        <f>HYPERLINK("https://www2.assemblee-nationale.fr/sycomore/fiche/(num_dept)/5779", "5779")</f>
        <v>0</v>
      </c>
      <c r="M9363">
        <f>HYPERLINK("https://www.senat.fr/senateur-3eme-republique/peret_raoul1766r3.html", "peret_raoul1766r3")</f>
        <v>0</v>
      </c>
      <c r="N9363">
        <f>HYPERLINK("https://www.wikidata.org/wiki/Q3419252", "Q3419252")</f>
        <v>0</v>
      </c>
      <c r="O9363" t="s">
        <v>20061</v>
      </c>
    </row>
    <row r="9364" spans="1:15">
      <c r="A9364" t="s">
        <v>67</v>
      </c>
      <c r="B9364" t="s">
        <v>149</v>
      </c>
      <c r="C9364" t="s">
        <v>199</v>
      </c>
      <c r="D9364" t="s">
        <v>328</v>
      </c>
      <c r="E9364" t="s">
        <v>449</v>
      </c>
      <c r="F9364">
        <f>HYPERLINK("https://www.wikidata.org/wiki/Q3112055", "Q3112055")</f>
        <v>0</v>
      </c>
      <c r="G9364" t="s">
        <v>804</v>
      </c>
      <c r="H9364" t="s">
        <v>5561</v>
      </c>
      <c r="I9364" t="s">
        <v>9476</v>
      </c>
      <c r="J9364" t="s">
        <v>11551</v>
      </c>
      <c r="K9364" t="s">
        <v>15955</v>
      </c>
      <c r="L9364">
        <f>HYPERLINK("https://www2.assemblee-nationale.fr/sycomore/fiche/(num_dept)/6684", "6684")</f>
        <v>0</v>
      </c>
      <c r="M9364">
        <f>HYPERLINK("https://www.senat.fr/senateur-3eme-republique/renoult_rene1734r3.html", "renoult_rene1734r3")</f>
        <v>0</v>
      </c>
      <c r="N9364">
        <f>HYPERLINK("https://www.wikidata.org/wiki/Q3426810", "Q3426810")</f>
        <v>0</v>
      </c>
      <c r="O9364" t="s">
        <v>20058</v>
      </c>
    </row>
    <row r="9365" spans="1:15">
      <c r="A9365" t="s">
        <v>67</v>
      </c>
      <c r="B9365" t="s">
        <v>149</v>
      </c>
      <c r="C9365" t="s">
        <v>199</v>
      </c>
      <c r="D9365" t="s">
        <v>328</v>
      </c>
      <c r="E9365" t="s">
        <v>449</v>
      </c>
      <c r="F9365">
        <f>HYPERLINK("https://www.wikidata.org/wiki/Q3112055", "Q3112055")</f>
        <v>0</v>
      </c>
      <c r="G9365" t="s">
        <v>804</v>
      </c>
      <c r="H9365" t="s">
        <v>5561</v>
      </c>
      <c r="I9365" t="s">
        <v>9476</v>
      </c>
      <c r="J9365" t="s">
        <v>11551</v>
      </c>
      <c r="K9365" t="s">
        <v>15955</v>
      </c>
      <c r="L9365">
        <f>HYPERLINK("https://www2.assemblee-nationale.fr/sycomore/fiche/(num_dept)/6684", "6684")</f>
        <v>0</v>
      </c>
      <c r="M9365">
        <f>HYPERLINK("https://www.senat.fr/senateur-3eme-republique/renoult_rene1734r3.html", "renoult_rene1734r3")</f>
        <v>0</v>
      </c>
      <c r="N9365">
        <f>HYPERLINK("https://www.wikidata.org/wiki/Q3426810", "Q3426810")</f>
        <v>0</v>
      </c>
      <c r="O9365" t="s">
        <v>20066</v>
      </c>
    </row>
    <row r="9366" spans="1:15">
      <c r="A9366" t="s">
        <v>67</v>
      </c>
      <c r="B9366" t="s">
        <v>149</v>
      </c>
      <c r="C9366" t="s">
        <v>199</v>
      </c>
      <c r="D9366" t="s">
        <v>328</v>
      </c>
      <c r="E9366" t="s">
        <v>449</v>
      </c>
      <c r="F9366">
        <f>HYPERLINK("https://www.wikidata.org/wiki/Q3112055", "Q3112055")</f>
        <v>0</v>
      </c>
      <c r="G9366" t="s">
        <v>827</v>
      </c>
      <c r="H9366" t="s">
        <v>5584</v>
      </c>
      <c r="I9366" t="s">
        <v>9476</v>
      </c>
      <c r="J9366" t="s">
        <v>11574</v>
      </c>
      <c r="K9366" t="s">
        <v>15976</v>
      </c>
      <c r="L9366">
        <f>HYPERLINK("https://www2.assemblee-nationale.fr/sycomore/fiche/(num_dept)/7368", "7368")</f>
        <v>0</v>
      </c>
      <c r="M9366">
        <f>HYPERLINK("https://www.senat.fr/senateur-3eme-republique/viviani_rene0627r3.html", "viviani_rene0627r3")</f>
        <v>0</v>
      </c>
      <c r="N9366">
        <f>HYPERLINK("https://www.wikidata.org/wiki/Q431074", "Q431074")</f>
        <v>0</v>
      </c>
      <c r="O9366" t="s">
        <v>20051</v>
      </c>
    </row>
    <row r="9367" spans="1:15">
      <c r="A9367" t="s">
        <v>67</v>
      </c>
      <c r="B9367" t="s">
        <v>149</v>
      </c>
      <c r="C9367" t="s">
        <v>199</v>
      </c>
      <c r="D9367" t="s">
        <v>328</v>
      </c>
      <c r="E9367" t="s">
        <v>449</v>
      </c>
      <c r="F9367">
        <f>HYPERLINK("https://www.wikidata.org/wiki/Q3112055", "Q3112055")</f>
        <v>0</v>
      </c>
      <c r="G9367" t="s">
        <v>846</v>
      </c>
      <c r="H9367" t="s">
        <v>5603</v>
      </c>
      <c r="I9367" t="s">
        <v>6584</v>
      </c>
      <c r="J9367" t="s">
        <v>11593</v>
      </c>
      <c r="K9367" t="s">
        <v>15784</v>
      </c>
      <c r="L9367">
        <f>HYPERLINK("https://www2.assemblee-nationale.fr/sycomore/fiche/(num_dept)/7652", "7652")</f>
        <v>0</v>
      </c>
      <c r="M9367">
        <f>HYPERLINK("https://www.senat.fr/senateur-3eme-republique/lebrun_albert0945r3.html", "lebrun_albert0945r3")</f>
        <v>0</v>
      </c>
      <c r="N9367">
        <f>HYPERLINK("https://www.wikidata.org/wiki/Q158749", "Q158749")</f>
        <v>0</v>
      </c>
      <c r="O9367" t="s">
        <v>20065</v>
      </c>
    </row>
    <row r="9368" spans="1:15">
      <c r="A9368" t="s">
        <v>67</v>
      </c>
      <c r="B9368" t="s">
        <v>149</v>
      </c>
      <c r="C9368" t="s">
        <v>199</v>
      </c>
      <c r="D9368" t="s">
        <v>328</v>
      </c>
      <c r="E9368" t="s">
        <v>449</v>
      </c>
      <c r="F9368">
        <f>HYPERLINK("https://www.wikidata.org/wiki/Q3112055", "Q3112055")</f>
        <v>0</v>
      </c>
      <c r="G9368" t="s">
        <v>800</v>
      </c>
      <c r="H9368" t="s">
        <v>5557</v>
      </c>
      <c r="I9368" t="s">
        <v>7642</v>
      </c>
      <c r="J9368" t="s">
        <v>11547</v>
      </c>
      <c r="K9368" t="s">
        <v>15951</v>
      </c>
      <c r="N9368">
        <f>HYPERLINK("https://www.wikidata.org/wiki/Q2406228", "Q2406228")</f>
        <v>0</v>
      </c>
      <c r="O9368" t="s">
        <v>20056</v>
      </c>
    </row>
    <row r="9369" spans="1:15">
      <c r="A9369" t="s">
        <v>67</v>
      </c>
      <c r="B9369" t="s">
        <v>149</v>
      </c>
      <c r="C9369" t="s">
        <v>199</v>
      </c>
      <c r="D9369" t="s">
        <v>328</v>
      </c>
      <c r="E9369" t="s">
        <v>449</v>
      </c>
      <c r="F9369">
        <f>HYPERLINK("https://www.wikidata.org/wiki/Q3112055", "Q3112055")</f>
        <v>0</v>
      </c>
      <c r="G9369" t="s">
        <v>4293</v>
      </c>
      <c r="H9369" t="s">
        <v>8452</v>
      </c>
      <c r="I9369" t="s">
        <v>7790</v>
      </c>
      <c r="J9369" t="s">
        <v>14792</v>
      </c>
      <c r="K9369" t="s">
        <v>19136</v>
      </c>
      <c r="M9369">
        <f>HYPERLINK("https://www.senat.fr/senateur-3eme-republique/gauthier_armand0264r3.html", "gauthier_armand0264r3")</f>
        <v>0</v>
      </c>
      <c r="N9369">
        <f>HYPERLINK("https://www.wikidata.org/wiki/Q2861852", "Q2861852")</f>
        <v>0</v>
      </c>
      <c r="O9369" t="s">
        <v>20053</v>
      </c>
    </row>
    <row r="9370" spans="1:15">
      <c r="A9370" t="s">
        <v>68</v>
      </c>
      <c r="B9370" t="s">
        <v>149</v>
      </c>
      <c r="C9370" t="s">
        <v>200</v>
      </c>
      <c r="D9370" t="s">
        <v>329</v>
      </c>
      <c r="E9370" t="s">
        <v>338</v>
      </c>
      <c r="F9370">
        <f>HYPERLINK("https://www.wikidata.org/wiki/Q3112056", "Q3112056")</f>
        <v>0</v>
      </c>
      <c r="G9370" t="s">
        <v>512</v>
      </c>
      <c r="H9370" t="s">
        <v>5277</v>
      </c>
      <c r="I9370" t="s">
        <v>6495</v>
      </c>
      <c r="J9370" t="s">
        <v>11264</v>
      </c>
      <c r="K9370" t="s">
        <v>15664</v>
      </c>
      <c r="L9370">
        <f>HYPERLINK("https://www2.assemblee-nationale.fr/sycomore/fiche/(num_dept)/451", "451")</f>
        <v>0</v>
      </c>
      <c r="M9370">
        <f>HYPERLINK("https://www.senat.fr/senateur-3eme-republique/barthou_louis1071r3.html", "barthou_louis1071r3")</f>
        <v>0</v>
      </c>
      <c r="N9370">
        <f>HYPERLINK("https://www.wikidata.org/wiki/Q271887", "Q271887")</f>
        <v>0</v>
      </c>
      <c r="O9370" t="s">
        <v>20062</v>
      </c>
    </row>
    <row r="9371" spans="1:15">
      <c r="A9371" t="s">
        <v>68</v>
      </c>
      <c r="B9371" t="s">
        <v>149</v>
      </c>
      <c r="C9371" t="s">
        <v>200</v>
      </c>
      <c r="D9371" t="s">
        <v>329</v>
      </c>
      <c r="E9371" t="s">
        <v>338</v>
      </c>
      <c r="F9371">
        <f>HYPERLINK("https://www.wikidata.org/wiki/Q3112056", "Q3112056")</f>
        <v>0</v>
      </c>
      <c r="G9371" t="s">
        <v>1091</v>
      </c>
      <c r="H9371" t="s">
        <v>5833</v>
      </c>
      <c r="I9371" t="s">
        <v>9445</v>
      </c>
      <c r="J9371" t="s">
        <v>11827</v>
      </c>
      <c r="K9371" t="s">
        <v>16227</v>
      </c>
      <c r="L9371">
        <f>HYPERLINK("https://www2.assemblee-nationale.fr/sycomore/fiche/(num_dept)/729", "729")</f>
        <v>0</v>
      </c>
      <c r="M9371">
        <f>HYPERLINK("https://www.senat.fr/senateur-3eme-republique/berthod_aime0449r3.html", "berthod_aime0449r3")</f>
        <v>0</v>
      </c>
      <c r="N9371">
        <f>HYPERLINK("https://www.wikidata.org/wiki/Q2825126", "Q2825126")</f>
        <v>0</v>
      </c>
      <c r="O9371" t="s">
        <v>20085</v>
      </c>
    </row>
    <row r="9372" spans="1:15">
      <c r="A9372" t="s">
        <v>68</v>
      </c>
      <c r="B9372" t="s">
        <v>149</v>
      </c>
      <c r="C9372" t="s">
        <v>200</v>
      </c>
      <c r="D9372" t="s">
        <v>329</v>
      </c>
      <c r="E9372" t="s">
        <v>338</v>
      </c>
      <c r="F9372">
        <f>HYPERLINK("https://www.wikidata.org/wiki/Q3112056", "Q3112056")</f>
        <v>0</v>
      </c>
      <c r="G9372" t="s">
        <v>1224</v>
      </c>
      <c r="H9372" t="s">
        <v>5630</v>
      </c>
      <c r="I9372" t="s">
        <v>9712</v>
      </c>
      <c r="J9372" t="s">
        <v>11956</v>
      </c>
      <c r="K9372" t="s">
        <v>16358</v>
      </c>
      <c r="L9372">
        <f>HYPERLINK("https://www2.assemblee-nationale.fr/sycomore/fiche/(num_dept)/748", "748")</f>
        <v>0</v>
      </c>
      <c r="M9372">
        <f>HYPERLINK("https://www.senat.fr/senateur-3eme-republique/bertrand_williams0414r3.html", "bertrand_williams0414r3")</f>
        <v>0</v>
      </c>
      <c r="N9372">
        <f>HYPERLINK("https://www.wikidata.org/wiki/Q3568432", "Q3568432")</f>
        <v>0</v>
      </c>
      <c r="O9372" t="s">
        <v>20108</v>
      </c>
    </row>
    <row r="9373" spans="1:15">
      <c r="A9373" t="s">
        <v>68</v>
      </c>
      <c r="B9373" t="s">
        <v>149</v>
      </c>
      <c r="C9373" t="s">
        <v>200</v>
      </c>
      <c r="D9373" t="s">
        <v>329</v>
      </c>
      <c r="E9373" t="s">
        <v>338</v>
      </c>
      <c r="F9373">
        <f>HYPERLINK("https://www.wikidata.org/wiki/Q3112056", "Q3112056")</f>
        <v>0</v>
      </c>
      <c r="G9373" t="s">
        <v>576</v>
      </c>
      <c r="H9373" t="s">
        <v>5338</v>
      </c>
      <c r="I9373" t="s">
        <v>6478</v>
      </c>
      <c r="J9373" t="s">
        <v>11327</v>
      </c>
      <c r="K9373" t="s">
        <v>15728</v>
      </c>
      <c r="L9373">
        <f>HYPERLINK("https://www2.assemblee-nationale.fr/sycomore/fiche/(num_dept)/1768", "1768")</f>
        <v>0</v>
      </c>
      <c r="M9373">
        <f>HYPERLINK("https://www.senat.fr/senateur-3eme-republique/cheron_henry0337r3.html", "cheron_henry0337r3")</f>
        <v>0</v>
      </c>
      <c r="N9373">
        <f>HYPERLINK("https://www.wikidata.org/wiki/Q3132698", "Q3132698")</f>
        <v>0</v>
      </c>
      <c r="O9373" t="s">
        <v>20064</v>
      </c>
    </row>
    <row r="9374" spans="1:15">
      <c r="A9374" t="s">
        <v>68</v>
      </c>
      <c r="B9374" t="s">
        <v>149</v>
      </c>
      <c r="C9374" t="s">
        <v>200</v>
      </c>
      <c r="D9374" t="s">
        <v>329</v>
      </c>
      <c r="E9374" t="s">
        <v>338</v>
      </c>
      <c r="F9374">
        <f>HYPERLINK("https://www.wikidata.org/wiki/Q3112056", "Q3112056")</f>
        <v>0</v>
      </c>
      <c r="G9374" t="s">
        <v>3819</v>
      </c>
      <c r="H9374" t="s">
        <v>8103</v>
      </c>
      <c r="I9374" t="s">
        <v>9470</v>
      </c>
      <c r="J9374" t="s">
        <v>14385</v>
      </c>
      <c r="K9374" t="s">
        <v>18737</v>
      </c>
      <c r="L9374">
        <f>HYPERLINK("https://www2.assemblee-nationale.fr/sycomore/fiche/(num_dept)/2570", "2570")</f>
        <v>0</v>
      </c>
      <c r="M9374">
        <f>HYPERLINK("https://www.senat.fr/senateur-3eme-republique/doumergue_gaston0833r3.html", "doumergue_gaston0833r3")</f>
        <v>0</v>
      </c>
      <c r="N9374">
        <f>HYPERLINK("https://www.wikidata.org/wiki/Q296064", "Q296064")</f>
        <v>0</v>
      </c>
      <c r="O9374" t="s">
        <v>20052</v>
      </c>
    </row>
    <row r="9375" spans="1:15">
      <c r="A9375" t="s">
        <v>68</v>
      </c>
      <c r="B9375" t="s">
        <v>149</v>
      </c>
      <c r="C9375" t="s">
        <v>200</v>
      </c>
      <c r="D9375" t="s">
        <v>329</v>
      </c>
      <c r="E9375" t="s">
        <v>338</v>
      </c>
      <c r="F9375">
        <f>HYPERLINK("https://www.wikidata.org/wiki/Q3112056", "Q3112056")</f>
        <v>0</v>
      </c>
      <c r="G9375" t="s">
        <v>2074</v>
      </c>
      <c r="H9375" t="s">
        <v>6701</v>
      </c>
      <c r="I9375" t="s">
        <v>6495</v>
      </c>
      <c r="J9375" t="s">
        <v>12745</v>
      </c>
      <c r="K9375" t="s">
        <v>17156</v>
      </c>
      <c r="L9375">
        <f>HYPERLINK("https://www2.assemblee-nationale.fr/sycomore/fiche/(num_dept)/3378", "3378")</f>
        <v>0</v>
      </c>
      <c r="N9375">
        <f>HYPERLINK("https://www.wikidata.org/wiki/Q3262030", "Q3262030")</f>
        <v>0</v>
      </c>
      <c r="O9375" t="s">
        <v>20066</v>
      </c>
    </row>
    <row r="9376" spans="1:15">
      <c r="A9376" t="s">
        <v>68</v>
      </c>
      <c r="B9376" t="s">
        <v>149</v>
      </c>
      <c r="C9376" t="s">
        <v>200</v>
      </c>
      <c r="D9376" t="s">
        <v>329</v>
      </c>
      <c r="E9376" t="s">
        <v>338</v>
      </c>
      <c r="F9376">
        <f>HYPERLINK("https://www.wikidata.org/wiki/Q3112056", "Q3112056")</f>
        <v>0</v>
      </c>
      <c r="G9376" t="s">
        <v>1492</v>
      </c>
      <c r="H9376" t="s">
        <v>6190</v>
      </c>
      <c r="I9376" t="s">
        <v>9728</v>
      </c>
      <c r="J9376" t="s">
        <v>12210</v>
      </c>
      <c r="K9376" t="s">
        <v>16616</v>
      </c>
      <c r="L9376">
        <f>HYPERLINK("https://www2.assemblee-nationale.fr/sycomore/fiche/(num_dept)/3819", "3819")</f>
        <v>0</v>
      </c>
      <c r="M9376">
        <f>HYPERLINK("https://www.senat.fr/senateur-3eme-republique/herriot_edouard1121r3.html", "herriot_edouard1121r3")</f>
        <v>0</v>
      </c>
      <c r="N9376">
        <f>HYPERLINK("https://www.wikidata.org/wiki/Q274344", "Q274344")</f>
        <v>0</v>
      </c>
      <c r="O9376" t="s">
        <v>20111</v>
      </c>
    </row>
    <row r="9377" spans="1:15">
      <c r="A9377" t="s">
        <v>68</v>
      </c>
      <c r="B9377" t="s">
        <v>149</v>
      </c>
      <c r="C9377" t="s">
        <v>200</v>
      </c>
      <c r="D9377" t="s">
        <v>329</v>
      </c>
      <c r="E9377" t="s">
        <v>338</v>
      </c>
      <c r="F9377">
        <f>HYPERLINK("https://www.wikidata.org/wiki/Q3112056", "Q3112056")</f>
        <v>0</v>
      </c>
      <c r="G9377" t="s">
        <v>1921</v>
      </c>
      <c r="H9377" t="s">
        <v>6568</v>
      </c>
      <c r="I9377" t="s">
        <v>6585</v>
      </c>
      <c r="J9377" t="s">
        <v>12606</v>
      </c>
      <c r="K9377" t="s">
        <v>17018</v>
      </c>
      <c r="L9377">
        <f>HYPERLINK("https://www2.assemblee-nationale.fr/sycomore/fiche/(num_dept)/4931", "4931")</f>
        <v>0</v>
      </c>
      <c r="M9377">
        <f>HYPERLINK("https://www.senat.fr/senateur-3eme-republique/mallarme_andre0841r3.html", "mallarme_andre0841r3")</f>
        <v>0</v>
      </c>
      <c r="N9377">
        <f>HYPERLINK("https://www.wikidata.org/wiki/Q2511312", "Q2511312")</f>
        <v>0</v>
      </c>
      <c r="O9377" t="s">
        <v>20078</v>
      </c>
    </row>
    <row r="9378" spans="1:15">
      <c r="A9378" t="s">
        <v>68</v>
      </c>
      <c r="B9378" t="s">
        <v>149</v>
      </c>
      <c r="C9378" t="s">
        <v>200</v>
      </c>
      <c r="D9378" t="s">
        <v>329</v>
      </c>
      <c r="E9378" t="s">
        <v>338</v>
      </c>
      <c r="F9378">
        <f>HYPERLINK("https://www.wikidata.org/wiki/Q3112056", "Q3112056")</f>
        <v>0</v>
      </c>
      <c r="G9378" t="s">
        <v>1925</v>
      </c>
      <c r="H9378" t="s">
        <v>6572</v>
      </c>
      <c r="I9378" t="s">
        <v>9388</v>
      </c>
      <c r="J9378" t="s">
        <v>12610</v>
      </c>
      <c r="K9378" t="s">
        <v>17021</v>
      </c>
      <c r="L9378">
        <f>HYPERLINK("https://www2.assemblee-nationale.fr/sycomore/fiche/(num_dept)/4976", "4976")</f>
        <v>0</v>
      </c>
      <c r="N9378">
        <f>HYPERLINK("https://www.wikidata.org/wiki/Q3371769", "Q3371769")</f>
        <v>0</v>
      </c>
      <c r="O9378" t="s">
        <v>20058</v>
      </c>
    </row>
    <row r="9379" spans="1:15">
      <c r="A9379" t="s">
        <v>68</v>
      </c>
      <c r="B9379" t="s">
        <v>149</v>
      </c>
      <c r="C9379" t="s">
        <v>200</v>
      </c>
      <c r="D9379" t="s">
        <v>329</v>
      </c>
      <c r="E9379" t="s">
        <v>338</v>
      </c>
      <c r="F9379">
        <f>HYPERLINK("https://www.wikidata.org/wiki/Q3112056", "Q3112056")</f>
        <v>0</v>
      </c>
      <c r="G9379" t="s">
        <v>1839</v>
      </c>
      <c r="H9379" t="s">
        <v>5749</v>
      </c>
      <c r="I9379" t="s">
        <v>9445</v>
      </c>
      <c r="J9379" t="s">
        <v>12531</v>
      </c>
      <c r="K9379" t="s">
        <v>16943</v>
      </c>
      <c r="L9379">
        <f>HYPERLINK("https://www2.assemblee-nationale.fr/sycomore/fiche/(num_dept)/5018", "5018")</f>
        <v>0</v>
      </c>
      <c r="N9379">
        <f>HYPERLINK("https://www.wikidata.org/wiki/Q2825221", "Q2825221")</f>
        <v>0</v>
      </c>
      <c r="O9379" t="s">
        <v>20086</v>
      </c>
    </row>
    <row r="9380" spans="1:15">
      <c r="A9380" t="s">
        <v>68</v>
      </c>
      <c r="B9380" t="s">
        <v>149</v>
      </c>
      <c r="C9380" t="s">
        <v>200</v>
      </c>
      <c r="D9380" t="s">
        <v>329</v>
      </c>
      <c r="E9380" t="s">
        <v>338</v>
      </c>
      <c r="F9380">
        <f>HYPERLINK("https://www.wikidata.org/wiki/Q3112056", "Q3112056")</f>
        <v>0</v>
      </c>
      <c r="G9380" t="s">
        <v>1873</v>
      </c>
      <c r="H9380" t="s">
        <v>6528</v>
      </c>
      <c r="I9380" t="s">
        <v>6166</v>
      </c>
      <c r="J9380" t="s">
        <v>12561</v>
      </c>
      <c r="K9380" t="s">
        <v>16973</v>
      </c>
      <c r="L9380">
        <f>HYPERLINK("https://www2.assemblee-nationale.fr/sycomore/fiche/(num_dept)/5924", "5924")</f>
        <v>0</v>
      </c>
      <c r="N9380">
        <f>HYPERLINK("https://www.wikidata.org/wiki/Q3085590", "Q3085590")</f>
        <v>0</v>
      </c>
      <c r="O9380" t="s">
        <v>20097</v>
      </c>
    </row>
    <row r="9381" spans="1:15">
      <c r="A9381" t="s">
        <v>68</v>
      </c>
      <c r="B9381" t="s">
        <v>149</v>
      </c>
      <c r="C9381" t="s">
        <v>200</v>
      </c>
      <c r="D9381" t="s">
        <v>329</v>
      </c>
      <c r="E9381" t="s">
        <v>338</v>
      </c>
      <c r="F9381">
        <f>HYPERLINK("https://www.wikidata.org/wiki/Q3112056", "Q3112056")</f>
        <v>0</v>
      </c>
      <c r="G9381" t="s">
        <v>1581</v>
      </c>
      <c r="H9381" t="s">
        <v>6271</v>
      </c>
      <c r="I9381" t="s">
        <v>6495</v>
      </c>
      <c r="J9381" t="s">
        <v>12293</v>
      </c>
      <c r="K9381" t="s">
        <v>16700</v>
      </c>
      <c r="L9381">
        <f>HYPERLINK("https://www2.assemblee-nationale.fr/sycomore/fiche/(num_dept)/6068", "6068")</f>
        <v>0</v>
      </c>
      <c r="N9381">
        <f>HYPERLINK("https://www.wikidata.org/wiki/Q3263043", "Q3263043")</f>
        <v>0</v>
      </c>
      <c r="O9381" t="s">
        <v>20053</v>
      </c>
    </row>
    <row r="9382" spans="1:15">
      <c r="A9382" t="s">
        <v>68</v>
      </c>
      <c r="B9382" t="s">
        <v>149</v>
      </c>
      <c r="C9382" t="s">
        <v>200</v>
      </c>
      <c r="D9382" t="s">
        <v>329</v>
      </c>
      <c r="E9382" t="s">
        <v>338</v>
      </c>
      <c r="F9382">
        <f>HYPERLINK("https://www.wikidata.org/wiki/Q3112056", "Q3112056")</f>
        <v>0</v>
      </c>
      <c r="G9382" t="s">
        <v>778</v>
      </c>
      <c r="H9382" t="s">
        <v>5536</v>
      </c>
      <c r="I9382" t="s">
        <v>6584</v>
      </c>
      <c r="J9382" t="s">
        <v>11525</v>
      </c>
      <c r="K9382" t="s">
        <v>15929</v>
      </c>
      <c r="L9382">
        <f>HYPERLINK("https://www2.assemblee-nationale.fr/sycomore/fiche/(num_dept)/6293", "6293")</f>
        <v>0</v>
      </c>
      <c r="M9382">
        <f>HYPERLINK("https://www.senat.fr/senateur-3eme-republique/sarraut_albert0265r3.html", "sarraut_albert0265r3")</f>
        <v>0</v>
      </c>
      <c r="N9382">
        <f>HYPERLINK("https://www.wikidata.org/wiki/Q460318", "Q460318")</f>
        <v>0</v>
      </c>
      <c r="O9382" t="s">
        <v>20058</v>
      </c>
    </row>
    <row r="9383" spans="1:15">
      <c r="A9383" t="s">
        <v>68</v>
      </c>
      <c r="B9383" t="s">
        <v>149</v>
      </c>
      <c r="C9383" t="s">
        <v>200</v>
      </c>
      <c r="D9383" t="s">
        <v>329</v>
      </c>
      <c r="E9383" t="s">
        <v>338</v>
      </c>
      <c r="F9383">
        <f>HYPERLINK("https://www.wikidata.org/wiki/Q3112056", "Q3112056")</f>
        <v>0</v>
      </c>
      <c r="G9383" t="s">
        <v>1304</v>
      </c>
      <c r="H9383" t="s">
        <v>6025</v>
      </c>
      <c r="I9383" t="s">
        <v>9457</v>
      </c>
      <c r="J9383" t="s">
        <v>12034</v>
      </c>
      <c r="K9383" t="s">
        <v>16435</v>
      </c>
      <c r="L9383">
        <f>HYPERLINK("https://www2.assemblee-nationale.fr/sycomore/fiche/(num_dept)/6554", "6554")</f>
        <v>0</v>
      </c>
      <c r="M9383">
        <f>HYPERLINK("https://www.senat.fr/senateur-3eme-republique/queuille_henri0469r3.html", "queuille_henri0469r3")</f>
        <v>0</v>
      </c>
      <c r="N9383">
        <f>HYPERLINK("https://www.wikidata.org/wiki/Q455655", "Q455655")</f>
        <v>0</v>
      </c>
      <c r="O9383" t="s">
        <v>20056</v>
      </c>
    </row>
    <row r="9384" spans="1:15">
      <c r="A9384" t="s">
        <v>68</v>
      </c>
      <c r="B9384" t="s">
        <v>149</v>
      </c>
      <c r="C9384" t="s">
        <v>200</v>
      </c>
      <c r="D9384" t="s">
        <v>329</v>
      </c>
      <c r="E9384" t="s">
        <v>338</v>
      </c>
      <c r="F9384">
        <f>HYPERLINK("https://www.wikidata.org/wiki/Q3112056", "Q3112056")</f>
        <v>0</v>
      </c>
      <c r="G9384" t="s">
        <v>1206</v>
      </c>
      <c r="H9384" t="s">
        <v>5934</v>
      </c>
      <c r="I9384" t="s">
        <v>6585</v>
      </c>
      <c r="J9384" t="s">
        <v>11939</v>
      </c>
      <c r="K9384" t="s">
        <v>16340</v>
      </c>
      <c r="L9384">
        <f>HYPERLINK("https://www2.assemblee-nationale.fr/sycomore/fiche/(num_dept)/6953", "6953")</f>
        <v>0</v>
      </c>
      <c r="N9384">
        <f>HYPERLINK("https://www.wikidata.org/wiki/Q346648", "Q346648")</f>
        <v>0</v>
      </c>
      <c r="O9384" t="s">
        <v>20098</v>
      </c>
    </row>
    <row r="9385" spans="1:15">
      <c r="A9385" t="s">
        <v>68</v>
      </c>
      <c r="B9385" t="s">
        <v>149</v>
      </c>
      <c r="C9385" t="s">
        <v>200</v>
      </c>
      <c r="D9385" t="s">
        <v>329</v>
      </c>
      <c r="E9385" t="s">
        <v>338</v>
      </c>
      <c r="F9385">
        <f>HYPERLINK("https://www.wikidata.org/wiki/Q3112056", "Q3112056")</f>
        <v>0</v>
      </c>
      <c r="G9385" t="s">
        <v>1323</v>
      </c>
      <c r="H9385" t="s">
        <v>6042</v>
      </c>
      <c r="I9385" t="s">
        <v>6860</v>
      </c>
      <c r="J9385" t="s">
        <v>12052</v>
      </c>
      <c r="K9385" t="s">
        <v>16453</v>
      </c>
      <c r="L9385">
        <f>HYPERLINK("https://www2.assemblee-nationale.fr/sycomore/fiche/(num_dept)/7519", "7519")</f>
        <v>0</v>
      </c>
      <c r="M9385">
        <f>HYPERLINK("https://www.senat.fr/senateur-3eme-republique/laval_pierre1565r3.html", "laval_pierre1565r3")</f>
        <v>0</v>
      </c>
      <c r="N9385">
        <f>HYPERLINK("https://www.wikidata.org/wiki/Q151983", "Q151983")</f>
        <v>0</v>
      </c>
      <c r="O9385" t="s">
        <v>20077</v>
      </c>
    </row>
    <row r="9386" spans="1:15">
      <c r="A9386" t="s">
        <v>68</v>
      </c>
      <c r="B9386" t="s">
        <v>149</v>
      </c>
      <c r="C9386" t="s">
        <v>200</v>
      </c>
      <c r="D9386" t="s">
        <v>329</v>
      </c>
      <c r="E9386" t="s">
        <v>338</v>
      </c>
      <c r="F9386">
        <f>HYPERLINK("https://www.wikidata.org/wiki/Q3112056", "Q3112056")</f>
        <v>0</v>
      </c>
      <c r="G9386" t="s">
        <v>1323</v>
      </c>
      <c r="H9386" t="s">
        <v>6042</v>
      </c>
      <c r="I9386" t="s">
        <v>6860</v>
      </c>
      <c r="J9386" t="s">
        <v>12052</v>
      </c>
      <c r="K9386" t="s">
        <v>16453</v>
      </c>
      <c r="L9386">
        <f>HYPERLINK("https://www2.assemblee-nationale.fr/sycomore/fiche/(num_dept)/7519", "7519")</f>
        <v>0</v>
      </c>
      <c r="M9386">
        <f>HYPERLINK("https://www.senat.fr/senateur-3eme-republique/laval_pierre1565r3.html", "laval_pierre1565r3")</f>
        <v>0</v>
      </c>
      <c r="N9386">
        <f>HYPERLINK("https://www.wikidata.org/wiki/Q151983", "Q151983")</f>
        <v>0</v>
      </c>
      <c r="O9386" t="s">
        <v>20065</v>
      </c>
    </row>
    <row r="9387" spans="1:15">
      <c r="A9387" t="s">
        <v>68</v>
      </c>
      <c r="B9387" t="s">
        <v>149</v>
      </c>
      <c r="C9387" t="s">
        <v>200</v>
      </c>
      <c r="D9387" t="s">
        <v>329</v>
      </c>
      <c r="E9387" t="s">
        <v>338</v>
      </c>
      <c r="F9387">
        <f>HYPERLINK("https://www.wikidata.org/wiki/Q3112056", "Q3112056")</f>
        <v>0</v>
      </c>
      <c r="G9387" t="s">
        <v>1212</v>
      </c>
      <c r="H9387" t="s">
        <v>5940</v>
      </c>
      <c r="I9387" t="s">
        <v>6478</v>
      </c>
      <c r="J9387" t="s">
        <v>11944</v>
      </c>
      <c r="K9387" t="s">
        <v>16346</v>
      </c>
      <c r="L9387">
        <f>HYPERLINK("https://www2.assemblee-nationale.fr/sycomore/fiche/(num_dept)/7751", "7751")</f>
        <v>0</v>
      </c>
      <c r="M9387">
        <f>HYPERLINK("https://www.senat.fr/senateur-3eme-republique/lemery_henry0701r3.html", "lemery_henry0701r3")</f>
        <v>0</v>
      </c>
      <c r="N9387">
        <f>HYPERLINK("https://www.wikidata.org/wiki/Q3132926", "Q3132926")</f>
        <v>0</v>
      </c>
      <c r="O9387" t="s">
        <v>20263</v>
      </c>
    </row>
    <row r="9388" spans="1:15">
      <c r="A9388" t="s">
        <v>68</v>
      </c>
      <c r="B9388" t="s">
        <v>149</v>
      </c>
      <c r="C9388" t="s">
        <v>200</v>
      </c>
      <c r="D9388" t="s">
        <v>329</v>
      </c>
      <c r="E9388" t="s">
        <v>338</v>
      </c>
      <c r="F9388">
        <f>HYPERLINK("https://www.wikidata.org/wiki/Q3112056", "Q3112056")</f>
        <v>0</v>
      </c>
      <c r="G9388" t="s">
        <v>1333</v>
      </c>
      <c r="H9388" t="s">
        <v>5402</v>
      </c>
      <c r="I9388" t="s">
        <v>9754</v>
      </c>
      <c r="J9388" t="s">
        <v>12060</v>
      </c>
      <c r="K9388" t="s">
        <v>16462</v>
      </c>
      <c r="L9388">
        <f>HYPERLINK("https://www2.assemblee-nationale.fr/sycomore/fiche/(num_dept)/10839", "10839")</f>
        <v>0</v>
      </c>
      <c r="N9388">
        <f>HYPERLINK("https://www.wikidata.org/wiki/Q471296", "Q471296")</f>
        <v>0</v>
      </c>
      <c r="O9388" t="s">
        <v>20063</v>
      </c>
    </row>
    <row r="9389" spans="1:15">
      <c r="A9389" t="s">
        <v>68</v>
      </c>
      <c r="B9389" t="s">
        <v>149</v>
      </c>
      <c r="C9389" t="s">
        <v>200</v>
      </c>
      <c r="D9389" t="s">
        <v>329</v>
      </c>
      <c r="E9389" t="s">
        <v>338</v>
      </c>
      <c r="F9389">
        <f>HYPERLINK("https://www.wikidata.org/wiki/Q3112056", "Q3112056")</f>
        <v>0</v>
      </c>
      <c r="G9389" t="s">
        <v>4233</v>
      </c>
      <c r="H9389" t="s">
        <v>8410</v>
      </c>
      <c r="I9389" t="s">
        <v>9483</v>
      </c>
      <c r="J9389" t="s">
        <v>14740</v>
      </c>
      <c r="K9389" t="s">
        <v>19085</v>
      </c>
      <c r="N9389">
        <f>HYPERLINK("https://www.wikidata.org/wiki/Q3557262", "Q3557262")</f>
        <v>0</v>
      </c>
      <c r="O9389" t="s">
        <v>20072</v>
      </c>
    </row>
    <row r="9390" spans="1:15">
      <c r="A9390" t="s">
        <v>68</v>
      </c>
      <c r="B9390" t="s">
        <v>149</v>
      </c>
      <c r="C9390" t="s">
        <v>200</v>
      </c>
      <c r="D9390" t="s">
        <v>329</v>
      </c>
      <c r="E9390" t="s">
        <v>338</v>
      </c>
      <c r="F9390">
        <f>HYPERLINK("https://www.wikidata.org/wiki/Q3112056", "Q3112056")</f>
        <v>0</v>
      </c>
      <c r="G9390" t="s">
        <v>4232</v>
      </c>
      <c r="H9390" t="s">
        <v>8409</v>
      </c>
      <c r="I9390" t="s">
        <v>7265</v>
      </c>
      <c r="J9390" t="s">
        <v>14739</v>
      </c>
      <c r="K9390" t="s">
        <v>19084</v>
      </c>
      <c r="N9390">
        <f>HYPERLINK("https://www.wikidata.org/wiki/Q5721", "Q5721")</f>
        <v>0</v>
      </c>
      <c r="O9390" t="s">
        <v>20057</v>
      </c>
    </row>
    <row r="9391" spans="1:15">
      <c r="A9391" t="s">
        <v>68</v>
      </c>
      <c r="B9391" t="s">
        <v>149</v>
      </c>
      <c r="C9391" t="s">
        <v>200</v>
      </c>
      <c r="D9391" t="s">
        <v>329</v>
      </c>
      <c r="E9391" t="s">
        <v>338</v>
      </c>
      <c r="F9391">
        <f>HYPERLINK("https://www.wikidata.org/wiki/Q3112056", "Q3112056")</f>
        <v>0</v>
      </c>
      <c r="G9391" t="s">
        <v>724</v>
      </c>
      <c r="H9391" t="s">
        <v>5482</v>
      </c>
      <c r="I9391" t="s">
        <v>6495</v>
      </c>
      <c r="J9391" t="s">
        <v>11473</v>
      </c>
      <c r="K9391" t="s">
        <v>15875</v>
      </c>
      <c r="N9391">
        <f>HYPERLINK("https://www.wikidata.org/wiki/Q3262636", "Q3262636")</f>
        <v>0</v>
      </c>
      <c r="O9391" t="s">
        <v>20112</v>
      </c>
    </row>
    <row r="9392" spans="1:15">
      <c r="A9392" t="s">
        <v>68</v>
      </c>
      <c r="B9392" t="s">
        <v>149</v>
      </c>
      <c r="C9392" t="s">
        <v>200</v>
      </c>
      <c r="D9392" t="s">
        <v>329</v>
      </c>
      <c r="E9392" t="s">
        <v>338</v>
      </c>
      <c r="F9392">
        <f>HYPERLINK("https://www.wikidata.org/wiki/Q3112056", "Q3112056")</f>
        <v>0</v>
      </c>
      <c r="G9392" t="s">
        <v>4294</v>
      </c>
      <c r="H9392" t="s">
        <v>8453</v>
      </c>
      <c r="I9392" t="s">
        <v>6175</v>
      </c>
      <c r="J9392" t="s">
        <v>14793</v>
      </c>
      <c r="K9392" t="s">
        <v>19137</v>
      </c>
      <c r="N9392">
        <f>HYPERLINK("https://www.wikidata.org/wiki/Q3103417", "Q3103417")</f>
        <v>0</v>
      </c>
      <c r="O9392" t="s">
        <v>20088</v>
      </c>
    </row>
    <row r="9393" spans="1:15">
      <c r="A9393" t="s">
        <v>68</v>
      </c>
      <c r="B9393" t="s">
        <v>149</v>
      </c>
      <c r="C9393" t="s">
        <v>200</v>
      </c>
      <c r="D9393" t="s">
        <v>329</v>
      </c>
      <c r="E9393" t="s">
        <v>338</v>
      </c>
      <c r="F9393">
        <f>HYPERLINK("https://www.wikidata.org/wiki/Q3112056", "Q3112056")</f>
        <v>0</v>
      </c>
      <c r="G9393" t="s">
        <v>1512</v>
      </c>
      <c r="H9393" t="s">
        <v>5734</v>
      </c>
      <c r="I9393" t="s">
        <v>9455</v>
      </c>
      <c r="J9393" t="s">
        <v>12229</v>
      </c>
      <c r="K9393" t="s">
        <v>16635</v>
      </c>
      <c r="N9393">
        <f>HYPERLINK("https://www.wikidata.org/wiki/Q3265579", "Q3265579")</f>
        <v>0</v>
      </c>
      <c r="O9393" t="s">
        <v>20110</v>
      </c>
    </row>
    <row r="9394" spans="1:15">
      <c r="A9394" t="s">
        <v>69</v>
      </c>
      <c r="B9394" t="s">
        <v>149</v>
      </c>
      <c r="C9394" t="s">
        <v>201</v>
      </c>
      <c r="D9394" t="s">
        <v>330</v>
      </c>
      <c r="E9394" t="s">
        <v>450</v>
      </c>
      <c r="F9394">
        <f>HYPERLINK("https://www.wikidata.org/wiki/Q2242207", "Q2242207")</f>
        <v>0</v>
      </c>
      <c r="G9394" t="s">
        <v>2489</v>
      </c>
      <c r="H9394" t="s">
        <v>7062</v>
      </c>
      <c r="I9394" t="s">
        <v>9385</v>
      </c>
      <c r="J9394" t="s">
        <v>13133</v>
      </c>
      <c r="K9394" t="s">
        <v>17542</v>
      </c>
      <c r="L9394">
        <f>HYPERLINK("https://www2.assemblee-nationale.fr/sycomore/fiche/(num_dept)/337", "337")</f>
        <v>0</v>
      </c>
      <c r="N9394">
        <f>HYPERLINK("https://www.wikidata.org/wiki/Q2958501", "Q2958501")</f>
        <v>0</v>
      </c>
      <c r="O9394" t="s">
        <v>20208</v>
      </c>
    </row>
    <row r="9395" spans="1:15">
      <c r="A9395" t="s">
        <v>69</v>
      </c>
      <c r="B9395" t="s">
        <v>149</v>
      </c>
      <c r="C9395" t="s">
        <v>201</v>
      </c>
      <c r="D9395" t="s">
        <v>330</v>
      </c>
      <c r="E9395" t="s">
        <v>450</v>
      </c>
      <c r="F9395">
        <f>HYPERLINK("https://www.wikidata.org/wiki/Q2242207", "Q2242207")</f>
        <v>0</v>
      </c>
      <c r="G9395" t="s">
        <v>2554</v>
      </c>
      <c r="H9395" t="s">
        <v>7113</v>
      </c>
      <c r="I9395" t="s">
        <v>9449</v>
      </c>
      <c r="J9395" t="s">
        <v>13198</v>
      </c>
      <c r="K9395" t="s">
        <v>17603</v>
      </c>
      <c r="L9395">
        <f>HYPERLINK("https://www2.assemblee-nationale.fr/sycomore/fiche/(num_dept)/2474", "2474")</f>
        <v>0</v>
      </c>
      <c r="M9395">
        <f>HYPERLINK("https://www.senat.fr/senateur-3eme-republique/develle_jules1013r3.html", "develle_jules1013r3")</f>
        <v>0</v>
      </c>
      <c r="N9395">
        <f>HYPERLINK("https://www.wikidata.org/wiki/Q939193", "Q939193")</f>
        <v>0</v>
      </c>
      <c r="O9395" t="s">
        <v>20188</v>
      </c>
    </row>
    <row r="9396" spans="1:15">
      <c r="A9396" t="s">
        <v>69</v>
      </c>
      <c r="B9396" t="s">
        <v>149</v>
      </c>
      <c r="C9396" t="s">
        <v>201</v>
      </c>
      <c r="D9396" t="s">
        <v>330</v>
      </c>
      <c r="E9396" t="s">
        <v>450</v>
      </c>
      <c r="F9396">
        <f>HYPERLINK("https://www.wikidata.org/wiki/Q2242207", "Q2242207")</f>
        <v>0</v>
      </c>
      <c r="G9396" t="s">
        <v>2554</v>
      </c>
      <c r="H9396" t="s">
        <v>7113</v>
      </c>
      <c r="I9396" t="s">
        <v>9449</v>
      </c>
      <c r="J9396" t="s">
        <v>13198</v>
      </c>
      <c r="K9396" t="s">
        <v>17603</v>
      </c>
      <c r="L9396">
        <f>HYPERLINK("https://www2.assemblee-nationale.fr/sycomore/fiche/(num_dept)/2474", "2474")</f>
        <v>0</v>
      </c>
      <c r="M9396">
        <f>HYPERLINK("https://www.senat.fr/senateur-3eme-republique/develle_jules1013r3.html", "develle_jules1013r3")</f>
        <v>0</v>
      </c>
      <c r="N9396">
        <f>HYPERLINK("https://www.wikidata.org/wiki/Q939193", "Q939193")</f>
        <v>0</v>
      </c>
      <c r="O9396" t="s">
        <v>20189</v>
      </c>
    </row>
    <row r="9397" spans="1:15">
      <c r="A9397" t="s">
        <v>69</v>
      </c>
      <c r="B9397" t="s">
        <v>149</v>
      </c>
      <c r="C9397" t="s">
        <v>201</v>
      </c>
      <c r="D9397" t="s">
        <v>330</v>
      </c>
      <c r="E9397" t="s">
        <v>450</v>
      </c>
      <c r="F9397">
        <f>HYPERLINK("https://www.wikidata.org/wiki/Q2242207", "Q2242207")</f>
        <v>0</v>
      </c>
      <c r="G9397" t="s">
        <v>2570</v>
      </c>
      <c r="H9397" t="s">
        <v>6156</v>
      </c>
      <c r="I9397" t="s">
        <v>7790</v>
      </c>
      <c r="J9397" t="s">
        <v>13214</v>
      </c>
      <c r="K9397" t="s">
        <v>17617</v>
      </c>
      <c r="L9397">
        <f>HYPERLINK("https://www2.assemblee-nationale.fr/sycomore/fiche/(num_dept)/2901", "2901")</f>
        <v>0</v>
      </c>
      <c r="M9397">
        <f>HYPERLINK("https://www.senat.fr/senateur-3eme-republique/fallieres_armand0754r3.html", "fallieres_armand0754r3")</f>
        <v>0</v>
      </c>
      <c r="N9397">
        <f>HYPERLINK("https://www.wikidata.org/wiki/Q296673", "Q296673")</f>
        <v>0</v>
      </c>
      <c r="O9397" t="s">
        <v>20058</v>
      </c>
    </row>
    <row r="9398" spans="1:15">
      <c r="A9398" t="s">
        <v>69</v>
      </c>
      <c r="B9398" t="s">
        <v>149</v>
      </c>
      <c r="C9398" t="s">
        <v>201</v>
      </c>
      <c r="D9398" t="s">
        <v>330</v>
      </c>
      <c r="E9398" t="s">
        <v>450</v>
      </c>
      <c r="F9398">
        <f>HYPERLINK("https://www.wikidata.org/wiki/Q2242207", "Q2242207")</f>
        <v>0</v>
      </c>
      <c r="G9398" t="s">
        <v>2570</v>
      </c>
      <c r="H9398" t="s">
        <v>6156</v>
      </c>
      <c r="I9398" t="s">
        <v>7790</v>
      </c>
      <c r="J9398" t="s">
        <v>13214</v>
      </c>
      <c r="K9398" t="s">
        <v>17617</v>
      </c>
      <c r="L9398">
        <f>HYPERLINK("https://www2.assemblee-nationale.fr/sycomore/fiche/(num_dept)/2901", "2901")</f>
        <v>0</v>
      </c>
      <c r="M9398">
        <f>HYPERLINK("https://www.senat.fr/senateur-3eme-republique/fallieres_armand0754r3.html", "fallieres_armand0754r3")</f>
        <v>0</v>
      </c>
      <c r="N9398">
        <f>HYPERLINK("https://www.wikidata.org/wiki/Q296673", "Q296673")</f>
        <v>0</v>
      </c>
      <c r="O9398" t="s">
        <v>20117</v>
      </c>
    </row>
    <row r="9399" spans="1:15">
      <c r="A9399" t="s">
        <v>69</v>
      </c>
      <c r="B9399" t="s">
        <v>149</v>
      </c>
      <c r="C9399" t="s">
        <v>201</v>
      </c>
      <c r="D9399" t="s">
        <v>330</v>
      </c>
      <c r="E9399" t="s">
        <v>450</v>
      </c>
      <c r="F9399">
        <f>HYPERLINK("https://www.wikidata.org/wiki/Q2242207", "Q2242207")</f>
        <v>0</v>
      </c>
      <c r="G9399" t="s">
        <v>2964</v>
      </c>
      <c r="H9399" t="s">
        <v>7434</v>
      </c>
      <c r="I9399" t="s">
        <v>6166</v>
      </c>
      <c r="J9399" t="s">
        <v>13596</v>
      </c>
      <c r="K9399" t="s">
        <v>17982</v>
      </c>
      <c r="L9399">
        <f>HYPERLINK("https://www2.assemblee-nationale.fr/sycomore/fiche/(num_dept)/4897", "4897")</f>
        <v>0</v>
      </c>
      <c r="N9399">
        <f>HYPERLINK("https://www.wikidata.org/wiki/Q962478", "Q962478")</f>
        <v>0</v>
      </c>
      <c r="O9399" t="s">
        <v>20056</v>
      </c>
    </row>
    <row r="9400" spans="1:15">
      <c r="A9400" t="s">
        <v>69</v>
      </c>
      <c r="B9400" t="s">
        <v>149</v>
      </c>
      <c r="C9400" t="s">
        <v>201</v>
      </c>
      <c r="D9400" t="s">
        <v>330</v>
      </c>
      <c r="E9400" t="s">
        <v>450</v>
      </c>
      <c r="F9400">
        <f>HYPERLINK("https://www.wikidata.org/wiki/Q2242207", "Q2242207")</f>
        <v>0</v>
      </c>
      <c r="G9400" t="s">
        <v>2728</v>
      </c>
      <c r="H9400" t="s">
        <v>5344</v>
      </c>
      <c r="I9400" t="s">
        <v>9534</v>
      </c>
      <c r="J9400" t="s">
        <v>13369</v>
      </c>
      <c r="K9400" t="s">
        <v>17649</v>
      </c>
      <c r="L9400">
        <f>HYPERLINK("https://www2.assemblee-nationale.fr/sycomore/fiche/(num_dept)/7924", "7924")</f>
        <v>0</v>
      </c>
      <c r="M9400">
        <f>HYPERLINK("https://www.senat.fr/senateur-3eme-republique/cochery_adolphe0505r3.html", "cochery_adolphe0505r3")</f>
        <v>0</v>
      </c>
      <c r="N9400">
        <f>HYPERLINK("https://www.wikidata.org/wiki/Q960751", "Q960751")</f>
        <v>0</v>
      </c>
      <c r="O9400" t="s">
        <v>20181</v>
      </c>
    </row>
    <row r="9401" spans="1:15">
      <c r="A9401" t="s">
        <v>69</v>
      </c>
      <c r="B9401" t="s">
        <v>149</v>
      </c>
      <c r="C9401" t="s">
        <v>201</v>
      </c>
      <c r="D9401" t="s">
        <v>330</v>
      </c>
      <c r="E9401" t="s">
        <v>450</v>
      </c>
      <c r="F9401">
        <f>HYPERLINK("https://www.wikidata.org/wiki/Q2242207", "Q2242207")</f>
        <v>0</v>
      </c>
      <c r="G9401" t="s">
        <v>2731</v>
      </c>
      <c r="H9401" t="s">
        <v>7253</v>
      </c>
      <c r="I9401" t="s">
        <v>9449</v>
      </c>
      <c r="J9401" t="s">
        <v>13372</v>
      </c>
      <c r="K9401" t="s">
        <v>17771</v>
      </c>
      <c r="L9401">
        <f>HYPERLINK("https://www2.assemblee-nationale.fr/sycomore/fiche/(num_dept)/7943", "7943")</f>
        <v>0</v>
      </c>
      <c r="N9401">
        <f>HYPERLINK("https://www.wikidata.org/wiki/Q3188566", "Q3188566")</f>
        <v>0</v>
      </c>
      <c r="O9401" t="s">
        <v>20257</v>
      </c>
    </row>
    <row r="9402" spans="1:15">
      <c r="A9402" t="s">
        <v>69</v>
      </c>
      <c r="B9402" t="s">
        <v>149</v>
      </c>
      <c r="C9402" t="s">
        <v>201</v>
      </c>
      <c r="D9402" t="s">
        <v>330</v>
      </c>
      <c r="E9402" t="s">
        <v>450</v>
      </c>
      <c r="F9402">
        <f>HYPERLINK("https://www.wikidata.org/wiki/Q2242207", "Q2242207")</f>
        <v>0</v>
      </c>
      <c r="G9402" t="s">
        <v>2989</v>
      </c>
      <c r="H9402" t="s">
        <v>7453</v>
      </c>
      <c r="I9402" t="s">
        <v>9388</v>
      </c>
      <c r="J9402" t="s">
        <v>13621</v>
      </c>
      <c r="K9402" t="s">
        <v>18004</v>
      </c>
      <c r="L9402">
        <f>HYPERLINK("https://www2.assemblee-nationale.fr/sycomore/fiche/(num_dept)/8141", "8141")</f>
        <v>0</v>
      </c>
      <c r="M9402">
        <f>HYPERLINK("https://www.senat.fr/senateur-3eme-republique/deves_paul0369r3.html", "deves_paul0369r3")</f>
        <v>0</v>
      </c>
      <c r="N9402">
        <f>HYPERLINK("https://www.wikidata.org/wiki/Q572361", "Q572361")</f>
        <v>0</v>
      </c>
      <c r="O9402" t="s">
        <v>20264</v>
      </c>
    </row>
    <row r="9403" spans="1:15">
      <c r="A9403" t="s">
        <v>69</v>
      </c>
      <c r="B9403" t="s">
        <v>149</v>
      </c>
      <c r="C9403" t="s">
        <v>201</v>
      </c>
      <c r="D9403" t="s">
        <v>330</v>
      </c>
      <c r="E9403" t="s">
        <v>450</v>
      </c>
      <c r="F9403">
        <f>HYPERLINK("https://www.wikidata.org/wiki/Q2242207", "Q2242207")</f>
        <v>0</v>
      </c>
      <c r="G9403" t="s">
        <v>2989</v>
      </c>
      <c r="H9403" t="s">
        <v>7453</v>
      </c>
      <c r="I9403" t="s">
        <v>9388</v>
      </c>
      <c r="J9403" t="s">
        <v>13621</v>
      </c>
      <c r="K9403" t="s">
        <v>18004</v>
      </c>
      <c r="L9403">
        <f>HYPERLINK("https://www2.assemblee-nationale.fr/sycomore/fiche/(num_dept)/8141", "8141")</f>
        <v>0</v>
      </c>
      <c r="M9403">
        <f>HYPERLINK("https://www.senat.fr/senateur-3eme-republique/deves_paul0369r3.html", "deves_paul0369r3")</f>
        <v>0</v>
      </c>
      <c r="N9403">
        <f>HYPERLINK("https://www.wikidata.org/wiki/Q572361", "Q572361")</f>
        <v>0</v>
      </c>
      <c r="O9403" t="s">
        <v>20259</v>
      </c>
    </row>
    <row r="9404" spans="1:15">
      <c r="A9404" t="s">
        <v>69</v>
      </c>
      <c r="B9404" t="s">
        <v>149</v>
      </c>
      <c r="C9404" t="s">
        <v>201</v>
      </c>
      <c r="D9404" t="s">
        <v>330</v>
      </c>
      <c r="E9404" t="s">
        <v>450</v>
      </c>
      <c r="F9404">
        <f>HYPERLINK("https://www.wikidata.org/wiki/Q2242207", "Q2242207")</f>
        <v>0</v>
      </c>
      <c r="G9404" t="s">
        <v>2892</v>
      </c>
      <c r="H9404" t="s">
        <v>7376</v>
      </c>
      <c r="I9404" t="s">
        <v>6166</v>
      </c>
      <c r="J9404" t="s">
        <v>13527</v>
      </c>
      <c r="K9404" t="s">
        <v>17915</v>
      </c>
      <c r="L9404">
        <f>HYPERLINK("https://www2.assemblee-nationale.fr/sycomore/fiche/(num_dept)/8226", "8226")</f>
        <v>0</v>
      </c>
      <c r="N9404">
        <f>HYPERLINK("https://www.wikidata.org/wiki/Q3085976", "Q3085976")</f>
        <v>0</v>
      </c>
      <c r="O9404" t="s">
        <v>20265</v>
      </c>
    </row>
    <row r="9405" spans="1:15">
      <c r="A9405" t="s">
        <v>69</v>
      </c>
      <c r="B9405" t="s">
        <v>149</v>
      </c>
      <c r="C9405" t="s">
        <v>201</v>
      </c>
      <c r="D9405" t="s">
        <v>330</v>
      </c>
      <c r="E9405" t="s">
        <v>450</v>
      </c>
      <c r="F9405">
        <f>HYPERLINK("https://www.wikidata.org/wiki/Q2242207", "Q2242207")</f>
        <v>0</v>
      </c>
      <c r="G9405" t="s">
        <v>2892</v>
      </c>
      <c r="H9405" t="s">
        <v>7376</v>
      </c>
      <c r="I9405" t="s">
        <v>6166</v>
      </c>
      <c r="J9405" t="s">
        <v>13527</v>
      </c>
      <c r="K9405" t="s">
        <v>17915</v>
      </c>
      <c r="L9405">
        <f>HYPERLINK("https://www2.assemblee-nationale.fr/sycomore/fiche/(num_dept)/8226", "8226")</f>
        <v>0</v>
      </c>
      <c r="N9405">
        <f>HYPERLINK("https://www.wikidata.org/wiki/Q3085976", "Q3085976")</f>
        <v>0</v>
      </c>
      <c r="O9405" t="s">
        <v>20258</v>
      </c>
    </row>
    <row r="9406" spans="1:15">
      <c r="A9406" t="s">
        <v>69</v>
      </c>
      <c r="B9406" t="s">
        <v>149</v>
      </c>
      <c r="C9406" t="s">
        <v>201</v>
      </c>
      <c r="D9406" t="s">
        <v>330</v>
      </c>
      <c r="E9406" t="s">
        <v>450</v>
      </c>
      <c r="F9406">
        <f>HYPERLINK("https://www.wikidata.org/wiki/Q2242207", "Q2242207")</f>
        <v>0</v>
      </c>
      <c r="G9406" t="s">
        <v>2898</v>
      </c>
      <c r="H9406" t="s">
        <v>7382</v>
      </c>
      <c r="I9406" t="s">
        <v>9449</v>
      </c>
      <c r="J9406" t="s">
        <v>13533</v>
      </c>
      <c r="K9406" t="s">
        <v>12151</v>
      </c>
      <c r="L9406">
        <f>HYPERLINK("https://www2.assemblee-nationale.fr/sycomore/fiche/(num_dept)/8234", "8234")</f>
        <v>0</v>
      </c>
      <c r="N9406">
        <f>HYPERLINK("https://www.wikidata.org/wiki/Q3188742", "Q3188742")</f>
        <v>0</v>
      </c>
      <c r="O9406" t="s">
        <v>20256</v>
      </c>
    </row>
    <row r="9407" spans="1:15">
      <c r="A9407" t="s">
        <v>69</v>
      </c>
      <c r="B9407" t="s">
        <v>149</v>
      </c>
      <c r="C9407" t="s">
        <v>201</v>
      </c>
      <c r="D9407" t="s">
        <v>330</v>
      </c>
      <c r="E9407" t="s">
        <v>450</v>
      </c>
      <c r="F9407">
        <f>HYPERLINK("https://www.wikidata.org/wiki/Q2242207", "Q2242207")</f>
        <v>0</v>
      </c>
      <c r="G9407" t="s">
        <v>2907</v>
      </c>
      <c r="H9407" t="s">
        <v>7389</v>
      </c>
      <c r="I9407" t="s">
        <v>6860</v>
      </c>
      <c r="J9407" t="s">
        <v>13542</v>
      </c>
      <c r="K9407" t="s">
        <v>17928</v>
      </c>
      <c r="L9407">
        <f>HYPERLINK("https://www2.assemblee-nationale.fr/sycomore/fiche/(num_dept)/8246", "8246")</f>
        <v>0</v>
      </c>
      <c r="M9407">
        <f>HYPERLINK("https://www.senat.fr/senateur-3eme-republique/tirard_pierre1538r3.html", "tirard_pierre1538r3")</f>
        <v>0</v>
      </c>
      <c r="N9407">
        <f>HYPERLINK("https://www.wikidata.org/wiki/Q708359", "Q708359")</f>
        <v>0</v>
      </c>
      <c r="O9407" t="s">
        <v>20066</v>
      </c>
    </row>
    <row r="9408" spans="1:15">
      <c r="A9408" t="s">
        <v>69</v>
      </c>
      <c r="B9408" t="s">
        <v>149</v>
      </c>
      <c r="C9408" t="s">
        <v>201</v>
      </c>
      <c r="D9408" t="s">
        <v>330</v>
      </c>
      <c r="E9408" t="s">
        <v>450</v>
      </c>
      <c r="F9408">
        <f>HYPERLINK("https://www.wikidata.org/wiki/Q2242207", "Q2242207")</f>
        <v>0</v>
      </c>
      <c r="G9408" t="s">
        <v>2909</v>
      </c>
      <c r="H9408" t="s">
        <v>7258</v>
      </c>
      <c r="I9408" t="s">
        <v>10517</v>
      </c>
      <c r="J9408" t="s">
        <v>13544</v>
      </c>
      <c r="K9408" t="s">
        <v>17930</v>
      </c>
      <c r="L9408">
        <f>HYPERLINK("https://www2.assemblee-nationale.fr/sycomore/fiche/(num_dept)/8251", "8251")</f>
        <v>0</v>
      </c>
      <c r="N9408">
        <f>HYPERLINK("https://www.wikidata.org/wiki/Q2850753", "Q2850753")</f>
        <v>0</v>
      </c>
      <c r="O9408" t="s">
        <v>20063</v>
      </c>
    </row>
    <row r="9409" spans="1:15">
      <c r="A9409" t="s">
        <v>69</v>
      </c>
      <c r="B9409" t="s">
        <v>149</v>
      </c>
      <c r="C9409" t="s">
        <v>201</v>
      </c>
      <c r="D9409" t="s">
        <v>330</v>
      </c>
      <c r="E9409" t="s">
        <v>450</v>
      </c>
      <c r="F9409">
        <f>HYPERLINK("https://www.wikidata.org/wiki/Q2242207", "Q2242207")</f>
        <v>0</v>
      </c>
      <c r="G9409" t="s">
        <v>2935</v>
      </c>
      <c r="H9409" t="s">
        <v>7413</v>
      </c>
      <c r="I9409" t="s">
        <v>9605</v>
      </c>
      <c r="J9409" t="s">
        <v>13568</v>
      </c>
      <c r="K9409" t="s">
        <v>17954</v>
      </c>
      <c r="L9409">
        <f>HYPERLINK("https://www2.assemblee-nationale.fr/sycomore/fiche/(num_dept)/8287", "8287")</f>
        <v>0</v>
      </c>
      <c r="N9409">
        <f>HYPERLINK("https://www.wikidata.org/wiki/Q3190464", "Q3190464")</f>
        <v>0</v>
      </c>
      <c r="O9409" t="s">
        <v>20122</v>
      </c>
    </row>
    <row r="9410" spans="1:15">
      <c r="A9410" t="s">
        <v>69</v>
      </c>
      <c r="B9410" t="s">
        <v>149</v>
      </c>
      <c r="C9410" t="s">
        <v>201</v>
      </c>
      <c r="D9410" t="s">
        <v>330</v>
      </c>
      <c r="E9410" t="s">
        <v>450</v>
      </c>
      <c r="F9410">
        <f>HYPERLINK("https://www.wikidata.org/wiki/Q2242207", "Q2242207")</f>
        <v>0</v>
      </c>
      <c r="G9410" t="s">
        <v>4287</v>
      </c>
      <c r="H9410" t="s">
        <v>8446</v>
      </c>
      <c r="I9410" t="s">
        <v>9474</v>
      </c>
      <c r="J9410" t="s">
        <v>14786</v>
      </c>
      <c r="K9410" t="s">
        <v>19131</v>
      </c>
      <c r="M9410">
        <f>HYPERLINK("https://www.senat.fr/senateur-3eme-republique/billot_jean_baptiste1437r3.html", "billot_jean_baptiste1437r3")</f>
        <v>0</v>
      </c>
      <c r="N9410">
        <f>HYPERLINK("https://www.wikidata.org/wiki/Q1684617", "Q1684617")</f>
        <v>0</v>
      </c>
      <c r="O9410" t="s">
        <v>20057</v>
      </c>
    </row>
    <row r="9411" spans="1:15">
      <c r="A9411" t="s">
        <v>69</v>
      </c>
      <c r="B9411" t="s">
        <v>149</v>
      </c>
      <c r="C9411" t="s">
        <v>201</v>
      </c>
      <c r="D9411" t="s">
        <v>330</v>
      </c>
      <c r="E9411" t="s">
        <v>450</v>
      </c>
      <c r="F9411">
        <f>HYPERLINK("https://www.wikidata.org/wiki/Q2242207", "Q2242207")</f>
        <v>0</v>
      </c>
      <c r="G9411" t="s">
        <v>4288</v>
      </c>
      <c r="H9411" t="s">
        <v>8447</v>
      </c>
      <c r="I9411" t="s">
        <v>5948</v>
      </c>
      <c r="J9411" t="s">
        <v>14787</v>
      </c>
      <c r="K9411" t="s">
        <v>11881</v>
      </c>
      <c r="M9411">
        <f>HYPERLINK("https://www.senat.fr/senateur-3eme-republique/jaureguiberry_bernard1486r3.html", "jaureguiberry_bernard1486r3")</f>
        <v>0</v>
      </c>
      <c r="N9411">
        <f>HYPERLINK("https://www.wikidata.org/wiki/Q259435", "Q259435")</f>
        <v>0</v>
      </c>
      <c r="O9411" t="s">
        <v>20185</v>
      </c>
    </row>
    <row r="9412" spans="1:15">
      <c r="A9412" t="s">
        <v>69</v>
      </c>
      <c r="B9412" t="s">
        <v>149</v>
      </c>
      <c r="C9412" t="s">
        <v>201</v>
      </c>
      <c r="D9412" t="s">
        <v>330</v>
      </c>
      <c r="E9412" t="s">
        <v>450</v>
      </c>
      <c r="F9412">
        <f>HYPERLINK("https://www.wikidata.org/wiki/Q2242207", "Q2242207")</f>
        <v>0</v>
      </c>
      <c r="G9412" t="s">
        <v>4295</v>
      </c>
      <c r="H9412" t="s">
        <v>8454</v>
      </c>
      <c r="I9412" t="s">
        <v>9385</v>
      </c>
      <c r="J9412" t="s">
        <v>14794</v>
      </c>
      <c r="K9412" t="s">
        <v>19138</v>
      </c>
      <c r="M9412">
        <f>HYPERLINK("https://www.senat.fr/senateur-3eme-republique/duclerc_eugene1466r3.html", "duclerc_eugene1466r3")</f>
        <v>0</v>
      </c>
      <c r="N9412">
        <f>HYPERLINK("https://www.wikidata.org/wiki/Q551572", "Q551572")</f>
        <v>0</v>
      </c>
      <c r="O9412" t="s">
        <v>20062</v>
      </c>
    </row>
    <row r="9413" spans="1:15">
      <c r="A9413" t="s">
        <v>69</v>
      </c>
      <c r="B9413" t="s">
        <v>149</v>
      </c>
      <c r="C9413" t="s">
        <v>201</v>
      </c>
      <c r="D9413" t="s">
        <v>330</v>
      </c>
      <c r="E9413" t="s">
        <v>450</v>
      </c>
      <c r="F9413">
        <f>HYPERLINK("https://www.wikidata.org/wiki/Q2242207", "Q2242207")</f>
        <v>0</v>
      </c>
      <c r="G9413" t="s">
        <v>2711</v>
      </c>
      <c r="H9413" t="s">
        <v>5610</v>
      </c>
      <c r="I9413" t="s">
        <v>6860</v>
      </c>
      <c r="J9413" t="s">
        <v>13352</v>
      </c>
      <c r="K9413" t="s">
        <v>17752</v>
      </c>
      <c r="N9413">
        <f>HYPERLINK("https://www.wikidata.org/wiki/Q3385902", "Q3385902")</f>
        <v>0</v>
      </c>
      <c r="O9413" t="s">
        <v>20069</v>
      </c>
    </row>
    <row r="9414" spans="1:15">
      <c r="A9414" t="s">
        <v>69</v>
      </c>
      <c r="B9414" t="s">
        <v>149</v>
      </c>
      <c r="C9414" t="s">
        <v>201</v>
      </c>
      <c r="D9414" t="s">
        <v>330</v>
      </c>
      <c r="E9414" t="s">
        <v>450</v>
      </c>
      <c r="F9414">
        <f>HYPERLINK("https://www.wikidata.org/wiki/Q2242207", "Q2242207")</f>
        <v>0</v>
      </c>
      <c r="G9414" t="s">
        <v>4295</v>
      </c>
      <c r="H9414" t="s">
        <v>8454</v>
      </c>
      <c r="I9414" t="s">
        <v>9385</v>
      </c>
      <c r="J9414" t="s">
        <v>14794</v>
      </c>
      <c r="K9414" t="s">
        <v>19138</v>
      </c>
      <c r="M9414">
        <f>HYPERLINK("https://www.senat.fr/senateur-3eme-republique/duclerc_eugene1466r3.html", "duclerc_eugene1466r3")</f>
        <v>0</v>
      </c>
      <c r="N9414">
        <f>HYPERLINK("https://www.wikidata.org/wiki/Q551572", "Q551572")</f>
        <v>0</v>
      </c>
      <c r="O9414" t="s">
        <v>20052</v>
      </c>
    </row>
    <row r="9415" spans="1:15">
      <c r="A9415" t="s">
        <v>70</v>
      </c>
      <c r="B9415" t="s">
        <v>149</v>
      </c>
      <c r="C9415" t="s">
        <v>202</v>
      </c>
      <c r="D9415" t="s">
        <v>331</v>
      </c>
      <c r="E9415" t="s">
        <v>451</v>
      </c>
      <c r="F9415">
        <f>HYPERLINK("https://www.wikidata.org/wiki/Q3111958", "Q3111958")</f>
        <v>0</v>
      </c>
      <c r="G9415" t="s">
        <v>608</v>
      </c>
      <c r="H9415" t="s">
        <v>5368</v>
      </c>
      <c r="I9415" t="s">
        <v>9451</v>
      </c>
      <c r="J9415" t="s">
        <v>11359</v>
      </c>
      <c r="K9415" t="s">
        <v>15760</v>
      </c>
      <c r="L9415">
        <f>HYPERLINK("https://www2.assemblee-nationale.fr/sycomore/fiche/(num_dept)/2283", "2283")</f>
        <v>0</v>
      </c>
      <c r="N9415">
        <f>HYPERLINK("https://www.wikidata.org/wiki/Q503827", "Q503827")</f>
        <v>0</v>
      </c>
      <c r="O9415" t="s">
        <v>20184</v>
      </c>
    </row>
    <row r="9416" spans="1:15">
      <c r="A9416" t="s">
        <v>70</v>
      </c>
      <c r="B9416" t="s">
        <v>149</v>
      </c>
      <c r="C9416" t="s">
        <v>202</v>
      </c>
      <c r="D9416" t="s">
        <v>331</v>
      </c>
      <c r="E9416" t="s">
        <v>451</v>
      </c>
      <c r="F9416">
        <f>HYPERLINK("https://www.wikidata.org/wiki/Q3111958", "Q3111958")</f>
        <v>0</v>
      </c>
      <c r="G9416" t="s">
        <v>2554</v>
      </c>
      <c r="H9416" t="s">
        <v>7113</v>
      </c>
      <c r="I9416" t="s">
        <v>9449</v>
      </c>
      <c r="J9416" t="s">
        <v>13198</v>
      </c>
      <c r="K9416" t="s">
        <v>17603</v>
      </c>
      <c r="L9416">
        <f>HYPERLINK("https://www2.assemblee-nationale.fr/sycomore/fiche/(num_dept)/2474", "2474")</f>
        <v>0</v>
      </c>
      <c r="M9416">
        <f>HYPERLINK("https://www.senat.fr/senateur-3eme-republique/develle_jules1013r3.html", "develle_jules1013r3")</f>
        <v>0</v>
      </c>
      <c r="N9416">
        <f>HYPERLINK("https://www.wikidata.org/wiki/Q939193", "Q939193")</f>
        <v>0</v>
      </c>
      <c r="O9416" t="s">
        <v>20062</v>
      </c>
    </row>
    <row r="9417" spans="1:15">
      <c r="A9417" t="s">
        <v>70</v>
      </c>
      <c r="B9417" t="s">
        <v>149</v>
      </c>
      <c r="C9417" t="s">
        <v>202</v>
      </c>
      <c r="D9417" t="s">
        <v>331</v>
      </c>
      <c r="E9417" t="s">
        <v>451</v>
      </c>
      <c r="F9417">
        <f>HYPERLINK("https://www.wikidata.org/wiki/Q3111958", "Q3111958")</f>
        <v>0</v>
      </c>
      <c r="G9417" t="s">
        <v>2965</v>
      </c>
      <c r="H9417" t="s">
        <v>5848</v>
      </c>
      <c r="I9417" t="s">
        <v>9388</v>
      </c>
      <c r="J9417" t="s">
        <v>13597</v>
      </c>
      <c r="K9417" t="s">
        <v>17983</v>
      </c>
      <c r="L9417">
        <f>HYPERLINK("https://www2.assemblee-nationale.fr/sycomore/fiche/(num_dept)/5873", "5873")</f>
        <v>0</v>
      </c>
      <c r="M9417">
        <f>HYPERLINK("https://www.senat.fr/senateur-3eme-republique/peytral_paul0322r3.html", "peytral_paul0322r3")</f>
        <v>0</v>
      </c>
      <c r="N9417">
        <f>HYPERLINK("https://www.wikidata.org/wiki/Q179491", "Q179491")</f>
        <v>0</v>
      </c>
      <c r="O9417" t="s">
        <v>20066</v>
      </c>
    </row>
    <row r="9418" spans="1:15">
      <c r="A9418" t="s">
        <v>70</v>
      </c>
      <c r="B9418" t="s">
        <v>149</v>
      </c>
      <c r="C9418" t="s">
        <v>202</v>
      </c>
      <c r="D9418" t="s">
        <v>331</v>
      </c>
      <c r="E9418" t="s">
        <v>451</v>
      </c>
      <c r="F9418">
        <f>HYPERLINK("https://www.wikidata.org/wiki/Q3111958", "Q3111958")</f>
        <v>0</v>
      </c>
      <c r="G9418" t="s">
        <v>3369</v>
      </c>
      <c r="H9418" t="s">
        <v>7766</v>
      </c>
      <c r="I9418" t="s">
        <v>9692</v>
      </c>
      <c r="J9418" t="s">
        <v>13981</v>
      </c>
      <c r="K9418" t="s">
        <v>18349</v>
      </c>
      <c r="L9418">
        <f>HYPERLINK("https://www2.assemblee-nationale.fr/sycomore/fiche/(num_dept)/5994", "5994")</f>
        <v>0</v>
      </c>
      <c r="M9418">
        <f>HYPERLINK("https://www.senat.fr/senateur-3eme-republique/poincare_raymond1024r3.html", "poincare_raymond1024r3")</f>
        <v>0</v>
      </c>
      <c r="N9418">
        <f>HYPERLINK("https://www.wikidata.org/wiki/Q191974", "Q191974")</f>
        <v>0</v>
      </c>
      <c r="O9418" t="s">
        <v>20191</v>
      </c>
    </row>
    <row r="9419" spans="1:15">
      <c r="A9419" t="s">
        <v>70</v>
      </c>
      <c r="B9419" t="s">
        <v>149</v>
      </c>
      <c r="C9419" t="s">
        <v>202</v>
      </c>
      <c r="D9419" t="s">
        <v>331</v>
      </c>
      <c r="E9419" t="s">
        <v>451</v>
      </c>
      <c r="F9419">
        <f>HYPERLINK("https://www.wikidata.org/wiki/Q3111958", "Q3111958")</f>
        <v>0</v>
      </c>
      <c r="G9419" t="s">
        <v>3290</v>
      </c>
      <c r="H9419" t="s">
        <v>7702</v>
      </c>
      <c r="I9419" t="s">
        <v>6584</v>
      </c>
      <c r="J9419" t="s">
        <v>13904</v>
      </c>
      <c r="K9419" t="s">
        <v>18275</v>
      </c>
      <c r="L9419">
        <f>HYPERLINK("https://www2.assemblee-nationale.fr/sycomore/fiche/(num_dept)/7443", "7443")</f>
        <v>0</v>
      </c>
      <c r="M9419">
        <f>HYPERLINK("https://www.senat.fr/senateur-3eme-republique/viger_albert0500r3.html", "viger_albert0500r3")</f>
        <v>0</v>
      </c>
      <c r="N9419">
        <f>HYPERLINK("https://www.wikidata.org/wiki/Q2153536", "Q2153536")</f>
        <v>0</v>
      </c>
      <c r="O9419" t="s">
        <v>20056</v>
      </c>
    </row>
    <row r="9420" spans="1:15">
      <c r="A9420" t="s">
        <v>70</v>
      </c>
      <c r="B9420" t="s">
        <v>149</v>
      </c>
      <c r="C9420" t="s">
        <v>202</v>
      </c>
      <c r="D9420" t="s">
        <v>331</v>
      </c>
      <c r="E9420" t="s">
        <v>451</v>
      </c>
      <c r="F9420">
        <f>HYPERLINK("https://www.wikidata.org/wiki/Q3111958", "Q3111958")</f>
        <v>0</v>
      </c>
      <c r="G9420" t="s">
        <v>2695</v>
      </c>
      <c r="H9420" t="s">
        <v>7227</v>
      </c>
      <c r="I9420" t="s">
        <v>9449</v>
      </c>
      <c r="J9420" t="s">
        <v>13336</v>
      </c>
      <c r="K9420" t="s">
        <v>17736</v>
      </c>
      <c r="L9420">
        <f>HYPERLINK("https://www2.assemblee-nationale.fr/sycomore/fiche/(num_dept)/7450", "7450")</f>
        <v>0</v>
      </c>
      <c r="N9420">
        <f>HYPERLINK("https://www.wikidata.org/wiki/Q3188959", "Q3188959")</f>
        <v>0</v>
      </c>
      <c r="O9420" t="s">
        <v>20063</v>
      </c>
    </row>
    <row r="9421" spans="1:15">
      <c r="A9421" t="s">
        <v>70</v>
      </c>
      <c r="B9421" t="s">
        <v>149</v>
      </c>
      <c r="C9421" t="s">
        <v>202</v>
      </c>
      <c r="D9421" t="s">
        <v>331</v>
      </c>
      <c r="E9421" t="s">
        <v>451</v>
      </c>
      <c r="F9421">
        <f>HYPERLINK("https://www.wikidata.org/wiki/Q3111958", "Q3111958")</f>
        <v>0</v>
      </c>
      <c r="G9421" t="s">
        <v>3342</v>
      </c>
      <c r="H9421" t="s">
        <v>5387</v>
      </c>
      <c r="I9421" t="s">
        <v>9385</v>
      </c>
      <c r="J9421" t="s">
        <v>13955</v>
      </c>
      <c r="K9421" t="s">
        <v>18324</v>
      </c>
      <c r="L9421">
        <f>HYPERLINK("https://www2.assemblee-nationale.fr/sycomore/fiche/(num_dept)/10133", "10133")</f>
        <v>0</v>
      </c>
      <c r="M9421">
        <f>HYPERLINK("https://www.senat.fr/senateur-3eme-republique/dupuy_charles0513r3.html", "dupuy_charles0513r3")</f>
        <v>0</v>
      </c>
      <c r="N9421">
        <f>HYPERLINK("https://www.wikidata.org/wiki/Q356032", "Q356032")</f>
        <v>0</v>
      </c>
      <c r="O9421" t="s">
        <v>20113</v>
      </c>
    </row>
    <row r="9422" spans="1:15">
      <c r="A9422" t="s">
        <v>70</v>
      </c>
      <c r="B9422" t="s">
        <v>149</v>
      </c>
      <c r="C9422" t="s">
        <v>202</v>
      </c>
      <c r="D9422" t="s">
        <v>331</v>
      </c>
      <c r="E9422" t="s">
        <v>451</v>
      </c>
      <c r="F9422">
        <f>HYPERLINK("https://www.wikidata.org/wiki/Q3111958", "Q3111958")</f>
        <v>0</v>
      </c>
      <c r="G9422" t="s">
        <v>3342</v>
      </c>
      <c r="H9422" t="s">
        <v>5387</v>
      </c>
      <c r="I9422" t="s">
        <v>9385</v>
      </c>
      <c r="J9422" t="s">
        <v>13955</v>
      </c>
      <c r="K9422" t="s">
        <v>18324</v>
      </c>
      <c r="L9422">
        <f>HYPERLINK("https://www2.assemblee-nationale.fr/sycomore/fiche/(num_dept)/10133", "10133")</f>
        <v>0</v>
      </c>
      <c r="M9422">
        <f>HYPERLINK("https://www.senat.fr/senateur-3eme-republique/dupuy_charles0513r3.html", "dupuy_charles0513r3")</f>
        <v>0</v>
      </c>
      <c r="N9422">
        <f>HYPERLINK("https://www.wikidata.org/wiki/Q356032", "Q356032")</f>
        <v>0</v>
      </c>
      <c r="O9422" t="s">
        <v>20114</v>
      </c>
    </row>
    <row r="9423" spans="1:15">
      <c r="A9423" t="s">
        <v>70</v>
      </c>
      <c r="B9423" t="s">
        <v>149</v>
      </c>
      <c r="C9423" t="s">
        <v>202</v>
      </c>
      <c r="D9423" t="s">
        <v>331</v>
      </c>
      <c r="E9423" t="s">
        <v>451</v>
      </c>
      <c r="F9423">
        <f>HYPERLINK("https://www.wikidata.org/wiki/Q3111958", "Q3111958")</f>
        <v>0</v>
      </c>
      <c r="G9423" t="s">
        <v>3949</v>
      </c>
      <c r="H9423" t="s">
        <v>8200</v>
      </c>
      <c r="I9423" t="s">
        <v>9445</v>
      </c>
      <c r="J9423" t="s">
        <v>14500</v>
      </c>
      <c r="K9423" t="s">
        <v>18493</v>
      </c>
      <c r="L9423">
        <f>HYPERLINK("https://www2.assemblee-nationale.fr/sycomore/fiche/(num_dept)/10838", "10838")</f>
        <v>0</v>
      </c>
      <c r="N9423">
        <f>HYPERLINK("https://www.wikidata.org/wiki/Q3131916", "Q3131916")</f>
        <v>0</v>
      </c>
      <c r="O9423" t="s">
        <v>20053</v>
      </c>
    </row>
    <row r="9424" spans="1:15">
      <c r="A9424" t="s">
        <v>70</v>
      </c>
      <c r="B9424" t="s">
        <v>149</v>
      </c>
      <c r="C9424" t="s">
        <v>202</v>
      </c>
      <c r="D9424" t="s">
        <v>331</v>
      </c>
      <c r="E9424" t="s">
        <v>451</v>
      </c>
      <c r="F9424">
        <f>HYPERLINK("https://www.wikidata.org/wiki/Q3111958", "Q3111958")</f>
        <v>0</v>
      </c>
      <c r="G9424" t="s">
        <v>4296</v>
      </c>
      <c r="H9424" t="s">
        <v>8455</v>
      </c>
      <c r="I9424" t="s">
        <v>9535</v>
      </c>
      <c r="J9424" t="s">
        <v>14795</v>
      </c>
      <c r="K9424" t="s">
        <v>18899</v>
      </c>
      <c r="N9424">
        <f>HYPERLINK("https://www.wikidata.org/wiki/Q3189574", "Q3189574")</f>
        <v>0</v>
      </c>
      <c r="O9424" t="s">
        <v>20057</v>
      </c>
    </row>
    <row r="9425" spans="1:15">
      <c r="A9425" t="s">
        <v>70</v>
      </c>
      <c r="B9425" t="s">
        <v>149</v>
      </c>
      <c r="C9425" t="s">
        <v>202</v>
      </c>
      <c r="D9425" t="s">
        <v>331</v>
      </c>
      <c r="E9425" t="s">
        <v>451</v>
      </c>
      <c r="F9425">
        <f>HYPERLINK("https://www.wikidata.org/wiki/Q3111958", "Q3111958")</f>
        <v>0</v>
      </c>
      <c r="G9425" t="s">
        <v>4297</v>
      </c>
      <c r="H9425" t="s">
        <v>6183</v>
      </c>
      <c r="I9425" t="s">
        <v>9465</v>
      </c>
      <c r="J9425" t="s">
        <v>14796</v>
      </c>
      <c r="K9425" t="s">
        <v>19139</v>
      </c>
      <c r="M9425">
        <f>HYPERLINK("https://www.senat.fr/senateur-3eme-republique/guerin_eugene1709r3.html", "guerin_eugene1709r3")</f>
        <v>0</v>
      </c>
      <c r="N9425">
        <f>HYPERLINK("https://www.wikidata.org/wiki/Q3059913", "Q3059913")</f>
        <v>0</v>
      </c>
      <c r="O9425" t="s">
        <v>20064</v>
      </c>
    </row>
    <row r="9426" spans="1:15">
      <c r="A9426" t="s">
        <v>70</v>
      </c>
      <c r="B9426" t="s">
        <v>149</v>
      </c>
      <c r="C9426" t="s">
        <v>202</v>
      </c>
      <c r="D9426" t="s">
        <v>331</v>
      </c>
      <c r="E9426" t="s">
        <v>451</v>
      </c>
      <c r="F9426">
        <f>HYPERLINK("https://www.wikidata.org/wiki/Q3111958", "Q3111958")</f>
        <v>0</v>
      </c>
      <c r="G9426" t="s">
        <v>3505</v>
      </c>
      <c r="H9426" t="s">
        <v>7872</v>
      </c>
      <c r="I9426" t="s">
        <v>6495</v>
      </c>
      <c r="J9426" t="s">
        <v>14103</v>
      </c>
      <c r="K9426" t="s">
        <v>18467</v>
      </c>
      <c r="N9426">
        <f>HYPERLINK("https://www.wikidata.org/wiki/Q61068649", "Q61068649")</f>
        <v>0</v>
      </c>
      <c r="O9426" t="s">
        <v>20190</v>
      </c>
    </row>
    <row r="9427" spans="1:15">
      <c r="A9427" t="s">
        <v>71</v>
      </c>
      <c r="B9427" t="s">
        <v>149</v>
      </c>
      <c r="C9427" t="s">
        <v>203</v>
      </c>
      <c r="D9427" t="s">
        <v>332</v>
      </c>
      <c r="E9427" t="s">
        <v>452</v>
      </c>
      <c r="F9427">
        <f>HYPERLINK("https://www.wikidata.org/wiki/Q3111960", "Q3111960")</f>
        <v>0</v>
      </c>
      <c r="G9427" t="s">
        <v>512</v>
      </c>
      <c r="H9427" t="s">
        <v>5277</v>
      </c>
      <c r="I9427" t="s">
        <v>6495</v>
      </c>
      <c r="J9427" t="s">
        <v>11264</v>
      </c>
      <c r="K9427" t="s">
        <v>15664</v>
      </c>
      <c r="L9427">
        <f>HYPERLINK("https://www2.assemblee-nationale.fr/sycomore/fiche/(num_dept)/451", "451")</f>
        <v>0</v>
      </c>
      <c r="M9427">
        <f>HYPERLINK("https://www.senat.fr/senateur-3eme-republique/barthou_louis1071r3.html", "barthou_louis1071r3")</f>
        <v>0</v>
      </c>
      <c r="N9427">
        <f>HYPERLINK("https://www.wikidata.org/wiki/Q271887", "Q271887")</f>
        <v>0</v>
      </c>
      <c r="O9427" t="s">
        <v>20063</v>
      </c>
    </row>
    <row r="9428" spans="1:15">
      <c r="A9428" t="s">
        <v>71</v>
      </c>
      <c r="B9428" t="s">
        <v>149</v>
      </c>
      <c r="C9428" t="s">
        <v>203</v>
      </c>
      <c r="D9428" t="s">
        <v>332</v>
      </c>
      <c r="E9428" t="s">
        <v>452</v>
      </c>
      <c r="F9428">
        <f>HYPERLINK("https://www.wikidata.org/wiki/Q3111960", "Q3111960")</f>
        <v>0</v>
      </c>
      <c r="G9428" t="s">
        <v>608</v>
      </c>
      <c r="H9428" t="s">
        <v>5368</v>
      </c>
      <c r="I9428" t="s">
        <v>9451</v>
      </c>
      <c r="J9428" t="s">
        <v>11359</v>
      </c>
      <c r="K9428" t="s">
        <v>15760</v>
      </c>
      <c r="L9428">
        <f>HYPERLINK("https://www2.assemblee-nationale.fr/sycomore/fiche/(num_dept)/2283", "2283")</f>
        <v>0</v>
      </c>
      <c r="N9428">
        <f>HYPERLINK("https://www.wikidata.org/wiki/Q503827", "Q503827")</f>
        <v>0</v>
      </c>
      <c r="O9428" t="s">
        <v>20065</v>
      </c>
    </row>
    <row r="9429" spans="1:15">
      <c r="A9429" t="s">
        <v>71</v>
      </c>
      <c r="B9429" t="s">
        <v>149</v>
      </c>
      <c r="C9429" t="s">
        <v>203</v>
      </c>
      <c r="D9429" t="s">
        <v>332</v>
      </c>
      <c r="E9429" t="s">
        <v>452</v>
      </c>
      <c r="F9429">
        <f>HYPERLINK("https://www.wikidata.org/wiki/Q3111960", "Q3111960")</f>
        <v>0</v>
      </c>
      <c r="G9429" t="s">
        <v>2573</v>
      </c>
      <c r="H9429" t="s">
        <v>5397</v>
      </c>
      <c r="I9429" t="s">
        <v>6158</v>
      </c>
      <c r="J9429" t="s">
        <v>13217</v>
      </c>
      <c r="K9429" t="s">
        <v>17620</v>
      </c>
      <c r="L9429">
        <f>HYPERLINK("https://www2.assemblee-nationale.fr/sycomore/fiche/(num_dept)/2925", "2925")</f>
        <v>0</v>
      </c>
      <c r="N9429">
        <f>HYPERLINK("https://www.wikidata.org/wiki/Q296076", "Q296076")</f>
        <v>0</v>
      </c>
      <c r="O9429" t="s">
        <v>20053</v>
      </c>
    </row>
    <row r="9430" spans="1:15">
      <c r="A9430" t="s">
        <v>71</v>
      </c>
      <c r="B9430" t="s">
        <v>149</v>
      </c>
      <c r="C9430" t="s">
        <v>203</v>
      </c>
      <c r="D9430" t="s">
        <v>332</v>
      </c>
      <c r="E9430" t="s">
        <v>452</v>
      </c>
      <c r="F9430">
        <f>HYPERLINK("https://www.wikidata.org/wiki/Q3111960", "Q3111960")</f>
        <v>0</v>
      </c>
      <c r="G9430" t="s">
        <v>3356</v>
      </c>
      <c r="H9430" t="s">
        <v>7754</v>
      </c>
      <c r="I9430" t="s">
        <v>7911</v>
      </c>
      <c r="J9430" t="s">
        <v>13968</v>
      </c>
      <c r="K9430" t="s">
        <v>18338</v>
      </c>
      <c r="L9430">
        <f>HYPERLINK("https://www2.assemblee-nationale.fr/sycomore/fiche/(num_dept)/3746", "3746")</f>
        <v>0</v>
      </c>
      <c r="N9430">
        <f>HYPERLINK("https://www.wikidata.org/wiki/Q956253", "Q956253")</f>
        <v>0</v>
      </c>
      <c r="O9430" t="s">
        <v>20062</v>
      </c>
    </row>
    <row r="9431" spans="1:15">
      <c r="A9431" t="s">
        <v>71</v>
      </c>
      <c r="B9431" t="s">
        <v>149</v>
      </c>
      <c r="C9431" t="s">
        <v>203</v>
      </c>
      <c r="D9431" t="s">
        <v>332</v>
      </c>
      <c r="E9431" t="s">
        <v>452</v>
      </c>
      <c r="F9431">
        <f>HYPERLINK("https://www.wikidata.org/wiki/Q3111960", "Q3111960")</f>
        <v>0</v>
      </c>
      <c r="G9431" t="s">
        <v>3369</v>
      </c>
      <c r="H9431" t="s">
        <v>7766</v>
      </c>
      <c r="I9431" t="s">
        <v>9692</v>
      </c>
      <c r="J9431" t="s">
        <v>13981</v>
      </c>
      <c r="K9431" t="s">
        <v>18349</v>
      </c>
      <c r="L9431">
        <f>HYPERLINK("https://www2.assemblee-nationale.fr/sycomore/fiche/(num_dept)/5994", "5994")</f>
        <v>0</v>
      </c>
      <c r="M9431">
        <f>HYPERLINK("https://www.senat.fr/senateur-3eme-republique/poincare_raymond1024r3.html", "poincare_raymond1024r3")</f>
        <v>0</v>
      </c>
      <c r="N9431">
        <f>HYPERLINK("https://www.wikidata.org/wiki/Q191974", "Q191974")</f>
        <v>0</v>
      </c>
      <c r="O9431" t="s">
        <v>20066</v>
      </c>
    </row>
    <row r="9432" spans="1:15">
      <c r="A9432" t="s">
        <v>71</v>
      </c>
      <c r="B9432" t="s">
        <v>149</v>
      </c>
      <c r="C9432" t="s">
        <v>203</v>
      </c>
      <c r="D9432" t="s">
        <v>332</v>
      </c>
      <c r="E9432" t="s">
        <v>452</v>
      </c>
      <c r="F9432">
        <f>HYPERLINK("https://www.wikidata.org/wiki/Q3111960", "Q3111960")</f>
        <v>0</v>
      </c>
      <c r="G9432" t="s">
        <v>3290</v>
      </c>
      <c r="H9432" t="s">
        <v>7702</v>
      </c>
      <c r="I9432" t="s">
        <v>6584</v>
      </c>
      <c r="J9432" t="s">
        <v>13904</v>
      </c>
      <c r="K9432" t="s">
        <v>18275</v>
      </c>
      <c r="L9432">
        <f>HYPERLINK("https://www2.assemblee-nationale.fr/sycomore/fiche/(num_dept)/7443", "7443")</f>
        <v>0</v>
      </c>
      <c r="M9432">
        <f>HYPERLINK("https://www.senat.fr/senateur-3eme-republique/viger_albert0500r3.html", "viger_albert0500r3")</f>
        <v>0</v>
      </c>
      <c r="N9432">
        <f>HYPERLINK("https://www.wikidata.org/wiki/Q2153536", "Q2153536")</f>
        <v>0</v>
      </c>
      <c r="O9432" t="s">
        <v>20056</v>
      </c>
    </row>
    <row r="9433" spans="1:15">
      <c r="A9433" t="s">
        <v>71</v>
      </c>
      <c r="B9433" t="s">
        <v>149</v>
      </c>
      <c r="C9433" t="s">
        <v>203</v>
      </c>
      <c r="D9433" t="s">
        <v>332</v>
      </c>
      <c r="E9433" t="s">
        <v>452</v>
      </c>
      <c r="F9433">
        <f>HYPERLINK("https://www.wikidata.org/wiki/Q3111960", "Q3111960")</f>
        <v>0</v>
      </c>
      <c r="G9433" t="s">
        <v>857</v>
      </c>
      <c r="H9433" t="s">
        <v>5613</v>
      </c>
      <c r="I9433" t="s">
        <v>6175</v>
      </c>
      <c r="J9433" t="s">
        <v>11603</v>
      </c>
      <c r="K9433" t="s">
        <v>16005</v>
      </c>
      <c r="L9433">
        <f>HYPERLINK("https://www2.assemblee-nationale.fr/sycomore/fiche/(num_dept)/7840", "7840")</f>
        <v>0</v>
      </c>
      <c r="N9433">
        <f>HYPERLINK("https://www.wikidata.org/wiki/Q728806", "Q728806")</f>
        <v>0</v>
      </c>
      <c r="O9433" t="s">
        <v>20051</v>
      </c>
    </row>
    <row r="9434" spans="1:15">
      <c r="A9434" t="s">
        <v>71</v>
      </c>
      <c r="B9434" t="s">
        <v>149</v>
      </c>
      <c r="C9434" t="s">
        <v>203</v>
      </c>
      <c r="D9434" t="s">
        <v>332</v>
      </c>
      <c r="E9434" t="s">
        <v>452</v>
      </c>
      <c r="F9434">
        <f>HYPERLINK("https://www.wikidata.org/wiki/Q3111960", "Q3111960")</f>
        <v>0</v>
      </c>
      <c r="G9434" t="s">
        <v>3342</v>
      </c>
      <c r="H9434" t="s">
        <v>5387</v>
      </c>
      <c r="I9434" t="s">
        <v>9385</v>
      </c>
      <c r="J9434" t="s">
        <v>13955</v>
      </c>
      <c r="K9434" t="s">
        <v>18324</v>
      </c>
      <c r="L9434">
        <f>HYPERLINK("https://www2.assemblee-nationale.fr/sycomore/fiche/(num_dept)/10133", "10133")</f>
        <v>0</v>
      </c>
      <c r="M9434">
        <f>HYPERLINK("https://www.senat.fr/senateur-3eme-republique/dupuy_charles0513r3.html", "dupuy_charles0513r3")</f>
        <v>0</v>
      </c>
      <c r="N9434">
        <f>HYPERLINK("https://www.wikidata.org/wiki/Q356032", "Q356032")</f>
        <v>0</v>
      </c>
      <c r="O9434" t="s">
        <v>20113</v>
      </c>
    </row>
    <row r="9435" spans="1:15">
      <c r="A9435" t="s">
        <v>71</v>
      </c>
      <c r="B9435" t="s">
        <v>149</v>
      </c>
      <c r="C9435" t="s">
        <v>203</v>
      </c>
      <c r="D9435" t="s">
        <v>332</v>
      </c>
      <c r="E9435" t="s">
        <v>452</v>
      </c>
      <c r="F9435">
        <f>HYPERLINK("https://www.wikidata.org/wiki/Q3111960", "Q3111960")</f>
        <v>0</v>
      </c>
      <c r="G9435" t="s">
        <v>3342</v>
      </c>
      <c r="H9435" t="s">
        <v>5387</v>
      </c>
      <c r="I9435" t="s">
        <v>9385</v>
      </c>
      <c r="J9435" t="s">
        <v>13955</v>
      </c>
      <c r="K9435" t="s">
        <v>18324</v>
      </c>
      <c r="L9435">
        <f>HYPERLINK("https://www2.assemblee-nationale.fr/sycomore/fiche/(num_dept)/10133", "10133")</f>
        <v>0</v>
      </c>
      <c r="M9435">
        <f>HYPERLINK("https://www.senat.fr/senateur-3eme-republique/dupuy_charles0513r3.html", "dupuy_charles0513r3")</f>
        <v>0</v>
      </c>
      <c r="N9435">
        <f>HYPERLINK("https://www.wikidata.org/wiki/Q356032", "Q356032")</f>
        <v>0</v>
      </c>
      <c r="O9435" t="s">
        <v>20114</v>
      </c>
    </row>
    <row r="9436" spans="1:15">
      <c r="A9436" t="s">
        <v>71</v>
      </c>
      <c r="B9436" t="s">
        <v>149</v>
      </c>
      <c r="C9436" t="s">
        <v>203</v>
      </c>
      <c r="D9436" t="s">
        <v>332</v>
      </c>
      <c r="E9436" t="s">
        <v>452</v>
      </c>
      <c r="F9436">
        <f>HYPERLINK("https://www.wikidata.org/wiki/Q3111960", "Q3111960")</f>
        <v>0</v>
      </c>
      <c r="G9436" t="s">
        <v>4263</v>
      </c>
      <c r="H9436" t="s">
        <v>6235</v>
      </c>
      <c r="I9436" t="s">
        <v>9552</v>
      </c>
      <c r="J9436" t="s">
        <v>14764</v>
      </c>
      <c r="K9436" t="s">
        <v>19111</v>
      </c>
      <c r="M9436">
        <f>HYPERLINK("https://www.senat.fr/senateur-3eme-republique/mercier_auguste1293r3.html", "mercier_auguste1293r3")</f>
        <v>0</v>
      </c>
      <c r="N9436">
        <f>HYPERLINK("https://www.wikidata.org/wiki/Q766801", "Q766801")</f>
        <v>0</v>
      </c>
      <c r="O9436" t="s">
        <v>20057</v>
      </c>
    </row>
    <row r="9437" spans="1:15">
      <c r="A9437" t="s">
        <v>71</v>
      </c>
      <c r="B9437" t="s">
        <v>149</v>
      </c>
      <c r="C9437" t="s">
        <v>203</v>
      </c>
      <c r="D9437" t="s">
        <v>332</v>
      </c>
      <c r="E9437" t="s">
        <v>452</v>
      </c>
      <c r="F9437">
        <f>HYPERLINK("https://www.wikidata.org/wiki/Q3111960", "Q3111960")</f>
        <v>0</v>
      </c>
      <c r="G9437" t="s">
        <v>4297</v>
      </c>
      <c r="H9437" t="s">
        <v>6183</v>
      </c>
      <c r="I9437" t="s">
        <v>9465</v>
      </c>
      <c r="J9437" t="s">
        <v>14796</v>
      </c>
      <c r="K9437" t="s">
        <v>19139</v>
      </c>
      <c r="M9437">
        <f>HYPERLINK("https://www.senat.fr/senateur-3eme-republique/guerin_eugene1709r3.html", "guerin_eugene1709r3")</f>
        <v>0</v>
      </c>
      <c r="N9437">
        <f>HYPERLINK("https://www.wikidata.org/wiki/Q3059913", "Q3059913")</f>
        <v>0</v>
      </c>
      <c r="O9437" t="s">
        <v>20064</v>
      </c>
    </row>
    <row r="9438" spans="1:15">
      <c r="A9438" t="s">
        <v>71</v>
      </c>
      <c r="B9438" t="s">
        <v>149</v>
      </c>
      <c r="C9438" t="s">
        <v>203</v>
      </c>
      <c r="D9438" t="s">
        <v>332</v>
      </c>
      <c r="E9438" t="s">
        <v>452</v>
      </c>
      <c r="F9438">
        <f>HYPERLINK("https://www.wikidata.org/wiki/Q3111960", "Q3111960")</f>
        <v>0</v>
      </c>
      <c r="G9438" t="s">
        <v>4298</v>
      </c>
      <c r="H9438" t="s">
        <v>8456</v>
      </c>
      <c r="I9438" t="s">
        <v>9483</v>
      </c>
      <c r="J9438" t="s">
        <v>14363</v>
      </c>
      <c r="K9438" t="s">
        <v>17827</v>
      </c>
      <c r="N9438">
        <f>HYPERLINK("https://www.wikidata.org/wiki/Q3557423", "Q3557423")</f>
        <v>0</v>
      </c>
      <c r="O9438" t="s">
        <v>20115</v>
      </c>
    </row>
    <row r="9439" spans="1:15">
      <c r="A9439" t="s">
        <v>72</v>
      </c>
      <c r="B9439" t="s">
        <v>149</v>
      </c>
      <c r="C9439" t="s">
        <v>204</v>
      </c>
      <c r="D9439" t="s">
        <v>333</v>
      </c>
      <c r="E9439" t="s">
        <v>453</v>
      </c>
      <c r="F9439">
        <f>HYPERLINK("https://www.wikidata.org/wiki/Q3111961", "Q3111961")</f>
        <v>0</v>
      </c>
      <c r="G9439" t="s">
        <v>512</v>
      </c>
      <c r="H9439" t="s">
        <v>5277</v>
      </c>
      <c r="I9439" t="s">
        <v>6495</v>
      </c>
      <c r="J9439" t="s">
        <v>11264</v>
      </c>
      <c r="K9439" t="s">
        <v>15664</v>
      </c>
      <c r="L9439">
        <f>HYPERLINK("https://www2.assemblee-nationale.fr/sycomore/fiche/(num_dept)/451", "451")</f>
        <v>0</v>
      </c>
      <c r="M9439">
        <f>HYPERLINK("https://www.senat.fr/senateur-3eme-republique/barthou_louis1071r3.html", "barthou_louis1071r3")</f>
        <v>0</v>
      </c>
      <c r="N9439">
        <f>HYPERLINK("https://www.wikidata.org/wiki/Q271887", "Q271887")</f>
        <v>0</v>
      </c>
      <c r="O9439" t="s">
        <v>20063</v>
      </c>
    </row>
    <row r="9440" spans="1:15">
      <c r="A9440" t="s">
        <v>72</v>
      </c>
      <c r="B9440" t="s">
        <v>149</v>
      </c>
      <c r="C9440" t="s">
        <v>204</v>
      </c>
      <c r="D9440" t="s">
        <v>333</v>
      </c>
      <c r="E9440" t="s">
        <v>453</v>
      </c>
      <c r="F9440">
        <f>HYPERLINK("https://www.wikidata.org/wiki/Q3111961", "Q3111961")</f>
        <v>0</v>
      </c>
      <c r="G9440" t="s">
        <v>608</v>
      </c>
      <c r="H9440" t="s">
        <v>5368</v>
      </c>
      <c r="I9440" t="s">
        <v>9451</v>
      </c>
      <c r="J9440" t="s">
        <v>11359</v>
      </c>
      <c r="K9440" t="s">
        <v>15760</v>
      </c>
      <c r="L9440">
        <f>HYPERLINK("https://www2.assemblee-nationale.fr/sycomore/fiche/(num_dept)/2283", "2283")</f>
        <v>0</v>
      </c>
      <c r="N9440">
        <f>HYPERLINK("https://www.wikidata.org/wiki/Q503827", "Q503827")</f>
        <v>0</v>
      </c>
      <c r="O9440" t="s">
        <v>20065</v>
      </c>
    </row>
    <row r="9441" spans="1:15">
      <c r="A9441" t="s">
        <v>72</v>
      </c>
      <c r="B9441" t="s">
        <v>149</v>
      </c>
      <c r="C9441" t="s">
        <v>204</v>
      </c>
      <c r="D9441" t="s">
        <v>333</v>
      </c>
      <c r="E9441" t="s">
        <v>453</v>
      </c>
      <c r="F9441">
        <f>HYPERLINK("https://www.wikidata.org/wiki/Q3111961", "Q3111961")</f>
        <v>0</v>
      </c>
      <c r="G9441" t="s">
        <v>2573</v>
      </c>
      <c r="H9441" t="s">
        <v>5397</v>
      </c>
      <c r="I9441" t="s">
        <v>6158</v>
      </c>
      <c r="J9441" t="s">
        <v>13217</v>
      </c>
      <c r="K9441" t="s">
        <v>17620</v>
      </c>
      <c r="L9441">
        <f>HYPERLINK("https://www2.assemblee-nationale.fr/sycomore/fiche/(num_dept)/2925", "2925")</f>
        <v>0</v>
      </c>
      <c r="N9441">
        <f>HYPERLINK("https://www.wikidata.org/wiki/Q296076", "Q296076")</f>
        <v>0</v>
      </c>
      <c r="O9441" t="s">
        <v>20053</v>
      </c>
    </row>
    <row r="9442" spans="1:15">
      <c r="A9442" t="s">
        <v>72</v>
      </c>
      <c r="B9442" t="s">
        <v>149</v>
      </c>
      <c r="C9442" t="s">
        <v>204</v>
      </c>
      <c r="D9442" t="s">
        <v>333</v>
      </c>
      <c r="E9442" t="s">
        <v>453</v>
      </c>
      <c r="F9442">
        <f>HYPERLINK("https://www.wikidata.org/wiki/Q3111961", "Q3111961")</f>
        <v>0</v>
      </c>
      <c r="G9442" t="s">
        <v>3356</v>
      </c>
      <c r="H9442" t="s">
        <v>7754</v>
      </c>
      <c r="I9442" t="s">
        <v>7911</v>
      </c>
      <c r="J9442" t="s">
        <v>13968</v>
      </c>
      <c r="K9442" t="s">
        <v>18338</v>
      </c>
      <c r="L9442">
        <f>HYPERLINK("https://www2.assemblee-nationale.fr/sycomore/fiche/(num_dept)/3746", "3746")</f>
        <v>0</v>
      </c>
      <c r="N9442">
        <f>HYPERLINK("https://www.wikidata.org/wiki/Q956253", "Q956253")</f>
        <v>0</v>
      </c>
      <c r="O9442" t="s">
        <v>20062</v>
      </c>
    </row>
    <row r="9443" spans="1:15">
      <c r="A9443" t="s">
        <v>72</v>
      </c>
      <c r="B9443" t="s">
        <v>149</v>
      </c>
      <c r="C9443" t="s">
        <v>204</v>
      </c>
      <c r="D9443" t="s">
        <v>333</v>
      </c>
      <c r="E9443" t="s">
        <v>453</v>
      </c>
      <c r="F9443">
        <f>HYPERLINK("https://www.wikidata.org/wiki/Q3111961", "Q3111961")</f>
        <v>0</v>
      </c>
      <c r="G9443" t="s">
        <v>3369</v>
      </c>
      <c r="H9443" t="s">
        <v>7766</v>
      </c>
      <c r="I9443" t="s">
        <v>9692</v>
      </c>
      <c r="J9443" t="s">
        <v>13981</v>
      </c>
      <c r="K9443" t="s">
        <v>18349</v>
      </c>
      <c r="L9443">
        <f>HYPERLINK("https://www2.assemblee-nationale.fr/sycomore/fiche/(num_dept)/5994", "5994")</f>
        <v>0</v>
      </c>
      <c r="M9443">
        <f>HYPERLINK("https://www.senat.fr/senateur-3eme-republique/poincare_raymond1024r3.html", "poincare_raymond1024r3")</f>
        <v>0</v>
      </c>
      <c r="N9443">
        <f>HYPERLINK("https://www.wikidata.org/wiki/Q191974", "Q191974")</f>
        <v>0</v>
      </c>
      <c r="O9443" t="s">
        <v>20066</v>
      </c>
    </row>
    <row r="9444" spans="1:15">
      <c r="A9444" t="s">
        <v>72</v>
      </c>
      <c r="B9444" t="s">
        <v>149</v>
      </c>
      <c r="C9444" t="s">
        <v>204</v>
      </c>
      <c r="D9444" t="s">
        <v>333</v>
      </c>
      <c r="E9444" t="s">
        <v>453</v>
      </c>
      <c r="F9444">
        <f>HYPERLINK("https://www.wikidata.org/wiki/Q3111961", "Q3111961")</f>
        <v>0</v>
      </c>
      <c r="G9444" t="s">
        <v>3290</v>
      </c>
      <c r="H9444" t="s">
        <v>7702</v>
      </c>
      <c r="I9444" t="s">
        <v>6584</v>
      </c>
      <c r="J9444" t="s">
        <v>13904</v>
      </c>
      <c r="K9444" t="s">
        <v>18275</v>
      </c>
      <c r="L9444">
        <f>HYPERLINK("https://www2.assemblee-nationale.fr/sycomore/fiche/(num_dept)/7443", "7443")</f>
        <v>0</v>
      </c>
      <c r="M9444">
        <f>HYPERLINK("https://www.senat.fr/senateur-3eme-republique/viger_albert0500r3.html", "viger_albert0500r3")</f>
        <v>0</v>
      </c>
      <c r="N9444">
        <f>HYPERLINK("https://www.wikidata.org/wiki/Q2153536", "Q2153536")</f>
        <v>0</v>
      </c>
      <c r="O9444" t="s">
        <v>20056</v>
      </c>
    </row>
    <row r="9445" spans="1:15">
      <c r="A9445" t="s">
        <v>72</v>
      </c>
      <c r="B9445" t="s">
        <v>149</v>
      </c>
      <c r="C9445" t="s">
        <v>204</v>
      </c>
      <c r="D9445" t="s">
        <v>333</v>
      </c>
      <c r="E9445" t="s">
        <v>453</v>
      </c>
      <c r="F9445">
        <f>HYPERLINK("https://www.wikidata.org/wiki/Q3111961", "Q3111961")</f>
        <v>0</v>
      </c>
      <c r="G9445" t="s">
        <v>857</v>
      </c>
      <c r="H9445" t="s">
        <v>5613</v>
      </c>
      <c r="I9445" t="s">
        <v>6175</v>
      </c>
      <c r="J9445" t="s">
        <v>11603</v>
      </c>
      <c r="K9445" t="s">
        <v>16005</v>
      </c>
      <c r="L9445">
        <f>HYPERLINK("https://www2.assemblee-nationale.fr/sycomore/fiche/(num_dept)/7840", "7840")</f>
        <v>0</v>
      </c>
      <c r="N9445">
        <f>HYPERLINK("https://www.wikidata.org/wiki/Q728806", "Q728806")</f>
        <v>0</v>
      </c>
      <c r="O9445" t="s">
        <v>20051</v>
      </c>
    </row>
    <row r="9446" spans="1:15">
      <c r="A9446" t="s">
        <v>72</v>
      </c>
      <c r="B9446" t="s">
        <v>149</v>
      </c>
      <c r="C9446" t="s">
        <v>204</v>
      </c>
      <c r="D9446" t="s">
        <v>333</v>
      </c>
      <c r="E9446" t="s">
        <v>453</v>
      </c>
      <c r="F9446">
        <f>HYPERLINK("https://www.wikidata.org/wiki/Q3111961", "Q3111961")</f>
        <v>0</v>
      </c>
      <c r="G9446" t="s">
        <v>3342</v>
      </c>
      <c r="H9446" t="s">
        <v>5387</v>
      </c>
      <c r="I9446" t="s">
        <v>9385</v>
      </c>
      <c r="J9446" t="s">
        <v>13955</v>
      </c>
      <c r="K9446" t="s">
        <v>18324</v>
      </c>
      <c r="L9446">
        <f>HYPERLINK("https://www2.assemblee-nationale.fr/sycomore/fiche/(num_dept)/10133", "10133")</f>
        <v>0</v>
      </c>
      <c r="M9446">
        <f>HYPERLINK("https://www.senat.fr/senateur-3eme-republique/dupuy_charles0513r3.html", "dupuy_charles0513r3")</f>
        <v>0</v>
      </c>
      <c r="N9446">
        <f>HYPERLINK("https://www.wikidata.org/wiki/Q356032", "Q356032")</f>
        <v>0</v>
      </c>
      <c r="O9446" t="s">
        <v>20113</v>
      </c>
    </row>
    <row r="9447" spans="1:15">
      <c r="A9447" t="s">
        <v>72</v>
      </c>
      <c r="B9447" t="s">
        <v>149</v>
      </c>
      <c r="C9447" t="s">
        <v>204</v>
      </c>
      <c r="D9447" t="s">
        <v>333</v>
      </c>
      <c r="E9447" t="s">
        <v>453</v>
      </c>
      <c r="F9447">
        <f>HYPERLINK("https://www.wikidata.org/wiki/Q3111961", "Q3111961")</f>
        <v>0</v>
      </c>
      <c r="G9447" t="s">
        <v>3342</v>
      </c>
      <c r="H9447" t="s">
        <v>5387</v>
      </c>
      <c r="I9447" t="s">
        <v>9385</v>
      </c>
      <c r="J9447" t="s">
        <v>13955</v>
      </c>
      <c r="K9447" t="s">
        <v>18324</v>
      </c>
      <c r="L9447">
        <f>HYPERLINK("https://www2.assemblee-nationale.fr/sycomore/fiche/(num_dept)/10133", "10133")</f>
        <v>0</v>
      </c>
      <c r="M9447">
        <f>HYPERLINK("https://www.senat.fr/senateur-3eme-republique/dupuy_charles0513r3.html", "dupuy_charles0513r3")</f>
        <v>0</v>
      </c>
      <c r="N9447">
        <f>HYPERLINK("https://www.wikidata.org/wiki/Q356032", "Q356032")</f>
        <v>0</v>
      </c>
      <c r="O9447" t="s">
        <v>20114</v>
      </c>
    </row>
    <row r="9448" spans="1:15">
      <c r="A9448" t="s">
        <v>72</v>
      </c>
      <c r="B9448" t="s">
        <v>149</v>
      </c>
      <c r="C9448" t="s">
        <v>204</v>
      </c>
      <c r="D9448" t="s">
        <v>333</v>
      </c>
      <c r="E9448" t="s">
        <v>453</v>
      </c>
      <c r="F9448">
        <f>HYPERLINK("https://www.wikidata.org/wiki/Q3111961", "Q3111961")</f>
        <v>0</v>
      </c>
      <c r="G9448" t="s">
        <v>4263</v>
      </c>
      <c r="H9448" t="s">
        <v>6235</v>
      </c>
      <c r="I9448" t="s">
        <v>9552</v>
      </c>
      <c r="J9448" t="s">
        <v>14764</v>
      </c>
      <c r="K9448" t="s">
        <v>19111</v>
      </c>
      <c r="M9448">
        <f>HYPERLINK("https://www.senat.fr/senateur-3eme-republique/mercier_auguste1293r3.html", "mercier_auguste1293r3")</f>
        <v>0</v>
      </c>
      <c r="N9448">
        <f>HYPERLINK("https://www.wikidata.org/wiki/Q766801", "Q766801")</f>
        <v>0</v>
      </c>
      <c r="O9448" t="s">
        <v>20057</v>
      </c>
    </row>
    <row r="9449" spans="1:15">
      <c r="A9449" t="s">
        <v>72</v>
      </c>
      <c r="B9449" t="s">
        <v>149</v>
      </c>
      <c r="C9449" t="s">
        <v>204</v>
      </c>
      <c r="D9449" t="s">
        <v>333</v>
      </c>
      <c r="E9449" t="s">
        <v>453</v>
      </c>
      <c r="F9449">
        <f>HYPERLINK("https://www.wikidata.org/wiki/Q3111961", "Q3111961")</f>
        <v>0</v>
      </c>
      <c r="G9449" t="s">
        <v>4297</v>
      </c>
      <c r="H9449" t="s">
        <v>6183</v>
      </c>
      <c r="I9449" t="s">
        <v>9465</v>
      </c>
      <c r="J9449" t="s">
        <v>14796</v>
      </c>
      <c r="K9449" t="s">
        <v>19139</v>
      </c>
      <c r="M9449">
        <f>HYPERLINK("https://www.senat.fr/senateur-3eme-republique/guerin_eugene1709r3.html", "guerin_eugene1709r3")</f>
        <v>0</v>
      </c>
      <c r="N9449">
        <f>HYPERLINK("https://www.wikidata.org/wiki/Q3059913", "Q3059913")</f>
        <v>0</v>
      </c>
      <c r="O9449" t="s">
        <v>20064</v>
      </c>
    </row>
    <row r="9450" spans="1:15">
      <c r="A9450" t="s">
        <v>72</v>
      </c>
      <c r="B9450" t="s">
        <v>149</v>
      </c>
      <c r="C9450" t="s">
        <v>204</v>
      </c>
      <c r="D9450" t="s">
        <v>333</v>
      </c>
      <c r="E9450" t="s">
        <v>453</v>
      </c>
      <c r="F9450">
        <f>HYPERLINK("https://www.wikidata.org/wiki/Q3111961", "Q3111961")</f>
        <v>0</v>
      </c>
      <c r="G9450" t="s">
        <v>4298</v>
      </c>
      <c r="H9450" t="s">
        <v>8456</v>
      </c>
      <c r="I9450" t="s">
        <v>9483</v>
      </c>
      <c r="J9450" t="s">
        <v>14363</v>
      </c>
      <c r="K9450" t="s">
        <v>17827</v>
      </c>
      <c r="N9450">
        <f>HYPERLINK("https://www.wikidata.org/wiki/Q3557423", "Q3557423")</f>
        <v>0</v>
      </c>
      <c r="O9450" t="s">
        <v>20115</v>
      </c>
    </row>
    <row r="9451" spans="1:15">
      <c r="A9451" t="s">
        <v>73</v>
      </c>
      <c r="B9451" t="s">
        <v>149</v>
      </c>
      <c r="C9451" t="s">
        <v>205</v>
      </c>
      <c r="D9451" t="s">
        <v>334</v>
      </c>
      <c r="E9451" t="s">
        <v>335</v>
      </c>
      <c r="F9451">
        <f>HYPERLINK("https://www.wikidata.org/wiki/Q3111963", "Q3111963")</f>
        <v>0</v>
      </c>
      <c r="G9451" t="s">
        <v>608</v>
      </c>
      <c r="H9451" t="s">
        <v>5368</v>
      </c>
      <c r="I9451" t="s">
        <v>9451</v>
      </c>
      <c r="J9451" t="s">
        <v>11359</v>
      </c>
      <c r="K9451" t="s">
        <v>15760</v>
      </c>
      <c r="L9451">
        <f>HYPERLINK("https://www2.assemblee-nationale.fr/sycomore/fiche/(num_dept)/2283", "2283")</f>
        <v>0</v>
      </c>
      <c r="N9451">
        <f>HYPERLINK("https://www.wikidata.org/wiki/Q503827", "Q503827")</f>
        <v>0</v>
      </c>
      <c r="O9451" t="s">
        <v>20062</v>
      </c>
    </row>
    <row r="9452" spans="1:15">
      <c r="A9452" t="s">
        <v>73</v>
      </c>
      <c r="B9452" t="s">
        <v>149</v>
      </c>
      <c r="C9452" t="s">
        <v>205</v>
      </c>
      <c r="D9452" t="s">
        <v>334</v>
      </c>
      <c r="E9452" t="s">
        <v>335</v>
      </c>
      <c r="F9452">
        <f>HYPERLINK("https://www.wikidata.org/wiki/Q3111963", "Q3111963")</f>
        <v>0</v>
      </c>
      <c r="G9452" t="s">
        <v>3764</v>
      </c>
      <c r="H9452" t="s">
        <v>8062</v>
      </c>
      <c r="I9452" t="s">
        <v>9388</v>
      </c>
      <c r="J9452" t="s">
        <v>14335</v>
      </c>
      <c r="K9452" t="s">
        <v>18688</v>
      </c>
      <c r="L9452">
        <f>HYPERLINK("https://www2.assemblee-nationale.fr/sycomore/fiche/(num_dept)/2325", "2325")</f>
        <v>0</v>
      </c>
      <c r="N9452">
        <f>HYPERLINK("https://www.wikidata.org/wiki/Q3371024", "Q3371024")</f>
        <v>0</v>
      </c>
      <c r="O9452" t="s">
        <v>20056</v>
      </c>
    </row>
    <row r="9453" spans="1:15">
      <c r="A9453" t="s">
        <v>73</v>
      </c>
      <c r="B9453" t="s">
        <v>149</v>
      </c>
      <c r="C9453" t="s">
        <v>205</v>
      </c>
      <c r="D9453" t="s">
        <v>334</v>
      </c>
      <c r="E9453" t="s">
        <v>335</v>
      </c>
      <c r="F9453">
        <f>HYPERLINK("https://www.wikidata.org/wiki/Q3111963", "Q3111963")</f>
        <v>0</v>
      </c>
      <c r="G9453" t="s">
        <v>3862</v>
      </c>
      <c r="H9453" t="s">
        <v>8132</v>
      </c>
      <c r="I9453" t="s">
        <v>9401</v>
      </c>
      <c r="J9453" t="s">
        <v>14421</v>
      </c>
      <c r="K9453" t="s">
        <v>18774</v>
      </c>
      <c r="L9453">
        <f>HYPERLINK("https://www2.assemblee-nationale.fr/sycomore/fiche/(num_dept)/3668", "3668")</f>
        <v>0</v>
      </c>
      <c r="N9453">
        <f>HYPERLINK("https://www.wikidata.org/wiki/Q3074087", "Q3074087")</f>
        <v>0</v>
      </c>
      <c r="O9453" t="s">
        <v>20065</v>
      </c>
    </row>
    <row r="9454" spans="1:15">
      <c r="A9454" t="s">
        <v>73</v>
      </c>
      <c r="B9454" t="s">
        <v>149</v>
      </c>
      <c r="C9454" t="s">
        <v>205</v>
      </c>
      <c r="D9454" t="s">
        <v>334</v>
      </c>
      <c r="E9454" t="s">
        <v>335</v>
      </c>
      <c r="F9454">
        <f>HYPERLINK("https://www.wikidata.org/wiki/Q3111963", "Q3111963")</f>
        <v>0</v>
      </c>
      <c r="G9454" t="s">
        <v>3637</v>
      </c>
      <c r="H9454" t="s">
        <v>7970</v>
      </c>
      <c r="I9454" t="s">
        <v>9506</v>
      </c>
      <c r="J9454" t="s">
        <v>14217</v>
      </c>
      <c r="K9454" t="s">
        <v>18581</v>
      </c>
      <c r="L9454">
        <f>HYPERLINK("https://www2.assemblee-nationale.fr/sycomore/fiche/(num_dept)/4153", "4153")</f>
        <v>0</v>
      </c>
      <c r="N9454">
        <f>HYPERLINK("https://www.wikidata.org/wiki/Q2934973", "Q2934973")</f>
        <v>0</v>
      </c>
      <c r="O9454" t="s">
        <v>20063</v>
      </c>
    </row>
    <row r="9455" spans="1:15">
      <c r="A9455" t="s">
        <v>73</v>
      </c>
      <c r="B9455" t="s">
        <v>149</v>
      </c>
      <c r="C9455" t="s">
        <v>205</v>
      </c>
      <c r="D9455" t="s">
        <v>334</v>
      </c>
      <c r="E9455" t="s">
        <v>335</v>
      </c>
      <c r="F9455">
        <f>HYPERLINK("https://www.wikidata.org/wiki/Q3111963", "Q3111963")</f>
        <v>0</v>
      </c>
      <c r="G9455" t="s">
        <v>3718</v>
      </c>
      <c r="H9455" t="s">
        <v>8028</v>
      </c>
      <c r="I9455" t="s">
        <v>5528</v>
      </c>
      <c r="J9455" t="s">
        <v>14293</v>
      </c>
      <c r="K9455" t="s">
        <v>18648</v>
      </c>
      <c r="L9455">
        <f>HYPERLINK("https://www2.assemblee-nationale.fr/sycomore/fiche/(num_dept)/5445", "5445")</f>
        <v>0</v>
      </c>
      <c r="M9455">
        <f>HYPERLINK("https://www.senat.fr/senateur-3eme-republique/mougeot_leon0865r3.html", "mougeot_leon0865r3")</f>
        <v>0</v>
      </c>
      <c r="N9455">
        <f>HYPERLINK("https://www.wikidata.org/wiki/Q3271218", "Q3271218")</f>
        <v>0</v>
      </c>
      <c r="O9455" t="s">
        <v>20266</v>
      </c>
    </row>
    <row r="9456" spans="1:15">
      <c r="A9456" t="s">
        <v>73</v>
      </c>
      <c r="B9456" t="s">
        <v>149</v>
      </c>
      <c r="C9456" t="s">
        <v>205</v>
      </c>
      <c r="D9456" t="s">
        <v>334</v>
      </c>
      <c r="E9456" t="s">
        <v>335</v>
      </c>
      <c r="F9456">
        <f>HYPERLINK("https://www.wikidata.org/wiki/Q3111963", "Q3111963")</f>
        <v>0</v>
      </c>
      <c r="G9456" t="s">
        <v>2965</v>
      </c>
      <c r="H9456" t="s">
        <v>5848</v>
      </c>
      <c r="I9456" t="s">
        <v>9388</v>
      </c>
      <c r="J9456" t="s">
        <v>13597</v>
      </c>
      <c r="K9456" t="s">
        <v>17983</v>
      </c>
      <c r="L9456">
        <f>HYPERLINK("https://www2.assemblee-nationale.fr/sycomore/fiche/(num_dept)/5873", "5873")</f>
        <v>0</v>
      </c>
      <c r="M9456">
        <f>HYPERLINK("https://www.senat.fr/senateur-3eme-republique/peytral_paul0322r3.html", "peytral_paul0322r3")</f>
        <v>0</v>
      </c>
      <c r="N9456">
        <f>HYPERLINK("https://www.wikidata.org/wiki/Q179491", "Q179491")</f>
        <v>0</v>
      </c>
      <c r="O9456" t="s">
        <v>20066</v>
      </c>
    </row>
    <row r="9457" spans="1:15">
      <c r="A9457" t="s">
        <v>73</v>
      </c>
      <c r="B9457" t="s">
        <v>149</v>
      </c>
      <c r="C9457" t="s">
        <v>205</v>
      </c>
      <c r="D9457" t="s">
        <v>334</v>
      </c>
      <c r="E9457" t="s">
        <v>335</v>
      </c>
      <c r="F9457">
        <f>HYPERLINK("https://www.wikidata.org/wiki/Q3111963", "Q3111963")</f>
        <v>0</v>
      </c>
      <c r="G9457" t="s">
        <v>3290</v>
      </c>
      <c r="H9457" t="s">
        <v>7702</v>
      </c>
      <c r="I9457" t="s">
        <v>6584</v>
      </c>
      <c r="J9457" t="s">
        <v>13904</v>
      </c>
      <c r="K9457" t="s">
        <v>18275</v>
      </c>
      <c r="L9457">
        <f>HYPERLINK("https://www2.assemblee-nationale.fr/sycomore/fiche/(num_dept)/7443", "7443")</f>
        <v>0</v>
      </c>
      <c r="M9457">
        <f>HYPERLINK("https://www.senat.fr/senateur-3eme-republique/viger_albert0500r3.html", "viger_albert0500r3")</f>
        <v>0</v>
      </c>
      <c r="N9457">
        <f>HYPERLINK("https://www.wikidata.org/wiki/Q2153536", "Q2153536")</f>
        <v>0</v>
      </c>
      <c r="O9457" t="s">
        <v>20115</v>
      </c>
    </row>
    <row r="9458" spans="1:15">
      <c r="A9458" t="s">
        <v>73</v>
      </c>
      <c r="B9458" t="s">
        <v>149</v>
      </c>
      <c r="C9458" t="s">
        <v>205</v>
      </c>
      <c r="D9458" t="s">
        <v>334</v>
      </c>
      <c r="E9458" t="s">
        <v>335</v>
      </c>
      <c r="F9458">
        <f>HYPERLINK("https://www.wikidata.org/wiki/Q3111963", "Q3111963")</f>
        <v>0</v>
      </c>
      <c r="G9458" t="s">
        <v>3739</v>
      </c>
      <c r="H9458" t="s">
        <v>6800</v>
      </c>
      <c r="I9458" t="s">
        <v>6175</v>
      </c>
      <c r="J9458" t="s">
        <v>14314</v>
      </c>
      <c r="K9458" t="s">
        <v>18665</v>
      </c>
      <c r="L9458">
        <f>HYPERLINK("https://www2.assemblee-nationale.fr/sycomore/fiche/(num_dept)/7650", "7650")</f>
        <v>0</v>
      </c>
      <c r="N9458">
        <f>HYPERLINK("https://www.wikidata.org/wiki/Q3103056", "Q3103056")</f>
        <v>0</v>
      </c>
      <c r="O9458" t="s">
        <v>20064</v>
      </c>
    </row>
    <row r="9459" spans="1:15">
      <c r="A9459" t="s">
        <v>73</v>
      </c>
      <c r="B9459" t="s">
        <v>149</v>
      </c>
      <c r="C9459" t="s">
        <v>205</v>
      </c>
      <c r="D9459" t="s">
        <v>334</v>
      </c>
      <c r="E9459" t="s">
        <v>335</v>
      </c>
      <c r="F9459">
        <f>HYPERLINK("https://www.wikidata.org/wiki/Q3111963", "Q3111963")</f>
        <v>0</v>
      </c>
      <c r="G9459" t="s">
        <v>3857</v>
      </c>
      <c r="H9459" t="s">
        <v>5610</v>
      </c>
      <c r="I9459" t="s">
        <v>9449</v>
      </c>
      <c r="J9459" t="s">
        <v>14416</v>
      </c>
      <c r="K9459" t="s">
        <v>18769</v>
      </c>
      <c r="L9459">
        <f>HYPERLINK("https://www2.assemblee-nationale.fr/sycomore/fiche/(num_dept)/7725", "7725")</f>
        <v>0</v>
      </c>
      <c r="N9459">
        <f>HYPERLINK("https://www.wikidata.org/wiki/Q3188725", "Q3188725")</f>
        <v>0</v>
      </c>
      <c r="O9459" t="s">
        <v>20184</v>
      </c>
    </row>
    <row r="9460" spans="1:15">
      <c r="A9460" t="s">
        <v>73</v>
      </c>
      <c r="B9460" t="s">
        <v>149</v>
      </c>
      <c r="C9460" t="s">
        <v>205</v>
      </c>
      <c r="D9460" t="s">
        <v>334</v>
      </c>
      <c r="E9460" t="s">
        <v>335</v>
      </c>
      <c r="F9460">
        <f>HYPERLINK("https://www.wikidata.org/wiki/Q3111963", "Q3111963")</f>
        <v>0</v>
      </c>
      <c r="G9460" t="s">
        <v>857</v>
      </c>
      <c r="H9460" t="s">
        <v>5613</v>
      </c>
      <c r="I9460" t="s">
        <v>6175</v>
      </c>
      <c r="J9460" t="s">
        <v>11603</v>
      </c>
      <c r="K9460" t="s">
        <v>16005</v>
      </c>
      <c r="L9460">
        <f>HYPERLINK("https://www2.assemblee-nationale.fr/sycomore/fiche/(num_dept)/7840", "7840")</f>
        <v>0</v>
      </c>
      <c r="N9460">
        <f>HYPERLINK("https://www.wikidata.org/wiki/Q728806", "Q728806")</f>
        <v>0</v>
      </c>
      <c r="O9460" t="s">
        <v>20186</v>
      </c>
    </row>
    <row r="9461" spans="1:15">
      <c r="A9461" t="s">
        <v>73</v>
      </c>
      <c r="B9461" t="s">
        <v>149</v>
      </c>
      <c r="C9461" t="s">
        <v>205</v>
      </c>
      <c r="D9461" t="s">
        <v>334</v>
      </c>
      <c r="E9461" t="s">
        <v>335</v>
      </c>
      <c r="F9461">
        <f>HYPERLINK("https://www.wikidata.org/wiki/Q3111963", "Q3111963")</f>
        <v>0</v>
      </c>
      <c r="G9461" t="s">
        <v>2717</v>
      </c>
      <c r="H9461" t="s">
        <v>7243</v>
      </c>
      <c r="I9461" t="s">
        <v>9728</v>
      </c>
      <c r="J9461" t="s">
        <v>13358</v>
      </c>
      <c r="K9461" t="s">
        <v>17758</v>
      </c>
      <c r="L9461">
        <f>HYPERLINK("https://www2.assemblee-nationale.fr/sycomore/fiche/(num_dept)/7875", "7875")</f>
        <v>0</v>
      </c>
      <c r="N9461">
        <f>HYPERLINK("https://www.wikidata.org/wiki/Q733836", "Q733836")</f>
        <v>0</v>
      </c>
      <c r="O9461" t="s">
        <v>20053</v>
      </c>
    </row>
    <row r="9462" spans="1:15">
      <c r="A9462" t="s">
        <v>73</v>
      </c>
      <c r="B9462" t="s">
        <v>149</v>
      </c>
      <c r="C9462" t="s">
        <v>205</v>
      </c>
      <c r="D9462" t="s">
        <v>334</v>
      </c>
      <c r="E9462" t="s">
        <v>335</v>
      </c>
      <c r="F9462">
        <f>HYPERLINK("https://www.wikidata.org/wiki/Q3111963", "Q3111963")</f>
        <v>0</v>
      </c>
      <c r="G9462" t="s">
        <v>3342</v>
      </c>
      <c r="H9462" t="s">
        <v>5387</v>
      </c>
      <c r="I9462" t="s">
        <v>9385</v>
      </c>
      <c r="J9462" t="s">
        <v>13955</v>
      </c>
      <c r="K9462" t="s">
        <v>18324</v>
      </c>
      <c r="L9462">
        <f>HYPERLINK("https://www2.assemblee-nationale.fr/sycomore/fiche/(num_dept)/10133", "10133")</f>
        <v>0</v>
      </c>
      <c r="M9462">
        <f>HYPERLINK("https://www.senat.fr/senateur-3eme-republique/dupuy_charles0513r3.html", "dupuy_charles0513r3")</f>
        <v>0</v>
      </c>
      <c r="N9462">
        <f>HYPERLINK("https://www.wikidata.org/wiki/Q356032", "Q356032")</f>
        <v>0</v>
      </c>
      <c r="O9462" t="s">
        <v>20113</v>
      </c>
    </row>
    <row r="9463" spans="1:15">
      <c r="A9463" t="s">
        <v>73</v>
      </c>
      <c r="B9463" t="s">
        <v>149</v>
      </c>
      <c r="C9463" t="s">
        <v>205</v>
      </c>
      <c r="D9463" t="s">
        <v>334</v>
      </c>
      <c r="E9463" t="s">
        <v>335</v>
      </c>
      <c r="F9463">
        <f>HYPERLINK("https://www.wikidata.org/wiki/Q3111963", "Q3111963")</f>
        <v>0</v>
      </c>
      <c r="G9463" t="s">
        <v>3342</v>
      </c>
      <c r="H9463" t="s">
        <v>5387</v>
      </c>
      <c r="I9463" t="s">
        <v>9385</v>
      </c>
      <c r="J9463" t="s">
        <v>13955</v>
      </c>
      <c r="K9463" t="s">
        <v>18324</v>
      </c>
      <c r="L9463">
        <f>HYPERLINK("https://www2.assemblee-nationale.fr/sycomore/fiche/(num_dept)/10133", "10133")</f>
        <v>0</v>
      </c>
      <c r="M9463">
        <f>HYPERLINK("https://www.senat.fr/senateur-3eme-republique/dupuy_charles0513r3.html", "dupuy_charles0513r3")</f>
        <v>0</v>
      </c>
      <c r="N9463">
        <f>HYPERLINK("https://www.wikidata.org/wiki/Q356032", "Q356032")</f>
        <v>0</v>
      </c>
      <c r="O9463" t="s">
        <v>20114</v>
      </c>
    </row>
    <row r="9464" spans="1:15">
      <c r="A9464" t="s">
        <v>73</v>
      </c>
      <c r="B9464" t="s">
        <v>149</v>
      </c>
      <c r="C9464" t="s">
        <v>205</v>
      </c>
      <c r="D9464" t="s">
        <v>334</v>
      </c>
      <c r="E9464" t="s">
        <v>335</v>
      </c>
      <c r="F9464">
        <f>HYPERLINK("https://www.wikidata.org/wiki/Q3111963", "Q3111963")</f>
        <v>0</v>
      </c>
      <c r="G9464" t="s">
        <v>4245</v>
      </c>
      <c r="H9464" t="s">
        <v>8418</v>
      </c>
      <c r="I9464" t="s">
        <v>9385</v>
      </c>
      <c r="J9464" t="s">
        <v>14751</v>
      </c>
      <c r="K9464" t="s">
        <v>19097</v>
      </c>
      <c r="M9464">
        <f>HYPERLINK("https://www.senat.fr/senateur-3eme-republique/de_saulces_de_freycinet_louis1713r3.html", "de_saulces_de_freycinet_louis1713r3")</f>
        <v>0</v>
      </c>
      <c r="N9464">
        <f>HYPERLINK("https://www.wikidata.org/wiki/Q317957", "Q317957")</f>
        <v>0</v>
      </c>
      <c r="O9464" t="s">
        <v>20057</v>
      </c>
    </row>
    <row r="9465" spans="1:15">
      <c r="A9465" t="s">
        <v>74</v>
      </c>
      <c r="B9465" t="s">
        <v>149</v>
      </c>
      <c r="C9465" t="s">
        <v>206</v>
      </c>
      <c r="D9465" t="s">
        <v>335</v>
      </c>
      <c r="E9465" t="s">
        <v>454</v>
      </c>
      <c r="F9465">
        <f>HYPERLINK("https://www.wikidata.org/wiki/Q3111962", "Q3111962")</f>
        <v>0</v>
      </c>
      <c r="G9465" t="s">
        <v>608</v>
      </c>
      <c r="H9465" t="s">
        <v>5368</v>
      </c>
      <c r="I9465" t="s">
        <v>9451</v>
      </c>
      <c r="J9465" t="s">
        <v>11359</v>
      </c>
      <c r="K9465" t="s">
        <v>15760</v>
      </c>
      <c r="L9465">
        <f>HYPERLINK("https://www2.assemblee-nationale.fr/sycomore/fiche/(num_dept)/2283", "2283")</f>
        <v>0</v>
      </c>
      <c r="N9465">
        <f>HYPERLINK("https://www.wikidata.org/wiki/Q503827", "Q503827")</f>
        <v>0</v>
      </c>
      <c r="O9465" t="s">
        <v>20062</v>
      </c>
    </row>
    <row r="9466" spans="1:15">
      <c r="A9466" t="s">
        <v>74</v>
      </c>
      <c r="B9466" t="s">
        <v>149</v>
      </c>
      <c r="C9466" t="s">
        <v>206</v>
      </c>
      <c r="D9466" t="s">
        <v>335</v>
      </c>
      <c r="E9466" t="s">
        <v>454</v>
      </c>
      <c r="F9466">
        <f>HYPERLINK("https://www.wikidata.org/wiki/Q3111962", "Q3111962")</f>
        <v>0</v>
      </c>
      <c r="G9466" t="s">
        <v>3764</v>
      </c>
      <c r="H9466" t="s">
        <v>8062</v>
      </c>
      <c r="I9466" t="s">
        <v>9388</v>
      </c>
      <c r="J9466" t="s">
        <v>14335</v>
      </c>
      <c r="K9466" t="s">
        <v>18688</v>
      </c>
      <c r="L9466">
        <f>HYPERLINK("https://www2.assemblee-nationale.fr/sycomore/fiche/(num_dept)/2325", "2325")</f>
        <v>0</v>
      </c>
      <c r="N9466">
        <f>HYPERLINK("https://www.wikidata.org/wiki/Q3371024", "Q3371024")</f>
        <v>0</v>
      </c>
      <c r="O9466" t="s">
        <v>20115</v>
      </c>
    </row>
    <row r="9467" spans="1:15">
      <c r="A9467" t="s">
        <v>74</v>
      </c>
      <c r="B9467" t="s">
        <v>149</v>
      </c>
      <c r="C9467" t="s">
        <v>206</v>
      </c>
      <c r="D9467" t="s">
        <v>335</v>
      </c>
      <c r="E9467" t="s">
        <v>454</v>
      </c>
      <c r="F9467">
        <f>HYPERLINK("https://www.wikidata.org/wiki/Q3111962", "Q3111962")</f>
        <v>0</v>
      </c>
      <c r="G9467" t="s">
        <v>3862</v>
      </c>
      <c r="H9467" t="s">
        <v>8132</v>
      </c>
      <c r="I9467" t="s">
        <v>9401</v>
      </c>
      <c r="J9467" t="s">
        <v>14421</v>
      </c>
      <c r="K9467" t="s">
        <v>18774</v>
      </c>
      <c r="L9467">
        <f>HYPERLINK("https://www2.assemblee-nationale.fr/sycomore/fiche/(num_dept)/3668", "3668")</f>
        <v>0</v>
      </c>
      <c r="N9467">
        <f>HYPERLINK("https://www.wikidata.org/wiki/Q3074087", "Q3074087")</f>
        <v>0</v>
      </c>
      <c r="O9467" t="s">
        <v>20065</v>
      </c>
    </row>
    <row r="9468" spans="1:15">
      <c r="A9468" t="s">
        <v>74</v>
      </c>
      <c r="B9468" t="s">
        <v>149</v>
      </c>
      <c r="C9468" t="s">
        <v>206</v>
      </c>
      <c r="D9468" t="s">
        <v>335</v>
      </c>
      <c r="E9468" t="s">
        <v>454</v>
      </c>
      <c r="F9468">
        <f>HYPERLINK("https://www.wikidata.org/wiki/Q3111962", "Q3111962")</f>
        <v>0</v>
      </c>
      <c r="G9468" t="s">
        <v>3637</v>
      </c>
      <c r="H9468" t="s">
        <v>7970</v>
      </c>
      <c r="I9468" t="s">
        <v>9506</v>
      </c>
      <c r="J9468" t="s">
        <v>14217</v>
      </c>
      <c r="K9468" t="s">
        <v>18581</v>
      </c>
      <c r="L9468">
        <f>HYPERLINK("https://www2.assemblee-nationale.fr/sycomore/fiche/(num_dept)/4153", "4153")</f>
        <v>0</v>
      </c>
      <c r="N9468">
        <f>HYPERLINK("https://www.wikidata.org/wiki/Q2934973", "Q2934973")</f>
        <v>0</v>
      </c>
      <c r="O9468" t="s">
        <v>20057</v>
      </c>
    </row>
    <row r="9469" spans="1:15">
      <c r="A9469" t="s">
        <v>74</v>
      </c>
      <c r="B9469" t="s">
        <v>149</v>
      </c>
      <c r="C9469" t="s">
        <v>206</v>
      </c>
      <c r="D9469" t="s">
        <v>335</v>
      </c>
      <c r="E9469" t="s">
        <v>454</v>
      </c>
      <c r="F9469">
        <f>HYPERLINK("https://www.wikidata.org/wiki/Q3111962", "Q3111962")</f>
        <v>0</v>
      </c>
      <c r="G9469" t="s">
        <v>3637</v>
      </c>
      <c r="H9469" t="s">
        <v>7970</v>
      </c>
      <c r="I9469" t="s">
        <v>9506</v>
      </c>
      <c r="J9469" t="s">
        <v>14217</v>
      </c>
      <c r="K9469" t="s">
        <v>18581</v>
      </c>
      <c r="L9469">
        <f>HYPERLINK("https://www2.assemblee-nationale.fr/sycomore/fiche/(num_dept)/4153", "4153")</f>
        <v>0</v>
      </c>
      <c r="N9469">
        <f>HYPERLINK("https://www.wikidata.org/wiki/Q2934973", "Q2934973")</f>
        <v>0</v>
      </c>
      <c r="O9469" t="s">
        <v>20063</v>
      </c>
    </row>
    <row r="9470" spans="1:15">
      <c r="A9470" t="s">
        <v>74</v>
      </c>
      <c r="B9470" t="s">
        <v>149</v>
      </c>
      <c r="C9470" t="s">
        <v>206</v>
      </c>
      <c r="D9470" t="s">
        <v>335</v>
      </c>
      <c r="E9470" t="s">
        <v>454</v>
      </c>
      <c r="F9470">
        <f>HYPERLINK("https://www.wikidata.org/wiki/Q3111962", "Q3111962")</f>
        <v>0</v>
      </c>
      <c r="G9470" t="s">
        <v>734</v>
      </c>
      <c r="H9470" t="s">
        <v>5492</v>
      </c>
      <c r="I9470" t="s">
        <v>6200</v>
      </c>
      <c r="J9470" t="s">
        <v>11483</v>
      </c>
      <c r="K9470" t="s">
        <v>15885</v>
      </c>
      <c r="L9470">
        <f>HYPERLINK("https://www2.assemblee-nationale.fr/sycomore/fiche/(num_dept)/5337", "5337")</f>
        <v>0</v>
      </c>
      <c r="M9470">
        <f>HYPERLINK("https://www.senat.fr/senateur-3eme-republique/monestier_clement0859r3.html", "monestier_clement0859r3")</f>
        <v>0</v>
      </c>
      <c r="N9470">
        <f>HYPERLINK("https://www.wikidata.org/wiki/Q3173571", "Q3173571")</f>
        <v>0</v>
      </c>
      <c r="O9470" t="s">
        <v>20063</v>
      </c>
    </row>
    <row r="9471" spans="1:15">
      <c r="A9471" t="s">
        <v>74</v>
      </c>
      <c r="B9471" t="s">
        <v>149</v>
      </c>
      <c r="C9471" t="s">
        <v>206</v>
      </c>
      <c r="D9471" t="s">
        <v>335</v>
      </c>
      <c r="E9471" t="s">
        <v>454</v>
      </c>
      <c r="F9471">
        <f>HYPERLINK("https://www.wikidata.org/wiki/Q3111962", "Q3111962")</f>
        <v>0</v>
      </c>
      <c r="G9471" t="s">
        <v>3718</v>
      </c>
      <c r="H9471" t="s">
        <v>8028</v>
      </c>
      <c r="I9471" t="s">
        <v>5528</v>
      </c>
      <c r="J9471" t="s">
        <v>14293</v>
      </c>
      <c r="K9471" t="s">
        <v>18648</v>
      </c>
      <c r="L9471">
        <f>HYPERLINK("https://www2.assemblee-nationale.fr/sycomore/fiche/(num_dept)/5445", "5445")</f>
        <v>0</v>
      </c>
      <c r="M9471">
        <f>HYPERLINK("https://www.senat.fr/senateur-3eme-republique/mougeot_leon0865r3.html", "mougeot_leon0865r3")</f>
        <v>0</v>
      </c>
      <c r="N9471">
        <f>HYPERLINK("https://www.wikidata.org/wiki/Q3271218", "Q3271218")</f>
        <v>0</v>
      </c>
      <c r="O9471" t="s">
        <v>20266</v>
      </c>
    </row>
    <row r="9472" spans="1:15">
      <c r="A9472" t="s">
        <v>74</v>
      </c>
      <c r="B9472" t="s">
        <v>149</v>
      </c>
      <c r="C9472" t="s">
        <v>206</v>
      </c>
      <c r="D9472" t="s">
        <v>335</v>
      </c>
      <c r="E9472" t="s">
        <v>454</v>
      </c>
      <c r="F9472">
        <f>HYPERLINK("https://www.wikidata.org/wiki/Q3111962", "Q3111962")</f>
        <v>0</v>
      </c>
      <c r="G9472" t="s">
        <v>2965</v>
      </c>
      <c r="H9472" t="s">
        <v>5848</v>
      </c>
      <c r="I9472" t="s">
        <v>9388</v>
      </c>
      <c r="J9472" t="s">
        <v>13597</v>
      </c>
      <c r="K9472" t="s">
        <v>17983</v>
      </c>
      <c r="L9472">
        <f>HYPERLINK("https://www2.assemblee-nationale.fr/sycomore/fiche/(num_dept)/5873", "5873")</f>
        <v>0</v>
      </c>
      <c r="M9472">
        <f>HYPERLINK("https://www.senat.fr/senateur-3eme-republique/peytral_paul0322r3.html", "peytral_paul0322r3")</f>
        <v>0</v>
      </c>
      <c r="N9472">
        <f>HYPERLINK("https://www.wikidata.org/wiki/Q179491", "Q179491")</f>
        <v>0</v>
      </c>
      <c r="O9472" t="s">
        <v>20066</v>
      </c>
    </row>
    <row r="9473" spans="1:15">
      <c r="A9473" t="s">
        <v>74</v>
      </c>
      <c r="B9473" t="s">
        <v>149</v>
      </c>
      <c r="C9473" t="s">
        <v>206</v>
      </c>
      <c r="D9473" t="s">
        <v>335</v>
      </c>
      <c r="E9473" t="s">
        <v>454</v>
      </c>
      <c r="F9473">
        <f>HYPERLINK("https://www.wikidata.org/wiki/Q3111962", "Q3111962")</f>
        <v>0</v>
      </c>
      <c r="G9473" t="s">
        <v>3290</v>
      </c>
      <c r="H9473" t="s">
        <v>7702</v>
      </c>
      <c r="I9473" t="s">
        <v>6584</v>
      </c>
      <c r="J9473" t="s">
        <v>13904</v>
      </c>
      <c r="K9473" t="s">
        <v>18275</v>
      </c>
      <c r="L9473">
        <f>HYPERLINK("https://www2.assemblee-nationale.fr/sycomore/fiche/(num_dept)/7443", "7443")</f>
        <v>0</v>
      </c>
      <c r="M9473">
        <f>HYPERLINK("https://www.senat.fr/senateur-3eme-republique/viger_albert0500r3.html", "viger_albert0500r3")</f>
        <v>0</v>
      </c>
      <c r="N9473">
        <f>HYPERLINK("https://www.wikidata.org/wiki/Q2153536", "Q2153536")</f>
        <v>0</v>
      </c>
      <c r="O9473" t="s">
        <v>20056</v>
      </c>
    </row>
    <row r="9474" spans="1:15">
      <c r="A9474" t="s">
        <v>74</v>
      </c>
      <c r="B9474" t="s">
        <v>149</v>
      </c>
      <c r="C9474" t="s">
        <v>206</v>
      </c>
      <c r="D9474" t="s">
        <v>335</v>
      </c>
      <c r="E9474" t="s">
        <v>454</v>
      </c>
      <c r="F9474">
        <f>HYPERLINK("https://www.wikidata.org/wiki/Q3111962", "Q3111962")</f>
        <v>0</v>
      </c>
      <c r="G9474" t="s">
        <v>3739</v>
      </c>
      <c r="H9474" t="s">
        <v>6800</v>
      </c>
      <c r="I9474" t="s">
        <v>6175</v>
      </c>
      <c r="J9474" t="s">
        <v>14314</v>
      </c>
      <c r="K9474" t="s">
        <v>18665</v>
      </c>
      <c r="L9474">
        <f>HYPERLINK("https://www2.assemblee-nationale.fr/sycomore/fiche/(num_dept)/7650", "7650")</f>
        <v>0</v>
      </c>
      <c r="N9474">
        <f>HYPERLINK("https://www.wikidata.org/wiki/Q3103056", "Q3103056")</f>
        <v>0</v>
      </c>
      <c r="O9474" t="s">
        <v>20064</v>
      </c>
    </row>
    <row r="9475" spans="1:15">
      <c r="A9475" t="s">
        <v>74</v>
      </c>
      <c r="B9475" t="s">
        <v>149</v>
      </c>
      <c r="C9475" t="s">
        <v>206</v>
      </c>
      <c r="D9475" t="s">
        <v>335</v>
      </c>
      <c r="E9475" t="s">
        <v>454</v>
      </c>
      <c r="F9475">
        <f>HYPERLINK("https://www.wikidata.org/wiki/Q3111962", "Q3111962")</f>
        <v>0</v>
      </c>
      <c r="G9475" t="s">
        <v>3857</v>
      </c>
      <c r="H9475" t="s">
        <v>5610</v>
      </c>
      <c r="I9475" t="s">
        <v>9449</v>
      </c>
      <c r="J9475" t="s">
        <v>14416</v>
      </c>
      <c r="K9475" t="s">
        <v>18769</v>
      </c>
      <c r="L9475">
        <f>HYPERLINK("https://www2.assemblee-nationale.fr/sycomore/fiche/(num_dept)/7725", "7725")</f>
        <v>0</v>
      </c>
      <c r="N9475">
        <f>HYPERLINK("https://www.wikidata.org/wiki/Q3188725", "Q3188725")</f>
        <v>0</v>
      </c>
      <c r="O9475" t="s">
        <v>20184</v>
      </c>
    </row>
    <row r="9476" spans="1:15">
      <c r="A9476" t="s">
        <v>74</v>
      </c>
      <c r="B9476" t="s">
        <v>149</v>
      </c>
      <c r="C9476" t="s">
        <v>206</v>
      </c>
      <c r="D9476" t="s">
        <v>335</v>
      </c>
      <c r="E9476" t="s">
        <v>454</v>
      </c>
      <c r="F9476">
        <f>HYPERLINK("https://www.wikidata.org/wiki/Q3111962", "Q3111962")</f>
        <v>0</v>
      </c>
      <c r="G9476" t="s">
        <v>857</v>
      </c>
      <c r="H9476" t="s">
        <v>5613</v>
      </c>
      <c r="I9476" t="s">
        <v>6175</v>
      </c>
      <c r="J9476" t="s">
        <v>11603</v>
      </c>
      <c r="K9476" t="s">
        <v>16005</v>
      </c>
      <c r="L9476">
        <f>HYPERLINK("https://www2.assemblee-nationale.fr/sycomore/fiche/(num_dept)/7840", "7840")</f>
        <v>0</v>
      </c>
      <c r="N9476">
        <f>HYPERLINK("https://www.wikidata.org/wiki/Q728806", "Q728806")</f>
        <v>0</v>
      </c>
      <c r="O9476" t="s">
        <v>20186</v>
      </c>
    </row>
    <row r="9477" spans="1:15">
      <c r="A9477" t="s">
        <v>74</v>
      </c>
      <c r="B9477" t="s">
        <v>149</v>
      </c>
      <c r="C9477" t="s">
        <v>206</v>
      </c>
      <c r="D9477" t="s">
        <v>335</v>
      </c>
      <c r="E9477" t="s">
        <v>454</v>
      </c>
      <c r="F9477">
        <f>HYPERLINK("https://www.wikidata.org/wiki/Q3111962", "Q3111962")</f>
        <v>0</v>
      </c>
      <c r="G9477" t="s">
        <v>2717</v>
      </c>
      <c r="H9477" t="s">
        <v>7243</v>
      </c>
      <c r="I9477" t="s">
        <v>9728</v>
      </c>
      <c r="J9477" t="s">
        <v>13358</v>
      </c>
      <c r="K9477" t="s">
        <v>17758</v>
      </c>
      <c r="L9477">
        <f>HYPERLINK("https://www2.assemblee-nationale.fr/sycomore/fiche/(num_dept)/7875", "7875")</f>
        <v>0</v>
      </c>
      <c r="N9477">
        <f>HYPERLINK("https://www.wikidata.org/wiki/Q733836", "Q733836")</f>
        <v>0</v>
      </c>
      <c r="O9477" t="s">
        <v>20053</v>
      </c>
    </row>
    <row r="9478" spans="1:15">
      <c r="A9478" t="s">
        <v>74</v>
      </c>
      <c r="B9478" t="s">
        <v>149</v>
      </c>
      <c r="C9478" t="s">
        <v>206</v>
      </c>
      <c r="D9478" t="s">
        <v>335</v>
      </c>
      <c r="E9478" t="s">
        <v>454</v>
      </c>
      <c r="F9478">
        <f>HYPERLINK("https://www.wikidata.org/wiki/Q3111962", "Q3111962")</f>
        <v>0</v>
      </c>
      <c r="G9478" t="s">
        <v>3342</v>
      </c>
      <c r="H9478" t="s">
        <v>5387</v>
      </c>
      <c r="I9478" t="s">
        <v>9385</v>
      </c>
      <c r="J9478" t="s">
        <v>13955</v>
      </c>
      <c r="K9478" t="s">
        <v>18324</v>
      </c>
      <c r="L9478">
        <f>HYPERLINK("https://www2.assemblee-nationale.fr/sycomore/fiche/(num_dept)/10133", "10133")</f>
        <v>0</v>
      </c>
      <c r="M9478">
        <f>HYPERLINK("https://www.senat.fr/senateur-3eme-republique/dupuy_charles0513r3.html", "dupuy_charles0513r3")</f>
        <v>0</v>
      </c>
      <c r="N9478">
        <f>HYPERLINK("https://www.wikidata.org/wiki/Q356032", "Q356032")</f>
        <v>0</v>
      </c>
      <c r="O9478" t="s">
        <v>20113</v>
      </c>
    </row>
    <row r="9479" spans="1:15">
      <c r="A9479" t="s">
        <v>74</v>
      </c>
      <c r="B9479" t="s">
        <v>149</v>
      </c>
      <c r="C9479" t="s">
        <v>206</v>
      </c>
      <c r="D9479" t="s">
        <v>335</v>
      </c>
      <c r="E9479" t="s">
        <v>454</v>
      </c>
      <c r="F9479">
        <f>HYPERLINK("https://www.wikidata.org/wiki/Q3111962", "Q3111962")</f>
        <v>0</v>
      </c>
      <c r="G9479" t="s">
        <v>3342</v>
      </c>
      <c r="H9479" t="s">
        <v>5387</v>
      </c>
      <c r="I9479" t="s">
        <v>9385</v>
      </c>
      <c r="J9479" t="s">
        <v>13955</v>
      </c>
      <c r="K9479" t="s">
        <v>18324</v>
      </c>
      <c r="L9479">
        <f>HYPERLINK("https://www2.assemblee-nationale.fr/sycomore/fiche/(num_dept)/10133", "10133")</f>
        <v>0</v>
      </c>
      <c r="M9479">
        <f>HYPERLINK("https://www.senat.fr/senateur-3eme-republique/dupuy_charles0513r3.html", "dupuy_charles0513r3")</f>
        <v>0</v>
      </c>
      <c r="N9479">
        <f>HYPERLINK("https://www.wikidata.org/wiki/Q356032", "Q356032")</f>
        <v>0</v>
      </c>
      <c r="O9479" t="s">
        <v>20114</v>
      </c>
    </row>
    <row r="9480" spans="1:15">
      <c r="A9480" t="s">
        <v>74</v>
      </c>
      <c r="B9480" t="s">
        <v>149</v>
      </c>
      <c r="C9480" t="s">
        <v>206</v>
      </c>
      <c r="D9480" t="s">
        <v>335</v>
      </c>
      <c r="E9480" t="s">
        <v>454</v>
      </c>
      <c r="F9480">
        <f>HYPERLINK("https://www.wikidata.org/wiki/Q3111962", "Q3111962")</f>
        <v>0</v>
      </c>
      <c r="G9480" t="s">
        <v>4245</v>
      </c>
      <c r="H9480" t="s">
        <v>8418</v>
      </c>
      <c r="I9480" t="s">
        <v>9385</v>
      </c>
      <c r="J9480" t="s">
        <v>14751</v>
      </c>
      <c r="K9480" t="s">
        <v>19097</v>
      </c>
      <c r="M9480">
        <f>HYPERLINK("https://www.senat.fr/senateur-3eme-republique/de_saulces_de_freycinet_louis1713r3.html", "de_saulces_de_freycinet_louis1713r3")</f>
        <v>0</v>
      </c>
      <c r="N9480">
        <f>HYPERLINK("https://www.wikidata.org/wiki/Q317957", "Q317957")</f>
        <v>0</v>
      </c>
      <c r="O9480" t="s">
        <v>20057</v>
      </c>
    </row>
    <row r="9481" spans="1:15">
      <c r="A9481" t="s">
        <v>75</v>
      </c>
      <c r="B9481" t="s">
        <v>149</v>
      </c>
      <c r="C9481" t="s">
        <v>207</v>
      </c>
      <c r="D9481" t="s">
        <v>336</v>
      </c>
      <c r="E9481" t="s">
        <v>455</v>
      </c>
      <c r="F9481">
        <f>HYPERLINK("https://www.wikidata.org/wiki/Q2448325", "Q2448325")</f>
        <v>0</v>
      </c>
      <c r="G9481" t="s">
        <v>2489</v>
      </c>
      <c r="H9481" t="s">
        <v>7062</v>
      </c>
      <c r="I9481" t="s">
        <v>9385</v>
      </c>
      <c r="J9481" t="s">
        <v>13133</v>
      </c>
      <c r="K9481" t="s">
        <v>17542</v>
      </c>
      <c r="L9481">
        <f>HYPERLINK("https://www2.assemblee-nationale.fr/sycomore/fiche/(num_dept)/337", "337")</f>
        <v>0</v>
      </c>
      <c r="N9481">
        <f>HYPERLINK("https://www.wikidata.org/wiki/Q2958501", "Q2958501")</f>
        <v>0</v>
      </c>
      <c r="O9481" t="s">
        <v>20208</v>
      </c>
    </row>
    <row r="9482" spans="1:15">
      <c r="A9482" t="s">
        <v>75</v>
      </c>
      <c r="B9482" t="s">
        <v>149</v>
      </c>
      <c r="C9482" t="s">
        <v>207</v>
      </c>
      <c r="D9482" t="s">
        <v>336</v>
      </c>
      <c r="E9482" t="s">
        <v>455</v>
      </c>
      <c r="F9482">
        <f>HYPERLINK("https://www.wikidata.org/wiki/Q2448325", "Q2448325")</f>
        <v>0</v>
      </c>
      <c r="G9482" t="s">
        <v>2554</v>
      </c>
      <c r="H9482" t="s">
        <v>7113</v>
      </c>
      <c r="I9482" t="s">
        <v>9449</v>
      </c>
      <c r="J9482" t="s">
        <v>13198</v>
      </c>
      <c r="K9482" t="s">
        <v>17603</v>
      </c>
      <c r="L9482">
        <f>HYPERLINK("https://www2.assemblee-nationale.fr/sycomore/fiche/(num_dept)/2474", "2474")</f>
        <v>0</v>
      </c>
      <c r="M9482">
        <f>HYPERLINK("https://www.senat.fr/senateur-3eme-republique/develle_jules1013r3.html", "develle_jules1013r3")</f>
        <v>0</v>
      </c>
      <c r="N9482">
        <f>HYPERLINK("https://www.wikidata.org/wiki/Q939193", "Q939193")</f>
        <v>0</v>
      </c>
      <c r="O9482" t="s">
        <v>20267</v>
      </c>
    </row>
    <row r="9483" spans="1:15">
      <c r="A9483" t="s">
        <v>75</v>
      </c>
      <c r="B9483" t="s">
        <v>149</v>
      </c>
      <c r="C9483" t="s">
        <v>207</v>
      </c>
      <c r="D9483" t="s">
        <v>336</v>
      </c>
      <c r="E9483" t="s">
        <v>455</v>
      </c>
      <c r="F9483">
        <f>HYPERLINK("https://www.wikidata.org/wiki/Q2448325", "Q2448325")</f>
        <v>0</v>
      </c>
      <c r="G9483" t="s">
        <v>2570</v>
      </c>
      <c r="H9483" t="s">
        <v>6156</v>
      </c>
      <c r="I9483" t="s">
        <v>7790</v>
      </c>
      <c r="J9483" t="s">
        <v>13214</v>
      </c>
      <c r="K9483" t="s">
        <v>17617</v>
      </c>
      <c r="L9483">
        <f>HYPERLINK("https://www2.assemblee-nationale.fr/sycomore/fiche/(num_dept)/2901", "2901")</f>
        <v>0</v>
      </c>
      <c r="M9483">
        <f>HYPERLINK("https://www.senat.fr/senateur-3eme-republique/fallieres_armand0754r3.html", "fallieres_armand0754r3")</f>
        <v>0</v>
      </c>
      <c r="N9483">
        <f>HYPERLINK("https://www.wikidata.org/wiki/Q296673", "Q296673")</f>
        <v>0</v>
      </c>
      <c r="O9483" t="s">
        <v>20117</v>
      </c>
    </row>
    <row r="9484" spans="1:15">
      <c r="A9484" t="s">
        <v>75</v>
      </c>
      <c r="B9484" t="s">
        <v>149</v>
      </c>
      <c r="C9484" t="s">
        <v>207</v>
      </c>
      <c r="D9484" t="s">
        <v>336</v>
      </c>
      <c r="E9484" t="s">
        <v>455</v>
      </c>
      <c r="F9484">
        <f>HYPERLINK("https://www.wikidata.org/wiki/Q2448325", "Q2448325")</f>
        <v>0</v>
      </c>
      <c r="G9484" t="s">
        <v>2570</v>
      </c>
      <c r="H9484" t="s">
        <v>6156</v>
      </c>
      <c r="I9484" t="s">
        <v>7790</v>
      </c>
      <c r="J9484" t="s">
        <v>13214</v>
      </c>
      <c r="K9484" t="s">
        <v>17617</v>
      </c>
      <c r="L9484">
        <f>HYPERLINK("https://www2.assemblee-nationale.fr/sycomore/fiche/(num_dept)/2901", "2901")</f>
        <v>0</v>
      </c>
      <c r="M9484">
        <f>HYPERLINK("https://www.senat.fr/senateur-3eme-republique/fallieres_armand0754r3.html", "fallieres_armand0754r3")</f>
        <v>0</v>
      </c>
      <c r="N9484">
        <f>HYPERLINK("https://www.wikidata.org/wiki/Q296673", "Q296673")</f>
        <v>0</v>
      </c>
      <c r="O9484" t="s">
        <v>20062</v>
      </c>
    </row>
    <row r="9485" spans="1:15">
      <c r="A9485" t="s">
        <v>75</v>
      </c>
      <c r="B9485" t="s">
        <v>149</v>
      </c>
      <c r="C9485" t="s">
        <v>207</v>
      </c>
      <c r="D9485" t="s">
        <v>336</v>
      </c>
      <c r="E9485" t="s">
        <v>455</v>
      </c>
      <c r="F9485">
        <f>HYPERLINK("https://www.wikidata.org/wiki/Q2448325", "Q2448325")</f>
        <v>0</v>
      </c>
      <c r="G9485" t="s">
        <v>2570</v>
      </c>
      <c r="H9485" t="s">
        <v>6156</v>
      </c>
      <c r="I9485" t="s">
        <v>7790</v>
      </c>
      <c r="J9485" t="s">
        <v>13214</v>
      </c>
      <c r="K9485" t="s">
        <v>17617</v>
      </c>
      <c r="L9485">
        <f>HYPERLINK("https://www2.assemblee-nationale.fr/sycomore/fiche/(num_dept)/2901", "2901")</f>
        <v>0</v>
      </c>
      <c r="M9485">
        <f>HYPERLINK("https://www.senat.fr/senateur-3eme-republique/fallieres_armand0754r3.html", "fallieres_armand0754r3")</f>
        <v>0</v>
      </c>
      <c r="N9485">
        <f>HYPERLINK("https://www.wikidata.org/wiki/Q296673", "Q296673")</f>
        <v>0</v>
      </c>
      <c r="O9485" t="s">
        <v>20052</v>
      </c>
    </row>
    <row r="9486" spans="1:15">
      <c r="A9486" t="s">
        <v>75</v>
      </c>
      <c r="B9486" t="s">
        <v>149</v>
      </c>
      <c r="C9486" t="s">
        <v>207</v>
      </c>
      <c r="D9486" t="s">
        <v>336</v>
      </c>
      <c r="E9486" t="s">
        <v>455</v>
      </c>
      <c r="F9486">
        <f>HYPERLINK("https://www.wikidata.org/wiki/Q2448325", "Q2448325")</f>
        <v>0</v>
      </c>
      <c r="G9486" t="s">
        <v>2964</v>
      </c>
      <c r="H9486" t="s">
        <v>7434</v>
      </c>
      <c r="I9486" t="s">
        <v>6166</v>
      </c>
      <c r="J9486" t="s">
        <v>13596</v>
      </c>
      <c r="K9486" t="s">
        <v>17982</v>
      </c>
      <c r="L9486">
        <f>HYPERLINK("https://www2.assemblee-nationale.fr/sycomore/fiche/(num_dept)/4897", "4897")</f>
        <v>0</v>
      </c>
      <c r="N9486">
        <f>HYPERLINK("https://www.wikidata.org/wiki/Q962478", "Q962478")</f>
        <v>0</v>
      </c>
      <c r="O9486" t="s">
        <v>20056</v>
      </c>
    </row>
    <row r="9487" spans="1:15">
      <c r="A9487" t="s">
        <v>75</v>
      </c>
      <c r="B9487" t="s">
        <v>149</v>
      </c>
      <c r="C9487" t="s">
        <v>207</v>
      </c>
      <c r="D9487" t="s">
        <v>336</v>
      </c>
      <c r="E9487" t="s">
        <v>455</v>
      </c>
      <c r="F9487">
        <f>HYPERLINK("https://www.wikidata.org/wiki/Q2448325", "Q2448325")</f>
        <v>0</v>
      </c>
      <c r="G9487" t="s">
        <v>2964</v>
      </c>
      <c r="H9487" t="s">
        <v>7434</v>
      </c>
      <c r="I9487" t="s">
        <v>6166</v>
      </c>
      <c r="J9487" t="s">
        <v>13596</v>
      </c>
      <c r="K9487" t="s">
        <v>17982</v>
      </c>
      <c r="L9487">
        <f>HYPERLINK("https://www2.assemblee-nationale.fr/sycomore/fiche/(num_dept)/4897", "4897")</f>
        <v>0</v>
      </c>
      <c r="N9487">
        <f>HYPERLINK("https://www.wikidata.org/wiki/Q962478", "Q962478")</f>
        <v>0</v>
      </c>
      <c r="O9487" t="s">
        <v>20185</v>
      </c>
    </row>
    <row r="9488" spans="1:15">
      <c r="A9488" t="s">
        <v>75</v>
      </c>
      <c r="B9488" t="s">
        <v>149</v>
      </c>
      <c r="C9488" t="s">
        <v>207</v>
      </c>
      <c r="D9488" t="s">
        <v>336</v>
      </c>
      <c r="E9488" t="s">
        <v>455</v>
      </c>
      <c r="F9488">
        <f>HYPERLINK("https://www.wikidata.org/wiki/Q2448325", "Q2448325")</f>
        <v>0</v>
      </c>
      <c r="G9488" t="s">
        <v>2728</v>
      </c>
      <c r="H9488" t="s">
        <v>5344</v>
      </c>
      <c r="I9488" t="s">
        <v>9534</v>
      </c>
      <c r="J9488" t="s">
        <v>13369</v>
      </c>
      <c r="K9488" t="s">
        <v>17649</v>
      </c>
      <c r="L9488">
        <f>HYPERLINK("https://www2.assemblee-nationale.fr/sycomore/fiche/(num_dept)/7924", "7924")</f>
        <v>0</v>
      </c>
      <c r="M9488">
        <f>HYPERLINK("https://www.senat.fr/senateur-3eme-republique/cochery_adolphe0505r3.html", "cochery_adolphe0505r3")</f>
        <v>0</v>
      </c>
      <c r="N9488">
        <f>HYPERLINK("https://www.wikidata.org/wiki/Q960751", "Q960751")</f>
        <v>0</v>
      </c>
      <c r="O9488" t="s">
        <v>20181</v>
      </c>
    </row>
    <row r="9489" spans="1:15">
      <c r="A9489" t="s">
        <v>75</v>
      </c>
      <c r="B9489" t="s">
        <v>149</v>
      </c>
      <c r="C9489" t="s">
        <v>207</v>
      </c>
      <c r="D9489" t="s">
        <v>336</v>
      </c>
      <c r="E9489" t="s">
        <v>455</v>
      </c>
      <c r="F9489">
        <f>HYPERLINK("https://www.wikidata.org/wiki/Q2448325", "Q2448325")</f>
        <v>0</v>
      </c>
      <c r="G9489" t="s">
        <v>2731</v>
      </c>
      <c r="H9489" t="s">
        <v>7253</v>
      </c>
      <c r="I9489" t="s">
        <v>9449</v>
      </c>
      <c r="J9489" t="s">
        <v>13372</v>
      </c>
      <c r="K9489" t="s">
        <v>17771</v>
      </c>
      <c r="L9489">
        <f>HYPERLINK("https://www2.assemblee-nationale.fr/sycomore/fiche/(num_dept)/7943", "7943")</f>
        <v>0</v>
      </c>
      <c r="N9489">
        <f>HYPERLINK("https://www.wikidata.org/wiki/Q3188566", "Q3188566")</f>
        <v>0</v>
      </c>
      <c r="O9489" t="s">
        <v>20257</v>
      </c>
    </row>
    <row r="9490" spans="1:15">
      <c r="A9490" t="s">
        <v>75</v>
      </c>
      <c r="B9490" t="s">
        <v>149</v>
      </c>
      <c r="C9490" t="s">
        <v>207</v>
      </c>
      <c r="D9490" t="s">
        <v>336</v>
      </c>
      <c r="E9490" t="s">
        <v>455</v>
      </c>
      <c r="F9490">
        <f>HYPERLINK("https://www.wikidata.org/wiki/Q2448325", "Q2448325")</f>
        <v>0</v>
      </c>
      <c r="G9490" t="s">
        <v>2989</v>
      </c>
      <c r="H9490" t="s">
        <v>7453</v>
      </c>
      <c r="I9490" t="s">
        <v>9388</v>
      </c>
      <c r="J9490" t="s">
        <v>13621</v>
      </c>
      <c r="K9490" t="s">
        <v>18004</v>
      </c>
      <c r="L9490">
        <f>HYPERLINK("https://www2.assemblee-nationale.fr/sycomore/fiche/(num_dept)/8141", "8141")</f>
        <v>0</v>
      </c>
      <c r="M9490">
        <f>HYPERLINK("https://www.senat.fr/senateur-3eme-republique/deves_paul0369r3.html", "deves_paul0369r3")</f>
        <v>0</v>
      </c>
      <c r="N9490">
        <f>HYPERLINK("https://www.wikidata.org/wiki/Q572361", "Q572361")</f>
        <v>0</v>
      </c>
      <c r="O9490" t="s">
        <v>20264</v>
      </c>
    </row>
    <row r="9491" spans="1:15">
      <c r="A9491" t="s">
        <v>75</v>
      </c>
      <c r="B9491" t="s">
        <v>149</v>
      </c>
      <c r="C9491" t="s">
        <v>207</v>
      </c>
      <c r="D9491" t="s">
        <v>336</v>
      </c>
      <c r="E9491" t="s">
        <v>455</v>
      </c>
      <c r="F9491">
        <f>HYPERLINK("https://www.wikidata.org/wiki/Q2448325", "Q2448325")</f>
        <v>0</v>
      </c>
      <c r="G9491" t="s">
        <v>2892</v>
      </c>
      <c r="H9491" t="s">
        <v>7376</v>
      </c>
      <c r="I9491" t="s">
        <v>6166</v>
      </c>
      <c r="J9491" t="s">
        <v>13527</v>
      </c>
      <c r="K9491" t="s">
        <v>17915</v>
      </c>
      <c r="L9491">
        <f>HYPERLINK("https://www2.assemblee-nationale.fr/sycomore/fiche/(num_dept)/8226", "8226")</f>
        <v>0</v>
      </c>
      <c r="N9491">
        <f>HYPERLINK("https://www.wikidata.org/wiki/Q3085976", "Q3085976")</f>
        <v>0</v>
      </c>
      <c r="O9491" t="s">
        <v>20265</v>
      </c>
    </row>
    <row r="9492" spans="1:15">
      <c r="A9492" t="s">
        <v>75</v>
      </c>
      <c r="B9492" t="s">
        <v>149</v>
      </c>
      <c r="C9492" t="s">
        <v>207</v>
      </c>
      <c r="D9492" t="s">
        <v>336</v>
      </c>
      <c r="E9492" t="s">
        <v>455</v>
      </c>
      <c r="F9492">
        <f>HYPERLINK("https://www.wikidata.org/wiki/Q2448325", "Q2448325")</f>
        <v>0</v>
      </c>
      <c r="G9492" t="s">
        <v>2898</v>
      </c>
      <c r="H9492" t="s">
        <v>7382</v>
      </c>
      <c r="I9492" t="s">
        <v>9449</v>
      </c>
      <c r="J9492" t="s">
        <v>13533</v>
      </c>
      <c r="K9492" t="s">
        <v>12151</v>
      </c>
      <c r="L9492">
        <f>HYPERLINK("https://www2.assemblee-nationale.fr/sycomore/fiche/(num_dept)/8234", "8234")</f>
        <v>0</v>
      </c>
      <c r="N9492">
        <f>HYPERLINK("https://www.wikidata.org/wiki/Q3188742", "Q3188742")</f>
        <v>0</v>
      </c>
      <c r="O9492" t="s">
        <v>20256</v>
      </c>
    </row>
    <row r="9493" spans="1:15">
      <c r="A9493" t="s">
        <v>75</v>
      </c>
      <c r="B9493" t="s">
        <v>149</v>
      </c>
      <c r="C9493" t="s">
        <v>207</v>
      </c>
      <c r="D9493" t="s">
        <v>336</v>
      </c>
      <c r="E9493" t="s">
        <v>455</v>
      </c>
      <c r="F9493">
        <f>HYPERLINK("https://www.wikidata.org/wiki/Q2448325", "Q2448325")</f>
        <v>0</v>
      </c>
      <c r="G9493" t="s">
        <v>2907</v>
      </c>
      <c r="H9493" t="s">
        <v>7389</v>
      </c>
      <c r="I9493" t="s">
        <v>6860</v>
      </c>
      <c r="J9493" t="s">
        <v>13542</v>
      </c>
      <c r="K9493" t="s">
        <v>17928</v>
      </c>
      <c r="L9493">
        <f>HYPERLINK("https://www2.assemblee-nationale.fr/sycomore/fiche/(num_dept)/8246", "8246")</f>
        <v>0</v>
      </c>
      <c r="M9493">
        <f>HYPERLINK("https://www.senat.fr/senateur-3eme-republique/tirard_pierre1538r3.html", "tirard_pierre1538r3")</f>
        <v>0</v>
      </c>
      <c r="N9493">
        <f>HYPERLINK("https://www.wikidata.org/wiki/Q708359", "Q708359")</f>
        <v>0</v>
      </c>
      <c r="O9493" t="s">
        <v>20066</v>
      </c>
    </row>
    <row r="9494" spans="1:15">
      <c r="A9494" t="s">
        <v>75</v>
      </c>
      <c r="B9494" t="s">
        <v>149</v>
      </c>
      <c r="C9494" t="s">
        <v>207</v>
      </c>
      <c r="D9494" t="s">
        <v>336</v>
      </c>
      <c r="E9494" t="s">
        <v>455</v>
      </c>
      <c r="F9494">
        <f>HYPERLINK("https://www.wikidata.org/wiki/Q2448325", "Q2448325")</f>
        <v>0</v>
      </c>
      <c r="G9494" t="s">
        <v>2909</v>
      </c>
      <c r="H9494" t="s">
        <v>7258</v>
      </c>
      <c r="I9494" t="s">
        <v>10517</v>
      </c>
      <c r="J9494" t="s">
        <v>13544</v>
      </c>
      <c r="K9494" t="s">
        <v>17930</v>
      </c>
      <c r="L9494">
        <f>HYPERLINK("https://www2.assemblee-nationale.fr/sycomore/fiche/(num_dept)/8251", "8251")</f>
        <v>0</v>
      </c>
      <c r="N9494">
        <f>HYPERLINK("https://www.wikidata.org/wiki/Q2850753", "Q2850753")</f>
        <v>0</v>
      </c>
      <c r="O9494" t="s">
        <v>20063</v>
      </c>
    </row>
    <row r="9495" spans="1:15">
      <c r="A9495" t="s">
        <v>75</v>
      </c>
      <c r="B9495" t="s">
        <v>149</v>
      </c>
      <c r="C9495" t="s">
        <v>207</v>
      </c>
      <c r="D9495" t="s">
        <v>336</v>
      </c>
      <c r="E9495" t="s">
        <v>455</v>
      </c>
      <c r="F9495">
        <f>HYPERLINK("https://www.wikidata.org/wiki/Q2448325", "Q2448325")</f>
        <v>0</v>
      </c>
      <c r="G9495" t="s">
        <v>2935</v>
      </c>
      <c r="H9495" t="s">
        <v>7413</v>
      </c>
      <c r="I9495" t="s">
        <v>9605</v>
      </c>
      <c r="J9495" t="s">
        <v>13568</v>
      </c>
      <c r="K9495" t="s">
        <v>17954</v>
      </c>
      <c r="L9495">
        <f>HYPERLINK("https://www2.assemblee-nationale.fr/sycomore/fiche/(num_dept)/8287", "8287")</f>
        <v>0</v>
      </c>
      <c r="N9495">
        <f>HYPERLINK("https://www.wikidata.org/wiki/Q3190464", "Q3190464")</f>
        <v>0</v>
      </c>
      <c r="O9495" t="s">
        <v>20122</v>
      </c>
    </row>
    <row r="9496" spans="1:15">
      <c r="A9496" t="s">
        <v>75</v>
      </c>
      <c r="B9496" t="s">
        <v>149</v>
      </c>
      <c r="C9496" t="s">
        <v>207</v>
      </c>
      <c r="D9496" t="s">
        <v>336</v>
      </c>
      <c r="E9496" t="s">
        <v>455</v>
      </c>
      <c r="F9496">
        <f>HYPERLINK("https://www.wikidata.org/wiki/Q2448325", "Q2448325")</f>
        <v>0</v>
      </c>
      <c r="G9496" t="s">
        <v>4299</v>
      </c>
      <c r="H9496" t="s">
        <v>8457</v>
      </c>
      <c r="I9496" t="s">
        <v>6200</v>
      </c>
      <c r="J9496" t="s">
        <v>14797</v>
      </c>
      <c r="K9496" t="s">
        <v>19140</v>
      </c>
      <c r="N9496">
        <f>HYPERLINK("https://www.wikidata.org/wiki/Q1685846", "Q1685846")</f>
        <v>0</v>
      </c>
      <c r="O9496" t="s">
        <v>20057</v>
      </c>
    </row>
    <row r="9497" spans="1:15">
      <c r="A9497" t="s">
        <v>75</v>
      </c>
      <c r="B9497" t="s">
        <v>149</v>
      </c>
      <c r="C9497" t="s">
        <v>207</v>
      </c>
      <c r="D9497" t="s">
        <v>336</v>
      </c>
      <c r="E9497" t="s">
        <v>455</v>
      </c>
      <c r="F9497">
        <f>HYPERLINK("https://www.wikidata.org/wiki/Q2448325", "Q2448325")</f>
        <v>0</v>
      </c>
      <c r="G9497" t="s">
        <v>2711</v>
      </c>
      <c r="H9497" t="s">
        <v>5610</v>
      </c>
      <c r="I9497" t="s">
        <v>6860</v>
      </c>
      <c r="J9497" t="s">
        <v>13352</v>
      </c>
      <c r="K9497" t="s">
        <v>17752</v>
      </c>
      <c r="N9497">
        <f>HYPERLINK("https://www.wikidata.org/wiki/Q3385902", "Q3385902")</f>
        <v>0</v>
      </c>
      <c r="O9497" t="s">
        <v>20069</v>
      </c>
    </row>
    <row r="9498" spans="1:15">
      <c r="A9498" t="s">
        <v>76</v>
      </c>
      <c r="B9498" t="s">
        <v>149</v>
      </c>
      <c r="C9498" t="s">
        <v>208</v>
      </c>
      <c r="D9498" t="s">
        <v>337</v>
      </c>
      <c r="E9498" t="s">
        <v>456</v>
      </c>
      <c r="F9498">
        <f>HYPERLINK("https://www.wikidata.org/wiki/Q3112182", "Q3112182")</f>
        <v>0</v>
      </c>
      <c r="G9498" t="s">
        <v>2489</v>
      </c>
      <c r="H9498" t="s">
        <v>7062</v>
      </c>
      <c r="I9498" t="s">
        <v>9385</v>
      </c>
      <c r="J9498" t="s">
        <v>13133</v>
      </c>
      <c r="K9498" t="s">
        <v>17542</v>
      </c>
      <c r="L9498">
        <f>HYPERLINK("https://www2.assemblee-nationale.fr/sycomore/fiche/(num_dept)/337", "337")</f>
        <v>0</v>
      </c>
      <c r="N9498">
        <f>HYPERLINK("https://www.wikidata.org/wiki/Q2958501", "Q2958501")</f>
        <v>0</v>
      </c>
      <c r="O9498" t="s">
        <v>20184</v>
      </c>
    </row>
    <row r="9499" spans="1:15">
      <c r="A9499" t="s">
        <v>76</v>
      </c>
      <c r="B9499" t="s">
        <v>149</v>
      </c>
      <c r="C9499" t="s">
        <v>208</v>
      </c>
      <c r="D9499" t="s">
        <v>337</v>
      </c>
      <c r="E9499" t="s">
        <v>456</v>
      </c>
      <c r="F9499">
        <f>HYPERLINK("https://www.wikidata.org/wiki/Q3112182", "Q3112182")</f>
        <v>0</v>
      </c>
      <c r="G9499" t="s">
        <v>2529</v>
      </c>
      <c r="H9499" t="s">
        <v>7090</v>
      </c>
      <c r="I9499" t="s">
        <v>6200</v>
      </c>
      <c r="J9499" t="s">
        <v>13173</v>
      </c>
      <c r="K9499" t="s">
        <v>17579</v>
      </c>
      <c r="L9499">
        <f>HYPERLINK("https://www2.assemblee-nationale.fr/sycomore/fiche/(num_dept)/1484", "1484")</f>
        <v>0</v>
      </c>
      <c r="N9499">
        <f>HYPERLINK("https://www.wikidata.org/wiki/Q315656", "Q315656")</f>
        <v>0</v>
      </c>
      <c r="O9499" t="s">
        <v>20184</v>
      </c>
    </row>
    <row r="9500" spans="1:15">
      <c r="A9500" t="s">
        <v>76</v>
      </c>
      <c r="B9500" t="s">
        <v>149</v>
      </c>
      <c r="C9500" t="s">
        <v>208</v>
      </c>
      <c r="D9500" t="s">
        <v>337</v>
      </c>
      <c r="E9500" t="s">
        <v>456</v>
      </c>
      <c r="F9500">
        <f>HYPERLINK("https://www.wikidata.org/wiki/Q3112182", "Q3112182")</f>
        <v>0</v>
      </c>
      <c r="G9500" t="s">
        <v>2563</v>
      </c>
      <c r="H9500" t="s">
        <v>5388</v>
      </c>
      <c r="I9500" t="s">
        <v>9465</v>
      </c>
      <c r="J9500" t="s">
        <v>13207</v>
      </c>
      <c r="K9500" t="s">
        <v>17611</v>
      </c>
      <c r="L9500">
        <f>HYPERLINK("https://www2.assemblee-nationale.fr/sycomore/fiche/(num_dept)/2754", "2754")</f>
        <v>0</v>
      </c>
      <c r="N9500">
        <f>HYPERLINK("https://www.wikidata.org/wiki/Q3059841", "Q3059841")</f>
        <v>0</v>
      </c>
      <c r="O9500" t="s">
        <v>20184</v>
      </c>
    </row>
    <row r="9501" spans="1:15">
      <c r="A9501" t="s">
        <v>76</v>
      </c>
      <c r="B9501" t="s">
        <v>149</v>
      </c>
      <c r="C9501" t="s">
        <v>208</v>
      </c>
      <c r="D9501" t="s">
        <v>337</v>
      </c>
      <c r="E9501" t="s">
        <v>456</v>
      </c>
      <c r="F9501">
        <f>HYPERLINK("https://www.wikidata.org/wiki/Q3112182", "Q3112182")</f>
        <v>0</v>
      </c>
      <c r="G9501" t="s">
        <v>2570</v>
      </c>
      <c r="H9501" t="s">
        <v>6156</v>
      </c>
      <c r="I9501" t="s">
        <v>7790</v>
      </c>
      <c r="J9501" t="s">
        <v>13214</v>
      </c>
      <c r="K9501" t="s">
        <v>17617</v>
      </c>
      <c r="L9501">
        <f>HYPERLINK("https://www2.assemblee-nationale.fr/sycomore/fiche/(num_dept)/2901", "2901")</f>
        <v>0</v>
      </c>
      <c r="M9501">
        <f>HYPERLINK("https://www.senat.fr/senateur-3eme-republique/fallieres_armand0754r3.html", "fallieres_armand0754r3")</f>
        <v>0</v>
      </c>
      <c r="N9501">
        <f>HYPERLINK("https://www.wikidata.org/wiki/Q296673", "Q296673")</f>
        <v>0</v>
      </c>
      <c r="O9501" t="s">
        <v>20180</v>
      </c>
    </row>
    <row r="9502" spans="1:15">
      <c r="A9502" t="s">
        <v>76</v>
      </c>
      <c r="B9502" t="s">
        <v>149</v>
      </c>
      <c r="C9502" t="s">
        <v>208</v>
      </c>
      <c r="D9502" t="s">
        <v>337</v>
      </c>
      <c r="E9502" t="s">
        <v>456</v>
      </c>
      <c r="F9502">
        <f>HYPERLINK("https://www.wikidata.org/wiki/Q3112182", "Q3112182")</f>
        <v>0</v>
      </c>
      <c r="G9502" t="s">
        <v>2573</v>
      </c>
      <c r="H9502" t="s">
        <v>5397</v>
      </c>
      <c r="I9502" t="s">
        <v>6158</v>
      </c>
      <c r="J9502" t="s">
        <v>13217</v>
      </c>
      <c r="K9502" t="s">
        <v>17620</v>
      </c>
      <c r="L9502">
        <f>HYPERLINK("https://www2.assemblee-nationale.fr/sycomore/fiche/(num_dept)/2925", "2925")</f>
        <v>0</v>
      </c>
      <c r="N9502">
        <f>HYPERLINK("https://www.wikidata.org/wiki/Q296076", "Q296076")</f>
        <v>0</v>
      </c>
      <c r="O9502" t="s">
        <v>20184</v>
      </c>
    </row>
    <row r="9503" spans="1:15">
      <c r="A9503" t="s">
        <v>76</v>
      </c>
      <c r="B9503" t="s">
        <v>149</v>
      </c>
      <c r="C9503" t="s">
        <v>208</v>
      </c>
      <c r="D9503" t="s">
        <v>337</v>
      </c>
      <c r="E9503" t="s">
        <v>456</v>
      </c>
      <c r="F9503">
        <f>HYPERLINK("https://www.wikidata.org/wiki/Q3112182", "Q3112182")</f>
        <v>0</v>
      </c>
      <c r="G9503" t="s">
        <v>2963</v>
      </c>
      <c r="H9503" t="s">
        <v>7433</v>
      </c>
      <c r="I9503" t="s">
        <v>9458</v>
      </c>
      <c r="J9503" t="s">
        <v>13595</v>
      </c>
      <c r="K9503" t="s">
        <v>17981</v>
      </c>
      <c r="L9503">
        <f>HYPERLINK("https://www2.assemblee-nationale.fr/sycomore/fiche/(num_dept)/4365", "4365")</f>
        <v>0</v>
      </c>
      <c r="N9503">
        <f>HYPERLINK("https://www.wikidata.org/wiki/Q2835251", "Q2835251")</f>
        <v>0</v>
      </c>
      <c r="O9503" t="s">
        <v>20184</v>
      </c>
    </row>
    <row r="9504" spans="1:15">
      <c r="A9504" t="s">
        <v>76</v>
      </c>
      <c r="B9504" t="s">
        <v>149</v>
      </c>
      <c r="C9504" t="s">
        <v>208</v>
      </c>
      <c r="D9504" t="s">
        <v>337</v>
      </c>
      <c r="E9504" t="s">
        <v>456</v>
      </c>
      <c r="F9504">
        <f>HYPERLINK("https://www.wikidata.org/wiki/Q3112182", "Q3112182")</f>
        <v>0</v>
      </c>
      <c r="G9504" t="s">
        <v>2626</v>
      </c>
      <c r="H9504" t="s">
        <v>7173</v>
      </c>
      <c r="I9504" t="s">
        <v>6158</v>
      </c>
      <c r="J9504" t="s">
        <v>13269</v>
      </c>
      <c r="K9504" t="s">
        <v>17670</v>
      </c>
      <c r="L9504">
        <f>HYPERLINK("https://www2.assemblee-nationale.fr/sycomore/fiche/(num_dept)/5046", "5046")</f>
        <v>0</v>
      </c>
      <c r="N9504">
        <f>HYPERLINK("https://www.wikidata.org/wiki/Q3092536", "Q3092536")</f>
        <v>0</v>
      </c>
      <c r="O9504" t="s">
        <v>20064</v>
      </c>
    </row>
    <row r="9505" spans="1:15">
      <c r="A9505" t="s">
        <v>76</v>
      </c>
      <c r="B9505" t="s">
        <v>149</v>
      </c>
      <c r="C9505" t="s">
        <v>208</v>
      </c>
      <c r="D9505" t="s">
        <v>337</v>
      </c>
      <c r="E9505" t="s">
        <v>456</v>
      </c>
      <c r="F9505">
        <f>HYPERLINK("https://www.wikidata.org/wiki/Q3112182", "Q3112182")</f>
        <v>0</v>
      </c>
      <c r="G9505" t="s">
        <v>2626</v>
      </c>
      <c r="H9505" t="s">
        <v>7173</v>
      </c>
      <c r="I9505" t="s">
        <v>6158</v>
      </c>
      <c r="J9505" t="s">
        <v>13269</v>
      </c>
      <c r="K9505" t="s">
        <v>17670</v>
      </c>
      <c r="L9505">
        <f>HYPERLINK("https://www2.assemblee-nationale.fr/sycomore/fiche/(num_dept)/5046", "5046")</f>
        <v>0</v>
      </c>
      <c r="N9505">
        <f>HYPERLINK("https://www.wikidata.org/wiki/Q3092536", "Q3092536")</f>
        <v>0</v>
      </c>
      <c r="O9505" t="s">
        <v>20268</v>
      </c>
    </row>
    <row r="9506" spans="1:15">
      <c r="A9506" t="s">
        <v>76</v>
      </c>
      <c r="B9506" t="s">
        <v>149</v>
      </c>
      <c r="C9506" t="s">
        <v>208</v>
      </c>
      <c r="D9506" t="s">
        <v>337</v>
      </c>
      <c r="E9506" t="s">
        <v>456</v>
      </c>
      <c r="F9506">
        <f>HYPERLINK("https://www.wikidata.org/wiki/Q3112182", "Q3112182")</f>
        <v>0</v>
      </c>
      <c r="G9506" t="s">
        <v>2629</v>
      </c>
      <c r="H9506" t="s">
        <v>7175</v>
      </c>
      <c r="I9506" t="s">
        <v>9449</v>
      </c>
      <c r="J9506" t="s">
        <v>13271</v>
      </c>
      <c r="K9506" t="s">
        <v>17673</v>
      </c>
      <c r="L9506">
        <f>HYPERLINK("https://www2.assemblee-nationale.fr/sycomore/fiche/(num_dept)/5168", "5168")</f>
        <v>0</v>
      </c>
      <c r="M9506">
        <f>HYPERLINK("https://www.senat.fr/senateur-3eme-republique/meline_jules1799r3.html", "meline_jules1799r3")</f>
        <v>0</v>
      </c>
      <c r="N9506">
        <f>HYPERLINK("https://www.wikidata.org/wiki/Q459914", "Q459914")</f>
        <v>0</v>
      </c>
      <c r="O9506" t="s">
        <v>20056</v>
      </c>
    </row>
    <row r="9507" spans="1:15">
      <c r="A9507" t="s">
        <v>76</v>
      </c>
      <c r="B9507" t="s">
        <v>149</v>
      </c>
      <c r="C9507" t="s">
        <v>208</v>
      </c>
      <c r="D9507" t="s">
        <v>337</v>
      </c>
      <c r="E9507" t="s">
        <v>456</v>
      </c>
      <c r="F9507">
        <f>HYPERLINK("https://www.wikidata.org/wiki/Q3112182", "Q3112182")</f>
        <v>0</v>
      </c>
      <c r="G9507" t="s">
        <v>2650</v>
      </c>
      <c r="H9507" t="s">
        <v>7191</v>
      </c>
      <c r="I9507" t="s">
        <v>7642</v>
      </c>
      <c r="J9507" t="s">
        <v>13292</v>
      </c>
      <c r="K9507" t="s">
        <v>17691</v>
      </c>
      <c r="L9507">
        <f>HYPERLINK("https://www2.assemblee-nationale.fr/sycomore/fiche/(num_dept)/6152", "6152")</f>
        <v>0</v>
      </c>
      <c r="M9507">
        <f>HYPERLINK("https://www.senat.fr/senateur-3eme-republique/rouvier_maurice0115r3.html", "rouvier_maurice0115r3")</f>
        <v>0</v>
      </c>
      <c r="N9507">
        <f>HYPERLINK("https://www.wikidata.org/wiki/Q471293", "Q471293")</f>
        <v>0</v>
      </c>
      <c r="O9507" t="s">
        <v>20069</v>
      </c>
    </row>
    <row r="9508" spans="1:15">
      <c r="A9508" t="s">
        <v>76</v>
      </c>
      <c r="B9508" t="s">
        <v>149</v>
      </c>
      <c r="C9508" t="s">
        <v>208</v>
      </c>
      <c r="D9508" t="s">
        <v>337</v>
      </c>
      <c r="E9508" t="s">
        <v>456</v>
      </c>
      <c r="F9508">
        <f>HYPERLINK("https://www.wikidata.org/wiki/Q3112182", "Q3112182")</f>
        <v>0</v>
      </c>
      <c r="G9508" t="s">
        <v>2666</v>
      </c>
      <c r="H9508" t="s">
        <v>7204</v>
      </c>
      <c r="I9508" t="s">
        <v>5361</v>
      </c>
      <c r="J9508" t="s">
        <v>13307</v>
      </c>
      <c r="K9508" t="s">
        <v>17707</v>
      </c>
      <c r="L9508">
        <f>HYPERLINK("https://www2.assemblee-nationale.fr/sycomore/fiche/(num_dept)/6631", "6631")</f>
        <v>0</v>
      </c>
      <c r="M9508">
        <f>HYPERLINK("https://www.senat.fr/senateur-3eme-republique/raynal_david0206r3.html", "raynal_david0206r3")</f>
        <v>0</v>
      </c>
      <c r="N9508">
        <f>HYPERLINK("https://www.wikidata.org/wiki/Q3018665", "Q3018665")</f>
        <v>0</v>
      </c>
      <c r="O9508" t="s">
        <v>20063</v>
      </c>
    </row>
    <row r="9509" spans="1:15">
      <c r="A9509" t="s">
        <v>76</v>
      </c>
      <c r="B9509" t="s">
        <v>149</v>
      </c>
      <c r="C9509" t="s">
        <v>208</v>
      </c>
      <c r="D9509" t="s">
        <v>337</v>
      </c>
      <c r="E9509" t="s">
        <v>456</v>
      </c>
      <c r="F9509">
        <f>HYPERLINK("https://www.wikidata.org/wiki/Q3112182", "Q3112182")</f>
        <v>0</v>
      </c>
      <c r="G9509" t="s">
        <v>2702</v>
      </c>
      <c r="H9509" t="s">
        <v>7234</v>
      </c>
      <c r="I9509" t="s">
        <v>6860</v>
      </c>
      <c r="J9509" t="s">
        <v>13343</v>
      </c>
      <c r="K9509" t="s">
        <v>17743</v>
      </c>
      <c r="L9509">
        <f>HYPERLINK("https://www2.assemblee-nationale.fr/sycomore/fiche/(num_dept)/7473", "7473")</f>
        <v>0</v>
      </c>
      <c r="M9509">
        <f>HYPERLINK("https://www.senat.fr/senateur-3eme-republique/waldeck_rousseau_pierre1368r3.html", "waldeck_rousseau_pierre1368r3")</f>
        <v>0</v>
      </c>
      <c r="N9509">
        <f>HYPERLINK("https://www.wikidata.org/wiki/Q358452", "Q358452")</f>
        <v>0</v>
      </c>
      <c r="O9509" t="s">
        <v>20058</v>
      </c>
    </row>
    <row r="9510" spans="1:15">
      <c r="A9510" t="s">
        <v>76</v>
      </c>
      <c r="B9510" t="s">
        <v>149</v>
      </c>
      <c r="C9510" t="s">
        <v>208</v>
      </c>
      <c r="D9510" t="s">
        <v>337</v>
      </c>
      <c r="E9510" t="s">
        <v>456</v>
      </c>
      <c r="F9510">
        <f>HYPERLINK("https://www.wikidata.org/wiki/Q3112182", "Q3112182")</f>
        <v>0</v>
      </c>
      <c r="G9510" t="s">
        <v>2702</v>
      </c>
      <c r="H9510" t="s">
        <v>7234</v>
      </c>
      <c r="I9510" t="s">
        <v>6860</v>
      </c>
      <c r="J9510" t="s">
        <v>13343</v>
      </c>
      <c r="K9510" t="s">
        <v>17743</v>
      </c>
      <c r="L9510">
        <f>HYPERLINK("https://www2.assemblee-nationale.fr/sycomore/fiche/(num_dept)/7473", "7473")</f>
        <v>0</v>
      </c>
      <c r="M9510">
        <f>HYPERLINK("https://www.senat.fr/senateur-3eme-republique/waldeck_rousseau_pierre1368r3.html", "waldeck_rousseau_pierre1368r3")</f>
        <v>0</v>
      </c>
      <c r="N9510">
        <f>HYPERLINK("https://www.wikidata.org/wiki/Q358452", "Q358452")</f>
        <v>0</v>
      </c>
      <c r="O9510" t="s">
        <v>20117</v>
      </c>
    </row>
    <row r="9511" spans="1:15">
      <c r="A9511" t="s">
        <v>76</v>
      </c>
      <c r="B9511" t="s">
        <v>149</v>
      </c>
      <c r="C9511" t="s">
        <v>208</v>
      </c>
      <c r="D9511" t="s">
        <v>337</v>
      </c>
      <c r="E9511" t="s">
        <v>456</v>
      </c>
      <c r="F9511">
        <f>HYPERLINK("https://www.wikidata.org/wiki/Q3112182", "Q3112182")</f>
        <v>0</v>
      </c>
      <c r="G9511" t="s">
        <v>2728</v>
      </c>
      <c r="H9511" t="s">
        <v>5344</v>
      </c>
      <c r="I9511" t="s">
        <v>9534</v>
      </c>
      <c r="J9511" t="s">
        <v>13369</v>
      </c>
      <c r="K9511" t="s">
        <v>17649</v>
      </c>
      <c r="L9511">
        <f>HYPERLINK("https://www2.assemblee-nationale.fr/sycomore/fiche/(num_dept)/7924", "7924")</f>
        <v>0</v>
      </c>
      <c r="M9511">
        <f>HYPERLINK("https://www.senat.fr/senateur-3eme-republique/cochery_adolphe0505r3.html", "cochery_adolphe0505r3")</f>
        <v>0</v>
      </c>
      <c r="N9511">
        <f>HYPERLINK("https://www.wikidata.org/wiki/Q960751", "Q960751")</f>
        <v>0</v>
      </c>
      <c r="O9511" t="s">
        <v>20181</v>
      </c>
    </row>
    <row r="9512" spans="1:15">
      <c r="A9512" t="s">
        <v>76</v>
      </c>
      <c r="B9512" t="s">
        <v>149</v>
      </c>
      <c r="C9512" t="s">
        <v>208</v>
      </c>
      <c r="D9512" t="s">
        <v>337</v>
      </c>
      <c r="E9512" t="s">
        <v>456</v>
      </c>
      <c r="F9512">
        <f>HYPERLINK("https://www.wikidata.org/wiki/Q3112182", "Q3112182")</f>
        <v>0</v>
      </c>
      <c r="G9512" t="s">
        <v>2733</v>
      </c>
      <c r="H9512" t="s">
        <v>5400</v>
      </c>
      <c r="I9512" t="s">
        <v>9449</v>
      </c>
      <c r="J9512" t="s">
        <v>13374</v>
      </c>
      <c r="K9512" t="s">
        <v>17773</v>
      </c>
      <c r="L9512">
        <f>HYPERLINK("https://www2.assemblee-nationale.fr/sycomore/fiche/(num_dept)/7945", "7945")</f>
        <v>0</v>
      </c>
      <c r="M9512">
        <f>HYPERLINK("https://www.senat.fr/senateur-3eme-republique/ferry_jules1809r3.html", "ferry_jules1809r3")</f>
        <v>0</v>
      </c>
      <c r="N9512">
        <f>HYPERLINK("https://www.wikidata.org/wiki/Q959708", "Q959708")</f>
        <v>0</v>
      </c>
      <c r="O9512" t="s">
        <v>20180</v>
      </c>
    </row>
    <row r="9513" spans="1:15">
      <c r="A9513" t="s">
        <v>76</v>
      </c>
      <c r="B9513" t="s">
        <v>149</v>
      </c>
      <c r="C9513" t="s">
        <v>208</v>
      </c>
      <c r="D9513" t="s">
        <v>337</v>
      </c>
      <c r="E9513" t="s">
        <v>456</v>
      </c>
      <c r="F9513">
        <f>HYPERLINK("https://www.wikidata.org/wiki/Q3112182", "Q3112182")</f>
        <v>0</v>
      </c>
      <c r="G9513" t="s">
        <v>2733</v>
      </c>
      <c r="H9513" t="s">
        <v>5400</v>
      </c>
      <c r="I9513" t="s">
        <v>9449</v>
      </c>
      <c r="J9513" t="s">
        <v>13374</v>
      </c>
      <c r="K9513" t="s">
        <v>17773</v>
      </c>
      <c r="L9513">
        <f>HYPERLINK("https://www2.assemblee-nationale.fr/sycomore/fiche/(num_dept)/7945", "7945")</f>
        <v>0</v>
      </c>
      <c r="M9513">
        <f>HYPERLINK("https://www.senat.fr/senateur-3eme-republique/ferry_jules1809r3.html", "ferry_jules1809r3")</f>
        <v>0</v>
      </c>
      <c r="N9513">
        <f>HYPERLINK("https://www.wikidata.org/wiki/Q959708", "Q959708")</f>
        <v>0</v>
      </c>
      <c r="O9513" t="s">
        <v>20114</v>
      </c>
    </row>
    <row r="9514" spans="1:15">
      <c r="A9514" t="s">
        <v>76</v>
      </c>
      <c r="B9514" t="s">
        <v>149</v>
      </c>
      <c r="C9514" t="s">
        <v>208</v>
      </c>
      <c r="D9514" t="s">
        <v>337</v>
      </c>
      <c r="E9514" t="s">
        <v>456</v>
      </c>
      <c r="F9514">
        <f>HYPERLINK("https://www.wikidata.org/wiki/Q3112182", "Q3112182")</f>
        <v>0</v>
      </c>
      <c r="G9514" t="s">
        <v>2733</v>
      </c>
      <c r="H9514" t="s">
        <v>5400</v>
      </c>
      <c r="I9514" t="s">
        <v>9449</v>
      </c>
      <c r="J9514" t="s">
        <v>13374</v>
      </c>
      <c r="K9514" t="s">
        <v>17773</v>
      </c>
      <c r="L9514">
        <f>HYPERLINK("https://www2.assemblee-nationale.fr/sycomore/fiche/(num_dept)/7945", "7945")</f>
        <v>0</v>
      </c>
      <c r="M9514">
        <f>HYPERLINK("https://www.senat.fr/senateur-3eme-republique/ferry_jules1809r3.html", "ferry_jules1809r3")</f>
        <v>0</v>
      </c>
      <c r="N9514">
        <f>HYPERLINK("https://www.wikidata.org/wiki/Q959708", "Q959708")</f>
        <v>0</v>
      </c>
      <c r="O9514" t="s">
        <v>20114</v>
      </c>
    </row>
    <row r="9515" spans="1:15">
      <c r="A9515" t="s">
        <v>76</v>
      </c>
      <c r="B9515" t="s">
        <v>149</v>
      </c>
      <c r="C9515" t="s">
        <v>208</v>
      </c>
      <c r="D9515" t="s">
        <v>337</v>
      </c>
      <c r="E9515" t="s">
        <v>456</v>
      </c>
      <c r="F9515">
        <f>HYPERLINK("https://www.wikidata.org/wiki/Q3112182", "Q3112182")</f>
        <v>0</v>
      </c>
      <c r="G9515" t="s">
        <v>2768</v>
      </c>
      <c r="H9515" t="s">
        <v>7280</v>
      </c>
      <c r="I9515" t="s">
        <v>9426</v>
      </c>
      <c r="J9515" t="s">
        <v>13409</v>
      </c>
      <c r="K9515" t="s">
        <v>17807</v>
      </c>
      <c r="L9515">
        <f>HYPERLINK("https://www2.assemblee-nationale.fr/sycomore/fiche/(num_dept)/8059", "8059")</f>
        <v>0</v>
      </c>
      <c r="N9515">
        <f>HYPERLINK("https://www.wikidata.org/wiki/Q2839926", "Q2839926")</f>
        <v>0</v>
      </c>
      <c r="O9515" t="s">
        <v>20184</v>
      </c>
    </row>
    <row r="9516" spans="1:15">
      <c r="A9516" t="s">
        <v>76</v>
      </c>
      <c r="B9516" t="s">
        <v>149</v>
      </c>
      <c r="C9516" t="s">
        <v>208</v>
      </c>
      <c r="D9516" t="s">
        <v>337</v>
      </c>
      <c r="E9516" t="s">
        <v>456</v>
      </c>
      <c r="F9516">
        <f>HYPERLINK("https://www.wikidata.org/wiki/Q3112182", "Q3112182")</f>
        <v>0</v>
      </c>
      <c r="G9516" t="s">
        <v>2899</v>
      </c>
      <c r="H9516" t="s">
        <v>7383</v>
      </c>
      <c r="I9516" t="s">
        <v>9423</v>
      </c>
      <c r="J9516" t="s">
        <v>13534</v>
      </c>
      <c r="K9516" t="s">
        <v>17921</v>
      </c>
      <c r="L9516">
        <f>HYPERLINK("https://www2.assemblee-nationale.fr/sycomore/fiche/(num_dept)/8236", "8236")</f>
        <v>0</v>
      </c>
      <c r="N9516">
        <f>HYPERLINK("https://www.wikidata.org/wiki/Q2400323", "Q2400323")</f>
        <v>0</v>
      </c>
      <c r="O9516" t="s">
        <v>20184</v>
      </c>
    </row>
    <row r="9517" spans="1:15">
      <c r="A9517" t="s">
        <v>76</v>
      </c>
      <c r="B9517" t="s">
        <v>149</v>
      </c>
      <c r="C9517" t="s">
        <v>208</v>
      </c>
      <c r="D9517" t="s">
        <v>337</v>
      </c>
      <c r="E9517" t="s">
        <v>456</v>
      </c>
      <c r="F9517">
        <f>HYPERLINK("https://www.wikidata.org/wiki/Q3112182", "Q3112182")</f>
        <v>0</v>
      </c>
      <c r="G9517" t="s">
        <v>2907</v>
      </c>
      <c r="H9517" t="s">
        <v>7389</v>
      </c>
      <c r="I9517" t="s">
        <v>6860</v>
      </c>
      <c r="J9517" t="s">
        <v>13542</v>
      </c>
      <c r="K9517" t="s">
        <v>17928</v>
      </c>
      <c r="L9517">
        <f>HYPERLINK("https://www2.assemblee-nationale.fr/sycomore/fiche/(num_dept)/8246", "8246")</f>
        <v>0</v>
      </c>
      <c r="M9517">
        <f>HYPERLINK("https://www.senat.fr/senateur-3eme-republique/tirard_pierre1538r3.html", "tirard_pierre1538r3")</f>
        <v>0</v>
      </c>
      <c r="N9517">
        <f>HYPERLINK("https://www.wikidata.org/wiki/Q708359", "Q708359")</f>
        <v>0</v>
      </c>
      <c r="O9517" t="s">
        <v>20066</v>
      </c>
    </row>
    <row r="9518" spans="1:15">
      <c r="A9518" t="s">
        <v>76</v>
      </c>
      <c r="B9518" t="s">
        <v>149</v>
      </c>
      <c r="C9518" t="s">
        <v>208</v>
      </c>
      <c r="D9518" t="s">
        <v>337</v>
      </c>
      <c r="E9518" t="s">
        <v>456</v>
      </c>
      <c r="F9518">
        <f>HYPERLINK("https://www.wikidata.org/wiki/Q3112182", "Q3112182")</f>
        <v>0</v>
      </c>
      <c r="G9518" t="s">
        <v>2909</v>
      </c>
      <c r="H9518" t="s">
        <v>7258</v>
      </c>
      <c r="I9518" t="s">
        <v>10517</v>
      </c>
      <c r="J9518" t="s">
        <v>13544</v>
      </c>
      <c r="K9518" t="s">
        <v>17930</v>
      </c>
      <c r="L9518">
        <f>HYPERLINK("https://www2.assemblee-nationale.fr/sycomore/fiche/(num_dept)/8251", "8251")</f>
        <v>0</v>
      </c>
      <c r="N9518">
        <f>HYPERLINK("https://www.wikidata.org/wiki/Q2850753", "Q2850753")</f>
        <v>0</v>
      </c>
      <c r="O9518" t="s">
        <v>20069</v>
      </c>
    </row>
    <row r="9519" spans="1:15">
      <c r="A9519" t="s">
        <v>76</v>
      </c>
      <c r="B9519" t="s">
        <v>149</v>
      </c>
      <c r="C9519" t="s">
        <v>208</v>
      </c>
      <c r="D9519" t="s">
        <v>337</v>
      </c>
      <c r="E9519" t="s">
        <v>456</v>
      </c>
      <c r="F9519">
        <f>HYPERLINK("https://www.wikidata.org/wiki/Q3112182", "Q3112182")</f>
        <v>0</v>
      </c>
      <c r="G9519" t="s">
        <v>2935</v>
      </c>
      <c r="H9519" t="s">
        <v>7413</v>
      </c>
      <c r="I9519" t="s">
        <v>9605</v>
      </c>
      <c r="J9519" t="s">
        <v>13568</v>
      </c>
      <c r="K9519" t="s">
        <v>17954</v>
      </c>
      <c r="L9519">
        <f>HYPERLINK("https://www2.assemblee-nationale.fr/sycomore/fiche/(num_dept)/8287", "8287")</f>
        <v>0</v>
      </c>
      <c r="N9519">
        <f>HYPERLINK("https://www.wikidata.org/wiki/Q3190464", "Q3190464")</f>
        <v>0</v>
      </c>
      <c r="O9519" t="s">
        <v>20184</v>
      </c>
    </row>
    <row r="9520" spans="1:15">
      <c r="A9520" t="s">
        <v>76</v>
      </c>
      <c r="B9520" t="s">
        <v>149</v>
      </c>
      <c r="C9520" t="s">
        <v>208</v>
      </c>
      <c r="D9520" t="s">
        <v>337</v>
      </c>
      <c r="E9520" t="s">
        <v>456</v>
      </c>
      <c r="F9520">
        <f>HYPERLINK("https://www.wikidata.org/wiki/Q3112182", "Q3112182")</f>
        <v>0</v>
      </c>
      <c r="G9520" t="s">
        <v>4254</v>
      </c>
      <c r="H9520" t="s">
        <v>8423</v>
      </c>
      <c r="I9520" t="s">
        <v>11175</v>
      </c>
      <c r="J9520" t="s">
        <v>14758</v>
      </c>
      <c r="K9520" t="s">
        <v>17866</v>
      </c>
      <c r="M9520">
        <f>HYPERLINK("https://www.senat.fr/senateur-3eme-republique/campenon_jean_baptiste1442r3.html", "campenon_jean_baptiste1442r3")</f>
        <v>0</v>
      </c>
      <c r="N9520">
        <f>HYPERLINK("https://www.wikidata.org/wiki/Q704909", "Q704909")</f>
        <v>0</v>
      </c>
      <c r="O9520" t="s">
        <v>20057</v>
      </c>
    </row>
    <row r="9521" spans="1:15">
      <c r="A9521" t="s">
        <v>76</v>
      </c>
      <c r="B9521" t="s">
        <v>149</v>
      </c>
      <c r="C9521" t="s">
        <v>208</v>
      </c>
      <c r="D9521" t="s">
        <v>337</v>
      </c>
      <c r="E9521" t="s">
        <v>456</v>
      </c>
      <c r="F9521">
        <f>HYPERLINK("https://www.wikidata.org/wiki/Q3112182", "Q3112182")</f>
        <v>0</v>
      </c>
      <c r="G9521" t="s">
        <v>4299</v>
      </c>
      <c r="H9521" t="s">
        <v>8457</v>
      </c>
      <c r="I9521" t="s">
        <v>6200</v>
      </c>
      <c r="J9521" t="s">
        <v>14797</v>
      </c>
      <c r="K9521" t="s">
        <v>19140</v>
      </c>
      <c r="N9521">
        <f>HYPERLINK("https://www.wikidata.org/wiki/Q1685846", "Q1685846")</f>
        <v>0</v>
      </c>
      <c r="O9521" t="s">
        <v>20057</v>
      </c>
    </row>
    <row r="9522" spans="1:15">
      <c r="A9522" t="s">
        <v>76</v>
      </c>
      <c r="B9522" t="s">
        <v>149</v>
      </c>
      <c r="C9522" t="s">
        <v>208</v>
      </c>
      <c r="D9522" t="s">
        <v>337</v>
      </c>
      <c r="E9522" t="s">
        <v>456</v>
      </c>
      <c r="F9522">
        <f>HYPERLINK("https://www.wikidata.org/wiki/Q3112182", "Q3112182")</f>
        <v>0</v>
      </c>
      <c r="G9522" t="s">
        <v>4300</v>
      </c>
      <c r="H9522" t="s">
        <v>8458</v>
      </c>
      <c r="I9522" t="s">
        <v>9449</v>
      </c>
      <c r="J9522" t="s">
        <v>14798</v>
      </c>
      <c r="K9522" t="s">
        <v>19141</v>
      </c>
      <c r="N9522">
        <f>HYPERLINK("https://www.wikidata.org/wiki/Q318984", "Q318984")</f>
        <v>0</v>
      </c>
      <c r="O9522" t="s">
        <v>20057</v>
      </c>
    </row>
    <row r="9523" spans="1:15">
      <c r="A9523" t="s">
        <v>76</v>
      </c>
      <c r="B9523" t="s">
        <v>149</v>
      </c>
      <c r="C9523" t="s">
        <v>208</v>
      </c>
      <c r="D9523" t="s">
        <v>337</v>
      </c>
      <c r="E9523" t="s">
        <v>456</v>
      </c>
      <c r="F9523">
        <f>HYPERLINK("https://www.wikidata.org/wiki/Q3112182", "Q3112182")</f>
        <v>0</v>
      </c>
      <c r="G9523" t="s">
        <v>4301</v>
      </c>
      <c r="H9523" t="s">
        <v>8459</v>
      </c>
      <c r="I9523" t="s">
        <v>9553</v>
      </c>
      <c r="J9523" t="s">
        <v>14799</v>
      </c>
      <c r="K9523" t="s">
        <v>19142</v>
      </c>
      <c r="M9523">
        <f>HYPERLINK("https://www.senat.fr/senateur-3eme-republique/peyron_alexandre1521r3.html", "peyron_alexandre1521r3")</f>
        <v>0</v>
      </c>
      <c r="N9523">
        <f>HYPERLINK("https://www.wikidata.org/wiki/Q2833962", "Q2833962")</f>
        <v>0</v>
      </c>
      <c r="O9523" t="s">
        <v>20185</v>
      </c>
    </row>
    <row r="9524" spans="1:15">
      <c r="A9524" t="s">
        <v>76</v>
      </c>
      <c r="B9524" t="s">
        <v>149</v>
      </c>
      <c r="C9524" t="s">
        <v>208</v>
      </c>
      <c r="D9524" t="s">
        <v>337</v>
      </c>
      <c r="E9524" t="s">
        <v>456</v>
      </c>
      <c r="F9524">
        <f>HYPERLINK("https://www.wikidata.org/wiki/Q3112182", "Q3112182")</f>
        <v>0</v>
      </c>
      <c r="G9524" t="s">
        <v>4302</v>
      </c>
      <c r="H9524" t="s">
        <v>5649</v>
      </c>
      <c r="I9524" t="s">
        <v>9385</v>
      </c>
      <c r="J9524" t="s">
        <v>14800</v>
      </c>
      <c r="K9524" t="s">
        <v>19143</v>
      </c>
      <c r="M9524">
        <f>HYPERLINK("https://www.senat.fr/senateur-3eme-republique/brun_charles1729r3.html", "brun_charles1729r3")</f>
        <v>0</v>
      </c>
      <c r="N9524">
        <f>HYPERLINK("https://www.wikidata.org/wiki/Q2958626", "Q2958626")</f>
        <v>0</v>
      </c>
      <c r="O9524" t="s">
        <v>20185</v>
      </c>
    </row>
    <row r="9525" spans="1:15">
      <c r="A9525" t="s">
        <v>76</v>
      </c>
      <c r="B9525" t="s">
        <v>149</v>
      </c>
      <c r="C9525" t="s">
        <v>208</v>
      </c>
      <c r="D9525" t="s">
        <v>337</v>
      </c>
      <c r="E9525" t="s">
        <v>456</v>
      </c>
      <c r="F9525">
        <f>HYPERLINK("https://www.wikidata.org/wiki/Q3112182", "Q3112182")</f>
        <v>0</v>
      </c>
      <c r="G9525" t="s">
        <v>4303</v>
      </c>
      <c r="H9525" t="s">
        <v>8460</v>
      </c>
      <c r="I9525" t="s">
        <v>11179</v>
      </c>
      <c r="J9525" t="s">
        <v>14801</v>
      </c>
      <c r="K9525" t="s">
        <v>19144</v>
      </c>
      <c r="M9525">
        <f>HYPERLINK("https://www.senat.fr/senateur-3eme-republique/challemel_lacour_paul0315r3.html", "challemel_lacour_paul0315r3")</f>
        <v>0</v>
      </c>
      <c r="N9525">
        <f>HYPERLINK("https://www.wikidata.org/wiki/Q674393", "Q674393")</f>
        <v>0</v>
      </c>
      <c r="O9525" t="s">
        <v>20062</v>
      </c>
    </row>
    <row r="9526" spans="1:15">
      <c r="A9526" t="s">
        <v>77</v>
      </c>
      <c r="B9526" t="s">
        <v>149</v>
      </c>
      <c r="C9526" t="s">
        <v>209</v>
      </c>
      <c r="D9526" t="s">
        <v>338</v>
      </c>
      <c r="E9526" t="s">
        <v>457</v>
      </c>
      <c r="F9526">
        <f>HYPERLINK("https://www.wikidata.org/wiki/Q3112373", "Q3112373")</f>
        <v>0</v>
      </c>
      <c r="G9526" t="s">
        <v>1224</v>
      </c>
      <c r="H9526" t="s">
        <v>5630</v>
      </c>
      <c r="I9526" t="s">
        <v>9712</v>
      </c>
      <c r="J9526" t="s">
        <v>11956</v>
      </c>
      <c r="K9526" t="s">
        <v>16358</v>
      </c>
      <c r="L9526">
        <f>HYPERLINK("https://www2.assemblee-nationale.fr/sycomore/fiche/(num_dept)/748", "748")</f>
        <v>0</v>
      </c>
      <c r="M9526">
        <f>HYPERLINK("https://www.senat.fr/senateur-3eme-republique/bertrand_williams0414r3.html", "bertrand_williams0414r3")</f>
        <v>0</v>
      </c>
      <c r="N9526">
        <f>HYPERLINK("https://www.wikidata.org/wiki/Q3568432", "Q3568432")</f>
        <v>0</v>
      </c>
      <c r="O9526" t="s">
        <v>20108</v>
      </c>
    </row>
    <row r="9527" spans="1:15">
      <c r="A9527" t="s">
        <v>77</v>
      </c>
      <c r="B9527" t="s">
        <v>149</v>
      </c>
      <c r="C9527" t="s">
        <v>209</v>
      </c>
      <c r="D9527" t="s">
        <v>338</v>
      </c>
      <c r="E9527" t="s">
        <v>457</v>
      </c>
      <c r="F9527">
        <f>HYPERLINK("https://www.wikidata.org/wiki/Q3112373", "Q3112373")</f>
        <v>0</v>
      </c>
      <c r="G9527" t="s">
        <v>2074</v>
      </c>
      <c r="H9527" t="s">
        <v>6701</v>
      </c>
      <c r="I9527" t="s">
        <v>6495</v>
      </c>
      <c r="J9527" t="s">
        <v>12745</v>
      </c>
      <c r="K9527" t="s">
        <v>17156</v>
      </c>
      <c r="L9527">
        <f>HYPERLINK("https://www2.assemblee-nationale.fr/sycomore/fiche/(num_dept)/3378", "3378")</f>
        <v>0</v>
      </c>
      <c r="N9527">
        <f>HYPERLINK("https://www.wikidata.org/wiki/Q3262030", "Q3262030")</f>
        <v>0</v>
      </c>
      <c r="O9527" t="s">
        <v>20066</v>
      </c>
    </row>
    <row r="9528" spans="1:15">
      <c r="A9528" t="s">
        <v>77</v>
      </c>
      <c r="B9528" t="s">
        <v>149</v>
      </c>
      <c r="C9528" t="s">
        <v>209</v>
      </c>
      <c r="D9528" t="s">
        <v>338</v>
      </c>
      <c r="E9528" t="s">
        <v>457</v>
      </c>
      <c r="F9528">
        <f>HYPERLINK("https://www.wikidata.org/wiki/Q3112373", "Q3112373")</f>
        <v>0</v>
      </c>
      <c r="G9528" t="s">
        <v>1492</v>
      </c>
      <c r="H9528" t="s">
        <v>6190</v>
      </c>
      <c r="I9528" t="s">
        <v>9728</v>
      </c>
      <c r="J9528" t="s">
        <v>12210</v>
      </c>
      <c r="K9528" t="s">
        <v>16616</v>
      </c>
      <c r="L9528">
        <f>HYPERLINK("https://www2.assemblee-nationale.fr/sycomore/fiche/(num_dept)/3819", "3819")</f>
        <v>0</v>
      </c>
      <c r="M9528">
        <f>HYPERLINK("https://www.senat.fr/senateur-3eme-republique/herriot_edouard1121r3.html", "herriot_edouard1121r3")</f>
        <v>0</v>
      </c>
      <c r="N9528">
        <f>HYPERLINK("https://www.wikidata.org/wiki/Q274344", "Q274344")</f>
        <v>0</v>
      </c>
      <c r="O9528" t="s">
        <v>20098</v>
      </c>
    </row>
    <row r="9529" spans="1:15">
      <c r="A9529" t="s">
        <v>77</v>
      </c>
      <c r="B9529" t="s">
        <v>149</v>
      </c>
      <c r="C9529" t="s">
        <v>209</v>
      </c>
      <c r="D9529" t="s">
        <v>338</v>
      </c>
      <c r="E9529" t="s">
        <v>457</v>
      </c>
      <c r="F9529">
        <f>HYPERLINK("https://www.wikidata.org/wiki/Q3112373", "Q3112373")</f>
        <v>0</v>
      </c>
      <c r="G9529" t="s">
        <v>689</v>
      </c>
      <c r="H9529" t="s">
        <v>5447</v>
      </c>
      <c r="I9529" t="s">
        <v>9388</v>
      </c>
      <c r="J9529" t="s">
        <v>11439</v>
      </c>
      <c r="K9529" t="s">
        <v>15840</v>
      </c>
      <c r="L9529">
        <f>HYPERLINK("https://www2.assemblee-nationale.fr/sycomore/fiche/(num_dept)/3970", "3970")</f>
        <v>0</v>
      </c>
      <c r="M9529">
        <f>HYPERLINK("https://www.senat.fr/senateur-3eme-republique/jacquier_paul1310r3.html", "jacquier_paul1310r3")</f>
        <v>0</v>
      </c>
      <c r="N9529">
        <f>HYPERLINK("https://www.wikidata.org/wiki/Q3371508", "Q3371508")</f>
        <v>0</v>
      </c>
      <c r="O9529" t="s">
        <v>20086</v>
      </c>
    </row>
    <row r="9530" spans="1:15">
      <c r="A9530" t="s">
        <v>77</v>
      </c>
      <c r="B9530" t="s">
        <v>149</v>
      </c>
      <c r="C9530" t="s">
        <v>209</v>
      </c>
      <c r="D9530" t="s">
        <v>338</v>
      </c>
      <c r="E9530" t="s">
        <v>457</v>
      </c>
      <c r="F9530">
        <f>HYPERLINK("https://www.wikidata.org/wiki/Q3112373", "Q3112373")</f>
        <v>0</v>
      </c>
      <c r="G9530" t="s">
        <v>1921</v>
      </c>
      <c r="H9530" t="s">
        <v>6568</v>
      </c>
      <c r="I9530" t="s">
        <v>6585</v>
      </c>
      <c r="J9530" t="s">
        <v>12606</v>
      </c>
      <c r="K9530" t="s">
        <v>17018</v>
      </c>
      <c r="L9530">
        <f>HYPERLINK("https://www2.assemblee-nationale.fr/sycomore/fiche/(num_dept)/4931", "4931")</f>
        <v>0</v>
      </c>
      <c r="M9530">
        <f>HYPERLINK("https://www.senat.fr/senateur-3eme-republique/mallarme_andre0841r3.html", "mallarme_andre0841r3")</f>
        <v>0</v>
      </c>
      <c r="N9530">
        <f>HYPERLINK("https://www.wikidata.org/wiki/Q2511312", "Q2511312")</f>
        <v>0</v>
      </c>
      <c r="O9530" t="s">
        <v>20085</v>
      </c>
    </row>
    <row r="9531" spans="1:15">
      <c r="A9531" t="s">
        <v>77</v>
      </c>
      <c r="B9531" t="s">
        <v>149</v>
      </c>
      <c r="C9531" t="s">
        <v>209</v>
      </c>
      <c r="D9531" t="s">
        <v>338</v>
      </c>
      <c r="E9531" t="s">
        <v>457</v>
      </c>
      <c r="F9531">
        <f>HYPERLINK("https://www.wikidata.org/wiki/Q3112373", "Q3112373")</f>
        <v>0</v>
      </c>
      <c r="G9531" t="s">
        <v>1526</v>
      </c>
      <c r="H9531" t="s">
        <v>6221</v>
      </c>
      <c r="I9531" t="s">
        <v>6175</v>
      </c>
      <c r="J9531" t="s">
        <v>12243</v>
      </c>
      <c r="K9531" t="s">
        <v>16649</v>
      </c>
      <c r="L9531">
        <f>HYPERLINK("https://www2.assemblee-nationale.fr/sycomore/fiche/(num_dept)/4952", "4952")</f>
        <v>0</v>
      </c>
      <c r="N9531">
        <f>HYPERLINK("https://www.wikidata.org/wiki/Q669893", "Q669893")</f>
        <v>0</v>
      </c>
      <c r="O9531" t="s">
        <v>20078</v>
      </c>
    </row>
    <row r="9532" spans="1:15">
      <c r="A9532" t="s">
        <v>77</v>
      </c>
      <c r="B9532" t="s">
        <v>149</v>
      </c>
      <c r="C9532" t="s">
        <v>209</v>
      </c>
      <c r="D9532" t="s">
        <v>338</v>
      </c>
      <c r="E9532" t="s">
        <v>457</v>
      </c>
      <c r="F9532">
        <f>HYPERLINK("https://www.wikidata.org/wiki/Q3112373", "Q3112373")</f>
        <v>0</v>
      </c>
      <c r="G9532" t="s">
        <v>1925</v>
      </c>
      <c r="H9532" t="s">
        <v>6572</v>
      </c>
      <c r="I9532" t="s">
        <v>9388</v>
      </c>
      <c r="J9532" t="s">
        <v>12610</v>
      </c>
      <c r="K9532" t="s">
        <v>17021</v>
      </c>
      <c r="L9532">
        <f>HYPERLINK("https://www2.assemblee-nationale.fr/sycomore/fiche/(num_dept)/4976", "4976")</f>
        <v>0</v>
      </c>
      <c r="N9532">
        <f>HYPERLINK("https://www.wikidata.org/wiki/Q3371769", "Q3371769")</f>
        <v>0</v>
      </c>
      <c r="O9532" t="s">
        <v>20110</v>
      </c>
    </row>
    <row r="9533" spans="1:15">
      <c r="A9533" t="s">
        <v>77</v>
      </c>
      <c r="B9533" t="s">
        <v>149</v>
      </c>
      <c r="C9533" t="s">
        <v>209</v>
      </c>
      <c r="D9533" t="s">
        <v>338</v>
      </c>
      <c r="E9533" t="s">
        <v>457</v>
      </c>
      <c r="F9533">
        <f>HYPERLINK("https://www.wikidata.org/wiki/Q3112373", "Q3112373")</f>
        <v>0</v>
      </c>
      <c r="G9533" t="s">
        <v>724</v>
      </c>
      <c r="H9533" t="s">
        <v>5482</v>
      </c>
      <c r="I9533" t="s">
        <v>6495</v>
      </c>
      <c r="J9533" t="s">
        <v>11473</v>
      </c>
      <c r="K9533" t="s">
        <v>15875</v>
      </c>
      <c r="L9533">
        <f>HYPERLINK("https://www2.assemblee-nationale.fr/sycomore/fiche/(num_dept)/5001", "5001")</f>
        <v>0</v>
      </c>
      <c r="N9533">
        <f>HYPERLINK("https://www.wikidata.org/wiki/Q1229977", "Q1229977")</f>
        <v>0</v>
      </c>
      <c r="O9533" t="s">
        <v>20098</v>
      </c>
    </row>
    <row r="9534" spans="1:15">
      <c r="A9534" t="s">
        <v>77</v>
      </c>
      <c r="B9534" t="s">
        <v>149</v>
      </c>
      <c r="C9534" t="s">
        <v>209</v>
      </c>
      <c r="D9534" t="s">
        <v>338</v>
      </c>
      <c r="E9534" t="s">
        <v>457</v>
      </c>
      <c r="F9534">
        <f>HYPERLINK("https://www.wikidata.org/wiki/Q3112373", "Q3112373")</f>
        <v>0</v>
      </c>
      <c r="G9534" t="s">
        <v>1869</v>
      </c>
      <c r="H9534" t="s">
        <v>6525</v>
      </c>
      <c r="I9534" t="s">
        <v>6175</v>
      </c>
      <c r="J9534" t="s">
        <v>12557</v>
      </c>
      <c r="K9534" t="s">
        <v>16970</v>
      </c>
      <c r="L9534">
        <f>HYPERLINK("https://www2.assemblee-nationale.fr/sycomore/fiche/(num_dept)/5799", "5799")</f>
        <v>0</v>
      </c>
      <c r="M9534">
        <f>HYPERLINK("https://www.senat.fr/senateur-3eme-republique/pernot_georges0335r4.html", "pernot_georges0335r4")</f>
        <v>0</v>
      </c>
      <c r="N9534">
        <f>HYPERLINK("https://www.wikidata.org/wiki/Q2670356", "Q2670356")</f>
        <v>0</v>
      </c>
      <c r="O9534" t="s">
        <v>20064</v>
      </c>
    </row>
    <row r="9535" spans="1:15">
      <c r="A9535" t="s">
        <v>77</v>
      </c>
      <c r="B9535" t="s">
        <v>149</v>
      </c>
      <c r="C9535" t="s">
        <v>209</v>
      </c>
      <c r="D9535" t="s">
        <v>338</v>
      </c>
      <c r="E9535" t="s">
        <v>457</v>
      </c>
      <c r="F9535">
        <f>HYPERLINK("https://www.wikidata.org/wiki/Q3112373", "Q3112373")</f>
        <v>0</v>
      </c>
      <c r="G9535" t="s">
        <v>1116</v>
      </c>
      <c r="H9535" t="s">
        <v>5775</v>
      </c>
      <c r="I9535" t="s">
        <v>6860</v>
      </c>
      <c r="J9535" t="s">
        <v>11850</v>
      </c>
      <c r="K9535" t="s">
        <v>16252</v>
      </c>
      <c r="L9535">
        <f>HYPERLINK("https://www2.assemblee-nationale.fr/sycomore/fiche/(num_dept)/5808", "5808")</f>
        <v>0</v>
      </c>
      <c r="N9535">
        <f>HYPERLINK("https://www.wikidata.org/wiki/Q3386559", "Q3386559")</f>
        <v>0</v>
      </c>
      <c r="O9535" t="s">
        <v>20099</v>
      </c>
    </row>
    <row r="9536" spans="1:15">
      <c r="A9536" t="s">
        <v>77</v>
      </c>
      <c r="B9536" t="s">
        <v>149</v>
      </c>
      <c r="C9536" t="s">
        <v>209</v>
      </c>
      <c r="D9536" t="s">
        <v>338</v>
      </c>
      <c r="E9536" t="s">
        <v>457</v>
      </c>
      <c r="F9536">
        <f>HYPERLINK("https://www.wikidata.org/wiki/Q3112373", "Q3112373")</f>
        <v>0</v>
      </c>
      <c r="G9536" t="s">
        <v>1873</v>
      </c>
      <c r="H9536" t="s">
        <v>6528</v>
      </c>
      <c r="I9536" t="s">
        <v>6166</v>
      </c>
      <c r="J9536" t="s">
        <v>12561</v>
      </c>
      <c r="K9536" t="s">
        <v>16973</v>
      </c>
      <c r="L9536">
        <f>HYPERLINK("https://www2.assemblee-nationale.fr/sycomore/fiche/(num_dept)/5924", "5924")</f>
        <v>0</v>
      </c>
      <c r="N9536">
        <f>HYPERLINK("https://www.wikidata.org/wiki/Q3085590", "Q3085590")</f>
        <v>0</v>
      </c>
      <c r="O9536" t="s">
        <v>20097</v>
      </c>
    </row>
    <row r="9537" spans="1:15">
      <c r="A9537" t="s">
        <v>77</v>
      </c>
      <c r="B9537" t="s">
        <v>149</v>
      </c>
      <c r="C9537" t="s">
        <v>209</v>
      </c>
      <c r="D9537" t="s">
        <v>338</v>
      </c>
      <c r="E9537" t="s">
        <v>457</v>
      </c>
      <c r="F9537">
        <f>HYPERLINK("https://www.wikidata.org/wiki/Q3112373", "Q3112373")</f>
        <v>0</v>
      </c>
      <c r="G9537" t="s">
        <v>1581</v>
      </c>
      <c r="H9537" t="s">
        <v>6271</v>
      </c>
      <c r="I9537" t="s">
        <v>6495</v>
      </c>
      <c r="J9537" t="s">
        <v>12293</v>
      </c>
      <c r="K9537" t="s">
        <v>16700</v>
      </c>
      <c r="L9537">
        <f>HYPERLINK("https://www2.assemblee-nationale.fr/sycomore/fiche/(num_dept)/6068", "6068")</f>
        <v>0</v>
      </c>
      <c r="N9537">
        <f>HYPERLINK("https://www.wikidata.org/wiki/Q3263043", "Q3263043")</f>
        <v>0</v>
      </c>
      <c r="O9537" t="s">
        <v>20065</v>
      </c>
    </row>
    <row r="9538" spans="1:15">
      <c r="A9538" t="s">
        <v>77</v>
      </c>
      <c r="B9538" t="s">
        <v>149</v>
      </c>
      <c r="C9538" t="s">
        <v>209</v>
      </c>
      <c r="D9538" t="s">
        <v>338</v>
      </c>
      <c r="E9538" t="s">
        <v>457</v>
      </c>
      <c r="F9538">
        <f>HYPERLINK("https://www.wikidata.org/wiki/Q3112373", "Q3112373")</f>
        <v>0</v>
      </c>
      <c r="G9538" t="s">
        <v>1032</v>
      </c>
      <c r="H9538" t="s">
        <v>5781</v>
      </c>
      <c r="I9538" t="s">
        <v>9457</v>
      </c>
      <c r="J9538" t="s">
        <v>11769</v>
      </c>
      <c r="K9538" t="s">
        <v>16170</v>
      </c>
      <c r="L9538">
        <f>HYPERLINK("https://www2.assemblee-nationale.fr/sycomore/fiche/(num_dept)/6171", "6171")</f>
        <v>0</v>
      </c>
      <c r="M9538">
        <f>HYPERLINK("https://www.senat.fr/senateur-3eme-republique/roy_henri0510r3.html", "roy_henri0510r3")</f>
        <v>0</v>
      </c>
      <c r="N9538">
        <f>HYPERLINK("https://www.wikidata.org/wiki/Q3131955", "Q3131955")</f>
        <v>0</v>
      </c>
      <c r="O9538" t="s">
        <v>20063</v>
      </c>
    </row>
    <row r="9539" spans="1:15">
      <c r="A9539" t="s">
        <v>77</v>
      </c>
      <c r="B9539" t="s">
        <v>149</v>
      </c>
      <c r="C9539" t="s">
        <v>209</v>
      </c>
      <c r="D9539" t="s">
        <v>338</v>
      </c>
      <c r="E9539" t="s">
        <v>457</v>
      </c>
      <c r="F9539">
        <f>HYPERLINK("https://www.wikidata.org/wiki/Q3112373", "Q3112373")</f>
        <v>0</v>
      </c>
      <c r="G9539" t="s">
        <v>1304</v>
      </c>
      <c r="H9539" t="s">
        <v>6025</v>
      </c>
      <c r="I9539" t="s">
        <v>9457</v>
      </c>
      <c r="J9539" t="s">
        <v>12034</v>
      </c>
      <c r="K9539" t="s">
        <v>16435</v>
      </c>
      <c r="L9539">
        <f>HYPERLINK("https://www2.assemblee-nationale.fr/sycomore/fiche/(num_dept)/6554", "6554")</f>
        <v>0</v>
      </c>
      <c r="M9539">
        <f>HYPERLINK("https://www.senat.fr/senateur-3eme-republique/queuille_henri0469r3.html", "queuille_henri0469r3")</f>
        <v>0</v>
      </c>
      <c r="N9539">
        <f>HYPERLINK("https://www.wikidata.org/wiki/Q455655", "Q455655")</f>
        <v>0</v>
      </c>
      <c r="O9539" t="s">
        <v>20112</v>
      </c>
    </row>
    <row r="9540" spans="1:15">
      <c r="A9540" t="s">
        <v>77</v>
      </c>
      <c r="B9540" t="s">
        <v>149</v>
      </c>
      <c r="C9540" t="s">
        <v>209</v>
      </c>
      <c r="D9540" t="s">
        <v>338</v>
      </c>
      <c r="E9540" t="s">
        <v>457</v>
      </c>
      <c r="F9540">
        <f>HYPERLINK("https://www.wikidata.org/wiki/Q3112373", "Q3112373")</f>
        <v>0</v>
      </c>
      <c r="G9540" t="s">
        <v>1323</v>
      </c>
      <c r="H9540" t="s">
        <v>6042</v>
      </c>
      <c r="I9540" t="s">
        <v>6860</v>
      </c>
      <c r="J9540" t="s">
        <v>12052</v>
      </c>
      <c r="K9540" t="s">
        <v>16453</v>
      </c>
      <c r="L9540">
        <f>HYPERLINK("https://www2.assemblee-nationale.fr/sycomore/fiche/(num_dept)/7519", "7519")</f>
        <v>0</v>
      </c>
      <c r="M9540">
        <f>HYPERLINK("https://www.senat.fr/senateur-3eme-republique/laval_pierre1565r3.html", "laval_pierre1565r3")</f>
        <v>0</v>
      </c>
      <c r="N9540">
        <f>HYPERLINK("https://www.wikidata.org/wiki/Q151983", "Q151983")</f>
        <v>0</v>
      </c>
      <c r="O9540" t="s">
        <v>20062</v>
      </c>
    </row>
    <row r="9541" spans="1:15">
      <c r="A9541" t="s">
        <v>77</v>
      </c>
      <c r="B9541" t="s">
        <v>149</v>
      </c>
      <c r="C9541" t="s">
        <v>209</v>
      </c>
      <c r="D9541" t="s">
        <v>338</v>
      </c>
      <c r="E9541" t="s">
        <v>457</v>
      </c>
      <c r="F9541">
        <f>HYPERLINK("https://www.wikidata.org/wiki/Q3112373", "Q3112373")</f>
        <v>0</v>
      </c>
      <c r="G9541" t="s">
        <v>1333</v>
      </c>
      <c r="H9541" t="s">
        <v>5402</v>
      </c>
      <c r="I9541" t="s">
        <v>9754</v>
      </c>
      <c r="J9541" t="s">
        <v>12060</v>
      </c>
      <c r="K9541" t="s">
        <v>16462</v>
      </c>
      <c r="L9541">
        <f>HYPERLINK("https://www2.assemblee-nationale.fr/sycomore/fiche/(num_dept)/10839", "10839")</f>
        <v>0</v>
      </c>
      <c r="N9541">
        <f>HYPERLINK("https://www.wikidata.org/wiki/Q471296", "Q471296")</f>
        <v>0</v>
      </c>
      <c r="O9541" t="s">
        <v>20052</v>
      </c>
    </row>
    <row r="9542" spans="1:15">
      <c r="A9542" t="s">
        <v>77</v>
      </c>
      <c r="B9542" t="s">
        <v>149</v>
      </c>
      <c r="C9542" t="s">
        <v>209</v>
      </c>
      <c r="D9542" t="s">
        <v>338</v>
      </c>
      <c r="E9542" t="s">
        <v>457</v>
      </c>
      <c r="F9542">
        <f>HYPERLINK("https://www.wikidata.org/wiki/Q3112373", "Q3112373")</f>
        <v>0</v>
      </c>
      <c r="G9542" t="s">
        <v>4304</v>
      </c>
      <c r="H9542" t="s">
        <v>8461</v>
      </c>
      <c r="I9542" t="s">
        <v>9437</v>
      </c>
      <c r="J9542" t="s">
        <v>14802</v>
      </c>
      <c r="K9542" t="s">
        <v>19145</v>
      </c>
      <c r="M9542">
        <f>HYPERLINK("https://www.senat.fr/senateur-3eme-republique/cassez_emile0867r3.html", "cassez_emile0867r3")</f>
        <v>0</v>
      </c>
      <c r="N9542">
        <f>HYPERLINK("https://www.wikidata.org/wiki/Q3588397", "Q3588397")</f>
        <v>0</v>
      </c>
      <c r="O9542" t="s">
        <v>20056</v>
      </c>
    </row>
    <row r="9543" spans="1:15">
      <c r="A9543" t="s">
        <v>77</v>
      </c>
      <c r="B9543" t="s">
        <v>149</v>
      </c>
      <c r="C9543" t="s">
        <v>209</v>
      </c>
      <c r="D9543" t="s">
        <v>338</v>
      </c>
      <c r="E9543" t="s">
        <v>457</v>
      </c>
      <c r="F9543">
        <f>HYPERLINK("https://www.wikidata.org/wiki/Q3112373", "Q3112373")</f>
        <v>0</v>
      </c>
      <c r="G9543" t="s">
        <v>4233</v>
      </c>
      <c r="H9543" t="s">
        <v>8410</v>
      </c>
      <c r="I9543" t="s">
        <v>9483</v>
      </c>
      <c r="J9543" t="s">
        <v>14740</v>
      </c>
      <c r="K9543" t="s">
        <v>19085</v>
      </c>
      <c r="N9543">
        <f>HYPERLINK("https://www.wikidata.org/wiki/Q3557262", "Q3557262")</f>
        <v>0</v>
      </c>
      <c r="O9543" t="s">
        <v>20072</v>
      </c>
    </row>
    <row r="9544" spans="1:15">
      <c r="A9544" t="s">
        <v>77</v>
      </c>
      <c r="B9544" t="s">
        <v>149</v>
      </c>
      <c r="C9544" t="s">
        <v>209</v>
      </c>
      <c r="D9544" t="s">
        <v>338</v>
      </c>
      <c r="E9544" t="s">
        <v>457</v>
      </c>
      <c r="F9544">
        <f>HYPERLINK("https://www.wikidata.org/wiki/Q3112373", "Q3112373")</f>
        <v>0</v>
      </c>
      <c r="G9544" t="s">
        <v>4152</v>
      </c>
      <c r="H9544" t="s">
        <v>8355</v>
      </c>
      <c r="I9544" t="s">
        <v>9523</v>
      </c>
      <c r="J9544" t="s">
        <v>14681</v>
      </c>
      <c r="K9544" t="s">
        <v>19018</v>
      </c>
      <c r="N9544">
        <f>HYPERLINK("https://www.wikidata.org/wiki/Q3289369", "Q3289369")</f>
        <v>0</v>
      </c>
      <c r="O9544" t="s">
        <v>20058</v>
      </c>
    </row>
    <row r="9545" spans="1:15">
      <c r="A9545" t="s">
        <v>77</v>
      </c>
      <c r="B9545" t="s">
        <v>149</v>
      </c>
      <c r="C9545" t="s">
        <v>209</v>
      </c>
      <c r="D9545" t="s">
        <v>338</v>
      </c>
      <c r="E9545" t="s">
        <v>457</v>
      </c>
      <c r="F9545">
        <f>HYPERLINK("https://www.wikidata.org/wiki/Q3112373", "Q3112373")</f>
        <v>0</v>
      </c>
      <c r="G9545" t="s">
        <v>4305</v>
      </c>
      <c r="H9545" t="s">
        <v>8412</v>
      </c>
      <c r="I9545" t="s">
        <v>6495</v>
      </c>
      <c r="J9545" t="s">
        <v>14803</v>
      </c>
      <c r="K9545" t="s">
        <v>19146</v>
      </c>
      <c r="N9545">
        <f>HYPERLINK("https://www.wikidata.org/wiki/Q1871858", "Q1871858")</f>
        <v>0</v>
      </c>
      <c r="O9545" t="s">
        <v>20057</v>
      </c>
    </row>
    <row r="9546" spans="1:15">
      <c r="A9546" t="s">
        <v>77</v>
      </c>
      <c r="B9546" t="s">
        <v>149</v>
      </c>
      <c r="C9546" t="s">
        <v>209</v>
      </c>
      <c r="D9546" t="s">
        <v>338</v>
      </c>
      <c r="E9546" t="s">
        <v>457</v>
      </c>
      <c r="F9546">
        <f>HYPERLINK("https://www.wikidata.org/wiki/Q3112373", "Q3112373")</f>
        <v>0</v>
      </c>
      <c r="G9546" t="s">
        <v>4294</v>
      </c>
      <c r="H9546" t="s">
        <v>8453</v>
      </c>
      <c r="I9546" t="s">
        <v>6175</v>
      </c>
      <c r="J9546" t="s">
        <v>14793</v>
      </c>
      <c r="K9546" t="s">
        <v>19137</v>
      </c>
      <c r="N9546">
        <f>HYPERLINK("https://www.wikidata.org/wiki/Q3103417", "Q3103417")</f>
        <v>0</v>
      </c>
      <c r="O9546" t="s">
        <v>20088</v>
      </c>
    </row>
    <row r="9547" spans="1:15">
      <c r="A9547" t="s">
        <v>78</v>
      </c>
      <c r="B9547" t="s">
        <v>149</v>
      </c>
      <c r="C9547" t="s">
        <v>210</v>
      </c>
      <c r="D9547" t="s">
        <v>339</v>
      </c>
      <c r="E9547" t="s">
        <v>458</v>
      </c>
      <c r="F9547">
        <f>HYPERLINK("https://www.wikidata.org/wiki/Q2044828", "Q2044828")</f>
        <v>0</v>
      </c>
      <c r="G9547" t="s">
        <v>3373</v>
      </c>
      <c r="H9547" t="s">
        <v>7083</v>
      </c>
      <c r="I9547" t="s">
        <v>5528</v>
      </c>
      <c r="J9547" t="s">
        <v>13985</v>
      </c>
      <c r="K9547" t="s">
        <v>18353</v>
      </c>
      <c r="L9547">
        <f>HYPERLINK("https://www2.assemblee-nationale.fr/sycomore/fiche/(num_dept)/1083", "1083")</f>
        <v>0</v>
      </c>
      <c r="M9547">
        <f>HYPERLINK("https://www.senat.fr/senateur-3eme-republique/bourgeois_leon0647r3.html", "bourgeois_leon0647r3")</f>
        <v>0</v>
      </c>
      <c r="N9547">
        <f>HYPERLINK("https://www.wikidata.org/wiki/Q217706", "Q217706")</f>
        <v>0</v>
      </c>
      <c r="O9547" t="s">
        <v>20184</v>
      </c>
    </row>
    <row r="9548" spans="1:15">
      <c r="A9548" t="s">
        <v>78</v>
      </c>
      <c r="B9548" t="s">
        <v>149</v>
      </c>
      <c r="C9548" t="s">
        <v>210</v>
      </c>
      <c r="D9548" t="s">
        <v>339</v>
      </c>
      <c r="E9548" t="s">
        <v>458</v>
      </c>
      <c r="F9548">
        <f>HYPERLINK("https://www.wikidata.org/wiki/Q2044828", "Q2044828")</f>
        <v>0</v>
      </c>
      <c r="G9548" t="s">
        <v>2549</v>
      </c>
      <c r="H9548" t="s">
        <v>7108</v>
      </c>
      <c r="I9548" t="s">
        <v>6860</v>
      </c>
      <c r="J9548" t="s">
        <v>13193</v>
      </c>
      <c r="K9548" t="s">
        <v>17598</v>
      </c>
      <c r="L9548">
        <f>HYPERLINK("https://www2.assemblee-nationale.fr/sycomore/fiche/(num_dept)/2353", "2353")</f>
        <v>0</v>
      </c>
      <c r="N9548">
        <f>HYPERLINK("https://www.wikidata.org/wiki/Q3384693", "Q3384693")</f>
        <v>0</v>
      </c>
      <c r="O9548" t="s">
        <v>20063</v>
      </c>
    </row>
    <row r="9549" spans="1:15">
      <c r="A9549" t="s">
        <v>78</v>
      </c>
      <c r="B9549" t="s">
        <v>149</v>
      </c>
      <c r="C9549" t="s">
        <v>210</v>
      </c>
      <c r="D9549" t="s">
        <v>339</v>
      </c>
      <c r="E9549" t="s">
        <v>458</v>
      </c>
      <c r="F9549">
        <f>HYPERLINK("https://www.wikidata.org/wiki/Q2044828", "Q2044828")</f>
        <v>0</v>
      </c>
      <c r="G9549" t="s">
        <v>2578</v>
      </c>
      <c r="H9549" t="s">
        <v>7131</v>
      </c>
      <c r="I9549" t="s">
        <v>9385</v>
      </c>
      <c r="J9549" t="s">
        <v>13222</v>
      </c>
      <c r="K9549" t="s">
        <v>17625</v>
      </c>
      <c r="L9549">
        <f>HYPERLINK("https://www2.assemblee-nationale.fr/sycomore/fiche/(num_dept)/3032", "3032")</f>
        <v>0</v>
      </c>
      <c r="M9549">
        <f>HYPERLINK("https://www.senat.fr/senateur-3eme-republique/floquet_charles1411r3.html", "floquet_charles1411r3")</f>
        <v>0</v>
      </c>
      <c r="N9549">
        <f>HYPERLINK("https://www.wikidata.org/wiki/Q471311", "Q471311")</f>
        <v>0</v>
      </c>
      <c r="O9549" t="s">
        <v>20113</v>
      </c>
    </row>
    <row r="9550" spans="1:15">
      <c r="A9550" t="s">
        <v>78</v>
      </c>
      <c r="B9550" t="s">
        <v>149</v>
      </c>
      <c r="C9550" t="s">
        <v>210</v>
      </c>
      <c r="D9550" t="s">
        <v>339</v>
      </c>
      <c r="E9550" t="s">
        <v>458</v>
      </c>
      <c r="F9550">
        <f>HYPERLINK("https://www.wikidata.org/wiki/Q2044828", "Q2044828")</f>
        <v>0</v>
      </c>
      <c r="G9550" t="s">
        <v>2578</v>
      </c>
      <c r="H9550" t="s">
        <v>7131</v>
      </c>
      <c r="I9550" t="s">
        <v>9385</v>
      </c>
      <c r="J9550" t="s">
        <v>13222</v>
      </c>
      <c r="K9550" t="s">
        <v>17625</v>
      </c>
      <c r="L9550">
        <f>HYPERLINK("https://www2.assemblee-nationale.fr/sycomore/fiche/(num_dept)/3032", "3032")</f>
        <v>0</v>
      </c>
      <c r="M9550">
        <f>HYPERLINK("https://www.senat.fr/senateur-3eme-republique/floquet_charles1411r3.html", "floquet_charles1411r3")</f>
        <v>0</v>
      </c>
      <c r="N9550">
        <f>HYPERLINK("https://www.wikidata.org/wiki/Q471311", "Q471311")</f>
        <v>0</v>
      </c>
      <c r="O9550" t="s">
        <v>20114</v>
      </c>
    </row>
    <row r="9551" spans="1:15">
      <c r="A9551" t="s">
        <v>78</v>
      </c>
      <c r="B9551" t="s">
        <v>149</v>
      </c>
      <c r="C9551" t="s">
        <v>210</v>
      </c>
      <c r="D9551" t="s">
        <v>339</v>
      </c>
      <c r="E9551" t="s">
        <v>458</v>
      </c>
      <c r="F9551">
        <f>HYPERLINK("https://www.wikidata.org/wiki/Q2044828", "Q2044828")</f>
        <v>0</v>
      </c>
      <c r="G9551" t="s">
        <v>2593</v>
      </c>
      <c r="H9551" t="s">
        <v>7142</v>
      </c>
      <c r="I9551" t="s">
        <v>9476</v>
      </c>
      <c r="J9551" t="s">
        <v>13236</v>
      </c>
      <c r="K9551" t="s">
        <v>17640</v>
      </c>
      <c r="L9551">
        <f>HYPERLINK("https://www2.assemblee-nationale.fr/sycomore/fiche/(num_dept)/3457", "3457")</f>
        <v>0</v>
      </c>
      <c r="M9551">
        <f>HYPERLINK("https://www.senat.fr/senateur-3eme-republique/goblet_rene1409r3.html", "goblet_rene1409r3")</f>
        <v>0</v>
      </c>
      <c r="N9551">
        <f>HYPERLINK("https://www.wikidata.org/wiki/Q559645", "Q559645")</f>
        <v>0</v>
      </c>
      <c r="O9551" t="s">
        <v>20062</v>
      </c>
    </row>
    <row r="9552" spans="1:15">
      <c r="A9552" t="s">
        <v>78</v>
      </c>
      <c r="B9552" t="s">
        <v>149</v>
      </c>
      <c r="C9552" t="s">
        <v>210</v>
      </c>
      <c r="D9552" t="s">
        <v>339</v>
      </c>
      <c r="E9552" t="s">
        <v>458</v>
      </c>
      <c r="F9552">
        <f>HYPERLINK("https://www.wikidata.org/wiki/Q2044828", "Q2044828")</f>
        <v>0</v>
      </c>
      <c r="G9552" t="s">
        <v>3255</v>
      </c>
      <c r="H9552" t="s">
        <v>7675</v>
      </c>
      <c r="I9552" t="s">
        <v>6200</v>
      </c>
      <c r="J9552" t="s">
        <v>13872</v>
      </c>
      <c r="K9552" t="s">
        <v>18243</v>
      </c>
      <c r="L9552">
        <f>HYPERLINK("https://www2.assemblee-nationale.fr/sycomore/fiche/(num_dept)/3714", "3714")</f>
        <v>0</v>
      </c>
      <c r="N9552">
        <f>HYPERLINK("https://www.wikidata.org/wiki/Q3172111", "Q3172111")</f>
        <v>0</v>
      </c>
      <c r="O9552" t="s">
        <v>20064</v>
      </c>
    </row>
    <row r="9553" spans="1:15">
      <c r="A9553" t="s">
        <v>78</v>
      </c>
      <c r="B9553" t="s">
        <v>149</v>
      </c>
      <c r="C9553" t="s">
        <v>210</v>
      </c>
      <c r="D9553" t="s">
        <v>339</v>
      </c>
      <c r="E9553" t="s">
        <v>458</v>
      </c>
      <c r="F9553">
        <f>HYPERLINK("https://www.wikidata.org/wiki/Q2044828", "Q2044828")</f>
        <v>0</v>
      </c>
      <c r="G9553" t="s">
        <v>2606</v>
      </c>
      <c r="H9553" t="s">
        <v>7155</v>
      </c>
      <c r="I9553" t="s">
        <v>9440</v>
      </c>
      <c r="J9553" t="s">
        <v>13249</v>
      </c>
      <c r="K9553" t="s">
        <v>17651</v>
      </c>
      <c r="L9553">
        <f>HYPERLINK("https://www2.assemblee-nationale.fr/sycomore/fiche/(num_dept)/4183", "4183")</f>
        <v>0</v>
      </c>
      <c r="N9553">
        <f>HYPERLINK("https://www.wikidata.org/wiki/Q2844734", "Q2844734")</f>
        <v>0</v>
      </c>
      <c r="O9553" t="s">
        <v>20184</v>
      </c>
    </row>
    <row r="9554" spans="1:15">
      <c r="A9554" t="s">
        <v>78</v>
      </c>
      <c r="B9554" t="s">
        <v>149</v>
      </c>
      <c r="C9554" t="s">
        <v>210</v>
      </c>
      <c r="D9554" t="s">
        <v>339</v>
      </c>
      <c r="E9554" t="s">
        <v>458</v>
      </c>
      <c r="F9554">
        <f>HYPERLINK("https://www.wikidata.org/wiki/Q2044828", "Q2044828")</f>
        <v>0</v>
      </c>
      <c r="G9554" t="s">
        <v>2965</v>
      </c>
      <c r="H9554" t="s">
        <v>5848</v>
      </c>
      <c r="I9554" t="s">
        <v>9388</v>
      </c>
      <c r="J9554" t="s">
        <v>13597</v>
      </c>
      <c r="K9554" t="s">
        <v>17983</v>
      </c>
      <c r="L9554">
        <f>HYPERLINK("https://www2.assemblee-nationale.fr/sycomore/fiche/(num_dept)/5873", "5873")</f>
        <v>0</v>
      </c>
      <c r="M9554">
        <f>HYPERLINK("https://www.senat.fr/senateur-3eme-republique/peytral_paul0322r3.html", "peytral_paul0322r3")</f>
        <v>0</v>
      </c>
      <c r="N9554">
        <f>HYPERLINK("https://www.wikidata.org/wiki/Q179491", "Q179491")</f>
        <v>0</v>
      </c>
      <c r="O9554" t="s">
        <v>20066</v>
      </c>
    </row>
    <row r="9555" spans="1:15">
      <c r="A9555" t="s">
        <v>78</v>
      </c>
      <c r="B9555" t="s">
        <v>149</v>
      </c>
      <c r="C9555" t="s">
        <v>210</v>
      </c>
      <c r="D9555" t="s">
        <v>339</v>
      </c>
      <c r="E9555" t="s">
        <v>458</v>
      </c>
      <c r="F9555">
        <f>HYPERLINK("https://www.wikidata.org/wiki/Q2044828", "Q2044828")</f>
        <v>0</v>
      </c>
      <c r="G9555" t="s">
        <v>2695</v>
      </c>
      <c r="H9555" t="s">
        <v>7227</v>
      </c>
      <c r="I9555" t="s">
        <v>9449</v>
      </c>
      <c r="J9555" t="s">
        <v>13336</v>
      </c>
      <c r="K9555" t="s">
        <v>17736</v>
      </c>
      <c r="L9555">
        <f>HYPERLINK("https://www2.assemblee-nationale.fr/sycomore/fiche/(num_dept)/7450", "7450")</f>
        <v>0</v>
      </c>
      <c r="N9555">
        <f>HYPERLINK("https://www.wikidata.org/wiki/Q3188959", "Q3188959")</f>
        <v>0</v>
      </c>
      <c r="O9555" t="s">
        <v>20056</v>
      </c>
    </row>
    <row r="9556" spans="1:15">
      <c r="A9556" t="s">
        <v>78</v>
      </c>
      <c r="B9556" t="s">
        <v>149</v>
      </c>
      <c r="C9556" t="s">
        <v>210</v>
      </c>
      <c r="D9556" t="s">
        <v>339</v>
      </c>
      <c r="E9556" t="s">
        <v>458</v>
      </c>
      <c r="F9556">
        <f>HYPERLINK("https://www.wikidata.org/wiki/Q2044828", "Q2044828")</f>
        <v>0</v>
      </c>
      <c r="G9556" t="s">
        <v>2717</v>
      </c>
      <c r="H9556" t="s">
        <v>7243</v>
      </c>
      <c r="I9556" t="s">
        <v>9728</v>
      </c>
      <c r="J9556" t="s">
        <v>13358</v>
      </c>
      <c r="K9556" t="s">
        <v>17758</v>
      </c>
      <c r="L9556">
        <f>HYPERLINK("https://www2.assemblee-nationale.fr/sycomore/fiche/(num_dept)/7875", "7875")</f>
        <v>0</v>
      </c>
      <c r="N9556">
        <f>HYPERLINK("https://www.wikidata.org/wiki/Q733836", "Q733836")</f>
        <v>0</v>
      </c>
      <c r="O9556" t="s">
        <v>20186</v>
      </c>
    </row>
    <row r="9557" spans="1:15">
      <c r="A9557" t="s">
        <v>78</v>
      </c>
      <c r="B9557" t="s">
        <v>149</v>
      </c>
      <c r="C9557" t="s">
        <v>210</v>
      </c>
      <c r="D9557" t="s">
        <v>339</v>
      </c>
      <c r="E9557" t="s">
        <v>458</v>
      </c>
      <c r="F9557">
        <f>HYPERLINK("https://www.wikidata.org/wiki/Q2044828", "Q2044828")</f>
        <v>0</v>
      </c>
      <c r="G9557" t="s">
        <v>4245</v>
      </c>
      <c r="H9557" t="s">
        <v>8418</v>
      </c>
      <c r="I9557" t="s">
        <v>9385</v>
      </c>
      <c r="J9557" t="s">
        <v>14751</v>
      </c>
      <c r="K9557" t="s">
        <v>19097</v>
      </c>
      <c r="M9557">
        <f>HYPERLINK("https://www.senat.fr/senateur-3eme-republique/de_saulces_de_freycinet_louis1713r3.html", "de_saulces_de_freycinet_louis1713r3")</f>
        <v>0</v>
      </c>
      <c r="N9557">
        <f>HYPERLINK("https://www.wikidata.org/wiki/Q317957", "Q317957")</f>
        <v>0</v>
      </c>
      <c r="O9557" t="s">
        <v>20057</v>
      </c>
    </row>
    <row r="9558" spans="1:15">
      <c r="A9558" t="s">
        <v>78</v>
      </c>
      <c r="B9558" t="s">
        <v>149</v>
      </c>
      <c r="C9558" t="s">
        <v>210</v>
      </c>
      <c r="D9558" t="s">
        <v>339</v>
      </c>
      <c r="E9558" t="s">
        <v>458</v>
      </c>
      <c r="F9558">
        <f>HYPERLINK("https://www.wikidata.org/wiki/Q2044828", "Q2044828")</f>
        <v>0</v>
      </c>
      <c r="G9558" t="s">
        <v>4306</v>
      </c>
      <c r="H9558" t="s">
        <v>8462</v>
      </c>
      <c r="I9558" t="s">
        <v>11180</v>
      </c>
      <c r="J9558" t="s">
        <v>14804</v>
      </c>
      <c r="K9558" t="s">
        <v>19147</v>
      </c>
      <c r="M9558">
        <f>HYPERLINK("https://www.senat.fr/senateur-3eme-republique/ferrouillat_jean_baptiste1735r3.html", "ferrouillat_jean_baptiste1735r3")</f>
        <v>0</v>
      </c>
      <c r="N9558">
        <f>HYPERLINK("https://www.wikidata.org/wiki/Q3179696", "Q3179696")</f>
        <v>0</v>
      </c>
      <c r="O9558" t="s">
        <v>20064</v>
      </c>
    </row>
    <row r="9559" spans="1:15">
      <c r="A9559" t="s">
        <v>78</v>
      </c>
      <c r="B9559" t="s">
        <v>149</v>
      </c>
      <c r="C9559" t="s">
        <v>210</v>
      </c>
      <c r="D9559" t="s">
        <v>339</v>
      </c>
      <c r="E9559" t="s">
        <v>458</v>
      </c>
      <c r="F9559">
        <f>HYPERLINK("https://www.wikidata.org/wiki/Q2044828", "Q2044828")</f>
        <v>0</v>
      </c>
      <c r="G9559" t="s">
        <v>4307</v>
      </c>
      <c r="H9559" t="s">
        <v>8463</v>
      </c>
      <c r="I9559" t="s">
        <v>9449</v>
      </c>
      <c r="J9559" t="s">
        <v>14805</v>
      </c>
      <c r="K9559" t="s">
        <v>18160</v>
      </c>
      <c r="N9559">
        <f>HYPERLINK("https://www.wikidata.org/wiki/Q2385765", "Q2385765")</f>
        <v>0</v>
      </c>
      <c r="O9559" t="s">
        <v>20185</v>
      </c>
    </row>
    <row r="9560" spans="1:15">
      <c r="A9560" t="s">
        <v>78</v>
      </c>
      <c r="B9560" t="s">
        <v>149</v>
      </c>
      <c r="C9560" t="s">
        <v>210</v>
      </c>
      <c r="D9560" t="s">
        <v>339</v>
      </c>
      <c r="E9560" t="s">
        <v>458</v>
      </c>
      <c r="F9560">
        <f>HYPERLINK("https://www.wikidata.org/wiki/Q2044828", "Q2044828")</f>
        <v>0</v>
      </c>
      <c r="G9560" t="s">
        <v>2711</v>
      </c>
      <c r="H9560" t="s">
        <v>5610</v>
      </c>
      <c r="I9560" t="s">
        <v>6860</v>
      </c>
      <c r="J9560" t="s">
        <v>13352</v>
      </c>
      <c r="K9560" t="s">
        <v>17752</v>
      </c>
      <c r="N9560">
        <f>HYPERLINK("https://www.wikidata.org/wiki/Q3385902", "Q3385902")</f>
        <v>0</v>
      </c>
      <c r="O9560" t="s">
        <v>20135</v>
      </c>
    </row>
    <row r="9561" spans="1:15">
      <c r="A9561" t="s">
        <v>79</v>
      </c>
      <c r="B9561" t="s">
        <v>149</v>
      </c>
      <c r="C9561" t="s">
        <v>211</v>
      </c>
      <c r="D9561" t="s">
        <v>340</v>
      </c>
      <c r="E9561" t="s">
        <v>459</v>
      </c>
      <c r="F9561">
        <f>HYPERLINK("https://www.wikidata.org/wiki/Q2985797", "Q2985797")</f>
        <v>0</v>
      </c>
      <c r="G9561" t="s">
        <v>1398</v>
      </c>
      <c r="H9561" t="s">
        <v>6109</v>
      </c>
      <c r="I9561" t="s">
        <v>9407</v>
      </c>
      <c r="J9561" t="s">
        <v>12124</v>
      </c>
      <c r="K9561" t="s">
        <v>16525</v>
      </c>
      <c r="L9561">
        <f>HYPERLINK("https://www2.assemblee-nationale.fr/sycomore/fiche/(num_dept)/1429", "1429")</f>
        <v>0</v>
      </c>
      <c r="M9561">
        <f>HYPERLINK("https://www.senat.fr/senateur-3eme-republique/capus_joseph0215r3.html", "capus_joseph0215r3")</f>
        <v>0</v>
      </c>
      <c r="N9561">
        <f>HYPERLINK("https://www.wikidata.org/wiki/Q2405409", "Q2405409")</f>
        <v>0</v>
      </c>
      <c r="O9561" t="s">
        <v>20056</v>
      </c>
    </row>
    <row r="9562" spans="1:15">
      <c r="A9562" t="s">
        <v>79</v>
      </c>
      <c r="B9562" t="s">
        <v>149</v>
      </c>
      <c r="C9562" t="s">
        <v>211</v>
      </c>
      <c r="D9562" t="s">
        <v>340</v>
      </c>
      <c r="E9562" t="s">
        <v>459</v>
      </c>
      <c r="F9562">
        <f>HYPERLINK("https://www.wikidata.org/wiki/Q2985797", "Q2985797")</f>
        <v>0</v>
      </c>
      <c r="G9562" t="s">
        <v>1455</v>
      </c>
      <c r="H9562" t="s">
        <v>6155</v>
      </c>
      <c r="I9562" t="s">
        <v>6200</v>
      </c>
      <c r="J9562" t="s">
        <v>12174</v>
      </c>
      <c r="K9562" t="s">
        <v>16580</v>
      </c>
      <c r="L9562">
        <f>HYPERLINK("https://www2.assemblee-nationale.fr/sycomore/fiche/(num_dept)/2884", "2884")</f>
        <v>0</v>
      </c>
      <c r="M9562">
        <f>HYPERLINK("https://www.senat.fr/senateur-3eme-republique/fabry_jean0685r3.html", "fabry_jean0685r3")</f>
        <v>0</v>
      </c>
      <c r="N9562">
        <f>HYPERLINK("https://www.wikidata.org/wiki/Q3171965", "Q3171965")</f>
        <v>0</v>
      </c>
      <c r="O9562" t="s">
        <v>20065</v>
      </c>
    </row>
    <row r="9563" spans="1:15">
      <c r="A9563" t="s">
        <v>79</v>
      </c>
      <c r="B9563" t="s">
        <v>149</v>
      </c>
      <c r="C9563" t="s">
        <v>211</v>
      </c>
      <c r="D9563" t="s">
        <v>340</v>
      </c>
      <c r="E9563" t="s">
        <v>459</v>
      </c>
      <c r="F9563">
        <f>HYPERLINK("https://www.wikidata.org/wiki/Q2985797", "Q2985797")</f>
        <v>0</v>
      </c>
      <c r="G9563" t="s">
        <v>1462</v>
      </c>
      <c r="H9563" t="s">
        <v>5400</v>
      </c>
      <c r="I9563" t="s">
        <v>9818</v>
      </c>
      <c r="J9563" t="s">
        <v>12181</v>
      </c>
      <c r="K9563" t="s">
        <v>16587</v>
      </c>
      <c r="L9563">
        <f>HYPERLINK("https://www2.assemblee-nationale.fr/sycomore/fiche/(num_dept)/2987", "2987")</f>
        <v>0</v>
      </c>
      <c r="N9563">
        <f>HYPERLINK("https://www.wikidata.org/wiki/Q3045174", "Q3045174")</f>
        <v>0</v>
      </c>
      <c r="O9563" t="s">
        <v>20053</v>
      </c>
    </row>
    <row r="9564" spans="1:15">
      <c r="A9564" t="s">
        <v>79</v>
      </c>
      <c r="B9564" t="s">
        <v>149</v>
      </c>
      <c r="C9564" t="s">
        <v>211</v>
      </c>
      <c r="D9564" t="s">
        <v>340</v>
      </c>
      <c r="E9564" t="s">
        <v>459</v>
      </c>
      <c r="F9564">
        <f>HYPERLINK("https://www.wikidata.org/wiki/Q2985797", "Q2985797")</f>
        <v>0</v>
      </c>
      <c r="G9564" t="s">
        <v>1507</v>
      </c>
      <c r="H9564" t="s">
        <v>6204</v>
      </c>
      <c r="I9564" t="s">
        <v>9388</v>
      </c>
      <c r="J9564" t="s">
        <v>12225</v>
      </c>
      <c r="K9564" t="s">
        <v>16630</v>
      </c>
      <c r="L9564">
        <f>HYPERLINK("https://www2.assemblee-nationale.fr/sycomore/fiche/(num_dept)/4069", "4069")</f>
        <v>0</v>
      </c>
      <c r="M9564">
        <f>HYPERLINK("https://www.senat.fr/senateur-3eme-republique/jourdain_paul1113r3.html", "jourdain_paul1113r3")</f>
        <v>0</v>
      </c>
      <c r="N9564">
        <f>HYPERLINK("https://www.wikidata.org/wiki/Q3371547", "Q3371547")</f>
        <v>0</v>
      </c>
      <c r="O9564" t="s">
        <v>20269</v>
      </c>
    </row>
    <row r="9565" spans="1:15">
      <c r="A9565" t="s">
        <v>79</v>
      </c>
      <c r="B9565" t="s">
        <v>149</v>
      </c>
      <c r="C9565" t="s">
        <v>211</v>
      </c>
      <c r="D9565" t="s">
        <v>340</v>
      </c>
      <c r="E9565" t="s">
        <v>459</v>
      </c>
      <c r="F9565">
        <f>HYPERLINK("https://www.wikidata.org/wiki/Q2985797", "Q2985797")</f>
        <v>0</v>
      </c>
      <c r="G9565" t="s">
        <v>983</v>
      </c>
      <c r="H9565" t="s">
        <v>5735</v>
      </c>
      <c r="I9565" t="s">
        <v>9534</v>
      </c>
      <c r="J9565" t="s">
        <v>11721</v>
      </c>
      <c r="K9565" t="s">
        <v>16125</v>
      </c>
      <c r="L9565">
        <f>HYPERLINK("https://www2.assemblee-nationale.fr/sycomore/fiche/(num_dept)/4326", "4326")</f>
        <v>0</v>
      </c>
      <c r="M9565">
        <f>HYPERLINK("https://www.senat.fr/senateur-3eme-republique/landry_adolphe0199r4.html", "landry_adolphe0199r4")</f>
        <v>0</v>
      </c>
      <c r="N9565">
        <f>HYPERLINK("https://www.wikidata.org/wiki/Q2824853", "Q2824853")</f>
        <v>0</v>
      </c>
      <c r="O9565" t="s">
        <v>20270</v>
      </c>
    </row>
    <row r="9566" spans="1:15">
      <c r="A9566" t="s">
        <v>79</v>
      </c>
      <c r="B9566" t="s">
        <v>149</v>
      </c>
      <c r="C9566" t="s">
        <v>211</v>
      </c>
      <c r="D9566" t="s">
        <v>340</v>
      </c>
      <c r="E9566" t="s">
        <v>459</v>
      </c>
      <c r="F9566">
        <f>HYPERLINK("https://www.wikidata.org/wiki/Q2985797", "Q2985797")</f>
        <v>0</v>
      </c>
      <c r="G9566" t="s">
        <v>717</v>
      </c>
      <c r="H9566" t="s">
        <v>5475</v>
      </c>
      <c r="I9566" t="s">
        <v>6585</v>
      </c>
      <c r="J9566" t="s">
        <v>11466</v>
      </c>
      <c r="K9566" t="s">
        <v>15868</v>
      </c>
      <c r="L9566">
        <f>HYPERLINK("https://www2.assemblee-nationale.fr/sycomore/fiche/(num_dept)/4882", "4882")</f>
        <v>0</v>
      </c>
      <c r="N9566">
        <f>HYPERLINK("https://www.wikidata.org/wiki/Q318617", "Q318617")</f>
        <v>0</v>
      </c>
      <c r="O9566" t="s">
        <v>20271</v>
      </c>
    </row>
    <row r="9567" spans="1:15">
      <c r="A9567" t="s">
        <v>79</v>
      </c>
      <c r="B9567" t="s">
        <v>149</v>
      </c>
      <c r="C9567" t="s">
        <v>211</v>
      </c>
      <c r="D9567" t="s">
        <v>340</v>
      </c>
      <c r="E9567" t="s">
        <v>459</v>
      </c>
      <c r="F9567">
        <f>HYPERLINK("https://www.wikidata.org/wiki/Q2985797", "Q2985797")</f>
        <v>0</v>
      </c>
      <c r="G9567" t="s">
        <v>1659</v>
      </c>
      <c r="H9567" t="s">
        <v>6342</v>
      </c>
      <c r="I9567" t="s">
        <v>9843</v>
      </c>
      <c r="J9567" t="s">
        <v>12366</v>
      </c>
      <c r="K9567" t="s">
        <v>16773</v>
      </c>
      <c r="L9567">
        <f>HYPERLINK("https://www2.assemblee-nationale.fr/sycomore/fiche/(num_dept)/7630", "7630")</f>
        <v>0</v>
      </c>
      <c r="M9567">
        <f>HYPERLINK("https://www.senat.fr/senateur-3eme-republique/le_trocquer_yves0588r3.html", "le_trocquer_yves0588r3")</f>
        <v>0</v>
      </c>
      <c r="N9567">
        <f>HYPERLINK("https://www.wikidata.org/wiki/Q3573784", "Q3573784")</f>
        <v>0</v>
      </c>
      <c r="O9567" t="s">
        <v>20272</v>
      </c>
    </row>
    <row r="9568" spans="1:15">
      <c r="A9568" t="s">
        <v>79</v>
      </c>
      <c r="B9568" t="s">
        <v>149</v>
      </c>
      <c r="C9568" t="s">
        <v>211</v>
      </c>
      <c r="D9568" t="s">
        <v>340</v>
      </c>
      <c r="E9568" t="s">
        <v>459</v>
      </c>
      <c r="F9568">
        <f>HYPERLINK("https://www.wikidata.org/wiki/Q2985797", "Q2985797")</f>
        <v>0</v>
      </c>
      <c r="G9568" t="s">
        <v>1076</v>
      </c>
      <c r="H9568" t="s">
        <v>5820</v>
      </c>
      <c r="I9568" t="s">
        <v>9602</v>
      </c>
      <c r="J9568" t="s">
        <v>11812</v>
      </c>
      <c r="K9568" t="s">
        <v>16213</v>
      </c>
      <c r="L9568">
        <f>HYPERLINK("https://www2.assemblee-nationale.fr/sycomore/fiche/(num_dept)/7691", "7691")</f>
        <v>0</v>
      </c>
      <c r="M9568">
        <f>HYPERLINK("https://www.senat.fr/senateur-3eme-republique/lefebvre_du_prey_edmond0976r3.html", "lefebvre_du_prey_edmond0976r3")</f>
        <v>0</v>
      </c>
      <c r="N9568">
        <f>HYPERLINK("https://www.wikidata.org/wiki/Q1285694", "Q1285694")</f>
        <v>0</v>
      </c>
      <c r="O9568" t="s">
        <v>20062</v>
      </c>
    </row>
    <row r="9569" spans="1:15">
      <c r="A9569" t="s">
        <v>79</v>
      </c>
      <c r="B9569" t="s">
        <v>149</v>
      </c>
      <c r="C9569" t="s">
        <v>211</v>
      </c>
      <c r="D9569" t="s">
        <v>340</v>
      </c>
      <c r="E9569" t="s">
        <v>459</v>
      </c>
      <c r="F9569">
        <f>HYPERLINK("https://www.wikidata.org/wiki/Q2985797", "Q2985797")</f>
        <v>0</v>
      </c>
      <c r="G9569" t="s">
        <v>1333</v>
      </c>
      <c r="H9569" t="s">
        <v>5402</v>
      </c>
      <c r="I9569" t="s">
        <v>9754</v>
      </c>
      <c r="J9569" t="s">
        <v>12060</v>
      </c>
      <c r="K9569" t="s">
        <v>16462</v>
      </c>
      <c r="L9569">
        <f>HYPERLINK("https://www2.assemblee-nationale.fr/sycomore/fiche/(num_dept)/10839", "10839")</f>
        <v>0</v>
      </c>
      <c r="N9569">
        <f>HYPERLINK("https://www.wikidata.org/wiki/Q471296", "Q471296")</f>
        <v>0</v>
      </c>
      <c r="O9569" t="s">
        <v>20273</v>
      </c>
    </row>
    <row r="9570" spans="1:15">
      <c r="A9570" t="s">
        <v>79</v>
      </c>
      <c r="B9570" t="s">
        <v>149</v>
      </c>
      <c r="C9570" t="s">
        <v>211</v>
      </c>
      <c r="D9570" t="s">
        <v>340</v>
      </c>
      <c r="E9570" t="s">
        <v>459</v>
      </c>
      <c r="F9570">
        <f>HYPERLINK("https://www.wikidata.org/wiki/Q2985797", "Q2985797")</f>
        <v>0</v>
      </c>
      <c r="G9570" t="s">
        <v>4262</v>
      </c>
      <c r="H9570" t="s">
        <v>8431</v>
      </c>
      <c r="I9570" t="s">
        <v>9605</v>
      </c>
      <c r="J9570" t="s">
        <v>12022</v>
      </c>
      <c r="K9570" t="s">
        <v>19110</v>
      </c>
      <c r="M9570">
        <f>HYPERLINK("https://www.senat.fr/senateur-3eme-republique/de_selves_justin1727r3.html", "de_selves_justin1727r3")</f>
        <v>0</v>
      </c>
      <c r="N9570">
        <f>HYPERLINK("https://www.wikidata.org/wiki/Q2403337", "Q2403337")</f>
        <v>0</v>
      </c>
      <c r="O9570" t="s">
        <v>20058</v>
      </c>
    </row>
    <row r="9571" spans="1:15">
      <c r="A9571" t="s">
        <v>79</v>
      </c>
      <c r="B9571" t="s">
        <v>149</v>
      </c>
      <c r="C9571" t="s">
        <v>211</v>
      </c>
      <c r="D9571" t="s">
        <v>340</v>
      </c>
      <c r="E9571" t="s">
        <v>459</v>
      </c>
      <c r="F9571">
        <f>HYPERLINK("https://www.wikidata.org/wiki/Q2985797", "Q2985797")</f>
        <v>0</v>
      </c>
      <c r="G9571" t="s">
        <v>4224</v>
      </c>
      <c r="H9571" t="s">
        <v>8404</v>
      </c>
      <c r="I9571" t="s">
        <v>9608</v>
      </c>
      <c r="J9571" t="s">
        <v>11706</v>
      </c>
      <c r="K9571" t="s">
        <v>19077</v>
      </c>
      <c r="M9571">
        <f>HYPERLINK("https://www.senat.fr/senateur-3eme-republique/ratier_antony0259r3.html", "ratier_antony0259r3")</f>
        <v>0</v>
      </c>
      <c r="N9571">
        <f>HYPERLINK("https://www.wikidata.org/wiki/Q2342450", "Q2342450")</f>
        <v>0</v>
      </c>
      <c r="O9571" t="s">
        <v>20064</v>
      </c>
    </row>
    <row r="9572" spans="1:15">
      <c r="A9572" t="s">
        <v>79</v>
      </c>
      <c r="B9572" t="s">
        <v>149</v>
      </c>
      <c r="C9572" t="s">
        <v>211</v>
      </c>
      <c r="D9572" t="s">
        <v>340</v>
      </c>
      <c r="E9572" t="s">
        <v>459</v>
      </c>
      <c r="F9572">
        <f>HYPERLINK("https://www.wikidata.org/wiki/Q2985797", "Q2985797")</f>
        <v>0</v>
      </c>
      <c r="G9572" t="s">
        <v>4308</v>
      </c>
      <c r="H9572" t="s">
        <v>8464</v>
      </c>
      <c r="I9572" t="s">
        <v>9612</v>
      </c>
      <c r="J9572" t="s">
        <v>14806</v>
      </c>
      <c r="K9572" t="s">
        <v>17434</v>
      </c>
      <c r="M9572">
        <f>HYPERLINK("https://www.senat.fr/senateur-3eme-republique/francois_marsal_frederic0362r3.html", "francois_marsal_frederic0362r3")</f>
        <v>0</v>
      </c>
      <c r="N9572">
        <f>HYPERLINK("https://www.wikidata.org/wiki/Q459212", "Q459212")</f>
        <v>0</v>
      </c>
      <c r="O9572" t="s">
        <v>20066</v>
      </c>
    </row>
    <row r="9573" spans="1:15">
      <c r="A9573" t="s">
        <v>79</v>
      </c>
      <c r="B9573" t="s">
        <v>149</v>
      </c>
      <c r="C9573" t="s">
        <v>211</v>
      </c>
      <c r="D9573" t="s">
        <v>340</v>
      </c>
      <c r="E9573" t="s">
        <v>459</v>
      </c>
      <c r="F9573">
        <f>HYPERLINK("https://www.wikidata.org/wiki/Q2985797", "Q2985797")</f>
        <v>0</v>
      </c>
      <c r="G9573" t="s">
        <v>724</v>
      </c>
      <c r="H9573" t="s">
        <v>5482</v>
      </c>
      <c r="I9573" t="s">
        <v>6495</v>
      </c>
      <c r="J9573" t="s">
        <v>11473</v>
      </c>
      <c r="K9573" t="s">
        <v>15875</v>
      </c>
      <c r="N9573">
        <f>HYPERLINK("https://www.wikidata.org/wiki/Q3262636", "Q3262636")</f>
        <v>0</v>
      </c>
      <c r="O9573" t="s">
        <v>20167</v>
      </c>
    </row>
    <row r="9574" spans="1:15">
      <c r="A9574" t="s">
        <v>79</v>
      </c>
      <c r="B9574" t="s">
        <v>149</v>
      </c>
      <c r="C9574" t="s">
        <v>211</v>
      </c>
      <c r="D9574" t="s">
        <v>340</v>
      </c>
      <c r="E9574" t="s">
        <v>459</v>
      </c>
      <c r="F9574">
        <f>HYPERLINK("https://www.wikidata.org/wiki/Q2985797", "Q2985797")</f>
        <v>0</v>
      </c>
      <c r="G9574" t="s">
        <v>4308</v>
      </c>
      <c r="H9574" t="s">
        <v>8464</v>
      </c>
      <c r="I9574" t="s">
        <v>9612</v>
      </c>
      <c r="J9574" t="s">
        <v>14806</v>
      </c>
      <c r="K9574" t="s">
        <v>17434</v>
      </c>
      <c r="M9574">
        <f>HYPERLINK("https://www.senat.fr/senateur-3eme-republique/francois_marsal_frederic0362r3.html", "francois_marsal_frederic0362r3")</f>
        <v>0</v>
      </c>
      <c r="N9574">
        <f>HYPERLINK("https://www.wikidata.org/wiki/Q459212", "Q459212")</f>
        <v>0</v>
      </c>
      <c r="O9574" t="s">
        <v>20052</v>
      </c>
    </row>
    <row r="9575" spans="1:15">
      <c r="A9575" t="s">
        <v>80</v>
      </c>
      <c r="B9575" t="s">
        <v>149</v>
      </c>
      <c r="C9575" t="s">
        <v>212</v>
      </c>
      <c r="D9575" t="s">
        <v>341</v>
      </c>
      <c r="E9575" t="s">
        <v>460</v>
      </c>
      <c r="F9575">
        <f>HYPERLINK("https://www.wikidata.org/wiki/Q3112258", "Q3112258")</f>
        <v>0</v>
      </c>
      <c r="G9575" t="s">
        <v>2499</v>
      </c>
      <c r="H9575" t="s">
        <v>7069</v>
      </c>
      <c r="I9575" t="s">
        <v>9388</v>
      </c>
      <c r="J9575" t="s">
        <v>13143</v>
      </c>
      <c r="K9575" t="s">
        <v>17551</v>
      </c>
      <c r="L9575">
        <f>HYPERLINK("https://www2.assemblee-nationale.fr/sycomore/fiche/(num_dept)/718", "718")</f>
        <v>0</v>
      </c>
      <c r="N9575">
        <f>HYPERLINK("https://www.wikidata.org/wiki/Q735370", "Q735370")</f>
        <v>0</v>
      </c>
      <c r="O9575" t="s">
        <v>20274</v>
      </c>
    </row>
    <row r="9576" spans="1:15">
      <c r="A9576" t="s">
        <v>80</v>
      </c>
      <c r="B9576" t="s">
        <v>149</v>
      </c>
      <c r="C9576" t="s">
        <v>212</v>
      </c>
      <c r="D9576" t="s">
        <v>341</v>
      </c>
      <c r="E9576" t="s">
        <v>460</v>
      </c>
      <c r="F9576">
        <f>HYPERLINK("https://www.wikidata.org/wiki/Q3112258", "Q3112258")</f>
        <v>0</v>
      </c>
      <c r="G9576" t="s">
        <v>2533</v>
      </c>
      <c r="H9576" t="s">
        <v>7093</v>
      </c>
      <c r="I9576" t="s">
        <v>9602</v>
      </c>
      <c r="J9576" t="s">
        <v>13177</v>
      </c>
      <c r="K9576" t="s">
        <v>17583</v>
      </c>
      <c r="L9576">
        <f>HYPERLINK("https://www2.assemblee-nationale.fr/sycomore/fiche/(num_dept)/1556", "1556")</f>
        <v>0</v>
      </c>
      <c r="M9576">
        <f>HYPERLINK("https://www.senat.fr/senateur-3eme-republique/caze_edmond0102r3.html", "caze_edmond0102r3")</f>
        <v>0</v>
      </c>
      <c r="N9576">
        <f>HYPERLINK("https://www.wikidata.org/wiki/Q3047779", "Q3047779")</f>
        <v>0</v>
      </c>
      <c r="O9576" t="s">
        <v>20275</v>
      </c>
    </row>
    <row r="9577" spans="1:15">
      <c r="A9577" t="s">
        <v>80</v>
      </c>
      <c r="B9577" t="s">
        <v>149</v>
      </c>
      <c r="C9577" t="s">
        <v>212</v>
      </c>
      <c r="D9577" t="s">
        <v>341</v>
      </c>
      <c r="E9577" t="s">
        <v>460</v>
      </c>
      <c r="F9577">
        <f>HYPERLINK("https://www.wikidata.org/wiki/Q3112258", "Q3112258")</f>
        <v>0</v>
      </c>
      <c r="G9577" t="s">
        <v>2573</v>
      </c>
      <c r="H9577" t="s">
        <v>5397</v>
      </c>
      <c r="I9577" t="s">
        <v>6158</v>
      </c>
      <c r="J9577" t="s">
        <v>13217</v>
      </c>
      <c r="K9577" t="s">
        <v>17620</v>
      </c>
      <c r="L9577">
        <f>HYPERLINK("https://www2.assemblee-nationale.fr/sycomore/fiche/(num_dept)/2925", "2925")</f>
        <v>0</v>
      </c>
      <c r="N9577">
        <f>HYPERLINK("https://www.wikidata.org/wiki/Q296076", "Q296076")</f>
        <v>0</v>
      </c>
      <c r="O9577" t="s">
        <v>20276</v>
      </c>
    </row>
    <row r="9578" spans="1:15">
      <c r="A9578" t="s">
        <v>80</v>
      </c>
      <c r="B9578" t="s">
        <v>149</v>
      </c>
      <c r="C9578" t="s">
        <v>212</v>
      </c>
      <c r="D9578" t="s">
        <v>341</v>
      </c>
      <c r="E9578" t="s">
        <v>460</v>
      </c>
      <c r="F9578">
        <f>HYPERLINK("https://www.wikidata.org/wiki/Q3112258", "Q3112258")</f>
        <v>0</v>
      </c>
      <c r="G9578" t="s">
        <v>2586</v>
      </c>
      <c r="H9578" t="s">
        <v>7138</v>
      </c>
      <c r="I9578" t="s">
        <v>5528</v>
      </c>
      <c r="J9578" t="s">
        <v>13230</v>
      </c>
      <c r="K9578" t="s">
        <v>17633</v>
      </c>
      <c r="L9578">
        <f>HYPERLINK("https://www2.assemblee-nationale.fr/sycomore/fiche/(num_dept)/3237", "3237")</f>
        <v>0</v>
      </c>
      <c r="N9578">
        <f>HYPERLINK("https://www.wikidata.org/wiki/Q295090", "Q295090")</f>
        <v>0</v>
      </c>
      <c r="O9578" t="s">
        <v>20062</v>
      </c>
    </row>
    <row r="9579" spans="1:15">
      <c r="A9579" t="s">
        <v>80</v>
      </c>
      <c r="B9579" t="s">
        <v>149</v>
      </c>
      <c r="C9579" t="s">
        <v>212</v>
      </c>
      <c r="D9579" t="s">
        <v>341</v>
      </c>
      <c r="E9579" t="s">
        <v>460</v>
      </c>
      <c r="F9579">
        <f>HYPERLINK("https://www.wikidata.org/wiki/Q3112258", "Q3112258")</f>
        <v>0</v>
      </c>
      <c r="G9579" t="s">
        <v>2586</v>
      </c>
      <c r="H9579" t="s">
        <v>7138</v>
      </c>
      <c r="I9579" t="s">
        <v>5528</v>
      </c>
      <c r="J9579" t="s">
        <v>13230</v>
      </c>
      <c r="K9579" t="s">
        <v>17633</v>
      </c>
      <c r="L9579">
        <f>HYPERLINK("https://www2.assemblee-nationale.fr/sycomore/fiche/(num_dept)/3237", "3237")</f>
        <v>0</v>
      </c>
      <c r="N9579">
        <f>HYPERLINK("https://www.wikidata.org/wiki/Q295090", "Q295090")</f>
        <v>0</v>
      </c>
      <c r="O9579" t="s">
        <v>20114</v>
      </c>
    </row>
    <row r="9580" spans="1:15">
      <c r="A9580" t="s">
        <v>80</v>
      </c>
      <c r="B9580" t="s">
        <v>149</v>
      </c>
      <c r="C9580" t="s">
        <v>212</v>
      </c>
      <c r="D9580" t="s">
        <v>341</v>
      </c>
      <c r="E9580" t="s">
        <v>460</v>
      </c>
      <c r="F9580">
        <f>HYPERLINK("https://www.wikidata.org/wiki/Q3112258", "Q3112258")</f>
        <v>0</v>
      </c>
      <c r="G9580" t="s">
        <v>2626</v>
      </c>
      <c r="H9580" t="s">
        <v>7173</v>
      </c>
      <c r="I9580" t="s">
        <v>6158</v>
      </c>
      <c r="J9580" t="s">
        <v>13269</v>
      </c>
      <c r="K9580" t="s">
        <v>17670</v>
      </c>
      <c r="L9580">
        <f>HYPERLINK("https://www2.assemblee-nationale.fr/sycomore/fiche/(num_dept)/5046", "5046")</f>
        <v>0</v>
      </c>
      <c r="N9580">
        <f>HYPERLINK("https://www.wikidata.org/wiki/Q3092536", "Q3092536")</f>
        <v>0</v>
      </c>
      <c r="O9580" t="s">
        <v>20265</v>
      </c>
    </row>
    <row r="9581" spans="1:15">
      <c r="A9581" t="s">
        <v>80</v>
      </c>
      <c r="B9581" t="s">
        <v>149</v>
      </c>
      <c r="C9581" t="s">
        <v>212</v>
      </c>
      <c r="D9581" t="s">
        <v>341</v>
      </c>
      <c r="E9581" t="s">
        <v>460</v>
      </c>
      <c r="F9581">
        <f>HYPERLINK("https://www.wikidata.org/wiki/Q3112258", "Q3112258")</f>
        <v>0</v>
      </c>
      <c r="G9581" t="s">
        <v>2650</v>
      </c>
      <c r="H9581" t="s">
        <v>7191</v>
      </c>
      <c r="I9581" t="s">
        <v>7642</v>
      </c>
      <c r="J9581" t="s">
        <v>13292</v>
      </c>
      <c r="K9581" t="s">
        <v>17691</v>
      </c>
      <c r="L9581">
        <f>HYPERLINK("https://www2.assemblee-nationale.fr/sycomore/fiche/(num_dept)/6152", "6152")</f>
        <v>0</v>
      </c>
      <c r="M9581">
        <f>HYPERLINK("https://www.senat.fr/senateur-3eme-republique/rouvier_maurice0115r3.html", "rouvier_maurice0115r3")</f>
        <v>0</v>
      </c>
      <c r="N9581">
        <f>HYPERLINK("https://www.wikidata.org/wiki/Q471293", "Q471293")</f>
        <v>0</v>
      </c>
      <c r="O9581" t="s">
        <v>20069</v>
      </c>
    </row>
    <row r="9582" spans="1:15">
      <c r="A9582" t="s">
        <v>80</v>
      </c>
      <c r="B9582" t="s">
        <v>149</v>
      </c>
      <c r="C9582" t="s">
        <v>212</v>
      </c>
      <c r="D9582" t="s">
        <v>341</v>
      </c>
      <c r="E9582" t="s">
        <v>460</v>
      </c>
      <c r="F9582">
        <f>HYPERLINK("https://www.wikidata.org/wiki/Q3112258", "Q3112258")</f>
        <v>0</v>
      </c>
      <c r="G9582" t="s">
        <v>2664</v>
      </c>
      <c r="H9582" t="s">
        <v>6024</v>
      </c>
      <c r="I9582" t="s">
        <v>10017</v>
      </c>
      <c r="J9582" t="s">
        <v>13305</v>
      </c>
      <c r="K9582" t="s">
        <v>17705</v>
      </c>
      <c r="L9582">
        <f>HYPERLINK("https://www2.assemblee-nationale.fr/sycomore/fiche/(num_dept)/6516", "6516")</f>
        <v>0</v>
      </c>
      <c r="N9582">
        <f>HYPERLINK("https://www.wikidata.org/wiki/Q598992", "Q598992")</f>
        <v>0</v>
      </c>
      <c r="O9582" t="s">
        <v>20277</v>
      </c>
    </row>
    <row r="9583" spans="1:15">
      <c r="A9583" t="s">
        <v>80</v>
      </c>
      <c r="B9583" t="s">
        <v>149</v>
      </c>
      <c r="C9583" t="s">
        <v>212</v>
      </c>
      <c r="D9583" t="s">
        <v>341</v>
      </c>
      <c r="E9583" t="s">
        <v>460</v>
      </c>
      <c r="F9583">
        <f>HYPERLINK("https://www.wikidata.org/wiki/Q3112258", "Q3112258")</f>
        <v>0</v>
      </c>
      <c r="G9583" t="s">
        <v>2666</v>
      </c>
      <c r="H9583" t="s">
        <v>7204</v>
      </c>
      <c r="I9583" t="s">
        <v>5361</v>
      </c>
      <c r="J9583" t="s">
        <v>13307</v>
      </c>
      <c r="K9583" t="s">
        <v>17707</v>
      </c>
      <c r="L9583">
        <f>HYPERLINK("https://www2.assemblee-nationale.fr/sycomore/fiche/(num_dept)/6631", "6631")</f>
        <v>0</v>
      </c>
      <c r="M9583">
        <f>HYPERLINK("https://www.senat.fr/senateur-3eme-republique/raynal_david0206r3.html", "raynal_david0206r3")</f>
        <v>0</v>
      </c>
      <c r="N9583">
        <f>HYPERLINK("https://www.wikidata.org/wiki/Q3018665", "Q3018665")</f>
        <v>0</v>
      </c>
      <c r="O9583" t="s">
        <v>20063</v>
      </c>
    </row>
    <row r="9584" spans="1:15">
      <c r="A9584" t="s">
        <v>80</v>
      </c>
      <c r="B9584" t="s">
        <v>149</v>
      </c>
      <c r="C9584" t="s">
        <v>212</v>
      </c>
      <c r="D9584" t="s">
        <v>341</v>
      </c>
      <c r="E9584" t="s">
        <v>460</v>
      </c>
      <c r="F9584">
        <f>HYPERLINK("https://www.wikidata.org/wiki/Q3112258", "Q3112258")</f>
        <v>0</v>
      </c>
      <c r="G9584" t="s">
        <v>2681</v>
      </c>
      <c r="H9584" t="s">
        <v>7215</v>
      </c>
      <c r="I9584" t="s">
        <v>9465</v>
      </c>
      <c r="J9584" t="s">
        <v>13322</v>
      </c>
      <c r="K9584" t="s">
        <v>17722</v>
      </c>
      <c r="L9584">
        <f>HYPERLINK("https://www2.assemblee-nationale.fr/sycomore/fiche/(num_dept)/6901", "6901")</f>
        <v>0</v>
      </c>
      <c r="M9584">
        <f>HYPERLINK("https://www.senat.fr/senateur-3eme-republique/spuller_eugene0548r3.html", "spuller_eugene0548r3")</f>
        <v>0</v>
      </c>
      <c r="N9584">
        <f>HYPERLINK("https://www.wikidata.org/wiki/Q3060180", "Q3060180")</f>
        <v>0</v>
      </c>
      <c r="O9584" t="s">
        <v>20084</v>
      </c>
    </row>
    <row r="9585" spans="1:15">
      <c r="A9585" t="s">
        <v>80</v>
      </c>
      <c r="B9585" t="s">
        <v>149</v>
      </c>
      <c r="C9585" t="s">
        <v>212</v>
      </c>
      <c r="D9585" t="s">
        <v>341</v>
      </c>
      <c r="E9585" t="s">
        <v>460</v>
      </c>
      <c r="F9585">
        <f>HYPERLINK("https://www.wikidata.org/wiki/Q3112258", "Q3112258")</f>
        <v>0</v>
      </c>
      <c r="G9585" t="s">
        <v>2702</v>
      </c>
      <c r="H9585" t="s">
        <v>7234</v>
      </c>
      <c r="I9585" t="s">
        <v>6860</v>
      </c>
      <c r="J9585" t="s">
        <v>13343</v>
      </c>
      <c r="K9585" t="s">
        <v>17743</v>
      </c>
      <c r="L9585">
        <f>HYPERLINK("https://www2.assemblee-nationale.fr/sycomore/fiche/(num_dept)/7473", "7473")</f>
        <v>0</v>
      </c>
      <c r="M9585">
        <f>HYPERLINK("https://www.senat.fr/senateur-3eme-republique/waldeck_rousseau_pierre1368r3.html", "waldeck_rousseau_pierre1368r3")</f>
        <v>0</v>
      </c>
      <c r="N9585">
        <f>HYPERLINK("https://www.wikidata.org/wiki/Q358452", "Q358452")</f>
        <v>0</v>
      </c>
      <c r="O9585" t="s">
        <v>20058</v>
      </c>
    </row>
    <row r="9586" spans="1:15">
      <c r="A9586" t="s">
        <v>80</v>
      </c>
      <c r="B9586" t="s">
        <v>149</v>
      </c>
      <c r="C9586" t="s">
        <v>212</v>
      </c>
      <c r="D9586" t="s">
        <v>341</v>
      </c>
      <c r="E9586" t="s">
        <v>460</v>
      </c>
      <c r="F9586">
        <f>HYPERLINK("https://www.wikidata.org/wiki/Q3112258", "Q3112258")</f>
        <v>0</v>
      </c>
      <c r="G9586" t="s">
        <v>2713</v>
      </c>
      <c r="H9586" t="s">
        <v>7239</v>
      </c>
      <c r="I9586" t="s">
        <v>10379</v>
      </c>
      <c r="J9586" t="s">
        <v>13354</v>
      </c>
      <c r="K9586" t="s">
        <v>17754</v>
      </c>
      <c r="L9586">
        <f>HYPERLINK("https://www2.assemblee-nationale.fr/sycomore/fiche/(num_dept)/7811", "7811")</f>
        <v>0</v>
      </c>
      <c r="N9586">
        <f>HYPERLINK("https://www.wikidata.org/wiki/Q3045142", "Q3045142")</f>
        <v>0</v>
      </c>
      <c r="O9586" t="s">
        <v>20208</v>
      </c>
    </row>
    <row r="9587" spans="1:15">
      <c r="A9587" t="s">
        <v>80</v>
      </c>
      <c r="B9587" t="s">
        <v>149</v>
      </c>
      <c r="C9587" t="s">
        <v>212</v>
      </c>
      <c r="D9587" t="s">
        <v>341</v>
      </c>
      <c r="E9587" t="s">
        <v>460</v>
      </c>
      <c r="F9587">
        <f>HYPERLINK("https://www.wikidata.org/wiki/Q3112258", "Q3112258")</f>
        <v>0</v>
      </c>
      <c r="G9587" t="s">
        <v>2718</v>
      </c>
      <c r="H9587" t="s">
        <v>7244</v>
      </c>
      <c r="I9587" t="s">
        <v>6166</v>
      </c>
      <c r="J9587" t="s">
        <v>13359</v>
      </c>
      <c r="K9587" t="s">
        <v>17759</v>
      </c>
      <c r="L9587">
        <f>HYPERLINK("https://www2.assemblee-nationale.fr/sycomore/fiche/(num_dept)/7892", "7892")</f>
        <v>0</v>
      </c>
      <c r="N9587">
        <f>HYPERLINK("https://www.wikidata.org/wiki/Q2060426", "Q2060426")</f>
        <v>0</v>
      </c>
      <c r="O9587" t="s">
        <v>20066</v>
      </c>
    </row>
    <row r="9588" spans="1:15">
      <c r="A9588" t="s">
        <v>80</v>
      </c>
      <c r="B9588" t="s">
        <v>149</v>
      </c>
      <c r="C9588" t="s">
        <v>212</v>
      </c>
      <c r="D9588" t="s">
        <v>341</v>
      </c>
      <c r="E9588" t="s">
        <v>460</v>
      </c>
      <c r="F9588">
        <f>HYPERLINK("https://www.wikidata.org/wiki/Q3112258", "Q3112258")</f>
        <v>0</v>
      </c>
      <c r="G9588" t="s">
        <v>2721</v>
      </c>
      <c r="H9588" t="s">
        <v>7246</v>
      </c>
      <c r="I9588" t="s">
        <v>9465</v>
      </c>
      <c r="J9588" t="s">
        <v>13362</v>
      </c>
      <c r="K9588" t="s">
        <v>17762</v>
      </c>
      <c r="L9588">
        <f>HYPERLINK("https://www2.assemblee-nationale.fr/sycomore/fiche/(num_dept)/7902", "7902")</f>
        <v>0</v>
      </c>
      <c r="N9588">
        <f>HYPERLINK("https://www.wikidata.org/wiki/Q3059734", "Q3059734")</f>
        <v>0</v>
      </c>
      <c r="O9588" t="s">
        <v>20121</v>
      </c>
    </row>
    <row r="9589" spans="1:15">
      <c r="A9589" t="s">
        <v>80</v>
      </c>
      <c r="B9589" t="s">
        <v>149</v>
      </c>
      <c r="C9589" t="s">
        <v>212</v>
      </c>
      <c r="D9589" t="s">
        <v>341</v>
      </c>
      <c r="E9589" t="s">
        <v>460</v>
      </c>
      <c r="F9589">
        <f>HYPERLINK("https://www.wikidata.org/wiki/Q3112258", "Q3112258")</f>
        <v>0</v>
      </c>
      <c r="G9589" t="s">
        <v>2728</v>
      </c>
      <c r="H9589" t="s">
        <v>5344</v>
      </c>
      <c r="I9589" t="s">
        <v>9534</v>
      </c>
      <c r="J9589" t="s">
        <v>13369</v>
      </c>
      <c r="K9589" t="s">
        <v>17649</v>
      </c>
      <c r="L9589">
        <f>HYPERLINK("https://www2.assemblee-nationale.fr/sycomore/fiche/(num_dept)/7924", "7924")</f>
        <v>0</v>
      </c>
      <c r="M9589">
        <f>HYPERLINK("https://www.senat.fr/senateur-3eme-republique/cochery_adolphe0505r3.html", "cochery_adolphe0505r3")</f>
        <v>0</v>
      </c>
      <c r="N9589">
        <f>HYPERLINK("https://www.wikidata.org/wiki/Q960751", "Q960751")</f>
        <v>0</v>
      </c>
      <c r="O9589" t="s">
        <v>20181</v>
      </c>
    </row>
    <row r="9590" spans="1:15">
      <c r="A9590" t="s">
        <v>80</v>
      </c>
      <c r="B9590" t="s">
        <v>149</v>
      </c>
      <c r="C9590" t="s">
        <v>212</v>
      </c>
      <c r="D9590" t="s">
        <v>341</v>
      </c>
      <c r="E9590" t="s">
        <v>460</v>
      </c>
      <c r="F9590">
        <f>HYPERLINK("https://www.wikidata.org/wiki/Q3112258", "Q3112258")</f>
        <v>0</v>
      </c>
      <c r="G9590" t="s">
        <v>2989</v>
      </c>
      <c r="H9590" t="s">
        <v>7453</v>
      </c>
      <c r="I9590" t="s">
        <v>9388</v>
      </c>
      <c r="J9590" t="s">
        <v>13621</v>
      </c>
      <c r="K9590" t="s">
        <v>18004</v>
      </c>
      <c r="L9590">
        <f>HYPERLINK("https://www2.assemblee-nationale.fr/sycomore/fiche/(num_dept)/8141", "8141")</f>
        <v>0</v>
      </c>
      <c r="M9590">
        <f>HYPERLINK("https://www.senat.fr/senateur-3eme-republique/deves_paul0369r3.html", "deves_paul0369r3")</f>
        <v>0</v>
      </c>
      <c r="N9590">
        <f>HYPERLINK("https://www.wikidata.org/wiki/Q572361", "Q572361")</f>
        <v>0</v>
      </c>
      <c r="O9590" t="s">
        <v>20056</v>
      </c>
    </row>
    <row r="9591" spans="1:15">
      <c r="A9591" t="s">
        <v>80</v>
      </c>
      <c r="B9591" t="s">
        <v>149</v>
      </c>
      <c r="C9591" t="s">
        <v>212</v>
      </c>
      <c r="D9591" t="s">
        <v>341</v>
      </c>
      <c r="E9591" t="s">
        <v>460</v>
      </c>
      <c r="F9591">
        <f>HYPERLINK("https://www.wikidata.org/wiki/Q3112258", "Q3112258")</f>
        <v>0</v>
      </c>
      <c r="G9591" t="s">
        <v>2834</v>
      </c>
      <c r="H9591" t="s">
        <v>7328</v>
      </c>
      <c r="I9591" t="s">
        <v>9534</v>
      </c>
      <c r="J9591" t="s">
        <v>13147</v>
      </c>
      <c r="K9591" t="s">
        <v>17863</v>
      </c>
      <c r="L9591">
        <f>HYPERLINK("https://www2.assemblee-nationale.fr/sycomore/fiche/(num_dept)/8153", "8153")</f>
        <v>0</v>
      </c>
      <c r="M9591">
        <f>HYPERLINK("https://www.senat.fr/senateur-3eme-republique/lelievre_adolphe0450r3.html", "lelievre_adolphe0450r3")</f>
        <v>0</v>
      </c>
      <c r="N9591">
        <f>HYPERLINK("https://www.wikidata.org/wiki/Q2824861", "Q2824861")</f>
        <v>0</v>
      </c>
      <c r="O9591" t="s">
        <v>20122</v>
      </c>
    </row>
    <row r="9592" spans="1:15">
      <c r="A9592" t="s">
        <v>80</v>
      </c>
      <c r="B9592" t="s">
        <v>149</v>
      </c>
      <c r="C9592" t="s">
        <v>212</v>
      </c>
      <c r="D9592" t="s">
        <v>341</v>
      </c>
      <c r="E9592" t="s">
        <v>460</v>
      </c>
      <c r="F9592">
        <f>HYPERLINK("https://www.wikidata.org/wiki/Q3112258", "Q3112258")</f>
        <v>0</v>
      </c>
      <c r="G9592" t="s">
        <v>2899</v>
      </c>
      <c r="H9592" t="s">
        <v>7383</v>
      </c>
      <c r="I9592" t="s">
        <v>9423</v>
      </c>
      <c r="J9592" t="s">
        <v>13534</v>
      </c>
      <c r="K9592" t="s">
        <v>17921</v>
      </c>
      <c r="L9592">
        <f>HYPERLINK("https://www2.assemblee-nationale.fr/sycomore/fiche/(num_dept)/8236", "8236")</f>
        <v>0</v>
      </c>
      <c r="N9592">
        <f>HYPERLINK("https://www.wikidata.org/wiki/Q2400323", "Q2400323")</f>
        <v>0</v>
      </c>
      <c r="O9592" t="s">
        <v>20188</v>
      </c>
    </row>
    <row r="9593" spans="1:15">
      <c r="A9593" t="s">
        <v>80</v>
      </c>
      <c r="B9593" t="s">
        <v>149</v>
      </c>
      <c r="C9593" t="s">
        <v>212</v>
      </c>
      <c r="D9593" t="s">
        <v>341</v>
      </c>
      <c r="E9593" t="s">
        <v>460</v>
      </c>
      <c r="F9593">
        <f>HYPERLINK("https://www.wikidata.org/wiki/Q3112258", "Q3112258")</f>
        <v>0</v>
      </c>
      <c r="G9593" t="s">
        <v>4254</v>
      </c>
      <c r="H9593" t="s">
        <v>8423</v>
      </c>
      <c r="I9593" t="s">
        <v>11175</v>
      </c>
      <c r="J9593" t="s">
        <v>14758</v>
      </c>
      <c r="K9593" t="s">
        <v>17866</v>
      </c>
      <c r="M9593">
        <f>HYPERLINK("https://www.senat.fr/senateur-3eme-republique/campenon_jean_baptiste1442r3.html", "campenon_jean_baptiste1442r3")</f>
        <v>0</v>
      </c>
      <c r="N9593">
        <f>HYPERLINK("https://www.wikidata.org/wiki/Q704909", "Q704909")</f>
        <v>0</v>
      </c>
      <c r="O9593" t="s">
        <v>20057</v>
      </c>
    </row>
    <row r="9594" spans="1:15">
      <c r="A9594" t="s">
        <v>80</v>
      </c>
      <c r="B9594" t="s">
        <v>149</v>
      </c>
      <c r="C9594" t="s">
        <v>212</v>
      </c>
      <c r="D9594" t="s">
        <v>341</v>
      </c>
      <c r="E9594" t="s">
        <v>460</v>
      </c>
      <c r="F9594">
        <f>HYPERLINK("https://www.wikidata.org/wiki/Q3112258", "Q3112258")</f>
        <v>0</v>
      </c>
      <c r="G9594" t="s">
        <v>4309</v>
      </c>
      <c r="H9594" t="s">
        <v>8465</v>
      </c>
      <c r="I9594" t="s">
        <v>9449</v>
      </c>
      <c r="J9594" t="s">
        <v>14807</v>
      </c>
      <c r="K9594" t="s">
        <v>19148</v>
      </c>
      <c r="M9594">
        <f>HYPERLINK("https://www.senat.fr/senateur-3eme-republique/cazot_jules1447r3.html", "cazot_jules1447r3")</f>
        <v>0</v>
      </c>
      <c r="N9594">
        <f>HYPERLINK("https://www.wikidata.org/wiki/Q647707", "Q647707")</f>
        <v>0</v>
      </c>
      <c r="O9594" t="s">
        <v>20278</v>
      </c>
    </row>
    <row r="9595" spans="1:15">
      <c r="A9595" t="s">
        <v>80</v>
      </c>
      <c r="B9595" t="s">
        <v>149</v>
      </c>
      <c r="C9595" t="s">
        <v>212</v>
      </c>
      <c r="D9595" t="s">
        <v>341</v>
      </c>
      <c r="E9595" t="s">
        <v>460</v>
      </c>
      <c r="F9595">
        <f>HYPERLINK("https://www.wikidata.org/wiki/Q3112258", "Q3112258")</f>
        <v>0</v>
      </c>
      <c r="G9595" t="s">
        <v>4310</v>
      </c>
      <c r="H9595" t="s">
        <v>8466</v>
      </c>
      <c r="I9595" t="s">
        <v>9552</v>
      </c>
      <c r="J9595" t="s">
        <v>14808</v>
      </c>
      <c r="K9595" t="s">
        <v>19149</v>
      </c>
      <c r="N9595">
        <f>HYPERLINK("https://www.wikidata.org/wiki/Q2871207", "Q2871207")</f>
        <v>0</v>
      </c>
      <c r="O9595" t="s">
        <v>20053</v>
      </c>
    </row>
    <row r="9596" spans="1:15">
      <c r="A9596" t="s">
        <v>80</v>
      </c>
      <c r="B9596" t="s">
        <v>149</v>
      </c>
      <c r="C9596" t="s">
        <v>212</v>
      </c>
      <c r="D9596" t="s">
        <v>341</v>
      </c>
      <c r="E9596" t="s">
        <v>460</v>
      </c>
      <c r="F9596">
        <f>HYPERLINK("https://www.wikidata.org/wiki/Q3112258", "Q3112258")</f>
        <v>0</v>
      </c>
      <c r="G9596" t="s">
        <v>4311</v>
      </c>
      <c r="H9596" t="s">
        <v>8467</v>
      </c>
      <c r="I9596" t="s">
        <v>9453</v>
      </c>
      <c r="J9596" t="s">
        <v>14809</v>
      </c>
      <c r="K9596" t="s">
        <v>19150</v>
      </c>
      <c r="M9596">
        <f>HYPERLINK("https://www.senat.fr/senateur-3eme-republique/chalamet_jean0131r3.html", "chalamet_jean0131r3")</f>
        <v>0</v>
      </c>
      <c r="N9596">
        <f>HYPERLINK("https://www.wikidata.org/wiki/Q2865033", "Q2865033")</f>
        <v>0</v>
      </c>
      <c r="O9596" t="s">
        <v>20279</v>
      </c>
    </row>
    <row r="9597" spans="1:15">
      <c r="A9597" t="s">
        <v>81</v>
      </c>
      <c r="B9597" t="s">
        <v>149</v>
      </c>
      <c r="C9597" t="s">
        <v>213</v>
      </c>
      <c r="D9597" t="s">
        <v>342</v>
      </c>
      <c r="E9597" t="s">
        <v>461</v>
      </c>
      <c r="F9597">
        <f>HYPERLINK("https://www.wikidata.org/wiki/Q2161327", "Q2161327")</f>
        <v>0</v>
      </c>
      <c r="G9597" t="s">
        <v>3382</v>
      </c>
      <c r="H9597" t="s">
        <v>5955</v>
      </c>
      <c r="I9597" t="s">
        <v>6175</v>
      </c>
      <c r="J9597" t="s">
        <v>13992</v>
      </c>
      <c r="K9597" t="s">
        <v>18362</v>
      </c>
      <c r="L9597">
        <f>HYPERLINK("https://www2.assemblee-nationale.fr/sycomore/fiche/(num_dept)/1047", "1047")</f>
        <v>0</v>
      </c>
      <c r="N9597">
        <f>HYPERLINK("https://www.wikidata.org/wiki/Q315747", "Q315747")</f>
        <v>0</v>
      </c>
      <c r="O9597" t="s">
        <v>20057</v>
      </c>
    </row>
    <row r="9598" spans="1:15">
      <c r="A9598" t="s">
        <v>81</v>
      </c>
      <c r="B9598" t="s">
        <v>149</v>
      </c>
      <c r="C9598" t="s">
        <v>213</v>
      </c>
      <c r="D9598" t="s">
        <v>342</v>
      </c>
      <c r="E9598" t="s">
        <v>461</v>
      </c>
      <c r="F9598">
        <f>HYPERLINK("https://www.wikidata.org/wiki/Q2161327", "Q2161327")</f>
        <v>0</v>
      </c>
      <c r="G9598" t="s">
        <v>2554</v>
      </c>
      <c r="H9598" t="s">
        <v>7113</v>
      </c>
      <c r="I9598" t="s">
        <v>9449</v>
      </c>
      <c r="J9598" t="s">
        <v>13198</v>
      </c>
      <c r="K9598" t="s">
        <v>17603</v>
      </c>
      <c r="L9598">
        <f>HYPERLINK("https://www2.assemblee-nationale.fr/sycomore/fiche/(num_dept)/2474", "2474")</f>
        <v>0</v>
      </c>
      <c r="M9598">
        <f>HYPERLINK("https://www.senat.fr/senateur-3eme-republique/develle_jules1013r3.html", "develle_jules1013r3")</f>
        <v>0</v>
      </c>
      <c r="N9598">
        <f>HYPERLINK("https://www.wikidata.org/wiki/Q939193", "Q939193")</f>
        <v>0</v>
      </c>
      <c r="O9598" t="s">
        <v>20056</v>
      </c>
    </row>
    <row r="9599" spans="1:15">
      <c r="A9599" t="s">
        <v>81</v>
      </c>
      <c r="B9599" t="s">
        <v>149</v>
      </c>
      <c r="C9599" t="s">
        <v>213</v>
      </c>
      <c r="D9599" t="s">
        <v>342</v>
      </c>
      <c r="E9599" t="s">
        <v>461</v>
      </c>
      <c r="F9599">
        <f>HYPERLINK("https://www.wikidata.org/wiki/Q2161327", "Q2161327")</f>
        <v>0</v>
      </c>
      <c r="G9599" t="s">
        <v>3375</v>
      </c>
      <c r="H9599" t="s">
        <v>7768</v>
      </c>
      <c r="I9599" t="s">
        <v>9437</v>
      </c>
      <c r="J9599" t="s">
        <v>13748</v>
      </c>
      <c r="K9599" t="s">
        <v>18355</v>
      </c>
      <c r="L9599">
        <f>HYPERLINK("https://www2.assemblee-nationale.fr/sycomore/fiche/(num_dept)/3038", "3038")</f>
        <v>0</v>
      </c>
      <c r="N9599">
        <f>HYPERLINK("https://www.wikidata.org/wiki/Q2602696", "Q2602696")</f>
        <v>0</v>
      </c>
      <c r="O9599" t="s">
        <v>20062</v>
      </c>
    </row>
    <row r="9600" spans="1:15">
      <c r="A9600" t="s">
        <v>81</v>
      </c>
      <c r="B9600" t="s">
        <v>149</v>
      </c>
      <c r="C9600" t="s">
        <v>213</v>
      </c>
      <c r="D9600" t="s">
        <v>342</v>
      </c>
      <c r="E9600" t="s">
        <v>461</v>
      </c>
      <c r="F9600">
        <f>HYPERLINK("https://www.wikidata.org/wiki/Q2161327", "Q2161327")</f>
        <v>0</v>
      </c>
      <c r="G9600" t="s">
        <v>2593</v>
      </c>
      <c r="H9600" t="s">
        <v>7142</v>
      </c>
      <c r="I9600" t="s">
        <v>9476</v>
      </c>
      <c r="J9600" t="s">
        <v>13236</v>
      </c>
      <c r="K9600" t="s">
        <v>17640</v>
      </c>
      <c r="L9600">
        <f>HYPERLINK("https://www2.assemblee-nationale.fr/sycomore/fiche/(num_dept)/3457", "3457")</f>
        <v>0</v>
      </c>
      <c r="M9600">
        <f>HYPERLINK("https://www.senat.fr/senateur-3eme-republique/goblet_rene1409r3.html", "goblet_rene1409r3")</f>
        <v>0</v>
      </c>
      <c r="N9600">
        <f>HYPERLINK("https://www.wikidata.org/wiki/Q559645", "Q559645")</f>
        <v>0</v>
      </c>
      <c r="O9600" t="s">
        <v>20113</v>
      </c>
    </row>
    <row r="9601" spans="1:15">
      <c r="A9601" t="s">
        <v>81</v>
      </c>
      <c r="B9601" t="s">
        <v>149</v>
      </c>
      <c r="C9601" t="s">
        <v>213</v>
      </c>
      <c r="D9601" t="s">
        <v>342</v>
      </c>
      <c r="E9601" t="s">
        <v>461</v>
      </c>
      <c r="F9601">
        <f>HYPERLINK("https://www.wikidata.org/wiki/Q2161327", "Q2161327")</f>
        <v>0</v>
      </c>
      <c r="G9601" t="s">
        <v>2593</v>
      </c>
      <c r="H9601" t="s">
        <v>7142</v>
      </c>
      <c r="I9601" t="s">
        <v>9476</v>
      </c>
      <c r="J9601" t="s">
        <v>13236</v>
      </c>
      <c r="K9601" t="s">
        <v>17640</v>
      </c>
      <c r="L9601">
        <f>HYPERLINK("https://www2.assemblee-nationale.fr/sycomore/fiche/(num_dept)/3457", "3457")</f>
        <v>0</v>
      </c>
      <c r="M9601">
        <f>HYPERLINK("https://www.senat.fr/senateur-3eme-republique/goblet_rene1409r3.html", "goblet_rene1409r3")</f>
        <v>0</v>
      </c>
      <c r="N9601">
        <f>HYPERLINK("https://www.wikidata.org/wiki/Q559645", "Q559645")</f>
        <v>0</v>
      </c>
      <c r="O9601" t="s">
        <v>20114</v>
      </c>
    </row>
    <row r="9602" spans="1:15">
      <c r="A9602" t="s">
        <v>81</v>
      </c>
      <c r="B9602" t="s">
        <v>149</v>
      </c>
      <c r="C9602" t="s">
        <v>213</v>
      </c>
      <c r="D9602" t="s">
        <v>342</v>
      </c>
      <c r="E9602" t="s">
        <v>461</v>
      </c>
      <c r="F9602">
        <f>HYPERLINK("https://www.wikidata.org/wiki/Q2161327", "Q2161327")</f>
        <v>0</v>
      </c>
      <c r="G9602" t="s">
        <v>3008</v>
      </c>
      <c r="H9602" t="s">
        <v>7469</v>
      </c>
      <c r="I9602" t="s">
        <v>6158</v>
      </c>
      <c r="J9602" t="s">
        <v>13637</v>
      </c>
      <c r="K9602" t="s">
        <v>18022</v>
      </c>
      <c r="L9602">
        <f>HYPERLINK("https://www2.assemblee-nationale.fr/sycomore/fiche/(num_dept)/3547", "3547")</f>
        <v>0</v>
      </c>
      <c r="N9602">
        <f>HYPERLINK("https://www.wikidata.org/wiki/Q3092454", "Q3092454")</f>
        <v>0</v>
      </c>
      <c r="O9602" t="s">
        <v>20181</v>
      </c>
    </row>
    <row r="9603" spans="1:15">
      <c r="A9603" t="s">
        <v>81</v>
      </c>
      <c r="B9603" t="s">
        <v>149</v>
      </c>
      <c r="C9603" t="s">
        <v>213</v>
      </c>
      <c r="D9603" t="s">
        <v>342</v>
      </c>
      <c r="E9603" t="s">
        <v>461</v>
      </c>
      <c r="F9603">
        <f>HYPERLINK("https://www.wikidata.org/wiki/Q2161327", "Q2161327")</f>
        <v>0</v>
      </c>
      <c r="G9603" t="s">
        <v>2659</v>
      </c>
      <c r="H9603" t="s">
        <v>7199</v>
      </c>
      <c r="I9603" t="s">
        <v>9376</v>
      </c>
      <c r="J9603" t="s">
        <v>13300</v>
      </c>
      <c r="K9603" t="s">
        <v>17700</v>
      </c>
      <c r="L9603">
        <f>HYPERLINK("https://www2.assemblee-nationale.fr/sycomore/fiche/(num_dept)/6297", "6297")</f>
        <v>0</v>
      </c>
      <c r="M9603">
        <f>HYPERLINK("https://www.senat.fr/senateur-3eme-republique/sarrien_ferdinand1219r3.html", "sarrien_ferdinand1219r3")</f>
        <v>0</v>
      </c>
      <c r="N9603">
        <f>HYPERLINK("https://www.wikidata.org/wiki/Q718698", "Q718698")</f>
        <v>0</v>
      </c>
      <c r="O9603" t="s">
        <v>20064</v>
      </c>
    </row>
    <row r="9604" spans="1:15">
      <c r="A9604" t="s">
        <v>81</v>
      </c>
      <c r="B9604" t="s">
        <v>149</v>
      </c>
      <c r="C9604" t="s">
        <v>213</v>
      </c>
      <c r="D9604" t="s">
        <v>342</v>
      </c>
      <c r="E9604" t="s">
        <v>461</v>
      </c>
      <c r="F9604">
        <f>HYPERLINK("https://www.wikidata.org/wiki/Q2161327", "Q2161327")</f>
        <v>0</v>
      </c>
      <c r="G9604" t="s">
        <v>2717</v>
      </c>
      <c r="H9604" t="s">
        <v>7243</v>
      </c>
      <c r="I9604" t="s">
        <v>9728</v>
      </c>
      <c r="J9604" t="s">
        <v>13358</v>
      </c>
      <c r="K9604" t="s">
        <v>17758</v>
      </c>
      <c r="L9604">
        <f>HYPERLINK("https://www2.assemblee-nationale.fr/sycomore/fiche/(num_dept)/7875", "7875")</f>
        <v>0</v>
      </c>
      <c r="N9604">
        <f>HYPERLINK("https://www.wikidata.org/wiki/Q733836", "Q733836")</f>
        <v>0</v>
      </c>
      <c r="O9604" t="s">
        <v>20135</v>
      </c>
    </row>
    <row r="9605" spans="1:15">
      <c r="A9605" t="s">
        <v>81</v>
      </c>
      <c r="B9605" t="s">
        <v>149</v>
      </c>
      <c r="C9605" t="s">
        <v>213</v>
      </c>
      <c r="D9605" t="s">
        <v>342</v>
      </c>
      <c r="E9605" t="s">
        <v>461</v>
      </c>
      <c r="F9605">
        <f>HYPERLINK("https://www.wikidata.org/wiki/Q2161327", "Q2161327")</f>
        <v>0</v>
      </c>
      <c r="G9605" t="s">
        <v>4237</v>
      </c>
      <c r="H9605" t="s">
        <v>8205</v>
      </c>
      <c r="I9605" t="s">
        <v>10900</v>
      </c>
      <c r="J9605" t="s">
        <v>14744</v>
      </c>
      <c r="K9605" t="s">
        <v>19089</v>
      </c>
      <c r="M9605">
        <f>HYPERLINK("https://www.senat.fr/senateur-3eme-republique/berthelot_marcellin1436r3.html", "berthelot_marcellin1436r3")</f>
        <v>0</v>
      </c>
      <c r="N9605">
        <f>HYPERLINK("https://www.wikidata.org/wiki/Q18425", "Q18425")</f>
        <v>0</v>
      </c>
      <c r="O9605" t="s">
        <v>20142</v>
      </c>
    </row>
    <row r="9606" spans="1:15">
      <c r="A9606" t="s">
        <v>81</v>
      </c>
      <c r="B9606" t="s">
        <v>149</v>
      </c>
      <c r="C9606" t="s">
        <v>213</v>
      </c>
      <c r="D9606" t="s">
        <v>342</v>
      </c>
      <c r="E9606" t="s">
        <v>461</v>
      </c>
      <c r="F9606">
        <f>HYPERLINK("https://www.wikidata.org/wiki/Q2161327", "Q2161327")</f>
        <v>0</v>
      </c>
      <c r="G9606" t="s">
        <v>4290</v>
      </c>
      <c r="H9606" t="s">
        <v>8449</v>
      </c>
      <c r="I9606" t="s">
        <v>9451</v>
      </c>
      <c r="J9606" t="s">
        <v>14789</v>
      </c>
      <c r="K9606" t="s">
        <v>19133</v>
      </c>
      <c r="N9606">
        <f>HYPERLINK("https://www.wikidata.org/wiki/Q1639740", "Q1639740")</f>
        <v>0</v>
      </c>
      <c r="O9606" t="s">
        <v>20053</v>
      </c>
    </row>
    <row r="9607" spans="1:15">
      <c r="A9607" t="s">
        <v>81</v>
      </c>
      <c r="B9607" t="s">
        <v>149</v>
      </c>
      <c r="C9607" t="s">
        <v>213</v>
      </c>
      <c r="D9607" t="s">
        <v>342</v>
      </c>
      <c r="E9607" t="s">
        <v>461</v>
      </c>
      <c r="F9607">
        <f>HYPERLINK("https://www.wikidata.org/wiki/Q2161327", "Q2161327")</f>
        <v>0</v>
      </c>
      <c r="G9607" t="s">
        <v>4312</v>
      </c>
      <c r="H9607" t="s">
        <v>8468</v>
      </c>
      <c r="I9607" t="s">
        <v>6584</v>
      </c>
      <c r="J9607" t="s">
        <v>14810</v>
      </c>
      <c r="K9607" t="s">
        <v>19151</v>
      </c>
      <c r="M9607">
        <f>HYPERLINK("https://www.senat.fr/senateur-3eme-republique/dauphin_albert1648r3.html", "dauphin_albert1648r3")</f>
        <v>0</v>
      </c>
      <c r="N9607">
        <f>HYPERLINK("https://www.wikidata.org/wiki/Q2831085", "Q2831085")</f>
        <v>0</v>
      </c>
      <c r="O9607" t="s">
        <v>20066</v>
      </c>
    </row>
    <row r="9608" spans="1:15">
      <c r="A9608" t="s">
        <v>81</v>
      </c>
      <c r="B9608" t="s">
        <v>149</v>
      </c>
      <c r="C9608" t="s">
        <v>213</v>
      </c>
      <c r="D9608" t="s">
        <v>342</v>
      </c>
      <c r="E9608" t="s">
        <v>461</v>
      </c>
      <c r="F9608">
        <f>HYPERLINK("https://www.wikidata.org/wiki/Q2161327", "Q2161327")</f>
        <v>0</v>
      </c>
      <c r="G9608" t="s">
        <v>4291</v>
      </c>
      <c r="H9608" t="s">
        <v>8450</v>
      </c>
      <c r="I9608" t="s">
        <v>9728</v>
      </c>
      <c r="J9608" t="s">
        <v>14790</v>
      </c>
      <c r="K9608" t="s">
        <v>19134</v>
      </c>
      <c r="M9608">
        <f>HYPERLINK("https://www.senat.fr/senateur-3eme-republique/millaud_edouard1120r3.html", "millaud_edouard1120r3")</f>
        <v>0</v>
      </c>
      <c r="N9608">
        <f>HYPERLINK("https://www.wikidata.org/wiki/Q3579963", "Q3579963")</f>
        <v>0</v>
      </c>
      <c r="O9608" t="s">
        <v>20063</v>
      </c>
    </row>
    <row r="9609" spans="1:15">
      <c r="A9609" t="s">
        <v>82</v>
      </c>
      <c r="B9609" t="s">
        <v>149</v>
      </c>
      <c r="C9609" t="s">
        <v>214</v>
      </c>
      <c r="D9609" t="s">
        <v>343</v>
      </c>
      <c r="E9609" t="s">
        <v>462</v>
      </c>
      <c r="F9609">
        <f>HYPERLINK("https://www.wikidata.org/wiki/Q3112686", "Q3112686")</f>
        <v>0</v>
      </c>
      <c r="G9609" t="s">
        <v>1939</v>
      </c>
      <c r="H9609" t="s">
        <v>6584</v>
      </c>
      <c r="I9609" t="s">
        <v>6166</v>
      </c>
      <c r="J9609" t="s">
        <v>12623</v>
      </c>
      <c r="K9609" t="s">
        <v>485</v>
      </c>
      <c r="L9609">
        <f>HYPERLINK("https://www2.assemblee-nationale.fr/sycomore/fiche/(num_dept)/69", "69")</f>
        <v>0</v>
      </c>
      <c r="M9609">
        <f>HYPERLINK("https://www.senat.fr/senateur-3eme-republique/albert_francois1773r3.html", "albert_francois1773r3")</f>
        <v>0</v>
      </c>
      <c r="N9609">
        <f>HYPERLINK("https://www.wikidata.org/wiki/Q3083780", "Q3083780")</f>
        <v>0</v>
      </c>
      <c r="O9609" t="s">
        <v>20129</v>
      </c>
    </row>
    <row r="9610" spans="1:15">
      <c r="A9610" t="s">
        <v>82</v>
      </c>
      <c r="B9610" t="s">
        <v>149</v>
      </c>
      <c r="C9610" t="s">
        <v>214</v>
      </c>
      <c r="D9610" t="s">
        <v>343</v>
      </c>
      <c r="E9610" t="s">
        <v>462</v>
      </c>
      <c r="F9610">
        <f>HYPERLINK("https://www.wikidata.org/wiki/Q3112686", "Q3112686")</f>
        <v>0</v>
      </c>
      <c r="G9610" t="s">
        <v>520</v>
      </c>
      <c r="H9610" t="s">
        <v>5284</v>
      </c>
      <c r="I9610" t="s">
        <v>9388</v>
      </c>
      <c r="J9610" t="s">
        <v>11272</v>
      </c>
      <c r="K9610" t="s">
        <v>15672</v>
      </c>
      <c r="L9610">
        <f>HYPERLINK("https://www2.assemblee-nationale.fr/sycomore/fiche/(num_dept)/608", "608")</f>
        <v>0</v>
      </c>
      <c r="M9610">
        <f>HYPERLINK("https://www.senat.fr/senateur-3eme-republique/benazet_paul_louis0281r3.html", "benazet_paul_louis0281r3")</f>
        <v>0</v>
      </c>
      <c r="N9610">
        <f>HYPERLINK("https://www.wikidata.org/wiki/Q3370779", "Q3370779")</f>
        <v>0</v>
      </c>
      <c r="O9610" t="s">
        <v>20280</v>
      </c>
    </row>
    <row r="9611" spans="1:15">
      <c r="A9611" t="s">
        <v>82</v>
      </c>
      <c r="B9611" t="s">
        <v>149</v>
      </c>
      <c r="C9611" t="s">
        <v>214</v>
      </c>
      <c r="D9611" t="s">
        <v>343</v>
      </c>
      <c r="E9611" t="s">
        <v>462</v>
      </c>
      <c r="F9611">
        <f>HYPERLINK("https://www.wikidata.org/wiki/Q3112686", "Q3112686")</f>
        <v>0</v>
      </c>
      <c r="G9611" t="s">
        <v>1389</v>
      </c>
      <c r="H9611" t="s">
        <v>6100</v>
      </c>
      <c r="I9611" t="s">
        <v>9728</v>
      </c>
      <c r="J9611" t="s">
        <v>12115</v>
      </c>
      <c r="K9611" t="s">
        <v>16516</v>
      </c>
      <c r="L9611">
        <f>HYPERLINK("https://www2.assemblee-nationale.fr/sycomore/fiche/(num_dept)/1149", "1149")</f>
        <v>0</v>
      </c>
      <c r="N9611">
        <f>HYPERLINK("https://www.wikidata.org/wiki/Q3579752", "Q3579752")</f>
        <v>0</v>
      </c>
      <c r="O9611" t="s">
        <v>20088</v>
      </c>
    </row>
    <row r="9612" spans="1:15">
      <c r="A9612" t="s">
        <v>82</v>
      </c>
      <c r="B9612" t="s">
        <v>149</v>
      </c>
      <c r="C9612" t="s">
        <v>214</v>
      </c>
      <c r="D9612" t="s">
        <v>343</v>
      </c>
      <c r="E9612" t="s">
        <v>462</v>
      </c>
      <c r="F9612">
        <f>HYPERLINK("https://www.wikidata.org/wiki/Q3112686", "Q3112686")</f>
        <v>0</v>
      </c>
      <c r="G9612" t="s">
        <v>1410</v>
      </c>
      <c r="H9612" t="s">
        <v>5337</v>
      </c>
      <c r="I9612" t="s">
        <v>9506</v>
      </c>
      <c r="J9612" t="s">
        <v>12135</v>
      </c>
      <c r="K9612" t="s">
        <v>16537</v>
      </c>
      <c r="L9612">
        <f>HYPERLINK("https://www2.assemblee-nationale.fr/sycomore/fiche/(num_dept)/1726", "1726")</f>
        <v>0</v>
      </c>
      <c r="M9612">
        <f>HYPERLINK("https://www.senat.fr/senateur-3eme-republique/chautemps_camille0380r3.html", "chautemps_camille0380r3")</f>
        <v>0</v>
      </c>
      <c r="N9612">
        <f>HYPERLINK("https://www.wikidata.org/wiki/Q263884", "Q263884")</f>
        <v>0</v>
      </c>
      <c r="O9612" t="s">
        <v>20113</v>
      </c>
    </row>
    <row r="9613" spans="1:15">
      <c r="A9613" t="s">
        <v>82</v>
      </c>
      <c r="B9613" t="s">
        <v>149</v>
      </c>
      <c r="C9613" t="s">
        <v>214</v>
      </c>
      <c r="D9613" t="s">
        <v>343</v>
      </c>
      <c r="E9613" t="s">
        <v>462</v>
      </c>
      <c r="F9613">
        <f>HYPERLINK("https://www.wikidata.org/wiki/Q3112686", "Q3112686")</f>
        <v>0</v>
      </c>
      <c r="G9613" t="s">
        <v>579</v>
      </c>
      <c r="H9613" t="s">
        <v>5341</v>
      </c>
      <c r="I9613" t="s">
        <v>5394</v>
      </c>
      <c r="J9613" t="s">
        <v>11330</v>
      </c>
      <c r="K9613" t="s">
        <v>15731</v>
      </c>
      <c r="L9613">
        <f>HYPERLINK("https://www2.assemblee-nationale.fr/sycomore/fiche/(num_dept)/1849", "1849")</f>
        <v>0</v>
      </c>
      <c r="M9613">
        <f>HYPERLINK("https://www.senat.fr/senateur-3eme-republique/clementel_etienne1006r3.html", "clementel_etienne1006r3")</f>
        <v>0</v>
      </c>
      <c r="N9613">
        <f>HYPERLINK("https://www.wikidata.org/wiki/Q3592114", "Q3592114")</f>
        <v>0</v>
      </c>
      <c r="O9613" t="s">
        <v>20066</v>
      </c>
    </row>
    <row r="9614" spans="1:15">
      <c r="A9614" t="s">
        <v>82</v>
      </c>
      <c r="B9614" t="s">
        <v>149</v>
      </c>
      <c r="C9614" t="s">
        <v>214</v>
      </c>
      <c r="D9614" t="s">
        <v>343</v>
      </c>
      <c r="E9614" t="s">
        <v>462</v>
      </c>
      <c r="F9614">
        <f>HYPERLINK("https://www.wikidata.org/wiki/Q3112686", "Q3112686")</f>
        <v>0</v>
      </c>
      <c r="G9614" t="s">
        <v>1423</v>
      </c>
      <c r="H9614" t="s">
        <v>6128</v>
      </c>
      <c r="I9614" t="s">
        <v>9728</v>
      </c>
      <c r="J9614" t="s">
        <v>12147</v>
      </c>
      <c r="K9614" t="s">
        <v>16549</v>
      </c>
      <c r="L9614">
        <f>HYPERLINK("https://www2.assemblee-nationale.fr/sycomore/fiche/(num_dept)/2105", "2105")</f>
        <v>0</v>
      </c>
      <c r="N9614">
        <f>HYPERLINK("https://www.wikidata.org/wiki/Q213526", "Q213526")</f>
        <v>0</v>
      </c>
      <c r="O9614" t="s">
        <v>20065</v>
      </c>
    </row>
    <row r="9615" spans="1:15">
      <c r="A9615" t="s">
        <v>82</v>
      </c>
      <c r="B9615" t="s">
        <v>149</v>
      </c>
      <c r="C9615" t="s">
        <v>214</v>
      </c>
      <c r="D9615" t="s">
        <v>343</v>
      </c>
      <c r="E9615" t="s">
        <v>462</v>
      </c>
      <c r="F9615">
        <f>HYPERLINK("https://www.wikidata.org/wiki/Q3112686", "Q3112686")</f>
        <v>0</v>
      </c>
      <c r="G9615" t="s">
        <v>918</v>
      </c>
      <c r="H9615" t="s">
        <v>5674</v>
      </c>
      <c r="I9615" t="s">
        <v>9483</v>
      </c>
      <c r="J9615" t="s">
        <v>11661</v>
      </c>
      <c r="K9615" t="s">
        <v>16061</v>
      </c>
      <c r="L9615">
        <f>HYPERLINK("https://www2.assemblee-nationale.fr/sycomore/fiche/(num_dept)/2108", "2108")</f>
        <v>0</v>
      </c>
      <c r="M9615">
        <f>HYPERLINK("https://www.senat.fr/senateur-3eme-republique/dalbiez_victor1098r3.html", "dalbiez_victor1098r3")</f>
        <v>0</v>
      </c>
      <c r="N9615">
        <f>HYPERLINK("https://www.wikidata.org/wiki/Q3557251", "Q3557251")</f>
        <v>0</v>
      </c>
      <c r="O9615" t="s">
        <v>20167</v>
      </c>
    </row>
    <row r="9616" spans="1:15">
      <c r="A9616" t="s">
        <v>82</v>
      </c>
      <c r="B9616" t="s">
        <v>149</v>
      </c>
      <c r="C9616" t="s">
        <v>214</v>
      </c>
      <c r="D9616" t="s">
        <v>343</v>
      </c>
      <c r="E9616" t="s">
        <v>462</v>
      </c>
      <c r="F9616">
        <f>HYPERLINK("https://www.wikidata.org/wiki/Q3112686", "Q3112686")</f>
        <v>0</v>
      </c>
      <c r="G9616" t="s">
        <v>625</v>
      </c>
      <c r="H9616" t="s">
        <v>5385</v>
      </c>
      <c r="I9616" t="s">
        <v>9460</v>
      </c>
      <c r="J9616" t="s">
        <v>11375</v>
      </c>
      <c r="K9616" t="s">
        <v>15777</v>
      </c>
      <c r="L9616">
        <f>HYPERLINK("https://www2.assemblee-nationale.fr/sycomore/fiche/(num_dept)/2699", "2699")</f>
        <v>0</v>
      </c>
      <c r="M9616">
        <f>HYPERLINK("https://www.senat.fr/senateur-3eme-republique/dumesnil_jacques1613r3.html", "dumesnil_jacques1613r3")</f>
        <v>0</v>
      </c>
      <c r="N9616">
        <f>HYPERLINK("https://www.wikidata.org/wiki/Q3157989", "Q3157989")</f>
        <v>0</v>
      </c>
      <c r="O9616" t="s">
        <v>20053</v>
      </c>
    </row>
    <row r="9617" spans="1:15">
      <c r="A9617" t="s">
        <v>82</v>
      </c>
      <c r="B9617" t="s">
        <v>149</v>
      </c>
      <c r="C9617" t="s">
        <v>214</v>
      </c>
      <c r="D9617" t="s">
        <v>343</v>
      </c>
      <c r="E9617" t="s">
        <v>462</v>
      </c>
      <c r="F9617">
        <f>HYPERLINK("https://www.wikidata.org/wiki/Q3112686", "Q3112686")</f>
        <v>0</v>
      </c>
      <c r="G9617" t="s">
        <v>1170</v>
      </c>
      <c r="H9617" t="s">
        <v>5901</v>
      </c>
      <c r="I9617" t="s">
        <v>5592</v>
      </c>
      <c r="J9617" t="s">
        <v>11903</v>
      </c>
      <c r="K9617" t="s">
        <v>16305</v>
      </c>
      <c r="L9617">
        <f>HYPERLINK("https://www2.assemblee-nationale.fr/sycomore/fiche/(num_dept)/2874", "2874")</f>
        <v>0</v>
      </c>
      <c r="M9617">
        <f>HYPERLINK("https://www.senat.fr/senateur-3eme-republique/eynac_laurent0520r3.html", "eynac_laurent0520r3")</f>
        <v>0</v>
      </c>
      <c r="N9617">
        <f>HYPERLINK("https://www.wikidata.org/wiki/Q3219208", "Q3219208")</f>
        <v>0</v>
      </c>
      <c r="O9617" t="s">
        <v>20281</v>
      </c>
    </row>
    <row r="9618" spans="1:15">
      <c r="A9618" t="s">
        <v>82</v>
      </c>
      <c r="B9618" t="s">
        <v>149</v>
      </c>
      <c r="C9618" t="s">
        <v>214</v>
      </c>
      <c r="D9618" t="s">
        <v>343</v>
      </c>
      <c r="E9618" t="s">
        <v>462</v>
      </c>
      <c r="F9618">
        <f>HYPERLINK("https://www.wikidata.org/wiki/Q3112686", "Q3112686")</f>
        <v>0</v>
      </c>
      <c r="G9618" t="s">
        <v>966</v>
      </c>
      <c r="H9618" t="s">
        <v>5718</v>
      </c>
      <c r="I9618" t="s">
        <v>9605</v>
      </c>
      <c r="J9618" t="s">
        <v>11705</v>
      </c>
      <c r="K9618" t="s">
        <v>16108</v>
      </c>
      <c r="L9618">
        <f>HYPERLINK("https://www2.assemblee-nationale.fr/sycomore/fiche/(num_dept)/3460", "3460")</f>
        <v>0</v>
      </c>
      <c r="M9618">
        <f>HYPERLINK("https://www.senat.fr/senateur-3eme-republique/godart_justin1138r3.html", "godart_justin1138r3")</f>
        <v>0</v>
      </c>
      <c r="N9618">
        <f>HYPERLINK("https://www.wikidata.org/wiki/Q3190446", "Q3190446")</f>
        <v>0</v>
      </c>
      <c r="O9618" t="s">
        <v>20126</v>
      </c>
    </row>
    <row r="9619" spans="1:15">
      <c r="A9619" t="s">
        <v>82</v>
      </c>
      <c r="B9619" t="s">
        <v>149</v>
      </c>
      <c r="C9619" t="s">
        <v>214</v>
      </c>
      <c r="D9619" t="s">
        <v>343</v>
      </c>
      <c r="E9619" t="s">
        <v>462</v>
      </c>
      <c r="F9619">
        <f>HYPERLINK("https://www.wikidata.org/wiki/Q3112686", "Q3112686")</f>
        <v>0</v>
      </c>
      <c r="G9619" t="s">
        <v>1492</v>
      </c>
      <c r="H9619" t="s">
        <v>6190</v>
      </c>
      <c r="I9619" t="s">
        <v>9728</v>
      </c>
      <c r="J9619" t="s">
        <v>12210</v>
      </c>
      <c r="K9619" t="s">
        <v>16616</v>
      </c>
      <c r="L9619">
        <f>HYPERLINK("https://www2.assemblee-nationale.fr/sycomore/fiche/(num_dept)/3819", "3819")</f>
        <v>0</v>
      </c>
      <c r="M9619">
        <f>HYPERLINK("https://www.senat.fr/senateur-3eme-republique/herriot_edouard1121r3.html", "herriot_edouard1121r3")</f>
        <v>0</v>
      </c>
      <c r="N9619">
        <f>HYPERLINK("https://www.wikidata.org/wiki/Q274344", "Q274344")</f>
        <v>0</v>
      </c>
      <c r="O9619" t="s">
        <v>20052</v>
      </c>
    </row>
    <row r="9620" spans="1:15">
      <c r="A9620" t="s">
        <v>82</v>
      </c>
      <c r="B9620" t="s">
        <v>149</v>
      </c>
      <c r="C9620" t="s">
        <v>214</v>
      </c>
      <c r="D9620" t="s">
        <v>343</v>
      </c>
      <c r="E9620" t="s">
        <v>462</v>
      </c>
      <c r="F9620">
        <f>HYPERLINK("https://www.wikidata.org/wiki/Q3112686", "Q3112686")</f>
        <v>0</v>
      </c>
      <c r="G9620" t="s">
        <v>1693</v>
      </c>
      <c r="H9620" t="s">
        <v>6239</v>
      </c>
      <c r="I9620" t="s">
        <v>5528</v>
      </c>
      <c r="J9620" t="s">
        <v>12397</v>
      </c>
      <c r="K9620" t="s">
        <v>16805</v>
      </c>
      <c r="L9620">
        <f>HYPERLINK("https://www2.assemblee-nationale.fr/sycomore/fiche/(num_dept)/5241", "5241")</f>
        <v>0</v>
      </c>
      <c r="N9620">
        <f>HYPERLINK("https://www.wikidata.org/wiki/Q1879449", "Q1879449")</f>
        <v>0</v>
      </c>
      <c r="O9620" t="s">
        <v>20282</v>
      </c>
    </row>
    <row r="9621" spans="1:15">
      <c r="A9621" t="s">
        <v>82</v>
      </c>
      <c r="B9621" t="s">
        <v>149</v>
      </c>
      <c r="C9621" t="s">
        <v>214</v>
      </c>
      <c r="D9621" t="s">
        <v>343</v>
      </c>
      <c r="E9621" t="s">
        <v>462</v>
      </c>
      <c r="F9621">
        <f>HYPERLINK("https://www.wikidata.org/wiki/Q3112686", "Q3112686")</f>
        <v>0</v>
      </c>
      <c r="G9621" t="s">
        <v>738</v>
      </c>
      <c r="H9621" t="s">
        <v>5496</v>
      </c>
      <c r="I9621" t="s">
        <v>9503</v>
      </c>
      <c r="J9621" t="s">
        <v>11487</v>
      </c>
      <c r="K9621" t="s">
        <v>15889</v>
      </c>
      <c r="L9621">
        <f>HYPERLINK("https://www2.assemblee-nationale.fr/sycomore/fiche/(num_dept)/5394", "5394")</f>
        <v>0</v>
      </c>
      <c r="M9621">
        <f>HYPERLINK("https://www.senat.fr/senateur-3eme-republique/de_monzie_anatole0605r3.html", "de_monzie_anatole0605r3")</f>
        <v>0</v>
      </c>
      <c r="N9621">
        <f>HYPERLINK("https://www.wikidata.org/wiki/Q2845619", "Q2845619")</f>
        <v>0</v>
      </c>
      <c r="O9621" t="s">
        <v>20066</v>
      </c>
    </row>
    <row r="9622" spans="1:15">
      <c r="A9622" t="s">
        <v>82</v>
      </c>
      <c r="B9622" t="s">
        <v>149</v>
      </c>
      <c r="C9622" t="s">
        <v>214</v>
      </c>
      <c r="D9622" t="s">
        <v>343</v>
      </c>
      <c r="E9622" t="s">
        <v>462</v>
      </c>
      <c r="F9622">
        <f>HYPERLINK("https://www.wikidata.org/wiki/Q3112686", "Q3112686")</f>
        <v>0</v>
      </c>
      <c r="G9622" t="s">
        <v>1554</v>
      </c>
      <c r="H9622" t="s">
        <v>6245</v>
      </c>
      <c r="I9622" t="s">
        <v>5812</v>
      </c>
      <c r="J9622" t="s">
        <v>12268</v>
      </c>
      <c r="K9622" t="s">
        <v>16676</v>
      </c>
      <c r="L9622">
        <f>HYPERLINK("https://www2.assemblee-nationale.fr/sycomore/fiche/(num_dept)/5431", "5431")</f>
        <v>0</v>
      </c>
      <c r="N9622">
        <f>HYPERLINK("https://www.wikidata.org/wiki/Q365259", "Q365259")</f>
        <v>0</v>
      </c>
      <c r="O9622" t="s">
        <v>20196</v>
      </c>
    </row>
    <row r="9623" spans="1:15">
      <c r="A9623" t="s">
        <v>82</v>
      </c>
      <c r="B9623" t="s">
        <v>149</v>
      </c>
      <c r="C9623" t="s">
        <v>214</v>
      </c>
      <c r="D9623" t="s">
        <v>343</v>
      </c>
      <c r="E9623" t="s">
        <v>462</v>
      </c>
      <c r="F9623">
        <f>HYPERLINK("https://www.wikidata.org/wiki/Q3112686", "Q3112686")</f>
        <v>0</v>
      </c>
      <c r="G9623" t="s">
        <v>1107</v>
      </c>
      <c r="H9623" t="s">
        <v>5848</v>
      </c>
      <c r="I9623" t="s">
        <v>9483</v>
      </c>
      <c r="J9623" t="s">
        <v>11841</v>
      </c>
      <c r="K9623" t="s">
        <v>16243</v>
      </c>
      <c r="L9623">
        <f>HYPERLINK("https://www2.assemblee-nationale.fr/sycomore/fiche/(num_dept)/5874", "5874")</f>
        <v>0</v>
      </c>
      <c r="M9623">
        <f>HYPERLINK("https://www.senat.fr/senateur-3eme-republique/peytral_victor0076r3.html", "peytral_victor0076r3")</f>
        <v>0</v>
      </c>
      <c r="N9623">
        <f>HYPERLINK("https://www.wikidata.org/wiki/Q3557505", "Q3557505")</f>
        <v>0</v>
      </c>
      <c r="O9623" t="s">
        <v>20063</v>
      </c>
    </row>
    <row r="9624" spans="1:15">
      <c r="A9624" t="s">
        <v>82</v>
      </c>
      <c r="B9624" t="s">
        <v>149</v>
      </c>
      <c r="C9624" t="s">
        <v>214</v>
      </c>
      <c r="D9624" t="s">
        <v>343</v>
      </c>
      <c r="E9624" t="s">
        <v>462</v>
      </c>
      <c r="F9624">
        <f>HYPERLINK("https://www.wikidata.org/wiki/Q3112686", "Q3112686")</f>
        <v>0</v>
      </c>
      <c r="G9624" t="s">
        <v>1304</v>
      </c>
      <c r="H9624" t="s">
        <v>6025</v>
      </c>
      <c r="I9624" t="s">
        <v>9457</v>
      </c>
      <c r="J9624" t="s">
        <v>12034</v>
      </c>
      <c r="K9624" t="s">
        <v>16435</v>
      </c>
      <c r="L9624">
        <f>HYPERLINK("https://www2.assemblee-nationale.fr/sycomore/fiche/(num_dept)/6554", "6554")</f>
        <v>0</v>
      </c>
      <c r="M9624">
        <f>HYPERLINK("https://www.senat.fr/senateur-3eme-republique/queuille_henri0469r3.html", "queuille_henri0469r3")</f>
        <v>0</v>
      </c>
      <c r="N9624">
        <f>HYPERLINK("https://www.wikidata.org/wiki/Q455655", "Q455655")</f>
        <v>0</v>
      </c>
      <c r="O9624" t="s">
        <v>20123</v>
      </c>
    </row>
    <row r="9625" spans="1:15">
      <c r="A9625" t="s">
        <v>82</v>
      </c>
      <c r="B9625" t="s">
        <v>149</v>
      </c>
      <c r="C9625" t="s">
        <v>214</v>
      </c>
      <c r="D9625" t="s">
        <v>343</v>
      </c>
      <c r="E9625" t="s">
        <v>462</v>
      </c>
      <c r="F9625">
        <f>HYPERLINK("https://www.wikidata.org/wiki/Q3112686", "Q3112686")</f>
        <v>0</v>
      </c>
      <c r="G9625" t="s">
        <v>1608</v>
      </c>
      <c r="H9625" t="s">
        <v>6295</v>
      </c>
      <c r="I9625" t="s">
        <v>9465</v>
      </c>
      <c r="J9625" t="s">
        <v>12315</v>
      </c>
      <c r="K9625" t="s">
        <v>16725</v>
      </c>
      <c r="L9625">
        <f>HYPERLINK("https://www2.assemblee-nationale.fr/sycomore/fiche/(num_dept)/6633", "6633")</f>
        <v>0</v>
      </c>
      <c r="M9625">
        <f>HYPERLINK("https://www.senat.fr/senateur-3eme-republique/raynaldy_eugene0290r3.html", "raynaldy_eugene0290r3")</f>
        <v>0</v>
      </c>
      <c r="N9625">
        <f>HYPERLINK("https://www.wikidata.org/wiki/Q3060128", "Q3060128")</f>
        <v>0</v>
      </c>
      <c r="O9625" t="s">
        <v>20110</v>
      </c>
    </row>
    <row r="9626" spans="1:15">
      <c r="A9626" t="s">
        <v>82</v>
      </c>
      <c r="B9626" t="s">
        <v>149</v>
      </c>
      <c r="C9626" t="s">
        <v>214</v>
      </c>
      <c r="D9626" t="s">
        <v>343</v>
      </c>
      <c r="E9626" t="s">
        <v>462</v>
      </c>
      <c r="F9626">
        <f>HYPERLINK("https://www.wikidata.org/wiki/Q3112686", "Q3112686")</f>
        <v>0</v>
      </c>
      <c r="G9626" t="s">
        <v>804</v>
      </c>
      <c r="H9626" t="s">
        <v>5561</v>
      </c>
      <c r="I9626" t="s">
        <v>9476</v>
      </c>
      <c r="J9626" t="s">
        <v>11551</v>
      </c>
      <c r="K9626" t="s">
        <v>15955</v>
      </c>
      <c r="L9626">
        <f>HYPERLINK("https://www2.assemblee-nationale.fr/sycomore/fiche/(num_dept)/6684", "6684")</f>
        <v>0</v>
      </c>
      <c r="M9626">
        <f>HYPERLINK("https://www.senat.fr/senateur-3eme-republique/renoult_rene1734r3.html", "renoult_rene1734r3")</f>
        <v>0</v>
      </c>
      <c r="N9626">
        <f>HYPERLINK("https://www.wikidata.org/wiki/Q3426810", "Q3426810")</f>
        <v>0</v>
      </c>
      <c r="O9626" t="s">
        <v>20064</v>
      </c>
    </row>
    <row r="9627" spans="1:15">
      <c r="A9627" t="s">
        <v>82</v>
      </c>
      <c r="B9627" t="s">
        <v>149</v>
      </c>
      <c r="C9627" t="s">
        <v>214</v>
      </c>
      <c r="D9627" t="s">
        <v>343</v>
      </c>
      <c r="E9627" t="s">
        <v>462</v>
      </c>
      <c r="F9627">
        <f>HYPERLINK("https://www.wikidata.org/wiki/Q3112686", "Q3112686")</f>
        <v>0</v>
      </c>
      <c r="G9627" t="s">
        <v>4313</v>
      </c>
      <c r="H9627" t="s">
        <v>8469</v>
      </c>
      <c r="I9627" t="s">
        <v>9385</v>
      </c>
      <c r="J9627" t="s">
        <v>14366</v>
      </c>
      <c r="K9627" t="s">
        <v>19152</v>
      </c>
      <c r="N9627">
        <f>HYPERLINK("https://www.wikidata.org/wiki/Q559687", "Q559687")</f>
        <v>0</v>
      </c>
      <c r="O9627" t="s">
        <v>20057</v>
      </c>
    </row>
    <row r="9628" spans="1:15">
      <c r="A9628" t="s">
        <v>82</v>
      </c>
      <c r="B9628" t="s">
        <v>149</v>
      </c>
      <c r="C9628" t="s">
        <v>214</v>
      </c>
      <c r="D9628" t="s">
        <v>343</v>
      </c>
      <c r="E9628" t="s">
        <v>462</v>
      </c>
      <c r="F9628">
        <f>HYPERLINK("https://www.wikidata.org/wiki/Q3112686", "Q3112686")</f>
        <v>0</v>
      </c>
      <c r="G9628" t="s">
        <v>4314</v>
      </c>
      <c r="H9628" t="s">
        <v>6759</v>
      </c>
      <c r="I9628" t="s">
        <v>6860</v>
      </c>
      <c r="J9628" t="s">
        <v>14811</v>
      </c>
      <c r="K9628" t="s">
        <v>19153</v>
      </c>
      <c r="N9628">
        <f>HYPERLINK("https://www.wikidata.org/wiki/Q3386819", "Q3386819")</f>
        <v>0</v>
      </c>
      <c r="O9628" t="s">
        <v>20232</v>
      </c>
    </row>
    <row r="9629" spans="1:15">
      <c r="A9629" t="s">
        <v>83</v>
      </c>
      <c r="B9629" t="s">
        <v>149</v>
      </c>
      <c r="C9629" t="s">
        <v>215</v>
      </c>
      <c r="D9629" t="s">
        <v>344</v>
      </c>
      <c r="E9629" t="s">
        <v>463</v>
      </c>
      <c r="F9629">
        <f>HYPERLINK("https://www.wikidata.org/wiki/Q3112683", "Q3112683")</f>
        <v>0</v>
      </c>
      <c r="G9629" t="s">
        <v>860</v>
      </c>
      <c r="H9629" t="s">
        <v>5616</v>
      </c>
      <c r="I9629" t="s">
        <v>6585</v>
      </c>
      <c r="J9629" t="s">
        <v>11606</v>
      </c>
      <c r="K9629" t="s">
        <v>16008</v>
      </c>
      <c r="L9629">
        <f>HYPERLINK("https://www2.assemblee-nationale.fr/sycomore/fiche/(num_dept)/136", "136")</f>
        <v>0</v>
      </c>
      <c r="N9629">
        <f>HYPERLINK("https://www.wikidata.org/wiki/Q2847958", "Q2847958")</f>
        <v>0</v>
      </c>
      <c r="O9629" t="s">
        <v>20063</v>
      </c>
    </row>
    <row r="9630" spans="1:15">
      <c r="A9630" t="s">
        <v>83</v>
      </c>
      <c r="B9630" t="s">
        <v>149</v>
      </c>
      <c r="C9630" t="s">
        <v>215</v>
      </c>
      <c r="D9630" t="s">
        <v>344</v>
      </c>
      <c r="E9630" t="s">
        <v>463</v>
      </c>
      <c r="F9630">
        <f>HYPERLINK("https://www.wikidata.org/wiki/Q3112683", "Q3112683")</f>
        <v>0</v>
      </c>
      <c r="G9630" t="s">
        <v>1712</v>
      </c>
      <c r="H9630" t="s">
        <v>6387</v>
      </c>
      <c r="I9630" t="s">
        <v>9470</v>
      </c>
      <c r="J9630" t="s">
        <v>12339</v>
      </c>
      <c r="K9630" t="s">
        <v>16822</v>
      </c>
      <c r="L9630">
        <f>HYPERLINK("https://www2.assemblee-nationale.fr/sycomore/fiche/(num_dept)/520", "520")</f>
        <v>0</v>
      </c>
      <c r="M9630">
        <f>HYPERLINK("https://www.senat.fr/senateur-3eme-republique/bazile_gaston0835r3.html", "bazile_gaston0835r3")</f>
        <v>0</v>
      </c>
      <c r="N9630">
        <f>HYPERLINK("https://www.wikidata.org/wiki/Q1495550", "Q1495550")</f>
        <v>0</v>
      </c>
      <c r="O9630" t="s">
        <v>20196</v>
      </c>
    </row>
    <row r="9631" spans="1:15">
      <c r="A9631" t="s">
        <v>83</v>
      </c>
      <c r="B9631" t="s">
        <v>149</v>
      </c>
      <c r="C9631" t="s">
        <v>215</v>
      </c>
      <c r="D9631" t="s">
        <v>344</v>
      </c>
      <c r="E9631" t="s">
        <v>463</v>
      </c>
      <c r="F9631">
        <f>HYPERLINK("https://www.wikidata.org/wiki/Q3112683", "Q3112683")</f>
        <v>0</v>
      </c>
      <c r="G9631" t="s">
        <v>1410</v>
      </c>
      <c r="H9631" t="s">
        <v>5337</v>
      </c>
      <c r="I9631" t="s">
        <v>9506</v>
      </c>
      <c r="J9631" t="s">
        <v>12135</v>
      </c>
      <c r="K9631" t="s">
        <v>16537</v>
      </c>
      <c r="L9631">
        <f>HYPERLINK("https://www2.assemblee-nationale.fr/sycomore/fiche/(num_dept)/1726", "1726")</f>
        <v>0</v>
      </c>
      <c r="M9631">
        <f>HYPERLINK("https://www.senat.fr/senateur-3eme-republique/chautemps_camille0380r3.html", "chautemps_camille0380r3")</f>
        <v>0</v>
      </c>
      <c r="N9631">
        <f>HYPERLINK("https://www.wikidata.org/wiki/Q263884", "Q263884")</f>
        <v>0</v>
      </c>
      <c r="O9631" t="s">
        <v>20058</v>
      </c>
    </row>
    <row r="9632" spans="1:15">
      <c r="A9632" t="s">
        <v>83</v>
      </c>
      <c r="B9632" t="s">
        <v>149</v>
      </c>
      <c r="C9632" t="s">
        <v>215</v>
      </c>
      <c r="D9632" t="s">
        <v>344</v>
      </c>
      <c r="E9632" t="s">
        <v>463</v>
      </c>
      <c r="F9632">
        <f>HYPERLINK("https://www.wikidata.org/wiki/Q3112683", "Q3112683")</f>
        <v>0</v>
      </c>
      <c r="G9632" t="s">
        <v>1413</v>
      </c>
      <c r="H9632" t="s">
        <v>6121</v>
      </c>
      <c r="I9632" t="s">
        <v>7642</v>
      </c>
      <c r="J9632" t="s">
        <v>12137</v>
      </c>
      <c r="K9632" t="s">
        <v>16540</v>
      </c>
      <c r="L9632">
        <f>HYPERLINK("https://www2.assemblee-nationale.fr/sycomore/fiche/(num_dept)/1923", "1923")</f>
        <v>0</v>
      </c>
      <c r="N9632">
        <f>HYPERLINK("https://www.wikidata.org/wiki/Q3300588", "Q3300588")</f>
        <v>0</v>
      </c>
      <c r="O9632" t="s">
        <v>20064</v>
      </c>
    </row>
    <row r="9633" spans="1:15">
      <c r="A9633" t="s">
        <v>83</v>
      </c>
      <c r="B9633" t="s">
        <v>149</v>
      </c>
      <c r="C9633" t="s">
        <v>215</v>
      </c>
      <c r="D9633" t="s">
        <v>344</v>
      </c>
      <c r="E9633" t="s">
        <v>463</v>
      </c>
      <c r="F9633">
        <f>HYPERLINK("https://www.wikidata.org/wiki/Q3112683", "Q3112683")</f>
        <v>0</v>
      </c>
      <c r="G9633" t="s">
        <v>1423</v>
      </c>
      <c r="H9633" t="s">
        <v>6128</v>
      </c>
      <c r="I9633" t="s">
        <v>9728</v>
      </c>
      <c r="J9633" t="s">
        <v>12147</v>
      </c>
      <c r="K9633" t="s">
        <v>16549</v>
      </c>
      <c r="L9633">
        <f>HYPERLINK("https://www2.assemblee-nationale.fr/sycomore/fiche/(num_dept)/2105", "2105")</f>
        <v>0</v>
      </c>
      <c r="N9633">
        <f>HYPERLINK("https://www.wikidata.org/wiki/Q213526", "Q213526")</f>
        <v>0</v>
      </c>
      <c r="O9633" t="s">
        <v>20051</v>
      </c>
    </row>
    <row r="9634" spans="1:15">
      <c r="A9634" t="s">
        <v>83</v>
      </c>
      <c r="B9634" t="s">
        <v>149</v>
      </c>
      <c r="C9634" t="s">
        <v>215</v>
      </c>
      <c r="D9634" t="s">
        <v>344</v>
      </c>
      <c r="E9634" t="s">
        <v>463</v>
      </c>
      <c r="F9634">
        <f>HYPERLINK("https://www.wikidata.org/wiki/Q3112683", "Q3112683")</f>
        <v>0</v>
      </c>
      <c r="G9634" t="s">
        <v>599</v>
      </c>
      <c r="H9634" t="s">
        <v>5360</v>
      </c>
      <c r="I9634" t="s">
        <v>9445</v>
      </c>
      <c r="J9634" t="s">
        <v>11350</v>
      </c>
      <c r="K9634" t="s">
        <v>15751</v>
      </c>
      <c r="L9634">
        <f>HYPERLINK("https://www2.assemblee-nationale.fr/sycomore/fiche/(num_dept)/2132", "2132")</f>
        <v>0</v>
      </c>
      <c r="N9634">
        <f>HYPERLINK("https://www.wikidata.org/wiki/Q2825149", "Q2825149")</f>
        <v>0</v>
      </c>
      <c r="O9634" t="s">
        <v>20065</v>
      </c>
    </row>
    <row r="9635" spans="1:15">
      <c r="A9635" t="s">
        <v>83</v>
      </c>
      <c r="B9635" t="s">
        <v>149</v>
      </c>
      <c r="C9635" t="s">
        <v>215</v>
      </c>
      <c r="D9635" t="s">
        <v>344</v>
      </c>
      <c r="E9635" t="s">
        <v>463</v>
      </c>
      <c r="F9635">
        <f>HYPERLINK("https://www.wikidata.org/wiki/Q3112683", "Q3112683")</f>
        <v>0</v>
      </c>
      <c r="G9635" t="s">
        <v>625</v>
      </c>
      <c r="H9635" t="s">
        <v>5385</v>
      </c>
      <c r="I9635" t="s">
        <v>9460</v>
      </c>
      <c r="J9635" t="s">
        <v>11375</v>
      </c>
      <c r="K9635" t="s">
        <v>15777</v>
      </c>
      <c r="L9635">
        <f>HYPERLINK("https://www2.assemblee-nationale.fr/sycomore/fiche/(num_dept)/2699", "2699")</f>
        <v>0</v>
      </c>
      <c r="M9635">
        <f>HYPERLINK("https://www.senat.fr/senateur-3eme-republique/dumesnil_jacques1613r3.html", "dumesnil_jacques1613r3")</f>
        <v>0</v>
      </c>
      <c r="N9635">
        <f>HYPERLINK("https://www.wikidata.org/wiki/Q3157989", "Q3157989")</f>
        <v>0</v>
      </c>
      <c r="O9635" t="s">
        <v>20130</v>
      </c>
    </row>
    <row r="9636" spans="1:15">
      <c r="A9636" t="s">
        <v>83</v>
      </c>
      <c r="B9636" t="s">
        <v>149</v>
      </c>
      <c r="C9636" t="s">
        <v>215</v>
      </c>
      <c r="D9636" t="s">
        <v>344</v>
      </c>
      <c r="E9636" t="s">
        <v>463</v>
      </c>
      <c r="F9636">
        <f>HYPERLINK("https://www.wikidata.org/wiki/Q3112683", "Q3112683")</f>
        <v>0</v>
      </c>
      <c r="G9636" t="s">
        <v>1492</v>
      </c>
      <c r="H9636" t="s">
        <v>6190</v>
      </c>
      <c r="I9636" t="s">
        <v>9728</v>
      </c>
      <c r="J9636" t="s">
        <v>12210</v>
      </c>
      <c r="K9636" t="s">
        <v>16616</v>
      </c>
      <c r="L9636">
        <f>HYPERLINK("https://www2.assemblee-nationale.fr/sycomore/fiche/(num_dept)/3819", "3819")</f>
        <v>0</v>
      </c>
      <c r="M9636">
        <f>HYPERLINK("https://www.senat.fr/senateur-3eme-republique/herriot_edouard1121r3.html", "herriot_edouard1121r3")</f>
        <v>0</v>
      </c>
      <c r="N9636">
        <f>HYPERLINK("https://www.wikidata.org/wiki/Q274344", "Q274344")</f>
        <v>0</v>
      </c>
      <c r="O9636" t="s">
        <v>20052</v>
      </c>
    </row>
    <row r="9637" spans="1:15">
      <c r="A9637" t="s">
        <v>83</v>
      </c>
      <c r="B9637" t="s">
        <v>149</v>
      </c>
      <c r="C9637" t="s">
        <v>215</v>
      </c>
      <c r="D9637" t="s">
        <v>344</v>
      </c>
      <c r="E9637" t="s">
        <v>463</v>
      </c>
      <c r="F9637">
        <f>HYPERLINK("https://www.wikidata.org/wiki/Q3112683", "Q3112683")</f>
        <v>0</v>
      </c>
      <c r="G9637" t="s">
        <v>689</v>
      </c>
      <c r="H9637" t="s">
        <v>5447</v>
      </c>
      <c r="I9637" t="s">
        <v>9388</v>
      </c>
      <c r="J9637" t="s">
        <v>11439</v>
      </c>
      <c r="K9637" t="s">
        <v>15840</v>
      </c>
      <c r="L9637">
        <f>HYPERLINK("https://www2.assemblee-nationale.fr/sycomore/fiche/(num_dept)/3970", "3970")</f>
        <v>0</v>
      </c>
      <c r="M9637">
        <f>HYPERLINK("https://www.senat.fr/senateur-3eme-republique/jacquier_paul1310r3.html", "jacquier_paul1310r3")</f>
        <v>0</v>
      </c>
      <c r="N9637">
        <f>HYPERLINK("https://www.wikidata.org/wiki/Q3371508", "Q3371508")</f>
        <v>0</v>
      </c>
      <c r="O9637" t="s">
        <v>20054</v>
      </c>
    </row>
    <row r="9638" spans="1:15">
      <c r="A9638" t="s">
        <v>83</v>
      </c>
      <c r="B9638" t="s">
        <v>149</v>
      </c>
      <c r="C9638" t="s">
        <v>215</v>
      </c>
      <c r="D9638" t="s">
        <v>344</v>
      </c>
      <c r="E9638" t="s">
        <v>463</v>
      </c>
      <c r="F9638">
        <f>HYPERLINK("https://www.wikidata.org/wiki/Q3112683", "Q3112683")</f>
        <v>0</v>
      </c>
      <c r="G9638" t="s">
        <v>1517</v>
      </c>
      <c r="H9638" t="s">
        <v>6213</v>
      </c>
      <c r="I9638" t="s">
        <v>6495</v>
      </c>
      <c r="J9638" t="s">
        <v>12234</v>
      </c>
      <c r="K9638" t="s">
        <v>16640</v>
      </c>
      <c r="L9638">
        <f>HYPERLINK("https://www2.assemblee-nationale.fr/sycomore/fiche/(num_dept)/4823", "4823")</f>
        <v>0</v>
      </c>
      <c r="N9638">
        <f>HYPERLINK("https://www.wikidata.org/wiki/Q2788498", "Q2788498")</f>
        <v>0</v>
      </c>
      <c r="O9638" t="s">
        <v>20135</v>
      </c>
    </row>
    <row r="9639" spans="1:15">
      <c r="A9639" t="s">
        <v>83</v>
      </c>
      <c r="B9639" t="s">
        <v>149</v>
      </c>
      <c r="C9639" t="s">
        <v>215</v>
      </c>
      <c r="D9639" t="s">
        <v>344</v>
      </c>
      <c r="E9639" t="s">
        <v>463</v>
      </c>
      <c r="F9639">
        <f>HYPERLINK("https://www.wikidata.org/wiki/Q3112683", "Q3112683")</f>
        <v>0</v>
      </c>
      <c r="G9639" t="s">
        <v>1921</v>
      </c>
      <c r="H9639" t="s">
        <v>6568</v>
      </c>
      <c r="I9639" t="s">
        <v>6585</v>
      </c>
      <c r="J9639" t="s">
        <v>12606</v>
      </c>
      <c r="K9639" t="s">
        <v>17018</v>
      </c>
      <c r="L9639">
        <f>HYPERLINK("https://www2.assemblee-nationale.fr/sycomore/fiche/(num_dept)/4931", "4931")</f>
        <v>0</v>
      </c>
      <c r="M9639">
        <f>HYPERLINK("https://www.senat.fr/senateur-3eme-republique/mallarme_andre0841r3.html", "mallarme_andre0841r3")</f>
        <v>0</v>
      </c>
      <c r="N9639">
        <f>HYPERLINK("https://www.wikidata.org/wiki/Q2511312", "Q2511312")</f>
        <v>0</v>
      </c>
      <c r="O9639" t="s">
        <v>20283</v>
      </c>
    </row>
    <row r="9640" spans="1:15">
      <c r="A9640" t="s">
        <v>83</v>
      </c>
      <c r="B9640" t="s">
        <v>149</v>
      </c>
      <c r="C9640" t="s">
        <v>215</v>
      </c>
      <c r="D9640" t="s">
        <v>344</v>
      </c>
      <c r="E9640" t="s">
        <v>463</v>
      </c>
      <c r="F9640">
        <f>HYPERLINK("https://www.wikidata.org/wiki/Q3112683", "Q3112683")</f>
        <v>0</v>
      </c>
      <c r="G9640" t="s">
        <v>1848</v>
      </c>
      <c r="H9640" t="s">
        <v>6507</v>
      </c>
      <c r="I9640" t="s">
        <v>6584</v>
      </c>
      <c r="J9640" t="s">
        <v>12539</v>
      </c>
      <c r="K9640" t="s">
        <v>16951</v>
      </c>
      <c r="L9640">
        <f>HYPERLINK("https://www2.assemblee-nationale.fr/sycomore/fiche/(num_dept)/5280", "5280")</f>
        <v>0</v>
      </c>
      <c r="N9640">
        <f>HYPERLINK("https://www.wikidata.org/wiki/Q2831401", "Q2831401")</f>
        <v>0</v>
      </c>
      <c r="O9640" t="s">
        <v>20124</v>
      </c>
    </row>
    <row r="9641" spans="1:15">
      <c r="A9641" t="s">
        <v>83</v>
      </c>
      <c r="B9641" t="s">
        <v>149</v>
      </c>
      <c r="C9641" t="s">
        <v>215</v>
      </c>
      <c r="D9641" t="s">
        <v>344</v>
      </c>
      <c r="E9641" t="s">
        <v>463</v>
      </c>
      <c r="F9641">
        <f>HYPERLINK("https://www.wikidata.org/wiki/Q3112683", "Q3112683")</f>
        <v>0</v>
      </c>
      <c r="G9641" t="s">
        <v>738</v>
      </c>
      <c r="H9641" t="s">
        <v>5496</v>
      </c>
      <c r="I9641" t="s">
        <v>9503</v>
      </c>
      <c r="J9641" t="s">
        <v>11487</v>
      </c>
      <c r="K9641" t="s">
        <v>15889</v>
      </c>
      <c r="L9641">
        <f>HYPERLINK("https://www2.assemblee-nationale.fr/sycomore/fiche/(num_dept)/5394", "5394")</f>
        <v>0</v>
      </c>
      <c r="M9641">
        <f>HYPERLINK("https://www.senat.fr/senateur-3eme-republique/de_monzie_anatole0605r3.html", "de_monzie_anatole0605r3")</f>
        <v>0</v>
      </c>
      <c r="N9641">
        <f>HYPERLINK("https://www.wikidata.org/wiki/Q2845619", "Q2845619")</f>
        <v>0</v>
      </c>
      <c r="O9641" t="s">
        <v>20066</v>
      </c>
    </row>
    <row r="9642" spans="1:15">
      <c r="A9642" t="s">
        <v>83</v>
      </c>
      <c r="B9642" t="s">
        <v>149</v>
      </c>
      <c r="C9642" t="s">
        <v>215</v>
      </c>
      <c r="D9642" t="s">
        <v>344</v>
      </c>
      <c r="E9642" t="s">
        <v>463</v>
      </c>
      <c r="F9642">
        <f>HYPERLINK("https://www.wikidata.org/wiki/Q3112683", "Q3112683")</f>
        <v>0</v>
      </c>
      <c r="G9642" t="s">
        <v>740</v>
      </c>
      <c r="H9642" t="s">
        <v>5498</v>
      </c>
      <c r="I9642" t="s">
        <v>9388</v>
      </c>
      <c r="J9642" t="s">
        <v>11489</v>
      </c>
      <c r="K9642" t="s">
        <v>15891</v>
      </c>
      <c r="L9642">
        <f>HYPERLINK("https://www2.assemblee-nationale.fr/sycomore/fiche/(num_dept)/5413", "5413")</f>
        <v>0</v>
      </c>
      <c r="N9642">
        <f>HYPERLINK("https://www.wikidata.org/wiki/Q3371866", "Q3371866")</f>
        <v>0</v>
      </c>
      <c r="O9642" t="s">
        <v>20103</v>
      </c>
    </row>
    <row r="9643" spans="1:15">
      <c r="A9643" t="s">
        <v>83</v>
      </c>
      <c r="B9643" t="s">
        <v>149</v>
      </c>
      <c r="C9643" t="s">
        <v>215</v>
      </c>
      <c r="D9643" t="s">
        <v>344</v>
      </c>
      <c r="E9643" t="s">
        <v>463</v>
      </c>
      <c r="F9643">
        <f>HYPERLINK("https://www.wikidata.org/wiki/Q3112683", "Q3112683")</f>
        <v>0</v>
      </c>
      <c r="G9643" t="s">
        <v>1017</v>
      </c>
      <c r="H9643" t="s">
        <v>5767</v>
      </c>
      <c r="I9643" t="s">
        <v>9388</v>
      </c>
      <c r="J9643" t="s">
        <v>11754</v>
      </c>
      <c r="K9643" t="s">
        <v>16157</v>
      </c>
      <c r="L9643">
        <f>HYPERLINK("https://www2.assemblee-nationale.fr/sycomore/fiche/(num_dept)/5653", "5653")</f>
        <v>0</v>
      </c>
      <c r="N9643">
        <f>HYPERLINK("https://www.wikidata.org/wiki/Q315434", "Q315434")</f>
        <v>0</v>
      </c>
      <c r="O9643" t="s">
        <v>20057</v>
      </c>
    </row>
    <row r="9644" spans="1:15">
      <c r="A9644" t="s">
        <v>83</v>
      </c>
      <c r="B9644" t="s">
        <v>149</v>
      </c>
      <c r="C9644" t="s">
        <v>215</v>
      </c>
      <c r="D9644" t="s">
        <v>344</v>
      </c>
      <c r="E9644" t="s">
        <v>463</v>
      </c>
      <c r="F9644">
        <f>HYPERLINK("https://www.wikidata.org/wiki/Q3112683", "Q3112683")</f>
        <v>0</v>
      </c>
      <c r="G9644" t="s">
        <v>1876</v>
      </c>
      <c r="H9644" t="s">
        <v>6531</v>
      </c>
      <c r="I9644" t="s">
        <v>6076</v>
      </c>
      <c r="J9644" t="s">
        <v>12563</v>
      </c>
      <c r="K9644" t="s">
        <v>16976</v>
      </c>
      <c r="L9644">
        <f>HYPERLINK("https://www2.assemblee-nationale.fr/sycomore/fiche/(num_dept)/6010", "6010")</f>
        <v>0</v>
      </c>
      <c r="N9644">
        <f>HYPERLINK("https://www.wikidata.org/wiki/Q2885993", "Q2885993")</f>
        <v>0</v>
      </c>
      <c r="O9644" t="s">
        <v>20284</v>
      </c>
    </row>
    <row r="9645" spans="1:15">
      <c r="A9645" t="s">
        <v>83</v>
      </c>
      <c r="B9645" t="s">
        <v>149</v>
      </c>
      <c r="C9645" t="s">
        <v>215</v>
      </c>
      <c r="D9645" t="s">
        <v>344</v>
      </c>
      <c r="E9645" t="s">
        <v>463</v>
      </c>
      <c r="F9645">
        <f>HYPERLINK("https://www.wikidata.org/wiki/Q3112683", "Q3112683")</f>
        <v>0</v>
      </c>
      <c r="G9645" t="s">
        <v>1304</v>
      </c>
      <c r="H9645" t="s">
        <v>6025</v>
      </c>
      <c r="I9645" t="s">
        <v>9457</v>
      </c>
      <c r="J9645" t="s">
        <v>12034</v>
      </c>
      <c r="K9645" t="s">
        <v>16435</v>
      </c>
      <c r="L9645">
        <f>HYPERLINK("https://www2.assemblee-nationale.fr/sycomore/fiche/(num_dept)/6554", "6554")</f>
        <v>0</v>
      </c>
      <c r="M9645">
        <f>HYPERLINK("https://www.senat.fr/senateur-3eme-republique/queuille_henri0469r3.html", "queuille_henri0469r3")</f>
        <v>0</v>
      </c>
      <c r="N9645">
        <f>HYPERLINK("https://www.wikidata.org/wiki/Q455655", "Q455655")</f>
        <v>0</v>
      </c>
      <c r="O9645" t="s">
        <v>20056</v>
      </c>
    </row>
    <row r="9646" spans="1:15">
      <c r="A9646" t="s">
        <v>83</v>
      </c>
      <c r="B9646" t="s">
        <v>149</v>
      </c>
      <c r="C9646" t="s">
        <v>215</v>
      </c>
      <c r="D9646" t="s">
        <v>344</v>
      </c>
      <c r="E9646" t="s">
        <v>463</v>
      </c>
      <c r="F9646">
        <f>HYPERLINK("https://www.wikidata.org/wiki/Q3112683", "Q3112683")</f>
        <v>0</v>
      </c>
      <c r="G9646" t="s">
        <v>804</v>
      </c>
      <c r="H9646" t="s">
        <v>5561</v>
      </c>
      <c r="I9646" t="s">
        <v>9476</v>
      </c>
      <c r="J9646" t="s">
        <v>11551</v>
      </c>
      <c r="K9646" t="s">
        <v>15955</v>
      </c>
      <c r="L9646">
        <f>HYPERLINK("https://www2.assemblee-nationale.fr/sycomore/fiche/(num_dept)/6684", "6684")</f>
        <v>0</v>
      </c>
      <c r="M9646">
        <f>HYPERLINK("https://www.senat.fr/senateur-3eme-republique/renoult_rene1734r3.html", "renoult_rene1734r3")</f>
        <v>0</v>
      </c>
      <c r="N9646">
        <f>HYPERLINK("https://www.wikidata.org/wiki/Q3426810", "Q3426810")</f>
        <v>0</v>
      </c>
      <c r="O9646" t="s">
        <v>20053</v>
      </c>
    </row>
    <row r="9647" spans="1:15">
      <c r="A9647" t="s">
        <v>83</v>
      </c>
      <c r="B9647" t="s">
        <v>149</v>
      </c>
      <c r="C9647" t="s">
        <v>215</v>
      </c>
      <c r="D9647" t="s">
        <v>344</v>
      </c>
      <c r="E9647" t="s">
        <v>463</v>
      </c>
      <c r="F9647">
        <f>HYPERLINK("https://www.wikidata.org/wiki/Q3112683", "Q3112683")</f>
        <v>0</v>
      </c>
      <c r="G9647" t="s">
        <v>1724</v>
      </c>
      <c r="H9647" t="s">
        <v>6360</v>
      </c>
      <c r="I9647" t="s">
        <v>6175</v>
      </c>
      <c r="J9647" t="s">
        <v>12425</v>
      </c>
      <c r="K9647" t="s">
        <v>16833</v>
      </c>
      <c r="N9647">
        <f>HYPERLINK("https://www.wikidata.org/wiki/Q3102323", "Q3102323")</f>
        <v>0</v>
      </c>
      <c r="O9647" t="s">
        <v>20088</v>
      </c>
    </row>
    <row r="9648" spans="1:15">
      <c r="A9648" t="s">
        <v>83</v>
      </c>
      <c r="B9648" t="s">
        <v>149</v>
      </c>
      <c r="C9648" t="s">
        <v>215</v>
      </c>
      <c r="D9648" t="s">
        <v>344</v>
      </c>
      <c r="E9648" t="s">
        <v>463</v>
      </c>
      <c r="F9648">
        <f>HYPERLINK("https://www.wikidata.org/wiki/Q3112683", "Q3112683")</f>
        <v>0</v>
      </c>
      <c r="G9648" t="s">
        <v>4315</v>
      </c>
      <c r="H9648" t="s">
        <v>8470</v>
      </c>
      <c r="I9648" t="s">
        <v>6495</v>
      </c>
      <c r="J9648" t="s">
        <v>14812</v>
      </c>
      <c r="K9648" t="s">
        <v>19154</v>
      </c>
      <c r="M9648">
        <f>HYPERLINK("https://www.senat.fr/senateur-3eme-republique/pasquet_louis0313r3.html", "pasquet_louis0313r3")</f>
        <v>0</v>
      </c>
      <c r="N9648">
        <f>HYPERLINK("https://www.wikidata.org/wiki/Q1871907", "Q1871907")</f>
        <v>0</v>
      </c>
      <c r="O9648" t="s">
        <v>20138</v>
      </c>
    </row>
    <row r="9649" spans="1:15">
      <c r="A9649" t="s">
        <v>83</v>
      </c>
      <c r="B9649" t="s">
        <v>149</v>
      </c>
      <c r="C9649" t="s">
        <v>215</v>
      </c>
      <c r="D9649" t="s">
        <v>344</v>
      </c>
      <c r="E9649" t="s">
        <v>463</v>
      </c>
      <c r="F9649">
        <f>HYPERLINK("https://www.wikidata.org/wiki/Q3112683", "Q3112683")</f>
        <v>0</v>
      </c>
      <c r="G9649" t="s">
        <v>4316</v>
      </c>
      <c r="H9649" t="s">
        <v>5745</v>
      </c>
      <c r="I9649" t="s">
        <v>9457</v>
      </c>
      <c r="J9649" t="s">
        <v>14813</v>
      </c>
      <c r="K9649" t="s">
        <v>18193</v>
      </c>
      <c r="N9649">
        <f>HYPERLINK("https://www.wikidata.org/wiki/Q3131623", "Q3131623")</f>
        <v>0</v>
      </c>
      <c r="O9649" t="s">
        <v>20285</v>
      </c>
    </row>
    <row r="9650" spans="1:15">
      <c r="A9650" t="s">
        <v>84</v>
      </c>
      <c r="B9650" t="s">
        <v>149</v>
      </c>
      <c r="C9650" t="s">
        <v>216</v>
      </c>
      <c r="D9650" t="s">
        <v>345</v>
      </c>
      <c r="E9650" t="s">
        <v>464</v>
      </c>
      <c r="F9650">
        <f>HYPERLINK("https://www.wikidata.org/wiki/Q3112687", "Q3112687")</f>
        <v>0</v>
      </c>
      <c r="G9650" t="s">
        <v>1091</v>
      </c>
      <c r="H9650" t="s">
        <v>5833</v>
      </c>
      <c r="I9650" t="s">
        <v>9445</v>
      </c>
      <c r="J9650" t="s">
        <v>11827</v>
      </c>
      <c r="K9650" t="s">
        <v>16227</v>
      </c>
      <c r="L9650">
        <f>HYPERLINK("https://www2.assemblee-nationale.fr/sycomore/fiche/(num_dept)/729", "729")</f>
        <v>0</v>
      </c>
      <c r="M9650">
        <f>HYPERLINK("https://www.senat.fr/senateur-3eme-republique/berthod_aime0449r3.html", "berthod_aime0449r3")</f>
        <v>0</v>
      </c>
      <c r="N9650">
        <f>HYPERLINK("https://www.wikidata.org/wiki/Q2825126", "Q2825126")</f>
        <v>0</v>
      </c>
      <c r="O9650" t="s">
        <v>20088</v>
      </c>
    </row>
    <row r="9651" spans="1:15">
      <c r="A9651" t="s">
        <v>84</v>
      </c>
      <c r="B9651" t="s">
        <v>149</v>
      </c>
      <c r="C9651" t="s">
        <v>216</v>
      </c>
      <c r="D9651" t="s">
        <v>345</v>
      </c>
      <c r="E9651" t="s">
        <v>464</v>
      </c>
      <c r="F9651">
        <f>HYPERLINK("https://www.wikidata.org/wiki/Q3112687", "Q3112687")</f>
        <v>0</v>
      </c>
      <c r="G9651" t="s">
        <v>1100</v>
      </c>
      <c r="H9651" t="s">
        <v>5841</v>
      </c>
      <c r="I9651" t="s">
        <v>6707</v>
      </c>
      <c r="J9651" t="s">
        <v>11836</v>
      </c>
      <c r="K9651" t="s">
        <v>16236</v>
      </c>
      <c r="L9651">
        <f>HYPERLINK("https://www2.assemblee-nationale.fr/sycomore/fiche/(num_dept)/1415", "1415")</f>
        <v>0</v>
      </c>
      <c r="N9651">
        <f>HYPERLINK("https://www.wikidata.org/wiki/Q3115697", "Q3115697")</f>
        <v>0</v>
      </c>
      <c r="O9651" t="s">
        <v>20192</v>
      </c>
    </row>
    <row r="9652" spans="1:15">
      <c r="A9652" t="s">
        <v>84</v>
      </c>
      <c r="B9652" t="s">
        <v>149</v>
      </c>
      <c r="C9652" t="s">
        <v>216</v>
      </c>
      <c r="D9652" t="s">
        <v>345</v>
      </c>
      <c r="E9652" t="s">
        <v>464</v>
      </c>
      <c r="F9652">
        <f>HYPERLINK("https://www.wikidata.org/wiki/Q3112687", "Q3112687")</f>
        <v>0</v>
      </c>
      <c r="G9652" t="s">
        <v>1410</v>
      </c>
      <c r="H9652" t="s">
        <v>5337</v>
      </c>
      <c r="I9652" t="s">
        <v>9506</v>
      </c>
      <c r="J9652" t="s">
        <v>12135</v>
      </c>
      <c r="K9652" t="s">
        <v>16537</v>
      </c>
      <c r="L9652">
        <f>HYPERLINK("https://www2.assemblee-nationale.fr/sycomore/fiche/(num_dept)/1726", "1726")</f>
        <v>0</v>
      </c>
      <c r="M9652">
        <f>HYPERLINK("https://www.senat.fr/senateur-3eme-republique/chautemps_camille0380r3.html", "chautemps_camille0380r3")</f>
        <v>0</v>
      </c>
      <c r="N9652">
        <f>HYPERLINK("https://www.wikidata.org/wiki/Q263884", "Q263884")</f>
        <v>0</v>
      </c>
      <c r="O9652" t="s">
        <v>20058</v>
      </c>
    </row>
    <row r="9653" spans="1:15">
      <c r="A9653" t="s">
        <v>84</v>
      </c>
      <c r="B9653" t="s">
        <v>149</v>
      </c>
      <c r="C9653" t="s">
        <v>216</v>
      </c>
      <c r="D9653" t="s">
        <v>345</v>
      </c>
      <c r="E9653" t="s">
        <v>464</v>
      </c>
      <c r="F9653">
        <f>HYPERLINK("https://www.wikidata.org/wiki/Q3112687", "Q3112687")</f>
        <v>0</v>
      </c>
      <c r="G9653" t="s">
        <v>1423</v>
      </c>
      <c r="H9653" t="s">
        <v>6128</v>
      </c>
      <c r="I9653" t="s">
        <v>9728</v>
      </c>
      <c r="J9653" t="s">
        <v>12147</v>
      </c>
      <c r="K9653" t="s">
        <v>16549</v>
      </c>
      <c r="L9653">
        <f>HYPERLINK("https://www2.assemblee-nationale.fr/sycomore/fiche/(num_dept)/2105", "2105")</f>
        <v>0</v>
      </c>
      <c r="N9653">
        <f>HYPERLINK("https://www.wikidata.org/wiki/Q213526", "Q213526")</f>
        <v>0</v>
      </c>
      <c r="O9653" t="s">
        <v>20063</v>
      </c>
    </row>
    <row r="9654" spans="1:15">
      <c r="A9654" t="s">
        <v>84</v>
      </c>
      <c r="B9654" t="s">
        <v>149</v>
      </c>
      <c r="C9654" t="s">
        <v>216</v>
      </c>
      <c r="D9654" t="s">
        <v>345</v>
      </c>
      <c r="E9654" t="s">
        <v>464</v>
      </c>
      <c r="F9654">
        <f>HYPERLINK("https://www.wikidata.org/wiki/Q3112687", "Q3112687")</f>
        <v>0</v>
      </c>
      <c r="G9654" t="s">
        <v>597</v>
      </c>
      <c r="H9654" t="s">
        <v>5358</v>
      </c>
      <c r="I9654" t="s">
        <v>6584</v>
      </c>
      <c r="J9654" t="s">
        <v>11348</v>
      </c>
      <c r="K9654" t="s">
        <v>15749</v>
      </c>
      <c r="L9654">
        <f>HYPERLINK("https://www2.assemblee-nationale.fr/sycomore/fiche/(num_dept)/2110", "2110")</f>
        <v>0</v>
      </c>
      <c r="N9654">
        <f>HYPERLINK("https://www.wikidata.org/wiki/Q2831073", "Q2831073")</f>
        <v>0</v>
      </c>
      <c r="O9654" t="s">
        <v>20204</v>
      </c>
    </row>
    <row r="9655" spans="1:15">
      <c r="A9655" t="s">
        <v>84</v>
      </c>
      <c r="B9655" t="s">
        <v>149</v>
      </c>
      <c r="C9655" t="s">
        <v>216</v>
      </c>
      <c r="D9655" t="s">
        <v>345</v>
      </c>
      <c r="E9655" t="s">
        <v>464</v>
      </c>
      <c r="F9655">
        <f>HYPERLINK("https://www.wikidata.org/wiki/Q3112687", "Q3112687")</f>
        <v>0</v>
      </c>
      <c r="G9655" t="s">
        <v>1444</v>
      </c>
      <c r="H9655" t="s">
        <v>6145</v>
      </c>
      <c r="I9655" t="s">
        <v>9472</v>
      </c>
      <c r="J9655" t="s">
        <v>12165</v>
      </c>
      <c r="K9655" t="s">
        <v>16570</v>
      </c>
      <c r="L9655">
        <f>HYPERLINK("https://www2.assemblee-nationale.fr/sycomore/fiche/(num_dept)/2655", "2655")</f>
        <v>0</v>
      </c>
      <c r="N9655">
        <f>HYPERLINK("https://www.wikidata.org/wiki/Q3136053", "Q3136053")</f>
        <v>0</v>
      </c>
      <c r="O9655" t="s">
        <v>20079</v>
      </c>
    </row>
    <row r="9656" spans="1:15">
      <c r="A9656" t="s">
        <v>84</v>
      </c>
      <c r="B9656" t="s">
        <v>149</v>
      </c>
      <c r="C9656" t="s">
        <v>216</v>
      </c>
      <c r="D9656" t="s">
        <v>345</v>
      </c>
      <c r="E9656" t="s">
        <v>464</v>
      </c>
      <c r="F9656">
        <f>HYPERLINK("https://www.wikidata.org/wiki/Q3112687", "Q3112687")</f>
        <v>0</v>
      </c>
      <c r="G9656" t="s">
        <v>1788</v>
      </c>
      <c r="H9656" t="s">
        <v>5388</v>
      </c>
      <c r="I9656" t="s">
        <v>9535</v>
      </c>
      <c r="J9656" t="s">
        <v>12484</v>
      </c>
      <c r="K9656" t="s">
        <v>16893</v>
      </c>
      <c r="L9656">
        <f>HYPERLINK("https://www2.assemblee-nationale.fr/sycomore/fiche/(num_dept)/2759", "2759")</f>
        <v>0</v>
      </c>
      <c r="N9656">
        <f>HYPERLINK("https://www.wikidata.org/wiki/Q3189483", "Q3189483")</f>
        <v>0</v>
      </c>
      <c r="O9656" t="s">
        <v>20069</v>
      </c>
    </row>
    <row r="9657" spans="1:15">
      <c r="A9657" t="s">
        <v>84</v>
      </c>
      <c r="B9657" t="s">
        <v>149</v>
      </c>
      <c r="C9657" t="s">
        <v>216</v>
      </c>
      <c r="D9657" t="s">
        <v>345</v>
      </c>
      <c r="E9657" t="s">
        <v>464</v>
      </c>
      <c r="F9657">
        <f>HYPERLINK("https://www.wikidata.org/wiki/Q3112687", "Q3112687")</f>
        <v>0</v>
      </c>
      <c r="G9657" t="s">
        <v>1175</v>
      </c>
      <c r="H9657" t="s">
        <v>5906</v>
      </c>
      <c r="I9657" t="s">
        <v>8494</v>
      </c>
      <c r="J9657" t="s">
        <v>11908</v>
      </c>
      <c r="K9657" t="s">
        <v>16310</v>
      </c>
      <c r="L9657">
        <f>HYPERLINK("https://www2.assemblee-nationale.fr/sycomore/fiche/(num_dept)/3254", "3254")</f>
        <v>0</v>
      </c>
      <c r="M9657">
        <f>HYPERLINK("https://www.senat.fr/senateur-3eme-republique/gardey_abel0150r3.html", "gardey_abel0150r3")</f>
        <v>0</v>
      </c>
      <c r="N9657">
        <f>HYPERLINK("https://www.wikidata.org/wiki/Q2821514", "Q2821514")</f>
        <v>0</v>
      </c>
      <c r="O9657" t="s">
        <v>20056</v>
      </c>
    </row>
    <row r="9658" spans="1:15">
      <c r="A9658" t="s">
        <v>84</v>
      </c>
      <c r="B9658" t="s">
        <v>149</v>
      </c>
      <c r="C9658" t="s">
        <v>216</v>
      </c>
      <c r="D9658" t="s">
        <v>345</v>
      </c>
      <c r="E9658" t="s">
        <v>464</v>
      </c>
      <c r="F9658">
        <f>HYPERLINK("https://www.wikidata.org/wiki/Q3112687", "Q3112687")</f>
        <v>0</v>
      </c>
      <c r="G9658" t="s">
        <v>2074</v>
      </c>
      <c r="H9658" t="s">
        <v>6701</v>
      </c>
      <c r="I9658" t="s">
        <v>6495</v>
      </c>
      <c r="J9658" t="s">
        <v>12745</v>
      </c>
      <c r="K9658" t="s">
        <v>17156</v>
      </c>
      <c r="L9658">
        <f>HYPERLINK("https://www2.assemblee-nationale.fr/sycomore/fiche/(num_dept)/3378", "3378")</f>
        <v>0</v>
      </c>
      <c r="N9658">
        <f>HYPERLINK("https://www.wikidata.org/wiki/Q3262030", "Q3262030")</f>
        <v>0</v>
      </c>
      <c r="O9658" t="s">
        <v>20066</v>
      </c>
    </row>
    <row r="9659" spans="1:15">
      <c r="A9659" t="s">
        <v>84</v>
      </c>
      <c r="B9659" t="s">
        <v>149</v>
      </c>
      <c r="C9659" t="s">
        <v>216</v>
      </c>
      <c r="D9659" t="s">
        <v>345</v>
      </c>
      <c r="E9659" t="s">
        <v>464</v>
      </c>
      <c r="F9659">
        <f>HYPERLINK("https://www.wikidata.org/wiki/Q3112687", "Q3112687")</f>
        <v>0</v>
      </c>
      <c r="G9659" t="s">
        <v>966</v>
      </c>
      <c r="H9659" t="s">
        <v>5718</v>
      </c>
      <c r="I9659" t="s">
        <v>9605</v>
      </c>
      <c r="J9659" t="s">
        <v>11705</v>
      </c>
      <c r="K9659" t="s">
        <v>16108</v>
      </c>
      <c r="L9659">
        <f>HYPERLINK("https://www2.assemblee-nationale.fr/sycomore/fiche/(num_dept)/3460", "3460")</f>
        <v>0</v>
      </c>
      <c r="M9659">
        <f>HYPERLINK("https://www.senat.fr/senateur-3eme-republique/godart_justin1138r3.html", "godart_justin1138r3")</f>
        <v>0</v>
      </c>
      <c r="N9659">
        <f>HYPERLINK("https://www.wikidata.org/wiki/Q3190446", "Q3190446")</f>
        <v>0</v>
      </c>
      <c r="O9659" t="s">
        <v>20089</v>
      </c>
    </row>
    <row r="9660" spans="1:15">
      <c r="A9660" t="s">
        <v>84</v>
      </c>
      <c r="B9660" t="s">
        <v>149</v>
      </c>
      <c r="C9660" t="s">
        <v>216</v>
      </c>
      <c r="D9660" t="s">
        <v>345</v>
      </c>
      <c r="E9660" t="s">
        <v>464</v>
      </c>
      <c r="F9660">
        <f>HYPERLINK("https://www.wikidata.org/wiki/Q3112687", "Q3112687")</f>
        <v>0</v>
      </c>
      <c r="G9660" t="s">
        <v>2078</v>
      </c>
      <c r="H9660" t="s">
        <v>6704</v>
      </c>
      <c r="I9660" t="s">
        <v>9470</v>
      </c>
      <c r="J9660" t="s">
        <v>12749</v>
      </c>
      <c r="K9660" t="s">
        <v>17160</v>
      </c>
      <c r="L9660">
        <f>HYPERLINK("https://www2.assemblee-nationale.fr/sycomore/fiche/(num_dept)/3509", "3509")</f>
        <v>0</v>
      </c>
      <c r="N9660">
        <f>HYPERLINK("https://www.wikidata.org/wiki/Q3099021", "Q3099021")</f>
        <v>0</v>
      </c>
      <c r="O9660" t="s">
        <v>20286</v>
      </c>
    </row>
    <row r="9661" spans="1:15">
      <c r="A9661" t="s">
        <v>84</v>
      </c>
      <c r="B9661" t="s">
        <v>149</v>
      </c>
      <c r="C9661" t="s">
        <v>216</v>
      </c>
      <c r="D9661" t="s">
        <v>345</v>
      </c>
      <c r="E9661" t="s">
        <v>464</v>
      </c>
      <c r="F9661">
        <f>HYPERLINK("https://www.wikidata.org/wiki/Q3112687", "Q3112687")</f>
        <v>0</v>
      </c>
      <c r="G9661" t="s">
        <v>1492</v>
      </c>
      <c r="H9661" t="s">
        <v>6190</v>
      </c>
      <c r="I9661" t="s">
        <v>9728</v>
      </c>
      <c r="J9661" t="s">
        <v>12210</v>
      </c>
      <c r="K9661" t="s">
        <v>16616</v>
      </c>
      <c r="L9661">
        <f>HYPERLINK("https://www2.assemblee-nationale.fr/sycomore/fiche/(num_dept)/3819", "3819")</f>
        <v>0</v>
      </c>
      <c r="M9661">
        <f>HYPERLINK("https://www.senat.fr/senateur-3eme-republique/herriot_edouard1121r3.html", "herriot_edouard1121r3")</f>
        <v>0</v>
      </c>
      <c r="N9661">
        <f>HYPERLINK("https://www.wikidata.org/wiki/Q274344", "Q274344")</f>
        <v>0</v>
      </c>
      <c r="O9661" t="s">
        <v>20052</v>
      </c>
    </row>
    <row r="9662" spans="1:15">
      <c r="A9662" t="s">
        <v>84</v>
      </c>
      <c r="B9662" t="s">
        <v>149</v>
      </c>
      <c r="C9662" t="s">
        <v>216</v>
      </c>
      <c r="D9662" t="s">
        <v>345</v>
      </c>
      <c r="E9662" t="s">
        <v>464</v>
      </c>
      <c r="F9662">
        <f>HYPERLINK("https://www.wikidata.org/wiki/Q3112687", "Q3112687")</f>
        <v>0</v>
      </c>
      <c r="G9662" t="s">
        <v>1498</v>
      </c>
      <c r="H9662" t="s">
        <v>6196</v>
      </c>
      <c r="I9662" t="s">
        <v>9553</v>
      </c>
      <c r="J9662" t="s">
        <v>12216</v>
      </c>
      <c r="K9662" t="s">
        <v>16621</v>
      </c>
      <c r="L9662">
        <f>HYPERLINK("https://www2.assemblee-nationale.fr/sycomore/fiche/(num_dept)/3948", "3948")</f>
        <v>0</v>
      </c>
      <c r="M9662">
        <f>HYPERLINK("https://www.senat.fr/senateur-3eme-republique/israel_alexandre0223r3.html", "israel_alexandre0223r3")</f>
        <v>0</v>
      </c>
      <c r="N9662">
        <f>HYPERLINK("https://www.wikidata.org/wiki/Q2833756", "Q2833756")</f>
        <v>0</v>
      </c>
      <c r="O9662" t="s">
        <v>20068</v>
      </c>
    </row>
    <row r="9663" spans="1:15">
      <c r="A9663" t="s">
        <v>84</v>
      </c>
      <c r="B9663" t="s">
        <v>149</v>
      </c>
      <c r="C9663" t="s">
        <v>216</v>
      </c>
      <c r="D9663" t="s">
        <v>345</v>
      </c>
      <c r="E9663" t="s">
        <v>464</v>
      </c>
      <c r="F9663">
        <f>HYPERLINK("https://www.wikidata.org/wiki/Q3112687", "Q3112687")</f>
        <v>0</v>
      </c>
      <c r="G9663" t="s">
        <v>1925</v>
      </c>
      <c r="H9663" t="s">
        <v>6572</v>
      </c>
      <c r="I9663" t="s">
        <v>9388</v>
      </c>
      <c r="J9663" t="s">
        <v>12610</v>
      </c>
      <c r="K9663" t="s">
        <v>17021</v>
      </c>
      <c r="L9663">
        <f>HYPERLINK("https://www2.assemblee-nationale.fr/sycomore/fiche/(num_dept)/4976", "4976")</f>
        <v>0</v>
      </c>
      <c r="N9663">
        <f>HYPERLINK("https://www.wikidata.org/wiki/Q3371769", "Q3371769")</f>
        <v>0</v>
      </c>
      <c r="O9663" t="s">
        <v>20287</v>
      </c>
    </row>
    <row r="9664" spans="1:15">
      <c r="A9664" t="s">
        <v>84</v>
      </c>
      <c r="B9664" t="s">
        <v>149</v>
      </c>
      <c r="C9664" t="s">
        <v>216</v>
      </c>
      <c r="D9664" t="s">
        <v>345</v>
      </c>
      <c r="E9664" t="s">
        <v>464</v>
      </c>
      <c r="F9664">
        <f>HYPERLINK("https://www.wikidata.org/wiki/Q3112687", "Q3112687")</f>
        <v>0</v>
      </c>
      <c r="G9664" t="s">
        <v>2107</v>
      </c>
      <c r="H9664" t="s">
        <v>6730</v>
      </c>
      <c r="I9664" t="s">
        <v>7265</v>
      </c>
      <c r="J9664" t="s">
        <v>12772</v>
      </c>
      <c r="K9664" t="s">
        <v>17189</v>
      </c>
      <c r="L9664">
        <f>HYPERLINK("https://www2.assemblee-nationale.fr/sycomore/fiche/(num_dept)/4982", "4982")</f>
        <v>0</v>
      </c>
      <c r="N9664">
        <f>HYPERLINK("https://www.wikidata.org/wiki/Q3380310", "Q3380310")</f>
        <v>0</v>
      </c>
      <c r="O9664" t="s">
        <v>20288</v>
      </c>
    </row>
    <row r="9665" spans="1:15">
      <c r="A9665" t="s">
        <v>84</v>
      </c>
      <c r="B9665" t="s">
        <v>149</v>
      </c>
      <c r="C9665" t="s">
        <v>216</v>
      </c>
      <c r="D9665" t="s">
        <v>345</v>
      </c>
      <c r="E9665" t="s">
        <v>464</v>
      </c>
      <c r="F9665">
        <f>HYPERLINK("https://www.wikidata.org/wiki/Q3112687", "Q3112687")</f>
        <v>0</v>
      </c>
      <c r="G9665" t="s">
        <v>723</v>
      </c>
      <c r="H9665" t="s">
        <v>5481</v>
      </c>
      <c r="I9665" t="s">
        <v>9458</v>
      </c>
      <c r="J9665" t="s">
        <v>11472</v>
      </c>
      <c r="K9665" t="s">
        <v>15874</v>
      </c>
      <c r="L9665">
        <f>HYPERLINK("https://www2.assemblee-nationale.fr/sycomore/fiche/(num_dept)/4991", "4991")</f>
        <v>0</v>
      </c>
      <c r="N9665">
        <f>HYPERLINK("https://www.wikidata.org/wiki/Q2835305", "Q2835305")</f>
        <v>0</v>
      </c>
      <c r="O9665" t="s">
        <v>20289</v>
      </c>
    </row>
    <row r="9666" spans="1:15">
      <c r="A9666" t="s">
        <v>84</v>
      </c>
      <c r="B9666" t="s">
        <v>149</v>
      </c>
      <c r="C9666" t="s">
        <v>216</v>
      </c>
      <c r="D9666" t="s">
        <v>345</v>
      </c>
      <c r="E9666" t="s">
        <v>464</v>
      </c>
      <c r="F9666">
        <f>HYPERLINK("https://www.wikidata.org/wiki/Q3112687", "Q3112687")</f>
        <v>0</v>
      </c>
      <c r="G9666" t="s">
        <v>1693</v>
      </c>
      <c r="H9666" t="s">
        <v>6239</v>
      </c>
      <c r="I9666" t="s">
        <v>5528</v>
      </c>
      <c r="J9666" t="s">
        <v>12397</v>
      </c>
      <c r="K9666" t="s">
        <v>16805</v>
      </c>
      <c r="L9666">
        <f>HYPERLINK("https://www2.assemblee-nationale.fr/sycomore/fiche/(num_dept)/5241", "5241")</f>
        <v>0</v>
      </c>
      <c r="N9666">
        <f>HYPERLINK("https://www.wikidata.org/wiki/Q1879449", "Q1879449")</f>
        <v>0</v>
      </c>
      <c r="O9666" t="s">
        <v>20108</v>
      </c>
    </row>
    <row r="9667" spans="1:15">
      <c r="A9667" t="s">
        <v>84</v>
      </c>
      <c r="B9667" t="s">
        <v>149</v>
      </c>
      <c r="C9667" t="s">
        <v>216</v>
      </c>
      <c r="D9667" t="s">
        <v>345</v>
      </c>
      <c r="E9667" t="s">
        <v>464</v>
      </c>
      <c r="F9667">
        <f>HYPERLINK("https://www.wikidata.org/wiki/Q3112687", "Q3112687")</f>
        <v>0</v>
      </c>
      <c r="G9667" t="s">
        <v>2120</v>
      </c>
      <c r="H9667" t="s">
        <v>6740</v>
      </c>
      <c r="I9667" t="s">
        <v>6200</v>
      </c>
      <c r="J9667" t="s">
        <v>12784</v>
      </c>
      <c r="K9667" t="s">
        <v>17200</v>
      </c>
      <c r="L9667">
        <f>HYPERLINK("https://www2.assemblee-nationale.fr/sycomore/fiche/(num_dept)/5310", "5310")</f>
        <v>0</v>
      </c>
      <c r="N9667">
        <f>HYPERLINK("https://www.wikidata.org/wiki/Q845559", "Q845559")</f>
        <v>0</v>
      </c>
      <c r="O9667" t="s">
        <v>20290</v>
      </c>
    </row>
    <row r="9668" spans="1:15">
      <c r="A9668" t="s">
        <v>84</v>
      </c>
      <c r="B9668" t="s">
        <v>149</v>
      </c>
      <c r="C9668" t="s">
        <v>216</v>
      </c>
      <c r="D9668" t="s">
        <v>345</v>
      </c>
      <c r="E9668" t="s">
        <v>464</v>
      </c>
      <c r="F9668">
        <f>HYPERLINK("https://www.wikidata.org/wiki/Q3112687", "Q3112687")</f>
        <v>0</v>
      </c>
      <c r="G9668" t="s">
        <v>738</v>
      </c>
      <c r="H9668" t="s">
        <v>5496</v>
      </c>
      <c r="I9668" t="s">
        <v>9503</v>
      </c>
      <c r="J9668" t="s">
        <v>11487</v>
      </c>
      <c r="K9668" t="s">
        <v>15889</v>
      </c>
      <c r="L9668">
        <f>HYPERLINK("https://www2.assemblee-nationale.fr/sycomore/fiche/(num_dept)/5394", "5394")</f>
        <v>0</v>
      </c>
      <c r="M9668">
        <f>HYPERLINK("https://www.senat.fr/senateur-3eme-republique/de_monzie_anatole0605r3.html", "de_monzie_anatole0605r3")</f>
        <v>0</v>
      </c>
      <c r="N9668">
        <f>HYPERLINK("https://www.wikidata.org/wiki/Q2845619", "Q2845619")</f>
        <v>0</v>
      </c>
      <c r="O9668" t="s">
        <v>20085</v>
      </c>
    </row>
    <row r="9669" spans="1:15">
      <c r="A9669" t="s">
        <v>84</v>
      </c>
      <c r="B9669" t="s">
        <v>149</v>
      </c>
      <c r="C9669" t="s">
        <v>216</v>
      </c>
      <c r="D9669" t="s">
        <v>345</v>
      </c>
      <c r="E9669" t="s">
        <v>464</v>
      </c>
      <c r="F9669">
        <f>HYPERLINK("https://www.wikidata.org/wiki/Q3112687", "Q3112687")</f>
        <v>0</v>
      </c>
      <c r="G9669" t="s">
        <v>1860</v>
      </c>
      <c r="H9669" t="s">
        <v>6516</v>
      </c>
      <c r="I9669" t="s">
        <v>9407</v>
      </c>
      <c r="J9669" t="s">
        <v>12550</v>
      </c>
      <c r="K9669" t="s">
        <v>16961</v>
      </c>
      <c r="L9669">
        <f>HYPERLINK("https://www2.assemblee-nationale.fr/sycomore/fiche/(num_dept)/5646", "5646")</f>
        <v>0</v>
      </c>
      <c r="M9669">
        <f>HYPERLINK("https://www.senat.fr/senateur-3eme-republique/paganon_joseph1203r3.html", "paganon_joseph1203r3")</f>
        <v>0</v>
      </c>
      <c r="N9669">
        <f>HYPERLINK("https://www.wikidata.org/wiki/Q3185441", "Q3185441")</f>
        <v>0</v>
      </c>
      <c r="O9669" t="s">
        <v>20291</v>
      </c>
    </row>
    <row r="9670" spans="1:15">
      <c r="A9670" t="s">
        <v>84</v>
      </c>
      <c r="B9670" t="s">
        <v>149</v>
      </c>
      <c r="C9670" t="s">
        <v>216</v>
      </c>
      <c r="D9670" t="s">
        <v>345</v>
      </c>
      <c r="E9670" t="s">
        <v>464</v>
      </c>
      <c r="F9670">
        <f>HYPERLINK("https://www.wikidata.org/wiki/Q3112687", "Q3112687")</f>
        <v>0</v>
      </c>
      <c r="G9670" t="s">
        <v>1017</v>
      </c>
      <c r="H9670" t="s">
        <v>5767</v>
      </c>
      <c r="I9670" t="s">
        <v>9388</v>
      </c>
      <c r="J9670" t="s">
        <v>11754</v>
      </c>
      <c r="K9670" t="s">
        <v>16157</v>
      </c>
      <c r="L9670">
        <f>HYPERLINK("https://www2.assemblee-nationale.fr/sycomore/fiche/(num_dept)/5653", "5653")</f>
        <v>0</v>
      </c>
      <c r="N9670">
        <f>HYPERLINK("https://www.wikidata.org/wiki/Q315434", "Q315434")</f>
        <v>0</v>
      </c>
      <c r="O9670" t="s">
        <v>20072</v>
      </c>
    </row>
    <row r="9671" spans="1:15">
      <c r="A9671" t="s">
        <v>84</v>
      </c>
      <c r="B9671" t="s">
        <v>149</v>
      </c>
      <c r="C9671" t="s">
        <v>216</v>
      </c>
      <c r="D9671" t="s">
        <v>345</v>
      </c>
      <c r="E9671" t="s">
        <v>464</v>
      </c>
      <c r="F9671">
        <f>HYPERLINK("https://www.wikidata.org/wiki/Q3112687", "Q3112687")</f>
        <v>0</v>
      </c>
      <c r="G9671" t="s">
        <v>1861</v>
      </c>
      <c r="H9671" t="s">
        <v>6517</v>
      </c>
      <c r="I9671" t="s">
        <v>7642</v>
      </c>
      <c r="J9671" t="s">
        <v>11903</v>
      </c>
      <c r="K9671" t="s">
        <v>16962</v>
      </c>
      <c r="L9671">
        <f>HYPERLINK("https://www2.assemblee-nationale.fr/sycomore/fiche/(num_dept)/5662", "5662")</f>
        <v>0</v>
      </c>
      <c r="M9671">
        <f>HYPERLINK("https://www.senat.fr/senateur-3eme-republique/palmade_maurice0409r3.html", "palmade_maurice0409r3")</f>
        <v>0</v>
      </c>
      <c r="N9671">
        <f>HYPERLINK("https://www.wikidata.org/wiki/Q3301240", "Q3301240")</f>
        <v>0</v>
      </c>
      <c r="O9671" t="s">
        <v>20194</v>
      </c>
    </row>
    <row r="9672" spans="1:15">
      <c r="A9672" t="s">
        <v>84</v>
      </c>
      <c r="B9672" t="s">
        <v>149</v>
      </c>
      <c r="C9672" t="s">
        <v>216</v>
      </c>
      <c r="D9672" t="s">
        <v>345</v>
      </c>
      <c r="E9672" t="s">
        <v>464</v>
      </c>
      <c r="F9672">
        <f>HYPERLINK("https://www.wikidata.org/wiki/Q3112687", "Q3112687")</f>
        <v>0</v>
      </c>
      <c r="G9672" t="s">
        <v>1967</v>
      </c>
      <c r="H9672" t="s">
        <v>6607</v>
      </c>
      <c r="I9672" t="s">
        <v>9692</v>
      </c>
      <c r="J9672" t="s">
        <v>12649</v>
      </c>
      <c r="K9672" t="s">
        <v>17058</v>
      </c>
      <c r="L9672">
        <f>HYPERLINK("https://www2.assemblee-nationale.fr/sycomore/fiche/(num_dept)/5707", "5707")</f>
        <v>0</v>
      </c>
      <c r="N9672">
        <f>HYPERLINK("https://www.wikidata.org/wiki/Q2569191", "Q2569191")</f>
        <v>0</v>
      </c>
      <c r="O9672" t="s">
        <v>20292</v>
      </c>
    </row>
    <row r="9673" spans="1:15">
      <c r="A9673" t="s">
        <v>84</v>
      </c>
      <c r="B9673" t="s">
        <v>149</v>
      </c>
      <c r="C9673" t="s">
        <v>216</v>
      </c>
      <c r="D9673" t="s">
        <v>345</v>
      </c>
      <c r="E9673" t="s">
        <v>464</v>
      </c>
      <c r="F9673">
        <f>HYPERLINK("https://www.wikidata.org/wiki/Q3112687", "Q3112687")</f>
        <v>0</v>
      </c>
      <c r="G9673" t="s">
        <v>752</v>
      </c>
      <c r="H9673" t="s">
        <v>5510</v>
      </c>
      <c r="I9673" t="s">
        <v>9407</v>
      </c>
      <c r="J9673" t="s">
        <v>11500</v>
      </c>
      <c r="K9673" t="s">
        <v>15903</v>
      </c>
      <c r="L9673">
        <f>HYPERLINK("https://www2.assemblee-nationale.fr/sycomore/fiche/(num_dept)/5724", "5724")</f>
        <v>0</v>
      </c>
      <c r="M9673">
        <f>HYPERLINK("https://www.senat.fr/senateur-3eme-republique/paul_boncour_joseph0550r4.html", "paul_boncour_joseph0550r4")</f>
        <v>0</v>
      </c>
      <c r="N9673">
        <f>HYPERLINK("https://www.wikidata.org/wiki/Q285865", "Q285865")</f>
        <v>0</v>
      </c>
      <c r="O9673" t="s">
        <v>20057</v>
      </c>
    </row>
    <row r="9674" spans="1:15">
      <c r="A9674" t="s">
        <v>84</v>
      </c>
      <c r="B9674" t="s">
        <v>149</v>
      </c>
      <c r="C9674" t="s">
        <v>216</v>
      </c>
      <c r="D9674" t="s">
        <v>345</v>
      </c>
      <c r="E9674" t="s">
        <v>464</v>
      </c>
      <c r="F9674">
        <f>HYPERLINK("https://www.wikidata.org/wiki/Q3112687", "Q3112687")</f>
        <v>0</v>
      </c>
      <c r="G9674" t="s">
        <v>778</v>
      </c>
      <c r="H9674" t="s">
        <v>5536</v>
      </c>
      <c r="I9674" t="s">
        <v>6584</v>
      </c>
      <c r="J9674" t="s">
        <v>11525</v>
      </c>
      <c r="K9674" t="s">
        <v>15929</v>
      </c>
      <c r="L9674">
        <f>HYPERLINK("https://www2.assemblee-nationale.fr/sycomore/fiche/(num_dept)/6293", "6293")</f>
        <v>0</v>
      </c>
      <c r="M9674">
        <f>HYPERLINK("https://www.senat.fr/senateur-3eme-republique/sarraut_albert0265r3.html", "sarraut_albert0265r3")</f>
        <v>0</v>
      </c>
      <c r="N9674">
        <f>HYPERLINK("https://www.wikidata.org/wiki/Q460318", "Q460318")</f>
        <v>0</v>
      </c>
      <c r="O9674" t="s">
        <v>20065</v>
      </c>
    </row>
    <row r="9675" spans="1:15">
      <c r="A9675" t="s">
        <v>84</v>
      </c>
      <c r="B9675" t="s">
        <v>149</v>
      </c>
      <c r="C9675" t="s">
        <v>216</v>
      </c>
      <c r="D9675" t="s">
        <v>345</v>
      </c>
      <c r="E9675" t="s">
        <v>464</v>
      </c>
      <c r="F9675">
        <f>HYPERLINK("https://www.wikidata.org/wiki/Q3112687", "Q3112687")</f>
        <v>0</v>
      </c>
      <c r="G9675" t="s">
        <v>1304</v>
      </c>
      <c r="H9675" t="s">
        <v>6025</v>
      </c>
      <c r="I9675" t="s">
        <v>9457</v>
      </c>
      <c r="J9675" t="s">
        <v>12034</v>
      </c>
      <c r="K9675" t="s">
        <v>16435</v>
      </c>
      <c r="L9675">
        <f>HYPERLINK("https://www2.assemblee-nationale.fr/sycomore/fiche/(num_dept)/6554", "6554")</f>
        <v>0</v>
      </c>
      <c r="M9675">
        <f>HYPERLINK("https://www.senat.fr/senateur-3eme-republique/queuille_henri0469r3.html", "queuille_henri0469r3")</f>
        <v>0</v>
      </c>
      <c r="N9675">
        <f>HYPERLINK("https://www.wikidata.org/wiki/Q455655", "Q455655")</f>
        <v>0</v>
      </c>
      <c r="O9675" t="s">
        <v>20078</v>
      </c>
    </row>
    <row r="9676" spans="1:15">
      <c r="A9676" t="s">
        <v>84</v>
      </c>
      <c r="B9676" t="s">
        <v>149</v>
      </c>
      <c r="C9676" t="s">
        <v>216</v>
      </c>
      <c r="D9676" t="s">
        <v>345</v>
      </c>
      <c r="E9676" t="s">
        <v>464</v>
      </c>
      <c r="F9676">
        <f>HYPERLINK("https://www.wikidata.org/wiki/Q3112687", "Q3112687")</f>
        <v>0</v>
      </c>
      <c r="G9676" t="s">
        <v>804</v>
      </c>
      <c r="H9676" t="s">
        <v>5561</v>
      </c>
      <c r="I9676" t="s">
        <v>9476</v>
      </c>
      <c r="J9676" t="s">
        <v>11551</v>
      </c>
      <c r="K9676" t="s">
        <v>15955</v>
      </c>
      <c r="L9676">
        <f>HYPERLINK("https://www2.assemblee-nationale.fr/sycomore/fiche/(num_dept)/6684", "6684")</f>
        <v>0</v>
      </c>
      <c r="M9676">
        <f>HYPERLINK("https://www.senat.fr/senateur-3eme-republique/renoult_rene1734r3.html", "renoult_rene1734r3")</f>
        <v>0</v>
      </c>
      <c r="N9676">
        <f>HYPERLINK("https://www.wikidata.org/wiki/Q3426810", "Q3426810")</f>
        <v>0</v>
      </c>
      <c r="O9676" t="s">
        <v>20064</v>
      </c>
    </row>
    <row r="9677" spans="1:15">
      <c r="A9677" t="s">
        <v>84</v>
      </c>
      <c r="B9677" t="s">
        <v>149</v>
      </c>
      <c r="C9677" t="s">
        <v>216</v>
      </c>
      <c r="D9677" t="s">
        <v>345</v>
      </c>
      <c r="E9677" t="s">
        <v>464</v>
      </c>
      <c r="F9677">
        <f>HYPERLINK("https://www.wikidata.org/wiki/Q3112687", "Q3112687")</f>
        <v>0</v>
      </c>
      <c r="G9677" t="s">
        <v>857</v>
      </c>
      <c r="H9677" t="s">
        <v>5613</v>
      </c>
      <c r="I9677" t="s">
        <v>6175</v>
      </c>
      <c r="J9677" t="s">
        <v>11603</v>
      </c>
      <c r="K9677" t="s">
        <v>16005</v>
      </c>
      <c r="L9677">
        <f>HYPERLINK("https://www2.assemblee-nationale.fr/sycomore/fiche/(num_dept)/7840", "7840")</f>
        <v>0</v>
      </c>
      <c r="N9677">
        <f>HYPERLINK("https://www.wikidata.org/wiki/Q728806", "Q728806")</f>
        <v>0</v>
      </c>
      <c r="O9677" t="s">
        <v>20053</v>
      </c>
    </row>
    <row r="9678" spans="1:15">
      <c r="A9678" t="s">
        <v>84</v>
      </c>
      <c r="B9678" t="s">
        <v>149</v>
      </c>
      <c r="C9678" t="s">
        <v>216</v>
      </c>
      <c r="D9678" t="s">
        <v>345</v>
      </c>
      <c r="E9678" t="s">
        <v>464</v>
      </c>
      <c r="F9678">
        <f>HYPERLINK("https://www.wikidata.org/wiki/Q3112687", "Q3112687")</f>
        <v>0</v>
      </c>
      <c r="G9678" t="s">
        <v>4281</v>
      </c>
      <c r="H9678" t="s">
        <v>6085</v>
      </c>
      <c r="I9678" t="s">
        <v>9388</v>
      </c>
      <c r="J9678" t="s">
        <v>14780</v>
      </c>
      <c r="K9678" t="s">
        <v>16499</v>
      </c>
      <c r="N9678">
        <f>HYPERLINK("https://www.wikidata.org/wiki/Q3370621", "Q3370621")</f>
        <v>0</v>
      </c>
      <c r="O9678" t="s">
        <v>20293</v>
      </c>
    </row>
    <row r="9679" spans="1:15">
      <c r="A9679" t="s">
        <v>85</v>
      </c>
      <c r="B9679" t="s">
        <v>149</v>
      </c>
      <c r="C9679" t="s">
        <v>217</v>
      </c>
      <c r="D9679" t="s">
        <v>346</v>
      </c>
      <c r="E9679" t="s">
        <v>347</v>
      </c>
      <c r="F9679">
        <f>HYPERLINK("https://www.wikidata.org/wiki/Q3112376", "Q3112376")</f>
        <v>0</v>
      </c>
      <c r="G9679" t="s">
        <v>1225</v>
      </c>
      <c r="H9679" t="s">
        <v>5950</v>
      </c>
      <c r="I9679" t="s">
        <v>9506</v>
      </c>
      <c r="J9679" t="s">
        <v>11957</v>
      </c>
      <c r="K9679" t="s">
        <v>16359</v>
      </c>
      <c r="L9679">
        <f>HYPERLINK("https://www2.assemblee-nationale.fr/sycomore/fiche/(num_dept)/842", "842")</f>
        <v>0</v>
      </c>
      <c r="N9679">
        <f>HYPERLINK("https://www.wikidata.org/wiki/Q2934871", "Q2934871")</f>
        <v>0</v>
      </c>
      <c r="O9679" t="s">
        <v>20089</v>
      </c>
    </row>
    <row r="9680" spans="1:15">
      <c r="A9680" t="s">
        <v>85</v>
      </c>
      <c r="B9680" t="s">
        <v>149</v>
      </c>
      <c r="C9680" t="s">
        <v>217</v>
      </c>
      <c r="D9680" t="s">
        <v>346</v>
      </c>
      <c r="E9680" t="s">
        <v>347</v>
      </c>
      <c r="F9680">
        <f>HYPERLINK("https://www.wikidata.org/wiki/Q3112376", "Q3112376")</f>
        <v>0</v>
      </c>
      <c r="G9680" t="s">
        <v>553</v>
      </c>
      <c r="H9680" t="s">
        <v>5316</v>
      </c>
      <c r="I9680" t="s">
        <v>9411</v>
      </c>
      <c r="J9680" t="s">
        <v>11304</v>
      </c>
      <c r="K9680" t="s">
        <v>15705</v>
      </c>
      <c r="L9680">
        <f>HYPERLINK("https://www2.assemblee-nationale.fr/sycomore/fiche/(num_dept)/1211", "1211")</f>
        <v>0</v>
      </c>
      <c r="N9680">
        <f>HYPERLINK("https://www.wikidata.org/wiki/Q179888", "Q179888")</f>
        <v>0</v>
      </c>
      <c r="O9680" t="s">
        <v>20062</v>
      </c>
    </row>
    <row r="9681" spans="1:15">
      <c r="A9681" t="s">
        <v>85</v>
      </c>
      <c r="B9681" t="s">
        <v>149</v>
      </c>
      <c r="C9681" t="s">
        <v>217</v>
      </c>
      <c r="D9681" t="s">
        <v>346</v>
      </c>
      <c r="E9681" t="s">
        <v>347</v>
      </c>
      <c r="F9681">
        <f>HYPERLINK("https://www.wikidata.org/wiki/Q3112376", "Q3112376")</f>
        <v>0</v>
      </c>
      <c r="G9681" t="s">
        <v>2032</v>
      </c>
      <c r="H9681" t="s">
        <v>6664</v>
      </c>
      <c r="I9681" t="s">
        <v>6860</v>
      </c>
      <c r="J9681" t="s">
        <v>12706</v>
      </c>
      <c r="K9681" t="s">
        <v>17118</v>
      </c>
      <c r="L9681">
        <f>HYPERLINK("https://www2.assemblee-nationale.fr/sycomore/fiche/(num_dept)/1521", "1521")</f>
        <v>0</v>
      </c>
      <c r="N9681">
        <f>HYPERLINK("https://www.wikidata.org/wiki/Q1921652", "Q1921652")</f>
        <v>0</v>
      </c>
      <c r="O9681" t="s">
        <v>20068</v>
      </c>
    </row>
    <row r="9682" spans="1:15">
      <c r="A9682" t="s">
        <v>85</v>
      </c>
      <c r="B9682" t="s">
        <v>149</v>
      </c>
      <c r="C9682" t="s">
        <v>217</v>
      </c>
      <c r="D9682" t="s">
        <v>346</v>
      </c>
      <c r="E9682" t="s">
        <v>347</v>
      </c>
      <c r="F9682">
        <f>HYPERLINK("https://www.wikidata.org/wiki/Q3112376", "Q3112376")</f>
        <v>0</v>
      </c>
      <c r="G9682" t="s">
        <v>1754</v>
      </c>
      <c r="H9682" t="s">
        <v>6424</v>
      </c>
      <c r="I9682" t="s">
        <v>9552</v>
      </c>
      <c r="J9682" t="s">
        <v>12454</v>
      </c>
      <c r="K9682" t="s">
        <v>16860</v>
      </c>
      <c r="L9682">
        <f>HYPERLINK("https://www2.assemblee-nationale.fr/sycomore/fiche/(num_dept)/1631", "1631")</f>
        <v>0</v>
      </c>
      <c r="M9682">
        <f>HYPERLINK("https://www.senat.fr/senateur-3eme-republique/champetier_de_ribes_auguste0517r4.html", "champetier_de_ribes_auguste0517r4")</f>
        <v>0</v>
      </c>
      <c r="N9682">
        <f>HYPERLINK("https://www.wikidata.org/wiki/Q478746", "Q478746")</f>
        <v>0</v>
      </c>
      <c r="O9682" t="s">
        <v>20088</v>
      </c>
    </row>
    <row r="9683" spans="1:15">
      <c r="A9683" t="s">
        <v>85</v>
      </c>
      <c r="B9683" t="s">
        <v>149</v>
      </c>
      <c r="C9683" t="s">
        <v>217</v>
      </c>
      <c r="D9683" t="s">
        <v>346</v>
      </c>
      <c r="E9683" t="s">
        <v>347</v>
      </c>
      <c r="F9683">
        <f>HYPERLINK("https://www.wikidata.org/wiki/Q3112376", "Q3112376")</f>
        <v>0</v>
      </c>
      <c r="G9683" t="s">
        <v>906</v>
      </c>
      <c r="H9683" t="s">
        <v>5662</v>
      </c>
      <c r="I9683" t="s">
        <v>6495</v>
      </c>
      <c r="J9683" t="s">
        <v>11377</v>
      </c>
      <c r="K9683" t="s">
        <v>16050</v>
      </c>
      <c r="L9683">
        <f>HYPERLINK("https://www2.assemblee-nationale.fr/sycomore/fiche/(num_dept)/1648", "1648")</f>
        <v>0</v>
      </c>
      <c r="N9683">
        <f>HYPERLINK("https://www.wikidata.org/wiki/Q3263418", "Q3263418")</f>
        <v>0</v>
      </c>
      <c r="O9683" t="s">
        <v>20108</v>
      </c>
    </row>
    <row r="9684" spans="1:15">
      <c r="A9684" t="s">
        <v>85</v>
      </c>
      <c r="B9684" t="s">
        <v>149</v>
      </c>
      <c r="C9684" t="s">
        <v>217</v>
      </c>
      <c r="D9684" t="s">
        <v>346</v>
      </c>
      <c r="E9684" t="s">
        <v>347</v>
      </c>
      <c r="F9684">
        <f>HYPERLINK("https://www.wikidata.org/wiki/Q3112376", "Q3112376")</f>
        <v>0</v>
      </c>
      <c r="G9684" t="s">
        <v>2047</v>
      </c>
      <c r="H9684" t="s">
        <v>6678</v>
      </c>
      <c r="I9684" t="s">
        <v>7642</v>
      </c>
      <c r="J9684" t="s">
        <v>12720</v>
      </c>
      <c r="K9684" t="s">
        <v>17131</v>
      </c>
      <c r="L9684">
        <f>HYPERLINK("https://www2.assemblee-nationale.fr/sycomore/fiche/(num_dept)/2303", "2303")</f>
        <v>0</v>
      </c>
      <c r="N9684">
        <f>HYPERLINK("https://www.wikidata.org/wiki/Q3300659", "Q3300659")</f>
        <v>0</v>
      </c>
      <c r="O9684" t="s">
        <v>20063</v>
      </c>
    </row>
    <row r="9685" spans="1:15">
      <c r="A9685" t="s">
        <v>85</v>
      </c>
      <c r="B9685" t="s">
        <v>149</v>
      </c>
      <c r="C9685" t="s">
        <v>217</v>
      </c>
      <c r="D9685" t="s">
        <v>346</v>
      </c>
      <c r="E9685" t="s">
        <v>347</v>
      </c>
      <c r="F9685">
        <f>HYPERLINK("https://www.wikidata.org/wiki/Q3112376", "Q3112376")</f>
        <v>0</v>
      </c>
      <c r="G9685" t="s">
        <v>1251</v>
      </c>
      <c r="H9685" t="s">
        <v>5975</v>
      </c>
      <c r="I9685" t="s">
        <v>9727</v>
      </c>
      <c r="J9685" t="s">
        <v>11981</v>
      </c>
      <c r="K9685" t="s">
        <v>16384</v>
      </c>
      <c r="L9685">
        <f>HYPERLINK("https://www2.assemblee-nationale.fr/sycomore/fiche/(num_dept)/2496", "2496")</f>
        <v>0</v>
      </c>
      <c r="N9685">
        <f>HYPERLINK("https://www.wikidata.org/wiki/Q725749", "Q725749")</f>
        <v>0</v>
      </c>
      <c r="O9685" t="s">
        <v>20192</v>
      </c>
    </row>
    <row r="9686" spans="1:15">
      <c r="A9686" t="s">
        <v>85</v>
      </c>
      <c r="B9686" t="s">
        <v>149</v>
      </c>
      <c r="C9686" t="s">
        <v>217</v>
      </c>
      <c r="D9686" t="s">
        <v>346</v>
      </c>
      <c r="E9686" t="s">
        <v>347</v>
      </c>
      <c r="F9686">
        <f>HYPERLINK("https://www.wikidata.org/wiki/Q3112376", "Q3112376")</f>
        <v>0</v>
      </c>
      <c r="G9686" t="s">
        <v>1438</v>
      </c>
      <c r="H9686" t="s">
        <v>6140</v>
      </c>
      <c r="I9686" t="s">
        <v>6860</v>
      </c>
      <c r="J9686" t="s">
        <v>12159</v>
      </c>
      <c r="K9686" t="s">
        <v>16564</v>
      </c>
      <c r="L9686">
        <f>HYPERLINK("https://www2.assemblee-nationale.fr/sycomore/fiche/(num_dept)/2514", "2514")</f>
        <v>0</v>
      </c>
      <c r="N9686">
        <f>HYPERLINK("https://www.wikidata.org/wiki/Q3384763", "Q3384763")</f>
        <v>0</v>
      </c>
      <c r="O9686" t="s">
        <v>20095</v>
      </c>
    </row>
    <row r="9687" spans="1:15">
      <c r="A9687" t="s">
        <v>85</v>
      </c>
      <c r="B9687" t="s">
        <v>149</v>
      </c>
      <c r="C9687" t="s">
        <v>217</v>
      </c>
      <c r="D9687" t="s">
        <v>346</v>
      </c>
      <c r="E9687" t="s">
        <v>347</v>
      </c>
      <c r="F9687">
        <f>HYPERLINK("https://www.wikidata.org/wiki/Q3112376", "Q3112376")</f>
        <v>0</v>
      </c>
      <c r="G9687" t="s">
        <v>625</v>
      </c>
      <c r="H9687" t="s">
        <v>5385</v>
      </c>
      <c r="I9687" t="s">
        <v>9460</v>
      </c>
      <c r="J9687" t="s">
        <v>11375</v>
      </c>
      <c r="K9687" t="s">
        <v>15777</v>
      </c>
      <c r="L9687">
        <f>HYPERLINK("https://www2.assemblee-nationale.fr/sycomore/fiche/(num_dept)/2699", "2699")</f>
        <v>0</v>
      </c>
      <c r="M9687">
        <f>HYPERLINK("https://www.senat.fr/senateur-3eme-republique/dumesnil_jacques1613r3.html", "dumesnil_jacques1613r3")</f>
        <v>0</v>
      </c>
      <c r="N9687">
        <f>HYPERLINK("https://www.wikidata.org/wiki/Q3157989", "Q3157989")</f>
        <v>0</v>
      </c>
      <c r="O9687" t="s">
        <v>20072</v>
      </c>
    </row>
    <row r="9688" spans="1:15">
      <c r="A9688" t="s">
        <v>85</v>
      </c>
      <c r="B9688" t="s">
        <v>149</v>
      </c>
      <c r="C9688" t="s">
        <v>217</v>
      </c>
      <c r="D9688" t="s">
        <v>346</v>
      </c>
      <c r="E9688" t="s">
        <v>347</v>
      </c>
      <c r="F9688">
        <f>HYPERLINK("https://www.wikidata.org/wiki/Q3112376", "Q3112376")</f>
        <v>0</v>
      </c>
      <c r="G9688" t="s">
        <v>1466</v>
      </c>
      <c r="H9688" t="s">
        <v>6165</v>
      </c>
      <c r="I9688" t="s">
        <v>9820</v>
      </c>
      <c r="J9688" t="s">
        <v>12185</v>
      </c>
      <c r="K9688" t="s">
        <v>16591</v>
      </c>
      <c r="L9688">
        <f>HYPERLINK("https://www2.assemblee-nationale.fr/sycomore/fiche/(num_dept)/3080", "3080")</f>
        <v>0</v>
      </c>
      <c r="N9688">
        <f>HYPERLINK("https://www.wikidata.org/wiki/Q2861749", "Q2861749")</f>
        <v>0</v>
      </c>
      <c r="O9688" t="s">
        <v>20087</v>
      </c>
    </row>
    <row r="9689" spans="1:15">
      <c r="A9689" t="s">
        <v>85</v>
      </c>
      <c r="B9689" t="s">
        <v>149</v>
      </c>
      <c r="C9689" t="s">
        <v>217</v>
      </c>
      <c r="D9689" t="s">
        <v>346</v>
      </c>
      <c r="E9689" t="s">
        <v>347</v>
      </c>
      <c r="F9689">
        <f>HYPERLINK("https://www.wikidata.org/wiki/Q3112376", "Q3112376")</f>
        <v>0</v>
      </c>
      <c r="G9689" t="s">
        <v>2069</v>
      </c>
      <c r="H9689" t="s">
        <v>6696</v>
      </c>
      <c r="I9689" t="s">
        <v>7642</v>
      </c>
      <c r="J9689" t="s">
        <v>12740</v>
      </c>
      <c r="K9689" t="s">
        <v>17151</v>
      </c>
      <c r="L9689">
        <f>HYPERLINK("https://www2.assemblee-nationale.fr/sycomore/fiche/(num_dept)/3082", "3082")</f>
        <v>0</v>
      </c>
      <c r="N9689">
        <f>HYPERLINK("https://www.wikidata.org/wiki/Q3300788", "Q3300788")</f>
        <v>0</v>
      </c>
      <c r="O9689" t="s">
        <v>20160</v>
      </c>
    </row>
    <row r="9690" spans="1:15">
      <c r="A9690" t="s">
        <v>85</v>
      </c>
      <c r="B9690" t="s">
        <v>149</v>
      </c>
      <c r="C9690" t="s">
        <v>217</v>
      </c>
      <c r="D9690" t="s">
        <v>346</v>
      </c>
      <c r="E9690" t="s">
        <v>347</v>
      </c>
      <c r="F9690">
        <f>HYPERLINK("https://www.wikidata.org/wiki/Q3112376", "Q3112376")</f>
        <v>0</v>
      </c>
      <c r="G9690" t="s">
        <v>1801</v>
      </c>
      <c r="H9690" t="s">
        <v>6466</v>
      </c>
      <c r="I9690" t="s">
        <v>6585</v>
      </c>
      <c r="J9690" t="s">
        <v>12496</v>
      </c>
      <c r="K9690" t="s">
        <v>16906</v>
      </c>
      <c r="L9690">
        <f>HYPERLINK("https://www2.assemblee-nationale.fr/sycomore/fiche/(num_dept)/3130", "3130")</f>
        <v>0</v>
      </c>
      <c r="N9690">
        <f>HYPERLINK("https://www.wikidata.org/wiki/Q518576", "Q518576")</f>
        <v>0</v>
      </c>
      <c r="O9690" t="s">
        <v>20294</v>
      </c>
    </row>
    <row r="9691" spans="1:15">
      <c r="A9691" t="s">
        <v>85</v>
      </c>
      <c r="B9691" t="s">
        <v>149</v>
      </c>
      <c r="C9691" t="s">
        <v>217</v>
      </c>
      <c r="D9691" t="s">
        <v>346</v>
      </c>
      <c r="E9691" t="s">
        <v>347</v>
      </c>
      <c r="F9691">
        <f>HYPERLINK("https://www.wikidata.org/wiki/Q3112376", "Q3112376")</f>
        <v>0</v>
      </c>
      <c r="G9691" t="s">
        <v>1468</v>
      </c>
      <c r="H9691" t="s">
        <v>6167</v>
      </c>
      <c r="I9691" t="s">
        <v>9385</v>
      </c>
      <c r="J9691" t="s">
        <v>12187</v>
      </c>
      <c r="K9691" t="s">
        <v>16593</v>
      </c>
      <c r="L9691">
        <f>HYPERLINK("https://www2.assemblee-nationale.fr/sycomore/fiche/(num_dept)/3153", "3153")</f>
        <v>0</v>
      </c>
      <c r="N9691">
        <f>HYPERLINK("https://www.wikidata.org/wiki/Q2959129", "Q2959129")</f>
        <v>0</v>
      </c>
      <c r="O9691" t="s">
        <v>20295</v>
      </c>
    </row>
    <row r="9692" spans="1:15">
      <c r="A9692" t="s">
        <v>85</v>
      </c>
      <c r="B9692" t="s">
        <v>149</v>
      </c>
      <c r="C9692" t="s">
        <v>217</v>
      </c>
      <c r="D9692" t="s">
        <v>346</v>
      </c>
      <c r="E9692" t="s">
        <v>347</v>
      </c>
      <c r="F9692">
        <f>HYPERLINK("https://www.wikidata.org/wiki/Q3112376", "Q3112376")</f>
        <v>0</v>
      </c>
      <c r="G9692" t="s">
        <v>1957</v>
      </c>
      <c r="H9692" t="s">
        <v>5417</v>
      </c>
      <c r="I9692" t="s">
        <v>9470</v>
      </c>
      <c r="J9692" t="s">
        <v>12640</v>
      </c>
      <c r="K9692" t="s">
        <v>17050</v>
      </c>
      <c r="L9692">
        <f>HYPERLINK("https://www2.assemblee-nationale.fr/sycomore/fiche/(num_dept)/3360", "3360")</f>
        <v>0</v>
      </c>
      <c r="N9692">
        <f>HYPERLINK("https://www.wikidata.org/wiki/Q3099030", "Q3099030")</f>
        <v>0</v>
      </c>
      <c r="O9692" t="s">
        <v>20296</v>
      </c>
    </row>
    <row r="9693" spans="1:15">
      <c r="A9693" t="s">
        <v>85</v>
      </c>
      <c r="B9693" t="s">
        <v>149</v>
      </c>
      <c r="C9693" t="s">
        <v>217</v>
      </c>
      <c r="D9693" t="s">
        <v>346</v>
      </c>
      <c r="E9693" t="s">
        <v>347</v>
      </c>
      <c r="F9693">
        <f>HYPERLINK("https://www.wikidata.org/wiki/Q3112376", "Q3112376")</f>
        <v>0</v>
      </c>
      <c r="G9693" t="s">
        <v>672</v>
      </c>
      <c r="H9693" t="s">
        <v>5431</v>
      </c>
      <c r="I9693" t="s">
        <v>9385</v>
      </c>
      <c r="J9693" t="s">
        <v>11422</v>
      </c>
      <c r="K9693" t="s">
        <v>15823</v>
      </c>
      <c r="L9693">
        <f>HYPERLINK("https://www2.assemblee-nationale.fr/sycomore/fiche/(num_dept)/3634", "3634")</f>
        <v>0</v>
      </c>
      <c r="N9693">
        <f>HYPERLINK("https://www.wikidata.org/wiki/Q2959267", "Q2959267")</f>
        <v>0</v>
      </c>
      <c r="O9693" t="s">
        <v>20193</v>
      </c>
    </row>
    <row r="9694" spans="1:15">
      <c r="A9694" t="s">
        <v>85</v>
      </c>
      <c r="B9694" t="s">
        <v>149</v>
      </c>
      <c r="C9694" t="s">
        <v>217</v>
      </c>
      <c r="D9694" t="s">
        <v>346</v>
      </c>
      <c r="E9694" t="s">
        <v>347</v>
      </c>
      <c r="F9694">
        <f>HYPERLINK("https://www.wikidata.org/wiki/Q3112376", "Q3112376")</f>
        <v>0</v>
      </c>
      <c r="G9694" t="s">
        <v>983</v>
      </c>
      <c r="H9694" t="s">
        <v>5735</v>
      </c>
      <c r="I9694" t="s">
        <v>9534</v>
      </c>
      <c r="J9694" t="s">
        <v>11721</v>
      </c>
      <c r="K9694" t="s">
        <v>16125</v>
      </c>
      <c r="L9694">
        <f>HYPERLINK("https://www2.assemblee-nationale.fr/sycomore/fiche/(num_dept)/4326", "4326")</f>
        <v>0</v>
      </c>
      <c r="M9694">
        <f>HYPERLINK("https://www.senat.fr/senateur-3eme-republique/landry_adolphe0199r4.html", "landry_adolphe0199r4")</f>
        <v>0</v>
      </c>
      <c r="N9694">
        <f>HYPERLINK("https://www.wikidata.org/wiki/Q2824853", "Q2824853")</f>
        <v>0</v>
      </c>
      <c r="O9694" t="s">
        <v>20204</v>
      </c>
    </row>
    <row r="9695" spans="1:15">
      <c r="A9695" t="s">
        <v>85</v>
      </c>
      <c r="B9695" t="s">
        <v>149</v>
      </c>
      <c r="C9695" t="s">
        <v>217</v>
      </c>
      <c r="D9695" t="s">
        <v>346</v>
      </c>
      <c r="E9695" t="s">
        <v>347</v>
      </c>
      <c r="F9695">
        <f>HYPERLINK("https://www.wikidata.org/wiki/Q3112376", "Q3112376")</f>
        <v>0</v>
      </c>
      <c r="G9695" t="s">
        <v>717</v>
      </c>
      <c r="H9695" t="s">
        <v>5475</v>
      </c>
      <c r="I9695" t="s">
        <v>6585</v>
      </c>
      <c r="J9695" t="s">
        <v>11466</v>
      </c>
      <c r="K9695" t="s">
        <v>15868</v>
      </c>
      <c r="L9695">
        <f>HYPERLINK("https://www2.assemblee-nationale.fr/sycomore/fiche/(num_dept)/4882", "4882")</f>
        <v>0</v>
      </c>
      <c r="N9695">
        <f>HYPERLINK("https://www.wikidata.org/wiki/Q318617", "Q318617")</f>
        <v>0</v>
      </c>
      <c r="O9695" t="s">
        <v>20057</v>
      </c>
    </row>
    <row r="9696" spans="1:15">
      <c r="A9696" t="s">
        <v>85</v>
      </c>
      <c r="B9696" t="s">
        <v>149</v>
      </c>
      <c r="C9696" t="s">
        <v>217</v>
      </c>
      <c r="D9696" t="s">
        <v>346</v>
      </c>
      <c r="E9696" t="s">
        <v>347</v>
      </c>
      <c r="F9696">
        <f>HYPERLINK("https://www.wikidata.org/wiki/Q3112376", "Q3112376")</f>
        <v>0</v>
      </c>
      <c r="G9696" t="s">
        <v>1553</v>
      </c>
      <c r="H9696" t="s">
        <v>6244</v>
      </c>
      <c r="I9696" t="s">
        <v>9437</v>
      </c>
      <c r="J9696" t="s">
        <v>12267</v>
      </c>
      <c r="K9696" t="s">
        <v>16675</v>
      </c>
      <c r="L9696">
        <f>HYPERLINK("https://www2.assemblee-nationale.fr/sycomore/fiche/(num_dept)/5425", "5425")</f>
        <v>0</v>
      </c>
      <c r="N9696">
        <f>HYPERLINK("https://www.wikidata.org/wiki/Q3588669", "Q3588669")</f>
        <v>0</v>
      </c>
      <c r="O9696" t="s">
        <v>20297</v>
      </c>
    </row>
    <row r="9697" spans="1:15">
      <c r="A9697" t="s">
        <v>85</v>
      </c>
      <c r="B9697" t="s">
        <v>149</v>
      </c>
      <c r="C9697" t="s">
        <v>217</v>
      </c>
      <c r="D9697" t="s">
        <v>346</v>
      </c>
      <c r="E9697" t="s">
        <v>347</v>
      </c>
      <c r="F9697">
        <f>HYPERLINK("https://www.wikidata.org/wiki/Q3112376", "Q3112376")</f>
        <v>0</v>
      </c>
      <c r="G9697" t="s">
        <v>1923</v>
      </c>
      <c r="H9697" t="s">
        <v>6570</v>
      </c>
      <c r="I9697" t="s">
        <v>7642</v>
      </c>
      <c r="J9697" t="s">
        <v>12608</v>
      </c>
      <c r="K9697" t="s">
        <v>17019</v>
      </c>
      <c r="L9697">
        <f>HYPERLINK("https://www2.assemblee-nationale.fr/sycomore/fiche/(num_dept)/5854", "5854")</f>
        <v>0</v>
      </c>
      <c r="N9697">
        <f>HYPERLINK("https://www.wikidata.org/wiki/Q3301257", "Q3301257")</f>
        <v>0</v>
      </c>
      <c r="O9697" t="s">
        <v>20298</v>
      </c>
    </row>
    <row r="9698" spans="1:15">
      <c r="A9698" t="s">
        <v>85</v>
      </c>
      <c r="B9698" t="s">
        <v>149</v>
      </c>
      <c r="C9698" t="s">
        <v>217</v>
      </c>
      <c r="D9698" t="s">
        <v>346</v>
      </c>
      <c r="E9698" t="s">
        <v>347</v>
      </c>
      <c r="F9698">
        <f>HYPERLINK("https://www.wikidata.org/wiki/Q3112376", "Q3112376")</f>
        <v>0</v>
      </c>
      <c r="G9698" t="s">
        <v>1873</v>
      </c>
      <c r="H9698" t="s">
        <v>6528</v>
      </c>
      <c r="I9698" t="s">
        <v>6166</v>
      </c>
      <c r="J9698" t="s">
        <v>12561</v>
      </c>
      <c r="K9698" t="s">
        <v>16973</v>
      </c>
      <c r="L9698">
        <f>HYPERLINK("https://www2.assemblee-nationale.fr/sycomore/fiche/(num_dept)/5924", "5924")</f>
        <v>0</v>
      </c>
      <c r="N9698">
        <f>HYPERLINK("https://www.wikidata.org/wiki/Q3085590", "Q3085590")</f>
        <v>0</v>
      </c>
      <c r="O9698" t="s">
        <v>20194</v>
      </c>
    </row>
    <row r="9699" spans="1:15">
      <c r="A9699" t="s">
        <v>85</v>
      </c>
      <c r="B9699" t="s">
        <v>149</v>
      </c>
      <c r="C9699" t="s">
        <v>217</v>
      </c>
      <c r="D9699" t="s">
        <v>346</v>
      </c>
      <c r="E9699" t="s">
        <v>347</v>
      </c>
      <c r="F9699">
        <f>HYPERLINK("https://www.wikidata.org/wiki/Q3112376", "Q3112376")</f>
        <v>0</v>
      </c>
      <c r="G9699" t="s">
        <v>1581</v>
      </c>
      <c r="H9699" t="s">
        <v>6271</v>
      </c>
      <c r="I9699" t="s">
        <v>6495</v>
      </c>
      <c r="J9699" t="s">
        <v>12293</v>
      </c>
      <c r="K9699" t="s">
        <v>16700</v>
      </c>
      <c r="L9699">
        <f>HYPERLINK("https://www2.assemblee-nationale.fr/sycomore/fiche/(num_dept)/6068", "6068")</f>
        <v>0</v>
      </c>
      <c r="N9699">
        <f>HYPERLINK("https://www.wikidata.org/wiki/Q3263043", "Q3263043")</f>
        <v>0</v>
      </c>
      <c r="O9699" t="s">
        <v>20135</v>
      </c>
    </row>
    <row r="9700" spans="1:15">
      <c r="A9700" t="s">
        <v>85</v>
      </c>
      <c r="B9700" t="s">
        <v>149</v>
      </c>
      <c r="C9700" t="s">
        <v>217</v>
      </c>
      <c r="D9700" t="s">
        <v>346</v>
      </c>
      <c r="E9700" t="s">
        <v>347</v>
      </c>
      <c r="F9700">
        <f>HYPERLINK("https://www.wikidata.org/wiki/Q3112376", "Q3112376")</f>
        <v>0</v>
      </c>
      <c r="G9700" t="s">
        <v>2156</v>
      </c>
      <c r="H9700" t="s">
        <v>6770</v>
      </c>
      <c r="I9700" t="s">
        <v>9385</v>
      </c>
      <c r="J9700" t="s">
        <v>12820</v>
      </c>
      <c r="K9700" t="s">
        <v>17235</v>
      </c>
      <c r="L9700">
        <f>HYPERLINK("https://www2.assemblee-nationale.fr/sycomore/fiche/(num_dept)/6406", "6406")</f>
        <v>0</v>
      </c>
      <c r="N9700">
        <f>HYPERLINK("https://www.wikidata.org/wiki/Q2960033", "Q2960033")</f>
        <v>0</v>
      </c>
      <c r="O9700" t="s">
        <v>20299</v>
      </c>
    </row>
    <row r="9701" spans="1:15">
      <c r="A9701" t="s">
        <v>85</v>
      </c>
      <c r="B9701" t="s">
        <v>149</v>
      </c>
      <c r="C9701" t="s">
        <v>217</v>
      </c>
      <c r="D9701" t="s">
        <v>346</v>
      </c>
      <c r="E9701" t="s">
        <v>347</v>
      </c>
      <c r="F9701">
        <f>HYPERLINK("https://www.wikidata.org/wiki/Q3112376", "Q3112376")</f>
        <v>0</v>
      </c>
      <c r="G9701" t="s">
        <v>1616</v>
      </c>
      <c r="H9701" t="s">
        <v>6301</v>
      </c>
      <c r="I9701" t="s">
        <v>9388</v>
      </c>
      <c r="J9701" t="s">
        <v>12323</v>
      </c>
      <c r="K9701" t="s">
        <v>16733</v>
      </c>
      <c r="L9701">
        <f>HYPERLINK("https://www2.assemblee-nationale.fr/sycomore/fiche/(num_dept)/6710", "6710")</f>
        <v>0</v>
      </c>
      <c r="N9701">
        <f>HYPERLINK("https://www.wikidata.org/wiki/Q161076", "Q161076")</f>
        <v>0</v>
      </c>
      <c r="O9701" t="s">
        <v>20065</v>
      </c>
    </row>
    <row r="9702" spans="1:15">
      <c r="A9702" t="s">
        <v>85</v>
      </c>
      <c r="B9702" t="s">
        <v>149</v>
      </c>
      <c r="C9702" t="s">
        <v>217</v>
      </c>
      <c r="D9702" t="s">
        <v>346</v>
      </c>
      <c r="E9702" t="s">
        <v>347</v>
      </c>
      <c r="F9702">
        <f>HYPERLINK("https://www.wikidata.org/wiki/Q3112376", "Q3112376")</f>
        <v>0</v>
      </c>
      <c r="G9702" t="s">
        <v>2166</v>
      </c>
      <c r="H9702" t="s">
        <v>6780</v>
      </c>
      <c r="I9702" t="s">
        <v>5394</v>
      </c>
      <c r="J9702" t="s">
        <v>12830</v>
      </c>
      <c r="K9702" t="s">
        <v>17245</v>
      </c>
      <c r="L9702">
        <f>HYPERLINK("https://www2.assemblee-nationale.fr/sycomore/fiche/(num_dept)/6742", "6742")</f>
        <v>0</v>
      </c>
      <c r="N9702">
        <f>HYPERLINK("https://www.wikidata.org/wiki/Q3592354", "Q3592354")</f>
        <v>0</v>
      </c>
      <c r="O9702" t="s">
        <v>20293</v>
      </c>
    </row>
    <row r="9703" spans="1:15">
      <c r="A9703" t="s">
        <v>85</v>
      </c>
      <c r="B9703" t="s">
        <v>149</v>
      </c>
      <c r="C9703" t="s">
        <v>217</v>
      </c>
      <c r="D9703" t="s">
        <v>346</v>
      </c>
      <c r="E9703" t="s">
        <v>347</v>
      </c>
      <c r="F9703">
        <f>HYPERLINK("https://www.wikidata.org/wiki/Q3112376", "Q3112376")</f>
        <v>0</v>
      </c>
      <c r="G9703" t="s">
        <v>1206</v>
      </c>
      <c r="H9703" t="s">
        <v>5934</v>
      </c>
      <c r="I9703" t="s">
        <v>6585</v>
      </c>
      <c r="J9703" t="s">
        <v>11939</v>
      </c>
      <c r="K9703" t="s">
        <v>16340</v>
      </c>
      <c r="L9703">
        <f>HYPERLINK("https://www2.assemblee-nationale.fr/sycomore/fiche/(num_dept)/6953", "6953")</f>
        <v>0</v>
      </c>
      <c r="N9703">
        <f>HYPERLINK("https://www.wikidata.org/wiki/Q346648", "Q346648")</f>
        <v>0</v>
      </c>
      <c r="O9703" t="s">
        <v>20056</v>
      </c>
    </row>
    <row r="9704" spans="1:15">
      <c r="A9704" t="s">
        <v>85</v>
      </c>
      <c r="B9704" t="s">
        <v>149</v>
      </c>
      <c r="C9704" t="s">
        <v>217</v>
      </c>
      <c r="D9704" t="s">
        <v>346</v>
      </c>
      <c r="E9704" t="s">
        <v>347</v>
      </c>
      <c r="F9704">
        <f>HYPERLINK("https://www.wikidata.org/wiki/Q3112376", "Q3112376")</f>
        <v>0</v>
      </c>
      <c r="G9704" t="s">
        <v>1323</v>
      </c>
      <c r="H9704" t="s">
        <v>6042</v>
      </c>
      <c r="I9704" t="s">
        <v>6860</v>
      </c>
      <c r="J9704" t="s">
        <v>12052</v>
      </c>
      <c r="K9704" t="s">
        <v>16453</v>
      </c>
      <c r="L9704">
        <f>HYPERLINK("https://www2.assemblee-nationale.fr/sycomore/fiche/(num_dept)/7519", "7519")</f>
        <v>0</v>
      </c>
      <c r="M9704">
        <f>HYPERLINK("https://www.senat.fr/senateur-3eme-republique/laval_pierre1565r3.html", "laval_pierre1565r3")</f>
        <v>0</v>
      </c>
      <c r="N9704">
        <f>HYPERLINK("https://www.wikidata.org/wiki/Q151983", "Q151983")</f>
        <v>0</v>
      </c>
      <c r="O9704" t="s">
        <v>20058</v>
      </c>
    </row>
    <row r="9705" spans="1:15">
      <c r="A9705" t="s">
        <v>85</v>
      </c>
      <c r="B9705" t="s">
        <v>149</v>
      </c>
      <c r="C9705" t="s">
        <v>217</v>
      </c>
      <c r="D9705" t="s">
        <v>346</v>
      </c>
      <c r="E9705" t="s">
        <v>347</v>
      </c>
      <c r="F9705">
        <f>HYPERLINK("https://www.wikidata.org/wiki/Q3112376", "Q3112376")</f>
        <v>0</v>
      </c>
      <c r="G9705" t="s">
        <v>1323</v>
      </c>
      <c r="H9705" t="s">
        <v>6042</v>
      </c>
      <c r="I9705" t="s">
        <v>6860</v>
      </c>
      <c r="J9705" t="s">
        <v>12052</v>
      </c>
      <c r="K9705" t="s">
        <v>16453</v>
      </c>
      <c r="L9705">
        <f>HYPERLINK("https://www2.assemblee-nationale.fr/sycomore/fiche/(num_dept)/7519", "7519")</f>
        <v>0</v>
      </c>
      <c r="M9705">
        <f>HYPERLINK("https://www.senat.fr/senateur-3eme-republique/laval_pierre1565r3.html", "laval_pierre1565r3")</f>
        <v>0</v>
      </c>
      <c r="N9705">
        <f>HYPERLINK("https://www.wikidata.org/wiki/Q151983", "Q151983")</f>
        <v>0</v>
      </c>
      <c r="O9705" t="s">
        <v>20052</v>
      </c>
    </row>
    <row r="9706" spans="1:15">
      <c r="A9706" t="s">
        <v>85</v>
      </c>
      <c r="B9706" t="s">
        <v>149</v>
      </c>
      <c r="C9706" t="s">
        <v>217</v>
      </c>
      <c r="D9706" t="s">
        <v>346</v>
      </c>
      <c r="E9706" t="s">
        <v>347</v>
      </c>
      <c r="F9706">
        <f>HYPERLINK("https://www.wikidata.org/wiki/Q3112376", "Q3112376")</f>
        <v>0</v>
      </c>
      <c r="G9706" t="s">
        <v>1333</v>
      </c>
      <c r="H9706" t="s">
        <v>5402</v>
      </c>
      <c r="I9706" t="s">
        <v>9754</v>
      </c>
      <c r="J9706" t="s">
        <v>12060</v>
      </c>
      <c r="K9706" t="s">
        <v>16462</v>
      </c>
      <c r="L9706">
        <f>HYPERLINK("https://www2.assemblee-nationale.fr/sycomore/fiche/(num_dept)/10839", "10839")</f>
        <v>0</v>
      </c>
      <c r="N9706">
        <f>HYPERLINK("https://www.wikidata.org/wiki/Q471296", "Q471296")</f>
        <v>0</v>
      </c>
      <c r="O9706" t="s">
        <v>20066</v>
      </c>
    </row>
    <row r="9707" spans="1:15">
      <c r="A9707" t="s">
        <v>85</v>
      </c>
      <c r="B9707" t="s">
        <v>149</v>
      </c>
      <c r="C9707" t="s">
        <v>217</v>
      </c>
      <c r="D9707" t="s">
        <v>346</v>
      </c>
      <c r="E9707" t="s">
        <v>347</v>
      </c>
      <c r="F9707">
        <f>HYPERLINK("https://www.wikidata.org/wiki/Q3112376", "Q3112376")</f>
        <v>0</v>
      </c>
      <c r="G9707" t="s">
        <v>4234</v>
      </c>
      <c r="H9707" t="s">
        <v>8411</v>
      </c>
      <c r="I9707" t="s">
        <v>9593</v>
      </c>
      <c r="J9707" t="s">
        <v>14741</v>
      </c>
      <c r="K9707" t="s">
        <v>19086</v>
      </c>
      <c r="M9707">
        <f>HYPERLINK("https://www.senat.fr/senateur-3eme-republique/roustan_marius0246r3.html", "roustan_marius0246r3")</f>
        <v>0</v>
      </c>
      <c r="N9707">
        <f>HYPERLINK("https://www.wikidata.org/wiki/Q3293852", "Q3293852")</f>
        <v>0</v>
      </c>
      <c r="O9707" t="s">
        <v>20051</v>
      </c>
    </row>
    <row r="9708" spans="1:15">
      <c r="A9708" t="s">
        <v>85</v>
      </c>
      <c r="B9708" t="s">
        <v>149</v>
      </c>
      <c r="C9708" t="s">
        <v>217</v>
      </c>
      <c r="D9708" t="s">
        <v>346</v>
      </c>
      <c r="E9708" t="s">
        <v>347</v>
      </c>
      <c r="F9708">
        <f>HYPERLINK("https://www.wikidata.org/wiki/Q3112376", "Q3112376")</f>
        <v>0</v>
      </c>
      <c r="G9708" t="s">
        <v>522</v>
      </c>
      <c r="H9708" t="s">
        <v>5286</v>
      </c>
      <c r="I9708" t="s">
        <v>5528</v>
      </c>
      <c r="J9708" t="s">
        <v>11274</v>
      </c>
      <c r="K9708" t="s">
        <v>19078</v>
      </c>
      <c r="N9708">
        <f>HYPERLINK("https://www.wikidata.org/wiki/Q18384890", "Q18384890")</f>
        <v>0</v>
      </c>
      <c r="O9708" t="s">
        <v>20064</v>
      </c>
    </row>
    <row r="9709" spans="1:15">
      <c r="A9709" t="s">
        <v>85</v>
      </c>
      <c r="B9709" t="s">
        <v>149</v>
      </c>
      <c r="C9709" t="s">
        <v>217</v>
      </c>
      <c r="D9709" t="s">
        <v>346</v>
      </c>
      <c r="E9709" t="s">
        <v>347</v>
      </c>
      <c r="F9709">
        <f>HYPERLINK("https://www.wikidata.org/wiki/Q3112376", "Q3112376")</f>
        <v>0</v>
      </c>
      <c r="G9709" t="s">
        <v>948</v>
      </c>
      <c r="H9709" t="s">
        <v>5386</v>
      </c>
      <c r="I9709" t="s">
        <v>9385</v>
      </c>
      <c r="J9709" t="s">
        <v>11689</v>
      </c>
      <c r="K9709" t="s">
        <v>16090</v>
      </c>
      <c r="N9709">
        <f>HYPERLINK("https://www.wikidata.org/wiki/Q475755", "Q475755")</f>
        <v>0</v>
      </c>
      <c r="O9709" t="s">
        <v>20097</v>
      </c>
    </row>
    <row r="9710" spans="1:15">
      <c r="A9710" t="s">
        <v>86</v>
      </c>
      <c r="B9710" t="s">
        <v>149</v>
      </c>
      <c r="C9710" t="s">
        <v>218</v>
      </c>
      <c r="D9710" t="s">
        <v>347</v>
      </c>
      <c r="E9710" t="s">
        <v>465</v>
      </c>
      <c r="F9710">
        <f>HYPERLINK("https://www.wikidata.org/wiki/Q3112379", "Q3112379")</f>
        <v>0</v>
      </c>
      <c r="G9710" t="s">
        <v>1225</v>
      </c>
      <c r="H9710" t="s">
        <v>5950</v>
      </c>
      <c r="I9710" t="s">
        <v>9506</v>
      </c>
      <c r="J9710" t="s">
        <v>11957</v>
      </c>
      <c r="K9710" t="s">
        <v>16359</v>
      </c>
      <c r="L9710">
        <f>HYPERLINK("https://www2.assemblee-nationale.fr/sycomore/fiche/(num_dept)/842", "842")</f>
        <v>0</v>
      </c>
      <c r="N9710">
        <f>HYPERLINK("https://www.wikidata.org/wiki/Q2934871", "Q2934871")</f>
        <v>0</v>
      </c>
      <c r="O9710" t="s">
        <v>20089</v>
      </c>
    </row>
    <row r="9711" spans="1:15">
      <c r="A9711" t="s">
        <v>86</v>
      </c>
      <c r="B9711" t="s">
        <v>149</v>
      </c>
      <c r="C9711" t="s">
        <v>218</v>
      </c>
      <c r="D9711" t="s">
        <v>347</v>
      </c>
      <c r="E9711" t="s">
        <v>465</v>
      </c>
      <c r="F9711">
        <f>HYPERLINK("https://www.wikidata.org/wiki/Q3112379", "Q3112379")</f>
        <v>0</v>
      </c>
      <c r="G9711" t="s">
        <v>553</v>
      </c>
      <c r="H9711" t="s">
        <v>5316</v>
      </c>
      <c r="I9711" t="s">
        <v>9411</v>
      </c>
      <c r="J9711" t="s">
        <v>11304</v>
      </c>
      <c r="K9711" t="s">
        <v>15705</v>
      </c>
      <c r="L9711">
        <f>HYPERLINK("https://www2.assemblee-nationale.fr/sycomore/fiche/(num_dept)/1211", "1211")</f>
        <v>0</v>
      </c>
      <c r="N9711">
        <f>HYPERLINK("https://www.wikidata.org/wiki/Q179888", "Q179888")</f>
        <v>0</v>
      </c>
      <c r="O9711" t="s">
        <v>20062</v>
      </c>
    </row>
    <row r="9712" spans="1:15">
      <c r="A9712" t="s">
        <v>86</v>
      </c>
      <c r="B9712" t="s">
        <v>149</v>
      </c>
      <c r="C9712" t="s">
        <v>218</v>
      </c>
      <c r="D9712" t="s">
        <v>347</v>
      </c>
      <c r="E9712" t="s">
        <v>465</v>
      </c>
      <c r="F9712">
        <f>HYPERLINK("https://www.wikidata.org/wiki/Q3112379", "Q3112379")</f>
        <v>0</v>
      </c>
      <c r="G9712" t="s">
        <v>2032</v>
      </c>
      <c r="H9712" t="s">
        <v>6664</v>
      </c>
      <c r="I9712" t="s">
        <v>6860</v>
      </c>
      <c r="J9712" t="s">
        <v>12706</v>
      </c>
      <c r="K9712" t="s">
        <v>17118</v>
      </c>
      <c r="L9712">
        <f>HYPERLINK("https://www2.assemblee-nationale.fr/sycomore/fiche/(num_dept)/1521", "1521")</f>
        <v>0</v>
      </c>
      <c r="N9712">
        <f>HYPERLINK("https://www.wikidata.org/wiki/Q1921652", "Q1921652")</f>
        <v>0</v>
      </c>
      <c r="O9712" t="s">
        <v>20068</v>
      </c>
    </row>
    <row r="9713" spans="1:15">
      <c r="A9713" t="s">
        <v>86</v>
      </c>
      <c r="B9713" t="s">
        <v>149</v>
      </c>
      <c r="C9713" t="s">
        <v>218</v>
      </c>
      <c r="D9713" t="s">
        <v>347</v>
      </c>
      <c r="E9713" t="s">
        <v>465</v>
      </c>
      <c r="F9713">
        <f>HYPERLINK("https://www.wikidata.org/wiki/Q3112379", "Q3112379")</f>
        <v>0</v>
      </c>
      <c r="G9713" t="s">
        <v>1754</v>
      </c>
      <c r="H9713" t="s">
        <v>6424</v>
      </c>
      <c r="I9713" t="s">
        <v>9552</v>
      </c>
      <c r="J9713" t="s">
        <v>12454</v>
      </c>
      <c r="K9713" t="s">
        <v>16860</v>
      </c>
      <c r="L9713">
        <f>HYPERLINK("https://www2.assemblee-nationale.fr/sycomore/fiche/(num_dept)/1631", "1631")</f>
        <v>0</v>
      </c>
      <c r="M9713">
        <f>HYPERLINK("https://www.senat.fr/senateur-3eme-republique/champetier_de_ribes_auguste0517r4.html", "champetier_de_ribes_auguste0517r4")</f>
        <v>0</v>
      </c>
      <c r="N9713">
        <f>HYPERLINK("https://www.wikidata.org/wiki/Q478746", "Q478746")</f>
        <v>0</v>
      </c>
      <c r="O9713" t="s">
        <v>20088</v>
      </c>
    </row>
    <row r="9714" spans="1:15">
      <c r="A9714" t="s">
        <v>86</v>
      </c>
      <c r="B9714" t="s">
        <v>149</v>
      </c>
      <c r="C9714" t="s">
        <v>218</v>
      </c>
      <c r="D9714" t="s">
        <v>347</v>
      </c>
      <c r="E9714" t="s">
        <v>465</v>
      </c>
      <c r="F9714">
        <f>HYPERLINK("https://www.wikidata.org/wiki/Q3112379", "Q3112379")</f>
        <v>0</v>
      </c>
      <c r="G9714" t="s">
        <v>906</v>
      </c>
      <c r="H9714" t="s">
        <v>5662</v>
      </c>
      <c r="I9714" t="s">
        <v>6495</v>
      </c>
      <c r="J9714" t="s">
        <v>11377</v>
      </c>
      <c r="K9714" t="s">
        <v>16050</v>
      </c>
      <c r="L9714">
        <f>HYPERLINK("https://www2.assemblee-nationale.fr/sycomore/fiche/(num_dept)/1648", "1648")</f>
        <v>0</v>
      </c>
      <c r="N9714">
        <f>HYPERLINK("https://www.wikidata.org/wiki/Q3263418", "Q3263418")</f>
        <v>0</v>
      </c>
      <c r="O9714" t="s">
        <v>20108</v>
      </c>
    </row>
    <row r="9715" spans="1:15">
      <c r="A9715" t="s">
        <v>86</v>
      </c>
      <c r="B9715" t="s">
        <v>149</v>
      </c>
      <c r="C9715" t="s">
        <v>218</v>
      </c>
      <c r="D9715" t="s">
        <v>347</v>
      </c>
      <c r="E9715" t="s">
        <v>465</v>
      </c>
      <c r="F9715">
        <f>HYPERLINK("https://www.wikidata.org/wiki/Q3112379", "Q3112379")</f>
        <v>0</v>
      </c>
      <c r="G9715" t="s">
        <v>2047</v>
      </c>
      <c r="H9715" t="s">
        <v>6678</v>
      </c>
      <c r="I9715" t="s">
        <v>7642</v>
      </c>
      <c r="J9715" t="s">
        <v>12720</v>
      </c>
      <c r="K9715" t="s">
        <v>17131</v>
      </c>
      <c r="L9715">
        <f>HYPERLINK("https://www2.assemblee-nationale.fr/sycomore/fiche/(num_dept)/2303", "2303")</f>
        <v>0</v>
      </c>
      <c r="N9715">
        <f>HYPERLINK("https://www.wikidata.org/wiki/Q3300659", "Q3300659")</f>
        <v>0</v>
      </c>
      <c r="O9715" t="s">
        <v>20063</v>
      </c>
    </row>
    <row r="9716" spans="1:15">
      <c r="A9716" t="s">
        <v>86</v>
      </c>
      <c r="B9716" t="s">
        <v>149</v>
      </c>
      <c r="C9716" t="s">
        <v>218</v>
      </c>
      <c r="D9716" t="s">
        <v>347</v>
      </c>
      <c r="E9716" t="s">
        <v>465</v>
      </c>
      <c r="F9716">
        <f>HYPERLINK("https://www.wikidata.org/wiki/Q3112379", "Q3112379")</f>
        <v>0</v>
      </c>
      <c r="G9716" t="s">
        <v>1251</v>
      </c>
      <c r="H9716" t="s">
        <v>5975</v>
      </c>
      <c r="I9716" t="s">
        <v>9727</v>
      </c>
      <c r="J9716" t="s">
        <v>11981</v>
      </c>
      <c r="K9716" t="s">
        <v>16384</v>
      </c>
      <c r="L9716">
        <f>HYPERLINK("https://www2.assemblee-nationale.fr/sycomore/fiche/(num_dept)/2496", "2496")</f>
        <v>0</v>
      </c>
      <c r="N9716">
        <f>HYPERLINK("https://www.wikidata.org/wiki/Q725749", "Q725749")</f>
        <v>0</v>
      </c>
      <c r="O9716" t="s">
        <v>20192</v>
      </c>
    </row>
    <row r="9717" spans="1:15">
      <c r="A9717" t="s">
        <v>86</v>
      </c>
      <c r="B9717" t="s">
        <v>149</v>
      </c>
      <c r="C9717" t="s">
        <v>218</v>
      </c>
      <c r="D9717" t="s">
        <v>347</v>
      </c>
      <c r="E9717" t="s">
        <v>465</v>
      </c>
      <c r="F9717">
        <f>HYPERLINK("https://www.wikidata.org/wiki/Q3112379", "Q3112379")</f>
        <v>0</v>
      </c>
      <c r="G9717" t="s">
        <v>1438</v>
      </c>
      <c r="H9717" t="s">
        <v>6140</v>
      </c>
      <c r="I9717" t="s">
        <v>6860</v>
      </c>
      <c r="J9717" t="s">
        <v>12159</v>
      </c>
      <c r="K9717" t="s">
        <v>16564</v>
      </c>
      <c r="L9717">
        <f>HYPERLINK("https://www2.assemblee-nationale.fr/sycomore/fiche/(num_dept)/2514", "2514")</f>
        <v>0</v>
      </c>
      <c r="N9717">
        <f>HYPERLINK("https://www.wikidata.org/wiki/Q3384763", "Q3384763")</f>
        <v>0</v>
      </c>
      <c r="O9717" t="s">
        <v>20095</v>
      </c>
    </row>
    <row r="9718" spans="1:15">
      <c r="A9718" t="s">
        <v>86</v>
      </c>
      <c r="B9718" t="s">
        <v>149</v>
      </c>
      <c r="C9718" t="s">
        <v>218</v>
      </c>
      <c r="D9718" t="s">
        <v>347</v>
      </c>
      <c r="E9718" t="s">
        <v>465</v>
      </c>
      <c r="F9718">
        <f>HYPERLINK("https://www.wikidata.org/wiki/Q3112379", "Q3112379")</f>
        <v>0</v>
      </c>
      <c r="G9718" t="s">
        <v>625</v>
      </c>
      <c r="H9718" t="s">
        <v>5385</v>
      </c>
      <c r="I9718" t="s">
        <v>9460</v>
      </c>
      <c r="J9718" t="s">
        <v>11375</v>
      </c>
      <c r="K9718" t="s">
        <v>15777</v>
      </c>
      <c r="L9718">
        <f>HYPERLINK("https://www2.assemblee-nationale.fr/sycomore/fiche/(num_dept)/2699", "2699")</f>
        <v>0</v>
      </c>
      <c r="M9718">
        <f>HYPERLINK("https://www.senat.fr/senateur-3eme-republique/dumesnil_jacques1613r3.html", "dumesnil_jacques1613r3")</f>
        <v>0</v>
      </c>
      <c r="N9718">
        <f>HYPERLINK("https://www.wikidata.org/wiki/Q3157989", "Q3157989")</f>
        <v>0</v>
      </c>
      <c r="O9718" t="s">
        <v>20072</v>
      </c>
    </row>
    <row r="9719" spans="1:15">
      <c r="A9719" t="s">
        <v>86</v>
      </c>
      <c r="B9719" t="s">
        <v>149</v>
      </c>
      <c r="C9719" t="s">
        <v>218</v>
      </c>
      <c r="D9719" t="s">
        <v>347</v>
      </c>
      <c r="E9719" t="s">
        <v>465</v>
      </c>
      <c r="F9719">
        <f>HYPERLINK("https://www.wikidata.org/wiki/Q3112379", "Q3112379")</f>
        <v>0</v>
      </c>
      <c r="G9719" t="s">
        <v>1466</v>
      </c>
      <c r="H9719" t="s">
        <v>6165</v>
      </c>
      <c r="I9719" t="s">
        <v>9820</v>
      </c>
      <c r="J9719" t="s">
        <v>12185</v>
      </c>
      <c r="K9719" t="s">
        <v>16591</v>
      </c>
      <c r="L9719">
        <f>HYPERLINK("https://www2.assemblee-nationale.fr/sycomore/fiche/(num_dept)/3080", "3080")</f>
        <v>0</v>
      </c>
      <c r="N9719">
        <f>HYPERLINK("https://www.wikidata.org/wiki/Q2861749", "Q2861749")</f>
        <v>0</v>
      </c>
      <c r="O9719" t="s">
        <v>20087</v>
      </c>
    </row>
    <row r="9720" spans="1:15">
      <c r="A9720" t="s">
        <v>86</v>
      </c>
      <c r="B9720" t="s">
        <v>149</v>
      </c>
      <c r="C9720" t="s">
        <v>218</v>
      </c>
      <c r="D9720" t="s">
        <v>347</v>
      </c>
      <c r="E9720" t="s">
        <v>465</v>
      </c>
      <c r="F9720">
        <f>HYPERLINK("https://www.wikidata.org/wiki/Q3112379", "Q3112379")</f>
        <v>0</v>
      </c>
      <c r="G9720" t="s">
        <v>2069</v>
      </c>
      <c r="H9720" t="s">
        <v>6696</v>
      </c>
      <c r="I9720" t="s">
        <v>7642</v>
      </c>
      <c r="J9720" t="s">
        <v>12740</v>
      </c>
      <c r="K9720" t="s">
        <v>17151</v>
      </c>
      <c r="L9720">
        <f>HYPERLINK("https://www2.assemblee-nationale.fr/sycomore/fiche/(num_dept)/3082", "3082")</f>
        <v>0</v>
      </c>
      <c r="N9720">
        <f>HYPERLINK("https://www.wikidata.org/wiki/Q3300788", "Q3300788")</f>
        <v>0</v>
      </c>
      <c r="O9720" t="s">
        <v>20160</v>
      </c>
    </row>
    <row r="9721" spans="1:15">
      <c r="A9721" t="s">
        <v>86</v>
      </c>
      <c r="B9721" t="s">
        <v>149</v>
      </c>
      <c r="C9721" t="s">
        <v>218</v>
      </c>
      <c r="D9721" t="s">
        <v>347</v>
      </c>
      <c r="E9721" t="s">
        <v>465</v>
      </c>
      <c r="F9721">
        <f>HYPERLINK("https://www.wikidata.org/wiki/Q3112379", "Q3112379")</f>
        <v>0</v>
      </c>
      <c r="G9721" t="s">
        <v>1801</v>
      </c>
      <c r="H9721" t="s">
        <v>6466</v>
      </c>
      <c r="I9721" t="s">
        <v>6585</v>
      </c>
      <c r="J9721" t="s">
        <v>12496</v>
      </c>
      <c r="K9721" t="s">
        <v>16906</v>
      </c>
      <c r="L9721">
        <f>HYPERLINK("https://www2.assemblee-nationale.fr/sycomore/fiche/(num_dept)/3130", "3130")</f>
        <v>0</v>
      </c>
      <c r="N9721">
        <f>HYPERLINK("https://www.wikidata.org/wiki/Q518576", "Q518576")</f>
        <v>0</v>
      </c>
      <c r="O9721" t="s">
        <v>20294</v>
      </c>
    </row>
    <row r="9722" spans="1:15">
      <c r="A9722" t="s">
        <v>86</v>
      </c>
      <c r="B9722" t="s">
        <v>149</v>
      </c>
      <c r="C9722" t="s">
        <v>218</v>
      </c>
      <c r="D9722" t="s">
        <v>347</v>
      </c>
      <c r="E9722" t="s">
        <v>465</v>
      </c>
      <c r="F9722">
        <f>HYPERLINK("https://www.wikidata.org/wiki/Q3112379", "Q3112379")</f>
        <v>0</v>
      </c>
      <c r="G9722" t="s">
        <v>1468</v>
      </c>
      <c r="H9722" t="s">
        <v>6167</v>
      </c>
      <c r="I9722" t="s">
        <v>9385</v>
      </c>
      <c r="J9722" t="s">
        <v>12187</v>
      </c>
      <c r="K9722" t="s">
        <v>16593</v>
      </c>
      <c r="L9722">
        <f>HYPERLINK("https://www2.assemblee-nationale.fr/sycomore/fiche/(num_dept)/3153", "3153")</f>
        <v>0</v>
      </c>
      <c r="N9722">
        <f>HYPERLINK("https://www.wikidata.org/wiki/Q2959129", "Q2959129")</f>
        <v>0</v>
      </c>
      <c r="O9722" t="s">
        <v>20295</v>
      </c>
    </row>
    <row r="9723" spans="1:15">
      <c r="A9723" t="s">
        <v>86</v>
      </c>
      <c r="B9723" t="s">
        <v>149</v>
      </c>
      <c r="C9723" t="s">
        <v>218</v>
      </c>
      <c r="D9723" t="s">
        <v>347</v>
      </c>
      <c r="E9723" t="s">
        <v>465</v>
      </c>
      <c r="F9723">
        <f>HYPERLINK("https://www.wikidata.org/wiki/Q3112379", "Q3112379")</f>
        <v>0</v>
      </c>
      <c r="G9723" t="s">
        <v>1957</v>
      </c>
      <c r="H9723" t="s">
        <v>5417</v>
      </c>
      <c r="I9723" t="s">
        <v>9470</v>
      </c>
      <c r="J9723" t="s">
        <v>12640</v>
      </c>
      <c r="K9723" t="s">
        <v>17050</v>
      </c>
      <c r="L9723">
        <f>HYPERLINK("https://www2.assemblee-nationale.fr/sycomore/fiche/(num_dept)/3360", "3360")</f>
        <v>0</v>
      </c>
      <c r="N9723">
        <f>HYPERLINK("https://www.wikidata.org/wiki/Q3099030", "Q3099030")</f>
        <v>0</v>
      </c>
      <c r="O9723" t="s">
        <v>20296</v>
      </c>
    </row>
    <row r="9724" spans="1:15">
      <c r="A9724" t="s">
        <v>86</v>
      </c>
      <c r="B9724" t="s">
        <v>149</v>
      </c>
      <c r="C9724" t="s">
        <v>218</v>
      </c>
      <c r="D9724" t="s">
        <v>347</v>
      </c>
      <c r="E9724" t="s">
        <v>465</v>
      </c>
      <c r="F9724">
        <f>HYPERLINK("https://www.wikidata.org/wiki/Q3112379", "Q3112379")</f>
        <v>0</v>
      </c>
      <c r="G9724" t="s">
        <v>2075</v>
      </c>
      <c r="H9724" t="s">
        <v>6702</v>
      </c>
      <c r="I9724" t="s">
        <v>10072</v>
      </c>
      <c r="J9724" t="s">
        <v>12746</v>
      </c>
      <c r="K9724" t="s">
        <v>17157</v>
      </c>
      <c r="L9724">
        <f>HYPERLINK("https://www2.assemblee-nationale.fr/sycomore/fiche/(num_dept)/3404", "3404")</f>
        <v>0</v>
      </c>
      <c r="N9724">
        <f>HYPERLINK("https://www.wikidata.org/wiki/Q2976757", "Q2976757")</f>
        <v>0</v>
      </c>
      <c r="O9724" t="s">
        <v>20300</v>
      </c>
    </row>
    <row r="9725" spans="1:15">
      <c r="A9725" t="s">
        <v>86</v>
      </c>
      <c r="B9725" t="s">
        <v>149</v>
      </c>
      <c r="C9725" t="s">
        <v>218</v>
      </c>
      <c r="D9725" t="s">
        <v>347</v>
      </c>
      <c r="E9725" t="s">
        <v>465</v>
      </c>
      <c r="F9725">
        <f>HYPERLINK("https://www.wikidata.org/wiki/Q3112379", "Q3112379")</f>
        <v>0</v>
      </c>
      <c r="G9725" t="s">
        <v>672</v>
      </c>
      <c r="H9725" t="s">
        <v>5431</v>
      </c>
      <c r="I9725" t="s">
        <v>9385</v>
      </c>
      <c r="J9725" t="s">
        <v>11422</v>
      </c>
      <c r="K9725" t="s">
        <v>15823</v>
      </c>
      <c r="L9725">
        <f>HYPERLINK("https://www2.assemblee-nationale.fr/sycomore/fiche/(num_dept)/3634", "3634")</f>
        <v>0</v>
      </c>
      <c r="N9725">
        <f>HYPERLINK("https://www.wikidata.org/wiki/Q2959267", "Q2959267")</f>
        <v>0</v>
      </c>
      <c r="O9725" t="s">
        <v>20193</v>
      </c>
    </row>
    <row r="9726" spans="1:15">
      <c r="A9726" t="s">
        <v>86</v>
      </c>
      <c r="B9726" t="s">
        <v>149</v>
      </c>
      <c r="C9726" t="s">
        <v>218</v>
      </c>
      <c r="D9726" t="s">
        <v>347</v>
      </c>
      <c r="E9726" t="s">
        <v>465</v>
      </c>
      <c r="F9726">
        <f>HYPERLINK("https://www.wikidata.org/wiki/Q3112379", "Q3112379")</f>
        <v>0</v>
      </c>
      <c r="G9726" t="s">
        <v>983</v>
      </c>
      <c r="H9726" t="s">
        <v>5735</v>
      </c>
      <c r="I9726" t="s">
        <v>9534</v>
      </c>
      <c r="J9726" t="s">
        <v>11721</v>
      </c>
      <c r="K9726" t="s">
        <v>16125</v>
      </c>
      <c r="L9726">
        <f>HYPERLINK("https://www2.assemblee-nationale.fr/sycomore/fiche/(num_dept)/4326", "4326")</f>
        <v>0</v>
      </c>
      <c r="M9726">
        <f>HYPERLINK("https://www.senat.fr/senateur-3eme-republique/landry_adolphe0199r4.html", "landry_adolphe0199r4")</f>
        <v>0</v>
      </c>
      <c r="N9726">
        <f>HYPERLINK("https://www.wikidata.org/wiki/Q2824853", "Q2824853")</f>
        <v>0</v>
      </c>
      <c r="O9726" t="s">
        <v>20204</v>
      </c>
    </row>
    <row r="9727" spans="1:15">
      <c r="A9727" t="s">
        <v>86</v>
      </c>
      <c r="B9727" t="s">
        <v>149</v>
      </c>
      <c r="C9727" t="s">
        <v>218</v>
      </c>
      <c r="D9727" t="s">
        <v>347</v>
      </c>
      <c r="E9727" t="s">
        <v>465</v>
      </c>
      <c r="F9727">
        <f>HYPERLINK("https://www.wikidata.org/wiki/Q3112379", "Q3112379")</f>
        <v>0</v>
      </c>
      <c r="G9727" t="s">
        <v>717</v>
      </c>
      <c r="H9727" t="s">
        <v>5475</v>
      </c>
      <c r="I9727" t="s">
        <v>6585</v>
      </c>
      <c r="J9727" t="s">
        <v>11466</v>
      </c>
      <c r="K9727" t="s">
        <v>15868</v>
      </c>
      <c r="L9727">
        <f>HYPERLINK("https://www2.assemblee-nationale.fr/sycomore/fiche/(num_dept)/4882", "4882")</f>
        <v>0</v>
      </c>
      <c r="N9727">
        <f>HYPERLINK("https://www.wikidata.org/wiki/Q318617", "Q318617")</f>
        <v>0</v>
      </c>
      <c r="O9727" t="s">
        <v>20057</v>
      </c>
    </row>
    <row r="9728" spans="1:15">
      <c r="A9728" t="s">
        <v>86</v>
      </c>
      <c r="B9728" t="s">
        <v>149</v>
      </c>
      <c r="C9728" t="s">
        <v>218</v>
      </c>
      <c r="D9728" t="s">
        <v>347</v>
      </c>
      <c r="E9728" t="s">
        <v>465</v>
      </c>
      <c r="F9728">
        <f>HYPERLINK("https://www.wikidata.org/wiki/Q3112379", "Q3112379")</f>
        <v>0</v>
      </c>
      <c r="G9728" t="s">
        <v>1553</v>
      </c>
      <c r="H9728" t="s">
        <v>6244</v>
      </c>
      <c r="I9728" t="s">
        <v>9437</v>
      </c>
      <c r="J9728" t="s">
        <v>12267</v>
      </c>
      <c r="K9728" t="s">
        <v>16675</v>
      </c>
      <c r="L9728">
        <f>HYPERLINK("https://www2.assemblee-nationale.fr/sycomore/fiche/(num_dept)/5425", "5425")</f>
        <v>0</v>
      </c>
      <c r="N9728">
        <f>HYPERLINK("https://www.wikidata.org/wiki/Q3588669", "Q3588669")</f>
        <v>0</v>
      </c>
      <c r="O9728" t="s">
        <v>20297</v>
      </c>
    </row>
    <row r="9729" spans="1:15">
      <c r="A9729" t="s">
        <v>86</v>
      </c>
      <c r="B9729" t="s">
        <v>149</v>
      </c>
      <c r="C9729" t="s">
        <v>218</v>
      </c>
      <c r="D9729" t="s">
        <v>347</v>
      </c>
      <c r="E9729" t="s">
        <v>465</v>
      </c>
      <c r="F9729">
        <f>HYPERLINK("https://www.wikidata.org/wiki/Q3112379", "Q3112379")</f>
        <v>0</v>
      </c>
      <c r="G9729" t="s">
        <v>1923</v>
      </c>
      <c r="H9729" t="s">
        <v>6570</v>
      </c>
      <c r="I9729" t="s">
        <v>7642</v>
      </c>
      <c r="J9729" t="s">
        <v>12608</v>
      </c>
      <c r="K9729" t="s">
        <v>17019</v>
      </c>
      <c r="L9729">
        <f>HYPERLINK("https://www2.assemblee-nationale.fr/sycomore/fiche/(num_dept)/5854", "5854")</f>
        <v>0</v>
      </c>
      <c r="N9729">
        <f>HYPERLINK("https://www.wikidata.org/wiki/Q3301257", "Q3301257")</f>
        <v>0</v>
      </c>
      <c r="O9729" t="s">
        <v>20298</v>
      </c>
    </row>
    <row r="9730" spans="1:15">
      <c r="A9730" t="s">
        <v>86</v>
      </c>
      <c r="B9730" t="s">
        <v>149</v>
      </c>
      <c r="C9730" t="s">
        <v>218</v>
      </c>
      <c r="D9730" t="s">
        <v>347</v>
      </c>
      <c r="E9730" t="s">
        <v>465</v>
      </c>
      <c r="F9730">
        <f>HYPERLINK("https://www.wikidata.org/wiki/Q3112379", "Q3112379")</f>
        <v>0</v>
      </c>
      <c r="G9730" t="s">
        <v>1873</v>
      </c>
      <c r="H9730" t="s">
        <v>6528</v>
      </c>
      <c r="I9730" t="s">
        <v>6166</v>
      </c>
      <c r="J9730" t="s">
        <v>12561</v>
      </c>
      <c r="K9730" t="s">
        <v>16973</v>
      </c>
      <c r="L9730">
        <f>HYPERLINK("https://www2.assemblee-nationale.fr/sycomore/fiche/(num_dept)/5924", "5924")</f>
        <v>0</v>
      </c>
      <c r="N9730">
        <f>HYPERLINK("https://www.wikidata.org/wiki/Q3085590", "Q3085590")</f>
        <v>0</v>
      </c>
      <c r="O9730" t="s">
        <v>20194</v>
      </c>
    </row>
    <row r="9731" spans="1:15">
      <c r="A9731" t="s">
        <v>86</v>
      </c>
      <c r="B9731" t="s">
        <v>149</v>
      </c>
      <c r="C9731" t="s">
        <v>218</v>
      </c>
      <c r="D9731" t="s">
        <v>347</v>
      </c>
      <c r="E9731" t="s">
        <v>465</v>
      </c>
      <c r="F9731">
        <f>HYPERLINK("https://www.wikidata.org/wiki/Q3112379", "Q3112379")</f>
        <v>0</v>
      </c>
      <c r="G9731" t="s">
        <v>1581</v>
      </c>
      <c r="H9731" t="s">
        <v>6271</v>
      </c>
      <c r="I9731" t="s">
        <v>6495</v>
      </c>
      <c r="J9731" t="s">
        <v>12293</v>
      </c>
      <c r="K9731" t="s">
        <v>16700</v>
      </c>
      <c r="L9731">
        <f>HYPERLINK("https://www2.assemblee-nationale.fr/sycomore/fiche/(num_dept)/6068", "6068")</f>
        <v>0</v>
      </c>
      <c r="N9731">
        <f>HYPERLINK("https://www.wikidata.org/wiki/Q3263043", "Q3263043")</f>
        <v>0</v>
      </c>
      <c r="O9731" t="s">
        <v>20135</v>
      </c>
    </row>
    <row r="9732" spans="1:15">
      <c r="A9732" t="s">
        <v>86</v>
      </c>
      <c r="B9732" t="s">
        <v>149</v>
      </c>
      <c r="C9732" t="s">
        <v>218</v>
      </c>
      <c r="D9732" t="s">
        <v>347</v>
      </c>
      <c r="E9732" t="s">
        <v>465</v>
      </c>
      <c r="F9732">
        <f>HYPERLINK("https://www.wikidata.org/wiki/Q3112379", "Q3112379")</f>
        <v>0</v>
      </c>
      <c r="G9732" t="s">
        <v>2156</v>
      </c>
      <c r="H9732" t="s">
        <v>6770</v>
      </c>
      <c r="I9732" t="s">
        <v>9385</v>
      </c>
      <c r="J9732" t="s">
        <v>12820</v>
      </c>
      <c r="K9732" t="s">
        <v>17235</v>
      </c>
      <c r="L9732">
        <f>HYPERLINK("https://www2.assemblee-nationale.fr/sycomore/fiche/(num_dept)/6406", "6406")</f>
        <v>0</v>
      </c>
      <c r="N9732">
        <f>HYPERLINK("https://www.wikidata.org/wiki/Q2960033", "Q2960033")</f>
        <v>0</v>
      </c>
      <c r="O9732" t="s">
        <v>20299</v>
      </c>
    </row>
    <row r="9733" spans="1:15">
      <c r="A9733" t="s">
        <v>86</v>
      </c>
      <c r="B9733" t="s">
        <v>149</v>
      </c>
      <c r="C9733" t="s">
        <v>218</v>
      </c>
      <c r="D9733" t="s">
        <v>347</v>
      </c>
      <c r="E9733" t="s">
        <v>465</v>
      </c>
      <c r="F9733">
        <f>HYPERLINK("https://www.wikidata.org/wiki/Q3112379", "Q3112379")</f>
        <v>0</v>
      </c>
      <c r="G9733" t="s">
        <v>1616</v>
      </c>
      <c r="H9733" t="s">
        <v>6301</v>
      </c>
      <c r="I9733" t="s">
        <v>9388</v>
      </c>
      <c r="J9733" t="s">
        <v>12323</v>
      </c>
      <c r="K9733" t="s">
        <v>16733</v>
      </c>
      <c r="L9733">
        <f>HYPERLINK("https://www2.assemblee-nationale.fr/sycomore/fiche/(num_dept)/6710", "6710")</f>
        <v>0</v>
      </c>
      <c r="N9733">
        <f>HYPERLINK("https://www.wikidata.org/wiki/Q161076", "Q161076")</f>
        <v>0</v>
      </c>
      <c r="O9733" t="s">
        <v>20065</v>
      </c>
    </row>
    <row r="9734" spans="1:15">
      <c r="A9734" t="s">
        <v>86</v>
      </c>
      <c r="B9734" t="s">
        <v>149</v>
      </c>
      <c r="C9734" t="s">
        <v>218</v>
      </c>
      <c r="D9734" t="s">
        <v>347</v>
      </c>
      <c r="E9734" t="s">
        <v>465</v>
      </c>
      <c r="F9734">
        <f>HYPERLINK("https://www.wikidata.org/wiki/Q3112379", "Q3112379")</f>
        <v>0</v>
      </c>
      <c r="G9734" t="s">
        <v>2166</v>
      </c>
      <c r="H9734" t="s">
        <v>6780</v>
      </c>
      <c r="I9734" t="s">
        <v>5394</v>
      </c>
      <c r="J9734" t="s">
        <v>12830</v>
      </c>
      <c r="K9734" t="s">
        <v>17245</v>
      </c>
      <c r="L9734">
        <f>HYPERLINK("https://www2.assemblee-nationale.fr/sycomore/fiche/(num_dept)/6742", "6742")</f>
        <v>0</v>
      </c>
      <c r="N9734">
        <f>HYPERLINK("https://www.wikidata.org/wiki/Q3592354", "Q3592354")</f>
        <v>0</v>
      </c>
      <c r="O9734" t="s">
        <v>20293</v>
      </c>
    </row>
    <row r="9735" spans="1:15">
      <c r="A9735" t="s">
        <v>86</v>
      </c>
      <c r="B9735" t="s">
        <v>149</v>
      </c>
      <c r="C9735" t="s">
        <v>218</v>
      </c>
      <c r="D9735" t="s">
        <v>347</v>
      </c>
      <c r="E9735" t="s">
        <v>465</v>
      </c>
      <c r="F9735">
        <f>HYPERLINK("https://www.wikidata.org/wiki/Q3112379", "Q3112379")</f>
        <v>0</v>
      </c>
      <c r="G9735" t="s">
        <v>1206</v>
      </c>
      <c r="H9735" t="s">
        <v>5934</v>
      </c>
      <c r="I9735" t="s">
        <v>6585</v>
      </c>
      <c r="J9735" t="s">
        <v>11939</v>
      </c>
      <c r="K9735" t="s">
        <v>16340</v>
      </c>
      <c r="L9735">
        <f>HYPERLINK("https://www2.assemblee-nationale.fr/sycomore/fiche/(num_dept)/6953", "6953")</f>
        <v>0</v>
      </c>
      <c r="N9735">
        <f>HYPERLINK("https://www.wikidata.org/wiki/Q346648", "Q346648")</f>
        <v>0</v>
      </c>
      <c r="O9735" t="s">
        <v>20056</v>
      </c>
    </row>
    <row r="9736" spans="1:15">
      <c r="A9736" t="s">
        <v>86</v>
      </c>
      <c r="B9736" t="s">
        <v>149</v>
      </c>
      <c r="C9736" t="s">
        <v>218</v>
      </c>
      <c r="D9736" t="s">
        <v>347</v>
      </c>
      <c r="E9736" t="s">
        <v>465</v>
      </c>
      <c r="F9736">
        <f>HYPERLINK("https://www.wikidata.org/wiki/Q3112379", "Q3112379")</f>
        <v>0</v>
      </c>
      <c r="G9736" t="s">
        <v>1323</v>
      </c>
      <c r="H9736" t="s">
        <v>6042</v>
      </c>
      <c r="I9736" t="s">
        <v>6860</v>
      </c>
      <c r="J9736" t="s">
        <v>12052</v>
      </c>
      <c r="K9736" t="s">
        <v>16453</v>
      </c>
      <c r="L9736">
        <f>HYPERLINK("https://www2.assemblee-nationale.fr/sycomore/fiche/(num_dept)/7519", "7519")</f>
        <v>0</v>
      </c>
      <c r="M9736">
        <f>HYPERLINK("https://www.senat.fr/senateur-3eme-republique/laval_pierre1565r3.html", "laval_pierre1565r3")</f>
        <v>0</v>
      </c>
      <c r="N9736">
        <f>HYPERLINK("https://www.wikidata.org/wiki/Q151983", "Q151983")</f>
        <v>0</v>
      </c>
      <c r="O9736" t="s">
        <v>20058</v>
      </c>
    </row>
    <row r="9737" spans="1:15">
      <c r="A9737" t="s">
        <v>86</v>
      </c>
      <c r="B9737" t="s">
        <v>149</v>
      </c>
      <c r="C9737" t="s">
        <v>218</v>
      </c>
      <c r="D9737" t="s">
        <v>347</v>
      </c>
      <c r="E9737" t="s">
        <v>465</v>
      </c>
      <c r="F9737">
        <f>HYPERLINK("https://www.wikidata.org/wiki/Q3112379", "Q3112379")</f>
        <v>0</v>
      </c>
      <c r="G9737" t="s">
        <v>1323</v>
      </c>
      <c r="H9737" t="s">
        <v>6042</v>
      </c>
      <c r="I9737" t="s">
        <v>6860</v>
      </c>
      <c r="J9737" t="s">
        <v>12052</v>
      </c>
      <c r="K9737" t="s">
        <v>16453</v>
      </c>
      <c r="L9737">
        <f>HYPERLINK("https://www2.assemblee-nationale.fr/sycomore/fiche/(num_dept)/7519", "7519")</f>
        <v>0</v>
      </c>
      <c r="M9737">
        <f>HYPERLINK("https://www.senat.fr/senateur-3eme-republique/laval_pierre1565r3.html", "laval_pierre1565r3")</f>
        <v>0</v>
      </c>
      <c r="N9737">
        <f>HYPERLINK("https://www.wikidata.org/wiki/Q151983", "Q151983")</f>
        <v>0</v>
      </c>
      <c r="O9737" t="s">
        <v>20052</v>
      </c>
    </row>
    <row r="9738" spans="1:15">
      <c r="A9738" t="s">
        <v>86</v>
      </c>
      <c r="B9738" t="s">
        <v>149</v>
      </c>
      <c r="C9738" t="s">
        <v>218</v>
      </c>
      <c r="D9738" t="s">
        <v>347</v>
      </c>
      <c r="E9738" t="s">
        <v>465</v>
      </c>
      <c r="F9738">
        <f>HYPERLINK("https://www.wikidata.org/wiki/Q3112379", "Q3112379")</f>
        <v>0</v>
      </c>
      <c r="G9738" t="s">
        <v>1333</v>
      </c>
      <c r="H9738" t="s">
        <v>5402</v>
      </c>
      <c r="I9738" t="s">
        <v>9754</v>
      </c>
      <c r="J9738" t="s">
        <v>12060</v>
      </c>
      <c r="K9738" t="s">
        <v>16462</v>
      </c>
      <c r="L9738">
        <f>HYPERLINK("https://www2.assemblee-nationale.fr/sycomore/fiche/(num_dept)/10839", "10839")</f>
        <v>0</v>
      </c>
      <c r="N9738">
        <f>HYPERLINK("https://www.wikidata.org/wiki/Q471296", "Q471296")</f>
        <v>0</v>
      </c>
      <c r="O9738" t="s">
        <v>20066</v>
      </c>
    </row>
    <row r="9739" spans="1:15">
      <c r="A9739" t="s">
        <v>86</v>
      </c>
      <c r="B9739" t="s">
        <v>149</v>
      </c>
      <c r="C9739" t="s">
        <v>218</v>
      </c>
      <c r="D9739" t="s">
        <v>347</v>
      </c>
      <c r="E9739" t="s">
        <v>465</v>
      </c>
      <c r="F9739">
        <f>HYPERLINK("https://www.wikidata.org/wiki/Q3112379", "Q3112379")</f>
        <v>0</v>
      </c>
      <c r="G9739" t="s">
        <v>4234</v>
      </c>
      <c r="H9739" t="s">
        <v>8411</v>
      </c>
      <c r="I9739" t="s">
        <v>9593</v>
      </c>
      <c r="J9739" t="s">
        <v>14741</v>
      </c>
      <c r="K9739" t="s">
        <v>19086</v>
      </c>
      <c r="M9739">
        <f>HYPERLINK("https://www.senat.fr/senateur-3eme-republique/roustan_marius0246r3.html", "roustan_marius0246r3")</f>
        <v>0</v>
      </c>
      <c r="N9739">
        <f>HYPERLINK("https://www.wikidata.org/wiki/Q3293852", "Q3293852")</f>
        <v>0</v>
      </c>
      <c r="O9739" t="s">
        <v>20051</v>
      </c>
    </row>
    <row r="9740" spans="1:15">
      <c r="A9740" t="s">
        <v>86</v>
      </c>
      <c r="B9740" t="s">
        <v>149</v>
      </c>
      <c r="C9740" t="s">
        <v>218</v>
      </c>
      <c r="D9740" t="s">
        <v>347</v>
      </c>
      <c r="E9740" t="s">
        <v>465</v>
      </c>
      <c r="F9740">
        <f>HYPERLINK("https://www.wikidata.org/wiki/Q3112379", "Q3112379")</f>
        <v>0</v>
      </c>
      <c r="G9740" t="s">
        <v>522</v>
      </c>
      <c r="H9740" t="s">
        <v>5286</v>
      </c>
      <c r="I9740" t="s">
        <v>5528</v>
      </c>
      <c r="J9740" t="s">
        <v>11274</v>
      </c>
      <c r="K9740" t="s">
        <v>19078</v>
      </c>
      <c r="N9740">
        <f>HYPERLINK("https://www.wikidata.org/wiki/Q18384890", "Q18384890")</f>
        <v>0</v>
      </c>
      <c r="O9740" t="s">
        <v>20064</v>
      </c>
    </row>
    <row r="9741" spans="1:15">
      <c r="A9741" t="s">
        <v>86</v>
      </c>
      <c r="B9741" t="s">
        <v>149</v>
      </c>
      <c r="C9741" t="s">
        <v>218</v>
      </c>
      <c r="D9741" t="s">
        <v>347</v>
      </c>
      <c r="E9741" t="s">
        <v>465</v>
      </c>
      <c r="F9741">
        <f>HYPERLINK("https://www.wikidata.org/wiki/Q3112379", "Q3112379")</f>
        <v>0</v>
      </c>
      <c r="G9741" t="s">
        <v>948</v>
      </c>
      <c r="H9741" t="s">
        <v>5386</v>
      </c>
      <c r="I9741" t="s">
        <v>9385</v>
      </c>
      <c r="J9741" t="s">
        <v>11689</v>
      </c>
      <c r="K9741" t="s">
        <v>16090</v>
      </c>
      <c r="N9741">
        <f>HYPERLINK("https://www.wikidata.org/wiki/Q475755", "Q475755")</f>
        <v>0</v>
      </c>
      <c r="O9741" t="s">
        <v>20097</v>
      </c>
    </row>
    <row r="9742" spans="1:15">
      <c r="A9742" t="s">
        <v>87</v>
      </c>
      <c r="B9742" t="s">
        <v>149</v>
      </c>
      <c r="C9742" t="s">
        <v>219</v>
      </c>
      <c r="D9742" t="s">
        <v>348</v>
      </c>
      <c r="E9742" t="s">
        <v>466</v>
      </c>
      <c r="F9742">
        <f>HYPERLINK("https://www.wikidata.org/wiki/Q3112382", "Q3112382")</f>
        <v>0</v>
      </c>
      <c r="G9742" t="s">
        <v>1225</v>
      </c>
      <c r="H9742" t="s">
        <v>5950</v>
      </c>
      <c r="I9742" t="s">
        <v>9506</v>
      </c>
      <c r="J9742" t="s">
        <v>11957</v>
      </c>
      <c r="K9742" t="s">
        <v>16359</v>
      </c>
      <c r="L9742">
        <f>HYPERLINK("https://www2.assemblee-nationale.fr/sycomore/fiche/(num_dept)/842", "842")</f>
        <v>0</v>
      </c>
      <c r="N9742">
        <f>HYPERLINK("https://www.wikidata.org/wiki/Q2934871", "Q2934871")</f>
        <v>0</v>
      </c>
      <c r="O9742" t="s">
        <v>20089</v>
      </c>
    </row>
    <row r="9743" spans="1:15">
      <c r="A9743" t="s">
        <v>87</v>
      </c>
      <c r="B9743" t="s">
        <v>149</v>
      </c>
      <c r="C9743" t="s">
        <v>219</v>
      </c>
      <c r="D9743" t="s">
        <v>348</v>
      </c>
      <c r="E9743" t="s">
        <v>466</v>
      </c>
      <c r="F9743">
        <f>HYPERLINK("https://www.wikidata.org/wiki/Q3112382", "Q3112382")</f>
        <v>0</v>
      </c>
      <c r="G9743" t="s">
        <v>2032</v>
      </c>
      <c r="H9743" t="s">
        <v>6664</v>
      </c>
      <c r="I9743" t="s">
        <v>6860</v>
      </c>
      <c r="J9743" t="s">
        <v>12706</v>
      </c>
      <c r="K9743" t="s">
        <v>17118</v>
      </c>
      <c r="L9743">
        <f>HYPERLINK("https://www2.assemblee-nationale.fr/sycomore/fiche/(num_dept)/1521", "1521")</f>
        <v>0</v>
      </c>
      <c r="N9743">
        <f>HYPERLINK("https://www.wikidata.org/wiki/Q1921652", "Q1921652")</f>
        <v>0</v>
      </c>
      <c r="O9743" t="s">
        <v>20058</v>
      </c>
    </row>
    <row r="9744" spans="1:15">
      <c r="A9744" t="s">
        <v>87</v>
      </c>
      <c r="B9744" t="s">
        <v>149</v>
      </c>
      <c r="C9744" t="s">
        <v>219</v>
      </c>
      <c r="D9744" t="s">
        <v>348</v>
      </c>
      <c r="E9744" t="s">
        <v>466</v>
      </c>
      <c r="F9744">
        <f>HYPERLINK("https://www.wikidata.org/wiki/Q3112382", "Q3112382")</f>
        <v>0</v>
      </c>
      <c r="G9744" t="s">
        <v>1754</v>
      </c>
      <c r="H9744" t="s">
        <v>6424</v>
      </c>
      <c r="I9744" t="s">
        <v>9552</v>
      </c>
      <c r="J9744" t="s">
        <v>12454</v>
      </c>
      <c r="K9744" t="s">
        <v>16860</v>
      </c>
      <c r="L9744">
        <f>HYPERLINK("https://www2.assemblee-nationale.fr/sycomore/fiche/(num_dept)/1631", "1631")</f>
        <v>0</v>
      </c>
      <c r="M9744">
        <f>HYPERLINK("https://www.senat.fr/senateur-3eme-republique/champetier_de_ribes_auguste0517r4.html", "champetier_de_ribes_auguste0517r4")</f>
        <v>0</v>
      </c>
      <c r="N9744">
        <f>HYPERLINK("https://www.wikidata.org/wiki/Q478746", "Q478746")</f>
        <v>0</v>
      </c>
      <c r="O9744" t="s">
        <v>20088</v>
      </c>
    </row>
    <row r="9745" spans="1:15">
      <c r="A9745" t="s">
        <v>87</v>
      </c>
      <c r="B9745" t="s">
        <v>149</v>
      </c>
      <c r="C9745" t="s">
        <v>219</v>
      </c>
      <c r="D9745" t="s">
        <v>348</v>
      </c>
      <c r="E9745" t="s">
        <v>466</v>
      </c>
      <c r="F9745">
        <f>HYPERLINK("https://www.wikidata.org/wiki/Q3112382", "Q3112382")</f>
        <v>0</v>
      </c>
      <c r="G9745" t="s">
        <v>906</v>
      </c>
      <c r="H9745" t="s">
        <v>5662</v>
      </c>
      <c r="I9745" t="s">
        <v>6495</v>
      </c>
      <c r="J9745" t="s">
        <v>11377</v>
      </c>
      <c r="K9745" t="s">
        <v>16050</v>
      </c>
      <c r="L9745">
        <f>HYPERLINK("https://www2.assemblee-nationale.fr/sycomore/fiche/(num_dept)/1648", "1648")</f>
        <v>0</v>
      </c>
      <c r="N9745">
        <f>HYPERLINK("https://www.wikidata.org/wiki/Q3263418", "Q3263418")</f>
        <v>0</v>
      </c>
      <c r="O9745" t="s">
        <v>20108</v>
      </c>
    </row>
    <row r="9746" spans="1:15">
      <c r="A9746" t="s">
        <v>87</v>
      </c>
      <c r="B9746" t="s">
        <v>149</v>
      </c>
      <c r="C9746" t="s">
        <v>219</v>
      </c>
      <c r="D9746" t="s">
        <v>348</v>
      </c>
      <c r="E9746" t="s">
        <v>466</v>
      </c>
      <c r="F9746">
        <f>HYPERLINK("https://www.wikidata.org/wiki/Q3112382", "Q3112382")</f>
        <v>0</v>
      </c>
      <c r="G9746" t="s">
        <v>2047</v>
      </c>
      <c r="H9746" t="s">
        <v>6678</v>
      </c>
      <c r="I9746" t="s">
        <v>7642</v>
      </c>
      <c r="J9746" t="s">
        <v>12720</v>
      </c>
      <c r="K9746" t="s">
        <v>17131</v>
      </c>
      <c r="L9746">
        <f>HYPERLINK("https://www2.assemblee-nationale.fr/sycomore/fiche/(num_dept)/2303", "2303")</f>
        <v>0</v>
      </c>
      <c r="N9746">
        <f>HYPERLINK("https://www.wikidata.org/wiki/Q3300659", "Q3300659")</f>
        <v>0</v>
      </c>
      <c r="O9746" t="s">
        <v>20063</v>
      </c>
    </row>
    <row r="9747" spans="1:15">
      <c r="A9747" t="s">
        <v>87</v>
      </c>
      <c r="B9747" t="s">
        <v>149</v>
      </c>
      <c r="C9747" t="s">
        <v>219</v>
      </c>
      <c r="D9747" t="s">
        <v>348</v>
      </c>
      <c r="E9747" t="s">
        <v>466</v>
      </c>
      <c r="F9747">
        <f>HYPERLINK("https://www.wikidata.org/wiki/Q3112382", "Q3112382")</f>
        <v>0</v>
      </c>
      <c r="G9747" t="s">
        <v>1251</v>
      </c>
      <c r="H9747" t="s">
        <v>5975</v>
      </c>
      <c r="I9747" t="s">
        <v>9727</v>
      </c>
      <c r="J9747" t="s">
        <v>11981</v>
      </c>
      <c r="K9747" t="s">
        <v>16384</v>
      </c>
      <c r="L9747">
        <f>HYPERLINK("https://www2.assemblee-nationale.fr/sycomore/fiche/(num_dept)/2496", "2496")</f>
        <v>0</v>
      </c>
      <c r="N9747">
        <f>HYPERLINK("https://www.wikidata.org/wiki/Q725749", "Q725749")</f>
        <v>0</v>
      </c>
      <c r="O9747" t="s">
        <v>20192</v>
      </c>
    </row>
    <row r="9748" spans="1:15">
      <c r="A9748" t="s">
        <v>87</v>
      </c>
      <c r="B9748" t="s">
        <v>149</v>
      </c>
      <c r="C9748" t="s">
        <v>219</v>
      </c>
      <c r="D9748" t="s">
        <v>348</v>
      </c>
      <c r="E9748" t="s">
        <v>466</v>
      </c>
      <c r="F9748">
        <f>HYPERLINK("https://www.wikidata.org/wiki/Q3112382", "Q3112382")</f>
        <v>0</v>
      </c>
      <c r="G9748" t="s">
        <v>1438</v>
      </c>
      <c r="H9748" t="s">
        <v>6140</v>
      </c>
      <c r="I9748" t="s">
        <v>6860</v>
      </c>
      <c r="J9748" t="s">
        <v>12159</v>
      </c>
      <c r="K9748" t="s">
        <v>16564</v>
      </c>
      <c r="L9748">
        <f>HYPERLINK("https://www2.assemblee-nationale.fr/sycomore/fiche/(num_dept)/2514", "2514")</f>
        <v>0</v>
      </c>
      <c r="N9748">
        <f>HYPERLINK("https://www.wikidata.org/wiki/Q3384763", "Q3384763")</f>
        <v>0</v>
      </c>
      <c r="O9748" t="s">
        <v>20095</v>
      </c>
    </row>
    <row r="9749" spans="1:15">
      <c r="A9749" t="s">
        <v>87</v>
      </c>
      <c r="B9749" t="s">
        <v>149</v>
      </c>
      <c r="C9749" t="s">
        <v>219</v>
      </c>
      <c r="D9749" t="s">
        <v>348</v>
      </c>
      <c r="E9749" t="s">
        <v>466</v>
      </c>
      <c r="F9749">
        <f>HYPERLINK("https://www.wikidata.org/wiki/Q3112382", "Q3112382")</f>
        <v>0</v>
      </c>
      <c r="G9749" t="s">
        <v>625</v>
      </c>
      <c r="H9749" t="s">
        <v>5385</v>
      </c>
      <c r="I9749" t="s">
        <v>9460</v>
      </c>
      <c r="J9749" t="s">
        <v>11375</v>
      </c>
      <c r="K9749" t="s">
        <v>15777</v>
      </c>
      <c r="L9749">
        <f>HYPERLINK("https://www2.assemblee-nationale.fr/sycomore/fiche/(num_dept)/2699", "2699")</f>
        <v>0</v>
      </c>
      <c r="M9749">
        <f>HYPERLINK("https://www.senat.fr/senateur-3eme-republique/dumesnil_jacques1613r3.html", "dumesnil_jacques1613r3")</f>
        <v>0</v>
      </c>
      <c r="N9749">
        <f>HYPERLINK("https://www.wikidata.org/wiki/Q3157989", "Q3157989")</f>
        <v>0</v>
      </c>
      <c r="O9749" t="s">
        <v>20072</v>
      </c>
    </row>
    <row r="9750" spans="1:15">
      <c r="A9750" t="s">
        <v>87</v>
      </c>
      <c r="B9750" t="s">
        <v>149</v>
      </c>
      <c r="C9750" t="s">
        <v>219</v>
      </c>
      <c r="D9750" t="s">
        <v>348</v>
      </c>
      <c r="E9750" t="s">
        <v>466</v>
      </c>
      <c r="F9750">
        <f>HYPERLINK("https://www.wikidata.org/wiki/Q3112382", "Q3112382")</f>
        <v>0</v>
      </c>
      <c r="G9750" t="s">
        <v>1466</v>
      </c>
      <c r="H9750" t="s">
        <v>6165</v>
      </c>
      <c r="I9750" t="s">
        <v>9820</v>
      </c>
      <c r="J9750" t="s">
        <v>12185</v>
      </c>
      <c r="K9750" t="s">
        <v>16591</v>
      </c>
      <c r="L9750">
        <f>HYPERLINK("https://www2.assemblee-nationale.fr/sycomore/fiche/(num_dept)/3080", "3080")</f>
        <v>0</v>
      </c>
      <c r="N9750">
        <f>HYPERLINK("https://www.wikidata.org/wiki/Q2861749", "Q2861749")</f>
        <v>0</v>
      </c>
      <c r="O9750" t="s">
        <v>20056</v>
      </c>
    </row>
    <row r="9751" spans="1:15">
      <c r="A9751" t="s">
        <v>87</v>
      </c>
      <c r="B9751" t="s">
        <v>149</v>
      </c>
      <c r="C9751" t="s">
        <v>219</v>
      </c>
      <c r="D9751" t="s">
        <v>348</v>
      </c>
      <c r="E9751" t="s">
        <v>466</v>
      </c>
      <c r="F9751">
        <f>HYPERLINK("https://www.wikidata.org/wiki/Q3112382", "Q3112382")</f>
        <v>0</v>
      </c>
      <c r="G9751" t="s">
        <v>2069</v>
      </c>
      <c r="H9751" t="s">
        <v>6696</v>
      </c>
      <c r="I9751" t="s">
        <v>7642</v>
      </c>
      <c r="J9751" t="s">
        <v>12740</v>
      </c>
      <c r="K9751" t="s">
        <v>17151</v>
      </c>
      <c r="L9751">
        <f>HYPERLINK("https://www2.assemblee-nationale.fr/sycomore/fiche/(num_dept)/3082", "3082")</f>
        <v>0</v>
      </c>
      <c r="N9751">
        <f>HYPERLINK("https://www.wikidata.org/wiki/Q3300788", "Q3300788")</f>
        <v>0</v>
      </c>
      <c r="O9751" t="s">
        <v>20160</v>
      </c>
    </row>
    <row r="9752" spans="1:15">
      <c r="A9752" t="s">
        <v>87</v>
      </c>
      <c r="B9752" t="s">
        <v>149</v>
      </c>
      <c r="C9752" t="s">
        <v>219</v>
      </c>
      <c r="D9752" t="s">
        <v>348</v>
      </c>
      <c r="E9752" t="s">
        <v>466</v>
      </c>
      <c r="F9752">
        <f>HYPERLINK("https://www.wikidata.org/wiki/Q3112382", "Q3112382")</f>
        <v>0</v>
      </c>
      <c r="G9752" t="s">
        <v>1468</v>
      </c>
      <c r="H9752" t="s">
        <v>6167</v>
      </c>
      <c r="I9752" t="s">
        <v>9385</v>
      </c>
      <c r="J9752" t="s">
        <v>12187</v>
      </c>
      <c r="K9752" t="s">
        <v>16593</v>
      </c>
      <c r="L9752">
        <f>HYPERLINK("https://www2.assemblee-nationale.fr/sycomore/fiche/(num_dept)/3153", "3153")</f>
        <v>0</v>
      </c>
      <c r="N9752">
        <f>HYPERLINK("https://www.wikidata.org/wiki/Q2959129", "Q2959129")</f>
        <v>0</v>
      </c>
      <c r="O9752" t="s">
        <v>20295</v>
      </c>
    </row>
    <row r="9753" spans="1:15">
      <c r="A9753" t="s">
        <v>87</v>
      </c>
      <c r="B9753" t="s">
        <v>149</v>
      </c>
      <c r="C9753" t="s">
        <v>219</v>
      </c>
      <c r="D9753" t="s">
        <v>348</v>
      </c>
      <c r="E9753" t="s">
        <v>466</v>
      </c>
      <c r="F9753">
        <f>HYPERLINK("https://www.wikidata.org/wiki/Q3112382", "Q3112382")</f>
        <v>0</v>
      </c>
      <c r="G9753" t="s">
        <v>1957</v>
      </c>
      <c r="H9753" t="s">
        <v>5417</v>
      </c>
      <c r="I9753" t="s">
        <v>9470</v>
      </c>
      <c r="J9753" t="s">
        <v>12640</v>
      </c>
      <c r="K9753" t="s">
        <v>17050</v>
      </c>
      <c r="L9753">
        <f>HYPERLINK("https://www2.assemblee-nationale.fr/sycomore/fiche/(num_dept)/3360", "3360")</f>
        <v>0</v>
      </c>
      <c r="N9753">
        <f>HYPERLINK("https://www.wikidata.org/wiki/Q3099030", "Q3099030")</f>
        <v>0</v>
      </c>
      <c r="O9753" t="s">
        <v>20296</v>
      </c>
    </row>
    <row r="9754" spans="1:15">
      <c r="A9754" t="s">
        <v>87</v>
      </c>
      <c r="B9754" t="s">
        <v>149</v>
      </c>
      <c r="C9754" t="s">
        <v>219</v>
      </c>
      <c r="D9754" t="s">
        <v>348</v>
      </c>
      <c r="E9754" t="s">
        <v>466</v>
      </c>
      <c r="F9754">
        <f>HYPERLINK("https://www.wikidata.org/wiki/Q3112382", "Q3112382")</f>
        <v>0</v>
      </c>
      <c r="G9754" t="s">
        <v>2075</v>
      </c>
      <c r="H9754" t="s">
        <v>6702</v>
      </c>
      <c r="I9754" t="s">
        <v>10072</v>
      </c>
      <c r="J9754" t="s">
        <v>12746</v>
      </c>
      <c r="K9754" t="s">
        <v>17157</v>
      </c>
      <c r="L9754">
        <f>HYPERLINK("https://www2.assemblee-nationale.fr/sycomore/fiche/(num_dept)/3404", "3404")</f>
        <v>0</v>
      </c>
      <c r="N9754">
        <f>HYPERLINK("https://www.wikidata.org/wiki/Q2976757", "Q2976757")</f>
        <v>0</v>
      </c>
      <c r="O9754" t="s">
        <v>20301</v>
      </c>
    </row>
    <row r="9755" spans="1:15">
      <c r="A9755" t="s">
        <v>87</v>
      </c>
      <c r="B9755" t="s">
        <v>149</v>
      </c>
      <c r="C9755" t="s">
        <v>219</v>
      </c>
      <c r="D9755" t="s">
        <v>348</v>
      </c>
      <c r="E9755" t="s">
        <v>466</v>
      </c>
      <c r="F9755">
        <f>HYPERLINK("https://www.wikidata.org/wiki/Q3112382", "Q3112382")</f>
        <v>0</v>
      </c>
      <c r="G9755" t="s">
        <v>672</v>
      </c>
      <c r="H9755" t="s">
        <v>5431</v>
      </c>
      <c r="I9755" t="s">
        <v>9385</v>
      </c>
      <c r="J9755" t="s">
        <v>11422</v>
      </c>
      <c r="K9755" t="s">
        <v>15823</v>
      </c>
      <c r="L9755">
        <f>HYPERLINK("https://www2.assemblee-nationale.fr/sycomore/fiche/(num_dept)/3634", "3634")</f>
        <v>0</v>
      </c>
      <c r="N9755">
        <f>HYPERLINK("https://www.wikidata.org/wiki/Q2959267", "Q2959267")</f>
        <v>0</v>
      </c>
      <c r="O9755" t="s">
        <v>20193</v>
      </c>
    </row>
    <row r="9756" spans="1:15">
      <c r="A9756" t="s">
        <v>87</v>
      </c>
      <c r="B9756" t="s">
        <v>149</v>
      </c>
      <c r="C9756" t="s">
        <v>219</v>
      </c>
      <c r="D9756" t="s">
        <v>348</v>
      </c>
      <c r="E9756" t="s">
        <v>466</v>
      </c>
      <c r="F9756">
        <f>HYPERLINK("https://www.wikidata.org/wiki/Q3112382", "Q3112382")</f>
        <v>0</v>
      </c>
      <c r="G9756" t="s">
        <v>983</v>
      </c>
      <c r="H9756" t="s">
        <v>5735</v>
      </c>
      <c r="I9756" t="s">
        <v>9534</v>
      </c>
      <c r="J9756" t="s">
        <v>11721</v>
      </c>
      <c r="K9756" t="s">
        <v>16125</v>
      </c>
      <c r="L9756">
        <f>HYPERLINK("https://www2.assemblee-nationale.fr/sycomore/fiche/(num_dept)/4326", "4326")</f>
        <v>0</v>
      </c>
      <c r="M9756">
        <f>HYPERLINK("https://www.senat.fr/senateur-3eme-republique/landry_adolphe0199r4.html", "landry_adolphe0199r4")</f>
        <v>0</v>
      </c>
      <c r="N9756">
        <f>HYPERLINK("https://www.wikidata.org/wiki/Q2824853", "Q2824853")</f>
        <v>0</v>
      </c>
      <c r="O9756" t="s">
        <v>20204</v>
      </c>
    </row>
    <row r="9757" spans="1:15">
      <c r="A9757" t="s">
        <v>87</v>
      </c>
      <c r="B9757" t="s">
        <v>149</v>
      </c>
      <c r="C9757" t="s">
        <v>219</v>
      </c>
      <c r="D9757" t="s">
        <v>348</v>
      </c>
      <c r="E9757" t="s">
        <v>466</v>
      </c>
      <c r="F9757">
        <f>HYPERLINK("https://www.wikidata.org/wiki/Q3112382", "Q3112382")</f>
        <v>0</v>
      </c>
      <c r="G9757" t="s">
        <v>1553</v>
      </c>
      <c r="H9757" t="s">
        <v>6244</v>
      </c>
      <c r="I9757" t="s">
        <v>9437</v>
      </c>
      <c r="J9757" t="s">
        <v>12267</v>
      </c>
      <c r="K9757" t="s">
        <v>16675</v>
      </c>
      <c r="L9757">
        <f>HYPERLINK("https://www2.assemblee-nationale.fr/sycomore/fiche/(num_dept)/5425", "5425")</f>
        <v>0</v>
      </c>
      <c r="N9757">
        <f>HYPERLINK("https://www.wikidata.org/wiki/Q3588669", "Q3588669")</f>
        <v>0</v>
      </c>
      <c r="O9757" t="s">
        <v>20297</v>
      </c>
    </row>
    <row r="9758" spans="1:15">
      <c r="A9758" t="s">
        <v>87</v>
      </c>
      <c r="B9758" t="s">
        <v>149</v>
      </c>
      <c r="C9758" t="s">
        <v>219</v>
      </c>
      <c r="D9758" t="s">
        <v>348</v>
      </c>
      <c r="E9758" t="s">
        <v>466</v>
      </c>
      <c r="F9758">
        <f>HYPERLINK("https://www.wikidata.org/wiki/Q3112382", "Q3112382")</f>
        <v>0</v>
      </c>
      <c r="G9758" t="s">
        <v>1923</v>
      </c>
      <c r="H9758" t="s">
        <v>6570</v>
      </c>
      <c r="I9758" t="s">
        <v>7642</v>
      </c>
      <c r="J9758" t="s">
        <v>12608</v>
      </c>
      <c r="K9758" t="s">
        <v>17019</v>
      </c>
      <c r="L9758">
        <f>HYPERLINK("https://www2.assemblee-nationale.fr/sycomore/fiche/(num_dept)/5854", "5854")</f>
        <v>0</v>
      </c>
      <c r="N9758">
        <f>HYPERLINK("https://www.wikidata.org/wiki/Q3301257", "Q3301257")</f>
        <v>0</v>
      </c>
      <c r="O9758" t="s">
        <v>20298</v>
      </c>
    </row>
    <row r="9759" spans="1:15">
      <c r="A9759" t="s">
        <v>87</v>
      </c>
      <c r="B9759" t="s">
        <v>149</v>
      </c>
      <c r="C9759" t="s">
        <v>219</v>
      </c>
      <c r="D9759" t="s">
        <v>348</v>
      </c>
      <c r="E9759" t="s">
        <v>466</v>
      </c>
      <c r="F9759">
        <f>HYPERLINK("https://www.wikidata.org/wiki/Q3112382", "Q3112382")</f>
        <v>0</v>
      </c>
      <c r="G9759" t="s">
        <v>1873</v>
      </c>
      <c r="H9759" t="s">
        <v>6528</v>
      </c>
      <c r="I9759" t="s">
        <v>6166</v>
      </c>
      <c r="J9759" t="s">
        <v>12561</v>
      </c>
      <c r="K9759" t="s">
        <v>16973</v>
      </c>
      <c r="L9759">
        <f>HYPERLINK("https://www2.assemblee-nationale.fr/sycomore/fiche/(num_dept)/5924", "5924")</f>
        <v>0</v>
      </c>
      <c r="N9759">
        <f>HYPERLINK("https://www.wikidata.org/wiki/Q3085590", "Q3085590")</f>
        <v>0</v>
      </c>
      <c r="O9759" t="s">
        <v>20194</v>
      </c>
    </row>
    <row r="9760" spans="1:15">
      <c r="A9760" t="s">
        <v>87</v>
      </c>
      <c r="B9760" t="s">
        <v>149</v>
      </c>
      <c r="C9760" t="s">
        <v>219</v>
      </c>
      <c r="D9760" t="s">
        <v>348</v>
      </c>
      <c r="E9760" t="s">
        <v>466</v>
      </c>
      <c r="F9760">
        <f>HYPERLINK("https://www.wikidata.org/wiki/Q3112382", "Q3112382")</f>
        <v>0</v>
      </c>
      <c r="G9760" t="s">
        <v>1581</v>
      </c>
      <c r="H9760" t="s">
        <v>6271</v>
      </c>
      <c r="I9760" t="s">
        <v>6495</v>
      </c>
      <c r="J9760" t="s">
        <v>12293</v>
      </c>
      <c r="K9760" t="s">
        <v>16700</v>
      </c>
      <c r="L9760">
        <f>HYPERLINK("https://www2.assemblee-nationale.fr/sycomore/fiche/(num_dept)/6068", "6068")</f>
        <v>0</v>
      </c>
      <c r="N9760">
        <f>HYPERLINK("https://www.wikidata.org/wiki/Q3263043", "Q3263043")</f>
        <v>0</v>
      </c>
      <c r="O9760" t="s">
        <v>20135</v>
      </c>
    </row>
    <row r="9761" spans="1:15">
      <c r="A9761" t="s">
        <v>87</v>
      </c>
      <c r="B9761" t="s">
        <v>149</v>
      </c>
      <c r="C9761" t="s">
        <v>219</v>
      </c>
      <c r="D9761" t="s">
        <v>348</v>
      </c>
      <c r="E9761" t="s">
        <v>466</v>
      </c>
      <c r="F9761">
        <f>HYPERLINK("https://www.wikidata.org/wiki/Q3112382", "Q3112382")</f>
        <v>0</v>
      </c>
      <c r="G9761" t="s">
        <v>2156</v>
      </c>
      <c r="H9761" t="s">
        <v>6770</v>
      </c>
      <c r="I9761" t="s">
        <v>9385</v>
      </c>
      <c r="J9761" t="s">
        <v>12820</v>
      </c>
      <c r="K9761" t="s">
        <v>17235</v>
      </c>
      <c r="L9761">
        <f>HYPERLINK("https://www2.assemblee-nationale.fr/sycomore/fiche/(num_dept)/6406", "6406")</f>
        <v>0</v>
      </c>
      <c r="N9761">
        <f>HYPERLINK("https://www.wikidata.org/wiki/Q2960033", "Q2960033")</f>
        <v>0</v>
      </c>
      <c r="O9761" t="s">
        <v>20299</v>
      </c>
    </row>
    <row r="9762" spans="1:15">
      <c r="A9762" t="s">
        <v>87</v>
      </c>
      <c r="B9762" t="s">
        <v>149</v>
      </c>
      <c r="C9762" t="s">
        <v>219</v>
      </c>
      <c r="D9762" t="s">
        <v>348</v>
      </c>
      <c r="E9762" t="s">
        <v>466</v>
      </c>
      <c r="F9762">
        <f>HYPERLINK("https://www.wikidata.org/wiki/Q3112382", "Q3112382")</f>
        <v>0</v>
      </c>
      <c r="G9762" t="s">
        <v>1616</v>
      </c>
      <c r="H9762" t="s">
        <v>6301</v>
      </c>
      <c r="I9762" t="s">
        <v>9388</v>
      </c>
      <c r="J9762" t="s">
        <v>12323</v>
      </c>
      <c r="K9762" t="s">
        <v>16733</v>
      </c>
      <c r="L9762">
        <f>HYPERLINK("https://www2.assemblee-nationale.fr/sycomore/fiche/(num_dept)/6710", "6710")</f>
        <v>0</v>
      </c>
      <c r="N9762">
        <f>HYPERLINK("https://www.wikidata.org/wiki/Q161076", "Q161076")</f>
        <v>0</v>
      </c>
      <c r="O9762" t="s">
        <v>20065</v>
      </c>
    </row>
    <row r="9763" spans="1:15">
      <c r="A9763" t="s">
        <v>87</v>
      </c>
      <c r="B9763" t="s">
        <v>149</v>
      </c>
      <c r="C9763" t="s">
        <v>219</v>
      </c>
      <c r="D9763" t="s">
        <v>348</v>
      </c>
      <c r="E9763" t="s">
        <v>466</v>
      </c>
      <c r="F9763">
        <f>HYPERLINK("https://www.wikidata.org/wiki/Q3112382", "Q3112382")</f>
        <v>0</v>
      </c>
      <c r="G9763" t="s">
        <v>2166</v>
      </c>
      <c r="H9763" t="s">
        <v>6780</v>
      </c>
      <c r="I9763" t="s">
        <v>5394</v>
      </c>
      <c r="J9763" t="s">
        <v>12830</v>
      </c>
      <c r="K9763" t="s">
        <v>17245</v>
      </c>
      <c r="L9763">
        <f>HYPERLINK("https://www2.assemblee-nationale.fr/sycomore/fiche/(num_dept)/6742", "6742")</f>
        <v>0</v>
      </c>
      <c r="N9763">
        <f>HYPERLINK("https://www.wikidata.org/wiki/Q3592354", "Q3592354")</f>
        <v>0</v>
      </c>
      <c r="O9763" t="s">
        <v>20293</v>
      </c>
    </row>
    <row r="9764" spans="1:15">
      <c r="A9764" t="s">
        <v>87</v>
      </c>
      <c r="B9764" t="s">
        <v>149</v>
      </c>
      <c r="C9764" t="s">
        <v>219</v>
      </c>
      <c r="D9764" t="s">
        <v>348</v>
      </c>
      <c r="E9764" t="s">
        <v>466</v>
      </c>
      <c r="F9764">
        <f>HYPERLINK("https://www.wikidata.org/wiki/Q3112382", "Q3112382")</f>
        <v>0</v>
      </c>
      <c r="G9764" t="s">
        <v>1206</v>
      </c>
      <c r="H9764" t="s">
        <v>5934</v>
      </c>
      <c r="I9764" t="s">
        <v>6585</v>
      </c>
      <c r="J9764" t="s">
        <v>11939</v>
      </c>
      <c r="K9764" t="s">
        <v>16340</v>
      </c>
      <c r="L9764">
        <f>HYPERLINK("https://www2.assemblee-nationale.fr/sycomore/fiche/(num_dept)/6953", "6953")</f>
        <v>0</v>
      </c>
      <c r="N9764">
        <f>HYPERLINK("https://www.wikidata.org/wiki/Q346648", "Q346648")</f>
        <v>0</v>
      </c>
      <c r="O9764" t="s">
        <v>20057</v>
      </c>
    </row>
    <row r="9765" spans="1:15">
      <c r="A9765" t="s">
        <v>87</v>
      </c>
      <c r="B9765" t="s">
        <v>149</v>
      </c>
      <c r="C9765" t="s">
        <v>219</v>
      </c>
      <c r="D9765" t="s">
        <v>348</v>
      </c>
      <c r="E9765" t="s">
        <v>466</v>
      </c>
      <c r="F9765">
        <f>HYPERLINK("https://www.wikidata.org/wiki/Q3112382", "Q3112382")</f>
        <v>0</v>
      </c>
      <c r="G9765" t="s">
        <v>1323</v>
      </c>
      <c r="H9765" t="s">
        <v>6042</v>
      </c>
      <c r="I9765" t="s">
        <v>6860</v>
      </c>
      <c r="J9765" t="s">
        <v>12052</v>
      </c>
      <c r="K9765" t="s">
        <v>16453</v>
      </c>
      <c r="L9765">
        <f>HYPERLINK("https://www2.assemblee-nationale.fr/sycomore/fiche/(num_dept)/7519", "7519")</f>
        <v>0</v>
      </c>
      <c r="M9765">
        <f>HYPERLINK("https://www.senat.fr/senateur-3eme-republique/laval_pierre1565r3.html", "laval_pierre1565r3")</f>
        <v>0</v>
      </c>
      <c r="N9765">
        <f>HYPERLINK("https://www.wikidata.org/wiki/Q151983", "Q151983")</f>
        <v>0</v>
      </c>
      <c r="O9765" t="s">
        <v>20062</v>
      </c>
    </row>
    <row r="9766" spans="1:15">
      <c r="A9766" t="s">
        <v>87</v>
      </c>
      <c r="B9766" t="s">
        <v>149</v>
      </c>
      <c r="C9766" t="s">
        <v>219</v>
      </c>
      <c r="D9766" t="s">
        <v>348</v>
      </c>
      <c r="E9766" t="s">
        <v>466</v>
      </c>
      <c r="F9766">
        <f>HYPERLINK("https://www.wikidata.org/wiki/Q3112382", "Q3112382")</f>
        <v>0</v>
      </c>
      <c r="G9766" t="s">
        <v>1323</v>
      </c>
      <c r="H9766" t="s">
        <v>6042</v>
      </c>
      <c r="I9766" t="s">
        <v>6860</v>
      </c>
      <c r="J9766" t="s">
        <v>12052</v>
      </c>
      <c r="K9766" t="s">
        <v>16453</v>
      </c>
      <c r="L9766">
        <f>HYPERLINK("https://www2.assemblee-nationale.fr/sycomore/fiche/(num_dept)/7519", "7519")</f>
        <v>0</v>
      </c>
      <c r="M9766">
        <f>HYPERLINK("https://www.senat.fr/senateur-3eme-republique/laval_pierre1565r3.html", "laval_pierre1565r3")</f>
        <v>0</v>
      </c>
      <c r="N9766">
        <f>HYPERLINK("https://www.wikidata.org/wiki/Q151983", "Q151983")</f>
        <v>0</v>
      </c>
      <c r="O9766" t="s">
        <v>20052</v>
      </c>
    </row>
    <row r="9767" spans="1:15">
      <c r="A9767" t="s">
        <v>87</v>
      </c>
      <c r="B9767" t="s">
        <v>149</v>
      </c>
      <c r="C9767" t="s">
        <v>219</v>
      </c>
      <c r="D9767" t="s">
        <v>348</v>
      </c>
      <c r="E9767" t="s">
        <v>466</v>
      </c>
      <c r="F9767">
        <f>HYPERLINK("https://www.wikidata.org/wiki/Q3112382", "Q3112382")</f>
        <v>0</v>
      </c>
      <c r="G9767" t="s">
        <v>1333</v>
      </c>
      <c r="H9767" t="s">
        <v>5402</v>
      </c>
      <c r="I9767" t="s">
        <v>9754</v>
      </c>
      <c r="J9767" t="s">
        <v>12060</v>
      </c>
      <c r="K9767" t="s">
        <v>16462</v>
      </c>
      <c r="L9767">
        <f>HYPERLINK("https://www2.assemblee-nationale.fr/sycomore/fiche/(num_dept)/10839", "10839")</f>
        <v>0</v>
      </c>
      <c r="N9767">
        <f>HYPERLINK("https://www.wikidata.org/wiki/Q471296", "Q471296")</f>
        <v>0</v>
      </c>
      <c r="O9767" t="s">
        <v>20066</v>
      </c>
    </row>
    <row r="9768" spans="1:15">
      <c r="A9768" t="s">
        <v>87</v>
      </c>
      <c r="B9768" t="s">
        <v>149</v>
      </c>
      <c r="C9768" t="s">
        <v>219</v>
      </c>
      <c r="D9768" t="s">
        <v>348</v>
      </c>
      <c r="E9768" t="s">
        <v>466</v>
      </c>
      <c r="F9768">
        <f>HYPERLINK("https://www.wikidata.org/wiki/Q3112382", "Q3112382")</f>
        <v>0</v>
      </c>
      <c r="G9768" t="s">
        <v>4234</v>
      </c>
      <c r="H9768" t="s">
        <v>8411</v>
      </c>
      <c r="I9768" t="s">
        <v>9593</v>
      </c>
      <c r="J9768" t="s">
        <v>14741</v>
      </c>
      <c r="K9768" t="s">
        <v>19086</v>
      </c>
      <c r="M9768">
        <f>HYPERLINK("https://www.senat.fr/senateur-3eme-republique/roustan_marius0246r3.html", "roustan_marius0246r3")</f>
        <v>0</v>
      </c>
      <c r="N9768">
        <f>HYPERLINK("https://www.wikidata.org/wiki/Q3293852", "Q3293852")</f>
        <v>0</v>
      </c>
      <c r="O9768" t="s">
        <v>20051</v>
      </c>
    </row>
    <row r="9769" spans="1:15">
      <c r="A9769" t="s">
        <v>87</v>
      </c>
      <c r="B9769" t="s">
        <v>149</v>
      </c>
      <c r="C9769" t="s">
        <v>219</v>
      </c>
      <c r="D9769" t="s">
        <v>348</v>
      </c>
      <c r="E9769" t="s">
        <v>466</v>
      </c>
      <c r="F9769">
        <f>HYPERLINK("https://www.wikidata.org/wiki/Q3112382", "Q3112382")</f>
        <v>0</v>
      </c>
      <c r="G9769" t="s">
        <v>522</v>
      </c>
      <c r="H9769" t="s">
        <v>5286</v>
      </c>
      <c r="I9769" t="s">
        <v>5528</v>
      </c>
      <c r="J9769" t="s">
        <v>11274</v>
      </c>
      <c r="K9769" t="s">
        <v>19078</v>
      </c>
      <c r="N9769">
        <f>HYPERLINK("https://www.wikidata.org/wiki/Q18384890", "Q18384890")</f>
        <v>0</v>
      </c>
      <c r="O9769" t="s">
        <v>20064</v>
      </c>
    </row>
    <row r="9770" spans="1:15">
      <c r="A9770" t="s">
        <v>87</v>
      </c>
      <c r="B9770" t="s">
        <v>149</v>
      </c>
      <c r="C9770" t="s">
        <v>219</v>
      </c>
      <c r="D9770" t="s">
        <v>348</v>
      </c>
      <c r="E9770" t="s">
        <v>466</v>
      </c>
      <c r="F9770">
        <f>HYPERLINK("https://www.wikidata.org/wiki/Q3112382", "Q3112382")</f>
        <v>0</v>
      </c>
      <c r="G9770" t="s">
        <v>948</v>
      </c>
      <c r="H9770" t="s">
        <v>5386</v>
      </c>
      <c r="I9770" t="s">
        <v>9385</v>
      </c>
      <c r="J9770" t="s">
        <v>11689</v>
      </c>
      <c r="K9770" t="s">
        <v>16090</v>
      </c>
      <c r="N9770">
        <f>HYPERLINK("https://www.wikidata.org/wiki/Q475755", "Q475755")</f>
        <v>0</v>
      </c>
      <c r="O9770" t="s">
        <v>20097</v>
      </c>
    </row>
    <row r="9771" spans="1:15">
      <c r="A9771" t="s">
        <v>88</v>
      </c>
      <c r="B9771" t="s">
        <v>149</v>
      </c>
      <c r="C9771" t="s">
        <v>220</v>
      </c>
      <c r="D9771" t="s">
        <v>349</v>
      </c>
      <c r="E9771" t="s">
        <v>467</v>
      </c>
      <c r="F9771">
        <f>HYPERLINK("https://www.wikidata.org/wiki/Q3112381", "Q3112381")</f>
        <v>0</v>
      </c>
      <c r="G9771" t="s">
        <v>1224</v>
      </c>
      <c r="H9771" t="s">
        <v>5630</v>
      </c>
      <c r="I9771" t="s">
        <v>9712</v>
      </c>
      <c r="J9771" t="s">
        <v>11956</v>
      </c>
      <c r="K9771" t="s">
        <v>16358</v>
      </c>
      <c r="L9771">
        <f>HYPERLINK("https://www2.assemblee-nationale.fr/sycomore/fiche/(num_dept)/748", "748")</f>
        <v>0</v>
      </c>
      <c r="M9771">
        <f>HYPERLINK("https://www.senat.fr/senateur-3eme-republique/bertrand_williams0414r3.html", "bertrand_williams0414r3")</f>
        <v>0</v>
      </c>
      <c r="N9771">
        <f>HYPERLINK("https://www.wikidata.org/wiki/Q3568432", "Q3568432")</f>
        <v>0</v>
      </c>
      <c r="O9771" t="s">
        <v>20108</v>
      </c>
    </row>
    <row r="9772" spans="1:15">
      <c r="A9772" t="s">
        <v>88</v>
      </c>
      <c r="B9772" t="s">
        <v>149</v>
      </c>
      <c r="C9772" t="s">
        <v>220</v>
      </c>
      <c r="D9772" t="s">
        <v>349</v>
      </c>
      <c r="E9772" t="s">
        <v>467</v>
      </c>
      <c r="F9772">
        <f>HYPERLINK("https://www.wikidata.org/wiki/Q3112381", "Q3112381")</f>
        <v>0</v>
      </c>
      <c r="G9772" t="s">
        <v>1225</v>
      </c>
      <c r="H9772" t="s">
        <v>5950</v>
      </c>
      <c r="I9772" t="s">
        <v>9506</v>
      </c>
      <c r="J9772" t="s">
        <v>11957</v>
      </c>
      <c r="K9772" t="s">
        <v>16359</v>
      </c>
      <c r="L9772">
        <f>HYPERLINK("https://www2.assemblee-nationale.fr/sycomore/fiche/(num_dept)/842", "842")</f>
        <v>0</v>
      </c>
      <c r="N9772">
        <f>HYPERLINK("https://www.wikidata.org/wiki/Q2934871", "Q2934871")</f>
        <v>0</v>
      </c>
      <c r="O9772" t="s">
        <v>20099</v>
      </c>
    </row>
    <row r="9773" spans="1:15">
      <c r="A9773" t="s">
        <v>88</v>
      </c>
      <c r="B9773" t="s">
        <v>149</v>
      </c>
      <c r="C9773" t="s">
        <v>220</v>
      </c>
      <c r="D9773" t="s">
        <v>349</v>
      </c>
      <c r="E9773" t="s">
        <v>467</v>
      </c>
      <c r="F9773">
        <f>HYPERLINK("https://www.wikidata.org/wiki/Q3112381", "Q3112381")</f>
        <v>0</v>
      </c>
      <c r="G9773" t="s">
        <v>2032</v>
      </c>
      <c r="H9773" t="s">
        <v>6664</v>
      </c>
      <c r="I9773" t="s">
        <v>6860</v>
      </c>
      <c r="J9773" t="s">
        <v>12706</v>
      </c>
      <c r="K9773" t="s">
        <v>17118</v>
      </c>
      <c r="L9773">
        <f>HYPERLINK("https://www2.assemblee-nationale.fr/sycomore/fiche/(num_dept)/1521", "1521")</f>
        <v>0</v>
      </c>
      <c r="N9773">
        <f>HYPERLINK("https://www.wikidata.org/wiki/Q1921652", "Q1921652")</f>
        <v>0</v>
      </c>
      <c r="O9773" t="s">
        <v>20056</v>
      </c>
    </row>
    <row r="9774" spans="1:15">
      <c r="A9774" t="s">
        <v>88</v>
      </c>
      <c r="B9774" t="s">
        <v>149</v>
      </c>
      <c r="C9774" t="s">
        <v>220</v>
      </c>
      <c r="D9774" t="s">
        <v>349</v>
      </c>
      <c r="E9774" t="s">
        <v>467</v>
      </c>
      <c r="F9774">
        <f>HYPERLINK("https://www.wikidata.org/wiki/Q3112381", "Q3112381")</f>
        <v>0</v>
      </c>
      <c r="G9774" t="s">
        <v>1170</v>
      </c>
      <c r="H9774" t="s">
        <v>5901</v>
      </c>
      <c r="I9774" t="s">
        <v>5592</v>
      </c>
      <c r="J9774" t="s">
        <v>11903</v>
      </c>
      <c r="K9774" t="s">
        <v>16305</v>
      </c>
      <c r="L9774">
        <f>HYPERLINK("https://www2.assemblee-nationale.fr/sycomore/fiche/(num_dept)/2874", "2874")</f>
        <v>0</v>
      </c>
      <c r="M9774">
        <f>HYPERLINK("https://www.senat.fr/senateur-3eme-republique/eynac_laurent0520r3.html", "eynac_laurent0520r3")</f>
        <v>0</v>
      </c>
      <c r="N9774">
        <f>HYPERLINK("https://www.wikidata.org/wiki/Q3219208", "Q3219208")</f>
        <v>0</v>
      </c>
      <c r="O9774" t="s">
        <v>20063</v>
      </c>
    </row>
    <row r="9775" spans="1:15">
      <c r="A9775" t="s">
        <v>88</v>
      </c>
      <c r="B9775" t="s">
        <v>149</v>
      </c>
      <c r="C9775" t="s">
        <v>220</v>
      </c>
      <c r="D9775" t="s">
        <v>349</v>
      </c>
      <c r="E9775" t="s">
        <v>467</v>
      </c>
      <c r="F9775">
        <f>HYPERLINK("https://www.wikidata.org/wiki/Q3112381", "Q3112381")</f>
        <v>0</v>
      </c>
      <c r="G9775" t="s">
        <v>1455</v>
      </c>
      <c r="H9775" t="s">
        <v>6155</v>
      </c>
      <c r="I9775" t="s">
        <v>6200</v>
      </c>
      <c r="J9775" t="s">
        <v>12174</v>
      </c>
      <c r="K9775" t="s">
        <v>16580</v>
      </c>
      <c r="L9775">
        <f>HYPERLINK("https://www2.assemblee-nationale.fr/sycomore/fiche/(num_dept)/2884", "2884")</f>
        <v>0</v>
      </c>
      <c r="M9775">
        <f>HYPERLINK("https://www.senat.fr/senateur-3eme-republique/fabry_jean0685r3.html", "fabry_jean0685r3")</f>
        <v>0</v>
      </c>
      <c r="N9775">
        <f>HYPERLINK("https://www.wikidata.org/wiki/Q3171965", "Q3171965")</f>
        <v>0</v>
      </c>
      <c r="O9775" t="s">
        <v>20057</v>
      </c>
    </row>
    <row r="9776" spans="1:15">
      <c r="A9776" t="s">
        <v>88</v>
      </c>
      <c r="B9776" t="s">
        <v>149</v>
      </c>
      <c r="C9776" t="s">
        <v>220</v>
      </c>
      <c r="D9776" t="s">
        <v>349</v>
      </c>
      <c r="E9776" t="s">
        <v>467</v>
      </c>
      <c r="F9776">
        <f>HYPERLINK("https://www.wikidata.org/wiki/Q3112381", "Q3112381")</f>
        <v>0</v>
      </c>
      <c r="G9776" t="s">
        <v>1955</v>
      </c>
      <c r="H9776" t="s">
        <v>6597</v>
      </c>
      <c r="I9776" t="s">
        <v>10016</v>
      </c>
      <c r="J9776" t="s">
        <v>12638</v>
      </c>
      <c r="K9776" t="s">
        <v>17048</v>
      </c>
      <c r="L9776">
        <f>HYPERLINK("https://www2.assemblee-nationale.fr/sycomore/fiche/(num_dept)/3166", "3166")</f>
        <v>0</v>
      </c>
      <c r="N9776">
        <f>HYPERLINK("https://www.wikidata.org/wiki/Q1109027", "Q1109027")</f>
        <v>0</v>
      </c>
      <c r="O9776" t="s">
        <v>20086</v>
      </c>
    </row>
    <row r="9777" spans="1:15">
      <c r="A9777" t="s">
        <v>88</v>
      </c>
      <c r="B9777" t="s">
        <v>149</v>
      </c>
      <c r="C9777" t="s">
        <v>220</v>
      </c>
      <c r="D9777" t="s">
        <v>349</v>
      </c>
      <c r="E9777" t="s">
        <v>467</v>
      </c>
      <c r="F9777">
        <f>HYPERLINK("https://www.wikidata.org/wiki/Q3112381", "Q3112381")</f>
        <v>0</v>
      </c>
      <c r="G9777" t="s">
        <v>1492</v>
      </c>
      <c r="H9777" t="s">
        <v>6190</v>
      </c>
      <c r="I9777" t="s">
        <v>9728</v>
      </c>
      <c r="J9777" t="s">
        <v>12210</v>
      </c>
      <c r="K9777" t="s">
        <v>16616</v>
      </c>
      <c r="L9777">
        <f>HYPERLINK("https://www2.assemblee-nationale.fr/sycomore/fiche/(num_dept)/3819", "3819")</f>
        <v>0</v>
      </c>
      <c r="M9777">
        <f>HYPERLINK("https://www.senat.fr/senateur-3eme-republique/herriot_edouard1121r3.html", "herriot_edouard1121r3")</f>
        <v>0</v>
      </c>
      <c r="N9777">
        <f>HYPERLINK("https://www.wikidata.org/wiki/Q274344", "Q274344")</f>
        <v>0</v>
      </c>
      <c r="O9777" t="s">
        <v>20111</v>
      </c>
    </row>
    <row r="9778" spans="1:15">
      <c r="A9778" t="s">
        <v>88</v>
      </c>
      <c r="B9778" t="s">
        <v>149</v>
      </c>
      <c r="C9778" t="s">
        <v>220</v>
      </c>
      <c r="D9778" t="s">
        <v>349</v>
      </c>
      <c r="E9778" t="s">
        <v>467</v>
      </c>
      <c r="F9778">
        <f>HYPERLINK("https://www.wikidata.org/wiki/Q3112381", "Q3112381")</f>
        <v>0</v>
      </c>
      <c r="G9778" t="s">
        <v>1526</v>
      </c>
      <c r="H9778" t="s">
        <v>6221</v>
      </c>
      <c r="I9778" t="s">
        <v>6175</v>
      </c>
      <c r="J9778" t="s">
        <v>12243</v>
      </c>
      <c r="K9778" t="s">
        <v>16649</v>
      </c>
      <c r="L9778">
        <f>HYPERLINK("https://www2.assemblee-nationale.fr/sycomore/fiche/(num_dept)/4952", "4952")</f>
        <v>0</v>
      </c>
      <c r="N9778">
        <f>HYPERLINK("https://www.wikidata.org/wiki/Q669893", "Q669893")</f>
        <v>0</v>
      </c>
      <c r="O9778" t="s">
        <v>20078</v>
      </c>
    </row>
    <row r="9779" spans="1:15">
      <c r="A9779" t="s">
        <v>88</v>
      </c>
      <c r="B9779" t="s">
        <v>149</v>
      </c>
      <c r="C9779" t="s">
        <v>220</v>
      </c>
      <c r="D9779" t="s">
        <v>349</v>
      </c>
      <c r="E9779" t="s">
        <v>467</v>
      </c>
      <c r="F9779">
        <f>HYPERLINK("https://www.wikidata.org/wiki/Q3112381", "Q3112381")</f>
        <v>0</v>
      </c>
      <c r="G9779" t="s">
        <v>2107</v>
      </c>
      <c r="H9779" t="s">
        <v>6730</v>
      </c>
      <c r="I9779" t="s">
        <v>7265</v>
      </c>
      <c r="J9779" t="s">
        <v>12772</v>
      </c>
      <c r="K9779" t="s">
        <v>17189</v>
      </c>
      <c r="L9779">
        <f>HYPERLINK("https://www2.assemblee-nationale.fr/sycomore/fiche/(num_dept)/4982", "4982")</f>
        <v>0</v>
      </c>
      <c r="N9779">
        <f>HYPERLINK("https://www.wikidata.org/wiki/Q3380310", "Q3380310")</f>
        <v>0</v>
      </c>
      <c r="O9779" t="s">
        <v>20085</v>
      </c>
    </row>
    <row r="9780" spans="1:15">
      <c r="A9780" t="s">
        <v>88</v>
      </c>
      <c r="B9780" t="s">
        <v>149</v>
      </c>
      <c r="C9780" t="s">
        <v>220</v>
      </c>
      <c r="D9780" t="s">
        <v>349</v>
      </c>
      <c r="E9780" t="s">
        <v>467</v>
      </c>
      <c r="F9780">
        <f>HYPERLINK("https://www.wikidata.org/wiki/Q3112381", "Q3112381")</f>
        <v>0</v>
      </c>
      <c r="G9780" t="s">
        <v>1845</v>
      </c>
      <c r="H9780" t="s">
        <v>6504</v>
      </c>
      <c r="I9780" t="s">
        <v>9457</v>
      </c>
      <c r="J9780" t="s">
        <v>12536</v>
      </c>
      <c r="K9780" t="s">
        <v>16948</v>
      </c>
      <c r="L9780">
        <f>HYPERLINK("https://www2.assemblee-nationale.fr/sycomore/fiche/(num_dept)/5122", "5122")</f>
        <v>0</v>
      </c>
      <c r="M9780">
        <f>HYPERLINK("https://www.senat.fr/senateur-3eme-republique/maupoil_henri0356r4.html", "maupoil_henri0356r4")</f>
        <v>0</v>
      </c>
      <c r="N9780">
        <f>HYPERLINK("https://www.wikidata.org/wiki/Q3131615", "Q3131615")</f>
        <v>0</v>
      </c>
      <c r="O9780" t="s">
        <v>20088</v>
      </c>
    </row>
    <row r="9781" spans="1:15">
      <c r="A9781" t="s">
        <v>88</v>
      </c>
      <c r="B9781" t="s">
        <v>149</v>
      </c>
      <c r="C9781" t="s">
        <v>220</v>
      </c>
      <c r="D9781" t="s">
        <v>349</v>
      </c>
      <c r="E9781" t="s">
        <v>467</v>
      </c>
      <c r="F9781">
        <f>HYPERLINK("https://www.wikidata.org/wiki/Q3112381", "Q3112381")</f>
        <v>0</v>
      </c>
      <c r="G9781" t="s">
        <v>1860</v>
      </c>
      <c r="H9781" t="s">
        <v>6516</v>
      </c>
      <c r="I9781" t="s">
        <v>9407</v>
      </c>
      <c r="J9781" t="s">
        <v>12550</v>
      </c>
      <c r="K9781" t="s">
        <v>16961</v>
      </c>
      <c r="L9781">
        <f>HYPERLINK("https://www2.assemblee-nationale.fr/sycomore/fiche/(num_dept)/5646", "5646")</f>
        <v>0</v>
      </c>
      <c r="M9781">
        <f>HYPERLINK("https://www.senat.fr/senateur-3eme-republique/paganon_joseph1203r3.html", "paganon_joseph1203r3")</f>
        <v>0</v>
      </c>
      <c r="N9781">
        <f>HYPERLINK("https://www.wikidata.org/wiki/Q3185441", "Q3185441")</f>
        <v>0</v>
      </c>
      <c r="O9781" t="s">
        <v>20058</v>
      </c>
    </row>
    <row r="9782" spans="1:15">
      <c r="A9782" t="s">
        <v>88</v>
      </c>
      <c r="B9782" t="s">
        <v>149</v>
      </c>
      <c r="C9782" t="s">
        <v>220</v>
      </c>
      <c r="D9782" t="s">
        <v>349</v>
      </c>
      <c r="E9782" t="s">
        <v>467</v>
      </c>
      <c r="F9782">
        <f>HYPERLINK("https://www.wikidata.org/wiki/Q3112381", "Q3112381")</f>
        <v>0</v>
      </c>
      <c r="G9782" t="s">
        <v>1873</v>
      </c>
      <c r="H9782" t="s">
        <v>6528</v>
      </c>
      <c r="I9782" t="s">
        <v>6166</v>
      </c>
      <c r="J9782" t="s">
        <v>12561</v>
      </c>
      <c r="K9782" t="s">
        <v>16973</v>
      </c>
      <c r="L9782">
        <f>HYPERLINK("https://www2.assemblee-nationale.fr/sycomore/fiche/(num_dept)/5924", "5924")</f>
        <v>0</v>
      </c>
      <c r="N9782">
        <f>HYPERLINK("https://www.wikidata.org/wiki/Q3085590", "Q3085590")</f>
        <v>0</v>
      </c>
      <c r="O9782" t="s">
        <v>20053</v>
      </c>
    </row>
    <row r="9783" spans="1:15">
      <c r="A9783" t="s">
        <v>88</v>
      </c>
      <c r="B9783" t="s">
        <v>149</v>
      </c>
      <c r="C9783" t="s">
        <v>220</v>
      </c>
      <c r="D9783" t="s">
        <v>349</v>
      </c>
      <c r="E9783" t="s">
        <v>467</v>
      </c>
      <c r="F9783">
        <f>HYPERLINK("https://www.wikidata.org/wiki/Q3112381", "Q3112381")</f>
        <v>0</v>
      </c>
      <c r="G9783" t="s">
        <v>1581</v>
      </c>
      <c r="H9783" t="s">
        <v>6271</v>
      </c>
      <c r="I9783" t="s">
        <v>6495</v>
      </c>
      <c r="J9783" t="s">
        <v>12293</v>
      </c>
      <c r="K9783" t="s">
        <v>16700</v>
      </c>
      <c r="L9783">
        <f>HYPERLINK("https://www2.assemblee-nationale.fr/sycomore/fiche/(num_dept)/6068", "6068")</f>
        <v>0</v>
      </c>
      <c r="N9783">
        <f>HYPERLINK("https://www.wikidata.org/wiki/Q3263043", "Q3263043")</f>
        <v>0</v>
      </c>
      <c r="O9783" t="s">
        <v>20065</v>
      </c>
    </row>
    <row r="9784" spans="1:15">
      <c r="A9784" t="s">
        <v>88</v>
      </c>
      <c r="B9784" t="s">
        <v>149</v>
      </c>
      <c r="C9784" t="s">
        <v>220</v>
      </c>
      <c r="D9784" t="s">
        <v>349</v>
      </c>
      <c r="E9784" t="s">
        <v>467</v>
      </c>
      <c r="F9784">
        <f>HYPERLINK("https://www.wikidata.org/wiki/Q3112381", "Q3112381")</f>
        <v>0</v>
      </c>
      <c r="G9784" t="s">
        <v>1323</v>
      </c>
      <c r="H9784" t="s">
        <v>6042</v>
      </c>
      <c r="I9784" t="s">
        <v>6860</v>
      </c>
      <c r="J9784" t="s">
        <v>12052</v>
      </c>
      <c r="K9784" t="s">
        <v>16453</v>
      </c>
      <c r="L9784">
        <f>HYPERLINK("https://www2.assemblee-nationale.fr/sycomore/fiche/(num_dept)/7519", "7519")</f>
        <v>0</v>
      </c>
      <c r="M9784">
        <f>HYPERLINK("https://www.senat.fr/senateur-3eme-republique/laval_pierre1565r3.html", "laval_pierre1565r3")</f>
        <v>0</v>
      </c>
      <c r="N9784">
        <f>HYPERLINK("https://www.wikidata.org/wiki/Q151983", "Q151983")</f>
        <v>0</v>
      </c>
      <c r="O9784" t="s">
        <v>20062</v>
      </c>
    </row>
    <row r="9785" spans="1:15">
      <c r="A9785" t="s">
        <v>88</v>
      </c>
      <c r="B9785" t="s">
        <v>149</v>
      </c>
      <c r="C9785" t="s">
        <v>220</v>
      </c>
      <c r="D9785" t="s">
        <v>349</v>
      </c>
      <c r="E9785" t="s">
        <v>467</v>
      </c>
      <c r="F9785">
        <f>HYPERLINK("https://www.wikidata.org/wiki/Q3112381", "Q3112381")</f>
        <v>0</v>
      </c>
      <c r="G9785" t="s">
        <v>1323</v>
      </c>
      <c r="H9785" t="s">
        <v>6042</v>
      </c>
      <c r="I9785" t="s">
        <v>6860</v>
      </c>
      <c r="J9785" t="s">
        <v>12052</v>
      </c>
      <c r="K9785" t="s">
        <v>16453</v>
      </c>
      <c r="L9785">
        <f>HYPERLINK("https://www2.assemblee-nationale.fr/sycomore/fiche/(num_dept)/7519", "7519")</f>
        <v>0</v>
      </c>
      <c r="M9785">
        <f>HYPERLINK("https://www.senat.fr/senateur-3eme-republique/laval_pierre1565r3.html", "laval_pierre1565r3")</f>
        <v>0</v>
      </c>
      <c r="N9785">
        <f>HYPERLINK("https://www.wikidata.org/wiki/Q151983", "Q151983")</f>
        <v>0</v>
      </c>
      <c r="O9785" t="s">
        <v>20052</v>
      </c>
    </row>
    <row r="9786" spans="1:15">
      <c r="A9786" t="s">
        <v>88</v>
      </c>
      <c r="B9786" t="s">
        <v>149</v>
      </c>
      <c r="C9786" t="s">
        <v>220</v>
      </c>
      <c r="D9786" t="s">
        <v>349</v>
      </c>
      <c r="E9786" t="s">
        <v>467</v>
      </c>
      <c r="F9786">
        <f>HYPERLINK("https://www.wikidata.org/wiki/Q3112381", "Q3112381")</f>
        <v>0</v>
      </c>
      <c r="G9786" t="s">
        <v>1333</v>
      </c>
      <c r="H9786" t="s">
        <v>5402</v>
      </c>
      <c r="I9786" t="s">
        <v>9754</v>
      </c>
      <c r="J9786" t="s">
        <v>12060</v>
      </c>
      <c r="K9786" t="s">
        <v>16462</v>
      </c>
      <c r="L9786">
        <f>HYPERLINK("https://www2.assemblee-nationale.fr/sycomore/fiche/(num_dept)/10839", "10839")</f>
        <v>0</v>
      </c>
      <c r="N9786">
        <f>HYPERLINK("https://www.wikidata.org/wiki/Q471296", "Q471296")</f>
        <v>0</v>
      </c>
      <c r="O9786" t="s">
        <v>20098</v>
      </c>
    </row>
    <row r="9787" spans="1:15">
      <c r="A9787" t="s">
        <v>88</v>
      </c>
      <c r="B9787" t="s">
        <v>149</v>
      </c>
      <c r="C9787" t="s">
        <v>220</v>
      </c>
      <c r="D9787" t="s">
        <v>349</v>
      </c>
      <c r="E9787" t="s">
        <v>467</v>
      </c>
      <c r="F9787">
        <f>HYPERLINK("https://www.wikidata.org/wiki/Q3112381", "Q3112381")</f>
        <v>0</v>
      </c>
      <c r="G9787" t="s">
        <v>724</v>
      </c>
      <c r="H9787" t="s">
        <v>5482</v>
      </c>
      <c r="I9787" t="s">
        <v>6495</v>
      </c>
      <c r="J9787" t="s">
        <v>11473</v>
      </c>
      <c r="K9787" t="s">
        <v>15875</v>
      </c>
      <c r="N9787">
        <f>HYPERLINK("https://www.wikidata.org/wiki/Q3262636", "Q3262636")</f>
        <v>0</v>
      </c>
      <c r="O9787" t="s">
        <v>20098</v>
      </c>
    </row>
    <row r="9788" spans="1:15">
      <c r="A9788" t="s">
        <v>88</v>
      </c>
      <c r="B9788" t="s">
        <v>149</v>
      </c>
      <c r="C9788" t="s">
        <v>220</v>
      </c>
      <c r="D9788" t="s">
        <v>349</v>
      </c>
      <c r="E9788" t="s">
        <v>467</v>
      </c>
      <c r="F9788">
        <f>HYPERLINK("https://www.wikidata.org/wiki/Q3112381", "Q3112381")</f>
        <v>0</v>
      </c>
      <c r="G9788" t="s">
        <v>4233</v>
      </c>
      <c r="H9788" t="s">
        <v>8410</v>
      </c>
      <c r="I9788" t="s">
        <v>9483</v>
      </c>
      <c r="J9788" t="s">
        <v>14740</v>
      </c>
      <c r="K9788" t="s">
        <v>19085</v>
      </c>
      <c r="N9788">
        <f>HYPERLINK("https://www.wikidata.org/wiki/Q3557262", "Q3557262")</f>
        <v>0</v>
      </c>
      <c r="O9788" t="s">
        <v>20072</v>
      </c>
    </row>
    <row r="9789" spans="1:15">
      <c r="A9789" t="s">
        <v>88</v>
      </c>
      <c r="B9789" t="s">
        <v>149</v>
      </c>
      <c r="C9789" t="s">
        <v>220</v>
      </c>
      <c r="D9789" t="s">
        <v>349</v>
      </c>
      <c r="E9789" t="s">
        <v>467</v>
      </c>
      <c r="F9789">
        <f>HYPERLINK("https://www.wikidata.org/wiki/Q3112381", "Q3112381")</f>
        <v>0</v>
      </c>
      <c r="G9789" t="s">
        <v>4234</v>
      </c>
      <c r="H9789" t="s">
        <v>8411</v>
      </c>
      <c r="I9789" t="s">
        <v>9593</v>
      </c>
      <c r="J9789" t="s">
        <v>14741</v>
      </c>
      <c r="K9789" t="s">
        <v>19086</v>
      </c>
      <c r="M9789">
        <f>HYPERLINK("https://www.senat.fr/senateur-3eme-republique/roustan_marius0246r3.html", "roustan_marius0246r3")</f>
        <v>0</v>
      </c>
      <c r="N9789">
        <f>HYPERLINK("https://www.wikidata.org/wiki/Q3293852", "Q3293852")</f>
        <v>0</v>
      </c>
      <c r="O9789" t="s">
        <v>20085</v>
      </c>
    </row>
    <row r="9790" spans="1:15">
      <c r="A9790" t="s">
        <v>88</v>
      </c>
      <c r="B9790" t="s">
        <v>149</v>
      </c>
      <c r="C9790" t="s">
        <v>220</v>
      </c>
      <c r="D9790" t="s">
        <v>349</v>
      </c>
      <c r="E9790" t="s">
        <v>467</v>
      </c>
      <c r="F9790">
        <f>HYPERLINK("https://www.wikidata.org/wiki/Q3112381", "Q3112381")</f>
        <v>0</v>
      </c>
      <c r="G9790" t="s">
        <v>522</v>
      </c>
      <c r="H9790" t="s">
        <v>5286</v>
      </c>
      <c r="I9790" t="s">
        <v>5528</v>
      </c>
      <c r="J9790" t="s">
        <v>11274</v>
      </c>
      <c r="K9790" t="s">
        <v>19078</v>
      </c>
      <c r="N9790">
        <f>HYPERLINK("https://www.wikidata.org/wiki/Q18384890", "Q18384890")</f>
        <v>0</v>
      </c>
      <c r="O9790" t="s">
        <v>20064</v>
      </c>
    </row>
    <row r="9791" spans="1:15">
      <c r="A9791" t="s">
        <v>88</v>
      </c>
      <c r="B9791" t="s">
        <v>149</v>
      </c>
      <c r="C9791" t="s">
        <v>220</v>
      </c>
      <c r="D9791" t="s">
        <v>349</v>
      </c>
      <c r="E9791" t="s">
        <v>467</v>
      </c>
      <c r="F9791">
        <f>HYPERLINK("https://www.wikidata.org/wiki/Q3112381", "Q3112381")</f>
        <v>0</v>
      </c>
      <c r="G9791" t="s">
        <v>4234</v>
      </c>
      <c r="H9791" t="s">
        <v>8411</v>
      </c>
      <c r="I9791" t="s">
        <v>9593</v>
      </c>
      <c r="J9791" t="s">
        <v>14741</v>
      </c>
      <c r="K9791" t="s">
        <v>19086</v>
      </c>
      <c r="M9791">
        <f>HYPERLINK("https://www.senat.fr/senateur-3eme-republique/roustan_marius0246r3.html", "roustan_marius0246r3")</f>
        <v>0</v>
      </c>
      <c r="N9791">
        <f>HYPERLINK("https://www.wikidata.org/wiki/Q3293852", "Q3293852")</f>
        <v>0</v>
      </c>
      <c r="O9791" t="s">
        <v>20108</v>
      </c>
    </row>
    <row r="9792" spans="1:15">
      <c r="A9792" t="s">
        <v>88</v>
      </c>
      <c r="B9792" t="s">
        <v>149</v>
      </c>
      <c r="C9792" t="s">
        <v>220</v>
      </c>
      <c r="D9792" t="s">
        <v>349</v>
      </c>
      <c r="E9792" t="s">
        <v>467</v>
      </c>
      <c r="F9792">
        <f>HYPERLINK("https://www.wikidata.org/wiki/Q3112381", "Q3112381")</f>
        <v>0</v>
      </c>
      <c r="G9792" t="s">
        <v>3624</v>
      </c>
      <c r="H9792" t="s">
        <v>5992</v>
      </c>
      <c r="I9792" t="s">
        <v>9442</v>
      </c>
      <c r="J9792" t="s">
        <v>14205</v>
      </c>
      <c r="K9792" t="s">
        <v>12941</v>
      </c>
      <c r="N9792">
        <f>HYPERLINK("https://www.wikidata.org/wiki/Q20660467", "Q20660467")</f>
        <v>0</v>
      </c>
      <c r="O9792" t="s">
        <v>20112</v>
      </c>
    </row>
    <row r="9793" spans="1:15">
      <c r="A9793" t="s">
        <v>88</v>
      </c>
      <c r="B9793" t="s">
        <v>149</v>
      </c>
      <c r="C9793" t="s">
        <v>220</v>
      </c>
      <c r="D9793" t="s">
        <v>349</v>
      </c>
      <c r="E9793" t="s">
        <v>467</v>
      </c>
      <c r="F9793">
        <f>HYPERLINK("https://www.wikidata.org/wiki/Q3112381", "Q3112381")</f>
        <v>0</v>
      </c>
      <c r="G9793" t="s">
        <v>4152</v>
      </c>
      <c r="H9793" t="s">
        <v>8355</v>
      </c>
      <c r="I9793" t="s">
        <v>9523</v>
      </c>
      <c r="J9793" t="s">
        <v>14681</v>
      </c>
      <c r="K9793" t="s">
        <v>19018</v>
      </c>
      <c r="N9793">
        <f>HYPERLINK("https://www.wikidata.org/wiki/Q3289369", "Q3289369")</f>
        <v>0</v>
      </c>
      <c r="O9793" t="s">
        <v>20066</v>
      </c>
    </row>
    <row r="9794" spans="1:15">
      <c r="A9794" t="s">
        <v>88</v>
      </c>
      <c r="B9794" t="s">
        <v>149</v>
      </c>
      <c r="C9794" t="s">
        <v>220</v>
      </c>
      <c r="D9794" t="s">
        <v>349</v>
      </c>
      <c r="E9794" t="s">
        <v>467</v>
      </c>
      <c r="F9794">
        <f>HYPERLINK("https://www.wikidata.org/wiki/Q3112381", "Q3112381")</f>
        <v>0</v>
      </c>
      <c r="G9794" t="s">
        <v>1724</v>
      </c>
      <c r="H9794" t="s">
        <v>6360</v>
      </c>
      <c r="I9794" t="s">
        <v>6175</v>
      </c>
      <c r="J9794" t="s">
        <v>12425</v>
      </c>
      <c r="K9794" t="s">
        <v>16833</v>
      </c>
      <c r="N9794">
        <f>HYPERLINK("https://www.wikidata.org/wiki/Q3102323", "Q3102323")</f>
        <v>0</v>
      </c>
      <c r="O9794" t="s">
        <v>20110</v>
      </c>
    </row>
    <row r="9795" spans="1:15">
      <c r="A9795" t="s">
        <v>89</v>
      </c>
      <c r="B9795" t="s">
        <v>149</v>
      </c>
      <c r="C9795" t="s">
        <v>221</v>
      </c>
      <c r="D9795" t="s">
        <v>350</v>
      </c>
      <c r="E9795" t="s">
        <v>468</v>
      </c>
      <c r="F9795">
        <f>HYPERLINK("https://www.wikidata.org/wiki/Q3112069", "Q3112069")</f>
        <v>0</v>
      </c>
      <c r="G9795" t="s">
        <v>528</v>
      </c>
      <c r="H9795" t="s">
        <v>5292</v>
      </c>
      <c r="I9795" t="s">
        <v>9388</v>
      </c>
      <c r="J9795" t="s">
        <v>11280</v>
      </c>
      <c r="K9795" t="s">
        <v>15680</v>
      </c>
      <c r="L9795">
        <f>HYPERLINK("https://www2.assemblee-nationale.fr/sycomore/fiche/(num_dept)/799", "799")</f>
        <v>0</v>
      </c>
      <c r="M9795">
        <f>HYPERLINK("https://www.senat.fr/senateur-3eme-republique/bignon_paul1577r3.html", "bignon_paul1577r3")</f>
        <v>0</v>
      </c>
      <c r="N9795">
        <f>HYPERLINK("https://www.wikidata.org/wiki/Q3370646", "Q3370646")</f>
        <v>0</v>
      </c>
      <c r="O9795" t="s">
        <v>20302</v>
      </c>
    </row>
    <row r="9796" spans="1:15">
      <c r="A9796" t="s">
        <v>89</v>
      </c>
      <c r="B9796" t="s">
        <v>149</v>
      </c>
      <c r="C9796" t="s">
        <v>221</v>
      </c>
      <c r="D9796" t="s">
        <v>350</v>
      </c>
      <c r="E9796" t="s">
        <v>468</v>
      </c>
      <c r="F9796">
        <f>HYPERLINK("https://www.wikidata.org/wiki/Q3112069", "Q3112069")</f>
        <v>0</v>
      </c>
      <c r="G9796" t="s">
        <v>540</v>
      </c>
      <c r="H9796" t="s">
        <v>5304</v>
      </c>
      <c r="I9796" t="s">
        <v>9401</v>
      </c>
      <c r="J9796" t="s">
        <v>11292</v>
      </c>
      <c r="K9796" t="s">
        <v>15692</v>
      </c>
      <c r="L9796">
        <f>HYPERLINK("https://www2.assemblee-nationale.fr/sycomore/fiche/(num_dept)/985", "985")</f>
        <v>0</v>
      </c>
      <c r="M9796">
        <f>HYPERLINK("https://www.senat.fr/senateur-3eme-republique/borrel_antoine1303r3.html", "borrel_antoine1303r3")</f>
        <v>0</v>
      </c>
      <c r="N9796">
        <f>HYPERLINK("https://www.wikidata.org/wiki/Q2853712", "Q2853712")</f>
        <v>0</v>
      </c>
      <c r="O9796" t="s">
        <v>20303</v>
      </c>
    </row>
    <row r="9797" spans="1:15">
      <c r="A9797" t="s">
        <v>89</v>
      </c>
      <c r="B9797" t="s">
        <v>149</v>
      </c>
      <c r="C9797" t="s">
        <v>221</v>
      </c>
      <c r="D9797" t="s">
        <v>350</v>
      </c>
      <c r="E9797" t="s">
        <v>468</v>
      </c>
      <c r="F9797">
        <f>HYPERLINK("https://www.wikidata.org/wiki/Q3112069", "Q3112069")</f>
        <v>0</v>
      </c>
      <c r="G9797" t="s">
        <v>552</v>
      </c>
      <c r="H9797" t="s">
        <v>5315</v>
      </c>
      <c r="I9797" t="s">
        <v>9410</v>
      </c>
      <c r="J9797" t="s">
        <v>11303</v>
      </c>
      <c r="K9797" t="s">
        <v>15704</v>
      </c>
      <c r="L9797">
        <f>HYPERLINK("https://www2.assemblee-nationale.fr/sycomore/fiche/(num_dept)/1203", "1203")</f>
        <v>0</v>
      </c>
      <c r="M9797">
        <f>HYPERLINK("https://www.senat.fr/senateur-3eme-republique/breton_jules0441r3.html", "breton_jules0441r3")</f>
        <v>0</v>
      </c>
      <c r="N9797">
        <f>HYPERLINK("https://www.wikidata.org/wiki/Q3188368", "Q3188368")</f>
        <v>0</v>
      </c>
      <c r="O9797" t="s">
        <v>20304</v>
      </c>
    </row>
    <row r="9798" spans="1:15">
      <c r="A9798" t="s">
        <v>89</v>
      </c>
      <c r="B9798" t="s">
        <v>149</v>
      </c>
      <c r="C9798" t="s">
        <v>221</v>
      </c>
      <c r="D9798" t="s">
        <v>350</v>
      </c>
      <c r="E9798" t="s">
        <v>468</v>
      </c>
      <c r="F9798">
        <f>HYPERLINK("https://www.wikidata.org/wiki/Q3112069", "Q3112069")</f>
        <v>0</v>
      </c>
      <c r="G9798" t="s">
        <v>557</v>
      </c>
      <c r="H9798" t="s">
        <v>5320</v>
      </c>
      <c r="I9798" t="s">
        <v>9414</v>
      </c>
      <c r="J9798" t="s">
        <v>11308</v>
      </c>
      <c r="K9798" t="s">
        <v>15709</v>
      </c>
      <c r="L9798">
        <f>HYPERLINK("https://www2.assemblee-nationale.fr/sycomore/fiche/(num_dept)/1260", "1260")</f>
        <v>0</v>
      </c>
      <c r="N9798">
        <f>HYPERLINK("https://www.wikidata.org/wiki/Q3052603", "Q3052603")</f>
        <v>0</v>
      </c>
      <c r="O9798" t="s">
        <v>20122</v>
      </c>
    </row>
    <row r="9799" spans="1:15">
      <c r="A9799" t="s">
        <v>89</v>
      </c>
      <c r="B9799" t="s">
        <v>149</v>
      </c>
      <c r="C9799" t="s">
        <v>221</v>
      </c>
      <c r="D9799" t="s">
        <v>350</v>
      </c>
      <c r="E9799" t="s">
        <v>468</v>
      </c>
      <c r="F9799">
        <f>HYPERLINK("https://www.wikidata.org/wiki/Q3112069", "Q3112069")</f>
        <v>0</v>
      </c>
      <c r="G9799" t="s">
        <v>601</v>
      </c>
      <c r="H9799" t="s">
        <v>5361</v>
      </c>
      <c r="I9799" t="s">
        <v>6759</v>
      </c>
      <c r="J9799" t="s">
        <v>11352</v>
      </c>
      <c r="K9799" t="s">
        <v>15753</v>
      </c>
      <c r="L9799">
        <f>HYPERLINK("https://www2.assemblee-nationale.fr/sycomore/fiche/(num_dept)/2176", "2176")</f>
        <v>0</v>
      </c>
      <c r="N9799">
        <f>HYPERLINK("https://www.wikidata.org/wiki/Q2311094", "Q2311094")</f>
        <v>0</v>
      </c>
      <c r="O9799" t="s">
        <v>20188</v>
      </c>
    </row>
    <row r="9800" spans="1:15">
      <c r="A9800" t="s">
        <v>89</v>
      </c>
      <c r="B9800" t="s">
        <v>149</v>
      </c>
      <c r="C9800" t="s">
        <v>221</v>
      </c>
      <c r="D9800" t="s">
        <v>350</v>
      </c>
      <c r="E9800" t="s">
        <v>468</v>
      </c>
      <c r="F9800">
        <f>HYPERLINK("https://www.wikidata.org/wiki/Q3112069", "Q3112069")</f>
        <v>0</v>
      </c>
      <c r="G9800" t="s">
        <v>1251</v>
      </c>
      <c r="H9800" t="s">
        <v>5975</v>
      </c>
      <c r="I9800" t="s">
        <v>9727</v>
      </c>
      <c r="J9800" t="s">
        <v>11981</v>
      </c>
      <c r="K9800" t="s">
        <v>16384</v>
      </c>
      <c r="L9800">
        <f>HYPERLINK("https://www2.assemblee-nationale.fr/sycomore/fiche/(num_dept)/2496", "2496")</f>
        <v>0</v>
      </c>
      <c r="N9800">
        <f>HYPERLINK("https://www.wikidata.org/wiki/Q725749", "Q725749")</f>
        <v>0</v>
      </c>
      <c r="O9800" t="s">
        <v>20305</v>
      </c>
    </row>
    <row r="9801" spans="1:15">
      <c r="A9801" t="s">
        <v>89</v>
      </c>
      <c r="B9801" t="s">
        <v>149</v>
      </c>
      <c r="C9801" t="s">
        <v>221</v>
      </c>
      <c r="D9801" t="s">
        <v>350</v>
      </c>
      <c r="E9801" t="s">
        <v>468</v>
      </c>
      <c r="F9801">
        <f>HYPERLINK("https://www.wikidata.org/wiki/Q3112069", "Q3112069")</f>
        <v>0</v>
      </c>
      <c r="G9801" t="s">
        <v>1170</v>
      </c>
      <c r="H9801" t="s">
        <v>5901</v>
      </c>
      <c r="I9801" t="s">
        <v>5592</v>
      </c>
      <c r="J9801" t="s">
        <v>11903</v>
      </c>
      <c r="K9801" t="s">
        <v>16305</v>
      </c>
      <c r="L9801">
        <f>HYPERLINK("https://www2.assemblee-nationale.fr/sycomore/fiche/(num_dept)/2874", "2874")</f>
        <v>0</v>
      </c>
      <c r="M9801">
        <f>HYPERLINK("https://www.senat.fr/senateur-3eme-republique/eynac_laurent0520r3.html", "eynac_laurent0520r3")</f>
        <v>0</v>
      </c>
      <c r="N9801">
        <f>HYPERLINK("https://www.wikidata.org/wiki/Q3219208", "Q3219208")</f>
        <v>0</v>
      </c>
      <c r="O9801" t="s">
        <v>20306</v>
      </c>
    </row>
    <row r="9802" spans="1:15">
      <c r="A9802" t="s">
        <v>89</v>
      </c>
      <c r="B9802" t="s">
        <v>149</v>
      </c>
      <c r="C9802" t="s">
        <v>221</v>
      </c>
      <c r="D9802" t="s">
        <v>350</v>
      </c>
      <c r="E9802" t="s">
        <v>468</v>
      </c>
      <c r="F9802">
        <f>HYPERLINK("https://www.wikidata.org/wiki/Q3112069", "Q3112069")</f>
        <v>0</v>
      </c>
      <c r="G9802" t="s">
        <v>686</v>
      </c>
      <c r="H9802" t="s">
        <v>5444</v>
      </c>
      <c r="I9802" t="s">
        <v>6585</v>
      </c>
      <c r="J9802" t="s">
        <v>11436</v>
      </c>
      <c r="K9802" t="s">
        <v>15837</v>
      </c>
      <c r="L9802">
        <f>HYPERLINK("https://www2.assemblee-nationale.fr/sycomore/fiche/(num_dept)/3859", "3859")</f>
        <v>0</v>
      </c>
      <c r="M9802">
        <f>HYPERLINK("https://www.senat.fr/senateur-3eme-republique/honnorat_andre0070r3.html", "honnorat_andre0070r3")</f>
        <v>0</v>
      </c>
      <c r="N9802">
        <f>HYPERLINK("https://www.wikidata.org/wiki/Q23762", "Q23762")</f>
        <v>0</v>
      </c>
      <c r="O9802" t="s">
        <v>20051</v>
      </c>
    </row>
    <row r="9803" spans="1:15">
      <c r="A9803" t="s">
        <v>89</v>
      </c>
      <c r="B9803" t="s">
        <v>149</v>
      </c>
      <c r="C9803" t="s">
        <v>221</v>
      </c>
      <c r="D9803" t="s">
        <v>350</v>
      </c>
      <c r="E9803" t="s">
        <v>468</v>
      </c>
      <c r="F9803">
        <f>HYPERLINK("https://www.wikidata.org/wiki/Q3112069", "Q3112069")</f>
        <v>0</v>
      </c>
      <c r="G9803" t="s">
        <v>1507</v>
      </c>
      <c r="H9803" t="s">
        <v>6204</v>
      </c>
      <c r="I9803" t="s">
        <v>9388</v>
      </c>
      <c r="J9803" t="s">
        <v>12225</v>
      </c>
      <c r="K9803" t="s">
        <v>16630</v>
      </c>
      <c r="L9803">
        <f>HYPERLINK("https://www2.assemblee-nationale.fr/sycomore/fiche/(num_dept)/4069", "4069")</f>
        <v>0</v>
      </c>
      <c r="M9803">
        <f>HYPERLINK("https://www.senat.fr/senateur-3eme-republique/jourdain_paul1113r3.html", "jourdain_paul1113r3")</f>
        <v>0</v>
      </c>
      <c r="N9803">
        <f>HYPERLINK("https://www.wikidata.org/wiki/Q3371547", "Q3371547")</f>
        <v>0</v>
      </c>
      <c r="O9803" t="s">
        <v>20086</v>
      </c>
    </row>
    <row r="9804" spans="1:15">
      <c r="A9804" t="s">
        <v>89</v>
      </c>
      <c r="B9804" t="s">
        <v>149</v>
      </c>
      <c r="C9804" t="s">
        <v>221</v>
      </c>
      <c r="D9804" t="s">
        <v>350</v>
      </c>
      <c r="E9804" t="s">
        <v>468</v>
      </c>
      <c r="F9804">
        <f>HYPERLINK("https://www.wikidata.org/wiki/Q3112069", "Q3112069")</f>
        <v>0</v>
      </c>
      <c r="G9804" t="s">
        <v>698</v>
      </c>
      <c r="H9804" t="s">
        <v>5456</v>
      </c>
      <c r="I9804" t="s">
        <v>9421</v>
      </c>
      <c r="J9804" t="s">
        <v>11448</v>
      </c>
      <c r="K9804" t="s">
        <v>15849</v>
      </c>
      <c r="L9804">
        <f>HYPERLINK("https://www2.assemblee-nationale.fr/sycomore/fiche/(num_dept)/4168", "4168")</f>
        <v>0</v>
      </c>
      <c r="M9804">
        <f>HYPERLINK("https://www.senat.fr/senateur-3eme-republique/lhopiteau_gustave0772r3.html", "lhopiteau_gustave0772r3")</f>
        <v>0</v>
      </c>
      <c r="N9804">
        <f>HYPERLINK("https://www.wikidata.org/wiki/Q3121244", "Q3121244")</f>
        <v>0</v>
      </c>
      <c r="O9804" t="s">
        <v>20064</v>
      </c>
    </row>
    <row r="9805" spans="1:15">
      <c r="A9805" t="s">
        <v>89</v>
      </c>
      <c r="B9805" t="s">
        <v>149</v>
      </c>
      <c r="C9805" t="s">
        <v>221</v>
      </c>
      <c r="D9805" t="s">
        <v>350</v>
      </c>
      <c r="E9805" t="s">
        <v>468</v>
      </c>
      <c r="F9805">
        <f>HYPERLINK("https://www.wikidata.org/wiki/Q3112069", "Q3112069")</f>
        <v>0</v>
      </c>
      <c r="G9805" t="s">
        <v>983</v>
      </c>
      <c r="H9805" t="s">
        <v>5735</v>
      </c>
      <c r="I9805" t="s">
        <v>9534</v>
      </c>
      <c r="J9805" t="s">
        <v>11721</v>
      </c>
      <c r="K9805" t="s">
        <v>16125</v>
      </c>
      <c r="L9805">
        <f>HYPERLINK("https://www2.assemblee-nationale.fr/sycomore/fiche/(num_dept)/4326", "4326")</f>
        <v>0</v>
      </c>
      <c r="M9805">
        <f>HYPERLINK("https://www.senat.fr/senateur-3eme-republique/landry_adolphe0199r4.html", "landry_adolphe0199r4")</f>
        <v>0</v>
      </c>
      <c r="N9805">
        <f>HYPERLINK("https://www.wikidata.org/wiki/Q2824853", "Q2824853")</f>
        <v>0</v>
      </c>
      <c r="O9805" t="s">
        <v>20053</v>
      </c>
    </row>
    <row r="9806" spans="1:15">
      <c r="A9806" t="s">
        <v>89</v>
      </c>
      <c r="B9806" t="s">
        <v>149</v>
      </c>
      <c r="C9806" t="s">
        <v>221</v>
      </c>
      <c r="D9806" t="s">
        <v>350</v>
      </c>
      <c r="E9806" t="s">
        <v>468</v>
      </c>
      <c r="F9806">
        <f>HYPERLINK("https://www.wikidata.org/wiki/Q3112069", "Q3112069")</f>
        <v>0</v>
      </c>
      <c r="G9806" t="s">
        <v>717</v>
      </c>
      <c r="H9806" t="s">
        <v>5475</v>
      </c>
      <c r="I9806" t="s">
        <v>6585</v>
      </c>
      <c r="J9806" t="s">
        <v>11466</v>
      </c>
      <c r="K9806" t="s">
        <v>15868</v>
      </c>
      <c r="L9806">
        <f>HYPERLINK("https://www2.assemblee-nationale.fr/sycomore/fiche/(num_dept)/4882", "4882")</f>
        <v>0</v>
      </c>
      <c r="N9806">
        <f>HYPERLINK("https://www.wikidata.org/wiki/Q318617", "Q318617")</f>
        <v>0</v>
      </c>
      <c r="O9806" t="s">
        <v>20307</v>
      </c>
    </row>
    <row r="9807" spans="1:15">
      <c r="A9807" t="s">
        <v>89</v>
      </c>
      <c r="B9807" t="s">
        <v>149</v>
      </c>
      <c r="C9807" t="s">
        <v>221</v>
      </c>
      <c r="D9807" t="s">
        <v>350</v>
      </c>
      <c r="E9807" t="s">
        <v>468</v>
      </c>
      <c r="F9807">
        <f>HYPERLINK("https://www.wikidata.org/wiki/Q3112069", "Q3112069")</f>
        <v>0</v>
      </c>
      <c r="G9807" t="s">
        <v>778</v>
      </c>
      <c r="H9807" t="s">
        <v>5536</v>
      </c>
      <c r="I9807" t="s">
        <v>6584</v>
      </c>
      <c r="J9807" t="s">
        <v>11525</v>
      </c>
      <c r="K9807" t="s">
        <v>15929</v>
      </c>
      <c r="L9807">
        <f>HYPERLINK("https://www2.assemblee-nationale.fr/sycomore/fiche/(num_dept)/6293", "6293")</f>
        <v>0</v>
      </c>
      <c r="M9807">
        <f>HYPERLINK("https://www.senat.fr/senateur-3eme-republique/sarraut_albert0265r3.html", "sarraut_albert0265r3")</f>
        <v>0</v>
      </c>
      <c r="N9807">
        <f>HYPERLINK("https://www.wikidata.org/wiki/Q460318", "Q460318")</f>
        <v>0</v>
      </c>
      <c r="O9807" t="s">
        <v>20065</v>
      </c>
    </row>
    <row r="9808" spans="1:15">
      <c r="A9808" t="s">
        <v>89</v>
      </c>
      <c r="B9808" t="s">
        <v>149</v>
      </c>
      <c r="C9808" t="s">
        <v>221</v>
      </c>
      <c r="D9808" t="s">
        <v>350</v>
      </c>
      <c r="E9808" t="s">
        <v>468</v>
      </c>
      <c r="F9808">
        <f>HYPERLINK("https://www.wikidata.org/wiki/Q3112069", "Q3112069")</f>
        <v>0</v>
      </c>
      <c r="G9808" t="s">
        <v>1304</v>
      </c>
      <c r="H9808" t="s">
        <v>6025</v>
      </c>
      <c r="I9808" t="s">
        <v>9457</v>
      </c>
      <c r="J9808" t="s">
        <v>12034</v>
      </c>
      <c r="K9808" t="s">
        <v>16435</v>
      </c>
      <c r="L9808">
        <f>HYPERLINK("https://www2.assemblee-nationale.fr/sycomore/fiche/(num_dept)/6554", "6554")</f>
        <v>0</v>
      </c>
      <c r="M9808">
        <f>HYPERLINK("https://www.senat.fr/senateur-3eme-republique/queuille_henri0469r3.html", "queuille_henri0469r3")</f>
        <v>0</v>
      </c>
      <c r="N9808">
        <f>HYPERLINK("https://www.wikidata.org/wiki/Q455655", "Q455655")</f>
        <v>0</v>
      </c>
      <c r="O9808" t="s">
        <v>20275</v>
      </c>
    </row>
    <row r="9809" spans="1:15">
      <c r="A9809" t="s">
        <v>89</v>
      </c>
      <c r="B9809" t="s">
        <v>149</v>
      </c>
      <c r="C9809" t="s">
        <v>221</v>
      </c>
      <c r="D9809" t="s">
        <v>350</v>
      </c>
      <c r="E9809" t="s">
        <v>468</v>
      </c>
      <c r="F9809">
        <f>HYPERLINK("https://www.wikidata.org/wiki/Q3112069", "Q3112069")</f>
        <v>0</v>
      </c>
      <c r="G9809" t="s">
        <v>798</v>
      </c>
      <c r="H9809" t="s">
        <v>5555</v>
      </c>
      <c r="I9809" t="s">
        <v>9529</v>
      </c>
      <c r="J9809" t="s">
        <v>11545</v>
      </c>
      <c r="K9809" t="s">
        <v>15949</v>
      </c>
      <c r="L9809">
        <f>HYPERLINK("https://www2.assemblee-nationale.fr/sycomore/fiche/(num_dept)/6581", "6581")</f>
        <v>0</v>
      </c>
      <c r="M9809">
        <f>HYPERLINK("https://www.senat.fr/senateur-3eme-republique/raiberti_flaminius0124r3.html", "raiberti_flaminius0124r3")</f>
        <v>0</v>
      </c>
      <c r="N9809">
        <f>HYPERLINK("https://www.wikidata.org/wiki/Q3073302", "Q3073302")</f>
        <v>0</v>
      </c>
      <c r="O9809" t="s">
        <v>20053</v>
      </c>
    </row>
    <row r="9810" spans="1:15">
      <c r="A9810" t="s">
        <v>89</v>
      </c>
      <c r="B9810" t="s">
        <v>149</v>
      </c>
      <c r="C9810" t="s">
        <v>221</v>
      </c>
      <c r="D9810" t="s">
        <v>350</v>
      </c>
      <c r="E9810" t="s">
        <v>468</v>
      </c>
      <c r="F9810">
        <f>HYPERLINK("https://www.wikidata.org/wiki/Q3112069", "Q3112069")</f>
        <v>0</v>
      </c>
      <c r="G9810" t="s">
        <v>1612</v>
      </c>
      <c r="H9810" t="s">
        <v>6298</v>
      </c>
      <c r="I9810" t="s">
        <v>9385</v>
      </c>
      <c r="J9810" t="s">
        <v>12319</v>
      </c>
      <c r="K9810" t="s">
        <v>16729</v>
      </c>
      <c r="L9810">
        <f>HYPERLINK("https://www2.assemblee-nationale.fr/sycomore/fiche/(num_dept)/6656", "6656")</f>
        <v>0</v>
      </c>
      <c r="M9810">
        <f>HYPERLINK("https://www.senat.fr/senateur-3eme-republique/reibel_charles1672r3.html", "reibel_charles1672r3")</f>
        <v>0</v>
      </c>
      <c r="N9810">
        <f>HYPERLINK("https://www.wikidata.org/wiki/Q2960097", "Q2960097")</f>
        <v>0</v>
      </c>
      <c r="O9810" t="s">
        <v>20308</v>
      </c>
    </row>
    <row r="9811" spans="1:15">
      <c r="A9811" t="s">
        <v>89</v>
      </c>
      <c r="B9811" t="s">
        <v>149</v>
      </c>
      <c r="C9811" t="s">
        <v>221</v>
      </c>
      <c r="D9811" t="s">
        <v>350</v>
      </c>
      <c r="E9811" t="s">
        <v>468</v>
      </c>
      <c r="F9811">
        <f>HYPERLINK("https://www.wikidata.org/wiki/Q3112069", "Q3112069")</f>
        <v>0</v>
      </c>
      <c r="G9811" t="s">
        <v>814</v>
      </c>
      <c r="H9811" t="s">
        <v>5571</v>
      </c>
      <c r="I9811" t="s">
        <v>9533</v>
      </c>
      <c r="J9811" t="s">
        <v>11561</v>
      </c>
      <c r="K9811" t="s">
        <v>15965</v>
      </c>
      <c r="L9811">
        <f>HYPERLINK("https://www2.assemblee-nationale.fr/sycomore/fiche/(num_dept)/6904", "6904")</f>
        <v>0</v>
      </c>
      <c r="M9811">
        <f>HYPERLINK("https://www.senat.fr/senateur-3eme-republique/steeg_theodore1554r3.html", "steeg_theodore1554r3")</f>
        <v>0</v>
      </c>
      <c r="N9811">
        <f>HYPERLINK("https://www.wikidata.org/wiki/Q717905", "Q717905")</f>
        <v>0</v>
      </c>
      <c r="O9811" t="s">
        <v>20058</v>
      </c>
    </row>
    <row r="9812" spans="1:15">
      <c r="A9812" t="s">
        <v>89</v>
      </c>
      <c r="B9812" t="s">
        <v>149</v>
      </c>
      <c r="C9812" t="s">
        <v>221</v>
      </c>
      <c r="D9812" t="s">
        <v>350</v>
      </c>
      <c r="E9812" t="s">
        <v>468</v>
      </c>
      <c r="F9812">
        <f>HYPERLINK("https://www.wikidata.org/wiki/Q3112069", "Q3112069")</f>
        <v>0</v>
      </c>
      <c r="G9812" t="s">
        <v>1632</v>
      </c>
      <c r="H9812" t="s">
        <v>6317</v>
      </c>
      <c r="I9812" t="s">
        <v>6759</v>
      </c>
      <c r="J9812" t="s">
        <v>12339</v>
      </c>
      <c r="K9812" t="s">
        <v>16748</v>
      </c>
      <c r="L9812">
        <f>HYPERLINK("https://www2.assemblee-nationale.fr/sycomore/fiche/(num_dept)/7066", "7066")</f>
        <v>0</v>
      </c>
      <c r="M9812">
        <f>HYPERLINK("https://www.senat.fr/senateur-3eme-republique/thoumyre_robert1579r3.html", "thoumyre_robert1579r3")</f>
        <v>0</v>
      </c>
      <c r="N9812">
        <f>HYPERLINK("https://www.wikidata.org/wiki/Q3436407", "Q3436407")</f>
        <v>0</v>
      </c>
      <c r="O9812" t="s">
        <v>20231</v>
      </c>
    </row>
    <row r="9813" spans="1:15">
      <c r="A9813" t="s">
        <v>89</v>
      </c>
      <c r="B9813" t="s">
        <v>149</v>
      </c>
      <c r="C9813" t="s">
        <v>221</v>
      </c>
      <c r="D9813" t="s">
        <v>350</v>
      </c>
      <c r="E9813" t="s">
        <v>468</v>
      </c>
      <c r="F9813">
        <f>HYPERLINK("https://www.wikidata.org/wiki/Q3112069", "Q3112069")</f>
        <v>0</v>
      </c>
      <c r="G9813" t="s">
        <v>1659</v>
      </c>
      <c r="H9813" t="s">
        <v>6342</v>
      </c>
      <c r="I9813" t="s">
        <v>9843</v>
      </c>
      <c r="J9813" t="s">
        <v>12366</v>
      </c>
      <c r="K9813" t="s">
        <v>16773</v>
      </c>
      <c r="L9813">
        <f>HYPERLINK("https://www2.assemblee-nationale.fr/sycomore/fiche/(num_dept)/7630", "7630")</f>
        <v>0</v>
      </c>
      <c r="M9813">
        <f>HYPERLINK("https://www.senat.fr/senateur-3eme-republique/le_trocquer_yves0588r3.html", "le_trocquer_yves0588r3")</f>
        <v>0</v>
      </c>
      <c r="N9813">
        <f>HYPERLINK("https://www.wikidata.org/wiki/Q3573784", "Q3573784")</f>
        <v>0</v>
      </c>
      <c r="O9813" t="s">
        <v>20063</v>
      </c>
    </row>
    <row r="9814" spans="1:15">
      <c r="A9814" t="s">
        <v>89</v>
      </c>
      <c r="B9814" t="s">
        <v>149</v>
      </c>
      <c r="C9814" t="s">
        <v>221</v>
      </c>
      <c r="D9814" t="s">
        <v>350</v>
      </c>
      <c r="E9814" t="s">
        <v>468</v>
      </c>
      <c r="F9814">
        <f>HYPERLINK("https://www.wikidata.org/wiki/Q3112069", "Q3112069")</f>
        <v>0</v>
      </c>
      <c r="G9814" t="s">
        <v>851</v>
      </c>
      <c r="H9814" t="s">
        <v>5607</v>
      </c>
      <c r="I9814" t="s">
        <v>6585</v>
      </c>
      <c r="J9814" t="s">
        <v>11597</v>
      </c>
      <c r="K9814" t="s">
        <v>15999</v>
      </c>
      <c r="L9814">
        <f>HYPERLINK("https://www2.assemblee-nationale.fr/sycomore/fiche/(num_dept)/7693", "7693")</f>
        <v>0</v>
      </c>
      <c r="N9814">
        <f>HYPERLINK("https://www.wikidata.org/wiki/Q768982", "Q768982")</f>
        <v>0</v>
      </c>
      <c r="O9814" t="s">
        <v>20057</v>
      </c>
    </row>
    <row r="9815" spans="1:15">
      <c r="A9815" t="s">
        <v>89</v>
      </c>
      <c r="B9815" t="s">
        <v>149</v>
      </c>
      <c r="C9815" t="s">
        <v>221</v>
      </c>
      <c r="D9815" t="s">
        <v>350</v>
      </c>
      <c r="E9815" t="s">
        <v>468</v>
      </c>
      <c r="F9815">
        <f>HYPERLINK("https://www.wikidata.org/wiki/Q3112069", "Q3112069")</f>
        <v>0</v>
      </c>
      <c r="G9815" t="s">
        <v>1328</v>
      </c>
      <c r="H9815" t="s">
        <v>6047</v>
      </c>
      <c r="I9815" t="s">
        <v>6175</v>
      </c>
      <c r="J9815" t="s">
        <v>12056</v>
      </c>
      <c r="K9815" t="s">
        <v>16457</v>
      </c>
      <c r="L9815">
        <f>HYPERLINK("https://www2.assemblee-nationale.fr/sycomore/fiche/(num_dept)/7789", "7789")</f>
        <v>0</v>
      </c>
      <c r="M9815">
        <f>HYPERLINK("https://www.senat.fr/senateur-3eme-republique/leredu_georges1647r3.html", "leredu_georges1647r3")</f>
        <v>0</v>
      </c>
      <c r="N9815">
        <f>HYPERLINK("https://www.wikidata.org/wiki/Q3103090", "Q3103090")</f>
        <v>0</v>
      </c>
      <c r="O9815" t="s">
        <v>20309</v>
      </c>
    </row>
    <row r="9816" spans="1:15">
      <c r="A9816" t="s">
        <v>89</v>
      </c>
      <c r="B9816" t="s">
        <v>149</v>
      </c>
      <c r="C9816" t="s">
        <v>221</v>
      </c>
      <c r="D9816" t="s">
        <v>350</v>
      </c>
      <c r="E9816" t="s">
        <v>468</v>
      </c>
      <c r="F9816">
        <f>HYPERLINK("https://www.wikidata.org/wiki/Q3112069", "Q3112069")</f>
        <v>0</v>
      </c>
      <c r="G9816" t="s">
        <v>857</v>
      </c>
      <c r="H9816" t="s">
        <v>5613</v>
      </c>
      <c r="I9816" t="s">
        <v>6175</v>
      </c>
      <c r="J9816" t="s">
        <v>11603</v>
      </c>
      <c r="K9816" t="s">
        <v>16005</v>
      </c>
      <c r="L9816">
        <f>HYPERLINK("https://www2.assemblee-nationale.fr/sycomore/fiche/(num_dept)/7840", "7840")</f>
        <v>0</v>
      </c>
      <c r="N9816">
        <f>HYPERLINK("https://www.wikidata.org/wiki/Q728806", "Q728806")</f>
        <v>0</v>
      </c>
      <c r="O9816" t="s">
        <v>20062</v>
      </c>
    </row>
    <row r="9817" spans="1:15">
      <c r="A9817" t="s">
        <v>89</v>
      </c>
      <c r="B9817" t="s">
        <v>149</v>
      </c>
      <c r="C9817" t="s">
        <v>221</v>
      </c>
      <c r="D9817" t="s">
        <v>350</v>
      </c>
      <c r="E9817" t="s">
        <v>468</v>
      </c>
      <c r="F9817">
        <f>HYPERLINK("https://www.wikidata.org/wiki/Q3112069", "Q3112069")</f>
        <v>0</v>
      </c>
      <c r="G9817" t="s">
        <v>857</v>
      </c>
      <c r="H9817" t="s">
        <v>5613</v>
      </c>
      <c r="I9817" t="s">
        <v>6175</v>
      </c>
      <c r="J9817" t="s">
        <v>11603</v>
      </c>
      <c r="K9817" t="s">
        <v>16005</v>
      </c>
      <c r="L9817">
        <f>HYPERLINK("https://www2.assemblee-nationale.fr/sycomore/fiche/(num_dept)/7840", "7840")</f>
        <v>0</v>
      </c>
      <c r="N9817">
        <f>HYPERLINK("https://www.wikidata.org/wiki/Q728806", "Q728806")</f>
        <v>0</v>
      </c>
      <c r="O9817" t="s">
        <v>20052</v>
      </c>
    </row>
    <row r="9818" spans="1:15">
      <c r="A9818" t="s">
        <v>89</v>
      </c>
      <c r="B9818" t="s">
        <v>149</v>
      </c>
      <c r="C9818" t="s">
        <v>221</v>
      </c>
      <c r="D9818" t="s">
        <v>350</v>
      </c>
      <c r="E9818" t="s">
        <v>468</v>
      </c>
      <c r="F9818">
        <f>HYPERLINK("https://www.wikidata.org/wiki/Q3112069", "Q3112069")</f>
        <v>0</v>
      </c>
      <c r="G9818" t="s">
        <v>1333</v>
      </c>
      <c r="H9818" t="s">
        <v>5402</v>
      </c>
      <c r="I9818" t="s">
        <v>9754</v>
      </c>
      <c r="J9818" t="s">
        <v>12060</v>
      </c>
      <c r="K9818" t="s">
        <v>16462</v>
      </c>
      <c r="L9818">
        <f>HYPERLINK("https://www2.assemblee-nationale.fr/sycomore/fiche/(num_dept)/10839", "10839")</f>
        <v>0</v>
      </c>
      <c r="N9818">
        <f>HYPERLINK("https://www.wikidata.org/wiki/Q471296", "Q471296")</f>
        <v>0</v>
      </c>
      <c r="O9818" t="s">
        <v>20310</v>
      </c>
    </row>
    <row r="9819" spans="1:15">
      <c r="A9819" t="s">
        <v>89</v>
      </c>
      <c r="B9819" t="s">
        <v>149</v>
      </c>
      <c r="C9819" t="s">
        <v>221</v>
      </c>
      <c r="D9819" t="s">
        <v>350</v>
      </c>
      <c r="E9819" t="s">
        <v>468</v>
      </c>
      <c r="F9819">
        <f>HYPERLINK("https://www.wikidata.org/wiki/Q3112069", "Q3112069")</f>
        <v>0</v>
      </c>
      <c r="G9819" t="s">
        <v>4317</v>
      </c>
      <c r="H9819" t="s">
        <v>7600</v>
      </c>
      <c r="I9819" t="s">
        <v>11181</v>
      </c>
      <c r="J9819" t="s">
        <v>14814</v>
      </c>
      <c r="K9819" t="s">
        <v>19155</v>
      </c>
      <c r="N9819">
        <f>HYPERLINK("https://www.wikidata.org/wiki/Q3184306", "Q3184306")</f>
        <v>0</v>
      </c>
      <c r="O9819" t="s">
        <v>20056</v>
      </c>
    </row>
    <row r="9820" spans="1:15">
      <c r="A9820" t="s">
        <v>89</v>
      </c>
      <c r="B9820" t="s">
        <v>149</v>
      </c>
      <c r="C9820" t="s">
        <v>221</v>
      </c>
      <c r="D9820" t="s">
        <v>350</v>
      </c>
      <c r="E9820" t="s">
        <v>468</v>
      </c>
      <c r="F9820">
        <f>HYPERLINK("https://www.wikidata.org/wiki/Q3112069", "Q3112069")</f>
        <v>0</v>
      </c>
      <c r="G9820" t="s">
        <v>4308</v>
      </c>
      <c r="H9820" t="s">
        <v>8464</v>
      </c>
      <c r="I9820" t="s">
        <v>9612</v>
      </c>
      <c r="J9820" t="s">
        <v>14806</v>
      </c>
      <c r="K9820" t="s">
        <v>17434</v>
      </c>
      <c r="M9820">
        <f>HYPERLINK("https://www.senat.fr/senateur-3eme-republique/francois_marsal_frederic0362r3.html", "francois_marsal_frederic0362r3")</f>
        <v>0</v>
      </c>
      <c r="N9820">
        <f>HYPERLINK("https://www.wikidata.org/wiki/Q459212", "Q459212")</f>
        <v>0</v>
      </c>
      <c r="O9820" t="s">
        <v>20066</v>
      </c>
    </row>
    <row r="9821" spans="1:15">
      <c r="A9821" t="s">
        <v>89</v>
      </c>
      <c r="B9821" t="s">
        <v>149</v>
      </c>
      <c r="C9821" t="s">
        <v>221</v>
      </c>
      <c r="D9821" t="s">
        <v>350</v>
      </c>
      <c r="E9821" t="s">
        <v>468</v>
      </c>
      <c r="F9821">
        <f>HYPERLINK("https://www.wikidata.org/wiki/Q3112069", "Q3112069")</f>
        <v>0</v>
      </c>
      <c r="G9821" t="s">
        <v>4318</v>
      </c>
      <c r="H9821" t="s">
        <v>8471</v>
      </c>
      <c r="I9821" t="s">
        <v>9437</v>
      </c>
      <c r="J9821" t="s">
        <v>14815</v>
      </c>
      <c r="K9821" t="s">
        <v>16323</v>
      </c>
      <c r="N9821">
        <f>HYPERLINK("https://www.wikidata.org/wiki/Q286257", "Q286257")</f>
        <v>0</v>
      </c>
      <c r="O9821" t="s">
        <v>20167</v>
      </c>
    </row>
    <row r="9822" spans="1:15">
      <c r="A9822" t="s">
        <v>89</v>
      </c>
      <c r="B9822" t="s">
        <v>149</v>
      </c>
      <c r="C9822" t="s">
        <v>221</v>
      </c>
      <c r="D9822" t="s">
        <v>350</v>
      </c>
      <c r="E9822" t="s">
        <v>468</v>
      </c>
      <c r="F9822">
        <f>HYPERLINK("https://www.wikidata.org/wiki/Q3112069", "Q3112069")</f>
        <v>0</v>
      </c>
      <c r="G9822" t="s">
        <v>1497</v>
      </c>
      <c r="H9822" t="s">
        <v>6195</v>
      </c>
      <c r="I9822" t="s">
        <v>9552</v>
      </c>
      <c r="J9822" t="s">
        <v>12215</v>
      </c>
      <c r="K9822" t="s">
        <v>16620</v>
      </c>
      <c r="N9822">
        <f>HYPERLINK("https://www.wikidata.org/wiki/Q16032275", "Q16032275")</f>
        <v>0</v>
      </c>
      <c r="O9822" t="s">
        <v>20135</v>
      </c>
    </row>
    <row r="9823" spans="1:15">
      <c r="A9823" t="s">
        <v>89</v>
      </c>
      <c r="B9823" t="s">
        <v>149</v>
      </c>
      <c r="C9823" t="s">
        <v>221</v>
      </c>
      <c r="D9823" t="s">
        <v>350</v>
      </c>
      <c r="E9823" t="s">
        <v>468</v>
      </c>
      <c r="F9823">
        <f>HYPERLINK("https://www.wikidata.org/wiki/Q3112069", "Q3112069")</f>
        <v>0</v>
      </c>
      <c r="G9823" t="s">
        <v>4319</v>
      </c>
      <c r="H9823" t="s">
        <v>8472</v>
      </c>
      <c r="I9823" t="s">
        <v>6860</v>
      </c>
      <c r="J9823" t="s">
        <v>14816</v>
      </c>
      <c r="K9823" t="s">
        <v>19156</v>
      </c>
      <c r="N9823">
        <f>HYPERLINK("https://www.wikidata.org/wiki/Q3384551", "Q3384551")</f>
        <v>0</v>
      </c>
      <c r="O9823" t="s">
        <v>20311</v>
      </c>
    </row>
    <row r="9824" spans="1:15">
      <c r="A9824" t="s">
        <v>89</v>
      </c>
      <c r="B9824" t="s">
        <v>149</v>
      </c>
      <c r="C9824" t="s">
        <v>221</v>
      </c>
      <c r="D9824" t="s">
        <v>350</v>
      </c>
      <c r="E9824" t="s">
        <v>468</v>
      </c>
      <c r="F9824">
        <f>HYPERLINK("https://www.wikidata.org/wiki/Q3112069", "Q3112069")</f>
        <v>0</v>
      </c>
      <c r="G9824" t="s">
        <v>1141</v>
      </c>
      <c r="H9824" t="s">
        <v>5876</v>
      </c>
      <c r="I9824" t="s">
        <v>6495</v>
      </c>
      <c r="J9824" t="s">
        <v>11875</v>
      </c>
      <c r="K9824" t="s">
        <v>16277</v>
      </c>
      <c r="N9824">
        <f>HYPERLINK("https://www.wikidata.org/wiki/Q3261710", "Q3261710")</f>
        <v>0</v>
      </c>
      <c r="O9824" t="s">
        <v>20187</v>
      </c>
    </row>
    <row r="9825" spans="1:15">
      <c r="A9825" t="s">
        <v>90</v>
      </c>
      <c r="B9825" t="s">
        <v>149</v>
      </c>
      <c r="C9825" t="s">
        <v>222</v>
      </c>
      <c r="D9825" t="s">
        <v>351</v>
      </c>
      <c r="E9825" t="s">
        <v>469</v>
      </c>
      <c r="F9825">
        <f>HYPERLINK("https://www.wikidata.org/wiki/Q1837633", "Q1837633")</f>
        <v>0</v>
      </c>
      <c r="G9825" t="s">
        <v>3373</v>
      </c>
      <c r="H9825" t="s">
        <v>7083</v>
      </c>
      <c r="I9825" t="s">
        <v>5528</v>
      </c>
      <c r="J9825" t="s">
        <v>13985</v>
      </c>
      <c r="K9825" t="s">
        <v>18353</v>
      </c>
      <c r="L9825">
        <f>HYPERLINK("https://www2.assemblee-nationale.fr/sycomore/fiche/(num_dept)/1083", "1083")</f>
        <v>0</v>
      </c>
      <c r="M9825">
        <f>HYPERLINK("https://www.senat.fr/senateur-3eme-republique/bourgeois_leon0647r3.html", "bourgeois_leon0647r3")</f>
        <v>0</v>
      </c>
      <c r="N9825">
        <f>HYPERLINK("https://www.wikidata.org/wiki/Q217706", "Q217706")</f>
        <v>0</v>
      </c>
      <c r="O9825" t="s">
        <v>20186</v>
      </c>
    </row>
    <row r="9826" spans="1:15">
      <c r="A9826" t="s">
        <v>90</v>
      </c>
      <c r="B9826" t="s">
        <v>149</v>
      </c>
      <c r="C9826" t="s">
        <v>222</v>
      </c>
      <c r="D9826" t="s">
        <v>351</v>
      </c>
      <c r="E9826" t="s">
        <v>469</v>
      </c>
      <c r="F9826">
        <f>HYPERLINK("https://www.wikidata.org/wiki/Q1837633", "Q1837633")</f>
        <v>0</v>
      </c>
      <c r="G9826" t="s">
        <v>3237</v>
      </c>
      <c r="H9826" t="s">
        <v>7662</v>
      </c>
      <c r="I9826" t="s">
        <v>9552</v>
      </c>
      <c r="J9826" t="s">
        <v>13855</v>
      </c>
      <c r="K9826" t="s">
        <v>18227</v>
      </c>
      <c r="L9826">
        <f>HYPERLINK("https://www2.assemblee-nationale.fr/sycomore/fiche/(num_dept)/1312", "1312")</f>
        <v>0</v>
      </c>
      <c r="N9826">
        <f>HYPERLINK("https://www.wikidata.org/wiki/Q2341410", "Q2341410")</f>
        <v>0</v>
      </c>
      <c r="O9826" t="s">
        <v>20053</v>
      </c>
    </row>
    <row r="9827" spans="1:15">
      <c r="A9827" t="s">
        <v>90</v>
      </c>
      <c r="B9827" t="s">
        <v>149</v>
      </c>
      <c r="C9827" t="s">
        <v>222</v>
      </c>
      <c r="D9827" t="s">
        <v>351</v>
      </c>
      <c r="E9827" t="s">
        <v>469</v>
      </c>
      <c r="F9827">
        <f>HYPERLINK("https://www.wikidata.org/wiki/Q1837633", "Q1837633")</f>
        <v>0</v>
      </c>
      <c r="G9827" t="s">
        <v>2554</v>
      </c>
      <c r="H9827" t="s">
        <v>7113</v>
      </c>
      <c r="I9827" t="s">
        <v>9449</v>
      </c>
      <c r="J9827" t="s">
        <v>13198</v>
      </c>
      <c r="K9827" t="s">
        <v>17603</v>
      </c>
      <c r="L9827">
        <f>HYPERLINK("https://www2.assemblee-nationale.fr/sycomore/fiche/(num_dept)/2474", "2474")</f>
        <v>0</v>
      </c>
      <c r="M9827">
        <f>HYPERLINK("https://www.senat.fr/senateur-3eme-republique/develle_jules1013r3.html", "develle_jules1013r3")</f>
        <v>0</v>
      </c>
      <c r="N9827">
        <f>HYPERLINK("https://www.wikidata.org/wiki/Q939193", "Q939193")</f>
        <v>0</v>
      </c>
      <c r="O9827" t="s">
        <v>20056</v>
      </c>
    </row>
    <row r="9828" spans="1:15">
      <c r="A9828" t="s">
        <v>90</v>
      </c>
      <c r="B9828" t="s">
        <v>149</v>
      </c>
      <c r="C9828" t="s">
        <v>222</v>
      </c>
      <c r="D9828" t="s">
        <v>351</v>
      </c>
      <c r="E9828" t="s">
        <v>469</v>
      </c>
      <c r="F9828">
        <f>HYPERLINK("https://www.wikidata.org/wiki/Q1837633", "Q1837633")</f>
        <v>0</v>
      </c>
      <c r="G9828" t="s">
        <v>3258</v>
      </c>
      <c r="H9828" t="s">
        <v>7678</v>
      </c>
      <c r="I9828" t="s">
        <v>9437</v>
      </c>
      <c r="J9828" t="s">
        <v>13874</v>
      </c>
      <c r="K9828" t="s">
        <v>18246</v>
      </c>
      <c r="L9828">
        <f>HYPERLINK("https://www2.assemblee-nationale.fr/sycomore/fiche/(num_dept)/3985", "3985")</f>
        <v>0</v>
      </c>
      <c r="N9828">
        <f>HYPERLINK("https://www.wikidata.org/wiki/Q286003", "Q286003")</f>
        <v>0</v>
      </c>
      <c r="O9828" t="s">
        <v>20184</v>
      </c>
    </row>
    <row r="9829" spans="1:15">
      <c r="A9829" t="s">
        <v>90</v>
      </c>
      <c r="B9829" t="s">
        <v>149</v>
      </c>
      <c r="C9829" t="s">
        <v>222</v>
      </c>
      <c r="D9829" t="s">
        <v>351</v>
      </c>
      <c r="E9829" t="s">
        <v>469</v>
      </c>
      <c r="F9829">
        <f>HYPERLINK("https://www.wikidata.org/wiki/Q1837633", "Q1837633")</f>
        <v>0</v>
      </c>
      <c r="G9829" t="s">
        <v>767</v>
      </c>
      <c r="H9829" t="s">
        <v>5525</v>
      </c>
      <c r="I9829" t="s">
        <v>9449</v>
      </c>
      <c r="J9829" t="s">
        <v>11514</v>
      </c>
      <c r="K9829" t="s">
        <v>15918</v>
      </c>
      <c r="L9829">
        <f>HYPERLINK("https://www2.assemblee-nationale.fr/sycomore/fiche/(num_dept)/6031", "6031")</f>
        <v>0</v>
      </c>
      <c r="N9829">
        <f>HYPERLINK("https://www.wikidata.org/wiki/Q3188891", "Q3188891")</f>
        <v>0</v>
      </c>
      <c r="O9829" t="s">
        <v>20190</v>
      </c>
    </row>
    <row r="9830" spans="1:15">
      <c r="A9830" t="s">
        <v>90</v>
      </c>
      <c r="B9830" t="s">
        <v>149</v>
      </c>
      <c r="C9830" t="s">
        <v>222</v>
      </c>
      <c r="D9830" t="s">
        <v>351</v>
      </c>
      <c r="E9830" t="s">
        <v>469</v>
      </c>
      <c r="F9830">
        <f>HYPERLINK("https://www.wikidata.org/wiki/Q1837633", "Q1837633")</f>
        <v>0</v>
      </c>
      <c r="G9830" t="s">
        <v>2650</v>
      </c>
      <c r="H9830" t="s">
        <v>7191</v>
      </c>
      <c r="I9830" t="s">
        <v>7642</v>
      </c>
      <c r="J9830" t="s">
        <v>13292</v>
      </c>
      <c r="K9830" t="s">
        <v>17691</v>
      </c>
      <c r="L9830">
        <f>HYPERLINK("https://www2.assemblee-nationale.fr/sycomore/fiche/(num_dept)/6152", "6152")</f>
        <v>0</v>
      </c>
      <c r="M9830">
        <f>HYPERLINK("https://www.senat.fr/senateur-3eme-republique/rouvier_maurice0115r3.html", "rouvier_maurice0115r3")</f>
        <v>0</v>
      </c>
      <c r="N9830">
        <f>HYPERLINK("https://www.wikidata.org/wiki/Q471293", "Q471293")</f>
        <v>0</v>
      </c>
      <c r="O9830" t="s">
        <v>20066</v>
      </c>
    </row>
    <row r="9831" spans="1:15">
      <c r="A9831" t="s">
        <v>90</v>
      </c>
      <c r="B9831" t="s">
        <v>149</v>
      </c>
      <c r="C9831" t="s">
        <v>222</v>
      </c>
      <c r="D9831" t="s">
        <v>351</v>
      </c>
      <c r="E9831" t="s">
        <v>469</v>
      </c>
      <c r="F9831">
        <f>HYPERLINK("https://www.wikidata.org/wiki/Q1837633", "Q1837633")</f>
        <v>0</v>
      </c>
      <c r="G9831" t="s">
        <v>2671</v>
      </c>
      <c r="H9831" t="s">
        <v>7208</v>
      </c>
      <c r="I9831" t="s">
        <v>9553</v>
      </c>
      <c r="J9831" t="s">
        <v>13312</v>
      </c>
      <c r="K9831" t="s">
        <v>17712</v>
      </c>
      <c r="L9831">
        <f>HYPERLINK("https://www2.assemblee-nationale.fr/sycomore/fiche/(num_dept)/6727", "6727")</f>
        <v>0</v>
      </c>
      <c r="M9831">
        <f>HYPERLINK("https://www.senat.fr/senateur-3eme-republique/ribot_alexandre0941r3.html", "ribot_alexandre0941r3")</f>
        <v>0</v>
      </c>
      <c r="N9831">
        <f>HYPERLINK("https://www.wikidata.org/wiki/Q358387", "Q358387")</f>
        <v>0</v>
      </c>
      <c r="O9831" t="s">
        <v>20062</v>
      </c>
    </row>
    <row r="9832" spans="1:15">
      <c r="A9832" t="s">
        <v>90</v>
      </c>
      <c r="B9832" t="s">
        <v>149</v>
      </c>
      <c r="C9832" t="s">
        <v>222</v>
      </c>
      <c r="D9832" t="s">
        <v>351</v>
      </c>
      <c r="E9832" t="s">
        <v>469</v>
      </c>
      <c r="F9832">
        <f>HYPERLINK("https://www.wikidata.org/wiki/Q1837633", "Q1837633")</f>
        <v>0</v>
      </c>
      <c r="G9832" t="s">
        <v>3168</v>
      </c>
      <c r="H9832" t="s">
        <v>7600</v>
      </c>
      <c r="I9832" t="s">
        <v>6495</v>
      </c>
      <c r="J9832" t="s">
        <v>13789</v>
      </c>
      <c r="K9832" t="s">
        <v>18164</v>
      </c>
      <c r="L9832">
        <f>HYPERLINK("https://www2.assemblee-nationale.fr/sycomore/fiche/(num_dept)/6729", "6729")</f>
        <v>0</v>
      </c>
      <c r="N9832">
        <f>HYPERLINK("https://www.wikidata.org/wiki/Q3263005", "Q3263005")</f>
        <v>0</v>
      </c>
      <c r="O9832" t="s">
        <v>20064</v>
      </c>
    </row>
    <row r="9833" spans="1:15">
      <c r="A9833" t="s">
        <v>90</v>
      </c>
      <c r="B9833" t="s">
        <v>149</v>
      </c>
      <c r="C9833" t="s">
        <v>222</v>
      </c>
      <c r="D9833" t="s">
        <v>351</v>
      </c>
      <c r="E9833" t="s">
        <v>469</v>
      </c>
      <c r="F9833">
        <f>HYPERLINK("https://www.wikidata.org/wiki/Q1837633", "Q1837633")</f>
        <v>0</v>
      </c>
      <c r="G9833" t="s">
        <v>2695</v>
      </c>
      <c r="H9833" t="s">
        <v>7227</v>
      </c>
      <c r="I9833" t="s">
        <v>9449</v>
      </c>
      <c r="J9833" t="s">
        <v>13336</v>
      </c>
      <c r="K9833" t="s">
        <v>17736</v>
      </c>
      <c r="L9833">
        <f>HYPERLINK("https://www2.assemblee-nationale.fr/sycomore/fiche/(num_dept)/7450", "7450")</f>
        <v>0</v>
      </c>
      <c r="N9833">
        <f>HYPERLINK("https://www.wikidata.org/wiki/Q3188959", "Q3188959")</f>
        <v>0</v>
      </c>
      <c r="O9833" t="s">
        <v>20063</v>
      </c>
    </row>
    <row r="9834" spans="1:15">
      <c r="A9834" t="s">
        <v>90</v>
      </c>
      <c r="B9834" t="s">
        <v>149</v>
      </c>
      <c r="C9834" t="s">
        <v>222</v>
      </c>
      <c r="D9834" t="s">
        <v>351</v>
      </c>
      <c r="E9834" t="s">
        <v>469</v>
      </c>
      <c r="F9834">
        <f>HYPERLINK("https://www.wikidata.org/wiki/Q1837633", "Q1837633")</f>
        <v>0</v>
      </c>
      <c r="G9834" t="s">
        <v>2808</v>
      </c>
      <c r="H9834" t="s">
        <v>7310</v>
      </c>
      <c r="I9834" t="s">
        <v>9437</v>
      </c>
      <c r="J9834" t="s">
        <v>13448</v>
      </c>
      <c r="K9834" t="s">
        <v>17840</v>
      </c>
      <c r="L9834">
        <f>HYPERLINK("https://www2.assemblee-nationale.fr/sycomore/fiche/(num_dept)/8117", "8117")</f>
        <v>0</v>
      </c>
      <c r="M9834">
        <f>HYPERLINK("https://www.senat.fr/senateur-3eme-republique/loubet_emile0714r3.html", "loubet_emile0714r3")</f>
        <v>0</v>
      </c>
      <c r="N9834">
        <f>HYPERLINK("https://www.wikidata.org/wiki/Q169502", "Q169502")</f>
        <v>0</v>
      </c>
      <c r="O9834" t="s">
        <v>20113</v>
      </c>
    </row>
    <row r="9835" spans="1:15">
      <c r="A9835" t="s">
        <v>90</v>
      </c>
      <c r="B9835" t="s">
        <v>149</v>
      </c>
      <c r="C9835" t="s">
        <v>222</v>
      </c>
      <c r="D9835" t="s">
        <v>351</v>
      </c>
      <c r="E9835" t="s">
        <v>469</v>
      </c>
      <c r="F9835">
        <f>HYPERLINK("https://www.wikidata.org/wiki/Q1837633", "Q1837633")</f>
        <v>0</v>
      </c>
      <c r="G9835" t="s">
        <v>2808</v>
      </c>
      <c r="H9835" t="s">
        <v>7310</v>
      </c>
      <c r="I9835" t="s">
        <v>9437</v>
      </c>
      <c r="J9835" t="s">
        <v>13448</v>
      </c>
      <c r="K9835" t="s">
        <v>17840</v>
      </c>
      <c r="L9835">
        <f>HYPERLINK("https://www2.assemblee-nationale.fr/sycomore/fiche/(num_dept)/8117", "8117")</f>
        <v>0</v>
      </c>
      <c r="M9835">
        <f>HYPERLINK("https://www.senat.fr/senateur-3eme-republique/loubet_emile0714r3.html", "loubet_emile0714r3")</f>
        <v>0</v>
      </c>
      <c r="N9835">
        <f>HYPERLINK("https://www.wikidata.org/wiki/Q169502", "Q169502")</f>
        <v>0</v>
      </c>
      <c r="O9835" t="s">
        <v>20114</v>
      </c>
    </row>
    <row r="9836" spans="1:15">
      <c r="A9836" t="s">
        <v>90</v>
      </c>
      <c r="B9836" t="s">
        <v>149</v>
      </c>
      <c r="C9836" t="s">
        <v>222</v>
      </c>
      <c r="D9836" t="s">
        <v>351</v>
      </c>
      <c r="E9836" t="s">
        <v>469</v>
      </c>
      <c r="F9836">
        <f>HYPERLINK("https://www.wikidata.org/wiki/Q1837633", "Q1837633")</f>
        <v>0</v>
      </c>
      <c r="G9836" t="s">
        <v>4245</v>
      </c>
      <c r="H9836" t="s">
        <v>8418</v>
      </c>
      <c r="I9836" t="s">
        <v>9385</v>
      </c>
      <c r="J9836" t="s">
        <v>14751</v>
      </c>
      <c r="K9836" t="s">
        <v>19097</v>
      </c>
      <c r="M9836">
        <f>HYPERLINK("https://www.senat.fr/senateur-3eme-republique/de_saulces_de_freycinet_louis1713r3.html", "de_saulces_de_freycinet_louis1713r3")</f>
        <v>0</v>
      </c>
      <c r="N9836">
        <f>HYPERLINK("https://www.wikidata.org/wiki/Q317957", "Q317957")</f>
        <v>0</v>
      </c>
      <c r="O9836" t="s">
        <v>20057</v>
      </c>
    </row>
    <row r="9837" spans="1:15">
      <c r="A9837" t="s">
        <v>90</v>
      </c>
      <c r="B9837" t="s">
        <v>149</v>
      </c>
      <c r="C9837" t="s">
        <v>222</v>
      </c>
      <c r="D9837" t="s">
        <v>351</v>
      </c>
      <c r="E9837" t="s">
        <v>469</v>
      </c>
      <c r="F9837">
        <f>HYPERLINK("https://www.wikidata.org/wiki/Q1837633", "Q1837633")</f>
        <v>0</v>
      </c>
      <c r="G9837" t="s">
        <v>3019</v>
      </c>
      <c r="H9837" t="s">
        <v>7476</v>
      </c>
      <c r="I9837" t="s">
        <v>11173</v>
      </c>
      <c r="J9837" t="s">
        <v>13647</v>
      </c>
      <c r="K9837" t="s">
        <v>18031</v>
      </c>
      <c r="N9837">
        <f>HYPERLINK("https://www.wikidata.org/wiki/Q21294910", "Q21294910")</f>
        <v>0</v>
      </c>
      <c r="O9837" t="s">
        <v>20053</v>
      </c>
    </row>
    <row r="9838" spans="1:15">
      <c r="A9838" t="s">
        <v>91</v>
      </c>
      <c r="B9838" t="s">
        <v>149</v>
      </c>
      <c r="C9838" t="s">
        <v>223</v>
      </c>
      <c r="D9838" t="s">
        <v>352</v>
      </c>
      <c r="E9838" t="s">
        <v>310</v>
      </c>
      <c r="F9838">
        <f>HYPERLINK("https://www.wikidata.org/wiki/Q2211955", "Q2211955")</f>
        <v>0</v>
      </c>
      <c r="G9838" t="s">
        <v>512</v>
      </c>
      <c r="H9838" t="s">
        <v>5277</v>
      </c>
      <c r="I9838" t="s">
        <v>6495</v>
      </c>
      <c r="J9838" t="s">
        <v>11264</v>
      </c>
      <c r="K9838" t="s">
        <v>15664</v>
      </c>
      <c r="L9838">
        <f>HYPERLINK("https://www2.assemblee-nationale.fr/sycomore/fiche/(num_dept)/451", "451")</f>
        <v>0</v>
      </c>
      <c r="M9838">
        <f>HYPERLINK("https://www.senat.fr/senateur-3eme-republique/barthou_louis1071r3.html", "barthou_louis1071r3")</f>
        <v>0</v>
      </c>
      <c r="N9838">
        <f>HYPERLINK("https://www.wikidata.org/wiki/Q271887", "Q271887")</f>
        <v>0</v>
      </c>
      <c r="O9838" t="s">
        <v>20113</v>
      </c>
    </row>
    <row r="9839" spans="1:15">
      <c r="A9839" t="s">
        <v>91</v>
      </c>
      <c r="B9839" t="s">
        <v>149</v>
      </c>
      <c r="C9839" t="s">
        <v>223</v>
      </c>
      <c r="D9839" t="s">
        <v>352</v>
      </c>
      <c r="E9839" t="s">
        <v>310</v>
      </c>
      <c r="F9839">
        <f>HYPERLINK("https://www.wikidata.org/wiki/Q2211955", "Q2211955")</f>
        <v>0</v>
      </c>
      <c r="G9839" t="s">
        <v>3410</v>
      </c>
      <c r="H9839" t="s">
        <v>7544</v>
      </c>
      <c r="I9839" t="s">
        <v>6478</v>
      </c>
      <c r="J9839" t="s">
        <v>14016</v>
      </c>
      <c r="K9839" t="s">
        <v>18384</v>
      </c>
      <c r="L9839">
        <f>HYPERLINK("https://www2.assemblee-nationale.fr/sycomore/fiche/(num_dept)/1008", "1008")</f>
        <v>0</v>
      </c>
      <c r="M9839">
        <f>HYPERLINK("https://www.senat.fr/senateur-3eme-republique/boucher_henry1805r3.html", "boucher_henry1805r3")</f>
        <v>0</v>
      </c>
      <c r="N9839">
        <f>HYPERLINK("https://www.wikidata.org/wiki/Q3132647", "Q3132647")</f>
        <v>0</v>
      </c>
      <c r="O9839" t="s">
        <v>20115</v>
      </c>
    </row>
    <row r="9840" spans="1:15">
      <c r="A9840" t="s">
        <v>91</v>
      </c>
      <c r="B9840" t="s">
        <v>149</v>
      </c>
      <c r="C9840" t="s">
        <v>223</v>
      </c>
      <c r="D9840" t="s">
        <v>352</v>
      </c>
      <c r="E9840" t="s">
        <v>310</v>
      </c>
      <c r="F9840">
        <f>HYPERLINK("https://www.wikidata.org/wiki/Q2211955", "Q2211955")</f>
        <v>0</v>
      </c>
      <c r="G9840" t="s">
        <v>582</v>
      </c>
      <c r="H9840" t="s">
        <v>5344</v>
      </c>
      <c r="I9840" t="s">
        <v>6175</v>
      </c>
      <c r="J9840" t="s">
        <v>11333</v>
      </c>
      <c r="K9840" t="s">
        <v>15734</v>
      </c>
      <c r="L9840">
        <f>HYPERLINK("https://www2.assemblee-nationale.fr/sycomore/fiche/(num_dept)/1869", "1869")</f>
        <v>0</v>
      </c>
      <c r="N9840">
        <f>HYPERLINK("https://www.wikidata.org/wiki/Q2599226", "Q2599226")</f>
        <v>0</v>
      </c>
      <c r="O9840" t="s">
        <v>20066</v>
      </c>
    </row>
    <row r="9841" spans="1:15">
      <c r="A9841" t="s">
        <v>91</v>
      </c>
      <c r="B9841" t="s">
        <v>149</v>
      </c>
      <c r="C9841" t="s">
        <v>223</v>
      </c>
      <c r="D9841" t="s">
        <v>352</v>
      </c>
      <c r="E9841" t="s">
        <v>310</v>
      </c>
      <c r="F9841">
        <f>HYPERLINK("https://www.wikidata.org/wiki/Q2211955", "Q2211955")</f>
        <v>0</v>
      </c>
      <c r="G9841" t="s">
        <v>3421</v>
      </c>
      <c r="H9841" t="s">
        <v>7804</v>
      </c>
      <c r="I9841" t="s">
        <v>9474</v>
      </c>
      <c r="J9841" t="s">
        <v>14026</v>
      </c>
      <c r="K9841" t="s">
        <v>18395</v>
      </c>
      <c r="L9841">
        <f>HYPERLINK("https://www2.assemblee-nationale.fr/sycomore/fiche/(num_dept)/2134", "2134")</f>
        <v>0</v>
      </c>
      <c r="N9841">
        <f>HYPERLINK("https://www.wikidata.org/wiki/Q3163997", "Q3163997")</f>
        <v>0</v>
      </c>
      <c r="O9841" t="s">
        <v>20064</v>
      </c>
    </row>
    <row r="9842" spans="1:15">
      <c r="A9842" t="s">
        <v>91</v>
      </c>
      <c r="B9842" t="s">
        <v>149</v>
      </c>
      <c r="C9842" t="s">
        <v>223</v>
      </c>
      <c r="D9842" t="s">
        <v>352</v>
      </c>
      <c r="E9842" t="s">
        <v>310</v>
      </c>
      <c r="F9842">
        <f>HYPERLINK("https://www.wikidata.org/wiki/Q2211955", "Q2211955")</f>
        <v>0</v>
      </c>
      <c r="G9842" t="s">
        <v>3356</v>
      </c>
      <c r="H9842" t="s">
        <v>7754</v>
      </c>
      <c r="I9842" t="s">
        <v>7911</v>
      </c>
      <c r="J9842" t="s">
        <v>13968</v>
      </c>
      <c r="K9842" t="s">
        <v>18338</v>
      </c>
      <c r="L9842">
        <f>HYPERLINK("https://www2.assemblee-nationale.fr/sycomore/fiche/(num_dept)/3746", "3746")</f>
        <v>0</v>
      </c>
      <c r="N9842">
        <f>HYPERLINK("https://www.wikidata.org/wiki/Q956253", "Q956253")</f>
        <v>0</v>
      </c>
      <c r="O9842" t="s">
        <v>20062</v>
      </c>
    </row>
    <row r="9843" spans="1:15">
      <c r="A9843" t="s">
        <v>91</v>
      </c>
      <c r="B9843" t="s">
        <v>149</v>
      </c>
      <c r="C9843" t="s">
        <v>223</v>
      </c>
      <c r="D9843" t="s">
        <v>352</v>
      </c>
      <c r="E9843" t="s">
        <v>310</v>
      </c>
      <c r="F9843">
        <f>HYPERLINK("https://www.wikidata.org/wiki/Q2211955", "Q2211955")</f>
        <v>0</v>
      </c>
      <c r="G9843" t="s">
        <v>2629</v>
      </c>
      <c r="H9843" t="s">
        <v>7175</v>
      </c>
      <c r="I9843" t="s">
        <v>9449</v>
      </c>
      <c r="J9843" t="s">
        <v>13271</v>
      </c>
      <c r="K9843" t="s">
        <v>17673</v>
      </c>
      <c r="L9843">
        <f>HYPERLINK("https://www2.assemblee-nationale.fr/sycomore/fiche/(num_dept)/5168", "5168")</f>
        <v>0</v>
      </c>
      <c r="M9843">
        <f>HYPERLINK("https://www.senat.fr/senateur-3eme-republique/meline_jules1799r3.html", "meline_jules1799r3")</f>
        <v>0</v>
      </c>
      <c r="N9843">
        <f>HYPERLINK("https://www.wikidata.org/wiki/Q459914", "Q459914")</f>
        <v>0</v>
      </c>
      <c r="O9843" t="s">
        <v>20056</v>
      </c>
    </row>
    <row r="9844" spans="1:15">
      <c r="A9844" t="s">
        <v>91</v>
      </c>
      <c r="B9844" t="s">
        <v>149</v>
      </c>
      <c r="C9844" t="s">
        <v>223</v>
      </c>
      <c r="D9844" t="s">
        <v>352</v>
      </c>
      <c r="E9844" t="s">
        <v>310</v>
      </c>
      <c r="F9844">
        <f>HYPERLINK("https://www.wikidata.org/wiki/Q2211955", "Q2211955")</f>
        <v>0</v>
      </c>
      <c r="G9844" t="s">
        <v>3362</v>
      </c>
      <c r="H9844" t="s">
        <v>7759</v>
      </c>
      <c r="I9844" t="s">
        <v>9483</v>
      </c>
      <c r="J9844" t="s">
        <v>13974</v>
      </c>
      <c r="K9844" t="s">
        <v>18342</v>
      </c>
      <c r="L9844">
        <f>HYPERLINK("https://www2.assemblee-nationale.fr/sycomore/fiche/(num_dept)/5287", "5287")</f>
        <v>0</v>
      </c>
      <c r="M9844">
        <f>HYPERLINK("https://www.senat.fr/senateur-3eme-republique/milliard_victor0760r3.html", "milliard_victor0760r3")</f>
        <v>0</v>
      </c>
      <c r="N9844">
        <f>HYPERLINK("https://www.wikidata.org/wiki/Q3557460", "Q3557460")</f>
        <v>0</v>
      </c>
      <c r="O9844" t="s">
        <v>20064</v>
      </c>
    </row>
    <row r="9845" spans="1:15">
      <c r="A9845" t="s">
        <v>91</v>
      </c>
      <c r="B9845" t="s">
        <v>149</v>
      </c>
      <c r="C9845" t="s">
        <v>223</v>
      </c>
      <c r="D9845" t="s">
        <v>352</v>
      </c>
      <c r="E9845" t="s">
        <v>310</v>
      </c>
      <c r="F9845">
        <f>HYPERLINK("https://www.wikidata.org/wiki/Q2211955", "Q2211955")</f>
        <v>0</v>
      </c>
      <c r="G9845" t="s">
        <v>3289</v>
      </c>
      <c r="H9845" t="s">
        <v>7701</v>
      </c>
      <c r="I9845" t="s">
        <v>9534</v>
      </c>
      <c r="J9845" t="s">
        <v>13903</v>
      </c>
      <c r="K9845" t="s">
        <v>16613</v>
      </c>
      <c r="L9845">
        <f>HYPERLINK("https://www2.assemblee-nationale.fr/sycomore/fiche/(num_dept)/7179", "7179")</f>
        <v>0</v>
      </c>
      <c r="N9845">
        <f>HYPERLINK("https://www.wikidata.org/wiki/Q2824919", "Q2824919")</f>
        <v>0</v>
      </c>
      <c r="O9845" t="s">
        <v>20063</v>
      </c>
    </row>
    <row r="9846" spans="1:15">
      <c r="A9846" t="s">
        <v>91</v>
      </c>
      <c r="B9846" t="s">
        <v>149</v>
      </c>
      <c r="C9846" t="s">
        <v>223</v>
      </c>
      <c r="D9846" t="s">
        <v>352</v>
      </c>
      <c r="E9846" t="s">
        <v>310</v>
      </c>
      <c r="F9846">
        <f>HYPERLINK("https://www.wikidata.org/wiki/Q2211955", "Q2211955")</f>
        <v>0</v>
      </c>
      <c r="G9846" t="s">
        <v>4320</v>
      </c>
      <c r="H9846" t="s">
        <v>8473</v>
      </c>
      <c r="I9846" t="s">
        <v>9458</v>
      </c>
      <c r="J9846" t="s">
        <v>13414</v>
      </c>
      <c r="K9846" t="s">
        <v>19157</v>
      </c>
      <c r="M9846">
        <f>HYPERLINK("https://www.senat.fr/senateur-3eme-republique/rambaud_alfred0677r3.html", "rambaud_alfred0677r3")</f>
        <v>0</v>
      </c>
      <c r="N9846">
        <f>HYPERLINK("https://www.wikidata.org/wiki/Q163159", "Q163159")</f>
        <v>0</v>
      </c>
      <c r="O9846" t="s">
        <v>20116</v>
      </c>
    </row>
    <row r="9847" spans="1:15">
      <c r="A9847" t="s">
        <v>91</v>
      </c>
      <c r="B9847" t="s">
        <v>149</v>
      </c>
      <c r="C9847" t="s">
        <v>223</v>
      </c>
      <c r="D9847" t="s">
        <v>352</v>
      </c>
      <c r="E9847" t="s">
        <v>310</v>
      </c>
      <c r="F9847">
        <f>HYPERLINK("https://www.wikidata.org/wiki/Q2211955", "Q2211955")</f>
        <v>0</v>
      </c>
      <c r="G9847" t="s">
        <v>4287</v>
      </c>
      <c r="H9847" t="s">
        <v>8446</v>
      </c>
      <c r="I9847" t="s">
        <v>9474</v>
      </c>
      <c r="J9847" t="s">
        <v>14786</v>
      </c>
      <c r="K9847" t="s">
        <v>19131</v>
      </c>
      <c r="M9847">
        <f>HYPERLINK("https://www.senat.fr/senateur-3eme-republique/billot_jean_baptiste1437r3.html", "billot_jean_baptiste1437r3")</f>
        <v>0</v>
      </c>
      <c r="N9847">
        <f>HYPERLINK("https://www.wikidata.org/wiki/Q1684617", "Q1684617")</f>
        <v>0</v>
      </c>
      <c r="O9847" t="s">
        <v>20057</v>
      </c>
    </row>
    <row r="9848" spans="1:15">
      <c r="A9848" t="s">
        <v>91</v>
      </c>
      <c r="B9848" t="s">
        <v>149</v>
      </c>
      <c r="C9848" t="s">
        <v>223</v>
      </c>
      <c r="D9848" t="s">
        <v>352</v>
      </c>
      <c r="E9848" t="s">
        <v>310</v>
      </c>
      <c r="F9848">
        <f>HYPERLINK("https://www.wikidata.org/wiki/Q2211955", "Q2211955")</f>
        <v>0</v>
      </c>
      <c r="G9848" t="s">
        <v>4321</v>
      </c>
      <c r="H9848" t="s">
        <v>5631</v>
      </c>
      <c r="I9848" t="s">
        <v>9421</v>
      </c>
      <c r="J9848" t="s">
        <v>14817</v>
      </c>
      <c r="K9848" t="s">
        <v>17734</v>
      </c>
      <c r="N9848">
        <f>HYPERLINK("https://www.wikidata.org/wiki/Q2861771", "Q2861771")</f>
        <v>0</v>
      </c>
      <c r="O9848" t="s">
        <v>20053</v>
      </c>
    </row>
    <row r="9849" spans="1:15">
      <c r="A9849" t="s">
        <v>91</v>
      </c>
      <c r="B9849" t="s">
        <v>149</v>
      </c>
      <c r="C9849" t="s">
        <v>223</v>
      </c>
      <c r="D9849" t="s">
        <v>352</v>
      </c>
      <c r="E9849" t="s">
        <v>310</v>
      </c>
      <c r="F9849">
        <f>HYPERLINK("https://www.wikidata.org/wiki/Q2211955", "Q2211955")</f>
        <v>0</v>
      </c>
      <c r="G9849" t="s">
        <v>3738</v>
      </c>
      <c r="H9849" t="s">
        <v>7971</v>
      </c>
      <c r="I9849" t="s">
        <v>6585</v>
      </c>
      <c r="J9849" t="s">
        <v>14313</v>
      </c>
      <c r="K9849" t="s">
        <v>17444</v>
      </c>
      <c r="N9849">
        <f>HYPERLINK("https://www.wikidata.org/wiki/Q21074190", "Q21074190")</f>
        <v>0</v>
      </c>
      <c r="O9849" t="s">
        <v>20065</v>
      </c>
    </row>
    <row r="9850" spans="1:15">
      <c r="A9850" t="s">
        <v>92</v>
      </c>
      <c r="B9850" t="s">
        <v>149</v>
      </c>
      <c r="C9850" t="s">
        <v>224</v>
      </c>
      <c r="D9850" t="s">
        <v>353</v>
      </c>
      <c r="E9850" t="s">
        <v>354</v>
      </c>
      <c r="F9850">
        <f>HYPERLINK("https://www.wikidata.org/wiki/Q3111853", "Q3111853")</f>
        <v>0</v>
      </c>
      <c r="G9850" t="s">
        <v>528</v>
      </c>
      <c r="H9850" t="s">
        <v>5292</v>
      </c>
      <c r="I9850" t="s">
        <v>9388</v>
      </c>
      <c r="J9850" t="s">
        <v>11280</v>
      </c>
      <c r="K9850" t="s">
        <v>15680</v>
      </c>
      <c r="L9850">
        <f>HYPERLINK("https://www2.assemblee-nationale.fr/sycomore/fiche/(num_dept)/799", "799")</f>
        <v>0</v>
      </c>
      <c r="M9850">
        <f>HYPERLINK("https://www.senat.fr/senateur-3eme-republique/bignon_paul1577r3.html", "bignon_paul1577r3")</f>
        <v>0</v>
      </c>
      <c r="N9850">
        <f>HYPERLINK("https://www.wikidata.org/wiki/Q3370646", "Q3370646")</f>
        <v>0</v>
      </c>
      <c r="O9850" t="s">
        <v>20282</v>
      </c>
    </row>
    <row r="9851" spans="1:15">
      <c r="A9851" t="s">
        <v>92</v>
      </c>
      <c r="B9851" t="s">
        <v>149</v>
      </c>
      <c r="C9851" t="s">
        <v>224</v>
      </c>
      <c r="D9851" t="s">
        <v>353</v>
      </c>
      <c r="E9851" t="s">
        <v>354</v>
      </c>
      <c r="F9851">
        <f>HYPERLINK("https://www.wikidata.org/wiki/Q3111853", "Q3111853")</f>
        <v>0</v>
      </c>
      <c r="G9851" t="s">
        <v>540</v>
      </c>
      <c r="H9851" t="s">
        <v>5304</v>
      </c>
      <c r="I9851" t="s">
        <v>9401</v>
      </c>
      <c r="J9851" t="s">
        <v>11292</v>
      </c>
      <c r="K9851" t="s">
        <v>15692</v>
      </c>
      <c r="L9851">
        <f>HYPERLINK("https://www2.assemblee-nationale.fr/sycomore/fiche/(num_dept)/985", "985")</f>
        <v>0</v>
      </c>
      <c r="M9851">
        <f>HYPERLINK("https://www.senat.fr/senateur-3eme-republique/borrel_antoine1303r3.html", "borrel_antoine1303r3")</f>
        <v>0</v>
      </c>
      <c r="N9851">
        <f>HYPERLINK("https://www.wikidata.org/wiki/Q2853712", "Q2853712")</f>
        <v>0</v>
      </c>
      <c r="O9851" t="s">
        <v>20312</v>
      </c>
    </row>
    <row r="9852" spans="1:15">
      <c r="A9852" t="s">
        <v>92</v>
      </c>
      <c r="B9852" t="s">
        <v>149</v>
      </c>
      <c r="C9852" t="s">
        <v>224</v>
      </c>
      <c r="D9852" t="s">
        <v>353</v>
      </c>
      <c r="E9852" t="s">
        <v>354</v>
      </c>
      <c r="F9852">
        <f>HYPERLINK("https://www.wikidata.org/wiki/Q3111853", "Q3111853")</f>
        <v>0</v>
      </c>
      <c r="G9852" t="s">
        <v>552</v>
      </c>
      <c r="H9852" t="s">
        <v>5315</v>
      </c>
      <c r="I9852" t="s">
        <v>9410</v>
      </c>
      <c r="J9852" t="s">
        <v>11303</v>
      </c>
      <c r="K9852" t="s">
        <v>15704</v>
      </c>
      <c r="L9852">
        <f>HYPERLINK("https://www2.assemblee-nationale.fr/sycomore/fiche/(num_dept)/1203", "1203")</f>
        <v>0</v>
      </c>
      <c r="M9852">
        <f>HYPERLINK("https://www.senat.fr/senateur-3eme-republique/breton_jules0441r3.html", "breton_jules0441r3")</f>
        <v>0</v>
      </c>
      <c r="N9852">
        <f>HYPERLINK("https://www.wikidata.org/wiki/Q3188368", "Q3188368")</f>
        <v>0</v>
      </c>
      <c r="O9852" t="s">
        <v>20313</v>
      </c>
    </row>
    <row r="9853" spans="1:15">
      <c r="A9853" t="s">
        <v>92</v>
      </c>
      <c r="B9853" t="s">
        <v>149</v>
      </c>
      <c r="C9853" t="s">
        <v>224</v>
      </c>
      <c r="D9853" t="s">
        <v>353</v>
      </c>
      <c r="E9853" t="s">
        <v>354</v>
      </c>
      <c r="F9853">
        <f>HYPERLINK("https://www.wikidata.org/wiki/Q3111853", "Q3111853")</f>
        <v>0</v>
      </c>
      <c r="G9853" t="s">
        <v>557</v>
      </c>
      <c r="H9853" t="s">
        <v>5320</v>
      </c>
      <c r="I9853" t="s">
        <v>9414</v>
      </c>
      <c r="J9853" t="s">
        <v>11308</v>
      </c>
      <c r="K9853" t="s">
        <v>15709</v>
      </c>
      <c r="L9853">
        <f>HYPERLINK("https://www2.assemblee-nationale.fr/sycomore/fiche/(num_dept)/1260", "1260")</f>
        <v>0</v>
      </c>
      <c r="N9853">
        <f>HYPERLINK("https://www.wikidata.org/wiki/Q3052603", "Q3052603")</f>
        <v>0</v>
      </c>
      <c r="O9853" t="s">
        <v>20054</v>
      </c>
    </row>
    <row r="9854" spans="1:15">
      <c r="A9854" t="s">
        <v>92</v>
      </c>
      <c r="B9854" t="s">
        <v>149</v>
      </c>
      <c r="C9854" t="s">
        <v>224</v>
      </c>
      <c r="D9854" t="s">
        <v>353</v>
      </c>
      <c r="E9854" t="s">
        <v>354</v>
      </c>
      <c r="F9854">
        <f>HYPERLINK("https://www.wikidata.org/wiki/Q3111853", "Q3111853")</f>
        <v>0</v>
      </c>
      <c r="G9854" t="s">
        <v>601</v>
      </c>
      <c r="H9854" t="s">
        <v>5361</v>
      </c>
      <c r="I9854" t="s">
        <v>6759</v>
      </c>
      <c r="J9854" t="s">
        <v>11352</v>
      </c>
      <c r="K9854" t="s">
        <v>15753</v>
      </c>
      <c r="L9854">
        <f>HYPERLINK("https://www2.assemblee-nationale.fr/sycomore/fiche/(num_dept)/2176", "2176")</f>
        <v>0</v>
      </c>
      <c r="N9854">
        <f>HYPERLINK("https://www.wikidata.org/wiki/Q2311094", "Q2311094")</f>
        <v>0</v>
      </c>
      <c r="O9854" t="s">
        <v>20061</v>
      </c>
    </row>
    <row r="9855" spans="1:15">
      <c r="A9855" t="s">
        <v>92</v>
      </c>
      <c r="B9855" t="s">
        <v>149</v>
      </c>
      <c r="C9855" t="s">
        <v>224</v>
      </c>
      <c r="D9855" t="s">
        <v>353</v>
      </c>
      <c r="E9855" t="s">
        <v>354</v>
      </c>
      <c r="F9855">
        <f>HYPERLINK("https://www.wikidata.org/wiki/Q3111853", "Q3111853")</f>
        <v>0</v>
      </c>
      <c r="G9855" t="s">
        <v>1251</v>
      </c>
      <c r="H9855" t="s">
        <v>5975</v>
      </c>
      <c r="I9855" t="s">
        <v>9727</v>
      </c>
      <c r="J9855" t="s">
        <v>11981</v>
      </c>
      <c r="K9855" t="s">
        <v>16384</v>
      </c>
      <c r="L9855">
        <f>HYPERLINK("https://www2.assemblee-nationale.fr/sycomore/fiche/(num_dept)/2496", "2496")</f>
        <v>0</v>
      </c>
      <c r="N9855">
        <f>HYPERLINK("https://www.wikidata.org/wiki/Q725749", "Q725749")</f>
        <v>0</v>
      </c>
      <c r="O9855" t="s">
        <v>20314</v>
      </c>
    </row>
    <row r="9856" spans="1:15">
      <c r="A9856" t="s">
        <v>92</v>
      </c>
      <c r="B9856" t="s">
        <v>149</v>
      </c>
      <c r="C9856" t="s">
        <v>224</v>
      </c>
      <c r="D9856" t="s">
        <v>353</v>
      </c>
      <c r="E9856" t="s">
        <v>354</v>
      </c>
      <c r="F9856">
        <f>HYPERLINK("https://www.wikidata.org/wiki/Q3111853", "Q3111853")</f>
        <v>0</v>
      </c>
      <c r="G9856" t="s">
        <v>686</v>
      </c>
      <c r="H9856" t="s">
        <v>5444</v>
      </c>
      <c r="I9856" t="s">
        <v>6585</v>
      </c>
      <c r="J9856" t="s">
        <v>11436</v>
      </c>
      <c r="K9856" t="s">
        <v>15837</v>
      </c>
      <c r="L9856">
        <f>HYPERLINK("https://www2.assemblee-nationale.fr/sycomore/fiche/(num_dept)/3859", "3859")</f>
        <v>0</v>
      </c>
      <c r="M9856">
        <f>HYPERLINK("https://www.senat.fr/senateur-3eme-republique/honnorat_andre0070r3.html", "honnorat_andre0070r3")</f>
        <v>0</v>
      </c>
      <c r="N9856">
        <f>HYPERLINK("https://www.wikidata.org/wiki/Q23762", "Q23762")</f>
        <v>0</v>
      </c>
      <c r="O9856" t="s">
        <v>20129</v>
      </c>
    </row>
    <row r="9857" spans="1:15">
      <c r="A9857" t="s">
        <v>92</v>
      </c>
      <c r="B9857" t="s">
        <v>149</v>
      </c>
      <c r="C9857" t="s">
        <v>224</v>
      </c>
      <c r="D9857" t="s">
        <v>353</v>
      </c>
      <c r="E9857" t="s">
        <v>354</v>
      </c>
      <c r="F9857">
        <f>HYPERLINK("https://www.wikidata.org/wiki/Q3111853", "Q3111853")</f>
        <v>0</v>
      </c>
      <c r="G9857" t="s">
        <v>1507</v>
      </c>
      <c r="H9857" t="s">
        <v>6204</v>
      </c>
      <c r="I9857" t="s">
        <v>9388</v>
      </c>
      <c r="J9857" t="s">
        <v>12225</v>
      </c>
      <c r="K9857" t="s">
        <v>16630</v>
      </c>
      <c r="L9857">
        <f>HYPERLINK("https://www2.assemblee-nationale.fr/sycomore/fiche/(num_dept)/4069", "4069")</f>
        <v>0</v>
      </c>
      <c r="M9857">
        <f>HYPERLINK("https://www.senat.fr/senateur-3eme-republique/jourdain_paul1113r3.html", "jourdain_paul1113r3")</f>
        <v>0</v>
      </c>
      <c r="N9857">
        <f>HYPERLINK("https://www.wikidata.org/wiki/Q3371547", "Q3371547")</f>
        <v>0</v>
      </c>
      <c r="O9857" t="s">
        <v>20086</v>
      </c>
    </row>
    <row r="9858" spans="1:15">
      <c r="A9858" t="s">
        <v>92</v>
      </c>
      <c r="B9858" t="s">
        <v>149</v>
      </c>
      <c r="C9858" t="s">
        <v>224</v>
      </c>
      <c r="D9858" t="s">
        <v>353</v>
      </c>
      <c r="E9858" t="s">
        <v>354</v>
      </c>
      <c r="F9858">
        <f>HYPERLINK("https://www.wikidata.org/wiki/Q3111853", "Q3111853")</f>
        <v>0</v>
      </c>
      <c r="G9858" t="s">
        <v>698</v>
      </c>
      <c r="H9858" t="s">
        <v>5456</v>
      </c>
      <c r="I9858" t="s">
        <v>9421</v>
      </c>
      <c r="J9858" t="s">
        <v>11448</v>
      </c>
      <c r="K9858" t="s">
        <v>15849</v>
      </c>
      <c r="L9858">
        <f>HYPERLINK("https://www2.assemblee-nationale.fr/sycomore/fiche/(num_dept)/4168", "4168")</f>
        <v>0</v>
      </c>
      <c r="M9858">
        <f>HYPERLINK("https://www.senat.fr/senateur-3eme-republique/lhopiteau_gustave0772r3.html", "lhopiteau_gustave0772r3")</f>
        <v>0</v>
      </c>
      <c r="N9858">
        <f>HYPERLINK("https://www.wikidata.org/wiki/Q3121244", "Q3121244")</f>
        <v>0</v>
      </c>
      <c r="O9858" t="s">
        <v>20064</v>
      </c>
    </row>
    <row r="9859" spans="1:15">
      <c r="A9859" t="s">
        <v>92</v>
      </c>
      <c r="B9859" t="s">
        <v>149</v>
      </c>
      <c r="C9859" t="s">
        <v>224</v>
      </c>
      <c r="D9859" t="s">
        <v>353</v>
      </c>
      <c r="E9859" t="s">
        <v>354</v>
      </c>
      <c r="F9859">
        <f>HYPERLINK("https://www.wikidata.org/wiki/Q3111853", "Q3111853")</f>
        <v>0</v>
      </c>
      <c r="G9859" t="s">
        <v>983</v>
      </c>
      <c r="H9859" t="s">
        <v>5735</v>
      </c>
      <c r="I9859" t="s">
        <v>9534</v>
      </c>
      <c r="J9859" t="s">
        <v>11721</v>
      </c>
      <c r="K9859" t="s">
        <v>16125</v>
      </c>
      <c r="L9859">
        <f>HYPERLINK("https://www2.assemblee-nationale.fr/sycomore/fiche/(num_dept)/4326", "4326")</f>
        <v>0</v>
      </c>
      <c r="M9859">
        <f>HYPERLINK("https://www.senat.fr/senateur-3eme-republique/landry_adolphe0199r4.html", "landry_adolphe0199r4")</f>
        <v>0</v>
      </c>
      <c r="N9859">
        <f>HYPERLINK("https://www.wikidata.org/wiki/Q2824853", "Q2824853")</f>
        <v>0</v>
      </c>
      <c r="O9859" t="s">
        <v>20053</v>
      </c>
    </row>
    <row r="9860" spans="1:15">
      <c r="A9860" t="s">
        <v>92</v>
      </c>
      <c r="B9860" t="s">
        <v>149</v>
      </c>
      <c r="C9860" t="s">
        <v>224</v>
      </c>
      <c r="D9860" t="s">
        <v>353</v>
      </c>
      <c r="E9860" t="s">
        <v>354</v>
      </c>
      <c r="F9860">
        <f>HYPERLINK("https://www.wikidata.org/wiki/Q3111853", "Q3111853")</f>
        <v>0</v>
      </c>
      <c r="G9860" t="s">
        <v>717</v>
      </c>
      <c r="H9860" t="s">
        <v>5475</v>
      </c>
      <c r="I9860" t="s">
        <v>6585</v>
      </c>
      <c r="J9860" t="s">
        <v>11466</v>
      </c>
      <c r="K9860" t="s">
        <v>15868</v>
      </c>
      <c r="L9860">
        <f>HYPERLINK("https://www2.assemblee-nationale.fr/sycomore/fiche/(num_dept)/4882", "4882")</f>
        <v>0</v>
      </c>
      <c r="N9860">
        <f>HYPERLINK("https://www.wikidata.org/wiki/Q318617", "Q318617")</f>
        <v>0</v>
      </c>
      <c r="O9860" t="s">
        <v>20169</v>
      </c>
    </row>
    <row r="9861" spans="1:15">
      <c r="A9861" t="s">
        <v>92</v>
      </c>
      <c r="B9861" t="s">
        <v>149</v>
      </c>
      <c r="C9861" t="s">
        <v>224</v>
      </c>
      <c r="D9861" t="s">
        <v>353</v>
      </c>
      <c r="E9861" t="s">
        <v>354</v>
      </c>
      <c r="F9861">
        <f>HYPERLINK("https://www.wikidata.org/wiki/Q3111853", "Q3111853")</f>
        <v>0</v>
      </c>
      <c r="G9861" t="s">
        <v>1005</v>
      </c>
      <c r="H9861" t="s">
        <v>5756</v>
      </c>
      <c r="I9861" t="s">
        <v>9553</v>
      </c>
      <c r="J9861" t="s">
        <v>11742</v>
      </c>
      <c r="K9861" t="s">
        <v>16146</v>
      </c>
      <c r="L9861">
        <f>HYPERLINK("https://www2.assemblee-nationale.fr/sycomore/fiche/(num_dept)/5284", "5284")</f>
        <v>0</v>
      </c>
      <c r="M9861">
        <f>HYPERLINK("https://www.senat.fr/senateur-3eme-republique/millerand_alexandre0910r3.html", "millerand_alexandre0910r3")</f>
        <v>0</v>
      </c>
      <c r="N9861">
        <f>HYPERLINK("https://www.wikidata.org/wiki/Q274540", "Q274540")</f>
        <v>0</v>
      </c>
      <c r="O9861" t="s">
        <v>20062</v>
      </c>
    </row>
    <row r="9862" spans="1:15">
      <c r="A9862" t="s">
        <v>92</v>
      </c>
      <c r="B9862" t="s">
        <v>149</v>
      </c>
      <c r="C9862" t="s">
        <v>224</v>
      </c>
      <c r="D9862" t="s">
        <v>353</v>
      </c>
      <c r="E9862" t="s">
        <v>354</v>
      </c>
      <c r="F9862">
        <f>HYPERLINK("https://www.wikidata.org/wiki/Q3111853", "Q3111853")</f>
        <v>0</v>
      </c>
      <c r="G9862" t="s">
        <v>1005</v>
      </c>
      <c r="H9862" t="s">
        <v>5756</v>
      </c>
      <c r="I9862" t="s">
        <v>9553</v>
      </c>
      <c r="J9862" t="s">
        <v>11742</v>
      </c>
      <c r="K9862" t="s">
        <v>16146</v>
      </c>
      <c r="L9862">
        <f>HYPERLINK("https://www2.assemblee-nationale.fr/sycomore/fiche/(num_dept)/5284", "5284")</f>
        <v>0</v>
      </c>
      <c r="M9862">
        <f>HYPERLINK("https://www.senat.fr/senateur-3eme-republique/millerand_alexandre0910r3.html", "millerand_alexandre0910r3")</f>
        <v>0</v>
      </c>
      <c r="N9862">
        <f>HYPERLINK("https://www.wikidata.org/wiki/Q274540", "Q274540")</f>
        <v>0</v>
      </c>
      <c r="O9862" t="s">
        <v>20052</v>
      </c>
    </row>
    <row r="9863" spans="1:15">
      <c r="A9863" t="s">
        <v>92</v>
      </c>
      <c r="B9863" t="s">
        <v>149</v>
      </c>
      <c r="C9863" t="s">
        <v>224</v>
      </c>
      <c r="D9863" t="s">
        <v>353</v>
      </c>
      <c r="E9863" t="s">
        <v>354</v>
      </c>
      <c r="F9863">
        <f>HYPERLINK("https://www.wikidata.org/wiki/Q3111853", "Q3111853")</f>
        <v>0</v>
      </c>
      <c r="G9863" t="s">
        <v>778</v>
      </c>
      <c r="H9863" t="s">
        <v>5536</v>
      </c>
      <c r="I9863" t="s">
        <v>6584</v>
      </c>
      <c r="J9863" t="s">
        <v>11525</v>
      </c>
      <c r="K9863" t="s">
        <v>15929</v>
      </c>
      <c r="L9863">
        <f>HYPERLINK("https://www2.assemblee-nationale.fr/sycomore/fiche/(num_dept)/6293", "6293")</f>
        <v>0</v>
      </c>
      <c r="M9863">
        <f>HYPERLINK("https://www.senat.fr/senateur-3eme-republique/sarraut_albert0265r3.html", "sarraut_albert0265r3")</f>
        <v>0</v>
      </c>
      <c r="N9863">
        <f>HYPERLINK("https://www.wikidata.org/wiki/Q460318", "Q460318")</f>
        <v>0</v>
      </c>
      <c r="O9863" t="s">
        <v>20065</v>
      </c>
    </row>
    <row r="9864" spans="1:15">
      <c r="A9864" t="s">
        <v>92</v>
      </c>
      <c r="B9864" t="s">
        <v>149</v>
      </c>
      <c r="C9864" t="s">
        <v>224</v>
      </c>
      <c r="D9864" t="s">
        <v>353</v>
      </c>
      <c r="E9864" t="s">
        <v>354</v>
      </c>
      <c r="F9864">
        <f>HYPERLINK("https://www.wikidata.org/wiki/Q3111853", "Q3111853")</f>
        <v>0</v>
      </c>
      <c r="G9864" t="s">
        <v>1304</v>
      </c>
      <c r="H9864" t="s">
        <v>6025</v>
      </c>
      <c r="I9864" t="s">
        <v>9457</v>
      </c>
      <c r="J9864" t="s">
        <v>12034</v>
      </c>
      <c r="K9864" t="s">
        <v>16435</v>
      </c>
      <c r="L9864">
        <f>HYPERLINK("https://www2.assemblee-nationale.fr/sycomore/fiche/(num_dept)/6554", "6554")</f>
        <v>0</v>
      </c>
      <c r="M9864">
        <f>HYPERLINK("https://www.senat.fr/senateur-3eme-republique/queuille_henri0469r3.html", "queuille_henri0469r3")</f>
        <v>0</v>
      </c>
      <c r="N9864">
        <f>HYPERLINK("https://www.wikidata.org/wiki/Q455655", "Q455655")</f>
        <v>0</v>
      </c>
      <c r="O9864" t="s">
        <v>20170</v>
      </c>
    </row>
    <row r="9865" spans="1:15">
      <c r="A9865" t="s">
        <v>92</v>
      </c>
      <c r="B9865" t="s">
        <v>149</v>
      </c>
      <c r="C9865" t="s">
        <v>224</v>
      </c>
      <c r="D9865" t="s">
        <v>353</v>
      </c>
      <c r="E9865" t="s">
        <v>354</v>
      </c>
      <c r="F9865">
        <f>HYPERLINK("https://www.wikidata.org/wiki/Q3111853", "Q3111853")</f>
        <v>0</v>
      </c>
      <c r="G9865" t="s">
        <v>1612</v>
      </c>
      <c r="H9865" t="s">
        <v>6298</v>
      </c>
      <c r="I9865" t="s">
        <v>9385</v>
      </c>
      <c r="J9865" t="s">
        <v>12319</v>
      </c>
      <c r="K9865" t="s">
        <v>16729</v>
      </c>
      <c r="L9865">
        <f>HYPERLINK("https://www2.assemblee-nationale.fr/sycomore/fiche/(num_dept)/6656", "6656")</f>
        <v>0</v>
      </c>
      <c r="M9865">
        <f>HYPERLINK("https://www.senat.fr/senateur-3eme-republique/reibel_charles1672r3.html", "reibel_charles1672r3")</f>
        <v>0</v>
      </c>
      <c r="N9865">
        <f>HYPERLINK("https://www.wikidata.org/wiki/Q2960097", "Q2960097")</f>
        <v>0</v>
      </c>
      <c r="O9865" t="s">
        <v>20124</v>
      </c>
    </row>
    <row r="9866" spans="1:15">
      <c r="A9866" t="s">
        <v>92</v>
      </c>
      <c r="B9866" t="s">
        <v>149</v>
      </c>
      <c r="C9866" t="s">
        <v>224</v>
      </c>
      <c r="D9866" t="s">
        <v>353</v>
      </c>
      <c r="E9866" t="s">
        <v>354</v>
      </c>
      <c r="F9866">
        <f>HYPERLINK("https://www.wikidata.org/wiki/Q3111853", "Q3111853")</f>
        <v>0</v>
      </c>
      <c r="G9866" t="s">
        <v>814</v>
      </c>
      <c r="H9866" t="s">
        <v>5571</v>
      </c>
      <c r="I9866" t="s">
        <v>9533</v>
      </c>
      <c r="J9866" t="s">
        <v>11561</v>
      </c>
      <c r="K9866" t="s">
        <v>15965</v>
      </c>
      <c r="L9866">
        <f>HYPERLINK("https://www2.assemblee-nationale.fr/sycomore/fiche/(num_dept)/6904", "6904")</f>
        <v>0</v>
      </c>
      <c r="M9866">
        <f>HYPERLINK("https://www.senat.fr/senateur-3eme-republique/steeg_theodore1554r3.html", "steeg_theodore1554r3")</f>
        <v>0</v>
      </c>
      <c r="N9866">
        <f>HYPERLINK("https://www.wikidata.org/wiki/Q717905", "Q717905")</f>
        <v>0</v>
      </c>
      <c r="O9866" t="s">
        <v>20113</v>
      </c>
    </row>
    <row r="9867" spans="1:15">
      <c r="A9867" t="s">
        <v>92</v>
      </c>
      <c r="B9867" t="s">
        <v>149</v>
      </c>
      <c r="C9867" t="s">
        <v>224</v>
      </c>
      <c r="D9867" t="s">
        <v>353</v>
      </c>
      <c r="E9867" t="s">
        <v>354</v>
      </c>
      <c r="F9867">
        <f>HYPERLINK("https://www.wikidata.org/wiki/Q3111853", "Q3111853")</f>
        <v>0</v>
      </c>
      <c r="G9867" t="s">
        <v>1632</v>
      </c>
      <c r="H9867" t="s">
        <v>6317</v>
      </c>
      <c r="I9867" t="s">
        <v>6759</v>
      </c>
      <c r="J9867" t="s">
        <v>12339</v>
      </c>
      <c r="K9867" t="s">
        <v>16748</v>
      </c>
      <c r="L9867">
        <f>HYPERLINK("https://www2.assemblee-nationale.fr/sycomore/fiche/(num_dept)/7066", "7066")</f>
        <v>0</v>
      </c>
      <c r="M9867">
        <f>HYPERLINK("https://www.senat.fr/senateur-3eme-republique/thoumyre_robert1579r3.html", "thoumyre_robert1579r3")</f>
        <v>0</v>
      </c>
      <c r="N9867">
        <f>HYPERLINK("https://www.wikidata.org/wiki/Q3436407", "Q3436407")</f>
        <v>0</v>
      </c>
      <c r="O9867" t="s">
        <v>20315</v>
      </c>
    </row>
    <row r="9868" spans="1:15">
      <c r="A9868" t="s">
        <v>92</v>
      </c>
      <c r="B9868" t="s">
        <v>149</v>
      </c>
      <c r="C9868" t="s">
        <v>224</v>
      </c>
      <c r="D9868" t="s">
        <v>353</v>
      </c>
      <c r="E9868" t="s">
        <v>354</v>
      </c>
      <c r="F9868">
        <f>HYPERLINK("https://www.wikidata.org/wiki/Q3111853", "Q3111853")</f>
        <v>0</v>
      </c>
      <c r="G9868" t="s">
        <v>1659</v>
      </c>
      <c r="H9868" t="s">
        <v>6342</v>
      </c>
      <c r="I9868" t="s">
        <v>9843</v>
      </c>
      <c r="J9868" t="s">
        <v>12366</v>
      </c>
      <c r="K9868" t="s">
        <v>16773</v>
      </c>
      <c r="L9868">
        <f>HYPERLINK("https://www2.assemblee-nationale.fr/sycomore/fiche/(num_dept)/7630", "7630")</f>
        <v>0</v>
      </c>
      <c r="M9868">
        <f>HYPERLINK("https://www.senat.fr/senateur-3eme-republique/le_trocquer_yves0588r3.html", "le_trocquer_yves0588r3")</f>
        <v>0</v>
      </c>
      <c r="N9868">
        <f>HYPERLINK("https://www.wikidata.org/wiki/Q3573784", "Q3573784")</f>
        <v>0</v>
      </c>
      <c r="O9868" t="s">
        <v>20063</v>
      </c>
    </row>
    <row r="9869" spans="1:15">
      <c r="A9869" t="s">
        <v>92</v>
      </c>
      <c r="B9869" t="s">
        <v>149</v>
      </c>
      <c r="C9869" t="s">
        <v>224</v>
      </c>
      <c r="D9869" t="s">
        <v>353</v>
      </c>
      <c r="E9869" t="s">
        <v>354</v>
      </c>
      <c r="F9869">
        <f>HYPERLINK("https://www.wikidata.org/wiki/Q3111853", "Q3111853")</f>
        <v>0</v>
      </c>
      <c r="G9869" t="s">
        <v>851</v>
      </c>
      <c r="H9869" t="s">
        <v>5607</v>
      </c>
      <c r="I9869" t="s">
        <v>6585</v>
      </c>
      <c r="J9869" t="s">
        <v>11597</v>
      </c>
      <c r="K9869" t="s">
        <v>15999</v>
      </c>
      <c r="L9869">
        <f>HYPERLINK("https://www2.assemblee-nationale.fr/sycomore/fiche/(num_dept)/7693", "7693")</f>
        <v>0</v>
      </c>
      <c r="N9869">
        <f>HYPERLINK("https://www.wikidata.org/wiki/Q768982", "Q768982")</f>
        <v>0</v>
      </c>
      <c r="O9869" t="s">
        <v>20057</v>
      </c>
    </row>
    <row r="9870" spans="1:15">
      <c r="A9870" t="s">
        <v>92</v>
      </c>
      <c r="B9870" t="s">
        <v>149</v>
      </c>
      <c r="C9870" t="s">
        <v>224</v>
      </c>
      <c r="D9870" t="s">
        <v>353</v>
      </c>
      <c r="E9870" t="s">
        <v>354</v>
      </c>
      <c r="F9870">
        <f>HYPERLINK("https://www.wikidata.org/wiki/Q3111853", "Q3111853")</f>
        <v>0</v>
      </c>
      <c r="G9870" t="s">
        <v>1333</v>
      </c>
      <c r="H9870" t="s">
        <v>5402</v>
      </c>
      <c r="I9870" t="s">
        <v>9754</v>
      </c>
      <c r="J9870" t="s">
        <v>12060</v>
      </c>
      <c r="K9870" t="s">
        <v>16462</v>
      </c>
      <c r="L9870">
        <f>HYPERLINK("https://www2.assemblee-nationale.fr/sycomore/fiche/(num_dept)/10839", "10839")</f>
        <v>0</v>
      </c>
      <c r="N9870">
        <f>HYPERLINK("https://www.wikidata.org/wiki/Q471296", "Q471296")</f>
        <v>0</v>
      </c>
      <c r="O9870" t="s">
        <v>20281</v>
      </c>
    </row>
    <row r="9871" spans="1:15">
      <c r="A9871" t="s">
        <v>92</v>
      </c>
      <c r="B9871" t="s">
        <v>149</v>
      </c>
      <c r="C9871" t="s">
        <v>224</v>
      </c>
      <c r="D9871" t="s">
        <v>353</v>
      </c>
      <c r="E9871" t="s">
        <v>354</v>
      </c>
      <c r="F9871">
        <f>HYPERLINK("https://www.wikidata.org/wiki/Q3111853", "Q3111853")</f>
        <v>0</v>
      </c>
      <c r="G9871" t="s">
        <v>4273</v>
      </c>
      <c r="H9871" t="s">
        <v>6822</v>
      </c>
      <c r="I9871" t="s">
        <v>6478</v>
      </c>
      <c r="J9871" t="s">
        <v>14772</v>
      </c>
      <c r="K9871" t="s">
        <v>19120</v>
      </c>
      <c r="M9871">
        <f>HYPERLINK("https://www.senat.fr/senateur-3eme-republique/berenger_henry0845r3.html", "berenger_henry0845r3")</f>
        <v>0</v>
      </c>
      <c r="N9871">
        <f>HYPERLINK("https://www.wikidata.org/wiki/Q377169", "Q377169")</f>
        <v>0</v>
      </c>
      <c r="O9871" t="s">
        <v>20227</v>
      </c>
    </row>
    <row r="9872" spans="1:15">
      <c r="A9872" t="s">
        <v>92</v>
      </c>
      <c r="B9872" t="s">
        <v>149</v>
      </c>
      <c r="C9872" t="s">
        <v>224</v>
      </c>
      <c r="D9872" t="s">
        <v>353</v>
      </c>
      <c r="E9872" t="s">
        <v>354</v>
      </c>
      <c r="F9872">
        <f>HYPERLINK("https://www.wikidata.org/wiki/Q3111853", "Q3111853")</f>
        <v>0</v>
      </c>
      <c r="G9872" t="s">
        <v>4317</v>
      </c>
      <c r="H9872" t="s">
        <v>7600</v>
      </c>
      <c r="I9872" t="s">
        <v>11181</v>
      </c>
      <c r="J9872" t="s">
        <v>14814</v>
      </c>
      <c r="K9872" t="s">
        <v>19155</v>
      </c>
      <c r="N9872">
        <f>HYPERLINK("https://www.wikidata.org/wiki/Q3184306", "Q3184306")</f>
        <v>0</v>
      </c>
      <c r="O9872" t="s">
        <v>20123</v>
      </c>
    </row>
    <row r="9873" spans="1:15">
      <c r="A9873" t="s">
        <v>92</v>
      </c>
      <c r="B9873" t="s">
        <v>149</v>
      </c>
      <c r="C9873" t="s">
        <v>224</v>
      </c>
      <c r="D9873" t="s">
        <v>353</v>
      </c>
      <c r="E9873" t="s">
        <v>354</v>
      </c>
      <c r="F9873">
        <f>HYPERLINK("https://www.wikidata.org/wiki/Q3111853", "Q3111853")</f>
        <v>0</v>
      </c>
      <c r="G9873" t="s">
        <v>4308</v>
      </c>
      <c r="H9873" t="s">
        <v>8464</v>
      </c>
      <c r="I9873" t="s">
        <v>9612</v>
      </c>
      <c r="J9873" t="s">
        <v>14806</v>
      </c>
      <c r="K9873" t="s">
        <v>17434</v>
      </c>
      <c r="M9873">
        <f>HYPERLINK("https://www.senat.fr/senateur-3eme-republique/francois_marsal_frederic0362r3.html", "francois_marsal_frederic0362r3")</f>
        <v>0</v>
      </c>
      <c r="N9873">
        <f>HYPERLINK("https://www.wikidata.org/wiki/Q459212", "Q459212")</f>
        <v>0</v>
      </c>
      <c r="O9873" t="s">
        <v>20066</v>
      </c>
    </row>
    <row r="9874" spans="1:15">
      <c r="A9874" t="s">
        <v>92</v>
      </c>
      <c r="B9874" t="s">
        <v>149</v>
      </c>
      <c r="C9874" t="s">
        <v>224</v>
      </c>
      <c r="D9874" t="s">
        <v>353</v>
      </c>
      <c r="E9874" t="s">
        <v>354</v>
      </c>
      <c r="F9874">
        <f>HYPERLINK("https://www.wikidata.org/wiki/Q3111853", "Q3111853")</f>
        <v>0</v>
      </c>
      <c r="G9874" t="s">
        <v>4318</v>
      </c>
      <c r="H9874" t="s">
        <v>8471</v>
      </c>
      <c r="I9874" t="s">
        <v>9437</v>
      </c>
      <c r="J9874" t="s">
        <v>14815</v>
      </c>
      <c r="K9874" t="s">
        <v>16323</v>
      </c>
      <c r="N9874">
        <f>HYPERLINK("https://www.wikidata.org/wiki/Q286257", "Q286257")</f>
        <v>0</v>
      </c>
      <c r="O9874" t="s">
        <v>20167</v>
      </c>
    </row>
    <row r="9875" spans="1:15">
      <c r="A9875" t="s">
        <v>92</v>
      </c>
      <c r="B9875" t="s">
        <v>149</v>
      </c>
      <c r="C9875" t="s">
        <v>224</v>
      </c>
      <c r="D9875" t="s">
        <v>353</v>
      </c>
      <c r="E9875" t="s">
        <v>354</v>
      </c>
      <c r="F9875">
        <f>HYPERLINK("https://www.wikidata.org/wiki/Q3111853", "Q3111853")</f>
        <v>0</v>
      </c>
      <c r="G9875" t="s">
        <v>1497</v>
      </c>
      <c r="H9875" t="s">
        <v>6195</v>
      </c>
      <c r="I9875" t="s">
        <v>9552</v>
      </c>
      <c r="J9875" t="s">
        <v>12215</v>
      </c>
      <c r="K9875" t="s">
        <v>16620</v>
      </c>
      <c r="N9875">
        <f>HYPERLINK("https://www.wikidata.org/wiki/Q16032275", "Q16032275")</f>
        <v>0</v>
      </c>
      <c r="O9875" t="s">
        <v>20110</v>
      </c>
    </row>
    <row r="9876" spans="1:15">
      <c r="A9876" t="s">
        <v>92</v>
      </c>
      <c r="B9876" t="s">
        <v>149</v>
      </c>
      <c r="C9876" t="s">
        <v>224</v>
      </c>
      <c r="D9876" t="s">
        <v>353</v>
      </c>
      <c r="E9876" t="s">
        <v>354</v>
      </c>
      <c r="F9876">
        <f>HYPERLINK("https://www.wikidata.org/wiki/Q3111853", "Q3111853")</f>
        <v>0</v>
      </c>
      <c r="G9876" t="s">
        <v>4319</v>
      </c>
      <c r="H9876" t="s">
        <v>8472</v>
      </c>
      <c r="I9876" t="s">
        <v>6860</v>
      </c>
      <c r="J9876" t="s">
        <v>14816</v>
      </c>
      <c r="K9876" t="s">
        <v>19156</v>
      </c>
      <c r="N9876">
        <f>HYPERLINK("https://www.wikidata.org/wiki/Q3384551", "Q3384551")</f>
        <v>0</v>
      </c>
      <c r="O9876" t="s">
        <v>20316</v>
      </c>
    </row>
    <row r="9877" spans="1:15">
      <c r="A9877" t="s">
        <v>92</v>
      </c>
      <c r="B9877" t="s">
        <v>149</v>
      </c>
      <c r="C9877" t="s">
        <v>224</v>
      </c>
      <c r="D9877" t="s">
        <v>353</v>
      </c>
      <c r="E9877" t="s">
        <v>354</v>
      </c>
      <c r="F9877">
        <f>HYPERLINK("https://www.wikidata.org/wiki/Q3111853", "Q3111853")</f>
        <v>0</v>
      </c>
      <c r="G9877" t="s">
        <v>1141</v>
      </c>
      <c r="H9877" t="s">
        <v>5876</v>
      </c>
      <c r="I9877" t="s">
        <v>6495</v>
      </c>
      <c r="J9877" t="s">
        <v>11875</v>
      </c>
      <c r="K9877" t="s">
        <v>16277</v>
      </c>
      <c r="N9877">
        <f>HYPERLINK("https://www.wikidata.org/wiki/Q3261710", "Q3261710")</f>
        <v>0</v>
      </c>
      <c r="O9877" t="s">
        <v>20232</v>
      </c>
    </row>
    <row r="9878" spans="1:15">
      <c r="A9878" t="s">
        <v>93</v>
      </c>
      <c r="B9878" t="s">
        <v>149</v>
      </c>
      <c r="C9878" t="s">
        <v>225</v>
      </c>
      <c r="D9878" t="s">
        <v>354</v>
      </c>
      <c r="E9878" t="s">
        <v>470</v>
      </c>
      <c r="F9878">
        <f>HYPERLINK("https://www.wikidata.org/wiki/Q3111858", "Q3111858")</f>
        <v>0</v>
      </c>
      <c r="G9878" t="s">
        <v>528</v>
      </c>
      <c r="H9878" t="s">
        <v>5292</v>
      </c>
      <c r="I9878" t="s">
        <v>9388</v>
      </c>
      <c r="J9878" t="s">
        <v>11280</v>
      </c>
      <c r="K9878" t="s">
        <v>15680</v>
      </c>
      <c r="L9878">
        <f>HYPERLINK("https://www2.assemblee-nationale.fr/sycomore/fiche/(num_dept)/799", "799")</f>
        <v>0</v>
      </c>
      <c r="M9878">
        <f>HYPERLINK("https://www.senat.fr/senateur-3eme-republique/bignon_paul1577r3.html", "bignon_paul1577r3")</f>
        <v>0</v>
      </c>
      <c r="N9878">
        <f>HYPERLINK("https://www.wikidata.org/wiki/Q3370646", "Q3370646")</f>
        <v>0</v>
      </c>
      <c r="O9878" t="s">
        <v>20282</v>
      </c>
    </row>
    <row r="9879" spans="1:15">
      <c r="A9879" t="s">
        <v>93</v>
      </c>
      <c r="B9879" t="s">
        <v>149</v>
      </c>
      <c r="C9879" t="s">
        <v>225</v>
      </c>
      <c r="D9879" t="s">
        <v>354</v>
      </c>
      <c r="E9879" t="s">
        <v>470</v>
      </c>
      <c r="F9879">
        <f>HYPERLINK("https://www.wikidata.org/wiki/Q3111858", "Q3111858")</f>
        <v>0</v>
      </c>
      <c r="G9879" t="s">
        <v>540</v>
      </c>
      <c r="H9879" t="s">
        <v>5304</v>
      </c>
      <c r="I9879" t="s">
        <v>9401</v>
      </c>
      <c r="J9879" t="s">
        <v>11292</v>
      </c>
      <c r="K9879" t="s">
        <v>15692</v>
      </c>
      <c r="L9879">
        <f>HYPERLINK("https://www2.assemblee-nationale.fr/sycomore/fiche/(num_dept)/985", "985")</f>
        <v>0</v>
      </c>
      <c r="M9879">
        <f>HYPERLINK("https://www.senat.fr/senateur-3eme-republique/borrel_antoine1303r3.html", "borrel_antoine1303r3")</f>
        <v>0</v>
      </c>
      <c r="N9879">
        <f>HYPERLINK("https://www.wikidata.org/wiki/Q2853712", "Q2853712")</f>
        <v>0</v>
      </c>
      <c r="O9879" t="s">
        <v>20312</v>
      </c>
    </row>
    <row r="9880" spans="1:15">
      <c r="A9880" t="s">
        <v>93</v>
      </c>
      <c r="B9880" t="s">
        <v>149</v>
      </c>
      <c r="C9880" t="s">
        <v>225</v>
      </c>
      <c r="D9880" t="s">
        <v>354</v>
      </c>
      <c r="E9880" t="s">
        <v>470</v>
      </c>
      <c r="F9880">
        <f>HYPERLINK("https://www.wikidata.org/wiki/Q3111858", "Q3111858")</f>
        <v>0</v>
      </c>
      <c r="G9880" t="s">
        <v>552</v>
      </c>
      <c r="H9880" t="s">
        <v>5315</v>
      </c>
      <c r="I9880" t="s">
        <v>9410</v>
      </c>
      <c r="J9880" t="s">
        <v>11303</v>
      </c>
      <c r="K9880" t="s">
        <v>15704</v>
      </c>
      <c r="L9880">
        <f>HYPERLINK("https://www2.assemblee-nationale.fr/sycomore/fiche/(num_dept)/1203", "1203")</f>
        <v>0</v>
      </c>
      <c r="M9880">
        <f>HYPERLINK("https://www.senat.fr/senateur-3eme-republique/breton_jules0441r3.html", "breton_jules0441r3")</f>
        <v>0</v>
      </c>
      <c r="N9880">
        <f>HYPERLINK("https://www.wikidata.org/wiki/Q3188368", "Q3188368")</f>
        <v>0</v>
      </c>
      <c r="O9880" t="s">
        <v>20313</v>
      </c>
    </row>
    <row r="9881" spans="1:15">
      <c r="A9881" t="s">
        <v>93</v>
      </c>
      <c r="B9881" t="s">
        <v>149</v>
      </c>
      <c r="C9881" t="s">
        <v>225</v>
      </c>
      <c r="D9881" t="s">
        <v>354</v>
      </c>
      <c r="E9881" t="s">
        <v>470</v>
      </c>
      <c r="F9881">
        <f>HYPERLINK("https://www.wikidata.org/wiki/Q3111858", "Q3111858")</f>
        <v>0</v>
      </c>
      <c r="G9881" t="s">
        <v>557</v>
      </c>
      <c r="H9881" t="s">
        <v>5320</v>
      </c>
      <c r="I9881" t="s">
        <v>9414</v>
      </c>
      <c r="J9881" t="s">
        <v>11308</v>
      </c>
      <c r="K9881" t="s">
        <v>15709</v>
      </c>
      <c r="L9881">
        <f>HYPERLINK("https://www2.assemblee-nationale.fr/sycomore/fiche/(num_dept)/1260", "1260")</f>
        <v>0</v>
      </c>
      <c r="N9881">
        <f>HYPERLINK("https://www.wikidata.org/wiki/Q3052603", "Q3052603")</f>
        <v>0</v>
      </c>
      <c r="O9881" t="s">
        <v>20054</v>
      </c>
    </row>
    <row r="9882" spans="1:15">
      <c r="A9882" t="s">
        <v>93</v>
      </c>
      <c r="B9882" t="s">
        <v>149</v>
      </c>
      <c r="C9882" t="s">
        <v>225</v>
      </c>
      <c r="D9882" t="s">
        <v>354</v>
      </c>
      <c r="E9882" t="s">
        <v>470</v>
      </c>
      <c r="F9882">
        <f>HYPERLINK("https://www.wikidata.org/wiki/Q3111858", "Q3111858")</f>
        <v>0</v>
      </c>
      <c r="G9882" t="s">
        <v>601</v>
      </c>
      <c r="H9882" t="s">
        <v>5361</v>
      </c>
      <c r="I9882" t="s">
        <v>6759</v>
      </c>
      <c r="J9882" t="s">
        <v>11352</v>
      </c>
      <c r="K9882" t="s">
        <v>15753</v>
      </c>
      <c r="L9882">
        <f>HYPERLINK("https://www2.assemblee-nationale.fr/sycomore/fiche/(num_dept)/2176", "2176")</f>
        <v>0</v>
      </c>
      <c r="N9882">
        <f>HYPERLINK("https://www.wikidata.org/wiki/Q2311094", "Q2311094")</f>
        <v>0</v>
      </c>
      <c r="O9882" t="s">
        <v>20061</v>
      </c>
    </row>
    <row r="9883" spans="1:15">
      <c r="A9883" t="s">
        <v>93</v>
      </c>
      <c r="B9883" t="s">
        <v>149</v>
      </c>
      <c r="C9883" t="s">
        <v>225</v>
      </c>
      <c r="D9883" t="s">
        <v>354</v>
      </c>
      <c r="E9883" t="s">
        <v>470</v>
      </c>
      <c r="F9883">
        <f>HYPERLINK("https://www.wikidata.org/wiki/Q3111858", "Q3111858")</f>
        <v>0</v>
      </c>
      <c r="G9883" t="s">
        <v>1251</v>
      </c>
      <c r="H9883" t="s">
        <v>5975</v>
      </c>
      <c r="I9883" t="s">
        <v>9727</v>
      </c>
      <c r="J9883" t="s">
        <v>11981</v>
      </c>
      <c r="K9883" t="s">
        <v>16384</v>
      </c>
      <c r="L9883">
        <f>HYPERLINK("https://www2.assemblee-nationale.fr/sycomore/fiche/(num_dept)/2496", "2496")</f>
        <v>0</v>
      </c>
      <c r="N9883">
        <f>HYPERLINK("https://www.wikidata.org/wiki/Q725749", "Q725749")</f>
        <v>0</v>
      </c>
      <c r="O9883" t="s">
        <v>20314</v>
      </c>
    </row>
    <row r="9884" spans="1:15">
      <c r="A9884" t="s">
        <v>93</v>
      </c>
      <c r="B9884" t="s">
        <v>149</v>
      </c>
      <c r="C9884" t="s">
        <v>225</v>
      </c>
      <c r="D9884" t="s">
        <v>354</v>
      </c>
      <c r="E9884" t="s">
        <v>470</v>
      </c>
      <c r="F9884">
        <f>HYPERLINK("https://www.wikidata.org/wiki/Q3111858", "Q3111858")</f>
        <v>0</v>
      </c>
      <c r="G9884" t="s">
        <v>1170</v>
      </c>
      <c r="H9884" t="s">
        <v>5901</v>
      </c>
      <c r="I9884" t="s">
        <v>5592</v>
      </c>
      <c r="J9884" t="s">
        <v>11903</v>
      </c>
      <c r="K9884" t="s">
        <v>16305</v>
      </c>
      <c r="L9884">
        <f>HYPERLINK("https://www2.assemblee-nationale.fr/sycomore/fiche/(num_dept)/2874", "2874")</f>
        <v>0</v>
      </c>
      <c r="M9884">
        <f>HYPERLINK("https://www.senat.fr/senateur-3eme-republique/eynac_laurent0520r3.html", "eynac_laurent0520r3")</f>
        <v>0</v>
      </c>
      <c r="N9884">
        <f>HYPERLINK("https://www.wikidata.org/wiki/Q3219208", "Q3219208")</f>
        <v>0</v>
      </c>
      <c r="O9884" t="s">
        <v>20310</v>
      </c>
    </row>
    <row r="9885" spans="1:15">
      <c r="A9885" t="s">
        <v>93</v>
      </c>
      <c r="B9885" t="s">
        <v>149</v>
      </c>
      <c r="C9885" t="s">
        <v>225</v>
      </c>
      <c r="D9885" t="s">
        <v>354</v>
      </c>
      <c r="E9885" t="s">
        <v>470</v>
      </c>
      <c r="F9885">
        <f>HYPERLINK("https://www.wikidata.org/wiki/Q3111858", "Q3111858")</f>
        <v>0</v>
      </c>
      <c r="G9885" t="s">
        <v>686</v>
      </c>
      <c r="H9885" t="s">
        <v>5444</v>
      </c>
      <c r="I9885" t="s">
        <v>6585</v>
      </c>
      <c r="J9885" t="s">
        <v>11436</v>
      </c>
      <c r="K9885" t="s">
        <v>15837</v>
      </c>
      <c r="L9885">
        <f>HYPERLINK("https://www2.assemblee-nationale.fr/sycomore/fiche/(num_dept)/3859", "3859")</f>
        <v>0</v>
      </c>
      <c r="M9885">
        <f>HYPERLINK("https://www.senat.fr/senateur-3eme-republique/honnorat_andre0070r3.html", "honnorat_andre0070r3")</f>
        <v>0</v>
      </c>
      <c r="N9885">
        <f>HYPERLINK("https://www.wikidata.org/wiki/Q23762", "Q23762")</f>
        <v>0</v>
      </c>
      <c r="O9885" t="s">
        <v>20129</v>
      </c>
    </row>
    <row r="9886" spans="1:15">
      <c r="A9886" t="s">
        <v>93</v>
      </c>
      <c r="B9886" t="s">
        <v>149</v>
      </c>
      <c r="C9886" t="s">
        <v>225</v>
      </c>
      <c r="D9886" t="s">
        <v>354</v>
      </c>
      <c r="E9886" t="s">
        <v>470</v>
      </c>
      <c r="F9886">
        <f>HYPERLINK("https://www.wikidata.org/wiki/Q3111858", "Q3111858")</f>
        <v>0</v>
      </c>
      <c r="G9886" t="s">
        <v>1507</v>
      </c>
      <c r="H9886" t="s">
        <v>6204</v>
      </c>
      <c r="I9886" t="s">
        <v>9388</v>
      </c>
      <c r="J9886" t="s">
        <v>12225</v>
      </c>
      <c r="K9886" t="s">
        <v>16630</v>
      </c>
      <c r="L9886">
        <f>HYPERLINK("https://www2.assemblee-nationale.fr/sycomore/fiche/(num_dept)/4069", "4069")</f>
        <v>0</v>
      </c>
      <c r="M9886">
        <f>HYPERLINK("https://www.senat.fr/senateur-3eme-republique/jourdain_paul1113r3.html", "jourdain_paul1113r3")</f>
        <v>0</v>
      </c>
      <c r="N9886">
        <f>HYPERLINK("https://www.wikidata.org/wiki/Q3371547", "Q3371547")</f>
        <v>0</v>
      </c>
      <c r="O9886" t="s">
        <v>20086</v>
      </c>
    </row>
    <row r="9887" spans="1:15">
      <c r="A9887" t="s">
        <v>93</v>
      </c>
      <c r="B9887" t="s">
        <v>149</v>
      </c>
      <c r="C9887" t="s">
        <v>225</v>
      </c>
      <c r="D9887" t="s">
        <v>354</v>
      </c>
      <c r="E9887" t="s">
        <v>470</v>
      </c>
      <c r="F9887">
        <f>HYPERLINK("https://www.wikidata.org/wiki/Q3111858", "Q3111858")</f>
        <v>0</v>
      </c>
      <c r="G9887" t="s">
        <v>698</v>
      </c>
      <c r="H9887" t="s">
        <v>5456</v>
      </c>
      <c r="I9887" t="s">
        <v>9421</v>
      </c>
      <c r="J9887" t="s">
        <v>11448</v>
      </c>
      <c r="K9887" t="s">
        <v>15849</v>
      </c>
      <c r="L9887">
        <f>HYPERLINK("https://www2.assemblee-nationale.fr/sycomore/fiche/(num_dept)/4168", "4168")</f>
        <v>0</v>
      </c>
      <c r="M9887">
        <f>HYPERLINK("https://www.senat.fr/senateur-3eme-republique/lhopiteau_gustave0772r3.html", "lhopiteau_gustave0772r3")</f>
        <v>0</v>
      </c>
      <c r="N9887">
        <f>HYPERLINK("https://www.wikidata.org/wiki/Q3121244", "Q3121244")</f>
        <v>0</v>
      </c>
      <c r="O9887" t="s">
        <v>20064</v>
      </c>
    </row>
    <row r="9888" spans="1:15">
      <c r="A9888" t="s">
        <v>93</v>
      </c>
      <c r="B9888" t="s">
        <v>149</v>
      </c>
      <c r="C9888" t="s">
        <v>225</v>
      </c>
      <c r="D9888" t="s">
        <v>354</v>
      </c>
      <c r="E9888" t="s">
        <v>470</v>
      </c>
      <c r="F9888">
        <f>HYPERLINK("https://www.wikidata.org/wiki/Q3111858", "Q3111858")</f>
        <v>0</v>
      </c>
      <c r="G9888" t="s">
        <v>983</v>
      </c>
      <c r="H9888" t="s">
        <v>5735</v>
      </c>
      <c r="I9888" t="s">
        <v>9534</v>
      </c>
      <c r="J9888" t="s">
        <v>11721</v>
      </c>
      <c r="K9888" t="s">
        <v>16125</v>
      </c>
      <c r="L9888">
        <f>HYPERLINK("https://www2.assemblee-nationale.fr/sycomore/fiche/(num_dept)/4326", "4326")</f>
        <v>0</v>
      </c>
      <c r="M9888">
        <f>HYPERLINK("https://www.senat.fr/senateur-3eme-republique/landry_adolphe0199r4.html", "landry_adolphe0199r4")</f>
        <v>0</v>
      </c>
      <c r="N9888">
        <f>HYPERLINK("https://www.wikidata.org/wiki/Q2824853", "Q2824853")</f>
        <v>0</v>
      </c>
      <c r="O9888" t="s">
        <v>20053</v>
      </c>
    </row>
    <row r="9889" spans="1:15">
      <c r="A9889" t="s">
        <v>93</v>
      </c>
      <c r="B9889" t="s">
        <v>149</v>
      </c>
      <c r="C9889" t="s">
        <v>225</v>
      </c>
      <c r="D9889" t="s">
        <v>354</v>
      </c>
      <c r="E9889" t="s">
        <v>470</v>
      </c>
      <c r="F9889">
        <f>HYPERLINK("https://www.wikidata.org/wiki/Q3111858", "Q3111858")</f>
        <v>0</v>
      </c>
      <c r="G9889" t="s">
        <v>717</v>
      </c>
      <c r="H9889" t="s">
        <v>5475</v>
      </c>
      <c r="I9889" t="s">
        <v>6585</v>
      </c>
      <c r="J9889" t="s">
        <v>11466</v>
      </c>
      <c r="K9889" t="s">
        <v>15868</v>
      </c>
      <c r="L9889">
        <f>HYPERLINK("https://www2.assemblee-nationale.fr/sycomore/fiche/(num_dept)/4882", "4882")</f>
        <v>0</v>
      </c>
      <c r="N9889">
        <f>HYPERLINK("https://www.wikidata.org/wiki/Q318617", "Q318617")</f>
        <v>0</v>
      </c>
      <c r="O9889" t="s">
        <v>20169</v>
      </c>
    </row>
    <row r="9890" spans="1:15">
      <c r="A9890" t="s">
        <v>93</v>
      </c>
      <c r="B9890" t="s">
        <v>149</v>
      </c>
      <c r="C9890" t="s">
        <v>225</v>
      </c>
      <c r="D9890" t="s">
        <v>354</v>
      </c>
      <c r="E9890" t="s">
        <v>470</v>
      </c>
      <c r="F9890">
        <f>HYPERLINK("https://www.wikidata.org/wiki/Q3111858", "Q3111858")</f>
        <v>0</v>
      </c>
      <c r="G9890" t="s">
        <v>1005</v>
      </c>
      <c r="H9890" t="s">
        <v>5756</v>
      </c>
      <c r="I9890" t="s">
        <v>9553</v>
      </c>
      <c r="J9890" t="s">
        <v>11742</v>
      </c>
      <c r="K9890" t="s">
        <v>16146</v>
      </c>
      <c r="L9890">
        <f>HYPERLINK("https://www2.assemblee-nationale.fr/sycomore/fiche/(num_dept)/5284", "5284")</f>
        <v>0</v>
      </c>
      <c r="M9890">
        <f>HYPERLINK("https://www.senat.fr/senateur-3eme-republique/millerand_alexandre0910r3.html", "millerand_alexandre0910r3")</f>
        <v>0</v>
      </c>
      <c r="N9890">
        <f>HYPERLINK("https://www.wikidata.org/wiki/Q274540", "Q274540")</f>
        <v>0</v>
      </c>
      <c r="O9890" t="s">
        <v>20062</v>
      </c>
    </row>
    <row r="9891" spans="1:15">
      <c r="A9891" t="s">
        <v>93</v>
      </c>
      <c r="B9891" t="s">
        <v>149</v>
      </c>
      <c r="C9891" t="s">
        <v>225</v>
      </c>
      <c r="D9891" t="s">
        <v>354</v>
      </c>
      <c r="E9891" t="s">
        <v>470</v>
      </c>
      <c r="F9891">
        <f>HYPERLINK("https://www.wikidata.org/wiki/Q3111858", "Q3111858")</f>
        <v>0</v>
      </c>
      <c r="G9891" t="s">
        <v>1005</v>
      </c>
      <c r="H9891" t="s">
        <v>5756</v>
      </c>
      <c r="I9891" t="s">
        <v>9553</v>
      </c>
      <c r="J9891" t="s">
        <v>11742</v>
      </c>
      <c r="K9891" t="s">
        <v>16146</v>
      </c>
      <c r="L9891">
        <f>HYPERLINK("https://www2.assemblee-nationale.fr/sycomore/fiche/(num_dept)/5284", "5284")</f>
        <v>0</v>
      </c>
      <c r="M9891">
        <f>HYPERLINK("https://www.senat.fr/senateur-3eme-republique/millerand_alexandre0910r3.html", "millerand_alexandre0910r3")</f>
        <v>0</v>
      </c>
      <c r="N9891">
        <f>HYPERLINK("https://www.wikidata.org/wiki/Q274540", "Q274540")</f>
        <v>0</v>
      </c>
      <c r="O9891" t="s">
        <v>20052</v>
      </c>
    </row>
    <row r="9892" spans="1:15">
      <c r="A9892" t="s">
        <v>93</v>
      </c>
      <c r="B9892" t="s">
        <v>149</v>
      </c>
      <c r="C9892" t="s">
        <v>225</v>
      </c>
      <c r="D9892" t="s">
        <v>354</v>
      </c>
      <c r="E9892" t="s">
        <v>470</v>
      </c>
      <c r="F9892">
        <f>HYPERLINK("https://www.wikidata.org/wiki/Q3111858", "Q3111858")</f>
        <v>0</v>
      </c>
      <c r="G9892" t="s">
        <v>778</v>
      </c>
      <c r="H9892" t="s">
        <v>5536</v>
      </c>
      <c r="I9892" t="s">
        <v>6584</v>
      </c>
      <c r="J9892" t="s">
        <v>11525</v>
      </c>
      <c r="K9892" t="s">
        <v>15929</v>
      </c>
      <c r="L9892">
        <f>HYPERLINK("https://www2.assemblee-nationale.fr/sycomore/fiche/(num_dept)/6293", "6293")</f>
        <v>0</v>
      </c>
      <c r="M9892">
        <f>HYPERLINK("https://www.senat.fr/senateur-3eme-republique/sarraut_albert0265r3.html", "sarraut_albert0265r3")</f>
        <v>0</v>
      </c>
      <c r="N9892">
        <f>HYPERLINK("https://www.wikidata.org/wiki/Q460318", "Q460318")</f>
        <v>0</v>
      </c>
      <c r="O9892" t="s">
        <v>20065</v>
      </c>
    </row>
    <row r="9893" spans="1:15">
      <c r="A9893" t="s">
        <v>93</v>
      </c>
      <c r="B9893" t="s">
        <v>149</v>
      </c>
      <c r="C9893" t="s">
        <v>225</v>
      </c>
      <c r="D9893" t="s">
        <v>354</v>
      </c>
      <c r="E9893" t="s">
        <v>470</v>
      </c>
      <c r="F9893">
        <f>HYPERLINK("https://www.wikidata.org/wiki/Q3111858", "Q3111858")</f>
        <v>0</v>
      </c>
      <c r="G9893" t="s">
        <v>1304</v>
      </c>
      <c r="H9893" t="s">
        <v>6025</v>
      </c>
      <c r="I9893" t="s">
        <v>9457</v>
      </c>
      <c r="J9893" t="s">
        <v>12034</v>
      </c>
      <c r="K9893" t="s">
        <v>16435</v>
      </c>
      <c r="L9893">
        <f>HYPERLINK("https://www2.assemblee-nationale.fr/sycomore/fiche/(num_dept)/6554", "6554")</f>
        <v>0</v>
      </c>
      <c r="M9893">
        <f>HYPERLINK("https://www.senat.fr/senateur-3eme-republique/queuille_henri0469r3.html", "queuille_henri0469r3")</f>
        <v>0</v>
      </c>
      <c r="N9893">
        <f>HYPERLINK("https://www.wikidata.org/wiki/Q455655", "Q455655")</f>
        <v>0</v>
      </c>
      <c r="O9893" t="s">
        <v>20170</v>
      </c>
    </row>
    <row r="9894" spans="1:15">
      <c r="A9894" t="s">
        <v>93</v>
      </c>
      <c r="B9894" t="s">
        <v>149</v>
      </c>
      <c r="C9894" t="s">
        <v>225</v>
      </c>
      <c r="D9894" t="s">
        <v>354</v>
      </c>
      <c r="E9894" t="s">
        <v>470</v>
      </c>
      <c r="F9894">
        <f>HYPERLINK("https://www.wikidata.org/wiki/Q3111858", "Q3111858")</f>
        <v>0</v>
      </c>
      <c r="G9894" t="s">
        <v>1612</v>
      </c>
      <c r="H9894" t="s">
        <v>6298</v>
      </c>
      <c r="I9894" t="s">
        <v>9385</v>
      </c>
      <c r="J9894" t="s">
        <v>12319</v>
      </c>
      <c r="K9894" t="s">
        <v>16729</v>
      </c>
      <c r="L9894">
        <f>HYPERLINK("https://www2.assemblee-nationale.fr/sycomore/fiche/(num_dept)/6656", "6656")</f>
        <v>0</v>
      </c>
      <c r="M9894">
        <f>HYPERLINK("https://www.senat.fr/senateur-3eme-republique/reibel_charles1672r3.html", "reibel_charles1672r3")</f>
        <v>0</v>
      </c>
      <c r="N9894">
        <f>HYPERLINK("https://www.wikidata.org/wiki/Q2960097", "Q2960097")</f>
        <v>0</v>
      </c>
      <c r="O9894" t="s">
        <v>20317</v>
      </c>
    </row>
    <row r="9895" spans="1:15">
      <c r="A9895" t="s">
        <v>93</v>
      </c>
      <c r="B9895" t="s">
        <v>149</v>
      </c>
      <c r="C9895" t="s">
        <v>225</v>
      </c>
      <c r="D9895" t="s">
        <v>354</v>
      </c>
      <c r="E9895" t="s">
        <v>470</v>
      </c>
      <c r="F9895">
        <f>HYPERLINK("https://www.wikidata.org/wiki/Q3111858", "Q3111858")</f>
        <v>0</v>
      </c>
      <c r="G9895" t="s">
        <v>814</v>
      </c>
      <c r="H9895" t="s">
        <v>5571</v>
      </c>
      <c r="I9895" t="s">
        <v>9533</v>
      </c>
      <c r="J9895" t="s">
        <v>11561</v>
      </c>
      <c r="K9895" t="s">
        <v>15965</v>
      </c>
      <c r="L9895">
        <f>HYPERLINK("https://www2.assemblee-nationale.fr/sycomore/fiche/(num_dept)/6904", "6904")</f>
        <v>0</v>
      </c>
      <c r="M9895">
        <f>HYPERLINK("https://www.senat.fr/senateur-3eme-republique/steeg_theodore1554r3.html", "steeg_theodore1554r3")</f>
        <v>0</v>
      </c>
      <c r="N9895">
        <f>HYPERLINK("https://www.wikidata.org/wiki/Q717905", "Q717905")</f>
        <v>0</v>
      </c>
      <c r="O9895" t="s">
        <v>20113</v>
      </c>
    </row>
    <row r="9896" spans="1:15">
      <c r="A9896" t="s">
        <v>93</v>
      </c>
      <c r="B9896" t="s">
        <v>149</v>
      </c>
      <c r="C9896" t="s">
        <v>225</v>
      </c>
      <c r="D9896" t="s">
        <v>354</v>
      </c>
      <c r="E9896" t="s">
        <v>470</v>
      </c>
      <c r="F9896">
        <f>HYPERLINK("https://www.wikidata.org/wiki/Q3111858", "Q3111858")</f>
        <v>0</v>
      </c>
      <c r="G9896" t="s">
        <v>1632</v>
      </c>
      <c r="H9896" t="s">
        <v>6317</v>
      </c>
      <c r="I9896" t="s">
        <v>6759</v>
      </c>
      <c r="J9896" t="s">
        <v>12339</v>
      </c>
      <c r="K9896" t="s">
        <v>16748</v>
      </c>
      <c r="L9896">
        <f>HYPERLINK("https://www2.assemblee-nationale.fr/sycomore/fiche/(num_dept)/7066", "7066")</f>
        <v>0</v>
      </c>
      <c r="M9896">
        <f>HYPERLINK("https://www.senat.fr/senateur-3eme-republique/thoumyre_robert1579r3.html", "thoumyre_robert1579r3")</f>
        <v>0</v>
      </c>
      <c r="N9896">
        <f>HYPERLINK("https://www.wikidata.org/wiki/Q3436407", "Q3436407")</f>
        <v>0</v>
      </c>
      <c r="O9896" t="s">
        <v>20315</v>
      </c>
    </row>
    <row r="9897" spans="1:15">
      <c r="A9897" t="s">
        <v>93</v>
      </c>
      <c r="B9897" t="s">
        <v>149</v>
      </c>
      <c r="C9897" t="s">
        <v>225</v>
      </c>
      <c r="D9897" t="s">
        <v>354</v>
      </c>
      <c r="E9897" t="s">
        <v>470</v>
      </c>
      <c r="F9897">
        <f>HYPERLINK("https://www.wikidata.org/wiki/Q3111858", "Q3111858")</f>
        <v>0</v>
      </c>
      <c r="G9897" t="s">
        <v>1659</v>
      </c>
      <c r="H9897" t="s">
        <v>6342</v>
      </c>
      <c r="I9897" t="s">
        <v>9843</v>
      </c>
      <c r="J9897" t="s">
        <v>12366</v>
      </c>
      <c r="K9897" t="s">
        <v>16773</v>
      </c>
      <c r="L9897">
        <f>HYPERLINK("https://www2.assemblee-nationale.fr/sycomore/fiche/(num_dept)/7630", "7630")</f>
        <v>0</v>
      </c>
      <c r="M9897">
        <f>HYPERLINK("https://www.senat.fr/senateur-3eme-republique/le_trocquer_yves0588r3.html", "le_trocquer_yves0588r3")</f>
        <v>0</v>
      </c>
      <c r="N9897">
        <f>HYPERLINK("https://www.wikidata.org/wiki/Q3573784", "Q3573784")</f>
        <v>0</v>
      </c>
      <c r="O9897" t="s">
        <v>20063</v>
      </c>
    </row>
    <row r="9898" spans="1:15">
      <c r="A9898" t="s">
        <v>93</v>
      </c>
      <c r="B9898" t="s">
        <v>149</v>
      </c>
      <c r="C9898" t="s">
        <v>225</v>
      </c>
      <c r="D9898" t="s">
        <v>354</v>
      </c>
      <c r="E9898" t="s">
        <v>470</v>
      </c>
      <c r="F9898">
        <f>HYPERLINK("https://www.wikidata.org/wiki/Q3111858", "Q3111858")</f>
        <v>0</v>
      </c>
      <c r="G9898" t="s">
        <v>851</v>
      </c>
      <c r="H9898" t="s">
        <v>5607</v>
      </c>
      <c r="I9898" t="s">
        <v>6585</v>
      </c>
      <c r="J9898" t="s">
        <v>11597</v>
      </c>
      <c r="K9898" t="s">
        <v>15999</v>
      </c>
      <c r="L9898">
        <f>HYPERLINK("https://www2.assemblee-nationale.fr/sycomore/fiche/(num_dept)/7693", "7693")</f>
        <v>0</v>
      </c>
      <c r="N9898">
        <f>HYPERLINK("https://www.wikidata.org/wiki/Q768982", "Q768982")</f>
        <v>0</v>
      </c>
      <c r="O9898" t="s">
        <v>20057</v>
      </c>
    </row>
    <row r="9899" spans="1:15">
      <c r="A9899" t="s">
        <v>93</v>
      </c>
      <c r="B9899" t="s">
        <v>149</v>
      </c>
      <c r="C9899" t="s">
        <v>225</v>
      </c>
      <c r="D9899" t="s">
        <v>354</v>
      </c>
      <c r="E9899" t="s">
        <v>470</v>
      </c>
      <c r="F9899">
        <f>HYPERLINK("https://www.wikidata.org/wiki/Q3111858", "Q3111858")</f>
        <v>0</v>
      </c>
      <c r="G9899" t="s">
        <v>1328</v>
      </c>
      <c r="H9899" t="s">
        <v>6047</v>
      </c>
      <c r="I9899" t="s">
        <v>6175</v>
      </c>
      <c r="J9899" t="s">
        <v>12056</v>
      </c>
      <c r="K9899" t="s">
        <v>16457</v>
      </c>
      <c r="L9899">
        <f>HYPERLINK("https://www2.assemblee-nationale.fr/sycomore/fiche/(num_dept)/7789", "7789")</f>
        <v>0</v>
      </c>
      <c r="M9899">
        <f>HYPERLINK("https://www.senat.fr/senateur-3eme-republique/leredu_georges1647r3.html", "leredu_georges1647r3")</f>
        <v>0</v>
      </c>
      <c r="N9899">
        <f>HYPERLINK("https://www.wikidata.org/wiki/Q3103090", "Q3103090")</f>
        <v>0</v>
      </c>
      <c r="O9899" t="s">
        <v>20318</v>
      </c>
    </row>
    <row r="9900" spans="1:15">
      <c r="A9900" t="s">
        <v>93</v>
      </c>
      <c r="B9900" t="s">
        <v>149</v>
      </c>
      <c r="C9900" t="s">
        <v>225</v>
      </c>
      <c r="D9900" t="s">
        <v>354</v>
      </c>
      <c r="E9900" t="s">
        <v>470</v>
      </c>
      <c r="F9900">
        <f>HYPERLINK("https://www.wikidata.org/wiki/Q3111858", "Q3111858")</f>
        <v>0</v>
      </c>
      <c r="G9900" t="s">
        <v>1333</v>
      </c>
      <c r="H9900" t="s">
        <v>5402</v>
      </c>
      <c r="I9900" t="s">
        <v>9754</v>
      </c>
      <c r="J9900" t="s">
        <v>12060</v>
      </c>
      <c r="K9900" t="s">
        <v>16462</v>
      </c>
      <c r="L9900">
        <f>HYPERLINK("https://www2.assemblee-nationale.fr/sycomore/fiche/(num_dept)/10839", "10839")</f>
        <v>0</v>
      </c>
      <c r="N9900">
        <f>HYPERLINK("https://www.wikidata.org/wiki/Q471296", "Q471296")</f>
        <v>0</v>
      </c>
      <c r="O9900" t="s">
        <v>20281</v>
      </c>
    </row>
    <row r="9901" spans="1:15">
      <c r="A9901" t="s">
        <v>93</v>
      </c>
      <c r="B9901" t="s">
        <v>149</v>
      </c>
      <c r="C9901" t="s">
        <v>225</v>
      </c>
      <c r="D9901" t="s">
        <v>354</v>
      </c>
      <c r="E9901" t="s">
        <v>470</v>
      </c>
      <c r="F9901">
        <f>HYPERLINK("https://www.wikidata.org/wiki/Q3111858", "Q3111858")</f>
        <v>0</v>
      </c>
      <c r="G9901" t="s">
        <v>4273</v>
      </c>
      <c r="H9901" t="s">
        <v>6822</v>
      </c>
      <c r="I9901" t="s">
        <v>6478</v>
      </c>
      <c r="J9901" t="s">
        <v>14772</v>
      </c>
      <c r="K9901" t="s">
        <v>19120</v>
      </c>
      <c r="M9901">
        <f>HYPERLINK("https://www.senat.fr/senateur-3eme-republique/berenger_henry0845r3.html", "berenger_henry0845r3")</f>
        <v>0</v>
      </c>
      <c r="N9901">
        <f>HYPERLINK("https://www.wikidata.org/wiki/Q377169", "Q377169")</f>
        <v>0</v>
      </c>
      <c r="O9901" t="s">
        <v>20227</v>
      </c>
    </row>
    <row r="9902" spans="1:15">
      <c r="A9902" t="s">
        <v>93</v>
      </c>
      <c r="B9902" t="s">
        <v>149</v>
      </c>
      <c r="C9902" t="s">
        <v>225</v>
      </c>
      <c r="D9902" t="s">
        <v>354</v>
      </c>
      <c r="E9902" t="s">
        <v>470</v>
      </c>
      <c r="F9902">
        <f>HYPERLINK("https://www.wikidata.org/wiki/Q3111858", "Q3111858")</f>
        <v>0</v>
      </c>
      <c r="G9902" t="s">
        <v>4317</v>
      </c>
      <c r="H9902" t="s">
        <v>7600</v>
      </c>
      <c r="I9902" t="s">
        <v>11181</v>
      </c>
      <c r="J9902" t="s">
        <v>14814</v>
      </c>
      <c r="K9902" t="s">
        <v>19155</v>
      </c>
      <c r="N9902">
        <f>HYPERLINK("https://www.wikidata.org/wiki/Q3184306", "Q3184306")</f>
        <v>0</v>
      </c>
      <c r="O9902" t="s">
        <v>20123</v>
      </c>
    </row>
    <row r="9903" spans="1:15">
      <c r="A9903" t="s">
        <v>93</v>
      </c>
      <c r="B9903" t="s">
        <v>149</v>
      </c>
      <c r="C9903" t="s">
        <v>225</v>
      </c>
      <c r="D9903" t="s">
        <v>354</v>
      </c>
      <c r="E9903" t="s">
        <v>470</v>
      </c>
      <c r="F9903">
        <f>HYPERLINK("https://www.wikidata.org/wiki/Q3111858", "Q3111858")</f>
        <v>0</v>
      </c>
      <c r="G9903" t="s">
        <v>4308</v>
      </c>
      <c r="H9903" t="s">
        <v>8464</v>
      </c>
      <c r="I9903" t="s">
        <v>9612</v>
      </c>
      <c r="J9903" t="s">
        <v>14806</v>
      </c>
      <c r="K9903" t="s">
        <v>17434</v>
      </c>
      <c r="M9903">
        <f>HYPERLINK("https://www.senat.fr/senateur-3eme-republique/francois_marsal_frederic0362r3.html", "francois_marsal_frederic0362r3")</f>
        <v>0</v>
      </c>
      <c r="N9903">
        <f>HYPERLINK("https://www.wikidata.org/wiki/Q459212", "Q459212")</f>
        <v>0</v>
      </c>
      <c r="O9903" t="s">
        <v>20066</v>
      </c>
    </row>
    <row r="9904" spans="1:15">
      <c r="A9904" t="s">
        <v>93</v>
      </c>
      <c r="B9904" t="s">
        <v>149</v>
      </c>
      <c r="C9904" t="s">
        <v>225</v>
      </c>
      <c r="D9904" t="s">
        <v>354</v>
      </c>
      <c r="E9904" t="s">
        <v>470</v>
      </c>
      <c r="F9904">
        <f>HYPERLINK("https://www.wikidata.org/wiki/Q3111858", "Q3111858")</f>
        <v>0</v>
      </c>
      <c r="G9904" t="s">
        <v>4318</v>
      </c>
      <c r="H9904" t="s">
        <v>8471</v>
      </c>
      <c r="I9904" t="s">
        <v>9437</v>
      </c>
      <c r="J9904" t="s">
        <v>14815</v>
      </c>
      <c r="K9904" t="s">
        <v>16323</v>
      </c>
      <c r="N9904">
        <f>HYPERLINK("https://www.wikidata.org/wiki/Q286257", "Q286257")</f>
        <v>0</v>
      </c>
      <c r="O9904" t="s">
        <v>20319</v>
      </c>
    </row>
    <row r="9905" spans="1:15">
      <c r="A9905" t="s">
        <v>93</v>
      </c>
      <c r="B9905" t="s">
        <v>149</v>
      </c>
      <c r="C9905" t="s">
        <v>225</v>
      </c>
      <c r="D9905" t="s">
        <v>354</v>
      </c>
      <c r="E9905" t="s">
        <v>470</v>
      </c>
      <c r="F9905">
        <f>HYPERLINK("https://www.wikidata.org/wiki/Q3111858", "Q3111858")</f>
        <v>0</v>
      </c>
      <c r="G9905" t="s">
        <v>1497</v>
      </c>
      <c r="H9905" t="s">
        <v>6195</v>
      </c>
      <c r="I9905" t="s">
        <v>9552</v>
      </c>
      <c r="J9905" t="s">
        <v>12215</v>
      </c>
      <c r="K9905" t="s">
        <v>16620</v>
      </c>
      <c r="N9905">
        <f>HYPERLINK("https://www.wikidata.org/wiki/Q16032275", "Q16032275")</f>
        <v>0</v>
      </c>
      <c r="O9905" t="s">
        <v>20110</v>
      </c>
    </row>
    <row r="9906" spans="1:15">
      <c r="A9906" t="s">
        <v>93</v>
      </c>
      <c r="B9906" t="s">
        <v>149</v>
      </c>
      <c r="C9906" t="s">
        <v>225</v>
      </c>
      <c r="D9906" t="s">
        <v>354</v>
      </c>
      <c r="E9906" t="s">
        <v>470</v>
      </c>
      <c r="F9906">
        <f>HYPERLINK("https://www.wikidata.org/wiki/Q3111858", "Q3111858")</f>
        <v>0</v>
      </c>
      <c r="G9906" t="s">
        <v>4319</v>
      </c>
      <c r="H9906" t="s">
        <v>8472</v>
      </c>
      <c r="I9906" t="s">
        <v>6860</v>
      </c>
      <c r="J9906" t="s">
        <v>14816</v>
      </c>
      <c r="K9906" t="s">
        <v>19156</v>
      </c>
      <c r="N9906">
        <f>HYPERLINK("https://www.wikidata.org/wiki/Q3384551", "Q3384551")</f>
        <v>0</v>
      </c>
      <c r="O9906" t="s">
        <v>20316</v>
      </c>
    </row>
    <row r="9907" spans="1:15">
      <c r="A9907" t="s">
        <v>93</v>
      </c>
      <c r="B9907" t="s">
        <v>149</v>
      </c>
      <c r="C9907" t="s">
        <v>225</v>
      </c>
      <c r="D9907" t="s">
        <v>354</v>
      </c>
      <c r="E9907" t="s">
        <v>470</v>
      </c>
      <c r="F9907">
        <f>HYPERLINK("https://www.wikidata.org/wiki/Q3111858", "Q3111858")</f>
        <v>0</v>
      </c>
      <c r="G9907" t="s">
        <v>1141</v>
      </c>
      <c r="H9907" t="s">
        <v>5876</v>
      </c>
      <c r="I9907" t="s">
        <v>6495</v>
      </c>
      <c r="J9907" t="s">
        <v>11875</v>
      </c>
      <c r="K9907" t="s">
        <v>16277</v>
      </c>
      <c r="N9907">
        <f>HYPERLINK("https://www.wikidata.org/wiki/Q3261710", "Q3261710")</f>
        <v>0</v>
      </c>
      <c r="O9907" t="s">
        <v>20232</v>
      </c>
    </row>
    <row r="9908" spans="1:15">
      <c r="A9908" t="s">
        <v>94</v>
      </c>
      <c r="B9908" t="s">
        <v>149</v>
      </c>
      <c r="C9908" t="s">
        <v>226</v>
      </c>
      <c r="D9908" t="s">
        <v>355</v>
      </c>
      <c r="E9908" t="s">
        <v>471</v>
      </c>
      <c r="F9908">
        <f>HYPERLINK("https://www.wikidata.org/wiki/Q2194496", "Q2194496")</f>
        <v>0</v>
      </c>
      <c r="G9908" t="s">
        <v>525</v>
      </c>
      <c r="H9908" t="s">
        <v>5289</v>
      </c>
      <c r="I9908" t="s">
        <v>7642</v>
      </c>
      <c r="J9908" t="s">
        <v>11277</v>
      </c>
      <c r="K9908" t="s">
        <v>15677</v>
      </c>
      <c r="L9908">
        <f>HYPERLINK("https://www2.assemblee-nationale.fr/sycomore/fiche/(num_dept)/720", "720")</f>
        <v>0</v>
      </c>
      <c r="N9908">
        <f>HYPERLINK("https://www.wikidata.org/wiki/Q3300415", "Q3300415")</f>
        <v>0</v>
      </c>
      <c r="O9908" t="s">
        <v>20057</v>
      </c>
    </row>
    <row r="9909" spans="1:15">
      <c r="A9909" t="s">
        <v>94</v>
      </c>
      <c r="B9909" t="s">
        <v>149</v>
      </c>
      <c r="C9909" t="s">
        <v>226</v>
      </c>
      <c r="D9909" t="s">
        <v>355</v>
      </c>
      <c r="E9909" t="s">
        <v>471</v>
      </c>
      <c r="F9909">
        <f>HYPERLINK("https://www.wikidata.org/wiki/Q2194496", "Q2194496")</f>
        <v>0</v>
      </c>
      <c r="G9909" t="s">
        <v>560</v>
      </c>
      <c r="H9909" t="s">
        <v>5323</v>
      </c>
      <c r="I9909" t="s">
        <v>9407</v>
      </c>
      <c r="J9909" t="s">
        <v>11311</v>
      </c>
      <c r="K9909" t="s">
        <v>15712</v>
      </c>
      <c r="L9909">
        <f>HYPERLINK("https://www2.assemblee-nationale.fr/sycomore/fiche/(num_dept)/1366", "1366")</f>
        <v>0</v>
      </c>
      <c r="M9909">
        <f>HYPERLINK("https://www.senat.fr/senateur-3eme-republique/caillaux_joseph1254r3.html", "caillaux_joseph1254r3")</f>
        <v>0</v>
      </c>
      <c r="N9909">
        <f>HYPERLINK("https://www.wikidata.org/wiki/Q450463", "Q450463")</f>
        <v>0</v>
      </c>
      <c r="O9909" t="s">
        <v>20066</v>
      </c>
    </row>
    <row r="9910" spans="1:15">
      <c r="A9910" t="s">
        <v>94</v>
      </c>
      <c r="B9910" t="s">
        <v>149</v>
      </c>
      <c r="C9910" t="s">
        <v>226</v>
      </c>
      <c r="D9910" t="s">
        <v>355</v>
      </c>
      <c r="E9910" t="s">
        <v>471</v>
      </c>
      <c r="F9910">
        <f>HYPERLINK("https://www.wikidata.org/wiki/Q2194496", "Q2194496")</f>
        <v>0</v>
      </c>
      <c r="G9910" t="s">
        <v>573</v>
      </c>
      <c r="H9910" t="s">
        <v>5336</v>
      </c>
      <c r="I9910" t="s">
        <v>9385</v>
      </c>
      <c r="J9910" t="s">
        <v>11324</v>
      </c>
      <c r="K9910" t="s">
        <v>15725</v>
      </c>
      <c r="L9910">
        <f>HYPERLINK("https://www2.assemblee-nationale.fr/sycomore/fiche/(num_dept)/1716", "1716")</f>
        <v>0</v>
      </c>
      <c r="M9910">
        <f>HYPERLINK("https://www.senat.fr/senateur-3eme-republique/chaumet_jean0195r3.html", "chaumet_jean0195r3")</f>
        <v>0</v>
      </c>
      <c r="N9910">
        <f>HYPERLINK("https://www.wikidata.org/wiki/Q2958718", "Q2958718")</f>
        <v>0</v>
      </c>
      <c r="O9910" t="s">
        <v>20187</v>
      </c>
    </row>
    <row r="9911" spans="1:15">
      <c r="A9911" t="s">
        <v>94</v>
      </c>
      <c r="B9911" t="s">
        <v>149</v>
      </c>
      <c r="C9911" t="s">
        <v>226</v>
      </c>
      <c r="D9911" t="s">
        <v>355</v>
      </c>
      <c r="E9911" t="s">
        <v>471</v>
      </c>
      <c r="F9911">
        <f>HYPERLINK("https://www.wikidata.org/wiki/Q2194496", "Q2194496")</f>
        <v>0</v>
      </c>
      <c r="G9911" t="s">
        <v>588</v>
      </c>
      <c r="H9911" t="s">
        <v>5349</v>
      </c>
      <c r="I9911" t="s">
        <v>9437</v>
      </c>
      <c r="J9911" t="s">
        <v>11339</v>
      </c>
      <c r="K9911" t="s">
        <v>15740</v>
      </c>
      <c r="L9911">
        <f>HYPERLINK("https://www2.assemblee-nationale.fr/sycomore/fiche/(num_dept)/1947", "1947")</f>
        <v>0</v>
      </c>
      <c r="N9911">
        <f>HYPERLINK("https://www.wikidata.org/wiki/Q3588426", "Q3588426")</f>
        <v>0</v>
      </c>
      <c r="O9911" t="s">
        <v>20188</v>
      </c>
    </row>
    <row r="9912" spans="1:15">
      <c r="A9912" t="s">
        <v>94</v>
      </c>
      <c r="B9912" t="s">
        <v>149</v>
      </c>
      <c r="C9912" t="s">
        <v>226</v>
      </c>
      <c r="D9912" t="s">
        <v>355</v>
      </c>
      <c r="E9912" t="s">
        <v>471</v>
      </c>
      <c r="F9912">
        <f>HYPERLINK("https://www.wikidata.org/wiki/Q2194496", "Q2194496")</f>
        <v>0</v>
      </c>
      <c r="G9912" t="s">
        <v>594</v>
      </c>
      <c r="H9912" t="s">
        <v>5355</v>
      </c>
      <c r="I9912" t="s">
        <v>6200</v>
      </c>
      <c r="J9912" t="s">
        <v>11345</v>
      </c>
      <c r="K9912" t="s">
        <v>15746</v>
      </c>
      <c r="L9912">
        <f>HYPERLINK("https://www2.assemblee-nationale.fr/sycomore/fiche/(num_dept)/2080", "2080")</f>
        <v>0</v>
      </c>
      <c r="M9912">
        <f>HYPERLINK("https://www.senat.fr/senateur-3eme-republique/cruppi_jean0109r3.html", "cruppi_jean0109r3")</f>
        <v>0</v>
      </c>
      <c r="N9912">
        <f>HYPERLINK("https://www.wikidata.org/wiki/Q730383", "Q730383")</f>
        <v>0</v>
      </c>
      <c r="O9912" t="s">
        <v>20062</v>
      </c>
    </row>
    <row r="9913" spans="1:15">
      <c r="A9913" t="s">
        <v>94</v>
      </c>
      <c r="B9913" t="s">
        <v>149</v>
      </c>
      <c r="C9913" t="s">
        <v>226</v>
      </c>
      <c r="D9913" t="s">
        <v>355</v>
      </c>
      <c r="E9913" t="s">
        <v>471</v>
      </c>
      <c r="F9913">
        <f>HYPERLINK("https://www.wikidata.org/wiki/Q2194496", "Q2194496")</f>
        <v>0</v>
      </c>
      <c r="G9913" t="s">
        <v>608</v>
      </c>
      <c r="H9913" t="s">
        <v>5368</v>
      </c>
      <c r="I9913" t="s">
        <v>9451</v>
      </c>
      <c r="J9913" t="s">
        <v>11359</v>
      </c>
      <c r="K9913" t="s">
        <v>15760</v>
      </c>
      <c r="L9913">
        <f>HYPERLINK("https://www2.assemblee-nationale.fr/sycomore/fiche/(num_dept)/2283", "2283")</f>
        <v>0</v>
      </c>
      <c r="N9913">
        <f>HYPERLINK("https://www.wikidata.org/wiki/Q503827", "Q503827")</f>
        <v>0</v>
      </c>
      <c r="O9913" t="s">
        <v>20053</v>
      </c>
    </row>
    <row r="9914" spans="1:15">
      <c r="A9914" t="s">
        <v>94</v>
      </c>
      <c r="B9914" t="s">
        <v>149</v>
      </c>
      <c r="C9914" t="s">
        <v>226</v>
      </c>
      <c r="D9914" t="s">
        <v>355</v>
      </c>
      <c r="E9914" t="s">
        <v>471</v>
      </c>
      <c r="F9914">
        <f>HYPERLINK("https://www.wikidata.org/wiki/Q2194496", "Q2194496")</f>
        <v>0</v>
      </c>
      <c r="G9914" t="s">
        <v>623</v>
      </c>
      <c r="H9914" t="s">
        <v>5383</v>
      </c>
      <c r="I9914" t="s">
        <v>5394</v>
      </c>
      <c r="J9914" t="s">
        <v>11373</v>
      </c>
      <c r="K9914" t="s">
        <v>15775</v>
      </c>
      <c r="L9914">
        <f>HYPERLINK("https://www2.assemblee-nationale.fr/sycomore/fiche/(num_dept)/2685", "2685")</f>
        <v>0</v>
      </c>
      <c r="M9914">
        <f>HYPERLINK("https://www.senat.fr/senateur-3eme-republique/dujardin_beaumetz_henri0274r3.html", "dujardin_beaumetz_henri0274r3")</f>
        <v>0</v>
      </c>
      <c r="N9914">
        <f>HYPERLINK("https://www.wikidata.org/wiki/Q289596", "Q289596")</f>
        <v>0</v>
      </c>
      <c r="O9914" t="s">
        <v>20119</v>
      </c>
    </row>
    <row r="9915" spans="1:15">
      <c r="A9915" t="s">
        <v>94</v>
      </c>
      <c r="B9915" t="s">
        <v>149</v>
      </c>
      <c r="C9915" t="s">
        <v>226</v>
      </c>
      <c r="D9915" t="s">
        <v>355</v>
      </c>
      <c r="E9915" t="s">
        <v>471</v>
      </c>
      <c r="F9915">
        <f>HYPERLINK("https://www.wikidata.org/wiki/Q2194496", "Q2194496")</f>
        <v>0</v>
      </c>
      <c r="G9915" t="s">
        <v>721</v>
      </c>
      <c r="H9915" t="s">
        <v>5479</v>
      </c>
      <c r="I9915" t="s">
        <v>6495</v>
      </c>
      <c r="J9915" t="s">
        <v>11470</v>
      </c>
      <c r="K9915" t="s">
        <v>15872</v>
      </c>
      <c r="L9915">
        <f>HYPERLINK("https://www2.assemblee-nationale.fr/sycomore/fiche/(num_dept)/4940", "4940")</f>
        <v>0</v>
      </c>
      <c r="N9915">
        <f>HYPERLINK("https://www.wikidata.org/wiki/Q3262600", "Q3262600")</f>
        <v>0</v>
      </c>
      <c r="O9915" t="s">
        <v>20265</v>
      </c>
    </row>
    <row r="9916" spans="1:15">
      <c r="A9916" t="s">
        <v>94</v>
      </c>
      <c r="B9916" t="s">
        <v>149</v>
      </c>
      <c r="C9916" t="s">
        <v>226</v>
      </c>
      <c r="D9916" t="s">
        <v>355</v>
      </c>
      <c r="E9916" t="s">
        <v>471</v>
      </c>
      <c r="F9916">
        <f>HYPERLINK("https://www.wikidata.org/wiki/Q2194496", "Q2194496")</f>
        <v>0</v>
      </c>
      <c r="G9916" t="s">
        <v>998</v>
      </c>
      <c r="H9916" t="s">
        <v>5750</v>
      </c>
      <c r="I9916" t="s">
        <v>9458</v>
      </c>
      <c r="J9916" t="s">
        <v>11736</v>
      </c>
      <c r="K9916" t="s">
        <v>16139</v>
      </c>
      <c r="L9916">
        <f>HYPERLINK("https://www2.assemblee-nationale.fr/sycomore/fiche/(num_dept)/5071", "5071")</f>
        <v>0</v>
      </c>
      <c r="M9916">
        <f>HYPERLINK("https://www.senat.fr/senateur-3eme-republique/masse_alfred1255r3.html", "masse_alfred1255r3")</f>
        <v>0</v>
      </c>
      <c r="N9916">
        <f>HYPERLINK("https://www.wikidata.org/wiki/Q2835313", "Q2835313")</f>
        <v>0</v>
      </c>
      <c r="O9916" t="s">
        <v>20110</v>
      </c>
    </row>
    <row r="9917" spans="1:15">
      <c r="A9917" t="s">
        <v>94</v>
      </c>
      <c r="B9917" t="s">
        <v>149</v>
      </c>
      <c r="C9917" t="s">
        <v>226</v>
      </c>
      <c r="D9917" t="s">
        <v>355</v>
      </c>
      <c r="E9917" t="s">
        <v>471</v>
      </c>
      <c r="F9917">
        <f>HYPERLINK("https://www.wikidata.org/wiki/Q2194496", "Q2194496")</f>
        <v>0</v>
      </c>
      <c r="G9917" t="s">
        <v>1003</v>
      </c>
      <c r="H9917" t="s">
        <v>5754</v>
      </c>
      <c r="I9917" t="s">
        <v>9534</v>
      </c>
      <c r="J9917" t="s">
        <v>11740</v>
      </c>
      <c r="K9917" t="s">
        <v>16144</v>
      </c>
      <c r="L9917">
        <f>HYPERLINK("https://www2.assemblee-nationale.fr/sycomore/fiche/(num_dept)/5219", "5219")</f>
        <v>0</v>
      </c>
      <c r="M9917">
        <f>HYPERLINK("https://www.senat.fr/senateur-3eme-republique/messimy_adolphe0021r3.html", "messimy_adolphe0021r3")</f>
        <v>0</v>
      </c>
      <c r="N9917">
        <f>HYPERLINK("https://www.wikidata.org/wiki/Q365771", "Q365771")</f>
        <v>0</v>
      </c>
      <c r="O9917" t="s">
        <v>20065</v>
      </c>
    </row>
    <row r="9918" spans="1:15">
      <c r="A9918" t="s">
        <v>94</v>
      </c>
      <c r="B9918" t="s">
        <v>149</v>
      </c>
      <c r="C9918" t="s">
        <v>226</v>
      </c>
      <c r="D9918" t="s">
        <v>355</v>
      </c>
      <c r="E9918" t="s">
        <v>471</v>
      </c>
      <c r="F9918">
        <f>HYPERLINK("https://www.wikidata.org/wiki/Q2194496", "Q2194496")</f>
        <v>0</v>
      </c>
      <c r="G9918" t="s">
        <v>3269</v>
      </c>
      <c r="H9918" t="s">
        <v>7684</v>
      </c>
      <c r="I9918" t="s">
        <v>9442</v>
      </c>
      <c r="J9918" t="s">
        <v>13883</v>
      </c>
      <c r="K9918" t="s">
        <v>18257</v>
      </c>
      <c r="L9918">
        <f>HYPERLINK("https://www2.assemblee-nationale.fr/sycomore/fiche/(num_dept)/5343", "5343")</f>
        <v>0</v>
      </c>
      <c r="M9918">
        <f>HYPERLINK("https://www.senat.fr/senateur-3eme-republique/monis_ernest0193r3.html", "monis_ernest0193r3")</f>
        <v>0</v>
      </c>
      <c r="N9918">
        <f>HYPERLINK("https://www.wikidata.org/wiki/Q561583", "Q561583")</f>
        <v>0</v>
      </c>
      <c r="O9918" t="s">
        <v>20117</v>
      </c>
    </row>
    <row r="9919" spans="1:15">
      <c r="A9919" t="s">
        <v>94</v>
      </c>
      <c r="B9919" t="s">
        <v>149</v>
      </c>
      <c r="C9919" t="s">
        <v>226</v>
      </c>
      <c r="D9919" t="s">
        <v>355</v>
      </c>
      <c r="E9919" t="s">
        <v>471</v>
      </c>
      <c r="F9919">
        <f>HYPERLINK("https://www.wikidata.org/wiki/Q2194496", "Q2194496")</f>
        <v>0</v>
      </c>
      <c r="G9919" t="s">
        <v>3269</v>
      </c>
      <c r="H9919" t="s">
        <v>7684</v>
      </c>
      <c r="I9919" t="s">
        <v>9442</v>
      </c>
      <c r="J9919" t="s">
        <v>13883</v>
      </c>
      <c r="K9919" t="s">
        <v>18257</v>
      </c>
      <c r="L9919">
        <f>HYPERLINK("https://www2.assemblee-nationale.fr/sycomore/fiche/(num_dept)/5343", "5343")</f>
        <v>0</v>
      </c>
      <c r="M9919">
        <f>HYPERLINK("https://www.senat.fr/senateur-3eme-republique/monis_ernest0193r3.html", "monis_ernest0193r3")</f>
        <v>0</v>
      </c>
      <c r="N9919">
        <f>HYPERLINK("https://www.wikidata.org/wiki/Q561583", "Q561583")</f>
        <v>0</v>
      </c>
      <c r="O9919" t="s">
        <v>20052</v>
      </c>
    </row>
    <row r="9920" spans="1:15">
      <c r="A9920" t="s">
        <v>94</v>
      </c>
      <c r="B9920" t="s">
        <v>149</v>
      </c>
      <c r="C9920" t="s">
        <v>226</v>
      </c>
      <c r="D9920" t="s">
        <v>355</v>
      </c>
      <c r="E9920" t="s">
        <v>471</v>
      </c>
      <c r="F9920">
        <f>HYPERLINK("https://www.wikidata.org/wiki/Q2194496", "Q2194496")</f>
        <v>0</v>
      </c>
      <c r="G9920" t="s">
        <v>3721</v>
      </c>
      <c r="H9920" t="s">
        <v>8030</v>
      </c>
      <c r="I9920" t="s">
        <v>9449</v>
      </c>
      <c r="J9920" t="s">
        <v>14296</v>
      </c>
      <c r="K9920" t="s">
        <v>18650</v>
      </c>
      <c r="L9920">
        <f>HYPERLINK("https://www2.assemblee-nationale.fr/sycomore/fiche/(num_dept)/5665", "5665")</f>
        <v>0</v>
      </c>
      <c r="M9920">
        <f>HYPERLINK("https://www.senat.fr/senateur-3eme-republique/pams_jules1089r3.html", "pams_jules1089r3")</f>
        <v>0</v>
      </c>
      <c r="N9920">
        <f>HYPERLINK("https://www.wikidata.org/wiki/Q3188830", "Q3188830")</f>
        <v>0</v>
      </c>
      <c r="O9920" t="s">
        <v>20056</v>
      </c>
    </row>
    <row r="9921" spans="1:15">
      <c r="A9921" t="s">
        <v>94</v>
      </c>
      <c r="B9921" t="s">
        <v>149</v>
      </c>
      <c r="C9921" t="s">
        <v>226</v>
      </c>
      <c r="D9921" t="s">
        <v>355</v>
      </c>
      <c r="E9921" t="s">
        <v>471</v>
      </c>
      <c r="F9921">
        <f>HYPERLINK("https://www.wikidata.org/wiki/Q2194496", "Q2194496")</f>
        <v>0</v>
      </c>
      <c r="G9921" t="s">
        <v>752</v>
      </c>
      <c r="H9921" t="s">
        <v>5510</v>
      </c>
      <c r="I9921" t="s">
        <v>9407</v>
      </c>
      <c r="J9921" t="s">
        <v>11500</v>
      </c>
      <c r="K9921" t="s">
        <v>15903</v>
      </c>
      <c r="L9921">
        <f>HYPERLINK("https://www2.assemblee-nationale.fr/sycomore/fiche/(num_dept)/5724", "5724")</f>
        <v>0</v>
      </c>
      <c r="M9921">
        <f>HYPERLINK("https://www.senat.fr/senateur-3eme-republique/paul_boncour_joseph0550r4.html", "paul_boncour_joseph0550r4")</f>
        <v>0</v>
      </c>
      <c r="N9921">
        <f>HYPERLINK("https://www.wikidata.org/wiki/Q285865", "Q285865")</f>
        <v>0</v>
      </c>
      <c r="O9921" t="s">
        <v>20055</v>
      </c>
    </row>
    <row r="9922" spans="1:15">
      <c r="A9922" t="s">
        <v>94</v>
      </c>
      <c r="B9922" t="s">
        <v>149</v>
      </c>
      <c r="C9922" t="s">
        <v>226</v>
      </c>
      <c r="D9922" t="s">
        <v>355</v>
      </c>
      <c r="E9922" t="s">
        <v>471</v>
      </c>
      <c r="F9922">
        <f>HYPERLINK("https://www.wikidata.org/wiki/Q2194496", "Q2194496")</f>
        <v>0</v>
      </c>
      <c r="G9922" t="s">
        <v>3489</v>
      </c>
      <c r="H9922" t="s">
        <v>5776</v>
      </c>
      <c r="I9922" t="s">
        <v>9401</v>
      </c>
      <c r="J9922" t="s">
        <v>14088</v>
      </c>
      <c r="K9922" t="s">
        <v>18453</v>
      </c>
      <c r="L9922">
        <f>HYPERLINK("https://www2.assemblee-nationale.fr/sycomore/fiche/(num_dept)/5810", "5810")</f>
        <v>0</v>
      </c>
      <c r="M9922">
        <f>HYPERLINK("https://www.senat.fr/senateur-3eme-republique/perrier_antoine1304r3.html", "perrier_antoine1304r3")</f>
        <v>0</v>
      </c>
      <c r="N9922">
        <f>HYPERLINK("https://www.wikidata.org/wiki/Q2856600", "Q2856600")</f>
        <v>0</v>
      </c>
      <c r="O9922" t="s">
        <v>20064</v>
      </c>
    </row>
    <row r="9923" spans="1:15">
      <c r="A9923" t="s">
        <v>94</v>
      </c>
      <c r="B9923" t="s">
        <v>149</v>
      </c>
      <c r="C9923" t="s">
        <v>226</v>
      </c>
      <c r="D9923" t="s">
        <v>355</v>
      </c>
      <c r="E9923" t="s">
        <v>471</v>
      </c>
      <c r="F9923">
        <f>HYPERLINK("https://www.wikidata.org/wiki/Q2194496", "Q2194496")</f>
        <v>0</v>
      </c>
      <c r="G9923" t="s">
        <v>814</v>
      </c>
      <c r="H9923" t="s">
        <v>5571</v>
      </c>
      <c r="I9923" t="s">
        <v>9533</v>
      </c>
      <c r="J9923" t="s">
        <v>11561</v>
      </c>
      <c r="K9923" t="s">
        <v>15965</v>
      </c>
      <c r="L9923">
        <f>HYPERLINK("https://www2.assemblee-nationale.fr/sycomore/fiche/(num_dept)/6904", "6904")</f>
        <v>0</v>
      </c>
      <c r="M9923">
        <f>HYPERLINK("https://www.senat.fr/senateur-3eme-republique/steeg_theodore1554r3.html", "steeg_theodore1554r3")</f>
        <v>0</v>
      </c>
      <c r="N9923">
        <f>HYPERLINK("https://www.wikidata.org/wiki/Q717905", "Q717905")</f>
        <v>0</v>
      </c>
      <c r="O9923" t="s">
        <v>20051</v>
      </c>
    </row>
    <row r="9924" spans="1:15">
      <c r="A9924" t="s">
        <v>94</v>
      </c>
      <c r="B9924" t="s">
        <v>149</v>
      </c>
      <c r="C9924" t="s">
        <v>226</v>
      </c>
      <c r="D9924" t="s">
        <v>355</v>
      </c>
      <c r="E9924" t="s">
        <v>471</v>
      </c>
      <c r="F9924">
        <f>HYPERLINK("https://www.wikidata.org/wiki/Q2194496", "Q2194496")</f>
        <v>0</v>
      </c>
      <c r="G9924" t="s">
        <v>4322</v>
      </c>
      <c r="H9924" t="s">
        <v>8474</v>
      </c>
      <c r="I9924" t="s">
        <v>6166</v>
      </c>
      <c r="J9924" t="s">
        <v>14818</v>
      </c>
      <c r="K9924" t="s">
        <v>19158</v>
      </c>
      <c r="N9924">
        <f>HYPERLINK("https://www.wikidata.org/wiki/Q3084746", "Q3084746")</f>
        <v>0</v>
      </c>
      <c r="O9924" t="s">
        <v>20057</v>
      </c>
    </row>
    <row r="9925" spans="1:15">
      <c r="A9925" t="s">
        <v>94</v>
      </c>
      <c r="B9925" t="s">
        <v>149</v>
      </c>
      <c r="C9925" t="s">
        <v>226</v>
      </c>
      <c r="D9925" t="s">
        <v>355</v>
      </c>
      <c r="E9925" t="s">
        <v>471</v>
      </c>
      <c r="F9925">
        <f>HYPERLINK("https://www.wikidata.org/wiki/Q2194496", "Q2194496")</f>
        <v>0</v>
      </c>
      <c r="G9925" t="s">
        <v>948</v>
      </c>
      <c r="H9925" t="s">
        <v>5386</v>
      </c>
      <c r="I9925" t="s">
        <v>9385</v>
      </c>
      <c r="J9925" t="s">
        <v>11689</v>
      </c>
      <c r="K9925" t="s">
        <v>16090</v>
      </c>
      <c r="N9925">
        <f>HYPERLINK("https://www.wikidata.org/wiki/Q475755", "Q475755")</f>
        <v>0</v>
      </c>
      <c r="O9925" t="s">
        <v>20120</v>
      </c>
    </row>
    <row r="9926" spans="1:15">
      <c r="A9926" t="s">
        <v>95</v>
      </c>
      <c r="B9926" t="s">
        <v>149</v>
      </c>
      <c r="C9926" t="s">
        <v>227</v>
      </c>
      <c r="D9926" t="s">
        <v>356</v>
      </c>
      <c r="E9926" t="s">
        <v>472</v>
      </c>
      <c r="F9926">
        <f>HYPERLINK("https://www.wikidata.org/wiki/Q290305", "Q290305")</f>
        <v>0</v>
      </c>
      <c r="G9926" t="s">
        <v>512</v>
      </c>
      <c r="H9926" t="s">
        <v>5277</v>
      </c>
      <c r="I9926" t="s">
        <v>6495</v>
      </c>
      <c r="J9926" t="s">
        <v>11264</v>
      </c>
      <c r="K9926" t="s">
        <v>15664</v>
      </c>
      <c r="L9926">
        <f>HYPERLINK("https://www2.assemblee-nationale.fr/sycomore/fiche/(num_dept)/451", "451")</f>
        <v>0</v>
      </c>
      <c r="M9926">
        <f>HYPERLINK("https://www.senat.fr/senateur-3eme-republique/barthou_louis1071r3.html", "barthou_louis1071r3")</f>
        <v>0</v>
      </c>
      <c r="N9926">
        <f>HYPERLINK("https://www.wikidata.org/wiki/Q271887", "Q271887")</f>
        <v>0</v>
      </c>
      <c r="O9926" t="s">
        <v>20320</v>
      </c>
    </row>
    <row r="9927" spans="1:15">
      <c r="A9927" t="s">
        <v>95</v>
      </c>
      <c r="B9927" t="s">
        <v>149</v>
      </c>
      <c r="C9927" t="s">
        <v>227</v>
      </c>
      <c r="D9927" t="s">
        <v>356</v>
      </c>
      <c r="E9927" t="s">
        <v>472</v>
      </c>
      <c r="F9927">
        <f>HYPERLINK("https://www.wikidata.org/wiki/Q290305", "Q290305")</f>
        <v>0</v>
      </c>
      <c r="G9927" t="s">
        <v>512</v>
      </c>
      <c r="H9927" t="s">
        <v>5277</v>
      </c>
      <c r="I9927" t="s">
        <v>6495</v>
      </c>
      <c r="J9927" t="s">
        <v>11264</v>
      </c>
      <c r="K9927" t="s">
        <v>15664</v>
      </c>
      <c r="L9927">
        <f>HYPERLINK("https://www2.assemblee-nationale.fr/sycomore/fiche/(num_dept)/451", "451")</f>
        <v>0</v>
      </c>
      <c r="M9927">
        <f>HYPERLINK("https://www.senat.fr/senateur-3eme-republique/barthou_louis1071r3.html", "barthou_louis1071r3")</f>
        <v>0</v>
      </c>
      <c r="N9927">
        <f>HYPERLINK("https://www.wikidata.org/wiki/Q271887", "Q271887")</f>
        <v>0</v>
      </c>
      <c r="O9927" t="s">
        <v>20062</v>
      </c>
    </row>
    <row r="9928" spans="1:15">
      <c r="A9928" t="s">
        <v>95</v>
      </c>
      <c r="B9928" t="s">
        <v>149</v>
      </c>
      <c r="C9928" t="s">
        <v>227</v>
      </c>
      <c r="D9928" t="s">
        <v>356</v>
      </c>
      <c r="E9928" t="s">
        <v>472</v>
      </c>
      <c r="F9928">
        <f>HYPERLINK("https://www.wikidata.org/wiki/Q290305", "Q290305")</f>
        <v>0</v>
      </c>
      <c r="G9928" t="s">
        <v>875</v>
      </c>
      <c r="H9928" t="s">
        <v>5631</v>
      </c>
      <c r="I9928" t="s">
        <v>9476</v>
      </c>
      <c r="J9928" t="s">
        <v>11621</v>
      </c>
      <c r="K9928" t="s">
        <v>16023</v>
      </c>
      <c r="L9928">
        <f>HYPERLINK("https://www2.assemblee-nationale.fr/sycomore/fiche/(num_dept)/749", "749")</f>
        <v>0</v>
      </c>
      <c r="M9928">
        <f>HYPERLINK("https://www.senat.fr/senateur-3eme-republique/besnard_rene0300r3.html", "besnard_rene0300r3")</f>
        <v>0</v>
      </c>
      <c r="N9928">
        <f>HYPERLINK("https://www.wikidata.org/wiki/Q3425839", "Q3425839")</f>
        <v>0</v>
      </c>
      <c r="O9928" t="s">
        <v>20065</v>
      </c>
    </row>
    <row r="9929" spans="1:15">
      <c r="A9929" t="s">
        <v>95</v>
      </c>
      <c r="B9929" t="s">
        <v>149</v>
      </c>
      <c r="C9929" t="s">
        <v>227</v>
      </c>
      <c r="D9929" t="s">
        <v>356</v>
      </c>
      <c r="E9929" t="s">
        <v>472</v>
      </c>
      <c r="F9929">
        <f>HYPERLINK("https://www.wikidata.org/wiki/Q290305", "Q290305")</f>
        <v>0</v>
      </c>
      <c r="G9929" t="s">
        <v>546</v>
      </c>
      <c r="H9929" t="s">
        <v>5309</v>
      </c>
      <c r="I9929" t="s">
        <v>9405</v>
      </c>
      <c r="J9929" t="s">
        <v>11298</v>
      </c>
      <c r="K9929" t="s">
        <v>15698</v>
      </c>
      <c r="L9929">
        <f>HYPERLINK("https://www2.assemblee-nationale.fr/sycomore/fiche/(num_dept)/1076", "1076")</f>
        <v>0</v>
      </c>
      <c r="N9929">
        <f>HYPERLINK("https://www.wikidata.org/wiki/Q3587968", "Q3587968")</f>
        <v>0</v>
      </c>
      <c r="O9929" t="s">
        <v>20054</v>
      </c>
    </row>
    <row r="9930" spans="1:15">
      <c r="A9930" t="s">
        <v>95</v>
      </c>
      <c r="B9930" t="s">
        <v>149</v>
      </c>
      <c r="C9930" t="s">
        <v>227</v>
      </c>
      <c r="D9930" t="s">
        <v>356</v>
      </c>
      <c r="E9930" t="s">
        <v>472</v>
      </c>
      <c r="F9930">
        <f>HYPERLINK("https://www.wikidata.org/wiki/Q290305", "Q290305")</f>
        <v>0</v>
      </c>
      <c r="G9930" t="s">
        <v>3373</v>
      </c>
      <c r="H9930" t="s">
        <v>7083</v>
      </c>
      <c r="I9930" t="s">
        <v>5528</v>
      </c>
      <c r="J9930" t="s">
        <v>13985</v>
      </c>
      <c r="K9930" t="s">
        <v>18353</v>
      </c>
      <c r="L9930">
        <f>HYPERLINK("https://www2.assemblee-nationale.fr/sycomore/fiche/(num_dept)/1083", "1083")</f>
        <v>0</v>
      </c>
      <c r="M9930">
        <f>HYPERLINK("https://www.senat.fr/senateur-3eme-republique/bourgeois_leon0647r3.html", "bourgeois_leon0647r3")</f>
        <v>0</v>
      </c>
      <c r="N9930">
        <f>HYPERLINK("https://www.wikidata.org/wiki/Q217706", "Q217706")</f>
        <v>0</v>
      </c>
      <c r="O9930" t="s">
        <v>20320</v>
      </c>
    </row>
    <row r="9931" spans="1:15">
      <c r="A9931" t="s">
        <v>95</v>
      </c>
      <c r="B9931" t="s">
        <v>149</v>
      </c>
      <c r="C9931" t="s">
        <v>227</v>
      </c>
      <c r="D9931" t="s">
        <v>356</v>
      </c>
      <c r="E9931" t="s">
        <v>472</v>
      </c>
      <c r="F9931">
        <f>HYPERLINK("https://www.wikidata.org/wiki/Q290305", "Q290305")</f>
        <v>0</v>
      </c>
      <c r="G9931" t="s">
        <v>552</v>
      </c>
      <c r="H9931" t="s">
        <v>5315</v>
      </c>
      <c r="I9931" t="s">
        <v>9410</v>
      </c>
      <c r="J9931" t="s">
        <v>11303</v>
      </c>
      <c r="K9931" t="s">
        <v>15704</v>
      </c>
      <c r="L9931">
        <f>HYPERLINK("https://www2.assemblee-nationale.fr/sycomore/fiche/(num_dept)/1203", "1203")</f>
        <v>0</v>
      </c>
      <c r="M9931">
        <f>HYPERLINK("https://www.senat.fr/senateur-3eme-republique/breton_jules0441r3.html", "breton_jules0441r3")</f>
        <v>0</v>
      </c>
      <c r="N9931">
        <f>HYPERLINK("https://www.wikidata.org/wiki/Q3188368", "Q3188368")</f>
        <v>0</v>
      </c>
      <c r="O9931" t="s">
        <v>20152</v>
      </c>
    </row>
    <row r="9932" spans="1:15">
      <c r="A9932" t="s">
        <v>95</v>
      </c>
      <c r="B9932" t="s">
        <v>149</v>
      </c>
      <c r="C9932" t="s">
        <v>227</v>
      </c>
      <c r="D9932" t="s">
        <v>356</v>
      </c>
      <c r="E9932" t="s">
        <v>472</v>
      </c>
      <c r="F9932">
        <f>HYPERLINK("https://www.wikidata.org/wiki/Q290305", "Q290305")</f>
        <v>0</v>
      </c>
      <c r="G9932" t="s">
        <v>573</v>
      </c>
      <c r="H9932" t="s">
        <v>5336</v>
      </c>
      <c r="I9932" t="s">
        <v>9385</v>
      </c>
      <c r="J9932" t="s">
        <v>11324</v>
      </c>
      <c r="K9932" t="s">
        <v>15725</v>
      </c>
      <c r="L9932">
        <f>HYPERLINK("https://www2.assemblee-nationale.fr/sycomore/fiche/(num_dept)/1716", "1716")</f>
        <v>0</v>
      </c>
      <c r="M9932">
        <f>HYPERLINK("https://www.senat.fr/senateur-3eme-republique/chaumet_jean0195r3.html", "chaumet_jean0195r3")</f>
        <v>0</v>
      </c>
      <c r="N9932">
        <f>HYPERLINK("https://www.wikidata.org/wiki/Q2958718", "Q2958718")</f>
        <v>0</v>
      </c>
      <c r="O9932" t="s">
        <v>20053</v>
      </c>
    </row>
    <row r="9933" spans="1:15">
      <c r="A9933" t="s">
        <v>95</v>
      </c>
      <c r="B9933" t="s">
        <v>149</v>
      </c>
      <c r="C9933" t="s">
        <v>227</v>
      </c>
      <c r="D9933" t="s">
        <v>356</v>
      </c>
      <c r="E9933" t="s">
        <v>472</v>
      </c>
      <c r="F9933">
        <f>HYPERLINK("https://www.wikidata.org/wiki/Q290305", "Q290305")</f>
        <v>0</v>
      </c>
      <c r="G9933" t="s">
        <v>579</v>
      </c>
      <c r="H9933" t="s">
        <v>5341</v>
      </c>
      <c r="I9933" t="s">
        <v>5394</v>
      </c>
      <c r="J9933" t="s">
        <v>11330</v>
      </c>
      <c r="K9933" t="s">
        <v>15731</v>
      </c>
      <c r="L9933">
        <f>HYPERLINK("https://www2.assemblee-nationale.fr/sycomore/fiche/(num_dept)/1849", "1849")</f>
        <v>0</v>
      </c>
      <c r="M9933">
        <f>HYPERLINK("https://www.senat.fr/senateur-3eme-republique/clementel_etienne1006r3.html", "clementel_etienne1006r3")</f>
        <v>0</v>
      </c>
      <c r="N9933">
        <f>HYPERLINK("https://www.wikidata.org/wiki/Q3592114", "Q3592114")</f>
        <v>0</v>
      </c>
      <c r="O9933" t="s">
        <v>20321</v>
      </c>
    </row>
    <row r="9934" spans="1:15">
      <c r="A9934" t="s">
        <v>95</v>
      </c>
      <c r="B9934" t="s">
        <v>149</v>
      </c>
      <c r="C9934" t="s">
        <v>227</v>
      </c>
      <c r="D9934" t="s">
        <v>356</v>
      </c>
      <c r="E9934" t="s">
        <v>472</v>
      </c>
      <c r="F9934">
        <f>HYPERLINK("https://www.wikidata.org/wiki/Q290305", "Q290305")</f>
        <v>0</v>
      </c>
      <c r="G9934" t="s">
        <v>597</v>
      </c>
      <c r="H9934" t="s">
        <v>5358</v>
      </c>
      <c r="I9934" t="s">
        <v>6584</v>
      </c>
      <c r="J9934" t="s">
        <v>11348</v>
      </c>
      <c r="K9934" t="s">
        <v>15749</v>
      </c>
      <c r="L9934">
        <f>HYPERLINK("https://www2.assemblee-nationale.fr/sycomore/fiche/(num_dept)/2110", "2110")</f>
        <v>0</v>
      </c>
      <c r="N9934">
        <f>HYPERLINK("https://www.wikidata.org/wiki/Q2831073", "Q2831073")</f>
        <v>0</v>
      </c>
      <c r="O9934" t="s">
        <v>20155</v>
      </c>
    </row>
    <row r="9935" spans="1:15">
      <c r="A9935" t="s">
        <v>95</v>
      </c>
      <c r="B9935" t="s">
        <v>149</v>
      </c>
      <c r="C9935" t="s">
        <v>227</v>
      </c>
      <c r="D9935" t="s">
        <v>356</v>
      </c>
      <c r="E9935" t="s">
        <v>472</v>
      </c>
      <c r="F9935">
        <f>HYPERLINK("https://www.wikidata.org/wiki/Q290305", "Q290305")</f>
        <v>0</v>
      </c>
      <c r="G9935" t="s">
        <v>600</v>
      </c>
      <c r="H9935" t="s">
        <v>5361</v>
      </c>
      <c r="I9935" t="s">
        <v>9446</v>
      </c>
      <c r="J9935" t="s">
        <v>11351</v>
      </c>
      <c r="K9935" t="s">
        <v>15752</v>
      </c>
      <c r="L9935">
        <f>HYPERLINK("https://www2.assemblee-nationale.fr/sycomore/fiche/(num_dept)/2171", "2171")</f>
        <v>0</v>
      </c>
      <c r="M9935">
        <f>HYPERLINK("https://www.senat.fr/senateur-3eme-republique/david_fernand1309r3.html", "david_fernand1309r3")</f>
        <v>0</v>
      </c>
      <c r="N9935">
        <f>HYPERLINK("https://www.wikidata.org/wiki/Q3069115", "Q3069115")</f>
        <v>0</v>
      </c>
      <c r="O9935" t="s">
        <v>20056</v>
      </c>
    </row>
    <row r="9936" spans="1:15">
      <c r="A9936" t="s">
        <v>95</v>
      </c>
      <c r="B9936" t="s">
        <v>149</v>
      </c>
      <c r="C9936" t="s">
        <v>227</v>
      </c>
      <c r="D9936" t="s">
        <v>356</v>
      </c>
      <c r="E9936" t="s">
        <v>472</v>
      </c>
      <c r="F9936">
        <f>HYPERLINK("https://www.wikidata.org/wiki/Q290305", "Q290305")</f>
        <v>0</v>
      </c>
      <c r="G9936" t="s">
        <v>3381</v>
      </c>
      <c r="H9936" t="s">
        <v>7773</v>
      </c>
      <c r="I9936" t="s">
        <v>9388</v>
      </c>
      <c r="J9936" t="s">
        <v>13991</v>
      </c>
      <c r="K9936" t="s">
        <v>18361</v>
      </c>
      <c r="L9936">
        <f>HYPERLINK("https://www2.assemblee-nationale.fr/sycomore/fiche/(num_dept)/2569", "2569")</f>
        <v>0</v>
      </c>
      <c r="M9936">
        <f>HYPERLINK("https://www.senat.fr/senateur-3eme-republique/doumer_paul0473r3.html", "doumer_paul0473r3")</f>
        <v>0</v>
      </c>
      <c r="N9936">
        <f>HYPERLINK("https://www.wikidata.org/wiki/Q12680", "Q12680")</f>
        <v>0</v>
      </c>
      <c r="O9936" t="s">
        <v>20320</v>
      </c>
    </row>
    <row r="9937" spans="1:15">
      <c r="A9937" t="s">
        <v>95</v>
      </c>
      <c r="B9937" t="s">
        <v>149</v>
      </c>
      <c r="C9937" t="s">
        <v>227</v>
      </c>
      <c r="D9937" t="s">
        <v>356</v>
      </c>
      <c r="E9937" t="s">
        <v>472</v>
      </c>
      <c r="F9937">
        <f>HYPERLINK("https://www.wikidata.org/wiki/Q290305", "Q290305")</f>
        <v>0</v>
      </c>
      <c r="G9937" t="s">
        <v>625</v>
      </c>
      <c r="H9937" t="s">
        <v>5385</v>
      </c>
      <c r="I9937" t="s">
        <v>9460</v>
      </c>
      <c r="J9937" t="s">
        <v>11375</v>
      </c>
      <c r="K9937" t="s">
        <v>15777</v>
      </c>
      <c r="L9937">
        <f>HYPERLINK("https://www2.assemblee-nationale.fr/sycomore/fiche/(num_dept)/2699", "2699")</f>
        <v>0</v>
      </c>
      <c r="M9937">
        <f>HYPERLINK("https://www.senat.fr/senateur-3eme-republique/dumesnil_jacques1613r3.html", "dumesnil_jacques1613r3")</f>
        <v>0</v>
      </c>
      <c r="N9937">
        <f>HYPERLINK("https://www.wikidata.org/wiki/Q3157989", "Q3157989")</f>
        <v>0</v>
      </c>
      <c r="O9937" t="s">
        <v>20218</v>
      </c>
    </row>
    <row r="9938" spans="1:15">
      <c r="A9938" t="s">
        <v>95</v>
      </c>
      <c r="B9938" t="s">
        <v>149</v>
      </c>
      <c r="C9938" t="s">
        <v>227</v>
      </c>
      <c r="D9938" t="s">
        <v>356</v>
      </c>
      <c r="E9938" t="s">
        <v>472</v>
      </c>
      <c r="F9938">
        <f>HYPERLINK("https://www.wikidata.org/wiki/Q290305", "Q290305")</f>
        <v>0</v>
      </c>
      <c r="G9938" t="s">
        <v>966</v>
      </c>
      <c r="H9938" t="s">
        <v>5718</v>
      </c>
      <c r="I9938" t="s">
        <v>9605</v>
      </c>
      <c r="J9938" t="s">
        <v>11705</v>
      </c>
      <c r="K9938" t="s">
        <v>16108</v>
      </c>
      <c r="L9938">
        <f>HYPERLINK("https://www2.assemblee-nationale.fr/sycomore/fiche/(num_dept)/3460", "3460")</f>
        <v>0</v>
      </c>
      <c r="M9938">
        <f>HYPERLINK("https://www.senat.fr/senateur-3eme-republique/godart_justin1138r3.html", "godart_justin1138r3")</f>
        <v>0</v>
      </c>
      <c r="N9938">
        <f>HYPERLINK("https://www.wikidata.org/wiki/Q3190446", "Q3190446")</f>
        <v>0</v>
      </c>
      <c r="O9938" t="s">
        <v>20156</v>
      </c>
    </row>
    <row r="9939" spans="1:15">
      <c r="A9939" t="s">
        <v>95</v>
      </c>
      <c r="B9939" t="s">
        <v>149</v>
      </c>
      <c r="C9939" t="s">
        <v>227</v>
      </c>
      <c r="D9939" t="s">
        <v>356</v>
      </c>
      <c r="E9939" t="s">
        <v>472</v>
      </c>
      <c r="F9939">
        <f>HYPERLINK("https://www.wikidata.org/wiki/Q290305", "Q290305")</f>
        <v>0</v>
      </c>
      <c r="G9939" t="s">
        <v>696</v>
      </c>
      <c r="H9939" t="s">
        <v>5454</v>
      </c>
      <c r="I9939" t="s">
        <v>9484</v>
      </c>
      <c r="J9939" t="s">
        <v>11446</v>
      </c>
      <c r="K9939" t="s">
        <v>15847</v>
      </c>
      <c r="L9939">
        <f>HYPERLINK("https://www2.assemblee-nationale.fr/sycomore/fiche/(num_dept)/4148", "4148")</f>
        <v>0</v>
      </c>
      <c r="M9939">
        <f>HYPERLINK("https://www.senat.fr/senateur-3eme-republique/klotz_louis1683r3.html", "klotz_louis1683r3")</f>
        <v>0</v>
      </c>
      <c r="N9939">
        <f>HYPERLINK("https://www.wikidata.org/wiki/Q179586", "Q179586")</f>
        <v>0</v>
      </c>
      <c r="O9939" t="s">
        <v>20066</v>
      </c>
    </row>
    <row r="9940" spans="1:15">
      <c r="A9940" t="s">
        <v>95</v>
      </c>
      <c r="B9940" t="s">
        <v>149</v>
      </c>
      <c r="C9940" t="s">
        <v>227</v>
      </c>
      <c r="D9940" t="s">
        <v>356</v>
      </c>
      <c r="E9940" t="s">
        <v>472</v>
      </c>
      <c r="F9940">
        <f>HYPERLINK("https://www.wikidata.org/wiki/Q290305", "Q290305")</f>
        <v>0</v>
      </c>
      <c r="G9940" t="s">
        <v>1517</v>
      </c>
      <c r="H9940" t="s">
        <v>6213</v>
      </c>
      <c r="I9940" t="s">
        <v>6495</v>
      </c>
      <c r="J9940" t="s">
        <v>12234</v>
      </c>
      <c r="K9940" t="s">
        <v>16640</v>
      </c>
      <c r="L9940">
        <f>HYPERLINK("https://www2.assemblee-nationale.fr/sycomore/fiche/(num_dept)/4823", "4823")</f>
        <v>0</v>
      </c>
      <c r="N9940">
        <f>HYPERLINK("https://www.wikidata.org/wiki/Q2788498", "Q2788498")</f>
        <v>0</v>
      </c>
      <c r="O9940" t="s">
        <v>20162</v>
      </c>
    </row>
    <row r="9941" spans="1:15">
      <c r="A9941" t="s">
        <v>95</v>
      </c>
      <c r="B9941" t="s">
        <v>149</v>
      </c>
      <c r="C9941" t="s">
        <v>227</v>
      </c>
      <c r="D9941" t="s">
        <v>356</v>
      </c>
      <c r="E9941" t="s">
        <v>472</v>
      </c>
      <c r="F9941">
        <f>HYPERLINK("https://www.wikidata.org/wiki/Q290305", "Q290305")</f>
        <v>0</v>
      </c>
      <c r="G9941" t="s">
        <v>730</v>
      </c>
      <c r="H9941" t="s">
        <v>5488</v>
      </c>
      <c r="I9941" t="s">
        <v>6584</v>
      </c>
      <c r="J9941" t="s">
        <v>11479</v>
      </c>
      <c r="K9941" t="s">
        <v>15881</v>
      </c>
      <c r="L9941">
        <f>HYPERLINK("https://www2.assemblee-nationale.fr/sycomore/fiche/(num_dept)/5228", "5228")</f>
        <v>0</v>
      </c>
      <c r="N9941">
        <f>HYPERLINK("https://www.wikidata.org/wiki/Q2831425", "Q2831425")</f>
        <v>0</v>
      </c>
      <c r="O9941" t="s">
        <v>20322</v>
      </c>
    </row>
    <row r="9942" spans="1:15">
      <c r="A9942" t="s">
        <v>95</v>
      </c>
      <c r="B9942" t="s">
        <v>149</v>
      </c>
      <c r="C9942" t="s">
        <v>227</v>
      </c>
      <c r="D9942" t="s">
        <v>356</v>
      </c>
      <c r="E9942" t="s">
        <v>472</v>
      </c>
      <c r="F9942">
        <f>HYPERLINK("https://www.wikidata.org/wiki/Q290305", "Q290305")</f>
        <v>0</v>
      </c>
      <c r="G9942" t="s">
        <v>738</v>
      </c>
      <c r="H9942" t="s">
        <v>5496</v>
      </c>
      <c r="I9942" t="s">
        <v>9503</v>
      </c>
      <c r="J9942" t="s">
        <v>11487</v>
      </c>
      <c r="K9942" t="s">
        <v>15889</v>
      </c>
      <c r="L9942">
        <f>HYPERLINK("https://www2.assemblee-nationale.fr/sycomore/fiche/(num_dept)/5394", "5394")</f>
        <v>0</v>
      </c>
      <c r="M9942">
        <f>HYPERLINK("https://www.senat.fr/senateur-3eme-republique/de_monzie_anatole0605r3.html", "de_monzie_anatole0605r3")</f>
        <v>0</v>
      </c>
      <c r="N9942">
        <f>HYPERLINK("https://www.wikidata.org/wiki/Q2845619", "Q2845619")</f>
        <v>0</v>
      </c>
      <c r="O9942" t="s">
        <v>20323</v>
      </c>
    </row>
    <row r="9943" spans="1:15">
      <c r="A9943" t="s">
        <v>95</v>
      </c>
      <c r="B9943" t="s">
        <v>149</v>
      </c>
      <c r="C9943" t="s">
        <v>227</v>
      </c>
      <c r="D9943" t="s">
        <v>356</v>
      </c>
      <c r="E9943" t="s">
        <v>472</v>
      </c>
      <c r="F9943">
        <f>HYPERLINK("https://www.wikidata.org/wiki/Q290305", "Q290305")</f>
        <v>0</v>
      </c>
      <c r="G9943" t="s">
        <v>740</v>
      </c>
      <c r="H9943" t="s">
        <v>5498</v>
      </c>
      <c r="I9943" t="s">
        <v>9388</v>
      </c>
      <c r="J9943" t="s">
        <v>11489</v>
      </c>
      <c r="K9943" t="s">
        <v>15891</v>
      </c>
      <c r="L9943">
        <f>HYPERLINK("https://www2.assemblee-nationale.fr/sycomore/fiche/(num_dept)/5413", "5413")</f>
        <v>0</v>
      </c>
      <c r="N9943">
        <f>HYPERLINK("https://www.wikidata.org/wiki/Q3371866", "Q3371866")</f>
        <v>0</v>
      </c>
      <c r="O9943" t="s">
        <v>20324</v>
      </c>
    </row>
    <row r="9944" spans="1:15">
      <c r="A9944" t="s">
        <v>95</v>
      </c>
      <c r="B9944" t="s">
        <v>149</v>
      </c>
      <c r="C9944" t="s">
        <v>227</v>
      </c>
      <c r="D9944" t="s">
        <v>356</v>
      </c>
      <c r="E9944" t="s">
        <v>472</v>
      </c>
      <c r="F9944">
        <f>HYPERLINK("https://www.wikidata.org/wiki/Q290305", "Q290305")</f>
        <v>0</v>
      </c>
      <c r="G9944" t="s">
        <v>1279</v>
      </c>
      <c r="H9944" t="s">
        <v>6002</v>
      </c>
      <c r="I9944" t="s">
        <v>6495</v>
      </c>
      <c r="J9944" t="s">
        <v>12009</v>
      </c>
      <c r="K9944" t="s">
        <v>16412</v>
      </c>
      <c r="L9944">
        <f>HYPERLINK("https://www2.assemblee-nationale.fr/sycomore/fiche/(num_dept)/5456", "5456")</f>
        <v>0</v>
      </c>
      <c r="M9944">
        <f>HYPERLINK("https://www.senat.fr/senateur-3eme-republique/mourier_louis0823r3.html", "mourier_louis0823r3")</f>
        <v>0</v>
      </c>
      <c r="N9944">
        <f>HYPERLINK("https://www.wikidata.org/wiki/Q1871877", "Q1871877")</f>
        <v>0</v>
      </c>
      <c r="O9944" t="s">
        <v>20325</v>
      </c>
    </row>
    <row r="9945" spans="1:15">
      <c r="A9945" t="s">
        <v>95</v>
      </c>
      <c r="B9945" t="s">
        <v>149</v>
      </c>
      <c r="C9945" t="s">
        <v>227</v>
      </c>
      <c r="D9945" t="s">
        <v>356</v>
      </c>
      <c r="E9945" t="s">
        <v>472</v>
      </c>
      <c r="F9945">
        <f>HYPERLINK("https://www.wikidata.org/wiki/Q290305", "Q290305")</f>
        <v>0</v>
      </c>
      <c r="G9945" t="s">
        <v>1017</v>
      </c>
      <c r="H9945" t="s">
        <v>5767</v>
      </c>
      <c r="I9945" t="s">
        <v>9388</v>
      </c>
      <c r="J9945" t="s">
        <v>11754</v>
      </c>
      <c r="K9945" t="s">
        <v>16157</v>
      </c>
      <c r="L9945">
        <f>HYPERLINK("https://www2.assemblee-nationale.fr/sycomore/fiche/(num_dept)/5653", "5653")</f>
        <v>0</v>
      </c>
      <c r="N9945">
        <f>HYPERLINK("https://www.wikidata.org/wiki/Q315434", "Q315434")</f>
        <v>0</v>
      </c>
      <c r="O9945" t="s">
        <v>20057</v>
      </c>
    </row>
    <row r="9946" spans="1:15">
      <c r="A9946" t="s">
        <v>95</v>
      </c>
      <c r="B9946" t="s">
        <v>149</v>
      </c>
      <c r="C9946" t="s">
        <v>227</v>
      </c>
      <c r="D9946" t="s">
        <v>356</v>
      </c>
      <c r="E9946" t="s">
        <v>472</v>
      </c>
      <c r="F9946">
        <f>HYPERLINK("https://www.wikidata.org/wiki/Q290305", "Q290305")</f>
        <v>0</v>
      </c>
      <c r="G9946" t="s">
        <v>1017</v>
      </c>
      <c r="H9946" t="s">
        <v>5767</v>
      </c>
      <c r="I9946" t="s">
        <v>9388</v>
      </c>
      <c r="J9946" t="s">
        <v>11754</v>
      </c>
      <c r="K9946" t="s">
        <v>16157</v>
      </c>
      <c r="L9946">
        <f>HYPERLINK("https://www2.assemblee-nationale.fr/sycomore/fiche/(num_dept)/5653", "5653")</f>
        <v>0</v>
      </c>
      <c r="N9946">
        <f>HYPERLINK("https://www.wikidata.org/wiki/Q315434", "Q315434")</f>
        <v>0</v>
      </c>
      <c r="O9946" t="s">
        <v>20052</v>
      </c>
    </row>
    <row r="9947" spans="1:15">
      <c r="A9947" t="s">
        <v>95</v>
      </c>
      <c r="B9947" t="s">
        <v>149</v>
      </c>
      <c r="C9947" t="s">
        <v>227</v>
      </c>
      <c r="D9947" t="s">
        <v>356</v>
      </c>
      <c r="E9947" t="s">
        <v>472</v>
      </c>
      <c r="F9947">
        <f>HYPERLINK("https://www.wikidata.org/wiki/Q290305", "Q290305")</f>
        <v>0</v>
      </c>
      <c r="G9947" t="s">
        <v>755</v>
      </c>
      <c r="H9947" t="s">
        <v>5513</v>
      </c>
      <c r="I9947" t="s">
        <v>9500</v>
      </c>
      <c r="J9947" t="s">
        <v>11503</v>
      </c>
      <c r="K9947" t="s">
        <v>15906</v>
      </c>
      <c r="L9947">
        <f>HYPERLINK("https://www2.assemblee-nationale.fr/sycomore/fiche/(num_dept)/5779", "5779")</f>
        <v>0</v>
      </c>
      <c r="M9947">
        <f>HYPERLINK("https://www.senat.fr/senateur-3eme-republique/peret_raoul1766r3.html", "peret_raoul1766r3")</f>
        <v>0</v>
      </c>
      <c r="N9947">
        <f>HYPERLINK("https://www.wikidata.org/wiki/Q3419252", "Q3419252")</f>
        <v>0</v>
      </c>
      <c r="O9947" t="s">
        <v>20064</v>
      </c>
    </row>
    <row r="9948" spans="1:15">
      <c r="A9948" t="s">
        <v>95</v>
      </c>
      <c r="B9948" t="s">
        <v>149</v>
      </c>
      <c r="C9948" t="s">
        <v>227</v>
      </c>
      <c r="D9948" t="s">
        <v>356</v>
      </c>
      <c r="E9948" t="s">
        <v>472</v>
      </c>
      <c r="F9948">
        <f>HYPERLINK("https://www.wikidata.org/wiki/Q290305", "Q290305")</f>
        <v>0</v>
      </c>
      <c r="G9948" t="s">
        <v>1107</v>
      </c>
      <c r="H9948" t="s">
        <v>5848</v>
      </c>
      <c r="I9948" t="s">
        <v>9483</v>
      </c>
      <c r="J9948" t="s">
        <v>11841</v>
      </c>
      <c r="K9948" t="s">
        <v>16243</v>
      </c>
      <c r="L9948">
        <f>HYPERLINK("https://www2.assemblee-nationale.fr/sycomore/fiche/(num_dept)/5874", "5874")</f>
        <v>0</v>
      </c>
      <c r="M9948">
        <f>HYPERLINK("https://www.senat.fr/senateur-3eme-republique/peytral_victor0076r3.html", "peytral_victor0076r3")</f>
        <v>0</v>
      </c>
      <c r="N9948">
        <f>HYPERLINK("https://www.wikidata.org/wiki/Q3557505", "Q3557505")</f>
        <v>0</v>
      </c>
      <c r="O9948" t="s">
        <v>20068</v>
      </c>
    </row>
    <row r="9949" spans="1:15">
      <c r="A9949" t="s">
        <v>95</v>
      </c>
      <c r="B9949" t="s">
        <v>149</v>
      </c>
      <c r="C9949" t="s">
        <v>227</v>
      </c>
      <c r="D9949" t="s">
        <v>356</v>
      </c>
      <c r="E9949" t="s">
        <v>472</v>
      </c>
      <c r="F9949">
        <f>HYPERLINK("https://www.wikidata.org/wiki/Q290305", "Q290305")</f>
        <v>0</v>
      </c>
      <c r="G9949" t="s">
        <v>768</v>
      </c>
      <c r="H9949" t="s">
        <v>5526</v>
      </c>
      <c r="I9949" t="s">
        <v>5349</v>
      </c>
      <c r="J9949" t="s">
        <v>11515</v>
      </c>
      <c r="K9949" t="s">
        <v>15919</v>
      </c>
      <c r="L9949">
        <f>HYPERLINK("https://www2.assemblee-nationale.fr/sycomore/fiche/(num_dept)/6044", "6044")</f>
        <v>0</v>
      </c>
      <c r="N9949">
        <f>HYPERLINK("https://www.wikidata.org/wiki/Q2994888", "Q2994888")</f>
        <v>0</v>
      </c>
      <c r="O9949" t="s">
        <v>20326</v>
      </c>
    </row>
    <row r="9950" spans="1:15">
      <c r="A9950" t="s">
        <v>95</v>
      </c>
      <c r="B9950" t="s">
        <v>149</v>
      </c>
      <c r="C9950" t="s">
        <v>227</v>
      </c>
      <c r="D9950" t="s">
        <v>356</v>
      </c>
      <c r="E9950" t="s">
        <v>472</v>
      </c>
      <c r="F9950">
        <f>HYPERLINK("https://www.wikidata.org/wiki/Q290305", "Q290305")</f>
        <v>0</v>
      </c>
      <c r="G9950" t="s">
        <v>2671</v>
      </c>
      <c r="H9950" t="s">
        <v>7208</v>
      </c>
      <c r="I9950" t="s">
        <v>9553</v>
      </c>
      <c r="J9950" t="s">
        <v>13312</v>
      </c>
      <c r="K9950" t="s">
        <v>17712</v>
      </c>
      <c r="L9950">
        <f>HYPERLINK("https://www2.assemblee-nationale.fr/sycomore/fiche/(num_dept)/6727", "6727")</f>
        <v>0</v>
      </c>
      <c r="M9950">
        <f>HYPERLINK("https://www.senat.fr/senateur-3eme-republique/ribot_alexandre0941r3.html", "ribot_alexandre0941r3")</f>
        <v>0</v>
      </c>
      <c r="N9950">
        <f>HYPERLINK("https://www.wikidata.org/wiki/Q358387", "Q358387")</f>
        <v>0</v>
      </c>
      <c r="O9950" t="s">
        <v>20062</v>
      </c>
    </row>
    <row r="9951" spans="1:15">
      <c r="A9951" t="s">
        <v>95</v>
      </c>
      <c r="B9951" t="s">
        <v>149</v>
      </c>
      <c r="C9951" t="s">
        <v>227</v>
      </c>
      <c r="D9951" t="s">
        <v>356</v>
      </c>
      <c r="E9951" t="s">
        <v>472</v>
      </c>
      <c r="F9951">
        <f>HYPERLINK("https://www.wikidata.org/wiki/Q290305", "Q290305")</f>
        <v>0</v>
      </c>
      <c r="G9951" t="s">
        <v>814</v>
      </c>
      <c r="H9951" t="s">
        <v>5571</v>
      </c>
      <c r="I9951" t="s">
        <v>9533</v>
      </c>
      <c r="J9951" t="s">
        <v>11561</v>
      </c>
      <c r="K9951" t="s">
        <v>15965</v>
      </c>
      <c r="L9951">
        <f>HYPERLINK("https://www2.assemblee-nationale.fr/sycomore/fiche/(num_dept)/6904", "6904")</f>
        <v>0</v>
      </c>
      <c r="M9951">
        <f>HYPERLINK("https://www.senat.fr/senateur-3eme-republique/steeg_theodore1554r3.html", "steeg_theodore1554r3")</f>
        <v>0</v>
      </c>
      <c r="N9951">
        <f>HYPERLINK("https://www.wikidata.org/wiki/Q717905", "Q717905")</f>
        <v>0</v>
      </c>
      <c r="O9951" t="s">
        <v>20058</v>
      </c>
    </row>
    <row r="9952" spans="1:15">
      <c r="A9952" t="s">
        <v>95</v>
      </c>
      <c r="B9952" t="s">
        <v>149</v>
      </c>
      <c r="C9952" t="s">
        <v>227</v>
      </c>
      <c r="D9952" t="s">
        <v>356</v>
      </c>
      <c r="E9952" t="s">
        <v>472</v>
      </c>
      <c r="F9952">
        <f>HYPERLINK("https://www.wikidata.org/wiki/Q290305", "Q290305")</f>
        <v>0</v>
      </c>
      <c r="G9952" t="s">
        <v>1067</v>
      </c>
      <c r="H9952" t="s">
        <v>5812</v>
      </c>
      <c r="I9952" t="s">
        <v>9488</v>
      </c>
      <c r="J9952" t="s">
        <v>11804</v>
      </c>
      <c r="K9952" t="s">
        <v>16204</v>
      </c>
      <c r="L9952">
        <f>HYPERLINK("https://www2.assemblee-nationale.fr/sycomore/fiche/(num_dept)/7361", "7361")</f>
        <v>0</v>
      </c>
      <c r="M9952">
        <f>HYPERLINK("https://www.senat.fr/senateur-3eme-republique/daniel_vincent_charles1382r3.html", "daniel_vincent_charles1382r3")</f>
        <v>0</v>
      </c>
      <c r="N9952">
        <f>HYPERLINK("https://www.wikidata.org/wiki/Q3014792", "Q3014792")</f>
        <v>0</v>
      </c>
      <c r="O9952" t="s">
        <v>20051</v>
      </c>
    </row>
    <row r="9953" spans="1:15">
      <c r="A9953" t="s">
        <v>95</v>
      </c>
      <c r="B9953" t="s">
        <v>149</v>
      </c>
      <c r="C9953" t="s">
        <v>227</v>
      </c>
      <c r="D9953" t="s">
        <v>356</v>
      </c>
      <c r="E9953" t="s">
        <v>472</v>
      </c>
      <c r="F9953">
        <f>HYPERLINK("https://www.wikidata.org/wiki/Q290305", "Q290305")</f>
        <v>0</v>
      </c>
      <c r="G9953" t="s">
        <v>1082</v>
      </c>
      <c r="H9953" t="s">
        <v>5826</v>
      </c>
      <c r="I9953" t="s">
        <v>7642</v>
      </c>
      <c r="J9953" t="s">
        <v>11818</v>
      </c>
      <c r="K9953" t="s">
        <v>16219</v>
      </c>
      <c r="L9953">
        <f>HYPERLINK("https://www2.assemblee-nationale.fr/sycomore/fiche/(num_dept)/7884", "7884")</f>
        <v>0</v>
      </c>
      <c r="N9953">
        <f>HYPERLINK("https://www.wikidata.org/wiki/Q692029", "Q692029")</f>
        <v>0</v>
      </c>
      <c r="O9953" t="s">
        <v>20327</v>
      </c>
    </row>
    <row r="9954" spans="1:15">
      <c r="A9954" t="s">
        <v>95</v>
      </c>
      <c r="B9954" t="s">
        <v>149</v>
      </c>
      <c r="C9954" t="s">
        <v>227</v>
      </c>
      <c r="D9954" t="s">
        <v>356</v>
      </c>
      <c r="E9954" t="s">
        <v>472</v>
      </c>
      <c r="F9954">
        <f>HYPERLINK("https://www.wikidata.org/wiki/Q290305", "Q290305")</f>
        <v>0</v>
      </c>
      <c r="G9954" t="s">
        <v>4240</v>
      </c>
      <c r="H9954" t="s">
        <v>5387</v>
      </c>
      <c r="I9954" t="s">
        <v>6200</v>
      </c>
      <c r="J9954" t="s">
        <v>14747</v>
      </c>
      <c r="K9954" t="s">
        <v>19092</v>
      </c>
      <c r="N9954">
        <f>HYPERLINK("https://www.wikidata.org/wiki/Q3171879", "Q3171879")</f>
        <v>0</v>
      </c>
      <c r="O9954" t="s">
        <v>20320</v>
      </c>
    </row>
    <row r="9955" spans="1:15">
      <c r="A9955" t="s">
        <v>95</v>
      </c>
      <c r="B9955" t="s">
        <v>149</v>
      </c>
      <c r="C9955" t="s">
        <v>227</v>
      </c>
      <c r="D9955" t="s">
        <v>356</v>
      </c>
      <c r="E9955" t="s">
        <v>472</v>
      </c>
      <c r="F9955">
        <f>HYPERLINK("https://www.wikidata.org/wiki/Q290305", "Q290305")</f>
        <v>0</v>
      </c>
      <c r="G9955" t="s">
        <v>4251</v>
      </c>
      <c r="H9955" t="s">
        <v>8421</v>
      </c>
      <c r="I9955" t="s">
        <v>11174</v>
      </c>
      <c r="J9955" t="s">
        <v>14755</v>
      </c>
      <c r="K9955" t="s">
        <v>19102</v>
      </c>
      <c r="M9955">
        <f>HYPERLINK("https://www.senat.fr/senateur-3eme-republique/claveille_albert0663r3.html", "claveille_albert0663r3")</f>
        <v>0</v>
      </c>
      <c r="N9955">
        <f>HYPERLINK("https://www.wikidata.org/wiki/Q2830877", "Q2830877")</f>
        <v>0</v>
      </c>
      <c r="O9955" t="s">
        <v>20228</v>
      </c>
    </row>
    <row r="9956" spans="1:15">
      <c r="A9956" t="s">
        <v>95</v>
      </c>
      <c r="B9956" t="s">
        <v>149</v>
      </c>
      <c r="C9956" t="s">
        <v>227</v>
      </c>
      <c r="D9956" t="s">
        <v>356</v>
      </c>
      <c r="E9956" t="s">
        <v>472</v>
      </c>
      <c r="F9956">
        <f>HYPERLINK("https://www.wikidata.org/wiki/Q290305", "Q290305")</f>
        <v>0</v>
      </c>
      <c r="G9956" t="s">
        <v>1049</v>
      </c>
      <c r="H9956" t="s">
        <v>5796</v>
      </c>
      <c r="I9956" t="s">
        <v>6585</v>
      </c>
      <c r="J9956" t="s">
        <v>11786</v>
      </c>
      <c r="K9956" t="s">
        <v>16187</v>
      </c>
      <c r="N9956">
        <f>HYPERLINK("https://www.wikidata.org/wiki/Q20661173", "Q20661173")</f>
        <v>0</v>
      </c>
      <c r="O9956" t="s">
        <v>20055</v>
      </c>
    </row>
    <row r="9957" spans="1:15">
      <c r="A9957" t="s">
        <v>96</v>
      </c>
      <c r="B9957" t="s">
        <v>149</v>
      </c>
      <c r="C9957" t="s">
        <v>228</v>
      </c>
      <c r="D9957" t="s">
        <v>357</v>
      </c>
      <c r="E9957" t="s">
        <v>473</v>
      </c>
      <c r="F9957">
        <f>HYPERLINK("https://www.wikidata.org/wiki/Q3112353", "Q3112353")</f>
        <v>0</v>
      </c>
      <c r="G9957" t="s">
        <v>860</v>
      </c>
      <c r="H9957" t="s">
        <v>5616</v>
      </c>
      <c r="I9957" t="s">
        <v>6585</v>
      </c>
      <c r="J9957" t="s">
        <v>11606</v>
      </c>
      <c r="K9957" t="s">
        <v>16008</v>
      </c>
      <c r="L9957">
        <f>HYPERLINK("https://www2.assemblee-nationale.fr/sycomore/fiche/(num_dept)/136", "136")</f>
        <v>0</v>
      </c>
      <c r="N9957">
        <f>HYPERLINK("https://www.wikidata.org/wiki/Q2847958", "Q2847958")</f>
        <v>0</v>
      </c>
      <c r="O9957" t="s">
        <v>20065</v>
      </c>
    </row>
    <row r="9958" spans="1:15">
      <c r="A9958" t="s">
        <v>96</v>
      </c>
      <c r="B9958" t="s">
        <v>149</v>
      </c>
      <c r="C9958" t="s">
        <v>228</v>
      </c>
      <c r="D9958" t="s">
        <v>357</v>
      </c>
      <c r="E9958" t="s">
        <v>473</v>
      </c>
      <c r="F9958">
        <f>HYPERLINK("https://www.wikidata.org/wiki/Q3112353", "Q3112353")</f>
        <v>0</v>
      </c>
      <c r="G9958" t="s">
        <v>1344</v>
      </c>
      <c r="H9958" t="s">
        <v>6062</v>
      </c>
      <c r="I9958" t="s">
        <v>6495</v>
      </c>
      <c r="J9958" t="s">
        <v>12071</v>
      </c>
      <c r="K9958" t="s">
        <v>16473</v>
      </c>
      <c r="L9958">
        <f>HYPERLINK("https://www2.assemblee-nationale.fr/sycomore/fiche/(num_dept)/157", "157")</f>
        <v>0</v>
      </c>
      <c r="N9958">
        <f>HYPERLINK("https://www.wikidata.org/wiki/Q3261084", "Q3261084")</f>
        <v>0</v>
      </c>
      <c r="O9958" t="s">
        <v>20088</v>
      </c>
    </row>
    <row r="9959" spans="1:15">
      <c r="A9959" t="s">
        <v>96</v>
      </c>
      <c r="B9959" t="s">
        <v>149</v>
      </c>
      <c r="C9959" t="s">
        <v>228</v>
      </c>
      <c r="D9959" t="s">
        <v>357</v>
      </c>
      <c r="E9959" t="s">
        <v>473</v>
      </c>
      <c r="F9959">
        <f>HYPERLINK("https://www.wikidata.org/wiki/Q3112353", "Q3112353")</f>
        <v>0</v>
      </c>
      <c r="G9959" t="s">
        <v>520</v>
      </c>
      <c r="H9959" t="s">
        <v>5284</v>
      </c>
      <c r="I9959" t="s">
        <v>9388</v>
      </c>
      <c r="J9959" t="s">
        <v>11272</v>
      </c>
      <c r="K9959" t="s">
        <v>15672</v>
      </c>
      <c r="L9959">
        <f>HYPERLINK("https://www2.assemblee-nationale.fr/sycomore/fiche/(num_dept)/608", "608")</f>
        <v>0</v>
      </c>
      <c r="M9959">
        <f>HYPERLINK("https://www.senat.fr/senateur-3eme-republique/benazet_paul_louis0281r3.html", "benazet_paul_louis0281r3")</f>
        <v>0</v>
      </c>
      <c r="N9959">
        <f>HYPERLINK("https://www.wikidata.org/wiki/Q3370779", "Q3370779")</f>
        <v>0</v>
      </c>
      <c r="O9959" t="s">
        <v>20280</v>
      </c>
    </row>
    <row r="9960" spans="1:15">
      <c r="A9960" t="s">
        <v>96</v>
      </c>
      <c r="B9960" t="s">
        <v>149</v>
      </c>
      <c r="C9960" t="s">
        <v>228</v>
      </c>
      <c r="D9960" t="s">
        <v>357</v>
      </c>
      <c r="E9960" t="s">
        <v>473</v>
      </c>
      <c r="F9960">
        <f>HYPERLINK("https://www.wikidata.org/wiki/Q3112353", "Q3112353")</f>
        <v>0</v>
      </c>
      <c r="G9960" t="s">
        <v>520</v>
      </c>
      <c r="H9960" t="s">
        <v>5284</v>
      </c>
      <c r="I9960" t="s">
        <v>9388</v>
      </c>
      <c r="J9960" t="s">
        <v>11272</v>
      </c>
      <c r="K9960" t="s">
        <v>15672</v>
      </c>
      <c r="L9960">
        <f>HYPERLINK("https://www2.assemblee-nationale.fr/sycomore/fiche/(num_dept)/608", "608")</f>
        <v>0</v>
      </c>
      <c r="M9960">
        <f>HYPERLINK("https://www.senat.fr/senateur-3eme-republique/benazet_paul_louis0281r3.html", "benazet_paul_louis0281r3")</f>
        <v>0</v>
      </c>
      <c r="N9960">
        <f>HYPERLINK("https://www.wikidata.org/wiki/Q3370779", "Q3370779")</f>
        <v>0</v>
      </c>
      <c r="O9960" t="s">
        <v>20328</v>
      </c>
    </row>
    <row r="9961" spans="1:15">
      <c r="A9961" t="s">
        <v>96</v>
      </c>
      <c r="B9961" t="s">
        <v>149</v>
      </c>
      <c r="C9961" t="s">
        <v>228</v>
      </c>
      <c r="D9961" t="s">
        <v>357</v>
      </c>
      <c r="E9961" t="s">
        <v>473</v>
      </c>
      <c r="F9961">
        <f>HYPERLINK("https://www.wikidata.org/wiki/Q3112353", "Q3112353")</f>
        <v>0</v>
      </c>
      <c r="G9961" t="s">
        <v>1725</v>
      </c>
      <c r="H9961" t="s">
        <v>6399</v>
      </c>
      <c r="I9961" t="s">
        <v>9437</v>
      </c>
      <c r="J9961" t="s">
        <v>12426</v>
      </c>
      <c r="K9961" t="s">
        <v>16834</v>
      </c>
      <c r="L9961">
        <f>HYPERLINK("https://www2.assemblee-nationale.fr/sycomore/fiche/(num_dept)/975", "975")</f>
        <v>0</v>
      </c>
      <c r="N9961">
        <f>HYPERLINK("https://www.wikidata.org/wiki/Q154356", "Q154356")</f>
        <v>0</v>
      </c>
      <c r="O9961" t="s">
        <v>20053</v>
      </c>
    </row>
    <row r="9962" spans="1:15">
      <c r="A9962" t="s">
        <v>96</v>
      </c>
      <c r="B9962" t="s">
        <v>149</v>
      </c>
      <c r="C9962" t="s">
        <v>228</v>
      </c>
      <c r="D9962" t="s">
        <v>357</v>
      </c>
      <c r="E9962" t="s">
        <v>473</v>
      </c>
      <c r="F9962">
        <f>HYPERLINK("https://www.wikidata.org/wiki/Q3112353", "Q3112353")</f>
        <v>0</v>
      </c>
      <c r="G9962" t="s">
        <v>553</v>
      </c>
      <c r="H9962" t="s">
        <v>5316</v>
      </c>
      <c r="I9962" t="s">
        <v>9411</v>
      </c>
      <c r="J9962" t="s">
        <v>11304</v>
      </c>
      <c r="K9962" t="s">
        <v>15705</v>
      </c>
      <c r="L9962">
        <f>HYPERLINK("https://www2.assemblee-nationale.fr/sycomore/fiche/(num_dept)/1211", "1211")</f>
        <v>0</v>
      </c>
      <c r="N9962">
        <f>HYPERLINK("https://www.wikidata.org/wiki/Q179888", "Q179888")</f>
        <v>0</v>
      </c>
      <c r="O9962" t="s">
        <v>20062</v>
      </c>
    </row>
    <row r="9963" spans="1:15">
      <c r="A9963" t="s">
        <v>96</v>
      </c>
      <c r="B9963" t="s">
        <v>149</v>
      </c>
      <c r="C9963" t="s">
        <v>228</v>
      </c>
      <c r="D9963" t="s">
        <v>357</v>
      </c>
      <c r="E9963" t="s">
        <v>473</v>
      </c>
      <c r="F9963">
        <f>HYPERLINK("https://www.wikidata.org/wiki/Q3112353", "Q3112353")</f>
        <v>0</v>
      </c>
      <c r="G9963" t="s">
        <v>560</v>
      </c>
      <c r="H9963" t="s">
        <v>5323</v>
      </c>
      <c r="I9963" t="s">
        <v>9407</v>
      </c>
      <c r="J9963" t="s">
        <v>11311</v>
      </c>
      <c r="K9963" t="s">
        <v>15712</v>
      </c>
      <c r="L9963">
        <f>HYPERLINK("https://www2.assemblee-nationale.fr/sycomore/fiche/(num_dept)/1366", "1366")</f>
        <v>0</v>
      </c>
      <c r="M9963">
        <f>HYPERLINK("https://www.senat.fr/senateur-3eme-republique/caillaux_joseph1254r3.html", "caillaux_joseph1254r3")</f>
        <v>0</v>
      </c>
      <c r="N9963">
        <f>HYPERLINK("https://www.wikidata.org/wiki/Q450463", "Q450463")</f>
        <v>0</v>
      </c>
      <c r="O9963" t="s">
        <v>20066</v>
      </c>
    </row>
    <row r="9964" spans="1:15">
      <c r="A9964" t="s">
        <v>96</v>
      </c>
      <c r="B9964" t="s">
        <v>149</v>
      </c>
      <c r="C9964" t="s">
        <v>228</v>
      </c>
      <c r="D9964" t="s">
        <v>357</v>
      </c>
      <c r="E9964" t="s">
        <v>473</v>
      </c>
      <c r="F9964">
        <f>HYPERLINK("https://www.wikidata.org/wiki/Q3112353", "Q3112353")</f>
        <v>0</v>
      </c>
      <c r="G9964" t="s">
        <v>573</v>
      </c>
      <c r="H9964" t="s">
        <v>5336</v>
      </c>
      <c r="I9964" t="s">
        <v>9385</v>
      </c>
      <c r="J9964" t="s">
        <v>11324</v>
      </c>
      <c r="K9964" t="s">
        <v>15725</v>
      </c>
      <c r="L9964">
        <f>HYPERLINK("https://www2.assemblee-nationale.fr/sycomore/fiche/(num_dept)/1716", "1716")</f>
        <v>0</v>
      </c>
      <c r="M9964">
        <f>HYPERLINK("https://www.senat.fr/senateur-3eme-republique/chaumet_jean0195r3.html", "chaumet_jean0195r3")</f>
        <v>0</v>
      </c>
      <c r="N9964">
        <f>HYPERLINK("https://www.wikidata.org/wiki/Q2958718", "Q2958718")</f>
        <v>0</v>
      </c>
      <c r="O9964" t="s">
        <v>20110</v>
      </c>
    </row>
    <row r="9965" spans="1:15">
      <c r="A9965" t="s">
        <v>96</v>
      </c>
      <c r="B9965" t="s">
        <v>149</v>
      </c>
      <c r="C9965" t="s">
        <v>228</v>
      </c>
      <c r="D9965" t="s">
        <v>357</v>
      </c>
      <c r="E9965" t="s">
        <v>473</v>
      </c>
      <c r="F9965">
        <f>HYPERLINK("https://www.wikidata.org/wiki/Q3112353", "Q3112353")</f>
        <v>0</v>
      </c>
      <c r="G9965" t="s">
        <v>920</v>
      </c>
      <c r="H9965" t="s">
        <v>5676</v>
      </c>
      <c r="I9965" t="s">
        <v>9385</v>
      </c>
      <c r="J9965" t="s">
        <v>11662</v>
      </c>
      <c r="K9965" t="s">
        <v>16063</v>
      </c>
      <c r="L9965">
        <f>HYPERLINK("https://www2.assemblee-nationale.fr/sycomore/fiche/(num_dept)/2124", "2124")</f>
        <v>0</v>
      </c>
      <c r="N9965">
        <f>HYPERLINK("https://www.wikidata.org/wiki/Q2958846", "Q2958846")</f>
        <v>0</v>
      </c>
      <c r="O9965" t="s">
        <v>20282</v>
      </c>
    </row>
    <row r="9966" spans="1:15">
      <c r="A9966" t="s">
        <v>96</v>
      </c>
      <c r="B9966" t="s">
        <v>149</v>
      </c>
      <c r="C9966" t="s">
        <v>228</v>
      </c>
      <c r="D9966" t="s">
        <v>357</v>
      </c>
      <c r="E9966" t="s">
        <v>473</v>
      </c>
      <c r="F9966">
        <f>HYPERLINK("https://www.wikidata.org/wiki/Q3112353", "Q3112353")</f>
        <v>0</v>
      </c>
      <c r="G9966" t="s">
        <v>1778</v>
      </c>
      <c r="H9966" t="s">
        <v>6446</v>
      </c>
      <c r="I9966" t="s">
        <v>9946</v>
      </c>
      <c r="J9966" t="s">
        <v>12475</v>
      </c>
      <c r="K9966" t="s">
        <v>16884</v>
      </c>
      <c r="L9966">
        <f>HYPERLINK("https://www2.assemblee-nationale.fr/sycomore/fiche/(num_dept)/2282", "2282")</f>
        <v>0</v>
      </c>
      <c r="N9966">
        <f>HYPERLINK("https://www.wikidata.org/wiki/Q362673", "Q362673")</f>
        <v>0</v>
      </c>
      <c r="O9966" t="s">
        <v>20129</v>
      </c>
    </row>
    <row r="9967" spans="1:15">
      <c r="A9967" t="s">
        <v>96</v>
      </c>
      <c r="B9967" t="s">
        <v>149</v>
      </c>
      <c r="C9967" t="s">
        <v>228</v>
      </c>
      <c r="D9967" t="s">
        <v>357</v>
      </c>
      <c r="E9967" t="s">
        <v>473</v>
      </c>
      <c r="F9967">
        <f>HYPERLINK("https://www.wikidata.org/wiki/Q3112353", "Q3112353")</f>
        <v>0</v>
      </c>
      <c r="G9967" t="s">
        <v>1778</v>
      </c>
      <c r="H9967" t="s">
        <v>6446</v>
      </c>
      <c r="I9967" t="s">
        <v>9946</v>
      </c>
      <c r="J9967" t="s">
        <v>12475</v>
      </c>
      <c r="K9967" t="s">
        <v>16884</v>
      </c>
      <c r="L9967">
        <f>HYPERLINK("https://www2.assemblee-nationale.fr/sycomore/fiche/(num_dept)/2282", "2282")</f>
        <v>0</v>
      </c>
      <c r="N9967">
        <f>HYPERLINK("https://www.wikidata.org/wiki/Q362673", "Q362673")</f>
        <v>0</v>
      </c>
      <c r="O9967" t="s">
        <v>20329</v>
      </c>
    </row>
    <row r="9968" spans="1:15">
      <c r="A9968" t="s">
        <v>96</v>
      </c>
      <c r="B9968" t="s">
        <v>149</v>
      </c>
      <c r="C9968" t="s">
        <v>228</v>
      </c>
      <c r="D9968" t="s">
        <v>357</v>
      </c>
      <c r="E9968" t="s">
        <v>473</v>
      </c>
      <c r="F9968">
        <f>HYPERLINK("https://www.wikidata.org/wiki/Q3112353", "Q3112353")</f>
        <v>0</v>
      </c>
      <c r="G9968" t="s">
        <v>952</v>
      </c>
      <c r="H9968" t="s">
        <v>5704</v>
      </c>
      <c r="I9968" t="s">
        <v>9401</v>
      </c>
      <c r="J9968" t="s">
        <v>11693</v>
      </c>
      <c r="K9968" t="s">
        <v>16094</v>
      </c>
      <c r="L9968">
        <f>HYPERLINK("https://www2.assemblee-nationale.fr/sycomore/fiche/(num_dept)/2750", "2750")</f>
        <v>0</v>
      </c>
      <c r="N9968">
        <f>HYPERLINK("https://www.wikidata.org/wiki/Q2853905", "Q2853905")</f>
        <v>0</v>
      </c>
      <c r="O9968" t="s">
        <v>20126</v>
      </c>
    </row>
    <row r="9969" spans="1:15">
      <c r="A9969" t="s">
        <v>96</v>
      </c>
      <c r="B9969" t="s">
        <v>149</v>
      </c>
      <c r="C9969" t="s">
        <v>228</v>
      </c>
      <c r="D9969" t="s">
        <v>357</v>
      </c>
      <c r="E9969" t="s">
        <v>473</v>
      </c>
      <c r="F9969">
        <f>HYPERLINK("https://www.wikidata.org/wiki/Q3112353", "Q3112353")</f>
        <v>0</v>
      </c>
      <c r="G9969" t="s">
        <v>1170</v>
      </c>
      <c r="H9969" t="s">
        <v>5901</v>
      </c>
      <c r="I9969" t="s">
        <v>5592</v>
      </c>
      <c r="J9969" t="s">
        <v>11903</v>
      </c>
      <c r="K9969" t="s">
        <v>16305</v>
      </c>
      <c r="L9969">
        <f>HYPERLINK("https://www2.assemblee-nationale.fr/sycomore/fiche/(num_dept)/2874", "2874")</f>
        <v>0</v>
      </c>
      <c r="M9969">
        <f>HYPERLINK("https://www.senat.fr/senateur-3eme-republique/eynac_laurent0520r3.html", "eynac_laurent0520r3")</f>
        <v>0</v>
      </c>
      <c r="N9969">
        <f>HYPERLINK("https://www.wikidata.org/wiki/Q3219208", "Q3219208")</f>
        <v>0</v>
      </c>
      <c r="O9969" t="s">
        <v>20330</v>
      </c>
    </row>
    <row r="9970" spans="1:15">
      <c r="A9970" t="s">
        <v>96</v>
      </c>
      <c r="B9970" t="s">
        <v>149</v>
      </c>
      <c r="C9970" t="s">
        <v>228</v>
      </c>
      <c r="D9970" t="s">
        <v>357</v>
      </c>
      <c r="E9970" t="s">
        <v>473</v>
      </c>
      <c r="F9970">
        <f>HYPERLINK("https://www.wikidata.org/wiki/Q3112353", "Q3112353")</f>
        <v>0</v>
      </c>
      <c r="G9970" t="s">
        <v>1170</v>
      </c>
      <c r="H9970" t="s">
        <v>5901</v>
      </c>
      <c r="I9970" t="s">
        <v>5592</v>
      </c>
      <c r="J9970" t="s">
        <v>11903</v>
      </c>
      <c r="K9970" t="s">
        <v>16305</v>
      </c>
      <c r="L9970">
        <f>HYPERLINK("https://www2.assemblee-nationale.fr/sycomore/fiche/(num_dept)/2874", "2874")</f>
        <v>0</v>
      </c>
      <c r="M9970">
        <f>HYPERLINK("https://www.senat.fr/senateur-3eme-republique/eynac_laurent0520r3.html", "eynac_laurent0520r3")</f>
        <v>0</v>
      </c>
      <c r="N9970">
        <f>HYPERLINK("https://www.wikidata.org/wiki/Q3219208", "Q3219208")</f>
        <v>0</v>
      </c>
      <c r="O9970" t="s">
        <v>20281</v>
      </c>
    </row>
    <row r="9971" spans="1:15">
      <c r="A9971" t="s">
        <v>96</v>
      </c>
      <c r="B9971" t="s">
        <v>149</v>
      </c>
      <c r="C9971" t="s">
        <v>228</v>
      </c>
      <c r="D9971" t="s">
        <v>357</v>
      </c>
      <c r="E9971" t="s">
        <v>473</v>
      </c>
      <c r="F9971">
        <f>HYPERLINK("https://www.wikidata.org/wiki/Q3112353", "Q3112353")</f>
        <v>0</v>
      </c>
      <c r="G9971" t="s">
        <v>738</v>
      </c>
      <c r="H9971" t="s">
        <v>5496</v>
      </c>
      <c r="I9971" t="s">
        <v>9503</v>
      </c>
      <c r="J9971" t="s">
        <v>11487</v>
      </c>
      <c r="K9971" t="s">
        <v>15889</v>
      </c>
      <c r="L9971">
        <f>HYPERLINK("https://www2.assemblee-nationale.fr/sycomore/fiche/(num_dept)/5394", "5394")</f>
        <v>0</v>
      </c>
      <c r="M9971">
        <f>HYPERLINK("https://www.senat.fr/senateur-3eme-republique/de_monzie_anatole0605r3.html", "de_monzie_anatole0605r3")</f>
        <v>0</v>
      </c>
      <c r="N9971">
        <f>HYPERLINK("https://www.wikidata.org/wiki/Q2845619", "Q2845619")</f>
        <v>0</v>
      </c>
      <c r="O9971" t="s">
        <v>20051</v>
      </c>
    </row>
    <row r="9972" spans="1:15">
      <c r="A9972" t="s">
        <v>96</v>
      </c>
      <c r="B9972" t="s">
        <v>149</v>
      </c>
      <c r="C9972" t="s">
        <v>228</v>
      </c>
      <c r="D9972" t="s">
        <v>357</v>
      </c>
      <c r="E9972" t="s">
        <v>473</v>
      </c>
      <c r="F9972">
        <f>HYPERLINK("https://www.wikidata.org/wiki/Q3112353", "Q3112353")</f>
        <v>0</v>
      </c>
      <c r="G9972" t="s">
        <v>738</v>
      </c>
      <c r="H9972" t="s">
        <v>5496</v>
      </c>
      <c r="I9972" t="s">
        <v>9503</v>
      </c>
      <c r="J9972" t="s">
        <v>11487</v>
      </c>
      <c r="K9972" t="s">
        <v>15889</v>
      </c>
      <c r="L9972">
        <f>HYPERLINK("https://www2.assemblee-nationale.fr/sycomore/fiche/(num_dept)/5394", "5394")</f>
        <v>0</v>
      </c>
      <c r="M9972">
        <f>HYPERLINK("https://www.senat.fr/senateur-3eme-republique/de_monzie_anatole0605r3.html", "de_monzie_anatole0605r3")</f>
        <v>0</v>
      </c>
      <c r="N9972">
        <f>HYPERLINK("https://www.wikidata.org/wiki/Q2845619", "Q2845619")</f>
        <v>0</v>
      </c>
      <c r="O9972" t="s">
        <v>20129</v>
      </c>
    </row>
    <row r="9973" spans="1:15">
      <c r="A9973" t="s">
        <v>96</v>
      </c>
      <c r="B9973" t="s">
        <v>149</v>
      </c>
      <c r="C9973" t="s">
        <v>228</v>
      </c>
      <c r="D9973" t="s">
        <v>357</v>
      </c>
      <c r="E9973" t="s">
        <v>473</v>
      </c>
      <c r="F9973">
        <f>HYPERLINK("https://www.wikidata.org/wiki/Q3112353", "Q3112353")</f>
        <v>0</v>
      </c>
      <c r="G9973" t="s">
        <v>1286</v>
      </c>
      <c r="H9973" t="s">
        <v>6008</v>
      </c>
      <c r="I9973" t="s">
        <v>6200</v>
      </c>
      <c r="J9973" t="s">
        <v>12016</v>
      </c>
      <c r="K9973" t="s">
        <v>16419</v>
      </c>
      <c r="L9973">
        <f>HYPERLINK("https://www2.assemblee-nationale.fr/sycomore/fiche/(num_dept)/5624", "5624")</f>
        <v>0</v>
      </c>
      <c r="N9973">
        <f>HYPERLINK("https://www.wikidata.org/wiki/Q3173799", "Q3173799")</f>
        <v>0</v>
      </c>
      <c r="O9973" t="s">
        <v>20130</v>
      </c>
    </row>
    <row r="9974" spans="1:15">
      <c r="A9974" t="s">
        <v>96</v>
      </c>
      <c r="B9974" t="s">
        <v>149</v>
      </c>
      <c r="C9974" t="s">
        <v>228</v>
      </c>
      <c r="D9974" t="s">
        <v>357</v>
      </c>
      <c r="E9974" t="s">
        <v>473</v>
      </c>
      <c r="F9974">
        <f>HYPERLINK("https://www.wikidata.org/wiki/Q3112353", "Q3112353")</f>
        <v>0</v>
      </c>
      <c r="G9974" t="s">
        <v>1017</v>
      </c>
      <c r="H9974" t="s">
        <v>5767</v>
      </c>
      <c r="I9974" t="s">
        <v>9388</v>
      </c>
      <c r="J9974" t="s">
        <v>11754</v>
      </c>
      <c r="K9974" t="s">
        <v>16157</v>
      </c>
      <c r="L9974">
        <f>HYPERLINK("https://www2.assemblee-nationale.fr/sycomore/fiche/(num_dept)/5653", "5653")</f>
        <v>0</v>
      </c>
      <c r="N9974">
        <f>HYPERLINK("https://www.wikidata.org/wiki/Q315434", "Q315434")</f>
        <v>0</v>
      </c>
      <c r="O9974" t="s">
        <v>20057</v>
      </c>
    </row>
    <row r="9975" spans="1:15">
      <c r="A9975" t="s">
        <v>96</v>
      </c>
      <c r="B9975" t="s">
        <v>149</v>
      </c>
      <c r="C9975" t="s">
        <v>228</v>
      </c>
      <c r="D9975" t="s">
        <v>357</v>
      </c>
      <c r="E9975" t="s">
        <v>473</v>
      </c>
      <c r="F9975">
        <f>HYPERLINK("https://www.wikidata.org/wiki/Q3112353", "Q3112353")</f>
        <v>0</v>
      </c>
      <c r="G9975" t="s">
        <v>1017</v>
      </c>
      <c r="H9975" t="s">
        <v>5767</v>
      </c>
      <c r="I9975" t="s">
        <v>9388</v>
      </c>
      <c r="J9975" t="s">
        <v>11754</v>
      </c>
      <c r="K9975" t="s">
        <v>16157</v>
      </c>
      <c r="L9975">
        <f>HYPERLINK("https://www2.assemblee-nationale.fr/sycomore/fiche/(num_dept)/5653", "5653")</f>
        <v>0</v>
      </c>
      <c r="N9975">
        <f>HYPERLINK("https://www.wikidata.org/wiki/Q315434", "Q315434")</f>
        <v>0</v>
      </c>
      <c r="O9975" t="s">
        <v>20052</v>
      </c>
    </row>
    <row r="9976" spans="1:15">
      <c r="A9976" t="s">
        <v>96</v>
      </c>
      <c r="B9976" t="s">
        <v>149</v>
      </c>
      <c r="C9976" t="s">
        <v>228</v>
      </c>
      <c r="D9976" t="s">
        <v>357</v>
      </c>
      <c r="E9976" t="s">
        <v>473</v>
      </c>
      <c r="F9976">
        <f>HYPERLINK("https://www.wikidata.org/wiki/Q3112353", "Q3112353")</f>
        <v>0</v>
      </c>
      <c r="G9976" t="s">
        <v>1687</v>
      </c>
      <c r="H9976" t="s">
        <v>5785</v>
      </c>
      <c r="I9976" t="s">
        <v>9887</v>
      </c>
      <c r="J9976" t="s">
        <v>12391</v>
      </c>
      <c r="K9976" t="s">
        <v>16800</v>
      </c>
      <c r="L9976">
        <f>HYPERLINK("https://www2.assemblee-nationale.fr/sycomore/fiche/(num_dept)/6343", "6343")</f>
        <v>0</v>
      </c>
      <c r="N9976">
        <f>HYPERLINK("https://www.wikidata.org/wiki/Q3161589", "Q3161589")</f>
        <v>0</v>
      </c>
      <c r="O9976" t="s">
        <v>20168</v>
      </c>
    </row>
    <row r="9977" spans="1:15">
      <c r="A9977" t="s">
        <v>96</v>
      </c>
      <c r="B9977" t="s">
        <v>149</v>
      </c>
      <c r="C9977" t="s">
        <v>228</v>
      </c>
      <c r="D9977" t="s">
        <v>357</v>
      </c>
      <c r="E9977" t="s">
        <v>473</v>
      </c>
      <c r="F9977">
        <f>HYPERLINK("https://www.wikidata.org/wiki/Q3112353", "Q3112353")</f>
        <v>0</v>
      </c>
      <c r="G9977" t="s">
        <v>814</v>
      </c>
      <c r="H9977" t="s">
        <v>5571</v>
      </c>
      <c r="I9977" t="s">
        <v>9533</v>
      </c>
      <c r="J9977" t="s">
        <v>11561</v>
      </c>
      <c r="K9977" t="s">
        <v>15965</v>
      </c>
      <c r="L9977">
        <f>HYPERLINK("https://www2.assemblee-nationale.fr/sycomore/fiche/(num_dept)/6904", "6904")</f>
        <v>0</v>
      </c>
      <c r="M9977">
        <f>HYPERLINK("https://www.senat.fr/senateur-3eme-republique/steeg_theodore1554r3.html", "steeg_theodore1554r3")</f>
        <v>0</v>
      </c>
      <c r="N9977">
        <f>HYPERLINK("https://www.wikidata.org/wiki/Q717905", "Q717905")</f>
        <v>0</v>
      </c>
      <c r="O9977" t="s">
        <v>20064</v>
      </c>
    </row>
    <row r="9978" spans="1:15">
      <c r="A9978" t="s">
        <v>96</v>
      </c>
      <c r="B9978" t="s">
        <v>149</v>
      </c>
      <c r="C9978" t="s">
        <v>228</v>
      </c>
      <c r="D9978" t="s">
        <v>357</v>
      </c>
      <c r="E9978" t="s">
        <v>473</v>
      </c>
      <c r="F9978">
        <f>HYPERLINK("https://www.wikidata.org/wiki/Q3112353", "Q3112353")</f>
        <v>0</v>
      </c>
      <c r="G9978" t="s">
        <v>1323</v>
      </c>
      <c r="H9978" t="s">
        <v>6042</v>
      </c>
      <c r="I9978" t="s">
        <v>6860</v>
      </c>
      <c r="J9978" t="s">
        <v>12052</v>
      </c>
      <c r="K9978" t="s">
        <v>16453</v>
      </c>
      <c r="L9978">
        <f>HYPERLINK("https://www2.assemblee-nationale.fr/sycomore/fiche/(num_dept)/7519", "7519")</f>
        <v>0</v>
      </c>
      <c r="M9978">
        <f>HYPERLINK("https://www.senat.fr/senateur-3eme-republique/laval_pierre1565r3.html", "laval_pierre1565r3")</f>
        <v>0</v>
      </c>
      <c r="N9978">
        <f>HYPERLINK("https://www.wikidata.org/wiki/Q151983", "Q151983")</f>
        <v>0</v>
      </c>
      <c r="O9978" t="s">
        <v>20063</v>
      </c>
    </row>
    <row r="9979" spans="1:15">
      <c r="A9979" t="s">
        <v>96</v>
      </c>
      <c r="B9979" t="s">
        <v>149</v>
      </c>
      <c r="C9979" t="s">
        <v>228</v>
      </c>
      <c r="D9979" t="s">
        <v>357</v>
      </c>
      <c r="E9979" t="s">
        <v>473</v>
      </c>
      <c r="F9979">
        <f>HYPERLINK("https://www.wikidata.org/wiki/Q3112353", "Q3112353")</f>
        <v>0</v>
      </c>
      <c r="G9979" t="s">
        <v>1329</v>
      </c>
      <c r="H9979" t="s">
        <v>6048</v>
      </c>
      <c r="I9979" t="s">
        <v>9453</v>
      </c>
      <c r="J9979" t="s">
        <v>12057</v>
      </c>
      <c r="K9979" t="s">
        <v>16458</v>
      </c>
      <c r="L9979">
        <f>HYPERLINK("https://www2.assemblee-nationale.fr/sycomore/fiche/(num_dept)/7824", "7824")</f>
        <v>0</v>
      </c>
      <c r="N9979">
        <f>HYPERLINK("https://www.wikidata.org/wiki/Q2865199", "Q2865199")</f>
        <v>0</v>
      </c>
      <c r="O9979" t="s">
        <v>20134</v>
      </c>
    </row>
    <row r="9980" spans="1:15">
      <c r="A9980" t="s">
        <v>96</v>
      </c>
      <c r="B9980" t="s">
        <v>149</v>
      </c>
      <c r="C9980" t="s">
        <v>228</v>
      </c>
      <c r="D9980" t="s">
        <v>357</v>
      </c>
      <c r="E9980" t="s">
        <v>473</v>
      </c>
      <c r="F9980">
        <f>HYPERLINK("https://www.wikidata.org/wiki/Q3112353", "Q3112353")</f>
        <v>0</v>
      </c>
      <c r="G9980" t="s">
        <v>628</v>
      </c>
      <c r="H9980" t="s">
        <v>5388</v>
      </c>
      <c r="I9980" t="s">
        <v>6200</v>
      </c>
      <c r="J9980" t="s">
        <v>11378</v>
      </c>
      <c r="K9980" t="s">
        <v>15780</v>
      </c>
      <c r="N9980">
        <f>HYPERLINK("https://www.wikidata.org/wiki/Q125250", "Q125250")</f>
        <v>0</v>
      </c>
      <c r="O9980" t="s">
        <v>20123</v>
      </c>
    </row>
    <row r="9981" spans="1:15">
      <c r="A9981" t="s">
        <v>96</v>
      </c>
      <c r="B9981" t="s">
        <v>149</v>
      </c>
      <c r="C9981" t="s">
        <v>228</v>
      </c>
      <c r="D9981" t="s">
        <v>357</v>
      </c>
      <c r="E9981" t="s">
        <v>473</v>
      </c>
      <c r="F9981">
        <f>HYPERLINK("https://www.wikidata.org/wiki/Q3112353", "Q3112353")</f>
        <v>0</v>
      </c>
      <c r="G9981" t="s">
        <v>4323</v>
      </c>
      <c r="H9981" t="s">
        <v>8475</v>
      </c>
      <c r="I9981" t="s">
        <v>11182</v>
      </c>
      <c r="J9981" t="s">
        <v>14819</v>
      </c>
      <c r="K9981" t="s">
        <v>19159</v>
      </c>
      <c r="M9981">
        <f>HYPERLINK("https://www.senat.fr/senateur-3eme-republique/schrameck_abraham0319r3.html", "schrameck_abraham0319r3")</f>
        <v>0</v>
      </c>
      <c r="N9981">
        <f>HYPERLINK("https://www.wikidata.org/wiki/Q330586", "Q330586")</f>
        <v>0</v>
      </c>
      <c r="O9981" t="s">
        <v>20113</v>
      </c>
    </row>
    <row r="9982" spans="1:15">
      <c r="A9982" t="s">
        <v>96</v>
      </c>
      <c r="B9982" t="s">
        <v>149</v>
      </c>
      <c r="C9982" t="s">
        <v>228</v>
      </c>
      <c r="D9982" t="s">
        <v>357</v>
      </c>
      <c r="E9982" t="s">
        <v>473</v>
      </c>
      <c r="F9982">
        <f>HYPERLINK("https://www.wikidata.org/wiki/Q3112353", "Q3112353")</f>
        <v>0</v>
      </c>
      <c r="G9982" t="s">
        <v>1724</v>
      </c>
      <c r="H9982" t="s">
        <v>6360</v>
      </c>
      <c r="I9982" t="s">
        <v>6175</v>
      </c>
      <c r="J9982" t="s">
        <v>12425</v>
      </c>
      <c r="K9982" t="s">
        <v>16833</v>
      </c>
      <c r="N9982">
        <f>HYPERLINK("https://www.wikidata.org/wiki/Q3102323", "Q3102323")</f>
        <v>0</v>
      </c>
      <c r="O9982" t="s">
        <v>20099</v>
      </c>
    </row>
    <row r="9983" spans="1:15">
      <c r="A9983" t="s">
        <v>97</v>
      </c>
      <c r="B9983" t="s">
        <v>149</v>
      </c>
      <c r="C9983" t="s">
        <v>229</v>
      </c>
      <c r="D9983" t="s">
        <v>358</v>
      </c>
      <c r="E9983" t="s">
        <v>474</v>
      </c>
      <c r="F9983">
        <f>HYPERLINK("https://www.wikidata.org/wiki/Q3112355", "Q3112355")</f>
        <v>0</v>
      </c>
      <c r="G9983" t="s">
        <v>1344</v>
      </c>
      <c r="H9983" t="s">
        <v>6062</v>
      </c>
      <c r="I9983" t="s">
        <v>6495</v>
      </c>
      <c r="J9983" t="s">
        <v>12071</v>
      </c>
      <c r="K9983" t="s">
        <v>16473</v>
      </c>
      <c r="L9983">
        <f>HYPERLINK("https://www2.assemblee-nationale.fr/sycomore/fiche/(num_dept)/157", "157")</f>
        <v>0</v>
      </c>
      <c r="N9983">
        <f>HYPERLINK("https://www.wikidata.org/wiki/Q3261084", "Q3261084")</f>
        <v>0</v>
      </c>
      <c r="O9983" t="s">
        <v>20088</v>
      </c>
    </row>
    <row r="9984" spans="1:15">
      <c r="A9984" t="s">
        <v>97</v>
      </c>
      <c r="B9984" t="s">
        <v>149</v>
      </c>
      <c r="C9984" t="s">
        <v>229</v>
      </c>
      <c r="D9984" t="s">
        <v>358</v>
      </c>
      <c r="E9984" t="s">
        <v>474</v>
      </c>
      <c r="F9984">
        <f>HYPERLINK("https://www.wikidata.org/wiki/Q3112355", "Q3112355")</f>
        <v>0</v>
      </c>
      <c r="G9984" t="s">
        <v>520</v>
      </c>
      <c r="H9984" t="s">
        <v>5284</v>
      </c>
      <c r="I9984" t="s">
        <v>9388</v>
      </c>
      <c r="J9984" t="s">
        <v>11272</v>
      </c>
      <c r="K9984" t="s">
        <v>15672</v>
      </c>
      <c r="L9984">
        <f>HYPERLINK("https://www2.assemblee-nationale.fr/sycomore/fiche/(num_dept)/608", "608")</f>
        <v>0</v>
      </c>
      <c r="M9984">
        <f>HYPERLINK("https://www.senat.fr/senateur-3eme-republique/benazet_paul_louis0281r3.html", "benazet_paul_louis0281r3")</f>
        <v>0</v>
      </c>
      <c r="N9984">
        <f>HYPERLINK("https://www.wikidata.org/wiki/Q3370779", "Q3370779")</f>
        <v>0</v>
      </c>
      <c r="O9984" t="s">
        <v>20174</v>
      </c>
    </row>
    <row r="9985" spans="1:15">
      <c r="A9985" t="s">
        <v>97</v>
      </c>
      <c r="B9985" t="s">
        <v>149</v>
      </c>
      <c r="C9985" t="s">
        <v>229</v>
      </c>
      <c r="D9985" t="s">
        <v>358</v>
      </c>
      <c r="E9985" t="s">
        <v>474</v>
      </c>
      <c r="F9985">
        <f>HYPERLINK("https://www.wikidata.org/wiki/Q3112355", "Q3112355")</f>
        <v>0</v>
      </c>
      <c r="G9985" t="s">
        <v>520</v>
      </c>
      <c r="H9985" t="s">
        <v>5284</v>
      </c>
      <c r="I9985" t="s">
        <v>9388</v>
      </c>
      <c r="J9985" t="s">
        <v>11272</v>
      </c>
      <c r="K9985" t="s">
        <v>15672</v>
      </c>
      <c r="L9985">
        <f>HYPERLINK("https://www2.assemblee-nationale.fr/sycomore/fiche/(num_dept)/608", "608")</f>
        <v>0</v>
      </c>
      <c r="M9985">
        <f>HYPERLINK("https://www.senat.fr/senateur-3eme-republique/benazet_paul_louis0281r3.html", "benazet_paul_louis0281r3")</f>
        <v>0</v>
      </c>
      <c r="N9985">
        <f>HYPERLINK("https://www.wikidata.org/wiki/Q3370779", "Q3370779")</f>
        <v>0</v>
      </c>
      <c r="O9985" t="s">
        <v>20196</v>
      </c>
    </row>
    <row r="9986" spans="1:15">
      <c r="A9986" t="s">
        <v>97</v>
      </c>
      <c r="B9986" t="s">
        <v>149</v>
      </c>
      <c r="C9986" t="s">
        <v>229</v>
      </c>
      <c r="D9986" t="s">
        <v>358</v>
      </c>
      <c r="E9986" t="s">
        <v>474</v>
      </c>
      <c r="F9986">
        <f>HYPERLINK("https://www.wikidata.org/wiki/Q3112355", "Q3112355")</f>
        <v>0</v>
      </c>
      <c r="G9986" t="s">
        <v>1091</v>
      </c>
      <c r="H9986" t="s">
        <v>5833</v>
      </c>
      <c r="I9986" t="s">
        <v>9445</v>
      </c>
      <c r="J9986" t="s">
        <v>11827</v>
      </c>
      <c r="K9986" t="s">
        <v>16227</v>
      </c>
      <c r="L9986">
        <f>HYPERLINK("https://www2.assemblee-nationale.fr/sycomore/fiche/(num_dept)/729", "729")</f>
        <v>0</v>
      </c>
      <c r="M9986">
        <f>HYPERLINK("https://www.senat.fr/senateur-3eme-republique/berthod_aime0449r3.html", "berthod_aime0449r3")</f>
        <v>0</v>
      </c>
      <c r="N9986">
        <f>HYPERLINK("https://www.wikidata.org/wiki/Q2825126", "Q2825126")</f>
        <v>0</v>
      </c>
      <c r="O9986" t="s">
        <v>20099</v>
      </c>
    </row>
    <row r="9987" spans="1:15">
      <c r="A9987" t="s">
        <v>97</v>
      </c>
      <c r="B9987" t="s">
        <v>149</v>
      </c>
      <c r="C9987" t="s">
        <v>229</v>
      </c>
      <c r="D9987" t="s">
        <v>358</v>
      </c>
      <c r="E9987" t="s">
        <v>474</v>
      </c>
      <c r="F9987">
        <f>HYPERLINK("https://www.wikidata.org/wiki/Q3112355", "Q3112355")</f>
        <v>0</v>
      </c>
      <c r="G9987" t="s">
        <v>1725</v>
      </c>
      <c r="H9987" t="s">
        <v>6399</v>
      </c>
      <c r="I9987" t="s">
        <v>9437</v>
      </c>
      <c r="J9987" t="s">
        <v>12426</v>
      </c>
      <c r="K9987" t="s">
        <v>16834</v>
      </c>
      <c r="L9987">
        <f>HYPERLINK("https://www2.assemblee-nationale.fr/sycomore/fiche/(num_dept)/975", "975")</f>
        <v>0</v>
      </c>
      <c r="N9987">
        <f>HYPERLINK("https://www.wikidata.org/wiki/Q154356", "Q154356")</f>
        <v>0</v>
      </c>
      <c r="O9987" t="s">
        <v>20053</v>
      </c>
    </row>
    <row r="9988" spans="1:15">
      <c r="A9988" t="s">
        <v>97</v>
      </c>
      <c r="B9988" t="s">
        <v>149</v>
      </c>
      <c r="C9988" t="s">
        <v>229</v>
      </c>
      <c r="D9988" t="s">
        <v>358</v>
      </c>
      <c r="E9988" t="s">
        <v>474</v>
      </c>
      <c r="F9988">
        <f>HYPERLINK("https://www.wikidata.org/wiki/Q3112355", "Q3112355")</f>
        <v>0</v>
      </c>
      <c r="G9988" t="s">
        <v>553</v>
      </c>
      <c r="H9988" t="s">
        <v>5316</v>
      </c>
      <c r="I9988" t="s">
        <v>9411</v>
      </c>
      <c r="J9988" t="s">
        <v>11304</v>
      </c>
      <c r="K9988" t="s">
        <v>15705</v>
      </c>
      <c r="L9988">
        <f>HYPERLINK("https://www2.assemblee-nationale.fr/sycomore/fiche/(num_dept)/1211", "1211")</f>
        <v>0</v>
      </c>
      <c r="N9988">
        <f>HYPERLINK("https://www.wikidata.org/wiki/Q179888", "Q179888")</f>
        <v>0</v>
      </c>
      <c r="O9988" t="s">
        <v>20062</v>
      </c>
    </row>
    <row r="9989" spans="1:15">
      <c r="A9989" t="s">
        <v>97</v>
      </c>
      <c r="B9989" t="s">
        <v>149</v>
      </c>
      <c r="C9989" t="s">
        <v>229</v>
      </c>
      <c r="D9989" t="s">
        <v>358</v>
      </c>
      <c r="E9989" t="s">
        <v>474</v>
      </c>
      <c r="F9989">
        <f>HYPERLINK("https://www.wikidata.org/wiki/Q3112355", "Q3112355")</f>
        <v>0</v>
      </c>
      <c r="G9989" t="s">
        <v>1410</v>
      </c>
      <c r="H9989" t="s">
        <v>5337</v>
      </c>
      <c r="I9989" t="s">
        <v>9506</v>
      </c>
      <c r="J9989" t="s">
        <v>12135</v>
      </c>
      <c r="K9989" t="s">
        <v>16537</v>
      </c>
      <c r="L9989">
        <f>HYPERLINK("https://www2.assemblee-nationale.fr/sycomore/fiche/(num_dept)/1726", "1726")</f>
        <v>0</v>
      </c>
      <c r="M9989">
        <f>HYPERLINK("https://www.senat.fr/senateur-3eme-republique/chautemps_camille0380r3.html", "chautemps_camille0380r3")</f>
        <v>0</v>
      </c>
      <c r="N9989">
        <f>HYPERLINK("https://www.wikidata.org/wiki/Q263884", "Q263884")</f>
        <v>0</v>
      </c>
      <c r="O9989" t="s">
        <v>20064</v>
      </c>
    </row>
    <row r="9990" spans="1:15">
      <c r="A9990" t="s">
        <v>97</v>
      </c>
      <c r="B9990" t="s">
        <v>149</v>
      </c>
      <c r="C9990" t="s">
        <v>229</v>
      </c>
      <c r="D9990" t="s">
        <v>358</v>
      </c>
      <c r="E9990" t="s">
        <v>474</v>
      </c>
      <c r="F9990">
        <f>HYPERLINK("https://www.wikidata.org/wiki/Q3112355", "Q3112355")</f>
        <v>0</v>
      </c>
      <c r="G9990" t="s">
        <v>1423</v>
      </c>
      <c r="H9990" t="s">
        <v>6128</v>
      </c>
      <c r="I9990" t="s">
        <v>9728</v>
      </c>
      <c r="J9990" t="s">
        <v>12147</v>
      </c>
      <c r="K9990" t="s">
        <v>16549</v>
      </c>
      <c r="L9990">
        <f>HYPERLINK("https://www2.assemblee-nationale.fr/sycomore/fiche/(num_dept)/2105", "2105")</f>
        <v>0</v>
      </c>
      <c r="N9990">
        <f>HYPERLINK("https://www.wikidata.org/wiki/Q213526", "Q213526")</f>
        <v>0</v>
      </c>
      <c r="O9990" t="s">
        <v>20057</v>
      </c>
    </row>
    <row r="9991" spans="1:15">
      <c r="A9991" t="s">
        <v>97</v>
      </c>
      <c r="B9991" t="s">
        <v>149</v>
      </c>
      <c r="C9991" t="s">
        <v>229</v>
      </c>
      <c r="D9991" t="s">
        <v>358</v>
      </c>
      <c r="E9991" t="s">
        <v>474</v>
      </c>
      <c r="F9991">
        <f>HYPERLINK("https://www.wikidata.org/wiki/Q3112355", "Q3112355")</f>
        <v>0</v>
      </c>
      <c r="G9991" t="s">
        <v>920</v>
      </c>
      <c r="H9991" t="s">
        <v>5676</v>
      </c>
      <c r="I9991" t="s">
        <v>9385</v>
      </c>
      <c r="J9991" t="s">
        <v>11662</v>
      </c>
      <c r="K9991" t="s">
        <v>16063</v>
      </c>
      <c r="L9991">
        <f>HYPERLINK("https://www2.assemblee-nationale.fr/sycomore/fiche/(num_dept)/2124", "2124")</f>
        <v>0</v>
      </c>
      <c r="N9991">
        <f>HYPERLINK("https://www.wikidata.org/wiki/Q2958846", "Q2958846")</f>
        <v>0</v>
      </c>
      <c r="O9991" t="s">
        <v>20282</v>
      </c>
    </row>
    <row r="9992" spans="1:15">
      <c r="A9992" t="s">
        <v>97</v>
      </c>
      <c r="B9992" t="s">
        <v>149</v>
      </c>
      <c r="C9992" t="s">
        <v>229</v>
      </c>
      <c r="D9992" t="s">
        <v>358</v>
      </c>
      <c r="E9992" t="s">
        <v>474</v>
      </c>
      <c r="F9992">
        <f>HYPERLINK("https://www.wikidata.org/wiki/Q3112355", "Q3112355")</f>
        <v>0</v>
      </c>
      <c r="G9992" t="s">
        <v>1778</v>
      </c>
      <c r="H9992" t="s">
        <v>6446</v>
      </c>
      <c r="I9992" t="s">
        <v>9946</v>
      </c>
      <c r="J9992" t="s">
        <v>12475</v>
      </c>
      <c r="K9992" t="s">
        <v>16884</v>
      </c>
      <c r="L9992">
        <f>HYPERLINK("https://www2.assemblee-nationale.fr/sycomore/fiche/(num_dept)/2282", "2282")</f>
        <v>0</v>
      </c>
      <c r="N9992">
        <f>HYPERLINK("https://www.wikidata.org/wiki/Q362673", "Q362673")</f>
        <v>0</v>
      </c>
      <c r="O9992" t="s">
        <v>20129</v>
      </c>
    </row>
    <row r="9993" spans="1:15">
      <c r="A9993" t="s">
        <v>97</v>
      </c>
      <c r="B9993" t="s">
        <v>149</v>
      </c>
      <c r="C9993" t="s">
        <v>229</v>
      </c>
      <c r="D9993" t="s">
        <v>358</v>
      </c>
      <c r="E9993" t="s">
        <v>474</v>
      </c>
      <c r="F9993">
        <f>HYPERLINK("https://www.wikidata.org/wiki/Q3112355", "Q3112355")</f>
        <v>0</v>
      </c>
      <c r="G9993" t="s">
        <v>952</v>
      </c>
      <c r="H9993" t="s">
        <v>5704</v>
      </c>
      <c r="I9993" t="s">
        <v>9401</v>
      </c>
      <c r="J9993" t="s">
        <v>11693</v>
      </c>
      <c r="K9993" t="s">
        <v>16094</v>
      </c>
      <c r="L9993">
        <f>HYPERLINK("https://www2.assemblee-nationale.fr/sycomore/fiche/(num_dept)/2750", "2750")</f>
        <v>0</v>
      </c>
      <c r="N9993">
        <f>HYPERLINK("https://www.wikidata.org/wiki/Q2853905", "Q2853905")</f>
        <v>0</v>
      </c>
      <c r="O9993" t="s">
        <v>20126</v>
      </c>
    </row>
    <row r="9994" spans="1:15">
      <c r="A9994" t="s">
        <v>97</v>
      </c>
      <c r="B9994" t="s">
        <v>149</v>
      </c>
      <c r="C9994" t="s">
        <v>229</v>
      </c>
      <c r="D9994" t="s">
        <v>358</v>
      </c>
      <c r="E9994" t="s">
        <v>474</v>
      </c>
      <c r="F9994">
        <f>HYPERLINK("https://www.wikidata.org/wiki/Q3112355", "Q3112355")</f>
        <v>0</v>
      </c>
      <c r="G9994" t="s">
        <v>1170</v>
      </c>
      <c r="H9994" t="s">
        <v>5901</v>
      </c>
      <c r="I9994" t="s">
        <v>5592</v>
      </c>
      <c r="J9994" t="s">
        <v>11903</v>
      </c>
      <c r="K9994" t="s">
        <v>16305</v>
      </c>
      <c r="L9994">
        <f>HYPERLINK("https://www2.assemblee-nationale.fr/sycomore/fiche/(num_dept)/2874", "2874")</f>
        <v>0</v>
      </c>
      <c r="M9994">
        <f>HYPERLINK("https://www.senat.fr/senateur-3eme-republique/eynac_laurent0520r3.html", "eynac_laurent0520r3")</f>
        <v>0</v>
      </c>
      <c r="N9994">
        <f>HYPERLINK("https://www.wikidata.org/wiki/Q3219208", "Q3219208")</f>
        <v>0</v>
      </c>
      <c r="O9994" t="s">
        <v>20281</v>
      </c>
    </row>
    <row r="9995" spans="1:15">
      <c r="A9995" t="s">
        <v>97</v>
      </c>
      <c r="B9995" t="s">
        <v>149</v>
      </c>
      <c r="C9995" t="s">
        <v>229</v>
      </c>
      <c r="D9995" t="s">
        <v>358</v>
      </c>
      <c r="E9995" t="s">
        <v>474</v>
      </c>
      <c r="F9995">
        <f>HYPERLINK("https://www.wikidata.org/wiki/Q3112355", "Q3112355")</f>
        <v>0</v>
      </c>
      <c r="G9995" t="s">
        <v>738</v>
      </c>
      <c r="H9995" t="s">
        <v>5496</v>
      </c>
      <c r="I9995" t="s">
        <v>9503</v>
      </c>
      <c r="J9995" t="s">
        <v>11487</v>
      </c>
      <c r="K9995" t="s">
        <v>15889</v>
      </c>
      <c r="L9995">
        <f>HYPERLINK("https://www2.assemblee-nationale.fr/sycomore/fiche/(num_dept)/5394", "5394")</f>
        <v>0</v>
      </c>
      <c r="M9995">
        <f>HYPERLINK("https://www.senat.fr/senateur-3eme-republique/de_monzie_anatole0605r3.html", "de_monzie_anatole0605r3")</f>
        <v>0</v>
      </c>
      <c r="N9995">
        <f>HYPERLINK("https://www.wikidata.org/wiki/Q2845619", "Q2845619")</f>
        <v>0</v>
      </c>
      <c r="O9995" t="s">
        <v>20063</v>
      </c>
    </row>
    <row r="9996" spans="1:15">
      <c r="A9996" t="s">
        <v>97</v>
      </c>
      <c r="B9996" t="s">
        <v>149</v>
      </c>
      <c r="C9996" t="s">
        <v>229</v>
      </c>
      <c r="D9996" t="s">
        <v>358</v>
      </c>
      <c r="E9996" t="s">
        <v>474</v>
      </c>
      <c r="F9996">
        <f>HYPERLINK("https://www.wikidata.org/wiki/Q3112355", "Q3112355")</f>
        <v>0</v>
      </c>
      <c r="G9996" t="s">
        <v>1286</v>
      </c>
      <c r="H9996" t="s">
        <v>6008</v>
      </c>
      <c r="I9996" t="s">
        <v>6200</v>
      </c>
      <c r="J9996" t="s">
        <v>12016</v>
      </c>
      <c r="K9996" t="s">
        <v>16419</v>
      </c>
      <c r="L9996">
        <f>HYPERLINK("https://www2.assemblee-nationale.fr/sycomore/fiche/(num_dept)/5624", "5624")</f>
        <v>0</v>
      </c>
      <c r="N9996">
        <f>HYPERLINK("https://www.wikidata.org/wiki/Q3173799", "Q3173799")</f>
        <v>0</v>
      </c>
      <c r="O9996" t="s">
        <v>20130</v>
      </c>
    </row>
    <row r="9997" spans="1:15">
      <c r="A9997" t="s">
        <v>97</v>
      </c>
      <c r="B9997" t="s">
        <v>149</v>
      </c>
      <c r="C9997" t="s">
        <v>229</v>
      </c>
      <c r="D9997" t="s">
        <v>358</v>
      </c>
      <c r="E9997" t="s">
        <v>474</v>
      </c>
      <c r="F9997">
        <f>HYPERLINK("https://www.wikidata.org/wiki/Q3112355", "Q3112355")</f>
        <v>0</v>
      </c>
      <c r="G9997" t="s">
        <v>1017</v>
      </c>
      <c r="H9997" t="s">
        <v>5767</v>
      </c>
      <c r="I9997" t="s">
        <v>9388</v>
      </c>
      <c r="J9997" t="s">
        <v>11754</v>
      </c>
      <c r="K9997" t="s">
        <v>16157</v>
      </c>
      <c r="L9997">
        <f>HYPERLINK("https://www2.assemblee-nationale.fr/sycomore/fiche/(num_dept)/5653", "5653")</f>
        <v>0</v>
      </c>
      <c r="N9997">
        <f>HYPERLINK("https://www.wikidata.org/wiki/Q315434", "Q315434")</f>
        <v>0</v>
      </c>
      <c r="O9997" t="s">
        <v>20066</v>
      </c>
    </row>
    <row r="9998" spans="1:15">
      <c r="A9998" t="s">
        <v>97</v>
      </c>
      <c r="B9998" t="s">
        <v>149</v>
      </c>
      <c r="C9998" t="s">
        <v>229</v>
      </c>
      <c r="D9998" t="s">
        <v>358</v>
      </c>
      <c r="E9998" t="s">
        <v>474</v>
      </c>
      <c r="F9998">
        <f>HYPERLINK("https://www.wikidata.org/wiki/Q3112355", "Q3112355")</f>
        <v>0</v>
      </c>
      <c r="G9998" t="s">
        <v>1017</v>
      </c>
      <c r="H9998" t="s">
        <v>5767</v>
      </c>
      <c r="I9998" t="s">
        <v>9388</v>
      </c>
      <c r="J9998" t="s">
        <v>11754</v>
      </c>
      <c r="K9998" t="s">
        <v>16157</v>
      </c>
      <c r="L9998">
        <f>HYPERLINK("https://www2.assemblee-nationale.fr/sycomore/fiche/(num_dept)/5653", "5653")</f>
        <v>0</v>
      </c>
      <c r="N9998">
        <f>HYPERLINK("https://www.wikidata.org/wiki/Q315434", "Q315434")</f>
        <v>0</v>
      </c>
      <c r="O9998" t="s">
        <v>20052</v>
      </c>
    </row>
    <row r="9999" spans="1:15">
      <c r="A9999" t="s">
        <v>97</v>
      </c>
      <c r="B9999" t="s">
        <v>149</v>
      </c>
      <c r="C9999" t="s">
        <v>229</v>
      </c>
      <c r="D9999" t="s">
        <v>358</v>
      </c>
      <c r="E9999" t="s">
        <v>474</v>
      </c>
      <c r="F9999">
        <f>HYPERLINK("https://www.wikidata.org/wiki/Q3112355", "Q3112355")</f>
        <v>0</v>
      </c>
      <c r="G9999" t="s">
        <v>1026</v>
      </c>
      <c r="H9999" t="s">
        <v>5776</v>
      </c>
      <c r="I9999" t="s">
        <v>5528</v>
      </c>
      <c r="J9999" t="s">
        <v>11763</v>
      </c>
      <c r="K9999" t="s">
        <v>16164</v>
      </c>
      <c r="L9999">
        <f>HYPERLINK("https://www2.assemblee-nationale.fr/sycomore/fiche/(num_dept)/5811", "5811")</f>
        <v>0</v>
      </c>
      <c r="M9999">
        <f>HYPERLINK("https://www.senat.fr/senateur-3eme-republique/perrier_leon1193r3.html", "perrier_leon1193r3")</f>
        <v>0</v>
      </c>
      <c r="N9999">
        <f>HYPERLINK("https://www.wikidata.org/wiki/Q3271259", "Q3271259")</f>
        <v>0</v>
      </c>
      <c r="O9999" t="s">
        <v>20065</v>
      </c>
    </row>
    <row r="10000" spans="1:15">
      <c r="A10000" t="s">
        <v>97</v>
      </c>
      <c r="B10000" t="s">
        <v>149</v>
      </c>
      <c r="C10000" t="s">
        <v>229</v>
      </c>
      <c r="D10000" t="s">
        <v>358</v>
      </c>
      <c r="E10000" t="s">
        <v>474</v>
      </c>
      <c r="F10000">
        <f>HYPERLINK("https://www.wikidata.org/wiki/Q3112355", "Q3112355")</f>
        <v>0</v>
      </c>
      <c r="G10000" t="s">
        <v>1687</v>
      </c>
      <c r="H10000" t="s">
        <v>5785</v>
      </c>
      <c r="I10000" t="s">
        <v>9887</v>
      </c>
      <c r="J10000" t="s">
        <v>12391</v>
      </c>
      <c r="K10000" t="s">
        <v>16800</v>
      </c>
      <c r="L10000">
        <f>HYPERLINK("https://www2.assemblee-nationale.fr/sycomore/fiche/(num_dept)/6343", "6343")</f>
        <v>0</v>
      </c>
      <c r="N10000">
        <f>HYPERLINK("https://www.wikidata.org/wiki/Q3161589", "Q3161589")</f>
        <v>0</v>
      </c>
      <c r="O10000" t="s">
        <v>20168</v>
      </c>
    </row>
    <row r="10001" spans="1:15">
      <c r="A10001" t="s">
        <v>97</v>
      </c>
      <c r="B10001" t="s">
        <v>149</v>
      </c>
      <c r="C10001" t="s">
        <v>229</v>
      </c>
      <c r="D10001" t="s">
        <v>358</v>
      </c>
      <c r="E10001" t="s">
        <v>474</v>
      </c>
      <c r="F10001">
        <f>HYPERLINK("https://www.wikidata.org/wiki/Q3112355", "Q3112355")</f>
        <v>0</v>
      </c>
      <c r="G10001" t="s">
        <v>1067</v>
      </c>
      <c r="H10001" t="s">
        <v>5812</v>
      </c>
      <c r="I10001" t="s">
        <v>9488</v>
      </c>
      <c r="J10001" t="s">
        <v>11804</v>
      </c>
      <c r="K10001" t="s">
        <v>16204</v>
      </c>
      <c r="L10001">
        <f>HYPERLINK("https://www2.assemblee-nationale.fr/sycomore/fiche/(num_dept)/7361", "7361")</f>
        <v>0</v>
      </c>
      <c r="M10001">
        <f>HYPERLINK("https://www.senat.fr/senateur-3eme-republique/daniel_vincent_charles1382r3.html", "daniel_vincent_charles1382r3")</f>
        <v>0</v>
      </c>
      <c r="N10001">
        <f>HYPERLINK("https://www.wikidata.org/wiki/Q3014792", "Q3014792")</f>
        <v>0</v>
      </c>
      <c r="O10001" t="s">
        <v>20110</v>
      </c>
    </row>
    <row r="10002" spans="1:15">
      <c r="A10002" t="s">
        <v>97</v>
      </c>
      <c r="B10002" t="s">
        <v>149</v>
      </c>
      <c r="C10002" t="s">
        <v>229</v>
      </c>
      <c r="D10002" t="s">
        <v>358</v>
      </c>
      <c r="E10002" t="s">
        <v>474</v>
      </c>
      <c r="F10002">
        <f>HYPERLINK("https://www.wikidata.org/wiki/Q3112355", "Q3112355")</f>
        <v>0</v>
      </c>
      <c r="G10002" t="s">
        <v>1329</v>
      </c>
      <c r="H10002" t="s">
        <v>6048</v>
      </c>
      <c r="I10002" t="s">
        <v>9453</v>
      </c>
      <c r="J10002" t="s">
        <v>12057</v>
      </c>
      <c r="K10002" t="s">
        <v>16458</v>
      </c>
      <c r="L10002">
        <f>HYPERLINK("https://www2.assemblee-nationale.fr/sycomore/fiche/(num_dept)/7824", "7824")</f>
        <v>0</v>
      </c>
      <c r="N10002">
        <f>HYPERLINK("https://www.wikidata.org/wiki/Q2865199", "Q2865199")</f>
        <v>0</v>
      </c>
      <c r="O10002" t="s">
        <v>20134</v>
      </c>
    </row>
    <row r="10003" spans="1:15">
      <c r="A10003" t="s">
        <v>97</v>
      </c>
      <c r="B10003" t="s">
        <v>149</v>
      </c>
      <c r="C10003" t="s">
        <v>229</v>
      </c>
      <c r="D10003" t="s">
        <v>358</v>
      </c>
      <c r="E10003" t="s">
        <v>474</v>
      </c>
      <c r="F10003">
        <f>HYPERLINK("https://www.wikidata.org/wiki/Q3112355", "Q3112355")</f>
        <v>0</v>
      </c>
      <c r="G10003" t="s">
        <v>4253</v>
      </c>
      <c r="H10003" t="s">
        <v>8422</v>
      </c>
      <c r="I10003" t="s">
        <v>6478</v>
      </c>
      <c r="J10003" t="s">
        <v>14757</v>
      </c>
      <c r="K10003" t="s">
        <v>19104</v>
      </c>
      <c r="M10003">
        <f>HYPERLINK("https://www.senat.fr/senateur-3eme-republique/jouvenel_des_ursins_henri0468r3.html", "jouvenel_des_ursins_henri0468r3")</f>
        <v>0</v>
      </c>
      <c r="N10003">
        <f>HYPERLINK("https://www.wikidata.org/wiki/Q3133192", "Q3133192")</f>
        <v>0</v>
      </c>
      <c r="O10003" t="s">
        <v>20179</v>
      </c>
    </row>
    <row r="10004" spans="1:15">
      <c r="A10004" t="s">
        <v>97</v>
      </c>
      <c r="B10004" t="s">
        <v>149</v>
      </c>
      <c r="C10004" t="s">
        <v>229</v>
      </c>
      <c r="D10004" t="s">
        <v>358</v>
      </c>
      <c r="E10004" t="s">
        <v>474</v>
      </c>
      <c r="F10004">
        <f>HYPERLINK("https://www.wikidata.org/wiki/Q3112355", "Q3112355")</f>
        <v>0</v>
      </c>
      <c r="G10004" t="s">
        <v>628</v>
      </c>
      <c r="H10004" t="s">
        <v>5388</v>
      </c>
      <c r="I10004" t="s">
        <v>6200</v>
      </c>
      <c r="J10004" t="s">
        <v>11378</v>
      </c>
      <c r="K10004" t="s">
        <v>15780</v>
      </c>
      <c r="N10004">
        <f>HYPERLINK("https://www.wikidata.org/wiki/Q125250", "Q125250")</f>
        <v>0</v>
      </c>
      <c r="O10004" t="s">
        <v>20123</v>
      </c>
    </row>
    <row r="10005" spans="1:15">
      <c r="A10005" t="s">
        <v>97</v>
      </c>
      <c r="B10005" t="s">
        <v>149</v>
      </c>
      <c r="C10005" t="s">
        <v>229</v>
      </c>
      <c r="D10005" t="s">
        <v>358</v>
      </c>
      <c r="E10005" t="s">
        <v>474</v>
      </c>
      <c r="F10005">
        <f>HYPERLINK("https://www.wikidata.org/wiki/Q3112355", "Q3112355")</f>
        <v>0</v>
      </c>
      <c r="G10005" t="s">
        <v>4323</v>
      </c>
      <c r="H10005" t="s">
        <v>8475</v>
      </c>
      <c r="I10005" t="s">
        <v>11182</v>
      </c>
      <c r="J10005" t="s">
        <v>14819</v>
      </c>
      <c r="K10005" t="s">
        <v>19159</v>
      </c>
      <c r="M10005">
        <f>HYPERLINK("https://www.senat.fr/senateur-3eme-republique/schrameck_abraham0319r3.html", "schrameck_abraham0319r3")</f>
        <v>0</v>
      </c>
      <c r="N10005">
        <f>HYPERLINK("https://www.wikidata.org/wiki/Q330586", "Q330586")</f>
        <v>0</v>
      </c>
      <c r="O10005" t="s">
        <v>20113</v>
      </c>
    </row>
    <row r="10006" spans="1:15">
      <c r="A10006" t="s">
        <v>97</v>
      </c>
      <c r="B10006" t="s">
        <v>149</v>
      </c>
      <c r="C10006" t="s">
        <v>229</v>
      </c>
      <c r="D10006" t="s">
        <v>358</v>
      </c>
      <c r="E10006" t="s">
        <v>474</v>
      </c>
      <c r="F10006">
        <f>HYPERLINK("https://www.wikidata.org/wiki/Q3112355", "Q3112355")</f>
        <v>0</v>
      </c>
      <c r="G10006" t="s">
        <v>1724</v>
      </c>
      <c r="H10006" t="s">
        <v>6360</v>
      </c>
      <c r="I10006" t="s">
        <v>6175</v>
      </c>
      <c r="J10006" t="s">
        <v>12425</v>
      </c>
      <c r="K10006" t="s">
        <v>16833</v>
      </c>
      <c r="N10006">
        <f>HYPERLINK("https://www.wikidata.org/wiki/Q3102323", "Q3102323")</f>
        <v>0</v>
      </c>
      <c r="O10006" t="s">
        <v>20194</v>
      </c>
    </row>
    <row r="10007" spans="1:15">
      <c r="A10007" t="s">
        <v>98</v>
      </c>
      <c r="B10007" t="s">
        <v>149</v>
      </c>
      <c r="C10007" t="s">
        <v>230</v>
      </c>
      <c r="D10007" t="s">
        <v>359</v>
      </c>
      <c r="E10007" t="s">
        <v>475</v>
      </c>
      <c r="F10007">
        <f>HYPERLINK("https://www.wikidata.org/wiki/Q2357748", "Q2357748")</f>
        <v>0</v>
      </c>
      <c r="G10007" t="s">
        <v>1100</v>
      </c>
      <c r="H10007" t="s">
        <v>5841</v>
      </c>
      <c r="I10007" t="s">
        <v>6707</v>
      </c>
      <c r="J10007" t="s">
        <v>11836</v>
      </c>
      <c r="K10007" t="s">
        <v>16236</v>
      </c>
      <c r="L10007">
        <f>HYPERLINK("https://www2.assemblee-nationale.fr/sycomore/fiche/(num_dept)/1415", "1415")</f>
        <v>0</v>
      </c>
      <c r="N10007">
        <f>HYPERLINK("https://www.wikidata.org/wiki/Q3115697", "Q3115697")</f>
        <v>0</v>
      </c>
      <c r="O10007" t="s">
        <v>20192</v>
      </c>
    </row>
    <row r="10008" spans="1:15">
      <c r="A10008" t="s">
        <v>98</v>
      </c>
      <c r="B10008" t="s">
        <v>149</v>
      </c>
      <c r="C10008" t="s">
        <v>230</v>
      </c>
      <c r="D10008" t="s">
        <v>359</v>
      </c>
      <c r="E10008" t="s">
        <v>475</v>
      </c>
      <c r="F10008">
        <f>HYPERLINK("https://www.wikidata.org/wiki/Q2357748", "Q2357748")</f>
        <v>0</v>
      </c>
      <c r="G10008" t="s">
        <v>1410</v>
      </c>
      <c r="H10008" t="s">
        <v>5337</v>
      </c>
      <c r="I10008" t="s">
        <v>9506</v>
      </c>
      <c r="J10008" t="s">
        <v>12135</v>
      </c>
      <c r="K10008" t="s">
        <v>16537</v>
      </c>
      <c r="L10008">
        <f>HYPERLINK("https://www2.assemblee-nationale.fr/sycomore/fiche/(num_dept)/1726", "1726")</f>
        <v>0</v>
      </c>
      <c r="M10008">
        <f>HYPERLINK("https://www.senat.fr/senateur-3eme-republique/chautemps_camille0380r3.html", "chautemps_camille0380r3")</f>
        <v>0</v>
      </c>
      <c r="N10008">
        <f>HYPERLINK("https://www.wikidata.org/wiki/Q263884", "Q263884")</f>
        <v>0</v>
      </c>
      <c r="O10008" t="s">
        <v>20058</v>
      </c>
    </row>
    <row r="10009" spans="1:15">
      <c r="A10009" t="s">
        <v>98</v>
      </c>
      <c r="B10009" t="s">
        <v>149</v>
      </c>
      <c r="C10009" t="s">
        <v>230</v>
      </c>
      <c r="D10009" t="s">
        <v>359</v>
      </c>
      <c r="E10009" t="s">
        <v>475</v>
      </c>
      <c r="F10009">
        <f>HYPERLINK("https://www.wikidata.org/wiki/Q2357748", "Q2357748")</f>
        <v>0</v>
      </c>
      <c r="G10009" t="s">
        <v>576</v>
      </c>
      <c r="H10009" t="s">
        <v>5338</v>
      </c>
      <c r="I10009" t="s">
        <v>6478</v>
      </c>
      <c r="J10009" t="s">
        <v>11327</v>
      </c>
      <c r="K10009" t="s">
        <v>15728</v>
      </c>
      <c r="L10009">
        <f>HYPERLINK("https://www2.assemblee-nationale.fr/sycomore/fiche/(num_dept)/1768", "1768")</f>
        <v>0</v>
      </c>
      <c r="M10009">
        <f>HYPERLINK("https://www.senat.fr/senateur-3eme-republique/cheron_henry0337r3.html", "cheron_henry0337r3")</f>
        <v>0</v>
      </c>
      <c r="N10009">
        <f>HYPERLINK("https://www.wikidata.org/wiki/Q3132698", "Q3132698")</f>
        <v>0</v>
      </c>
      <c r="O10009" t="s">
        <v>20066</v>
      </c>
    </row>
    <row r="10010" spans="1:15">
      <c r="A10010" t="s">
        <v>98</v>
      </c>
      <c r="B10010" t="s">
        <v>149</v>
      </c>
      <c r="C10010" t="s">
        <v>230</v>
      </c>
      <c r="D10010" t="s">
        <v>359</v>
      </c>
      <c r="E10010" t="s">
        <v>475</v>
      </c>
      <c r="F10010">
        <f>HYPERLINK("https://www.wikidata.org/wiki/Q2357748", "Q2357748")</f>
        <v>0</v>
      </c>
      <c r="G10010" t="s">
        <v>1946</v>
      </c>
      <c r="H10010" t="s">
        <v>6590</v>
      </c>
      <c r="I10010" t="s">
        <v>6860</v>
      </c>
      <c r="J10010" t="s">
        <v>12630</v>
      </c>
      <c r="K10010" t="s">
        <v>17040</v>
      </c>
      <c r="L10010">
        <f>HYPERLINK("https://www2.assemblee-nationale.fr/sycomore/fiche/(num_dept)/1997", "1997")</f>
        <v>0</v>
      </c>
      <c r="N10010">
        <f>HYPERLINK("https://www.wikidata.org/wiki/Q2274693", "Q2274693")</f>
        <v>0</v>
      </c>
      <c r="O10010" t="s">
        <v>20331</v>
      </c>
    </row>
    <row r="10011" spans="1:15">
      <c r="A10011" t="s">
        <v>98</v>
      </c>
      <c r="B10011" t="s">
        <v>149</v>
      </c>
      <c r="C10011" t="s">
        <v>230</v>
      </c>
      <c r="D10011" t="s">
        <v>359</v>
      </c>
      <c r="E10011" t="s">
        <v>475</v>
      </c>
      <c r="F10011">
        <f>HYPERLINK("https://www.wikidata.org/wiki/Q2357748", "Q2357748")</f>
        <v>0</v>
      </c>
      <c r="G10011" t="s">
        <v>1423</v>
      </c>
      <c r="H10011" t="s">
        <v>6128</v>
      </c>
      <c r="I10011" t="s">
        <v>9728</v>
      </c>
      <c r="J10011" t="s">
        <v>12147</v>
      </c>
      <c r="K10011" t="s">
        <v>16549</v>
      </c>
      <c r="L10011">
        <f>HYPERLINK("https://www2.assemblee-nationale.fr/sycomore/fiche/(num_dept)/2105", "2105")</f>
        <v>0</v>
      </c>
      <c r="N10011">
        <f>HYPERLINK("https://www.wikidata.org/wiki/Q213526", "Q213526")</f>
        <v>0</v>
      </c>
      <c r="O10011" t="s">
        <v>20057</v>
      </c>
    </row>
    <row r="10012" spans="1:15">
      <c r="A10012" t="s">
        <v>98</v>
      </c>
      <c r="B10012" t="s">
        <v>149</v>
      </c>
      <c r="C10012" t="s">
        <v>230</v>
      </c>
      <c r="D10012" t="s">
        <v>359</v>
      </c>
      <c r="E10012" t="s">
        <v>475</v>
      </c>
      <c r="F10012">
        <f>HYPERLINK("https://www.wikidata.org/wiki/Q2357748", "Q2357748")</f>
        <v>0</v>
      </c>
      <c r="G10012" t="s">
        <v>597</v>
      </c>
      <c r="H10012" t="s">
        <v>5358</v>
      </c>
      <c r="I10012" t="s">
        <v>6584</v>
      </c>
      <c r="J10012" t="s">
        <v>11348</v>
      </c>
      <c r="K10012" t="s">
        <v>15749</v>
      </c>
      <c r="L10012">
        <f>HYPERLINK("https://www2.assemblee-nationale.fr/sycomore/fiche/(num_dept)/2110", "2110")</f>
        <v>0</v>
      </c>
      <c r="N10012">
        <f>HYPERLINK("https://www.wikidata.org/wiki/Q2831073", "Q2831073")</f>
        <v>0</v>
      </c>
      <c r="O10012" t="s">
        <v>20204</v>
      </c>
    </row>
    <row r="10013" spans="1:15">
      <c r="A10013" t="s">
        <v>98</v>
      </c>
      <c r="B10013" t="s">
        <v>149</v>
      </c>
      <c r="C10013" t="s">
        <v>230</v>
      </c>
      <c r="D10013" t="s">
        <v>359</v>
      </c>
      <c r="E10013" t="s">
        <v>475</v>
      </c>
      <c r="F10013">
        <f>HYPERLINK("https://www.wikidata.org/wiki/Q2357748", "Q2357748")</f>
        <v>0</v>
      </c>
      <c r="G10013" t="s">
        <v>920</v>
      </c>
      <c r="H10013" t="s">
        <v>5676</v>
      </c>
      <c r="I10013" t="s">
        <v>9385</v>
      </c>
      <c r="J10013" t="s">
        <v>11662</v>
      </c>
      <c r="K10013" t="s">
        <v>16063</v>
      </c>
      <c r="L10013">
        <f>HYPERLINK("https://www2.assemblee-nationale.fr/sycomore/fiche/(num_dept)/2124", "2124")</f>
        <v>0</v>
      </c>
      <c r="N10013">
        <f>HYPERLINK("https://www.wikidata.org/wiki/Q2958846", "Q2958846")</f>
        <v>0</v>
      </c>
      <c r="O10013" t="s">
        <v>20089</v>
      </c>
    </row>
    <row r="10014" spans="1:15">
      <c r="A10014" t="s">
        <v>98</v>
      </c>
      <c r="B10014" t="s">
        <v>149</v>
      </c>
      <c r="C10014" t="s">
        <v>230</v>
      </c>
      <c r="D10014" t="s">
        <v>359</v>
      </c>
      <c r="E10014" t="s">
        <v>475</v>
      </c>
      <c r="F10014">
        <f>HYPERLINK("https://www.wikidata.org/wiki/Q2357748", "Q2357748")</f>
        <v>0</v>
      </c>
      <c r="G10014" t="s">
        <v>1444</v>
      </c>
      <c r="H10014" t="s">
        <v>6145</v>
      </c>
      <c r="I10014" t="s">
        <v>9472</v>
      </c>
      <c r="J10014" t="s">
        <v>12165</v>
      </c>
      <c r="K10014" t="s">
        <v>16570</v>
      </c>
      <c r="L10014">
        <f>HYPERLINK("https://www2.assemblee-nationale.fr/sycomore/fiche/(num_dept)/2655", "2655")</f>
        <v>0</v>
      </c>
      <c r="N10014">
        <f>HYPERLINK("https://www.wikidata.org/wiki/Q3136053", "Q3136053")</f>
        <v>0</v>
      </c>
      <c r="O10014" t="s">
        <v>20079</v>
      </c>
    </row>
    <row r="10015" spans="1:15">
      <c r="A10015" t="s">
        <v>98</v>
      </c>
      <c r="B10015" t="s">
        <v>149</v>
      </c>
      <c r="C10015" t="s">
        <v>230</v>
      </c>
      <c r="D10015" t="s">
        <v>359</v>
      </c>
      <c r="E10015" t="s">
        <v>475</v>
      </c>
      <c r="F10015">
        <f>HYPERLINK("https://www.wikidata.org/wiki/Q2357748", "Q2357748")</f>
        <v>0</v>
      </c>
      <c r="G10015" t="s">
        <v>1788</v>
      </c>
      <c r="H10015" t="s">
        <v>5388</v>
      </c>
      <c r="I10015" t="s">
        <v>9535</v>
      </c>
      <c r="J10015" t="s">
        <v>12484</v>
      </c>
      <c r="K10015" t="s">
        <v>16893</v>
      </c>
      <c r="L10015">
        <f>HYPERLINK("https://www2.assemblee-nationale.fr/sycomore/fiche/(num_dept)/2759", "2759")</f>
        <v>0</v>
      </c>
      <c r="N10015">
        <f>HYPERLINK("https://www.wikidata.org/wiki/Q3189483", "Q3189483")</f>
        <v>0</v>
      </c>
      <c r="O10015" t="s">
        <v>20110</v>
      </c>
    </row>
    <row r="10016" spans="1:15">
      <c r="A10016" t="s">
        <v>98</v>
      </c>
      <c r="B10016" t="s">
        <v>149</v>
      </c>
      <c r="C10016" t="s">
        <v>230</v>
      </c>
      <c r="D10016" t="s">
        <v>359</v>
      </c>
      <c r="E10016" t="s">
        <v>475</v>
      </c>
      <c r="F10016">
        <f>HYPERLINK("https://www.wikidata.org/wiki/Q2357748", "Q2357748")</f>
        <v>0</v>
      </c>
      <c r="G10016" t="s">
        <v>1170</v>
      </c>
      <c r="H10016" t="s">
        <v>5901</v>
      </c>
      <c r="I10016" t="s">
        <v>5592</v>
      </c>
      <c r="J10016" t="s">
        <v>11903</v>
      </c>
      <c r="K10016" t="s">
        <v>16305</v>
      </c>
      <c r="L10016">
        <f>HYPERLINK("https://www2.assemblee-nationale.fr/sycomore/fiche/(num_dept)/2874", "2874")</f>
        <v>0</v>
      </c>
      <c r="M10016">
        <f>HYPERLINK("https://www.senat.fr/senateur-3eme-republique/eynac_laurent0520r3.html", "eynac_laurent0520r3")</f>
        <v>0</v>
      </c>
      <c r="N10016">
        <f>HYPERLINK("https://www.wikidata.org/wiki/Q3219208", "Q3219208")</f>
        <v>0</v>
      </c>
      <c r="O10016" t="s">
        <v>20078</v>
      </c>
    </row>
    <row r="10017" spans="1:15">
      <c r="A10017" t="s">
        <v>98</v>
      </c>
      <c r="B10017" t="s">
        <v>149</v>
      </c>
      <c r="C10017" t="s">
        <v>230</v>
      </c>
      <c r="D10017" t="s">
        <v>359</v>
      </c>
      <c r="E10017" t="s">
        <v>475</v>
      </c>
      <c r="F10017">
        <f>HYPERLINK("https://www.wikidata.org/wiki/Q2357748", "Q2357748")</f>
        <v>0</v>
      </c>
      <c r="G10017" t="s">
        <v>1802</v>
      </c>
      <c r="H10017" t="s">
        <v>6467</v>
      </c>
      <c r="I10017" t="s">
        <v>9465</v>
      </c>
      <c r="J10017" t="s">
        <v>12497</v>
      </c>
      <c r="K10017" t="s">
        <v>16907</v>
      </c>
      <c r="L10017">
        <f>HYPERLINK("https://www2.assemblee-nationale.fr/sycomore/fiche/(num_dept)/3167", "3167")</f>
        <v>0</v>
      </c>
      <c r="N10017">
        <f>HYPERLINK("https://www.wikidata.org/wiki/Q3059882", "Q3059882")</f>
        <v>0</v>
      </c>
      <c r="O10017" t="s">
        <v>20242</v>
      </c>
    </row>
    <row r="10018" spans="1:15">
      <c r="A10018" t="s">
        <v>98</v>
      </c>
      <c r="B10018" t="s">
        <v>149</v>
      </c>
      <c r="C10018" t="s">
        <v>230</v>
      </c>
      <c r="D10018" t="s">
        <v>359</v>
      </c>
      <c r="E10018" t="s">
        <v>475</v>
      </c>
      <c r="F10018">
        <f>HYPERLINK("https://www.wikidata.org/wiki/Q2357748", "Q2357748")</f>
        <v>0</v>
      </c>
      <c r="G10018" t="s">
        <v>1175</v>
      </c>
      <c r="H10018" t="s">
        <v>5906</v>
      </c>
      <c r="I10018" t="s">
        <v>8494</v>
      </c>
      <c r="J10018" t="s">
        <v>11908</v>
      </c>
      <c r="K10018" t="s">
        <v>16310</v>
      </c>
      <c r="L10018">
        <f>HYPERLINK("https://www2.assemblee-nationale.fr/sycomore/fiche/(num_dept)/3254", "3254")</f>
        <v>0</v>
      </c>
      <c r="M10018">
        <f>HYPERLINK("https://www.senat.fr/senateur-3eme-republique/gardey_abel0150r3.html", "gardey_abel0150r3")</f>
        <v>0</v>
      </c>
      <c r="N10018">
        <f>HYPERLINK("https://www.wikidata.org/wiki/Q2821514", "Q2821514")</f>
        <v>0</v>
      </c>
      <c r="O10018" t="s">
        <v>20064</v>
      </c>
    </row>
    <row r="10019" spans="1:15">
      <c r="A10019" t="s">
        <v>98</v>
      </c>
      <c r="B10019" t="s">
        <v>149</v>
      </c>
      <c r="C10019" t="s">
        <v>230</v>
      </c>
      <c r="D10019" t="s">
        <v>359</v>
      </c>
      <c r="E10019" t="s">
        <v>475</v>
      </c>
      <c r="F10019">
        <f>HYPERLINK("https://www.wikidata.org/wiki/Q2357748", "Q2357748")</f>
        <v>0</v>
      </c>
      <c r="G10019" t="s">
        <v>1498</v>
      </c>
      <c r="H10019" t="s">
        <v>6196</v>
      </c>
      <c r="I10019" t="s">
        <v>9553</v>
      </c>
      <c r="J10019" t="s">
        <v>12216</v>
      </c>
      <c r="K10019" t="s">
        <v>16621</v>
      </c>
      <c r="L10019">
        <f>HYPERLINK("https://www2.assemblee-nationale.fr/sycomore/fiche/(num_dept)/3948", "3948")</f>
        <v>0</v>
      </c>
      <c r="M10019">
        <f>HYPERLINK("https://www.senat.fr/senateur-3eme-republique/israel_alexandre0223r3.html", "israel_alexandre0223r3")</f>
        <v>0</v>
      </c>
      <c r="N10019">
        <f>HYPERLINK("https://www.wikidata.org/wiki/Q2833756", "Q2833756")</f>
        <v>0</v>
      </c>
      <c r="O10019" t="s">
        <v>20068</v>
      </c>
    </row>
    <row r="10020" spans="1:15">
      <c r="A10020" t="s">
        <v>98</v>
      </c>
      <c r="B10020" t="s">
        <v>149</v>
      </c>
      <c r="C10020" t="s">
        <v>230</v>
      </c>
      <c r="D10020" t="s">
        <v>359</v>
      </c>
      <c r="E10020" t="s">
        <v>475</v>
      </c>
      <c r="F10020">
        <f>HYPERLINK("https://www.wikidata.org/wiki/Q2357748", "Q2357748")</f>
        <v>0</v>
      </c>
      <c r="G10020" t="s">
        <v>2095</v>
      </c>
      <c r="H10020" t="s">
        <v>6719</v>
      </c>
      <c r="I10020" t="s">
        <v>10080</v>
      </c>
      <c r="J10020" t="s">
        <v>12764</v>
      </c>
      <c r="K10020" t="s">
        <v>17177</v>
      </c>
      <c r="L10020">
        <f>HYPERLINK("https://www2.assemblee-nationale.fr/sycomore/fiche/(num_dept)/4009", "4009")</f>
        <v>0</v>
      </c>
      <c r="N10020">
        <f>HYPERLINK("https://www.wikidata.org/wiki/Q3163678", "Q3163678")</f>
        <v>0</v>
      </c>
      <c r="O10020" t="s">
        <v>20170</v>
      </c>
    </row>
    <row r="10021" spans="1:15">
      <c r="A10021" t="s">
        <v>98</v>
      </c>
      <c r="B10021" t="s">
        <v>149</v>
      </c>
      <c r="C10021" t="s">
        <v>230</v>
      </c>
      <c r="D10021" t="s">
        <v>359</v>
      </c>
      <c r="E10021" t="s">
        <v>475</v>
      </c>
      <c r="F10021">
        <f>HYPERLINK("https://www.wikidata.org/wiki/Q2357748", "Q2357748")</f>
        <v>0</v>
      </c>
      <c r="G10021" t="s">
        <v>1960</v>
      </c>
      <c r="H10021" t="s">
        <v>6601</v>
      </c>
      <c r="I10021" t="s">
        <v>6713</v>
      </c>
      <c r="J10021" t="s">
        <v>12643</v>
      </c>
      <c r="K10021" t="s">
        <v>17053</v>
      </c>
      <c r="L10021">
        <f>HYPERLINK("https://www2.assemblee-nationale.fr/sycomore/fiche/(num_dept)/4175", "4175")</f>
        <v>0</v>
      </c>
      <c r="N10021">
        <f>HYPERLINK("https://www.wikidata.org/wiki/Q3121895", "Q3121895")</f>
        <v>0</v>
      </c>
      <c r="O10021" t="s">
        <v>20130</v>
      </c>
    </row>
    <row r="10022" spans="1:15">
      <c r="A10022" t="s">
        <v>98</v>
      </c>
      <c r="B10022" t="s">
        <v>149</v>
      </c>
      <c r="C10022" t="s">
        <v>230</v>
      </c>
      <c r="D10022" t="s">
        <v>359</v>
      </c>
      <c r="E10022" t="s">
        <v>475</v>
      </c>
      <c r="F10022">
        <f>HYPERLINK("https://www.wikidata.org/wiki/Q2357748", "Q2357748")</f>
        <v>0</v>
      </c>
      <c r="G10022" t="s">
        <v>2107</v>
      </c>
      <c r="H10022" t="s">
        <v>6730</v>
      </c>
      <c r="I10022" t="s">
        <v>7265</v>
      </c>
      <c r="J10022" t="s">
        <v>12772</v>
      </c>
      <c r="K10022" t="s">
        <v>17189</v>
      </c>
      <c r="L10022">
        <f>HYPERLINK("https://www2.assemblee-nationale.fr/sycomore/fiche/(num_dept)/4982", "4982")</f>
        <v>0</v>
      </c>
      <c r="N10022">
        <f>HYPERLINK("https://www.wikidata.org/wiki/Q3380310", "Q3380310")</f>
        <v>0</v>
      </c>
      <c r="O10022" t="s">
        <v>20288</v>
      </c>
    </row>
    <row r="10023" spans="1:15">
      <c r="A10023" t="s">
        <v>98</v>
      </c>
      <c r="B10023" t="s">
        <v>149</v>
      </c>
      <c r="C10023" t="s">
        <v>230</v>
      </c>
      <c r="D10023" t="s">
        <v>359</v>
      </c>
      <c r="E10023" t="s">
        <v>475</v>
      </c>
      <c r="F10023">
        <f>HYPERLINK("https://www.wikidata.org/wiki/Q2357748", "Q2357748")</f>
        <v>0</v>
      </c>
      <c r="G10023" t="s">
        <v>1693</v>
      </c>
      <c r="H10023" t="s">
        <v>6239</v>
      </c>
      <c r="I10023" t="s">
        <v>5528</v>
      </c>
      <c r="J10023" t="s">
        <v>12397</v>
      </c>
      <c r="K10023" t="s">
        <v>16805</v>
      </c>
      <c r="L10023">
        <f>HYPERLINK("https://www2.assemblee-nationale.fr/sycomore/fiche/(num_dept)/5241", "5241")</f>
        <v>0</v>
      </c>
      <c r="N10023">
        <f>HYPERLINK("https://www.wikidata.org/wiki/Q1879449", "Q1879449")</f>
        <v>0</v>
      </c>
      <c r="O10023" t="s">
        <v>20108</v>
      </c>
    </row>
    <row r="10024" spans="1:15">
      <c r="A10024" t="s">
        <v>98</v>
      </c>
      <c r="B10024" t="s">
        <v>149</v>
      </c>
      <c r="C10024" t="s">
        <v>230</v>
      </c>
      <c r="D10024" t="s">
        <v>359</v>
      </c>
      <c r="E10024" t="s">
        <v>475</v>
      </c>
      <c r="F10024">
        <f>HYPERLINK("https://www.wikidata.org/wiki/Q2357748", "Q2357748")</f>
        <v>0</v>
      </c>
      <c r="G10024" t="s">
        <v>1673</v>
      </c>
      <c r="H10024" t="s">
        <v>6353</v>
      </c>
      <c r="I10024" t="s">
        <v>9602</v>
      </c>
      <c r="J10024" t="s">
        <v>12379</v>
      </c>
      <c r="K10024" t="s">
        <v>16787</v>
      </c>
      <c r="L10024">
        <f>HYPERLINK("https://www2.assemblee-nationale.fr/sycomore/fiche/(num_dept)/5271", "5271")</f>
        <v>0</v>
      </c>
      <c r="N10024">
        <f>HYPERLINK("https://www.wikidata.org/wiki/Q3047928", "Q3047928")</f>
        <v>0</v>
      </c>
      <c r="O10024" t="s">
        <v>20088</v>
      </c>
    </row>
    <row r="10025" spans="1:15">
      <c r="A10025" t="s">
        <v>98</v>
      </c>
      <c r="B10025" t="s">
        <v>149</v>
      </c>
      <c r="C10025" t="s">
        <v>230</v>
      </c>
      <c r="D10025" t="s">
        <v>359</v>
      </c>
      <c r="E10025" t="s">
        <v>475</v>
      </c>
      <c r="F10025">
        <f>HYPERLINK("https://www.wikidata.org/wiki/Q2357748", "Q2357748")</f>
        <v>0</v>
      </c>
      <c r="G10025" t="s">
        <v>2120</v>
      </c>
      <c r="H10025" t="s">
        <v>6740</v>
      </c>
      <c r="I10025" t="s">
        <v>6200</v>
      </c>
      <c r="J10025" t="s">
        <v>12784</v>
      </c>
      <c r="K10025" t="s">
        <v>17200</v>
      </c>
      <c r="L10025">
        <f>HYPERLINK("https://www2.assemblee-nationale.fr/sycomore/fiche/(num_dept)/5310", "5310")</f>
        <v>0</v>
      </c>
      <c r="N10025">
        <f>HYPERLINK("https://www.wikidata.org/wiki/Q845559", "Q845559")</f>
        <v>0</v>
      </c>
      <c r="O10025" t="s">
        <v>20290</v>
      </c>
    </row>
    <row r="10026" spans="1:15">
      <c r="A10026" t="s">
        <v>98</v>
      </c>
      <c r="B10026" t="s">
        <v>149</v>
      </c>
      <c r="C10026" t="s">
        <v>230</v>
      </c>
      <c r="D10026" t="s">
        <v>359</v>
      </c>
      <c r="E10026" t="s">
        <v>475</v>
      </c>
      <c r="F10026">
        <f>HYPERLINK("https://www.wikidata.org/wiki/Q2357748", "Q2357748")</f>
        <v>0</v>
      </c>
      <c r="G10026" t="s">
        <v>738</v>
      </c>
      <c r="H10026" t="s">
        <v>5496</v>
      </c>
      <c r="I10026" t="s">
        <v>9503</v>
      </c>
      <c r="J10026" t="s">
        <v>11487</v>
      </c>
      <c r="K10026" t="s">
        <v>15889</v>
      </c>
      <c r="L10026">
        <f>HYPERLINK("https://www2.assemblee-nationale.fr/sycomore/fiche/(num_dept)/5394", "5394")</f>
        <v>0</v>
      </c>
      <c r="M10026">
        <f>HYPERLINK("https://www.senat.fr/senateur-3eme-republique/de_monzie_anatole0605r3.html", "de_monzie_anatole0605r3")</f>
        <v>0</v>
      </c>
      <c r="N10026">
        <f>HYPERLINK("https://www.wikidata.org/wiki/Q2845619", "Q2845619")</f>
        <v>0</v>
      </c>
      <c r="O10026" t="s">
        <v>20085</v>
      </c>
    </row>
    <row r="10027" spans="1:15">
      <c r="A10027" t="s">
        <v>98</v>
      </c>
      <c r="B10027" t="s">
        <v>149</v>
      </c>
      <c r="C10027" t="s">
        <v>230</v>
      </c>
      <c r="D10027" t="s">
        <v>359</v>
      </c>
      <c r="E10027" t="s">
        <v>475</v>
      </c>
      <c r="F10027">
        <f>HYPERLINK("https://www.wikidata.org/wiki/Q2357748", "Q2357748")</f>
        <v>0</v>
      </c>
      <c r="G10027" t="s">
        <v>1017</v>
      </c>
      <c r="H10027" t="s">
        <v>5767</v>
      </c>
      <c r="I10027" t="s">
        <v>9388</v>
      </c>
      <c r="J10027" t="s">
        <v>11754</v>
      </c>
      <c r="K10027" t="s">
        <v>16157</v>
      </c>
      <c r="L10027">
        <f>HYPERLINK("https://www2.assemblee-nationale.fr/sycomore/fiche/(num_dept)/5653", "5653")</f>
        <v>0</v>
      </c>
      <c r="N10027">
        <f>HYPERLINK("https://www.wikidata.org/wiki/Q315434", "Q315434")</f>
        <v>0</v>
      </c>
      <c r="O10027" t="s">
        <v>20072</v>
      </c>
    </row>
    <row r="10028" spans="1:15">
      <c r="A10028" t="s">
        <v>98</v>
      </c>
      <c r="B10028" t="s">
        <v>149</v>
      </c>
      <c r="C10028" t="s">
        <v>230</v>
      </c>
      <c r="D10028" t="s">
        <v>359</v>
      </c>
      <c r="E10028" t="s">
        <v>475</v>
      </c>
      <c r="F10028">
        <f>HYPERLINK("https://www.wikidata.org/wiki/Q2357748", "Q2357748")</f>
        <v>0</v>
      </c>
      <c r="G10028" t="s">
        <v>1967</v>
      </c>
      <c r="H10028" t="s">
        <v>6607</v>
      </c>
      <c r="I10028" t="s">
        <v>9692</v>
      </c>
      <c r="J10028" t="s">
        <v>12649</v>
      </c>
      <c r="K10028" t="s">
        <v>17058</v>
      </c>
      <c r="L10028">
        <f>HYPERLINK("https://www2.assemblee-nationale.fr/sycomore/fiche/(num_dept)/5707", "5707")</f>
        <v>0</v>
      </c>
      <c r="N10028">
        <f>HYPERLINK("https://www.wikidata.org/wiki/Q2569191", "Q2569191")</f>
        <v>0</v>
      </c>
      <c r="O10028" t="s">
        <v>20332</v>
      </c>
    </row>
    <row r="10029" spans="1:15">
      <c r="A10029" t="s">
        <v>98</v>
      </c>
      <c r="B10029" t="s">
        <v>149</v>
      </c>
      <c r="C10029" t="s">
        <v>230</v>
      </c>
      <c r="D10029" t="s">
        <v>359</v>
      </c>
      <c r="E10029" t="s">
        <v>475</v>
      </c>
      <c r="F10029">
        <f>HYPERLINK("https://www.wikidata.org/wiki/Q2357748", "Q2357748")</f>
        <v>0</v>
      </c>
      <c r="G10029" t="s">
        <v>752</v>
      </c>
      <c r="H10029" t="s">
        <v>5510</v>
      </c>
      <c r="I10029" t="s">
        <v>9407</v>
      </c>
      <c r="J10029" t="s">
        <v>11500</v>
      </c>
      <c r="K10029" t="s">
        <v>15903</v>
      </c>
      <c r="L10029">
        <f>HYPERLINK("https://www2.assemblee-nationale.fr/sycomore/fiche/(num_dept)/5724", "5724")</f>
        <v>0</v>
      </c>
      <c r="M10029">
        <f>HYPERLINK("https://www.senat.fr/senateur-3eme-republique/paul_boncour_joseph0550r4.html", "paul_boncour_joseph0550r4")</f>
        <v>0</v>
      </c>
      <c r="N10029">
        <f>HYPERLINK("https://www.wikidata.org/wiki/Q285865", "Q285865")</f>
        <v>0</v>
      </c>
      <c r="O10029" t="s">
        <v>20062</v>
      </c>
    </row>
    <row r="10030" spans="1:15">
      <c r="A10030" t="s">
        <v>98</v>
      </c>
      <c r="B10030" t="s">
        <v>149</v>
      </c>
      <c r="C10030" t="s">
        <v>230</v>
      </c>
      <c r="D10030" t="s">
        <v>359</v>
      </c>
      <c r="E10030" t="s">
        <v>475</v>
      </c>
      <c r="F10030">
        <f>HYPERLINK("https://www.wikidata.org/wiki/Q2357748", "Q2357748")</f>
        <v>0</v>
      </c>
      <c r="G10030" t="s">
        <v>752</v>
      </c>
      <c r="H10030" t="s">
        <v>5510</v>
      </c>
      <c r="I10030" t="s">
        <v>9407</v>
      </c>
      <c r="J10030" t="s">
        <v>11500</v>
      </c>
      <c r="K10030" t="s">
        <v>15903</v>
      </c>
      <c r="L10030">
        <f>HYPERLINK("https://www2.assemblee-nationale.fr/sycomore/fiche/(num_dept)/5724", "5724")</f>
        <v>0</v>
      </c>
      <c r="M10030">
        <f>HYPERLINK("https://www.senat.fr/senateur-3eme-republique/paul_boncour_joseph0550r4.html", "paul_boncour_joseph0550r4")</f>
        <v>0</v>
      </c>
      <c r="N10030">
        <f>HYPERLINK("https://www.wikidata.org/wiki/Q285865", "Q285865")</f>
        <v>0</v>
      </c>
      <c r="O10030" t="s">
        <v>20052</v>
      </c>
    </row>
    <row r="10031" spans="1:15">
      <c r="A10031" t="s">
        <v>98</v>
      </c>
      <c r="B10031" t="s">
        <v>149</v>
      </c>
      <c r="C10031" t="s">
        <v>230</v>
      </c>
      <c r="D10031" t="s">
        <v>359</v>
      </c>
      <c r="E10031" t="s">
        <v>475</v>
      </c>
      <c r="F10031">
        <f>HYPERLINK("https://www.wikidata.org/wiki/Q2357748", "Q2357748")</f>
        <v>0</v>
      </c>
      <c r="G10031" t="s">
        <v>778</v>
      </c>
      <c r="H10031" t="s">
        <v>5536</v>
      </c>
      <c r="I10031" t="s">
        <v>6584</v>
      </c>
      <c r="J10031" t="s">
        <v>11525</v>
      </c>
      <c r="K10031" t="s">
        <v>15929</v>
      </c>
      <c r="L10031">
        <f>HYPERLINK("https://www2.assemblee-nationale.fr/sycomore/fiche/(num_dept)/6293", "6293")</f>
        <v>0</v>
      </c>
      <c r="M10031">
        <f>HYPERLINK("https://www.senat.fr/senateur-3eme-republique/sarraut_albert0265r3.html", "sarraut_albert0265r3")</f>
        <v>0</v>
      </c>
      <c r="N10031">
        <f>HYPERLINK("https://www.wikidata.org/wiki/Q460318", "Q460318")</f>
        <v>0</v>
      </c>
      <c r="O10031" t="s">
        <v>20065</v>
      </c>
    </row>
    <row r="10032" spans="1:15">
      <c r="A10032" t="s">
        <v>98</v>
      </c>
      <c r="B10032" t="s">
        <v>149</v>
      </c>
      <c r="C10032" t="s">
        <v>230</v>
      </c>
      <c r="D10032" t="s">
        <v>359</v>
      </c>
      <c r="E10032" t="s">
        <v>475</v>
      </c>
      <c r="F10032">
        <f>HYPERLINK("https://www.wikidata.org/wiki/Q2357748", "Q2357748")</f>
        <v>0</v>
      </c>
      <c r="G10032" t="s">
        <v>1304</v>
      </c>
      <c r="H10032" t="s">
        <v>6025</v>
      </c>
      <c r="I10032" t="s">
        <v>9457</v>
      </c>
      <c r="J10032" t="s">
        <v>12034</v>
      </c>
      <c r="K10032" t="s">
        <v>16435</v>
      </c>
      <c r="L10032">
        <f>HYPERLINK("https://www2.assemblee-nationale.fr/sycomore/fiche/(num_dept)/6554", "6554")</f>
        <v>0</v>
      </c>
      <c r="M10032">
        <f>HYPERLINK("https://www.senat.fr/senateur-3eme-republique/queuille_henri0469r3.html", "queuille_henri0469r3")</f>
        <v>0</v>
      </c>
      <c r="N10032">
        <f>HYPERLINK("https://www.wikidata.org/wiki/Q455655", "Q455655")</f>
        <v>0</v>
      </c>
      <c r="O10032" t="s">
        <v>20056</v>
      </c>
    </row>
    <row r="10033" spans="1:15">
      <c r="A10033" t="s">
        <v>98</v>
      </c>
      <c r="B10033" t="s">
        <v>149</v>
      </c>
      <c r="C10033" t="s">
        <v>230</v>
      </c>
      <c r="D10033" t="s">
        <v>359</v>
      </c>
      <c r="E10033" t="s">
        <v>475</v>
      </c>
      <c r="F10033">
        <f>HYPERLINK("https://www.wikidata.org/wiki/Q2357748", "Q2357748")</f>
        <v>0</v>
      </c>
      <c r="G10033" t="s">
        <v>2175</v>
      </c>
      <c r="H10033" t="s">
        <v>6789</v>
      </c>
      <c r="I10033" t="s">
        <v>6166</v>
      </c>
      <c r="J10033" t="s">
        <v>12339</v>
      </c>
      <c r="K10033" t="s">
        <v>17251</v>
      </c>
      <c r="L10033">
        <f>HYPERLINK("https://www2.assemblee-nationale.fr/sycomore/fiche/(num_dept)/6999", "6999")</f>
        <v>0</v>
      </c>
      <c r="N10033">
        <f>HYPERLINK("https://www.wikidata.org/wiki/Q3086325", "Q3086325")</f>
        <v>0</v>
      </c>
      <c r="O10033" t="s">
        <v>20333</v>
      </c>
    </row>
    <row r="10034" spans="1:15">
      <c r="A10034" t="s">
        <v>98</v>
      </c>
      <c r="B10034" t="s">
        <v>149</v>
      </c>
      <c r="C10034" t="s">
        <v>230</v>
      </c>
      <c r="D10034" t="s">
        <v>359</v>
      </c>
      <c r="E10034" t="s">
        <v>475</v>
      </c>
      <c r="F10034">
        <f>HYPERLINK("https://www.wikidata.org/wiki/Q2357748", "Q2357748")</f>
        <v>0</v>
      </c>
      <c r="G10034" t="s">
        <v>857</v>
      </c>
      <c r="H10034" t="s">
        <v>5613</v>
      </c>
      <c r="I10034" t="s">
        <v>6175</v>
      </c>
      <c r="J10034" t="s">
        <v>11603</v>
      </c>
      <c r="K10034" t="s">
        <v>16005</v>
      </c>
      <c r="L10034">
        <f>HYPERLINK("https://www2.assemblee-nationale.fr/sycomore/fiche/(num_dept)/7840", "7840")</f>
        <v>0</v>
      </c>
      <c r="N10034">
        <f>HYPERLINK("https://www.wikidata.org/wiki/Q728806", "Q728806")</f>
        <v>0</v>
      </c>
      <c r="O10034" t="s">
        <v>20053</v>
      </c>
    </row>
    <row r="10035" spans="1:15">
      <c r="A10035" t="s">
        <v>98</v>
      </c>
      <c r="B10035" t="s">
        <v>149</v>
      </c>
      <c r="C10035" t="s">
        <v>230</v>
      </c>
      <c r="D10035" t="s">
        <v>359</v>
      </c>
      <c r="E10035" t="s">
        <v>475</v>
      </c>
      <c r="F10035">
        <f>HYPERLINK("https://www.wikidata.org/wiki/Q2357748", "Q2357748")</f>
        <v>0</v>
      </c>
      <c r="G10035" t="s">
        <v>1724</v>
      </c>
      <c r="H10035" t="s">
        <v>6360</v>
      </c>
      <c r="I10035" t="s">
        <v>6175</v>
      </c>
      <c r="J10035" t="s">
        <v>12425</v>
      </c>
      <c r="K10035" t="s">
        <v>16833</v>
      </c>
      <c r="N10035">
        <f>HYPERLINK("https://www.wikidata.org/wiki/Q3102323", "Q3102323")</f>
        <v>0</v>
      </c>
      <c r="O10035" t="s">
        <v>20063</v>
      </c>
    </row>
    <row r="10036" spans="1:15">
      <c r="A10036" t="s">
        <v>98</v>
      </c>
      <c r="B10036" t="s">
        <v>149</v>
      </c>
      <c r="C10036" t="s">
        <v>230</v>
      </c>
      <c r="D10036" t="s">
        <v>359</v>
      </c>
      <c r="E10036" t="s">
        <v>475</v>
      </c>
      <c r="F10036">
        <f>HYPERLINK("https://www.wikidata.org/wiki/Q2357748", "Q2357748")</f>
        <v>0</v>
      </c>
      <c r="G10036" t="s">
        <v>4281</v>
      </c>
      <c r="H10036" t="s">
        <v>6085</v>
      </c>
      <c r="I10036" t="s">
        <v>9388</v>
      </c>
      <c r="J10036" t="s">
        <v>14780</v>
      </c>
      <c r="K10036" t="s">
        <v>16499</v>
      </c>
      <c r="N10036">
        <f>HYPERLINK("https://www.wikidata.org/wiki/Q3370621", "Q3370621")</f>
        <v>0</v>
      </c>
      <c r="O10036" t="s">
        <v>20293</v>
      </c>
    </row>
    <row r="10037" spans="1:15">
      <c r="A10037" t="s">
        <v>99</v>
      </c>
      <c r="B10037" t="s">
        <v>149</v>
      </c>
      <c r="C10037" t="s">
        <v>231</v>
      </c>
      <c r="D10037" t="s">
        <v>360</v>
      </c>
      <c r="E10037" t="s">
        <v>476</v>
      </c>
      <c r="F10037">
        <f>HYPERLINK("https://www.wikidata.org/wiki/Q3112368", "Q3112368")</f>
        <v>0</v>
      </c>
      <c r="G10037" t="s">
        <v>1410</v>
      </c>
      <c r="H10037" t="s">
        <v>5337</v>
      </c>
      <c r="I10037" t="s">
        <v>9506</v>
      </c>
      <c r="J10037" t="s">
        <v>12135</v>
      </c>
      <c r="K10037" t="s">
        <v>16537</v>
      </c>
      <c r="L10037">
        <f>HYPERLINK("https://www2.assemblee-nationale.fr/sycomore/fiche/(num_dept)/1726", "1726")</f>
        <v>0</v>
      </c>
      <c r="M10037">
        <f>HYPERLINK("https://www.senat.fr/senateur-3eme-republique/chautemps_camille0380r3.html", "chautemps_camille0380r3")</f>
        <v>0</v>
      </c>
      <c r="N10037">
        <f>HYPERLINK("https://www.wikidata.org/wiki/Q263884", "Q263884")</f>
        <v>0</v>
      </c>
      <c r="O10037" t="s">
        <v>20098</v>
      </c>
    </row>
    <row r="10038" spans="1:15">
      <c r="A10038" t="s">
        <v>99</v>
      </c>
      <c r="B10038" t="s">
        <v>149</v>
      </c>
      <c r="C10038" t="s">
        <v>231</v>
      </c>
      <c r="D10038" t="s">
        <v>360</v>
      </c>
      <c r="E10038" t="s">
        <v>476</v>
      </c>
      <c r="F10038">
        <f>HYPERLINK("https://www.wikidata.org/wiki/Q3112368", "Q3112368")</f>
        <v>0</v>
      </c>
      <c r="G10038" t="s">
        <v>2289</v>
      </c>
      <c r="H10038" t="s">
        <v>6886</v>
      </c>
      <c r="I10038" t="s">
        <v>6584</v>
      </c>
      <c r="J10038" t="s">
        <v>12946</v>
      </c>
      <c r="K10038" t="s">
        <v>17353</v>
      </c>
      <c r="L10038">
        <f>HYPERLINK("https://www2.assemblee-nationale.fr/sycomore/fiche/(num_dept)/1795", "1795")</f>
        <v>0</v>
      </c>
      <c r="N10038">
        <f>HYPERLINK("https://www.wikidata.org/wiki/Q2831044", "Q2831044")</f>
        <v>0</v>
      </c>
      <c r="O10038" t="s">
        <v>20214</v>
      </c>
    </row>
    <row r="10039" spans="1:15">
      <c r="A10039" t="s">
        <v>99</v>
      </c>
      <c r="B10039" t="s">
        <v>149</v>
      </c>
      <c r="C10039" t="s">
        <v>231</v>
      </c>
      <c r="D10039" t="s">
        <v>360</v>
      </c>
      <c r="E10039" t="s">
        <v>476</v>
      </c>
      <c r="F10039">
        <f>HYPERLINK("https://www.wikidata.org/wiki/Q3112368", "Q3112368")</f>
        <v>0</v>
      </c>
      <c r="G10039" t="s">
        <v>1797</v>
      </c>
      <c r="H10039" t="s">
        <v>6462</v>
      </c>
      <c r="I10039" t="s">
        <v>6585</v>
      </c>
      <c r="J10039" t="s">
        <v>12492</v>
      </c>
      <c r="K10039" t="s">
        <v>16902</v>
      </c>
      <c r="L10039">
        <f>HYPERLINK("https://www2.assemblee-nationale.fr/sycomore/fiche/(num_dept)/2995", "2995")</f>
        <v>0</v>
      </c>
      <c r="N10039">
        <f>HYPERLINK("https://www.wikidata.org/wiki/Q2847791", "Q2847791")</f>
        <v>0</v>
      </c>
      <c r="O10039" t="s">
        <v>20334</v>
      </c>
    </row>
    <row r="10040" spans="1:15">
      <c r="A10040" t="s">
        <v>99</v>
      </c>
      <c r="B10040" t="s">
        <v>149</v>
      </c>
      <c r="C10040" t="s">
        <v>231</v>
      </c>
      <c r="D10040" t="s">
        <v>360</v>
      </c>
      <c r="E10040" t="s">
        <v>476</v>
      </c>
      <c r="F10040">
        <f>HYPERLINK("https://www.wikidata.org/wiki/Q3112368", "Q3112368")</f>
        <v>0</v>
      </c>
      <c r="G10040" t="s">
        <v>1955</v>
      </c>
      <c r="H10040" t="s">
        <v>6597</v>
      </c>
      <c r="I10040" t="s">
        <v>10016</v>
      </c>
      <c r="J10040" t="s">
        <v>12638</v>
      </c>
      <c r="K10040" t="s">
        <v>17048</v>
      </c>
      <c r="L10040">
        <f>HYPERLINK("https://www2.assemblee-nationale.fr/sycomore/fiche/(num_dept)/3166", "3166")</f>
        <v>0</v>
      </c>
      <c r="N10040">
        <f>HYPERLINK("https://www.wikidata.org/wiki/Q1109027", "Q1109027")</f>
        <v>0</v>
      </c>
      <c r="O10040" t="s">
        <v>20335</v>
      </c>
    </row>
    <row r="10041" spans="1:15">
      <c r="A10041" t="s">
        <v>99</v>
      </c>
      <c r="B10041" t="s">
        <v>149</v>
      </c>
      <c r="C10041" t="s">
        <v>231</v>
      </c>
      <c r="D10041" t="s">
        <v>360</v>
      </c>
      <c r="E10041" t="s">
        <v>476</v>
      </c>
      <c r="F10041">
        <f>HYPERLINK("https://www.wikidata.org/wiki/Q3112368", "Q3112368")</f>
        <v>0</v>
      </c>
      <c r="G10041" t="s">
        <v>1594</v>
      </c>
      <c r="H10041" t="s">
        <v>6284</v>
      </c>
      <c r="I10041" t="s">
        <v>6759</v>
      </c>
      <c r="J10041" t="s">
        <v>12302</v>
      </c>
      <c r="K10041" t="s">
        <v>16712</v>
      </c>
      <c r="L10041">
        <f>HYPERLINK("https://www2.assemblee-nationale.fr/sycomore/fiche/(num_dept)/6358", "6358")</f>
        <v>0</v>
      </c>
      <c r="N10041">
        <f>HYPERLINK("https://www.wikidata.org/wiki/Q15981", "Q15981")</f>
        <v>0</v>
      </c>
      <c r="O10041" t="s">
        <v>20336</v>
      </c>
    </row>
    <row r="10042" spans="1:15">
      <c r="A10042" t="s">
        <v>99</v>
      </c>
      <c r="B10042" t="s">
        <v>149</v>
      </c>
      <c r="C10042" t="s">
        <v>231</v>
      </c>
      <c r="D10042" t="s">
        <v>360</v>
      </c>
      <c r="E10042" t="s">
        <v>476</v>
      </c>
      <c r="F10042">
        <f>HYPERLINK("https://www.wikidata.org/wiki/Q3112368", "Q3112368")</f>
        <v>0</v>
      </c>
      <c r="G10042" t="s">
        <v>2156</v>
      </c>
      <c r="H10042" t="s">
        <v>6770</v>
      </c>
      <c r="I10042" t="s">
        <v>9385</v>
      </c>
      <c r="J10042" t="s">
        <v>12820</v>
      </c>
      <c r="K10042" t="s">
        <v>17235</v>
      </c>
      <c r="L10042">
        <f>HYPERLINK("https://www2.assemblee-nationale.fr/sycomore/fiche/(num_dept)/6406", "6406")</f>
        <v>0</v>
      </c>
      <c r="N10042">
        <f>HYPERLINK("https://www.wikidata.org/wiki/Q2960033", "Q2960033")</f>
        <v>0</v>
      </c>
      <c r="O10042" t="s">
        <v>20058</v>
      </c>
    </row>
    <row r="10043" spans="1:15">
      <c r="A10043" t="s">
        <v>99</v>
      </c>
      <c r="B10043" t="s">
        <v>149</v>
      </c>
      <c r="C10043" t="s">
        <v>231</v>
      </c>
      <c r="D10043" t="s">
        <v>360</v>
      </c>
      <c r="E10043" t="s">
        <v>476</v>
      </c>
      <c r="F10043">
        <f>HYPERLINK("https://www.wikidata.org/wiki/Q3112368", "Q3112368")</f>
        <v>0</v>
      </c>
      <c r="G10043" t="s">
        <v>1208</v>
      </c>
      <c r="H10043" t="s">
        <v>5936</v>
      </c>
      <c r="I10043" t="s">
        <v>6200</v>
      </c>
      <c r="J10043" t="s">
        <v>11940</v>
      </c>
      <c r="K10043" t="s">
        <v>16342</v>
      </c>
      <c r="L10043">
        <f>HYPERLINK("https://www2.assemblee-nationale.fr/sycomore/fiche/(num_dept)/7299", "7299")</f>
        <v>0</v>
      </c>
      <c r="N10043">
        <f>HYPERLINK("https://www.wikidata.org/wiki/Q2624477", "Q2624477")</f>
        <v>0</v>
      </c>
      <c r="O10043" t="s">
        <v>20337</v>
      </c>
    </row>
    <row r="10044" spans="1:15">
      <c r="A10044" t="s">
        <v>99</v>
      </c>
      <c r="B10044" t="s">
        <v>149</v>
      </c>
      <c r="C10044" t="s">
        <v>231</v>
      </c>
      <c r="D10044" t="s">
        <v>360</v>
      </c>
      <c r="E10044" t="s">
        <v>476</v>
      </c>
      <c r="F10044">
        <f>HYPERLINK("https://www.wikidata.org/wiki/Q3112368", "Q3112368")</f>
        <v>0</v>
      </c>
      <c r="G10044" t="s">
        <v>2195</v>
      </c>
      <c r="H10044" t="s">
        <v>6806</v>
      </c>
      <c r="I10044" t="s">
        <v>6584</v>
      </c>
      <c r="J10044" t="s">
        <v>12858</v>
      </c>
      <c r="K10044" t="s">
        <v>16325</v>
      </c>
      <c r="L10044">
        <f>HYPERLINK("https://www2.assemblee-nationale.fr/sycomore/fiche/(num_dept)/19493", "19493")</f>
        <v>0</v>
      </c>
      <c r="N10044">
        <f>HYPERLINK("https://www.wikidata.org/wiki/Q2831506", "Q2831506")</f>
        <v>0</v>
      </c>
      <c r="O10044" t="s">
        <v>20065</v>
      </c>
    </row>
    <row r="10045" spans="1:15">
      <c r="A10045" t="s">
        <v>99</v>
      </c>
      <c r="B10045" t="s">
        <v>149</v>
      </c>
      <c r="C10045" t="s">
        <v>231</v>
      </c>
      <c r="D10045" t="s">
        <v>360</v>
      </c>
      <c r="E10045" t="s">
        <v>476</v>
      </c>
      <c r="F10045">
        <f>HYPERLINK("https://www.wikidata.org/wiki/Q3112368", "Q3112368")</f>
        <v>0</v>
      </c>
      <c r="G10045" t="s">
        <v>4324</v>
      </c>
      <c r="H10045" t="s">
        <v>8476</v>
      </c>
      <c r="I10045" t="s">
        <v>9385</v>
      </c>
      <c r="J10045" t="s">
        <v>14820</v>
      </c>
      <c r="K10045" t="s">
        <v>19160</v>
      </c>
      <c r="N10045">
        <f>HYPERLINK("https://www.wikidata.org/wiki/Q2959136", "Q2959136")</f>
        <v>0</v>
      </c>
      <c r="O10045" t="s">
        <v>20264</v>
      </c>
    </row>
    <row r="10046" spans="1:15">
      <c r="A10046" t="s">
        <v>99</v>
      </c>
      <c r="B10046" t="s">
        <v>149</v>
      </c>
      <c r="C10046" t="s">
        <v>231</v>
      </c>
      <c r="D10046" t="s">
        <v>360</v>
      </c>
      <c r="E10046" t="s">
        <v>476</v>
      </c>
      <c r="F10046">
        <f>HYPERLINK("https://www.wikidata.org/wiki/Q3112368", "Q3112368")</f>
        <v>0</v>
      </c>
      <c r="G10046" t="s">
        <v>4325</v>
      </c>
      <c r="H10046" t="s">
        <v>8477</v>
      </c>
      <c r="I10046" t="s">
        <v>5630</v>
      </c>
      <c r="J10046" t="s">
        <v>14821</v>
      </c>
      <c r="K10046" t="s">
        <v>19161</v>
      </c>
      <c r="N10046">
        <f>HYPERLINK("https://www.wikidata.org/wiki/Q2899656", "Q2899656")</f>
        <v>0</v>
      </c>
      <c r="O10046" t="s">
        <v>20072</v>
      </c>
    </row>
    <row r="10047" spans="1:15">
      <c r="A10047" t="s">
        <v>99</v>
      </c>
      <c r="B10047" t="s">
        <v>149</v>
      </c>
      <c r="C10047" t="s">
        <v>231</v>
      </c>
      <c r="D10047" t="s">
        <v>360</v>
      </c>
      <c r="E10047" t="s">
        <v>476</v>
      </c>
      <c r="F10047">
        <f>HYPERLINK("https://www.wikidata.org/wiki/Q3112368", "Q3112368")</f>
        <v>0</v>
      </c>
      <c r="G10047" t="s">
        <v>4326</v>
      </c>
      <c r="H10047" t="s">
        <v>8478</v>
      </c>
      <c r="I10047" t="s">
        <v>6584</v>
      </c>
      <c r="J10047" t="s">
        <v>14822</v>
      </c>
      <c r="K10047" t="s">
        <v>19162</v>
      </c>
      <c r="N10047">
        <f>HYPERLINK("https://www.wikidata.org/wiki/Q1406144", "Q1406144")</f>
        <v>0</v>
      </c>
      <c r="O10047" t="s">
        <v>20085</v>
      </c>
    </row>
    <row r="10048" spans="1:15">
      <c r="A10048" t="s">
        <v>99</v>
      </c>
      <c r="B10048" t="s">
        <v>149</v>
      </c>
      <c r="C10048" t="s">
        <v>231</v>
      </c>
      <c r="D10048" t="s">
        <v>360</v>
      </c>
      <c r="E10048" t="s">
        <v>476</v>
      </c>
      <c r="F10048">
        <f>HYPERLINK("https://www.wikidata.org/wiki/Q3112368", "Q3112368")</f>
        <v>0</v>
      </c>
      <c r="G10048" t="s">
        <v>4327</v>
      </c>
      <c r="H10048" t="s">
        <v>8479</v>
      </c>
      <c r="I10048" t="s">
        <v>9554</v>
      </c>
      <c r="J10048" t="s">
        <v>14823</v>
      </c>
      <c r="K10048" t="s">
        <v>19163</v>
      </c>
      <c r="N10048">
        <f>HYPERLINK("https://www.wikidata.org/wiki/Q170357", "Q170357")</f>
        <v>0</v>
      </c>
      <c r="O10048" t="s">
        <v>20338</v>
      </c>
    </row>
    <row r="10049" spans="1:15">
      <c r="A10049" t="s">
        <v>99</v>
      </c>
      <c r="B10049" t="s">
        <v>149</v>
      </c>
      <c r="C10049" t="s">
        <v>231</v>
      </c>
      <c r="D10049" t="s">
        <v>360</v>
      </c>
      <c r="E10049" t="s">
        <v>476</v>
      </c>
      <c r="F10049">
        <f>HYPERLINK("https://www.wikidata.org/wiki/Q3112368", "Q3112368")</f>
        <v>0</v>
      </c>
      <c r="G10049" t="s">
        <v>4328</v>
      </c>
      <c r="H10049" t="s">
        <v>8480</v>
      </c>
      <c r="I10049" t="s">
        <v>6495</v>
      </c>
      <c r="J10049" t="s">
        <v>14824</v>
      </c>
      <c r="K10049" t="s">
        <v>19164</v>
      </c>
      <c r="N10049">
        <f>HYPERLINK("https://www.wikidata.org/wiki/Q3261564", "Q3261564")</f>
        <v>0</v>
      </c>
      <c r="O10049" t="s">
        <v>20057</v>
      </c>
    </row>
    <row r="10050" spans="1:15">
      <c r="A10050" t="s">
        <v>99</v>
      </c>
      <c r="B10050" t="s">
        <v>149</v>
      </c>
      <c r="C10050" t="s">
        <v>231</v>
      </c>
      <c r="D10050" t="s">
        <v>360</v>
      </c>
      <c r="E10050" t="s">
        <v>476</v>
      </c>
      <c r="F10050">
        <f>HYPERLINK("https://www.wikidata.org/wiki/Q3112368", "Q3112368")</f>
        <v>0</v>
      </c>
      <c r="G10050" t="s">
        <v>4329</v>
      </c>
      <c r="H10050" t="s">
        <v>7804</v>
      </c>
      <c r="I10050" t="s">
        <v>6166</v>
      </c>
      <c r="J10050" t="s">
        <v>12870</v>
      </c>
      <c r="K10050" t="s">
        <v>19165</v>
      </c>
      <c r="N10050">
        <f>HYPERLINK("https://www.wikidata.org/wiki/Q156916", "Q156916")</f>
        <v>0</v>
      </c>
      <c r="O10050" t="s">
        <v>20339</v>
      </c>
    </row>
    <row r="10051" spans="1:15">
      <c r="A10051" t="s">
        <v>99</v>
      </c>
      <c r="B10051" t="s">
        <v>149</v>
      </c>
      <c r="C10051" t="s">
        <v>231</v>
      </c>
      <c r="D10051" t="s">
        <v>360</v>
      </c>
      <c r="E10051" t="s">
        <v>476</v>
      </c>
      <c r="F10051">
        <f>HYPERLINK("https://www.wikidata.org/wiki/Q3112368", "Q3112368")</f>
        <v>0</v>
      </c>
      <c r="G10051" t="s">
        <v>4330</v>
      </c>
      <c r="H10051" t="s">
        <v>8481</v>
      </c>
      <c r="I10051" t="s">
        <v>9388</v>
      </c>
      <c r="J10051" t="s">
        <v>14825</v>
      </c>
      <c r="K10051" t="s">
        <v>19166</v>
      </c>
      <c r="N10051">
        <f>HYPERLINK("https://www.wikidata.org/wiki/Q477880", "Q477880")</f>
        <v>0</v>
      </c>
      <c r="O10051" t="s">
        <v>20062</v>
      </c>
    </row>
    <row r="10052" spans="1:15">
      <c r="A10052" t="s">
        <v>99</v>
      </c>
      <c r="B10052" t="s">
        <v>149</v>
      </c>
      <c r="C10052" t="s">
        <v>231</v>
      </c>
      <c r="D10052" t="s">
        <v>360</v>
      </c>
      <c r="E10052" t="s">
        <v>476</v>
      </c>
      <c r="F10052">
        <f>HYPERLINK("https://www.wikidata.org/wiki/Q3112368", "Q3112368")</f>
        <v>0</v>
      </c>
      <c r="G10052" t="s">
        <v>4331</v>
      </c>
      <c r="H10052" t="s">
        <v>8482</v>
      </c>
      <c r="I10052" t="s">
        <v>9843</v>
      </c>
      <c r="J10052" t="s">
        <v>14826</v>
      </c>
      <c r="K10052" t="s">
        <v>19167</v>
      </c>
      <c r="N10052">
        <f>HYPERLINK("https://www.wikidata.org/wiki/Q2669405", "Q2669405")</f>
        <v>0</v>
      </c>
      <c r="O10052" t="s">
        <v>20340</v>
      </c>
    </row>
    <row r="10053" spans="1:15">
      <c r="A10053" t="s">
        <v>99</v>
      </c>
      <c r="B10053" t="s">
        <v>149</v>
      </c>
      <c r="C10053" t="s">
        <v>231</v>
      </c>
      <c r="D10053" t="s">
        <v>360</v>
      </c>
      <c r="E10053" t="s">
        <v>476</v>
      </c>
      <c r="F10053">
        <f>HYPERLINK("https://www.wikidata.org/wiki/Q3112368", "Q3112368")</f>
        <v>0</v>
      </c>
      <c r="G10053" t="s">
        <v>4232</v>
      </c>
      <c r="H10053" t="s">
        <v>8409</v>
      </c>
      <c r="I10053" t="s">
        <v>7265</v>
      </c>
      <c r="J10053" t="s">
        <v>14739</v>
      </c>
      <c r="K10053" t="s">
        <v>19084</v>
      </c>
      <c r="N10053">
        <f>HYPERLINK("https://www.wikidata.org/wiki/Q5721", "Q5721")</f>
        <v>0</v>
      </c>
      <c r="O10053" t="s">
        <v>20052</v>
      </c>
    </row>
    <row r="10054" spans="1:15">
      <c r="A10054" t="s">
        <v>99</v>
      </c>
      <c r="B10054" t="s">
        <v>149</v>
      </c>
      <c r="C10054" t="s">
        <v>231</v>
      </c>
      <c r="D10054" t="s">
        <v>360</v>
      </c>
      <c r="E10054" t="s">
        <v>476</v>
      </c>
      <c r="F10054">
        <f>HYPERLINK("https://www.wikidata.org/wiki/Q3112368", "Q3112368")</f>
        <v>0</v>
      </c>
      <c r="G10054" t="s">
        <v>4332</v>
      </c>
      <c r="H10054" t="s">
        <v>8483</v>
      </c>
      <c r="I10054" t="s">
        <v>9512</v>
      </c>
      <c r="J10054" t="s">
        <v>14827</v>
      </c>
      <c r="K10054" t="s">
        <v>19168</v>
      </c>
      <c r="N10054">
        <f>HYPERLINK("https://www.wikidata.org/wiki/Q2029323", "Q2029323")</f>
        <v>0</v>
      </c>
      <c r="O10054" t="s">
        <v>20099</v>
      </c>
    </row>
    <row r="10055" spans="1:15">
      <c r="A10055" t="s">
        <v>100</v>
      </c>
      <c r="B10055" t="s">
        <v>149</v>
      </c>
      <c r="C10055" t="s">
        <v>232</v>
      </c>
      <c r="D10055" t="s">
        <v>361</v>
      </c>
      <c r="E10055" t="s">
        <v>302</v>
      </c>
      <c r="F10055">
        <f>HYPERLINK("https://www.wikidata.org/wiki/Q3112407", "Q3112407")</f>
        <v>0</v>
      </c>
      <c r="G10055" t="s">
        <v>875</v>
      </c>
      <c r="H10055" t="s">
        <v>5631</v>
      </c>
      <c r="I10055" t="s">
        <v>9476</v>
      </c>
      <c r="J10055" t="s">
        <v>11621</v>
      </c>
      <c r="K10055" t="s">
        <v>16023</v>
      </c>
      <c r="L10055">
        <f>HYPERLINK("https://www2.assemblee-nationale.fr/sycomore/fiche/(num_dept)/749", "749")</f>
        <v>0</v>
      </c>
      <c r="M10055">
        <f>HYPERLINK("https://www.senat.fr/senateur-3eme-republique/besnard_rene0300r3.html", "besnard_rene0300r3")</f>
        <v>0</v>
      </c>
      <c r="N10055">
        <f>HYPERLINK("https://www.wikidata.org/wiki/Q3425839", "Q3425839")</f>
        <v>0</v>
      </c>
      <c r="O10055" t="s">
        <v>20065</v>
      </c>
    </row>
    <row r="10056" spans="1:15">
      <c r="A10056" t="s">
        <v>100</v>
      </c>
      <c r="B10056" t="s">
        <v>149</v>
      </c>
      <c r="C10056" t="s">
        <v>232</v>
      </c>
      <c r="D10056" t="s">
        <v>361</v>
      </c>
      <c r="E10056" t="s">
        <v>302</v>
      </c>
      <c r="F10056">
        <f>HYPERLINK("https://www.wikidata.org/wiki/Q3112407", "Q3112407")</f>
        <v>0</v>
      </c>
      <c r="G10056" t="s">
        <v>875</v>
      </c>
      <c r="H10056" t="s">
        <v>5631</v>
      </c>
      <c r="I10056" t="s">
        <v>9476</v>
      </c>
      <c r="J10056" t="s">
        <v>11621</v>
      </c>
      <c r="K10056" t="s">
        <v>16023</v>
      </c>
      <c r="L10056">
        <f>HYPERLINK("https://www2.assemblee-nationale.fr/sycomore/fiche/(num_dept)/749", "749")</f>
        <v>0</v>
      </c>
      <c r="M10056">
        <f>HYPERLINK("https://www.senat.fr/senateur-3eme-republique/besnard_rene0300r3.html", "besnard_rene0300r3")</f>
        <v>0</v>
      </c>
      <c r="N10056">
        <f>HYPERLINK("https://www.wikidata.org/wiki/Q3425839", "Q3425839")</f>
        <v>0</v>
      </c>
      <c r="O10056" t="s">
        <v>20054</v>
      </c>
    </row>
    <row r="10057" spans="1:15">
      <c r="A10057" t="s">
        <v>100</v>
      </c>
      <c r="B10057" t="s">
        <v>149</v>
      </c>
      <c r="C10057" t="s">
        <v>232</v>
      </c>
      <c r="D10057" t="s">
        <v>361</v>
      </c>
      <c r="E10057" t="s">
        <v>302</v>
      </c>
      <c r="F10057">
        <f>HYPERLINK("https://www.wikidata.org/wiki/Q3112407", "Q3112407")</f>
        <v>0</v>
      </c>
      <c r="G10057" t="s">
        <v>3373</v>
      </c>
      <c r="H10057" t="s">
        <v>7083</v>
      </c>
      <c r="I10057" t="s">
        <v>5528</v>
      </c>
      <c r="J10057" t="s">
        <v>13985</v>
      </c>
      <c r="K10057" t="s">
        <v>18353</v>
      </c>
      <c r="L10057">
        <f>HYPERLINK("https://www2.assemblee-nationale.fr/sycomore/fiche/(num_dept)/1083", "1083")</f>
        <v>0</v>
      </c>
      <c r="M10057">
        <f>HYPERLINK("https://www.senat.fr/senateur-3eme-republique/bourgeois_leon0647r3.html", "bourgeois_leon0647r3")</f>
        <v>0</v>
      </c>
      <c r="N10057">
        <f>HYPERLINK("https://www.wikidata.org/wiki/Q217706", "Q217706")</f>
        <v>0</v>
      </c>
      <c r="O10057" t="s">
        <v>20204</v>
      </c>
    </row>
    <row r="10058" spans="1:15">
      <c r="A10058" t="s">
        <v>100</v>
      </c>
      <c r="B10058" t="s">
        <v>149</v>
      </c>
      <c r="C10058" t="s">
        <v>232</v>
      </c>
      <c r="D10058" t="s">
        <v>361</v>
      </c>
      <c r="E10058" t="s">
        <v>302</v>
      </c>
      <c r="F10058">
        <f>HYPERLINK("https://www.wikidata.org/wiki/Q3112407", "Q3112407")</f>
        <v>0</v>
      </c>
      <c r="G10058" t="s">
        <v>553</v>
      </c>
      <c r="H10058" t="s">
        <v>5316</v>
      </c>
      <c r="I10058" t="s">
        <v>9411</v>
      </c>
      <c r="J10058" t="s">
        <v>11304</v>
      </c>
      <c r="K10058" t="s">
        <v>15705</v>
      </c>
      <c r="L10058">
        <f>HYPERLINK("https://www2.assemblee-nationale.fr/sycomore/fiche/(num_dept)/1211", "1211")</f>
        <v>0</v>
      </c>
      <c r="N10058">
        <f>HYPERLINK("https://www.wikidata.org/wiki/Q179888", "Q179888")</f>
        <v>0</v>
      </c>
      <c r="O10058" t="s">
        <v>20064</v>
      </c>
    </row>
    <row r="10059" spans="1:15">
      <c r="A10059" t="s">
        <v>100</v>
      </c>
      <c r="B10059" t="s">
        <v>149</v>
      </c>
      <c r="C10059" t="s">
        <v>232</v>
      </c>
      <c r="D10059" t="s">
        <v>361</v>
      </c>
      <c r="E10059" t="s">
        <v>302</v>
      </c>
      <c r="F10059">
        <f>HYPERLINK("https://www.wikidata.org/wiki/Q3112407", "Q3112407")</f>
        <v>0</v>
      </c>
      <c r="G10059" t="s">
        <v>573</v>
      </c>
      <c r="H10059" t="s">
        <v>5336</v>
      </c>
      <c r="I10059" t="s">
        <v>9385</v>
      </c>
      <c r="J10059" t="s">
        <v>11324</v>
      </c>
      <c r="K10059" t="s">
        <v>15725</v>
      </c>
      <c r="L10059">
        <f>HYPERLINK("https://www2.assemblee-nationale.fr/sycomore/fiche/(num_dept)/1716", "1716")</f>
        <v>0</v>
      </c>
      <c r="M10059">
        <f>HYPERLINK("https://www.senat.fr/senateur-3eme-republique/chaumet_jean0195r3.html", "chaumet_jean0195r3")</f>
        <v>0</v>
      </c>
      <c r="N10059">
        <f>HYPERLINK("https://www.wikidata.org/wiki/Q2958718", "Q2958718")</f>
        <v>0</v>
      </c>
      <c r="O10059" t="s">
        <v>20232</v>
      </c>
    </row>
    <row r="10060" spans="1:15">
      <c r="A10060" t="s">
        <v>100</v>
      </c>
      <c r="B10060" t="s">
        <v>149</v>
      </c>
      <c r="C10060" t="s">
        <v>232</v>
      </c>
      <c r="D10060" t="s">
        <v>361</v>
      </c>
      <c r="E10060" t="s">
        <v>302</v>
      </c>
      <c r="F10060">
        <f>HYPERLINK("https://www.wikidata.org/wiki/Q3112407", "Q3112407")</f>
        <v>0</v>
      </c>
      <c r="G10060" t="s">
        <v>600</v>
      </c>
      <c r="H10060" t="s">
        <v>5361</v>
      </c>
      <c r="I10060" t="s">
        <v>9446</v>
      </c>
      <c r="J10060" t="s">
        <v>11351</v>
      </c>
      <c r="K10060" t="s">
        <v>15752</v>
      </c>
      <c r="L10060">
        <f>HYPERLINK("https://www2.assemblee-nationale.fr/sycomore/fiche/(num_dept)/2171", "2171")</f>
        <v>0</v>
      </c>
      <c r="M10060">
        <f>HYPERLINK("https://www.senat.fr/senateur-3eme-republique/david_fernand1309r3.html", "david_fernand1309r3")</f>
        <v>0</v>
      </c>
      <c r="N10060">
        <f>HYPERLINK("https://www.wikidata.org/wiki/Q3069115", "Q3069115")</f>
        <v>0</v>
      </c>
      <c r="O10060" t="s">
        <v>20135</v>
      </c>
    </row>
    <row r="10061" spans="1:15">
      <c r="A10061" t="s">
        <v>100</v>
      </c>
      <c r="B10061" t="s">
        <v>149</v>
      </c>
      <c r="C10061" t="s">
        <v>232</v>
      </c>
      <c r="D10061" t="s">
        <v>361</v>
      </c>
      <c r="E10061" t="s">
        <v>302</v>
      </c>
      <c r="F10061">
        <f>HYPERLINK("https://www.wikidata.org/wiki/Q3112407", "Q3112407")</f>
        <v>0</v>
      </c>
      <c r="G10061" t="s">
        <v>608</v>
      </c>
      <c r="H10061" t="s">
        <v>5368</v>
      </c>
      <c r="I10061" t="s">
        <v>9451</v>
      </c>
      <c r="J10061" t="s">
        <v>11359</v>
      </c>
      <c r="K10061" t="s">
        <v>15760</v>
      </c>
      <c r="L10061">
        <f>HYPERLINK("https://www2.assemblee-nationale.fr/sycomore/fiche/(num_dept)/2283", "2283")</f>
        <v>0</v>
      </c>
      <c r="N10061">
        <f>HYPERLINK("https://www.wikidata.org/wiki/Q503827", "Q503827")</f>
        <v>0</v>
      </c>
      <c r="O10061" t="s">
        <v>20053</v>
      </c>
    </row>
    <row r="10062" spans="1:15">
      <c r="A10062" t="s">
        <v>100</v>
      </c>
      <c r="B10062" t="s">
        <v>149</v>
      </c>
      <c r="C10062" t="s">
        <v>232</v>
      </c>
      <c r="D10062" t="s">
        <v>361</v>
      </c>
      <c r="E10062" t="s">
        <v>302</v>
      </c>
      <c r="F10062">
        <f>HYPERLINK("https://www.wikidata.org/wiki/Q3112407", "Q3112407")</f>
        <v>0</v>
      </c>
      <c r="G10062" t="s">
        <v>675</v>
      </c>
      <c r="H10062" t="s">
        <v>5434</v>
      </c>
      <c r="I10062" t="s">
        <v>7911</v>
      </c>
      <c r="J10062" t="s">
        <v>11425</v>
      </c>
      <c r="K10062" t="s">
        <v>15826</v>
      </c>
      <c r="L10062">
        <f>HYPERLINK("https://www2.assemblee-nationale.fr/sycomore/fiche/(num_dept)/3697", "3697")</f>
        <v>0</v>
      </c>
      <c r="N10062">
        <f>HYPERLINK("https://www.wikidata.org/wiki/Q2404053", "Q2404053")</f>
        <v>0</v>
      </c>
      <c r="O10062" t="s">
        <v>20051</v>
      </c>
    </row>
    <row r="10063" spans="1:15">
      <c r="A10063" t="s">
        <v>100</v>
      </c>
      <c r="B10063" t="s">
        <v>149</v>
      </c>
      <c r="C10063" t="s">
        <v>232</v>
      </c>
      <c r="D10063" t="s">
        <v>361</v>
      </c>
      <c r="E10063" t="s">
        <v>302</v>
      </c>
      <c r="F10063">
        <f>HYPERLINK("https://www.wikidata.org/wiki/Q3112407", "Q3112407")</f>
        <v>0</v>
      </c>
      <c r="G10063" t="s">
        <v>696</v>
      </c>
      <c r="H10063" t="s">
        <v>5454</v>
      </c>
      <c r="I10063" t="s">
        <v>9484</v>
      </c>
      <c r="J10063" t="s">
        <v>11446</v>
      </c>
      <c r="K10063" t="s">
        <v>15847</v>
      </c>
      <c r="L10063">
        <f>HYPERLINK("https://www2.assemblee-nationale.fr/sycomore/fiche/(num_dept)/4148", "4148")</f>
        <v>0</v>
      </c>
      <c r="M10063">
        <f>HYPERLINK("https://www.senat.fr/senateur-3eme-republique/klotz_louis1683r3.html", "klotz_louis1683r3")</f>
        <v>0</v>
      </c>
      <c r="N10063">
        <f>HYPERLINK("https://www.wikidata.org/wiki/Q179586", "Q179586")</f>
        <v>0</v>
      </c>
      <c r="O10063" t="s">
        <v>20066</v>
      </c>
    </row>
    <row r="10064" spans="1:15">
      <c r="A10064" t="s">
        <v>100</v>
      </c>
      <c r="B10064" t="s">
        <v>149</v>
      </c>
      <c r="C10064" t="s">
        <v>232</v>
      </c>
      <c r="D10064" t="s">
        <v>361</v>
      </c>
      <c r="E10064" t="s">
        <v>302</v>
      </c>
      <c r="F10064">
        <f>HYPERLINK("https://www.wikidata.org/wiki/Q3112407", "Q3112407")</f>
        <v>0</v>
      </c>
      <c r="G10064" t="s">
        <v>1005</v>
      </c>
      <c r="H10064" t="s">
        <v>5756</v>
      </c>
      <c r="I10064" t="s">
        <v>9553</v>
      </c>
      <c r="J10064" t="s">
        <v>11742</v>
      </c>
      <c r="K10064" t="s">
        <v>16146</v>
      </c>
      <c r="L10064">
        <f>HYPERLINK("https://www2.assemblee-nationale.fr/sycomore/fiche/(num_dept)/5284", "5284")</f>
        <v>0</v>
      </c>
      <c r="M10064">
        <f>HYPERLINK("https://www.senat.fr/senateur-3eme-republique/millerand_alexandre0910r3.html", "millerand_alexandre0910r3")</f>
        <v>0</v>
      </c>
      <c r="N10064">
        <f>HYPERLINK("https://www.wikidata.org/wiki/Q274540", "Q274540")</f>
        <v>0</v>
      </c>
      <c r="O10064" t="s">
        <v>20057</v>
      </c>
    </row>
    <row r="10065" spans="1:15">
      <c r="A10065" t="s">
        <v>100</v>
      </c>
      <c r="B10065" t="s">
        <v>149</v>
      </c>
      <c r="C10065" t="s">
        <v>232</v>
      </c>
      <c r="D10065" t="s">
        <v>361</v>
      </c>
      <c r="E10065" t="s">
        <v>302</v>
      </c>
      <c r="F10065">
        <f>HYPERLINK("https://www.wikidata.org/wiki/Q3112407", "Q3112407")</f>
        <v>0</v>
      </c>
      <c r="G10065" t="s">
        <v>740</v>
      </c>
      <c r="H10065" t="s">
        <v>5498</v>
      </c>
      <c r="I10065" t="s">
        <v>9388</v>
      </c>
      <c r="J10065" t="s">
        <v>11489</v>
      </c>
      <c r="K10065" t="s">
        <v>15891</v>
      </c>
      <c r="L10065">
        <f>HYPERLINK("https://www2.assemblee-nationale.fr/sycomore/fiche/(num_dept)/5413", "5413")</f>
        <v>0</v>
      </c>
      <c r="N10065">
        <f>HYPERLINK("https://www.wikidata.org/wiki/Q3371866", "Q3371866")</f>
        <v>0</v>
      </c>
      <c r="O10065" t="s">
        <v>20068</v>
      </c>
    </row>
    <row r="10066" spans="1:15">
      <c r="A10066" t="s">
        <v>100</v>
      </c>
      <c r="B10066" t="s">
        <v>149</v>
      </c>
      <c r="C10066" t="s">
        <v>232</v>
      </c>
      <c r="D10066" t="s">
        <v>361</v>
      </c>
      <c r="E10066" t="s">
        <v>302</v>
      </c>
      <c r="F10066">
        <f>HYPERLINK("https://www.wikidata.org/wiki/Q3112407", "Q3112407")</f>
        <v>0</v>
      </c>
      <c r="G10066" t="s">
        <v>3721</v>
      </c>
      <c r="H10066" t="s">
        <v>8030</v>
      </c>
      <c r="I10066" t="s">
        <v>9449</v>
      </c>
      <c r="J10066" t="s">
        <v>14296</v>
      </c>
      <c r="K10066" t="s">
        <v>18650</v>
      </c>
      <c r="L10066">
        <f>HYPERLINK("https://www2.assemblee-nationale.fr/sycomore/fiche/(num_dept)/5665", "5665")</f>
        <v>0</v>
      </c>
      <c r="M10066">
        <f>HYPERLINK("https://www.senat.fr/senateur-3eme-republique/pams_jules1089r3.html", "pams_jules1089r3")</f>
        <v>0</v>
      </c>
      <c r="N10066">
        <f>HYPERLINK("https://www.wikidata.org/wiki/Q3188830", "Q3188830")</f>
        <v>0</v>
      </c>
      <c r="O10066" t="s">
        <v>20056</v>
      </c>
    </row>
    <row r="10067" spans="1:15">
      <c r="A10067" t="s">
        <v>100</v>
      </c>
      <c r="B10067" t="s">
        <v>149</v>
      </c>
      <c r="C10067" t="s">
        <v>232</v>
      </c>
      <c r="D10067" t="s">
        <v>361</v>
      </c>
      <c r="E10067" t="s">
        <v>302</v>
      </c>
      <c r="F10067">
        <f>HYPERLINK("https://www.wikidata.org/wiki/Q3112407", "Q3112407")</f>
        <v>0</v>
      </c>
      <c r="G10067" t="s">
        <v>3369</v>
      </c>
      <c r="H10067" t="s">
        <v>7766</v>
      </c>
      <c r="I10067" t="s">
        <v>9692</v>
      </c>
      <c r="J10067" t="s">
        <v>13981</v>
      </c>
      <c r="K10067" t="s">
        <v>18349</v>
      </c>
      <c r="L10067">
        <f>HYPERLINK("https://www2.assemblee-nationale.fr/sycomore/fiche/(num_dept)/5994", "5994")</f>
        <v>0</v>
      </c>
      <c r="M10067">
        <f>HYPERLINK("https://www.senat.fr/senateur-3eme-republique/poincare_raymond1024r3.html", "poincare_raymond1024r3")</f>
        <v>0</v>
      </c>
      <c r="N10067">
        <f>HYPERLINK("https://www.wikidata.org/wiki/Q191974", "Q191974")</f>
        <v>0</v>
      </c>
      <c r="O10067" t="s">
        <v>20062</v>
      </c>
    </row>
    <row r="10068" spans="1:15">
      <c r="A10068" t="s">
        <v>100</v>
      </c>
      <c r="B10068" t="s">
        <v>149</v>
      </c>
      <c r="C10068" t="s">
        <v>232</v>
      </c>
      <c r="D10068" t="s">
        <v>361</v>
      </c>
      <c r="E10068" t="s">
        <v>302</v>
      </c>
      <c r="F10068">
        <f>HYPERLINK("https://www.wikidata.org/wiki/Q3112407", "Q3112407")</f>
        <v>0</v>
      </c>
      <c r="G10068" t="s">
        <v>3369</v>
      </c>
      <c r="H10068" t="s">
        <v>7766</v>
      </c>
      <c r="I10068" t="s">
        <v>9692</v>
      </c>
      <c r="J10068" t="s">
        <v>13981</v>
      </c>
      <c r="K10068" t="s">
        <v>18349</v>
      </c>
      <c r="L10068">
        <f>HYPERLINK("https://www2.assemblee-nationale.fr/sycomore/fiche/(num_dept)/5994", "5994")</f>
        <v>0</v>
      </c>
      <c r="M10068">
        <f>HYPERLINK("https://www.senat.fr/senateur-3eme-republique/poincare_raymond1024r3.html", "poincare_raymond1024r3")</f>
        <v>0</v>
      </c>
      <c r="N10068">
        <f>HYPERLINK("https://www.wikidata.org/wiki/Q191974", "Q191974")</f>
        <v>0</v>
      </c>
      <c r="O10068" t="s">
        <v>20052</v>
      </c>
    </row>
    <row r="10069" spans="1:15">
      <c r="A10069" t="s">
        <v>100</v>
      </c>
      <c r="B10069" t="s">
        <v>149</v>
      </c>
      <c r="C10069" t="s">
        <v>232</v>
      </c>
      <c r="D10069" t="s">
        <v>361</v>
      </c>
      <c r="E10069" t="s">
        <v>302</v>
      </c>
      <c r="F10069">
        <f>HYPERLINK("https://www.wikidata.org/wiki/Q3112407", "Q3112407")</f>
        <v>0</v>
      </c>
      <c r="G10069" t="s">
        <v>814</v>
      </c>
      <c r="H10069" t="s">
        <v>5571</v>
      </c>
      <c r="I10069" t="s">
        <v>9533</v>
      </c>
      <c r="J10069" t="s">
        <v>11561</v>
      </c>
      <c r="K10069" t="s">
        <v>15965</v>
      </c>
      <c r="L10069">
        <f>HYPERLINK("https://www2.assemblee-nationale.fr/sycomore/fiche/(num_dept)/6904", "6904")</f>
        <v>0</v>
      </c>
      <c r="M10069">
        <f>HYPERLINK("https://www.senat.fr/senateur-3eme-republique/steeg_theodore1554r3.html", "steeg_theodore1554r3")</f>
        <v>0</v>
      </c>
      <c r="N10069">
        <f>HYPERLINK("https://www.wikidata.org/wiki/Q717905", "Q717905")</f>
        <v>0</v>
      </c>
      <c r="O10069" t="s">
        <v>20058</v>
      </c>
    </row>
    <row r="10070" spans="1:15">
      <c r="A10070" t="s">
        <v>100</v>
      </c>
      <c r="B10070" t="s">
        <v>149</v>
      </c>
      <c r="C10070" t="s">
        <v>232</v>
      </c>
      <c r="D10070" t="s">
        <v>361</v>
      </c>
      <c r="E10070" t="s">
        <v>302</v>
      </c>
      <c r="F10070">
        <f>HYPERLINK("https://www.wikidata.org/wiki/Q3112407", "Q3112407")</f>
        <v>0</v>
      </c>
      <c r="G10070" t="s">
        <v>846</v>
      </c>
      <c r="H10070" t="s">
        <v>5603</v>
      </c>
      <c r="I10070" t="s">
        <v>6584</v>
      </c>
      <c r="J10070" t="s">
        <v>11593</v>
      </c>
      <c r="K10070" t="s">
        <v>15784</v>
      </c>
      <c r="L10070">
        <f>HYPERLINK("https://www2.assemblee-nationale.fr/sycomore/fiche/(num_dept)/7652", "7652")</f>
        <v>0</v>
      </c>
      <c r="M10070">
        <f>HYPERLINK("https://www.senat.fr/senateur-3eme-republique/lebrun_albert0945r3.html", "lebrun_albert0945r3")</f>
        <v>0</v>
      </c>
      <c r="N10070">
        <f>HYPERLINK("https://www.wikidata.org/wiki/Q158749", "Q158749")</f>
        <v>0</v>
      </c>
      <c r="O10070" t="s">
        <v>20065</v>
      </c>
    </row>
    <row r="10071" spans="1:15">
      <c r="A10071" t="s">
        <v>100</v>
      </c>
      <c r="B10071" t="s">
        <v>149</v>
      </c>
      <c r="C10071" t="s">
        <v>232</v>
      </c>
      <c r="D10071" t="s">
        <v>361</v>
      </c>
      <c r="E10071" t="s">
        <v>302</v>
      </c>
      <c r="F10071">
        <f>HYPERLINK("https://www.wikidata.org/wiki/Q3112407", "Q3112407")</f>
        <v>0</v>
      </c>
      <c r="G10071" t="s">
        <v>846</v>
      </c>
      <c r="H10071" t="s">
        <v>5603</v>
      </c>
      <c r="I10071" t="s">
        <v>6584</v>
      </c>
      <c r="J10071" t="s">
        <v>11593</v>
      </c>
      <c r="K10071" t="s">
        <v>15784</v>
      </c>
      <c r="L10071">
        <f>HYPERLINK("https://www2.assemblee-nationale.fr/sycomore/fiche/(num_dept)/7652", "7652")</f>
        <v>0</v>
      </c>
      <c r="M10071">
        <f>HYPERLINK("https://www.senat.fr/senateur-3eme-republique/lebrun_albert0945r3.html", "lebrun_albert0945r3")</f>
        <v>0</v>
      </c>
      <c r="N10071">
        <f>HYPERLINK("https://www.wikidata.org/wiki/Q158749", "Q158749")</f>
        <v>0</v>
      </c>
      <c r="O10071" t="s">
        <v>20065</v>
      </c>
    </row>
    <row r="10072" spans="1:15">
      <c r="A10072" t="s">
        <v>100</v>
      </c>
      <c r="B10072" t="s">
        <v>149</v>
      </c>
      <c r="C10072" t="s">
        <v>232</v>
      </c>
      <c r="D10072" t="s">
        <v>361</v>
      </c>
      <c r="E10072" t="s">
        <v>302</v>
      </c>
      <c r="F10072">
        <f>HYPERLINK("https://www.wikidata.org/wiki/Q3112407", "Q3112407")</f>
        <v>0</v>
      </c>
      <c r="G10072" t="s">
        <v>4240</v>
      </c>
      <c r="H10072" t="s">
        <v>5387</v>
      </c>
      <c r="I10072" t="s">
        <v>6200</v>
      </c>
      <c r="J10072" t="s">
        <v>14747</v>
      </c>
      <c r="K10072" t="s">
        <v>19092</v>
      </c>
      <c r="N10072">
        <f>HYPERLINK("https://www.wikidata.org/wiki/Q3171879", "Q3171879")</f>
        <v>0</v>
      </c>
      <c r="O10072" t="s">
        <v>20341</v>
      </c>
    </row>
    <row r="10073" spans="1:15">
      <c r="A10073" t="s">
        <v>100</v>
      </c>
      <c r="B10073" t="s">
        <v>149</v>
      </c>
      <c r="C10073" t="s">
        <v>232</v>
      </c>
      <c r="D10073" t="s">
        <v>361</v>
      </c>
      <c r="E10073" t="s">
        <v>302</v>
      </c>
      <c r="F10073">
        <f>HYPERLINK("https://www.wikidata.org/wiki/Q3112407", "Q3112407")</f>
        <v>0</v>
      </c>
      <c r="G10073" t="s">
        <v>522</v>
      </c>
      <c r="H10073" t="s">
        <v>5286</v>
      </c>
      <c r="I10073" t="s">
        <v>5528</v>
      </c>
      <c r="J10073" t="s">
        <v>11274</v>
      </c>
      <c r="K10073" t="s">
        <v>19078</v>
      </c>
      <c r="N10073">
        <f>HYPERLINK("https://www.wikidata.org/wiki/Q18384890", "Q18384890")</f>
        <v>0</v>
      </c>
      <c r="O10073" t="s">
        <v>20342</v>
      </c>
    </row>
    <row r="10074" spans="1:15">
      <c r="A10074" t="s">
        <v>100</v>
      </c>
      <c r="B10074" t="s">
        <v>149</v>
      </c>
      <c r="C10074" t="s">
        <v>232</v>
      </c>
      <c r="D10074" t="s">
        <v>361</v>
      </c>
      <c r="E10074" t="s">
        <v>302</v>
      </c>
      <c r="F10074">
        <f>HYPERLINK("https://www.wikidata.org/wiki/Q3112407", "Q3112407")</f>
        <v>0</v>
      </c>
      <c r="G10074" t="s">
        <v>4333</v>
      </c>
      <c r="H10074" t="s">
        <v>8484</v>
      </c>
      <c r="I10074" t="s">
        <v>9957</v>
      </c>
      <c r="J10074" t="s">
        <v>14828</v>
      </c>
      <c r="K10074" t="s">
        <v>19169</v>
      </c>
      <c r="N10074">
        <f>HYPERLINK("https://www.wikidata.org/wiki/Q3351352", "Q3351352")</f>
        <v>0</v>
      </c>
      <c r="O10074" t="s">
        <v>20343</v>
      </c>
    </row>
    <row r="10075" spans="1:15">
      <c r="A10075" t="s">
        <v>101</v>
      </c>
      <c r="B10075" t="s">
        <v>149</v>
      </c>
      <c r="C10075" t="s">
        <v>233</v>
      </c>
      <c r="D10075" t="s">
        <v>362</v>
      </c>
      <c r="E10075" t="s">
        <v>363</v>
      </c>
      <c r="F10075">
        <f>HYPERLINK("https://www.wikidata.org/wiki/Q3112409", "Q3112409")</f>
        <v>0</v>
      </c>
      <c r="G10075" t="s">
        <v>1216</v>
      </c>
      <c r="H10075" t="s">
        <v>5944</v>
      </c>
      <c r="I10075" t="s">
        <v>9708</v>
      </c>
      <c r="J10075" t="s">
        <v>11948</v>
      </c>
      <c r="K10075" t="s">
        <v>16350</v>
      </c>
      <c r="L10075">
        <f>HYPERLINK("https://www2.assemblee-nationale.fr/sycomore/fiche/(num_dept)/236", "236")</f>
        <v>0</v>
      </c>
      <c r="N10075">
        <f>HYPERLINK("https://www.wikidata.org/wiki/Q7125983", "Q7125983")</f>
        <v>0</v>
      </c>
      <c r="O10075" t="s">
        <v>20054</v>
      </c>
    </row>
    <row r="10076" spans="1:15">
      <c r="A10076" t="s">
        <v>101</v>
      </c>
      <c r="B10076" t="s">
        <v>149</v>
      </c>
      <c r="C10076" t="s">
        <v>233</v>
      </c>
      <c r="D10076" t="s">
        <v>362</v>
      </c>
      <c r="E10076" t="s">
        <v>363</v>
      </c>
      <c r="F10076">
        <f>HYPERLINK("https://www.wikidata.org/wiki/Q3112409", "Q3112409")</f>
        <v>0</v>
      </c>
      <c r="G10076" t="s">
        <v>512</v>
      </c>
      <c r="H10076" t="s">
        <v>5277</v>
      </c>
      <c r="I10076" t="s">
        <v>6495</v>
      </c>
      <c r="J10076" t="s">
        <v>11264</v>
      </c>
      <c r="K10076" t="s">
        <v>15664</v>
      </c>
      <c r="L10076">
        <f>HYPERLINK("https://www2.assemblee-nationale.fr/sycomore/fiche/(num_dept)/451", "451")</f>
        <v>0</v>
      </c>
      <c r="M10076">
        <f>HYPERLINK("https://www.senat.fr/senateur-3eme-republique/barthou_louis1071r3.html", "barthou_louis1071r3")</f>
        <v>0</v>
      </c>
      <c r="N10076">
        <f>HYPERLINK("https://www.wikidata.org/wiki/Q271887", "Q271887")</f>
        <v>0</v>
      </c>
      <c r="O10076" t="s">
        <v>20064</v>
      </c>
    </row>
    <row r="10077" spans="1:15">
      <c r="A10077" t="s">
        <v>101</v>
      </c>
      <c r="B10077" t="s">
        <v>149</v>
      </c>
      <c r="C10077" t="s">
        <v>233</v>
      </c>
      <c r="D10077" t="s">
        <v>362</v>
      </c>
      <c r="E10077" t="s">
        <v>363</v>
      </c>
      <c r="F10077">
        <f>HYPERLINK("https://www.wikidata.org/wiki/Q3112409", "Q3112409")</f>
        <v>0</v>
      </c>
      <c r="G10077" t="s">
        <v>576</v>
      </c>
      <c r="H10077" t="s">
        <v>5338</v>
      </c>
      <c r="I10077" t="s">
        <v>6478</v>
      </c>
      <c r="J10077" t="s">
        <v>11327</v>
      </c>
      <c r="K10077" t="s">
        <v>15728</v>
      </c>
      <c r="L10077">
        <f>HYPERLINK("https://www2.assemblee-nationale.fr/sycomore/fiche/(num_dept)/1768", "1768")</f>
        <v>0</v>
      </c>
      <c r="M10077">
        <f>HYPERLINK("https://www.senat.fr/senateur-3eme-republique/cheron_henry0337r3.html", "cheron_henry0337r3")</f>
        <v>0</v>
      </c>
      <c r="N10077">
        <f>HYPERLINK("https://www.wikidata.org/wiki/Q3132698", "Q3132698")</f>
        <v>0</v>
      </c>
      <c r="O10077" t="s">
        <v>20123</v>
      </c>
    </row>
    <row r="10078" spans="1:15">
      <c r="A10078" t="s">
        <v>101</v>
      </c>
      <c r="B10078" t="s">
        <v>149</v>
      </c>
      <c r="C10078" t="s">
        <v>233</v>
      </c>
      <c r="D10078" t="s">
        <v>362</v>
      </c>
      <c r="E10078" t="s">
        <v>363</v>
      </c>
      <c r="F10078">
        <f>HYPERLINK("https://www.wikidata.org/wiki/Q3112409", "Q3112409")</f>
        <v>0</v>
      </c>
      <c r="G10078" t="s">
        <v>1413</v>
      </c>
      <c r="H10078" t="s">
        <v>6121</v>
      </c>
      <c r="I10078" t="s">
        <v>7642</v>
      </c>
      <c r="J10078" t="s">
        <v>12137</v>
      </c>
      <c r="K10078" t="s">
        <v>16540</v>
      </c>
      <c r="L10078">
        <f>HYPERLINK("https://www2.assemblee-nationale.fr/sycomore/fiche/(num_dept)/1923", "1923")</f>
        <v>0</v>
      </c>
      <c r="N10078">
        <f>HYPERLINK("https://www.wikidata.org/wiki/Q3300588", "Q3300588")</f>
        <v>0</v>
      </c>
      <c r="O10078" t="s">
        <v>20064</v>
      </c>
    </row>
    <row r="10079" spans="1:15">
      <c r="A10079" t="s">
        <v>101</v>
      </c>
      <c r="B10079" t="s">
        <v>149</v>
      </c>
      <c r="C10079" t="s">
        <v>233</v>
      </c>
      <c r="D10079" t="s">
        <v>362</v>
      </c>
      <c r="E10079" t="s">
        <v>363</v>
      </c>
      <c r="F10079">
        <f>HYPERLINK("https://www.wikidata.org/wiki/Q3112409", "Q3112409")</f>
        <v>0</v>
      </c>
      <c r="G10079" t="s">
        <v>1413</v>
      </c>
      <c r="H10079" t="s">
        <v>6121</v>
      </c>
      <c r="I10079" t="s">
        <v>7642</v>
      </c>
      <c r="J10079" t="s">
        <v>12137</v>
      </c>
      <c r="K10079" t="s">
        <v>16540</v>
      </c>
      <c r="L10079">
        <f>HYPERLINK("https://www2.assemblee-nationale.fr/sycomore/fiche/(num_dept)/1923", "1923")</f>
        <v>0</v>
      </c>
      <c r="N10079">
        <f>HYPERLINK("https://www.wikidata.org/wiki/Q3300588", "Q3300588")</f>
        <v>0</v>
      </c>
      <c r="O10079" t="s">
        <v>20344</v>
      </c>
    </row>
    <row r="10080" spans="1:15">
      <c r="A10080" t="s">
        <v>101</v>
      </c>
      <c r="B10080" t="s">
        <v>149</v>
      </c>
      <c r="C10080" t="s">
        <v>233</v>
      </c>
      <c r="D10080" t="s">
        <v>362</v>
      </c>
      <c r="E10080" t="s">
        <v>363</v>
      </c>
      <c r="F10080">
        <f>HYPERLINK("https://www.wikidata.org/wiki/Q3112409", "Q3112409")</f>
        <v>0</v>
      </c>
      <c r="G10080" t="s">
        <v>617</v>
      </c>
      <c r="H10080" t="s">
        <v>5377</v>
      </c>
      <c r="I10080" t="s">
        <v>9455</v>
      </c>
      <c r="J10080" t="s">
        <v>11367</v>
      </c>
      <c r="K10080" t="s">
        <v>15769</v>
      </c>
      <c r="L10080">
        <f>HYPERLINK("https://www2.assemblee-nationale.fr/sycomore/fiche/(num_dept)/2522", "2522")</f>
        <v>0</v>
      </c>
      <c r="N10080">
        <f>HYPERLINK("https://www.wikidata.org/wiki/Q3265475", "Q3265475")</f>
        <v>0</v>
      </c>
      <c r="O10080" t="s">
        <v>20110</v>
      </c>
    </row>
    <row r="10081" spans="1:15">
      <c r="A10081" t="s">
        <v>101</v>
      </c>
      <c r="B10081" t="s">
        <v>149</v>
      </c>
      <c r="C10081" t="s">
        <v>233</v>
      </c>
      <c r="D10081" t="s">
        <v>362</v>
      </c>
      <c r="E10081" t="s">
        <v>363</v>
      </c>
      <c r="F10081">
        <f>HYPERLINK("https://www.wikidata.org/wiki/Q3112409", "Q3112409")</f>
        <v>0</v>
      </c>
      <c r="G10081" t="s">
        <v>1170</v>
      </c>
      <c r="H10081" t="s">
        <v>5901</v>
      </c>
      <c r="I10081" t="s">
        <v>5592</v>
      </c>
      <c r="J10081" t="s">
        <v>11903</v>
      </c>
      <c r="K10081" t="s">
        <v>16305</v>
      </c>
      <c r="L10081">
        <f>HYPERLINK("https://www2.assemblee-nationale.fr/sycomore/fiche/(num_dept)/2874", "2874")</f>
        <v>0</v>
      </c>
      <c r="M10081">
        <f>HYPERLINK("https://www.senat.fr/senateur-3eme-republique/eynac_laurent0520r3.html", "eynac_laurent0520r3")</f>
        <v>0</v>
      </c>
      <c r="N10081">
        <f>HYPERLINK("https://www.wikidata.org/wiki/Q3219208", "Q3219208")</f>
        <v>0</v>
      </c>
      <c r="O10081" t="s">
        <v>20165</v>
      </c>
    </row>
    <row r="10082" spans="1:15">
      <c r="A10082" t="s">
        <v>101</v>
      </c>
      <c r="B10082" t="s">
        <v>149</v>
      </c>
      <c r="C10082" t="s">
        <v>233</v>
      </c>
      <c r="D10082" t="s">
        <v>362</v>
      </c>
      <c r="E10082" t="s">
        <v>363</v>
      </c>
      <c r="F10082">
        <f>HYPERLINK("https://www.wikidata.org/wiki/Q3112409", "Q3112409")</f>
        <v>0</v>
      </c>
      <c r="G10082" t="s">
        <v>1267</v>
      </c>
      <c r="H10082" t="s">
        <v>5991</v>
      </c>
      <c r="I10082" t="s">
        <v>9388</v>
      </c>
      <c r="J10082" t="s">
        <v>11997</v>
      </c>
      <c r="K10082" t="s">
        <v>16400</v>
      </c>
      <c r="L10082">
        <f>HYPERLINK("https://www2.assemblee-nationale.fr/sycomore/fiche/(num_dept)/4253", "4253")</f>
        <v>0</v>
      </c>
      <c r="M10082">
        <f>HYPERLINK("https://www.senat.fr/senateur-3eme-republique/laffont_paul0184r3.html", "laffont_paul0184r3")</f>
        <v>0</v>
      </c>
      <c r="N10082">
        <f>HYPERLINK("https://www.wikidata.org/wiki/Q3371619", "Q3371619")</f>
        <v>0</v>
      </c>
      <c r="O10082" t="s">
        <v>20345</v>
      </c>
    </row>
    <row r="10083" spans="1:15">
      <c r="A10083" t="s">
        <v>101</v>
      </c>
      <c r="B10083" t="s">
        <v>149</v>
      </c>
      <c r="C10083" t="s">
        <v>233</v>
      </c>
      <c r="D10083" t="s">
        <v>362</v>
      </c>
      <c r="E10083" t="s">
        <v>363</v>
      </c>
      <c r="F10083">
        <f>HYPERLINK("https://www.wikidata.org/wiki/Q3112409", "Q3112409")</f>
        <v>0</v>
      </c>
      <c r="G10083" t="s">
        <v>1513</v>
      </c>
      <c r="H10083" t="s">
        <v>6209</v>
      </c>
      <c r="I10083" t="s">
        <v>9385</v>
      </c>
      <c r="J10083" t="s">
        <v>12230</v>
      </c>
      <c r="K10083" t="s">
        <v>16636</v>
      </c>
      <c r="L10083">
        <f>HYPERLINK("https://www2.assemblee-nationale.fr/sycomore/fiche/(num_dept)/4386", "4386")</f>
        <v>0</v>
      </c>
      <c r="N10083">
        <f>HYPERLINK("https://www.wikidata.org/wiki/Q2960618", "Q2960618")</f>
        <v>0</v>
      </c>
      <c r="O10083" t="s">
        <v>20066</v>
      </c>
    </row>
    <row r="10084" spans="1:15">
      <c r="A10084" t="s">
        <v>101</v>
      </c>
      <c r="B10084" t="s">
        <v>149</v>
      </c>
      <c r="C10084" t="s">
        <v>233</v>
      </c>
      <c r="D10084" t="s">
        <v>362</v>
      </c>
      <c r="E10084" t="s">
        <v>363</v>
      </c>
      <c r="F10084">
        <f>HYPERLINK("https://www.wikidata.org/wiki/Q3112409", "Q3112409")</f>
        <v>0</v>
      </c>
      <c r="G10084" t="s">
        <v>717</v>
      </c>
      <c r="H10084" t="s">
        <v>5475</v>
      </c>
      <c r="I10084" t="s">
        <v>6585</v>
      </c>
      <c r="J10084" t="s">
        <v>11466</v>
      </c>
      <c r="K10084" t="s">
        <v>15868</v>
      </c>
      <c r="L10084">
        <f>HYPERLINK("https://www2.assemblee-nationale.fr/sycomore/fiche/(num_dept)/4882", "4882")</f>
        <v>0</v>
      </c>
      <c r="N10084">
        <f>HYPERLINK("https://www.wikidata.org/wiki/Q318617", "Q318617")</f>
        <v>0</v>
      </c>
      <c r="O10084" t="s">
        <v>20271</v>
      </c>
    </row>
    <row r="10085" spans="1:15">
      <c r="A10085" t="s">
        <v>101</v>
      </c>
      <c r="B10085" t="s">
        <v>149</v>
      </c>
      <c r="C10085" t="s">
        <v>233</v>
      </c>
      <c r="D10085" t="s">
        <v>362</v>
      </c>
      <c r="E10085" t="s">
        <v>363</v>
      </c>
      <c r="F10085">
        <f>HYPERLINK("https://www.wikidata.org/wiki/Q3112409", "Q3112409")</f>
        <v>0</v>
      </c>
      <c r="G10085" t="s">
        <v>728</v>
      </c>
      <c r="H10085" t="s">
        <v>5486</v>
      </c>
      <c r="I10085" t="s">
        <v>7642</v>
      </c>
      <c r="J10085" t="s">
        <v>11477</v>
      </c>
      <c r="K10085" t="s">
        <v>15879</v>
      </c>
      <c r="L10085">
        <f>HYPERLINK("https://www2.assemblee-nationale.fr/sycomore/fiche/(num_dept)/5121", "5121")</f>
        <v>0</v>
      </c>
      <c r="N10085">
        <f>HYPERLINK("https://www.wikidata.org/wiki/Q3301152", "Q3301152")</f>
        <v>0</v>
      </c>
      <c r="O10085" t="s">
        <v>20113</v>
      </c>
    </row>
    <row r="10086" spans="1:15">
      <c r="A10086" t="s">
        <v>101</v>
      </c>
      <c r="B10086" t="s">
        <v>149</v>
      </c>
      <c r="C10086" t="s">
        <v>233</v>
      </c>
      <c r="D10086" t="s">
        <v>362</v>
      </c>
      <c r="E10086" t="s">
        <v>363</v>
      </c>
      <c r="F10086">
        <f>HYPERLINK("https://www.wikidata.org/wiki/Q3112409", "Q3112409")</f>
        <v>0</v>
      </c>
      <c r="G10086" t="s">
        <v>1019</v>
      </c>
      <c r="H10086" t="s">
        <v>5769</v>
      </c>
      <c r="I10086" t="s">
        <v>6478</v>
      </c>
      <c r="J10086" t="s">
        <v>11756</v>
      </c>
      <c r="K10086" t="s">
        <v>16158</v>
      </c>
      <c r="L10086">
        <f>HYPERLINK("https://www2.assemblee-nationale.fr/sycomore/fiche/(num_dept)/5706", "5706")</f>
        <v>0</v>
      </c>
      <c r="N10086">
        <f>HYPERLINK("https://www.wikidata.org/wiki/Q3132997", "Q3132997")</f>
        <v>0</v>
      </c>
      <c r="O10086" t="s">
        <v>20346</v>
      </c>
    </row>
    <row r="10087" spans="1:15">
      <c r="A10087" t="s">
        <v>101</v>
      </c>
      <c r="B10087" t="s">
        <v>149</v>
      </c>
      <c r="C10087" t="s">
        <v>233</v>
      </c>
      <c r="D10087" t="s">
        <v>362</v>
      </c>
      <c r="E10087" t="s">
        <v>363</v>
      </c>
      <c r="F10087">
        <f>HYPERLINK("https://www.wikidata.org/wiki/Q3112409", "Q3112409")</f>
        <v>0</v>
      </c>
      <c r="G10087" t="s">
        <v>3369</v>
      </c>
      <c r="H10087" t="s">
        <v>7766</v>
      </c>
      <c r="I10087" t="s">
        <v>9692</v>
      </c>
      <c r="J10087" t="s">
        <v>13981</v>
      </c>
      <c r="K10087" t="s">
        <v>18349</v>
      </c>
      <c r="L10087">
        <f>HYPERLINK("https://www2.assemblee-nationale.fr/sycomore/fiche/(num_dept)/5994", "5994")</f>
        <v>0</v>
      </c>
      <c r="M10087">
        <f>HYPERLINK("https://www.senat.fr/senateur-3eme-republique/poincare_raymond1024r3.html", "poincare_raymond1024r3")</f>
        <v>0</v>
      </c>
      <c r="N10087">
        <f>HYPERLINK("https://www.wikidata.org/wiki/Q191974", "Q191974")</f>
        <v>0</v>
      </c>
      <c r="O10087" t="s">
        <v>20062</v>
      </c>
    </row>
    <row r="10088" spans="1:15">
      <c r="A10088" t="s">
        <v>101</v>
      </c>
      <c r="B10088" t="s">
        <v>149</v>
      </c>
      <c r="C10088" t="s">
        <v>233</v>
      </c>
      <c r="D10088" t="s">
        <v>362</v>
      </c>
      <c r="E10088" t="s">
        <v>363</v>
      </c>
      <c r="F10088">
        <f>HYPERLINK("https://www.wikidata.org/wiki/Q3112409", "Q3112409")</f>
        <v>0</v>
      </c>
      <c r="G10088" t="s">
        <v>3369</v>
      </c>
      <c r="H10088" t="s">
        <v>7766</v>
      </c>
      <c r="I10088" t="s">
        <v>9692</v>
      </c>
      <c r="J10088" t="s">
        <v>13981</v>
      </c>
      <c r="K10088" t="s">
        <v>18349</v>
      </c>
      <c r="L10088">
        <f>HYPERLINK("https://www2.assemblee-nationale.fr/sycomore/fiche/(num_dept)/5994", "5994")</f>
        <v>0</v>
      </c>
      <c r="M10088">
        <f>HYPERLINK("https://www.senat.fr/senateur-3eme-republique/poincare_raymond1024r3.html", "poincare_raymond1024r3")</f>
        <v>0</v>
      </c>
      <c r="N10088">
        <f>HYPERLINK("https://www.wikidata.org/wiki/Q191974", "Q191974")</f>
        <v>0</v>
      </c>
      <c r="O10088" t="s">
        <v>20052</v>
      </c>
    </row>
    <row r="10089" spans="1:15">
      <c r="A10089" t="s">
        <v>101</v>
      </c>
      <c r="B10089" t="s">
        <v>149</v>
      </c>
      <c r="C10089" t="s">
        <v>233</v>
      </c>
      <c r="D10089" t="s">
        <v>362</v>
      </c>
      <c r="E10089" t="s">
        <v>363</v>
      </c>
      <c r="F10089">
        <f>HYPERLINK("https://www.wikidata.org/wiki/Q3112409", "Q3112409")</f>
        <v>0</v>
      </c>
      <c r="G10089" t="s">
        <v>778</v>
      </c>
      <c r="H10089" t="s">
        <v>5536</v>
      </c>
      <c r="I10089" t="s">
        <v>6584</v>
      </c>
      <c r="J10089" t="s">
        <v>11525</v>
      </c>
      <c r="K10089" t="s">
        <v>15929</v>
      </c>
      <c r="L10089">
        <f>HYPERLINK("https://www2.assemblee-nationale.fr/sycomore/fiche/(num_dept)/6293", "6293")</f>
        <v>0</v>
      </c>
      <c r="M10089">
        <f>HYPERLINK("https://www.senat.fr/senateur-3eme-republique/sarraut_albert0265r3.html", "sarraut_albert0265r3")</f>
        <v>0</v>
      </c>
      <c r="N10089">
        <f>HYPERLINK("https://www.wikidata.org/wiki/Q460318", "Q460318")</f>
        <v>0</v>
      </c>
      <c r="O10089" t="s">
        <v>20065</v>
      </c>
    </row>
    <row r="10090" spans="1:15">
      <c r="A10090" t="s">
        <v>101</v>
      </c>
      <c r="B10090" t="s">
        <v>149</v>
      </c>
      <c r="C10090" t="s">
        <v>233</v>
      </c>
      <c r="D10090" t="s">
        <v>362</v>
      </c>
      <c r="E10090" t="s">
        <v>363</v>
      </c>
      <c r="F10090">
        <f>HYPERLINK("https://www.wikidata.org/wiki/Q3112409", "Q3112409")</f>
        <v>0</v>
      </c>
      <c r="G10090" t="s">
        <v>798</v>
      </c>
      <c r="H10090" t="s">
        <v>5555</v>
      </c>
      <c r="I10090" t="s">
        <v>9529</v>
      </c>
      <c r="J10090" t="s">
        <v>11545</v>
      </c>
      <c r="K10090" t="s">
        <v>15949</v>
      </c>
      <c r="L10090">
        <f>HYPERLINK("https://www2.assemblee-nationale.fr/sycomore/fiche/(num_dept)/6581", "6581")</f>
        <v>0</v>
      </c>
      <c r="M10090">
        <f>HYPERLINK("https://www.senat.fr/senateur-3eme-republique/raiberti_flaminius0124r3.html", "raiberti_flaminius0124r3")</f>
        <v>0</v>
      </c>
      <c r="N10090">
        <f>HYPERLINK("https://www.wikidata.org/wiki/Q3073302", "Q3073302")</f>
        <v>0</v>
      </c>
      <c r="O10090" t="s">
        <v>20053</v>
      </c>
    </row>
    <row r="10091" spans="1:15">
      <c r="A10091" t="s">
        <v>101</v>
      </c>
      <c r="B10091" t="s">
        <v>149</v>
      </c>
      <c r="C10091" t="s">
        <v>233</v>
      </c>
      <c r="D10091" t="s">
        <v>362</v>
      </c>
      <c r="E10091" t="s">
        <v>363</v>
      </c>
      <c r="F10091">
        <f>HYPERLINK("https://www.wikidata.org/wiki/Q3112409", "Q3112409")</f>
        <v>0</v>
      </c>
      <c r="G10091" t="s">
        <v>1612</v>
      </c>
      <c r="H10091" t="s">
        <v>6298</v>
      </c>
      <c r="I10091" t="s">
        <v>9385</v>
      </c>
      <c r="J10091" t="s">
        <v>12319</v>
      </c>
      <c r="K10091" t="s">
        <v>16729</v>
      </c>
      <c r="L10091">
        <f>HYPERLINK("https://www2.assemblee-nationale.fr/sycomore/fiche/(num_dept)/6656", "6656")</f>
        <v>0</v>
      </c>
      <c r="M10091">
        <f>HYPERLINK("https://www.senat.fr/senateur-3eme-republique/reibel_charles1672r3.html", "reibel_charles1672r3")</f>
        <v>0</v>
      </c>
      <c r="N10091">
        <f>HYPERLINK("https://www.wikidata.org/wiki/Q2960097", "Q2960097")</f>
        <v>0</v>
      </c>
      <c r="O10091" t="s">
        <v>20167</v>
      </c>
    </row>
    <row r="10092" spans="1:15">
      <c r="A10092" t="s">
        <v>101</v>
      </c>
      <c r="B10092" t="s">
        <v>149</v>
      </c>
      <c r="C10092" t="s">
        <v>233</v>
      </c>
      <c r="D10092" t="s">
        <v>362</v>
      </c>
      <c r="E10092" t="s">
        <v>363</v>
      </c>
      <c r="F10092">
        <f>HYPERLINK("https://www.wikidata.org/wiki/Q3112409", "Q3112409")</f>
        <v>0</v>
      </c>
      <c r="G10092" t="s">
        <v>1621</v>
      </c>
      <c r="H10092" t="s">
        <v>6306</v>
      </c>
      <c r="I10092" t="s">
        <v>9426</v>
      </c>
      <c r="J10092" t="s">
        <v>12328</v>
      </c>
      <c r="K10092" t="s">
        <v>16738</v>
      </c>
      <c r="L10092">
        <f>HYPERLINK("https://www2.assemblee-nationale.fr/sycomore/fiche/(num_dept)/6781", "6781")</f>
        <v>0</v>
      </c>
      <c r="M10092">
        <f>HYPERLINK("https://www.senat.fr/senateur-3eme-republique/rio_alphonse0903r3.html", "rio_alphonse0903r3")</f>
        <v>0</v>
      </c>
      <c r="N10092">
        <f>HYPERLINK("https://www.wikidata.org/wiki/Q2839950", "Q2839950")</f>
        <v>0</v>
      </c>
      <c r="O10092" t="s">
        <v>20347</v>
      </c>
    </row>
    <row r="10093" spans="1:15">
      <c r="A10093" t="s">
        <v>101</v>
      </c>
      <c r="B10093" t="s">
        <v>149</v>
      </c>
      <c r="C10093" t="s">
        <v>233</v>
      </c>
      <c r="D10093" t="s">
        <v>362</v>
      </c>
      <c r="E10093" t="s">
        <v>363</v>
      </c>
      <c r="F10093">
        <f>HYPERLINK("https://www.wikidata.org/wiki/Q3112409", "Q3112409")</f>
        <v>0</v>
      </c>
      <c r="G10093" t="s">
        <v>1647</v>
      </c>
      <c r="H10093" t="s">
        <v>6330</v>
      </c>
      <c r="I10093" t="s">
        <v>9470</v>
      </c>
      <c r="J10093" t="s">
        <v>12354</v>
      </c>
      <c r="K10093" t="s">
        <v>16761</v>
      </c>
      <c r="L10093">
        <f>HYPERLINK("https://www2.assemblee-nationale.fr/sycomore/fiche/(num_dept)/7365", "7365")</f>
        <v>0</v>
      </c>
      <c r="N10093">
        <f>HYPERLINK("https://www.wikidata.org/wiki/Q3099181", "Q3099181")</f>
        <v>0</v>
      </c>
      <c r="O10093" t="s">
        <v>20348</v>
      </c>
    </row>
    <row r="10094" spans="1:15">
      <c r="A10094" t="s">
        <v>101</v>
      </c>
      <c r="B10094" t="s">
        <v>149</v>
      </c>
      <c r="C10094" t="s">
        <v>233</v>
      </c>
      <c r="D10094" t="s">
        <v>362</v>
      </c>
      <c r="E10094" t="s">
        <v>363</v>
      </c>
      <c r="F10094">
        <f>HYPERLINK("https://www.wikidata.org/wiki/Q3112409", "Q3112409")</f>
        <v>0</v>
      </c>
      <c r="G10094" t="s">
        <v>1659</v>
      </c>
      <c r="H10094" t="s">
        <v>6342</v>
      </c>
      <c r="I10094" t="s">
        <v>9843</v>
      </c>
      <c r="J10094" t="s">
        <v>12366</v>
      </c>
      <c r="K10094" t="s">
        <v>16773</v>
      </c>
      <c r="L10094">
        <f>HYPERLINK("https://www2.assemblee-nationale.fr/sycomore/fiche/(num_dept)/7630", "7630")</f>
        <v>0</v>
      </c>
      <c r="M10094">
        <f>HYPERLINK("https://www.senat.fr/senateur-3eme-republique/le_trocquer_yves0588r3.html", "le_trocquer_yves0588r3")</f>
        <v>0</v>
      </c>
      <c r="N10094">
        <f>HYPERLINK("https://www.wikidata.org/wiki/Q3573784", "Q3573784")</f>
        <v>0</v>
      </c>
      <c r="O10094" t="s">
        <v>20063</v>
      </c>
    </row>
    <row r="10095" spans="1:15">
      <c r="A10095" t="s">
        <v>101</v>
      </c>
      <c r="B10095" t="s">
        <v>149</v>
      </c>
      <c r="C10095" t="s">
        <v>233</v>
      </c>
      <c r="D10095" t="s">
        <v>362</v>
      </c>
      <c r="E10095" t="s">
        <v>363</v>
      </c>
      <c r="F10095">
        <f>HYPERLINK("https://www.wikidata.org/wiki/Q3112409", "Q3112409")</f>
        <v>0</v>
      </c>
      <c r="G10095" t="s">
        <v>4334</v>
      </c>
      <c r="H10095" t="s">
        <v>8485</v>
      </c>
      <c r="I10095" t="s">
        <v>9388</v>
      </c>
      <c r="J10095" t="s">
        <v>14829</v>
      </c>
      <c r="K10095" t="s">
        <v>19170</v>
      </c>
      <c r="M10095">
        <f>HYPERLINK("https://www.senat.fr/senateur-3eme-republique/strauss_paul1334r3.html", "strauss_paul1334r3")</f>
        <v>0</v>
      </c>
      <c r="N10095">
        <f>HYPERLINK("https://www.wikidata.org/wiki/Q3372237", "Q3372237")</f>
        <v>0</v>
      </c>
      <c r="O10095" t="s">
        <v>20173</v>
      </c>
    </row>
    <row r="10096" spans="1:15">
      <c r="A10096" t="s">
        <v>101</v>
      </c>
      <c r="B10096" t="s">
        <v>149</v>
      </c>
      <c r="C10096" t="s">
        <v>233</v>
      </c>
      <c r="D10096" t="s">
        <v>362</v>
      </c>
      <c r="E10096" t="s">
        <v>363</v>
      </c>
      <c r="F10096">
        <f>HYPERLINK("https://www.wikidata.org/wiki/Q3112409", "Q3112409")</f>
        <v>0</v>
      </c>
      <c r="G10096" t="s">
        <v>522</v>
      </c>
      <c r="H10096" t="s">
        <v>5286</v>
      </c>
      <c r="I10096" t="s">
        <v>5528</v>
      </c>
      <c r="J10096" t="s">
        <v>11274</v>
      </c>
      <c r="K10096" t="s">
        <v>19078</v>
      </c>
      <c r="N10096">
        <f>HYPERLINK("https://www.wikidata.org/wiki/Q18384890", "Q18384890")</f>
        <v>0</v>
      </c>
      <c r="O10096" t="s">
        <v>20129</v>
      </c>
    </row>
    <row r="10097" spans="1:15">
      <c r="A10097" t="s">
        <v>101</v>
      </c>
      <c r="B10097" t="s">
        <v>149</v>
      </c>
      <c r="C10097" t="s">
        <v>233</v>
      </c>
      <c r="D10097" t="s">
        <v>362</v>
      </c>
      <c r="E10097" t="s">
        <v>363</v>
      </c>
      <c r="F10097">
        <f>HYPERLINK("https://www.wikidata.org/wiki/Q3112409", "Q3112409")</f>
        <v>0</v>
      </c>
      <c r="G10097" t="s">
        <v>4335</v>
      </c>
      <c r="H10097" t="s">
        <v>8486</v>
      </c>
      <c r="I10097" t="s">
        <v>6584</v>
      </c>
      <c r="J10097" t="s">
        <v>12567</v>
      </c>
      <c r="K10097" t="s">
        <v>19171</v>
      </c>
      <c r="M10097">
        <f>HYPERLINK("https://www.senat.fr/senateur-3eme-republique/peyronnet_albert0055r3.html", "peyronnet_albert0055r3")</f>
        <v>0</v>
      </c>
      <c r="N10097">
        <f>HYPERLINK("https://www.wikidata.org/wiki/Q2831464", "Q2831464")</f>
        <v>0</v>
      </c>
      <c r="O10097" t="s">
        <v>20086</v>
      </c>
    </row>
    <row r="10098" spans="1:15">
      <c r="A10098" t="s">
        <v>102</v>
      </c>
      <c r="B10098" t="s">
        <v>149</v>
      </c>
      <c r="C10098" t="s">
        <v>234</v>
      </c>
      <c r="D10098" t="s">
        <v>363</v>
      </c>
      <c r="E10098" t="s">
        <v>283</v>
      </c>
      <c r="F10098">
        <f>HYPERLINK("https://www.wikidata.org/wiki/Q3112411", "Q3112411")</f>
        <v>0</v>
      </c>
      <c r="G10098" t="s">
        <v>1227</v>
      </c>
      <c r="H10098" t="s">
        <v>5952</v>
      </c>
      <c r="I10098" t="s">
        <v>7642</v>
      </c>
      <c r="J10098" t="s">
        <v>11959</v>
      </c>
      <c r="K10098" t="s">
        <v>16361</v>
      </c>
      <c r="L10098">
        <f>HYPERLINK("https://www2.assemblee-nationale.fr/sycomore/fiche/(num_dept)/916", "916")</f>
        <v>0</v>
      </c>
      <c r="N10098">
        <f>HYPERLINK("https://www.wikidata.org/wiki/Q3300454", "Q3300454")</f>
        <v>0</v>
      </c>
      <c r="O10098" t="s">
        <v>20053</v>
      </c>
    </row>
    <row r="10099" spans="1:15">
      <c r="A10099" t="s">
        <v>102</v>
      </c>
      <c r="B10099" t="s">
        <v>149</v>
      </c>
      <c r="C10099" t="s">
        <v>234</v>
      </c>
      <c r="D10099" t="s">
        <v>363</v>
      </c>
      <c r="E10099" t="s">
        <v>283</v>
      </c>
      <c r="F10099">
        <f>HYPERLINK("https://www.wikidata.org/wiki/Q3112411", "Q3112411")</f>
        <v>0</v>
      </c>
      <c r="G10099" t="s">
        <v>1398</v>
      </c>
      <c r="H10099" t="s">
        <v>6109</v>
      </c>
      <c r="I10099" t="s">
        <v>9407</v>
      </c>
      <c r="J10099" t="s">
        <v>12124</v>
      </c>
      <c r="K10099" t="s">
        <v>16525</v>
      </c>
      <c r="L10099">
        <f>HYPERLINK("https://www2.assemblee-nationale.fr/sycomore/fiche/(num_dept)/1429", "1429")</f>
        <v>0</v>
      </c>
      <c r="M10099">
        <f>HYPERLINK("https://www.senat.fr/senateur-3eme-republique/capus_joseph0215r3.html", "capus_joseph0215r3")</f>
        <v>0</v>
      </c>
      <c r="N10099">
        <f>HYPERLINK("https://www.wikidata.org/wiki/Q2405409", "Q2405409")</f>
        <v>0</v>
      </c>
      <c r="O10099" t="s">
        <v>20123</v>
      </c>
    </row>
    <row r="10100" spans="1:15">
      <c r="A10100" t="s">
        <v>102</v>
      </c>
      <c r="B10100" t="s">
        <v>149</v>
      </c>
      <c r="C10100" t="s">
        <v>234</v>
      </c>
      <c r="D10100" t="s">
        <v>363</v>
      </c>
      <c r="E10100" t="s">
        <v>283</v>
      </c>
      <c r="F10100">
        <f>HYPERLINK("https://www.wikidata.org/wiki/Q3112411", "Q3112411")</f>
        <v>0</v>
      </c>
      <c r="G10100" t="s">
        <v>1455</v>
      </c>
      <c r="H10100" t="s">
        <v>6155</v>
      </c>
      <c r="I10100" t="s">
        <v>6200</v>
      </c>
      <c r="J10100" t="s">
        <v>12174</v>
      </c>
      <c r="K10100" t="s">
        <v>16580</v>
      </c>
      <c r="L10100">
        <f>HYPERLINK("https://www2.assemblee-nationale.fr/sycomore/fiche/(num_dept)/2884", "2884")</f>
        <v>0</v>
      </c>
      <c r="M10100">
        <f>HYPERLINK("https://www.senat.fr/senateur-3eme-republique/fabry_jean0685r3.html", "fabry_jean0685r3")</f>
        <v>0</v>
      </c>
      <c r="N10100">
        <f>HYPERLINK("https://www.wikidata.org/wiki/Q3171965", "Q3171965")</f>
        <v>0</v>
      </c>
      <c r="O10100" t="s">
        <v>20065</v>
      </c>
    </row>
    <row r="10101" spans="1:15">
      <c r="A10101" t="s">
        <v>102</v>
      </c>
      <c r="B10101" t="s">
        <v>149</v>
      </c>
      <c r="C10101" t="s">
        <v>234</v>
      </c>
      <c r="D10101" t="s">
        <v>363</v>
      </c>
      <c r="E10101" t="s">
        <v>283</v>
      </c>
      <c r="F10101">
        <f>HYPERLINK("https://www.wikidata.org/wiki/Q3112411", "Q3112411")</f>
        <v>0</v>
      </c>
      <c r="G10101" t="s">
        <v>1517</v>
      </c>
      <c r="H10101" t="s">
        <v>6213</v>
      </c>
      <c r="I10101" t="s">
        <v>6495</v>
      </c>
      <c r="J10101" t="s">
        <v>12234</v>
      </c>
      <c r="K10101" t="s">
        <v>16640</v>
      </c>
      <c r="L10101">
        <f>HYPERLINK("https://www2.assemblee-nationale.fr/sycomore/fiche/(num_dept)/4823", "4823")</f>
        <v>0</v>
      </c>
      <c r="N10101">
        <f>HYPERLINK("https://www.wikidata.org/wiki/Q2788498", "Q2788498")</f>
        <v>0</v>
      </c>
      <c r="O10101" t="s">
        <v>20349</v>
      </c>
    </row>
    <row r="10102" spans="1:15">
      <c r="A10102" t="s">
        <v>102</v>
      </c>
      <c r="B10102" t="s">
        <v>149</v>
      </c>
      <c r="C10102" t="s">
        <v>234</v>
      </c>
      <c r="D10102" t="s">
        <v>363</v>
      </c>
      <c r="E10102" t="s">
        <v>283</v>
      </c>
      <c r="F10102">
        <f>HYPERLINK("https://www.wikidata.org/wiki/Q3112411", "Q3112411")</f>
        <v>0</v>
      </c>
      <c r="G10102" t="s">
        <v>717</v>
      </c>
      <c r="H10102" t="s">
        <v>5475</v>
      </c>
      <c r="I10102" t="s">
        <v>6585</v>
      </c>
      <c r="J10102" t="s">
        <v>11466</v>
      </c>
      <c r="K10102" t="s">
        <v>15868</v>
      </c>
      <c r="L10102">
        <f>HYPERLINK("https://www2.assemblee-nationale.fr/sycomore/fiche/(num_dept)/4882", "4882")</f>
        <v>0</v>
      </c>
      <c r="N10102">
        <f>HYPERLINK("https://www.wikidata.org/wiki/Q318617", "Q318617")</f>
        <v>0</v>
      </c>
      <c r="O10102" t="s">
        <v>20271</v>
      </c>
    </row>
    <row r="10103" spans="1:15">
      <c r="A10103" t="s">
        <v>102</v>
      </c>
      <c r="B10103" t="s">
        <v>149</v>
      </c>
      <c r="C10103" t="s">
        <v>234</v>
      </c>
      <c r="D10103" t="s">
        <v>363</v>
      </c>
      <c r="E10103" t="s">
        <v>283</v>
      </c>
      <c r="F10103">
        <f>HYPERLINK("https://www.wikidata.org/wiki/Q3112411", "Q3112411")</f>
        <v>0</v>
      </c>
      <c r="G10103" t="s">
        <v>3369</v>
      </c>
      <c r="H10103" t="s">
        <v>7766</v>
      </c>
      <c r="I10103" t="s">
        <v>9692</v>
      </c>
      <c r="J10103" t="s">
        <v>13981</v>
      </c>
      <c r="K10103" t="s">
        <v>18349</v>
      </c>
      <c r="L10103">
        <f>HYPERLINK("https://www2.assemblee-nationale.fr/sycomore/fiche/(num_dept)/5994", "5994")</f>
        <v>0</v>
      </c>
      <c r="M10103">
        <f>HYPERLINK("https://www.senat.fr/senateur-3eme-republique/poincare_raymond1024r3.html", "poincare_raymond1024r3")</f>
        <v>0</v>
      </c>
      <c r="N10103">
        <f>HYPERLINK("https://www.wikidata.org/wiki/Q191974", "Q191974")</f>
        <v>0</v>
      </c>
      <c r="O10103" t="s">
        <v>20062</v>
      </c>
    </row>
    <row r="10104" spans="1:15">
      <c r="A10104" t="s">
        <v>102</v>
      </c>
      <c r="B10104" t="s">
        <v>149</v>
      </c>
      <c r="C10104" t="s">
        <v>234</v>
      </c>
      <c r="D10104" t="s">
        <v>363</v>
      </c>
      <c r="E10104" t="s">
        <v>283</v>
      </c>
      <c r="F10104">
        <f>HYPERLINK("https://www.wikidata.org/wiki/Q3112411", "Q3112411")</f>
        <v>0</v>
      </c>
      <c r="G10104" t="s">
        <v>3369</v>
      </c>
      <c r="H10104" t="s">
        <v>7766</v>
      </c>
      <c r="I10104" t="s">
        <v>9692</v>
      </c>
      <c r="J10104" t="s">
        <v>13981</v>
      </c>
      <c r="K10104" t="s">
        <v>18349</v>
      </c>
      <c r="L10104">
        <f>HYPERLINK("https://www2.assemblee-nationale.fr/sycomore/fiche/(num_dept)/5994", "5994")</f>
        <v>0</v>
      </c>
      <c r="M10104">
        <f>HYPERLINK("https://www.senat.fr/senateur-3eme-republique/poincare_raymond1024r3.html", "poincare_raymond1024r3")</f>
        <v>0</v>
      </c>
      <c r="N10104">
        <f>HYPERLINK("https://www.wikidata.org/wiki/Q191974", "Q191974")</f>
        <v>0</v>
      </c>
      <c r="O10104" t="s">
        <v>20052</v>
      </c>
    </row>
    <row r="10105" spans="1:15">
      <c r="A10105" t="s">
        <v>102</v>
      </c>
      <c r="B10105" t="s">
        <v>149</v>
      </c>
      <c r="C10105" t="s">
        <v>234</v>
      </c>
      <c r="D10105" t="s">
        <v>363</v>
      </c>
      <c r="E10105" t="s">
        <v>283</v>
      </c>
      <c r="F10105">
        <f>HYPERLINK("https://www.wikidata.org/wiki/Q3112411", "Q3112411")</f>
        <v>0</v>
      </c>
      <c r="G10105" t="s">
        <v>1067</v>
      </c>
      <c r="H10105" t="s">
        <v>5812</v>
      </c>
      <c r="I10105" t="s">
        <v>9488</v>
      </c>
      <c r="J10105" t="s">
        <v>11804</v>
      </c>
      <c r="K10105" t="s">
        <v>16204</v>
      </c>
      <c r="L10105">
        <f>HYPERLINK("https://www2.assemblee-nationale.fr/sycomore/fiche/(num_dept)/7361", "7361")</f>
        <v>0</v>
      </c>
      <c r="M10105">
        <f>HYPERLINK("https://www.senat.fr/senateur-3eme-republique/daniel_vincent_charles1382r3.html", "daniel_vincent_charles1382r3")</f>
        <v>0</v>
      </c>
      <c r="N10105">
        <f>HYPERLINK("https://www.wikidata.org/wiki/Q3014792", "Q3014792")</f>
        <v>0</v>
      </c>
      <c r="O10105" t="s">
        <v>20350</v>
      </c>
    </row>
    <row r="10106" spans="1:15">
      <c r="A10106" t="s">
        <v>102</v>
      </c>
      <c r="B10106" t="s">
        <v>149</v>
      </c>
      <c r="C10106" t="s">
        <v>234</v>
      </c>
      <c r="D10106" t="s">
        <v>363</v>
      </c>
      <c r="E10106" t="s">
        <v>283</v>
      </c>
      <c r="F10106">
        <f>HYPERLINK("https://www.wikidata.org/wiki/Q3112411", "Q3112411")</f>
        <v>0</v>
      </c>
      <c r="G10106" t="s">
        <v>1659</v>
      </c>
      <c r="H10106" t="s">
        <v>6342</v>
      </c>
      <c r="I10106" t="s">
        <v>9843</v>
      </c>
      <c r="J10106" t="s">
        <v>12366</v>
      </c>
      <c r="K10106" t="s">
        <v>16773</v>
      </c>
      <c r="L10106">
        <f>HYPERLINK("https://www2.assemblee-nationale.fr/sycomore/fiche/(num_dept)/7630", "7630")</f>
        <v>0</v>
      </c>
      <c r="M10106">
        <f>HYPERLINK("https://www.senat.fr/senateur-3eme-republique/le_trocquer_yves0588r3.html", "le_trocquer_yves0588r3")</f>
        <v>0</v>
      </c>
      <c r="N10106">
        <f>HYPERLINK("https://www.wikidata.org/wiki/Q3573784", "Q3573784")</f>
        <v>0</v>
      </c>
      <c r="O10106" t="s">
        <v>20272</v>
      </c>
    </row>
    <row r="10107" spans="1:15">
      <c r="A10107" t="s">
        <v>102</v>
      </c>
      <c r="B10107" t="s">
        <v>149</v>
      </c>
      <c r="C10107" t="s">
        <v>234</v>
      </c>
      <c r="D10107" t="s">
        <v>363</v>
      </c>
      <c r="E10107" t="s">
        <v>283</v>
      </c>
      <c r="F10107">
        <f>HYPERLINK("https://www.wikidata.org/wiki/Q3112411", "Q3112411")</f>
        <v>0</v>
      </c>
      <c r="G10107" t="s">
        <v>1076</v>
      </c>
      <c r="H10107" t="s">
        <v>5820</v>
      </c>
      <c r="I10107" t="s">
        <v>9602</v>
      </c>
      <c r="J10107" t="s">
        <v>11812</v>
      </c>
      <c r="K10107" t="s">
        <v>16213</v>
      </c>
      <c r="L10107">
        <f>HYPERLINK("https://www2.assemblee-nationale.fr/sycomore/fiche/(num_dept)/7691", "7691")</f>
        <v>0</v>
      </c>
      <c r="M10107">
        <f>HYPERLINK("https://www.senat.fr/senateur-3eme-republique/lefebvre_du_prey_edmond0976r3.html", "lefebvre_du_prey_edmond0976r3")</f>
        <v>0</v>
      </c>
      <c r="N10107">
        <f>HYPERLINK("https://www.wikidata.org/wiki/Q1285694", "Q1285694")</f>
        <v>0</v>
      </c>
      <c r="O10107" t="s">
        <v>20064</v>
      </c>
    </row>
    <row r="10108" spans="1:15">
      <c r="A10108" t="s">
        <v>102</v>
      </c>
      <c r="B10108" t="s">
        <v>149</v>
      </c>
      <c r="C10108" t="s">
        <v>234</v>
      </c>
      <c r="D10108" t="s">
        <v>363</v>
      </c>
      <c r="E10108" t="s">
        <v>283</v>
      </c>
      <c r="F10108">
        <f>HYPERLINK("https://www.wikidata.org/wiki/Q3112411", "Q3112411")</f>
        <v>0</v>
      </c>
      <c r="G10108" t="s">
        <v>4253</v>
      </c>
      <c r="H10108" t="s">
        <v>8422</v>
      </c>
      <c r="I10108" t="s">
        <v>6478</v>
      </c>
      <c r="J10108" t="s">
        <v>14757</v>
      </c>
      <c r="K10108" t="s">
        <v>19104</v>
      </c>
      <c r="M10108">
        <f>HYPERLINK("https://www.senat.fr/senateur-3eme-republique/jouvenel_des_ursins_henri0468r3.html", "jouvenel_des_ursins_henri0468r3")</f>
        <v>0</v>
      </c>
      <c r="N10108">
        <f>HYPERLINK("https://www.wikidata.org/wiki/Q3133192", "Q3133192")</f>
        <v>0</v>
      </c>
      <c r="O10108" t="s">
        <v>20351</v>
      </c>
    </row>
    <row r="10109" spans="1:15">
      <c r="A10109" t="s">
        <v>102</v>
      </c>
      <c r="B10109" t="s">
        <v>149</v>
      </c>
      <c r="C10109" t="s">
        <v>234</v>
      </c>
      <c r="D10109" t="s">
        <v>363</v>
      </c>
      <c r="E10109" t="s">
        <v>283</v>
      </c>
      <c r="F10109">
        <f>HYPERLINK("https://www.wikidata.org/wiki/Q3112411", "Q3112411")</f>
        <v>0</v>
      </c>
      <c r="G10109" t="s">
        <v>4262</v>
      </c>
      <c r="H10109" t="s">
        <v>8431</v>
      </c>
      <c r="I10109" t="s">
        <v>9605</v>
      </c>
      <c r="J10109" t="s">
        <v>12022</v>
      </c>
      <c r="K10109" t="s">
        <v>19110</v>
      </c>
      <c r="M10109">
        <f>HYPERLINK("https://www.senat.fr/senateur-3eme-republique/de_selves_justin1727r3.html", "de_selves_justin1727r3")</f>
        <v>0</v>
      </c>
      <c r="N10109">
        <f>HYPERLINK("https://www.wikidata.org/wiki/Q2403337", "Q2403337")</f>
        <v>0</v>
      </c>
      <c r="O10109" t="s">
        <v>20113</v>
      </c>
    </row>
    <row r="10110" spans="1:15">
      <c r="A10110" t="s">
        <v>102</v>
      </c>
      <c r="B10110" t="s">
        <v>149</v>
      </c>
      <c r="C10110" t="s">
        <v>234</v>
      </c>
      <c r="D10110" t="s">
        <v>363</v>
      </c>
      <c r="E10110" t="s">
        <v>283</v>
      </c>
      <c r="F10110">
        <f>HYPERLINK("https://www.wikidata.org/wiki/Q3112411", "Q3112411")</f>
        <v>0</v>
      </c>
      <c r="G10110" t="s">
        <v>4308</v>
      </c>
      <c r="H10110" t="s">
        <v>8464</v>
      </c>
      <c r="I10110" t="s">
        <v>9612</v>
      </c>
      <c r="J10110" t="s">
        <v>14806</v>
      </c>
      <c r="K10110" t="s">
        <v>17434</v>
      </c>
      <c r="M10110">
        <f>HYPERLINK("https://www.senat.fr/senateur-3eme-republique/francois_marsal_frederic0362r3.html", "francois_marsal_frederic0362r3")</f>
        <v>0</v>
      </c>
      <c r="N10110">
        <f>HYPERLINK("https://www.wikidata.org/wiki/Q459212", "Q459212")</f>
        <v>0</v>
      </c>
      <c r="O10110" t="s">
        <v>20066</v>
      </c>
    </row>
    <row r="10111" spans="1:15">
      <c r="A10111" t="s">
        <v>102</v>
      </c>
      <c r="B10111" t="s">
        <v>149</v>
      </c>
      <c r="C10111" t="s">
        <v>234</v>
      </c>
      <c r="D10111" t="s">
        <v>363</v>
      </c>
      <c r="E10111" t="s">
        <v>283</v>
      </c>
      <c r="F10111">
        <f>HYPERLINK("https://www.wikidata.org/wiki/Q3112411", "Q3112411")</f>
        <v>0</v>
      </c>
      <c r="G10111" t="s">
        <v>724</v>
      </c>
      <c r="H10111" t="s">
        <v>5482</v>
      </c>
      <c r="I10111" t="s">
        <v>6495</v>
      </c>
      <c r="J10111" t="s">
        <v>11473</v>
      </c>
      <c r="K10111" t="s">
        <v>15875</v>
      </c>
      <c r="N10111">
        <f>HYPERLINK("https://www.wikidata.org/wiki/Q3262636", "Q3262636")</f>
        <v>0</v>
      </c>
      <c r="O10111" t="s">
        <v>20167</v>
      </c>
    </row>
    <row r="10112" spans="1:15">
      <c r="A10112" t="s">
        <v>103</v>
      </c>
      <c r="B10112" t="s">
        <v>149</v>
      </c>
      <c r="C10112" t="s">
        <v>235</v>
      </c>
      <c r="D10112" t="s">
        <v>364</v>
      </c>
      <c r="E10112" t="s">
        <v>477</v>
      </c>
      <c r="F10112">
        <f>HYPERLINK("https://www.wikidata.org/wiki/Q3112412", "Q3112412")</f>
        <v>0</v>
      </c>
      <c r="G10112" t="s">
        <v>512</v>
      </c>
      <c r="H10112" t="s">
        <v>5277</v>
      </c>
      <c r="I10112" t="s">
        <v>6495</v>
      </c>
      <c r="J10112" t="s">
        <v>11264</v>
      </c>
      <c r="K10112" t="s">
        <v>15664</v>
      </c>
      <c r="L10112">
        <f>HYPERLINK("https://www2.assemblee-nationale.fr/sycomore/fiche/(num_dept)/451", "451")</f>
        <v>0</v>
      </c>
      <c r="M10112">
        <f>HYPERLINK("https://www.senat.fr/senateur-3eme-republique/barthou_louis1071r3.html", "barthou_louis1071r3")</f>
        <v>0</v>
      </c>
      <c r="N10112">
        <f>HYPERLINK("https://www.wikidata.org/wiki/Q271887", "Q271887")</f>
        <v>0</v>
      </c>
      <c r="O10112" t="s">
        <v>20064</v>
      </c>
    </row>
    <row r="10113" spans="1:15">
      <c r="A10113" t="s">
        <v>103</v>
      </c>
      <c r="B10113" t="s">
        <v>149</v>
      </c>
      <c r="C10113" t="s">
        <v>235</v>
      </c>
      <c r="D10113" t="s">
        <v>364</v>
      </c>
      <c r="E10113" t="s">
        <v>477</v>
      </c>
      <c r="F10113">
        <f>HYPERLINK("https://www.wikidata.org/wiki/Q3112412", "Q3112412")</f>
        <v>0</v>
      </c>
      <c r="G10113" t="s">
        <v>1227</v>
      </c>
      <c r="H10113" t="s">
        <v>5952</v>
      </c>
      <c r="I10113" t="s">
        <v>7642</v>
      </c>
      <c r="J10113" t="s">
        <v>11959</v>
      </c>
      <c r="K10113" t="s">
        <v>16361</v>
      </c>
      <c r="L10113">
        <f>HYPERLINK("https://www2.assemblee-nationale.fr/sycomore/fiche/(num_dept)/916", "916")</f>
        <v>0</v>
      </c>
      <c r="N10113">
        <f>HYPERLINK("https://www.wikidata.org/wiki/Q3300454", "Q3300454")</f>
        <v>0</v>
      </c>
      <c r="O10113" t="s">
        <v>20352</v>
      </c>
    </row>
    <row r="10114" spans="1:15">
      <c r="A10114" t="s">
        <v>103</v>
      </c>
      <c r="B10114" t="s">
        <v>149</v>
      </c>
      <c r="C10114" t="s">
        <v>235</v>
      </c>
      <c r="D10114" t="s">
        <v>364</v>
      </c>
      <c r="E10114" t="s">
        <v>477</v>
      </c>
      <c r="F10114">
        <f>HYPERLINK("https://www.wikidata.org/wiki/Q3112412", "Q3112412")</f>
        <v>0</v>
      </c>
      <c r="G10114" t="s">
        <v>553</v>
      </c>
      <c r="H10114" t="s">
        <v>5316</v>
      </c>
      <c r="I10114" t="s">
        <v>9411</v>
      </c>
      <c r="J10114" t="s">
        <v>11304</v>
      </c>
      <c r="K10114" t="s">
        <v>15705</v>
      </c>
      <c r="L10114">
        <f>HYPERLINK("https://www2.assemblee-nationale.fr/sycomore/fiche/(num_dept)/1211", "1211")</f>
        <v>0</v>
      </c>
      <c r="N10114">
        <f>HYPERLINK("https://www.wikidata.org/wiki/Q179888", "Q179888")</f>
        <v>0</v>
      </c>
      <c r="O10114" t="s">
        <v>20062</v>
      </c>
    </row>
    <row r="10115" spans="1:15">
      <c r="A10115" t="s">
        <v>103</v>
      </c>
      <c r="B10115" t="s">
        <v>149</v>
      </c>
      <c r="C10115" t="s">
        <v>235</v>
      </c>
      <c r="D10115" t="s">
        <v>364</v>
      </c>
      <c r="E10115" t="s">
        <v>477</v>
      </c>
      <c r="F10115">
        <f>HYPERLINK("https://www.wikidata.org/wiki/Q3112412", "Q3112412")</f>
        <v>0</v>
      </c>
      <c r="G10115" t="s">
        <v>576</v>
      </c>
      <c r="H10115" t="s">
        <v>5338</v>
      </c>
      <c r="I10115" t="s">
        <v>6478</v>
      </c>
      <c r="J10115" t="s">
        <v>11327</v>
      </c>
      <c r="K10115" t="s">
        <v>15728</v>
      </c>
      <c r="L10115">
        <f>HYPERLINK("https://www2.assemblee-nationale.fr/sycomore/fiche/(num_dept)/1768", "1768")</f>
        <v>0</v>
      </c>
      <c r="M10115">
        <f>HYPERLINK("https://www.senat.fr/senateur-3eme-republique/cheron_henry0337r3.html", "cheron_henry0337r3")</f>
        <v>0</v>
      </c>
      <c r="N10115">
        <f>HYPERLINK("https://www.wikidata.org/wiki/Q3132698", "Q3132698")</f>
        <v>0</v>
      </c>
      <c r="O10115" t="s">
        <v>20352</v>
      </c>
    </row>
    <row r="10116" spans="1:15">
      <c r="A10116" t="s">
        <v>103</v>
      </c>
      <c r="B10116" t="s">
        <v>149</v>
      </c>
      <c r="C10116" t="s">
        <v>235</v>
      </c>
      <c r="D10116" t="s">
        <v>364</v>
      </c>
      <c r="E10116" t="s">
        <v>477</v>
      </c>
      <c r="F10116">
        <f>HYPERLINK("https://www.wikidata.org/wiki/Q3112412", "Q3112412")</f>
        <v>0</v>
      </c>
      <c r="G10116" t="s">
        <v>1170</v>
      </c>
      <c r="H10116" t="s">
        <v>5901</v>
      </c>
      <c r="I10116" t="s">
        <v>5592</v>
      </c>
      <c r="J10116" t="s">
        <v>11903</v>
      </c>
      <c r="K10116" t="s">
        <v>16305</v>
      </c>
      <c r="L10116">
        <f>HYPERLINK("https://www2.assemblee-nationale.fr/sycomore/fiche/(num_dept)/2874", "2874")</f>
        <v>0</v>
      </c>
      <c r="M10116">
        <f>HYPERLINK("https://www.senat.fr/senateur-3eme-republique/eynac_laurent0520r3.html", "eynac_laurent0520r3")</f>
        <v>0</v>
      </c>
      <c r="N10116">
        <f>HYPERLINK("https://www.wikidata.org/wiki/Q3219208", "Q3219208")</f>
        <v>0</v>
      </c>
      <c r="O10116" t="s">
        <v>20072</v>
      </c>
    </row>
    <row r="10117" spans="1:15">
      <c r="A10117" t="s">
        <v>103</v>
      </c>
      <c r="B10117" t="s">
        <v>149</v>
      </c>
      <c r="C10117" t="s">
        <v>235</v>
      </c>
      <c r="D10117" t="s">
        <v>364</v>
      </c>
      <c r="E10117" t="s">
        <v>477</v>
      </c>
      <c r="F10117">
        <f>HYPERLINK("https://www.wikidata.org/wiki/Q3112412", "Q3112412")</f>
        <v>0</v>
      </c>
      <c r="G10117" t="s">
        <v>1456</v>
      </c>
      <c r="H10117" t="s">
        <v>6156</v>
      </c>
      <c r="I10117" t="s">
        <v>6585</v>
      </c>
      <c r="J10117" t="s">
        <v>12175</v>
      </c>
      <c r="K10117" t="s">
        <v>16581</v>
      </c>
      <c r="L10117">
        <f>HYPERLINK("https://www2.assemblee-nationale.fr/sycomore/fiche/(num_dept)/2900", "2900")</f>
        <v>0</v>
      </c>
      <c r="M10117">
        <f>HYPERLINK("https://www.senat.fr/senateur-3eme-republique/fallieres_andre0749r3.html", "fallieres_andre0749r3")</f>
        <v>0</v>
      </c>
      <c r="N10117">
        <f>HYPERLINK("https://www.wikidata.org/wiki/Q2847742", "Q2847742")</f>
        <v>0</v>
      </c>
      <c r="O10117" t="s">
        <v>20138</v>
      </c>
    </row>
    <row r="10118" spans="1:15">
      <c r="A10118" t="s">
        <v>103</v>
      </c>
      <c r="B10118" t="s">
        <v>149</v>
      </c>
      <c r="C10118" t="s">
        <v>235</v>
      </c>
      <c r="D10118" t="s">
        <v>364</v>
      </c>
      <c r="E10118" t="s">
        <v>477</v>
      </c>
      <c r="F10118">
        <f>HYPERLINK("https://www.wikidata.org/wiki/Q3112412", "Q3112412")</f>
        <v>0</v>
      </c>
      <c r="G10118" t="s">
        <v>1492</v>
      </c>
      <c r="H10118" t="s">
        <v>6190</v>
      </c>
      <c r="I10118" t="s">
        <v>9728</v>
      </c>
      <c r="J10118" t="s">
        <v>12210</v>
      </c>
      <c r="K10118" t="s">
        <v>16616</v>
      </c>
      <c r="L10118">
        <f>HYPERLINK("https://www2.assemblee-nationale.fr/sycomore/fiche/(num_dept)/3819", "3819")</f>
        <v>0</v>
      </c>
      <c r="M10118">
        <f>HYPERLINK("https://www.senat.fr/senateur-3eme-republique/herriot_edouard1121r3.html", "herriot_edouard1121r3")</f>
        <v>0</v>
      </c>
      <c r="N10118">
        <f>HYPERLINK("https://www.wikidata.org/wiki/Q274344", "Q274344")</f>
        <v>0</v>
      </c>
      <c r="O10118" t="s">
        <v>20051</v>
      </c>
    </row>
    <row r="10119" spans="1:15">
      <c r="A10119" t="s">
        <v>103</v>
      </c>
      <c r="B10119" t="s">
        <v>149</v>
      </c>
      <c r="C10119" t="s">
        <v>235</v>
      </c>
      <c r="D10119" t="s">
        <v>364</v>
      </c>
      <c r="E10119" t="s">
        <v>477</v>
      </c>
      <c r="F10119">
        <f>HYPERLINK("https://www.wikidata.org/wiki/Q3112412", "Q3112412")</f>
        <v>0</v>
      </c>
      <c r="G10119" t="s">
        <v>1517</v>
      </c>
      <c r="H10119" t="s">
        <v>6213</v>
      </c>
      <c r="I10119" t="s">
        <v>6495</v>
      </c>
      <c r="J10119" t="s">
        <v>12234</v>
      </c>
      <c r="K10119" t="s">
        <v>16640</v>
      </c>
      <c r="L10119">
        <f>HYPERLINK("https://www2.assemblee-nationale.fr/sycomore/fiche/(num_dept)/4823", "4823")</f>
        <v>0</v>
      </c>
      <c r="N10119">
        <f>HYPERLINK("https://www.wikidata.org/wiki/Q2788498", "Q2788498")</f>
        <v>0</v>
      </c>
      <c r="O10119" t="s">
        <v>20353</v>
      </c>
    </row>
    <row r="10120" spans="1:15">
      <c r="A10120" t="s">
        <v>103</v>
      </c>
      <c r="B10120" t="s">
        <v>149</v>
      </c>
      <c r="C10120" t="s">
        <v>235</v>
      </c>
      <c r="D10120" t="s">
        <v>364</v>
      </c>
      <c r="E10120" t="s">
        <v>477</v>
      </c>
      <c r="F10120">
        <f>HYPERLINK("https://www.wikidata.org/wiki/Q3112412", "Q3112412")</f>
        <v>0</v>
      </c>
      <c r="G10120" t="s">
        <v>1562</v>
      </c>
      <c r="H10120" t="s">
        <v>6253</v>
      </c>
      <c r="I10120" t="s">
        <v>9458</v>
      </c>
      <c r="J10120" t="s">
        <v>12275</v>
      </c>
      <c r="K10120" t="s">
        <v>16683</v>
      </c>
      <c r="L10120">
        <f>HYPERLINK("https://www2.assemblee-nationale.fr/sycomore/fiche/(num_dept)/5590", "5590")</f>
        <v>0</v>
      </c>
      <c r="N10120">
        <f>HYPERLINK("https://www.wikidata.org/wiki/Q2835374", "Q2835374")</f>
        <v>0</v>
      </c>
      <c r="O10120" t="s">
        <v>20354</v>
      </c>
    </row>
    <row r="10121" spans="1:15">
      <c r="A10121" t="s">
        <v>103</v>
      </c>
      <c r="B10121" t="s">
        <v>149</v>
      </c>
      <c r="C10121" t="s">
        <v>235</v>
      </c>
      <c r="D10121" t="s">
        <v>364</v>
      </c>
      <c r="E10121" t="s">
        <v>477</v>
      </c>
      <c r="F10121">
        <f>HYPERLINK("https://www.wikidata.org/wiki/Q3112412", "Q3112412")</f>
        <v>0</v>
      </c>
      <c r="G10121" t="s">
        <v>1017</v>
      </c>
      <c r="H10121" t="s">
        <v>5767</v>
      </c>
      <c r="I10121" t="s">
        <v>9388</v>
      </c>
      <c r="J10121" t="s">
        <v>11754</v>
      </c>
      <c r="K10121" t="s">
        <v>16157</v>
      </c>
      <c r="L10121">
        <f>HYPERLINK("https://www2.assemblee-nationale.fr/sycomore/fiche/(num_dept)/5653", "5653")</f>
        <v>0</v>
      </c>
      <c r="N10121">
        <f>HYPERLINK("https://www.wikidata.org/wiki/Q315434", "Q315434")</f>
        <v>0</v>
      </c>
      <c r="O10121" t="s">
        <v>20057</v>
      </c>
    </row>
    <row r="10122" spans="1:15">
      <c r="A10122" t="s">
        <v>103</v>
      </c>
      <c r="B10122" t="s">
        <v>149</v>
      </c>
      <c r="C10122" t="s">
        <v>235</v>
      </c>
      <c r="D10122" t="s">
        <v>364</v>
      </c>
      <c r="E10122" t="s">
        <v>477</v>
      </c>
      <c r="F10122">
        <f>HYPERLINK("https://www.wikidata.org/wiki/Q3112412", "Q3112412")</f>
        <v>0</v>
      </c>
      <c r="G10122" t="s">
        <v>1026</v>
      </c>
      <c r="H10122" t="s">
        <v>5776</v>
      </c>
      <c r="I10122" t="s">
        <v>5528</v>
      </c>
      <c r="J10122" t="s">
        <v>11763</v>
      </c>
      <c r="K10122" t="s">
        <v>16164</v>
      </c>
      <c r="L10122">
        <f>HYPERLINK("https://www2.assemblee-nationale.fr/sycomore/fiche/(num_dept)/5811", "5811")</f>
        <v>0</v>
      </c>
      <c r="M10122">
        <f>HYPERLINK("https://www.senat.fr/senateur-3eme-republique/perrier_leon1193r3.html", "perrier_leon1193r3")</f>
        <v>0</v>
      </c>
      <c r="N10122">
        <f>HYPERLINK("https://www.wikidata.org/wiki/Q3271259", "Q3271259")</f>
        <v>0</v>
      </c>
      <c r="O10122" t="s">
        <v>20065</v>
      </c>
    </row>
    <row r="10123" spans="1:15">
      <c r="A10123" t="s">
        <v>103</v>
      </c>
      <c r="B10123" t="s">
        <v>149</v>
      </c>
      <c r="C10123" t="s">
        <v>235</v>
      </c>
      <c r="D10123" t="s">
        <v>364</v>
      </c>
      <c r="E10123" t="s">
        <v>477</v>
      </c>
      <c r="F10123">
        <f>HYPERLINK("https://www.wikidata.org/wiki/Q3112412", "Q3112412")</f>
        <v>0</v>
      </c>
      <c r="G10123" t="s">
        <v>3369</v>
      </c>
      <c r="H10123" t="s">
        <v>7766</v>
      </c>
      <c r="I10123" t="s">
        <v>9692</v>
      </c>
      <c r="J10123" t="s">
        <v>13981</v>
      </c>
      <c r="K10123" t="s">
        <v>18349</v>
      </c>
      <c r="L10123">
        <f>HYPERLINK("https://www2.assemblee-nationale.fr/sycomore/fiche/(num_dept)/5994", "5994")</f>
        <v>0</v>
      </c>
      <c r="M10123">
        <f>HYPERLINK("https://www.senat.fr/senateur-3eme-republique/poincare_raymond1024r3.html", "poincare_raymond1024r3")</f>
        <v>0</v>
      </c>
      <c r="N10123">
        <f>HYPERLINK("https://www.wikidata.org/wiki/Q191974", "Q191974")</f>
        <v>0</v>
      </c>
      <c r="O10123" t="s">
        <v>20066</v>
      </c>
    </row>
    <row r="10124" spans="1:15">
      <c r="A10124" t="s">
        <v>103</v>
      </c>
      <c r="B10124" t="s">
        <v>149</v>
      </c>
      <c r="C10124" t="s">
        <v>235</v>
      </c>
      <c r="D10124" t="s">
        <v>364</v>
      </c>
      <c r="E10124" t="s">
        <v>477</v>
      </c>
      <c r="F10124">
        <f>HYPERLINK("https://www.wikidata.org/wiki/Q3112412", "Q3112412")</f>
        <v>0</v>
      </c>
      <c r="G10124" t="s">
        <v>3369</v>
      </c>
      <c r="H10124" t="s">
        <v>7766</v>
      </c>
      <c r="I10124" t="s">
        <v>9692</v>
      </c>
      <c r="J10124" t="s">
        <v>13981</v>
      </c>
      <c r="K10124" t="s">
        <v>18349</v>
      </c>
      <c r="L10124">
        <f>HYPERLINK("https://www2.assemblee-nationale.fr/sycomore/fiche/(num_dept)/5994", "5994")</f>
        <v>0</v>
      </c>
      <c r="M10124">
        <f>HYPERLINK("https://www.senat.fr/senateur-3eme-republique/poincare_raymond1024r3.html", "poincare_raymond1024r3")</f>
        <v>0</v>
      </c>
      <c r="N10124">
        <f>HYPERLINK("https://www.wikidata.org/wiki/Q191974", "Q191974")</f>
        <v>0</v>
      </c>
      <c r="O10124" t="s">
        <v>20052</v>
      </c>
    </row>
    <row r="10125" spans="1:15">
      <c r="A10125" t="s">
        <v>103</v>
      </c>
      <c r="B10125" t="s">
        <v>149</v>
      </c>
      <c r="C10125" t="s">
        <v>235</v>
      </c>
      <c r="D10125" t="s">
        <v>364</v>
      </c>
      <c r="E10125" t="s">
        <v>477</v>
      </c>
      <c r="F10125">
        <f>HYPERLINK("https://www.wikidata.org/wiki/Q3112412", "Q3112412")</f>
        <v>0</v>
      </c>
      <c r="G10125" t="s">
        <v>778</v>
      </c>
      <c r="H10125" t="s">
        <v>5536</v>
      </c>
      <c r="I10125" t="s">
        <v>6584</v>
      </c>
      <c r="J10125" t="s">
        <v>11525</v>
      </c>
      <c r="K10125" t="s">
        <v>15929</v>
      </c>
      <c r="L10125">
        <f>HYPERLINK("https://www2.assemblee-nationale.fr/sycomore/fiche/(num_dept)/6293", "6293")</f>
        <v>0</v>
      </c>
      <c r="M10125">
        <f>HYPERLINK("https://www.senat.fr/senateur-3eme-republique/sarraut_albert0265r3.html", "sarraut_albert0265r3")</f>
        <v>0</v>
      </c>
      <c r="N10125">
        <f>HYPERLINK("https://www.wikidata.org/wiki/Q460318", "Q460318")</f>
        <v>0</v>
      </c>
      <c r="O10125" t="s">
        <v>20058</v>
      </c>
    </row>
    <row r="10126" spans="1:15">
      <c r="A10126" t="s">
        <v>103</v>
      </c>
      <c r="B10126" t="s">
        <v>149</v>
      </c>
      <c r="C10126" t="s">
        <v>235</v>
      </c>
      <c r="D10126" t="s">
        <v>364</v>
      </c>
      <c r="E10126" t="s">
        <v>477</v>
      </c>
      <c r="F10126">
        <f>HYPERLINK("https://www.wikidata.org/wiki/Q3112412", "Q3112412")</f>
        <v>0</v>
      </c>
      <c r="G10126" t="s">
        <v>1304</v>
      </c>
      <c r="H10126" t="s">
        <v>6025</v>
      </c>
      <c r="I10126" t="s">
        <v>9457</v>
      </c>
      <c r="J10126" t="s">
        <v>12034</v>
      </c>
      <c r="K10126" t="s">
        <v>16435</v>
      </c>
      <c r="L10126">
        <f>HYPERLINK("https://www2.assemblee-nationale.fr/sycomore/fiche/(num_dept)/6554", "6554")</f>
        <v>0</v>
      </c>
      <c r="M10126">
        <f>HYPERLINK("https://www.senat.fr/senateur-3eme-republique/queuille_henri0469r3.html", "queuille_henri0469r3")</f>
        <v>0</v>
      </c>
      <c r="N10126">
        <f>HYPERLINK("https://www.wikidata.org/wiki/Q455655", "Q455655")</f>
        <v>0</v>
      </c>
      <c r="O10126" t="s">
        <v>20056</v>
      </c>
    </row>
    <row r="10127" spans="1:15">
      <c r="A10127" t="s">
        <v>103</v>
      </c>
      <c r="B10127" t="s">
        <v>149</v>
      </c>
      <c r="C10127" t="s">
        <v>235</v>
      </c>
      <c r="D10127" t="s">
        <v>364</v>
      </c>
      <c r="E10127" t="s">
        <v>477</v>
      </c>
      <c r="F10127">
        <f>HYPERLINK("https://www.wikidata.org/wiki/Q3112412", "Q3112412")</f>
        <v>0</v>
      </c>
      <c r="G10127" t="s">
        <v>1206</v>
      </c>
      <c r="H10127" t="s">
        <v>5934</v>
      </c>
      <c r="I10127" t="s">
        <v>6585</v>
      </c>
      <c r="J10127" t="s">
        <v>11939</v>
      </c>
      <c r="K10127" t="s">
        <v>16340</v>
      </c>
      <c r="L10127">
        <f>HYPERLINK("https://www2.assemblee-nationale.fr/sycomore/fiche/(num_dept)/6953", "6953")</f>
        <v>0</v>
      </c>
      <c r="N10127">
        <f>HYPERLINK("https://www.wikidata.org/wiki/Q346648", "Q346648")</f>
        <v>0</v>
      </c>
      <c r="O10127" t="s">
        <v>20063</v>
      </c>
    </row>
    <row r="10128" spans="1:15">
      <c r="A10128" t="s">
        <v>103</v>
      </c>
      <c r="B10128" t="s">
        <v>149</v>
      </c>
      <c r="C10128" t="s">
        <v>235</v>
      </c>
      <c r="D10128" t="s">
        <v>364</v>
      </c>
      <c r="E10128" t="s">
        <v>477</v>
      </c>
      <c r="F10128">
        <f>HYPERLINK("https://www.wikidata.org/wiki/Q3112412", "Q3112412")</f>
        <v>0</v>
      </c>
      <c r="G10128" t="s">
        <v>857</v>
      </c>
      <c r="H10128" t="s">
        <v>5613</v>
      </c>
      <c r="I10128" t="s">
        <v>6175</v>
      </c>
      <c r="J10128" t="s">
        <v>11603</v>
      </c>
      <c r="K10128" t="s">
        <v>16005</v>
      </c>
      <c r="L10128">
        <f>HYPERLINK("https://www2.assemblee-nationale.fr/sycomore/fiche/(num_dept)/7840", "7840")</f>
        <v>0</v>
      </c>
      <c r="N10128">
        <f>HYPERLINK("https://www.wikidata.org/wiki/Q728806", "Q728806")</f>
        <v>0</v>
      </c>
      <c r="O10128" t="s">
        <v>20053</v>
      </c>
    </row>
    <row r="10129" spans="1:15">
      <c r="A10129" t="s">
        <v>103</v>
      </c>
      <c r="B10129" t="s">
        <v>149</v>
      </c>
      <c r="C10129" t="s">
        <v>235</v>
      </c>
      <c r="D10129" t="s">
        <v>364</v>
      </c>
      <c r="E10129" t="s">
        <v>477</v>
      </c>
      <c r="F10129">
        <f>HYPERLINK("https://www.wikidata.org/wiki/Q3112412", "Q3112412")</f>
        <v>0</v>
      </c>
      <c r="G10129" t="s">
        <v>724</v>
      </c>
      <c r="H10129" t="s">
        <v>5482</v>
      </c>
      <c r="I10129" t="s">
        <v>6495</v>
      </c>
      <c r="J10129" t="s">
        <v>11473</v>
      </c>
      <c r="K10129" t="s">
        <v>15875</v>
      </c>
      <c r="N10129">
        <f>HYPERLINK("https://www.wikidata.org/wiki/Q3262636", "Q3262636")</f>
        <v>0</v>
      </c>
      <c r="O10129" t="s">
        <v>20088</v>
      </c>
    </row>
    <row r="10130" spans="1:15">
      <c r="A10130" t="s">
        <v>104</v>
      </c>
      <c r="B10130" t="s">
        <v>149</v>
      </c>
      <c r="C10130" t="s">
        <v>236</v>
      </c>
      <c r="D10130" t="s">
        <v>365</v>
      </c>
      <c r="E10130" t="s">
        <v>478</v>
      </c>
      <c r="F10130">
        <f>HYPERLINK("https://www.wikidata.org/wiki/Q3112413", "Q3112413")</f>
        <v>0</v>
      </c>
      <c r="G10130" t="s">
        <v>1344</v>
      </c>
      <c r="H10130" t="s">
        <v>6062</v>
      </c>
      <c r="I10130" t="s">
        <v>6495</v>
      </c>
      <c r="J10130" t="s">
        <v>12071</v>
      </c>
      <c r="K10130" t="s">
        <v>16473</v>
      </c>
      <c r="L10130">
        <f>HYPERLINK("https://www2.assemblee-nationale.fr/sycomore/fiche/(num_dept)/157", "157")</f>
        <v>0</v>
      </c>
      <c r="N10130">
        <f>HYPERLINK("https://www.wikidata.org/wiki/Q3261084", "Q3261084")</f>
        <v>0</v>
      </c>
      <c r="O10130" t="s">
        <v>20088</v>
      </c>
    </row>
    <row r="10131" spans="1:15">
      <c r="A10131" t="s">
        <v>104</v>
      </c>
      <c r="B10131" t="s">
        <v>149</v>
      </c>
      <c r="C10131" t="s">
        <v>236</v>
      </c>
      <c r="D10131" t="s">
        <v>365</v>
      </c>
      <c r="E10131" t="s">
        <v>478</v>
      </c>
      <c r="F10131">
        <f>HYPERLINK("https://www.wikidata.org/wiki/Q3112413", "Q3112413")</f>
        <v>0</v>
      </c>
      <c r="G10131" t="s">
        <v>512</v>
      </c>
      <c r="H10131" t="s">
        <v>5277</v>
      </c>
      <c r="I10131" t="s">
        <v>6495</v>
      </c>
      <c r="J10131" t="s">
        <v>11264</v>
      </c>
      <c r="K10131" t="s">
        <v>15664</v>
      </c>
      <c r="L10131">
        <f>HYPERLINK("https://www2.assemblee-nationale.fr/sycomore/fiche/(num_dept)/451", "451")</f>
        <v>0</v>
      </c>
      <c r="M10131">
        <f>HYPERLINK("https://www.senat.fr/senateur-3eme-republique/barthou_louis1071r3.html", "barthou_louis1071r3")</f>
        <v>0</v>
      </c>
      <c r="N10131">
        <f>HYPERLINK("https://www.wikidata.org/wiki/Q271887", "Q271887")</f>
        <v>0</v>
      </c>
      <c r="O10131" t="s">
        <v>20064</v>
      </c>
    </row>
    <row r="10132" spans="1:15">
      <c r="A10132" t="s">
        <v>104</v>
      </c>
      <c r="B10132" t="s">
        <v>149</v>
      </c>
      <c r="C10132" t="s">
        <v>236</v>
      </c>
      <c r="D10132" t="s">
        <v>365</v>
      </c>
      <c r="E10132" t="s">
        <v>478</v>
      </c>
      <c r="F10132">
        <f>HYPERLINK("https://www.wikidata.org/wiki/Q3112413", "Q3112413")</f>
        <v>0</v>
      </c>
      <c r="G10132" t="s">
        <v>876</v>
      </c>
      <c r="H10132" t="s">
        <v>5632</v>
      </c>
      <c r="I10132" t="s">
        <v>6175</v>
      </c>
      <c r="J10132" t="s">
        <v>11622</v>
      </c>
      <c r="K10132" t="s">
        <v>16024</v>
      </c>
      <c r="L10132">
        <f>HYPERLINK("https://www2.assemblee-nationale.fr/sycomore/fiche/(num_dept)/938", "938")</f>
        <v>0</v>
      </c>
      <c r="N10132">
        <f>HYPERLINK("https://www.wikidata.org/wiki/Q3102326", "Q3102326")</f>
        <v>0</v>
      </c>
      <c r="O10132" t="s">
        <v>20135</v>
      </c>
    </row>
    <row r="10133" spans="1:15">
      <c r="A10133" t="s">
        <v>104</v>
      </c>
      <c r="B10133" t="s">
        <v>149</v>
      </c>
      <c r="C10133" t="s">
        <v>236</v>
      </c>
      <c r="D10133" t="s">
        <v>365</v>
      </c>
      <c r="E10133" t="s">
        <v>478</v>
      </c>
      <c r="F10133">
        <f>HYPERLINK("https://www.wikidata.org/wiki/Q3112413", "Q3112413")</f>
        <v>0</v>
      </c>
      <c r="G10133" t="s">
        <v>553</v>
      </c>
      <c r="H10133" t="s">
        <v>5316</v>
      </c>
      <c r="I10133" t="s">
        <v>9411</v>
      </c>
      <c r="J10133" t="s">
        <v>11304</v>
      </c>
      <c r="K10133" t="s">
        <v>15705</v>
      </c>
      <c r="L10133">
        <f>HYPERLINK("https://www2.assemblee-nationale.fr/sycomore/fiche/(num_dept)/1211", "1211")</f>
        <v>0</v>
      </c>
      <c r="N10133">
        <f>HYPERLINK("https://www.wikidata.org/wiki/Q179888", "Q179888")</f>
        <v>0</v>
      </c>
      <c r="O10133" t="s">
        <v>20062</v>
      </c>
    </row>
    <row r="10134" spans="1:15">
      <c r="A10134" t="s">
        <v>104</v>
      </c>
      <c r="B10134" t="s">
        <v>149</v>
      </c>
      <c r="C10134" t="s">
        <v>236</v>
      </c>
      <c r="D10134" t="s">
        <v>365</v>
      </c>
      <c r="E10134" t="s">
        <v>478</v>
      </c>
      <c r="F10134">
        <f>HYPERLINK("https://www.wikidata.org/wiki/Q3112413", "Q3112413")</f>
        <v>0</v>
      </c>
      <c r="G10134" t="s">
        <v>576</v>
      </c>
      <c r="H10134" t="s">
        <v>5338</v>
      </c>
      <c r="I10134" t="s">
        <v>6478</v>
      </c>
      <c r="J10134" t="s">
        <v>11327</v>
      </c>
      <c r="K10134" t="s">
        <v>15728</v>
      </c>
      <c r="L10134">
        <f>HYPERLINK("https://www2.assemblee-nationale.fr/sycomore/fiche/(num_dept)/1768", "1768")</f>
        <v>0</v>
      </c>
      <c r="M10134">
        <f>HYPERLINK("https://www.senat.fr/senateur-3eme-republique/cheron_henry0337r3.html", "cheron_henry0337r3")</f>
        <v>0</v>
      </c>
      <c r="N10134">
        <f>HYPERLINK("https://www.wikidata.org/wiki/Q3132698", "Q3132698")</f>
        <v>0</v>
      </c>
      <c r="O10134" t="s">
        <v>20066</v>
      </c>
    </row>
    <row r="10135" spans="1:15">
      <c r="A10135" t="s">
        <v>104</v>
      </c>
      <c r="B10135" t="s">
        <v>149</v>
      </c>
      <c r="C10135" t="s">
        <v>236</v>
      </c>
      <c r="D10135" t="s">
        <v>365</v>
      </c>
      <c r="E10135" t="s">
        <v>478</v>
      </c>
      <c r="F10135">
        <f>HYPERLINK("https://www.wikidata.org/wiki/Q3112413", "Q3112413")</f>
        <v>0</v>
      </c>
      <c r="G10135" t="s">
        <v>1170</v>
      </c>
      <c r="H10135" t="s">
        <v>5901</v>
      </c>
      <c r="I10135" t="s">
        <v>5592</v>
      </c>
      <c r="J10135" t="s">
        <v>11903</v>
      </c>
      <c r="K10135" t="s">
        <v>16305</v>
      </c>
      <c r="L10135">
        <f>HYPERLINK("https://www2.assemblee-nationale.fr/sycomore/fiche/(num_dept)/2874", "2874")</f>
        <v>0</v>
      </c>
      <c r="M10135">
        <f>HYPERLINK("https://www.senat.fr/senateur-3eme-republique/eynac_laurent0520r3.html", "eynac_laurent0520r3")</f>
        <v>0</v>
      </c>
      <c r="N10135">
        <f>HYPERLINK("https://www.wikidata.org/wiki/Q3219208", "Q3219208")</f>
        <v>0</v>
      </c>
      <c r="O10135" t="s">
        <v>20072</v>
      </c>
    </row>
    <row r="10136" spans="1:15">
      <c r="A10136" t="s">
        <v>104</v>
      </c>
      <c r="B10136" t="s">
        <v>149</v>
      </c>
      <c r="C10136" t="s">
        <v>236</v>
      </c>
      <c r="D10136" t="s">
        <v>365</v>
      </c>
      <c r="E10136" t="s">
        <v>478</v>
      </c>
      <c r="F10136">
        <f>HYPERLINK("https://www.wikidata.org/wiki/Q3112413", "Q3112413")</f>
        <v>0</v>
      </c>
      <c r="G10136" t="s">
        <v>1254</v>
      </c>
      <c r="H10136" t="s">
        <v>5978</v>
      </c>
      <c r="I10136" t="s">
        <v>6860</v>
      </c>
      <c r="J10136" t="s">
        <v>11984</v>
      </c>
      <c r="K10136" t="s">
        <v>16387</v>
      </c>
      <c r="L10136">
        <f>HYPERLINK("https://www2.assemblee-nationale.fr/sycomore/fiche/(num_dept)/3057", "3057")</f>
        <v>0</v>
      </c>
      <c r="N10136">
        <f>HYPERLINK("https://www.wikidata.org/wiki/Q3385030", "Q3385030")</f>
        <v>0</v>
      </c>
      <c r="O10136" t="s">
        <v>20063</v>
      </c>
    </row>
    <row r="10137" spans="1:15">
      <c r="A10137" t="s">
        <v>104</v>
      </c>
      <c r="B10137" t="s">
        <v>149</v>
      </c>
      <c r="C10137" t="s">
        <v>236</v>
      </c>
      <c r="D10137" t="s">
        <v>365</v>
      </c>
      <c r="E10137" t="s">
        <v>478</v>
      </c>
      <c r="F10137">
        <f>HYPERLINK("https://www.wikidata.org/wiki/Q3112413", "Q3112413")</f>
        <v>0</v>
      </c>
      <c r="G10137" t="s">
        <v>1801</v>
      </c>
      <c r="H10137" t="s">
        <v>6466</v>
      </c>
      <c r="I10137" t="s">
        <v>6585</v>
      </c>
      <c r="J10137" t="s">
        <v>12496</v>
      </c>
      <c r="K10137" t="s">
        <v>16906</v>
      </c>
      <c r="L10137">
        <f>HYPERLINK("https://www2.assemblee-nationale.fr/sycomore/fiche/(num_dept)/3130", "3130")</f>
        <v>0</v>
      </c>
      <c r="N10137">
        <f>HYPERLINK("https://www.wikidata.org/wiki/Q518576", "Q518576")</f>
        <v>0</v>
      </c>
      <c r="O10137" t="s">
        <v>20136</v>
      </c>
    </row>
    <row r="10138" spans="1:15">
      <c r="A10138" t="s">
        <v>104</v>
      </c>
      <c r="B10138" t="s">
        <v>149</v>
      </c>
      <c r="C10138" t="s">
        <v>236</v>
      </c>
      <c r="D10138" t="s">
        <v>365</v>
      </c>
      <c r="E10138" t="s">
        <v>478</v>
      </c>
      <c r="F10138">
        <f>HYPERLINK("https://www.wikidata.org/wiki/Q3112413", "Q3112413")</f>
        <v>0</v>
      </c>
      <c r="G10138" t="s">
        <v>2074</v>
      </c>
      <c r="H10138" t="s">
        <v>6701</v>
      </c>
      <c r="I10138" t="s">
        <v>6495</v>
      </c>
      <c r="J10138" t="s">
        <v>12745</v>
      </c>
      <c r="K10138" t="s">
        <v>17156</v>
      </c>
      <c r="L10138">
        <f>HYPERLINK("https://www2.assemblee-nationale.fr/sycomore/fiche/(num_dept)/3378", "3378")</f>
        <v>0</v>
      </c>
      <c r="N10138">
        <f>HYPERLINK("https://www.wikidata.org/wiki/Q3262030", "Q3262030")</f>
        <v>0</v>
      </c>
      <c r="O10138" t="s">
        <v>20137</v>
      </c>
    </row>
    <row r="10139" spans="1:15">
      <c r="A10139" t="s">
        <v>104</v>
      </c>
      <c r="B10139" t="s">
        <v>149</v>
      </c>
      <c r="C10139" t="s">
        <v>236</v>
      </c>
      <c r="D10139" t="s">
        <v>365</v>
      </c>
      <c r="E10139" t="s">
        <v>478</v>
      </c>
      <c r="F10139">
        <f>HYPERLINK("https://www.wikidata.org/wiki/Q3112413", "Q3112413")</f>
        <v>0</v>
      </c>
      <c r="G10139" t="s">
        <v>682</v>
      </c>
      <c r="H10139" t="s">
        <v>5440</v>
      </c>
      <c r="I10139" t="s">
        <v>6200</v>
      </c>
      <c r="J10139" t="s">
        <v>11432</v>
      </c>
      <c r="K10139" t="s">
        <v>15833</v>
      </c>
      <c r="L10139">
        <f>HYPERLINK("https://www2.assemblee-nationale.fr/sycomore/fiche/(num_dept)/3795", "3795")</f>
        <v>0</v>
      </c>
      <c r="N10139">
        <f>HYPERLINK("https://www.wikidata.org/wiki/Q554679", "Q554679")</f>
        <v>0</v>
      </c>
      <c r="O10139" t="s">
        <v>20056</v>
      </c>
    </row>
    <row r="10140" spans="1:15">
      <c r="A10140" t="s">
        <v>104</v>
      </c>
      <c r="B10140" t="s">
        <v>149</v>
      </c>
      <c r="C10140" t="s">
        <v>236</v>
      </c>
      <c r="D10140" t="s">
        <v>365</v>
      </c>
      <c r="E10140" t="s">
        <v>478</v>
      </c>
      <c r="F10140">
        <f>HYPERLINK("https://www.wikidata.org/wiki/Q3112413", "Q3112413")</f>
        <v>0</v>
      </c>
      <c r="G10140" t="s">
        <v>1517</v>
      </c>
      <c r="H10140" t="s">
        <v>6213</v>
      </c>
      <c r="I10140" t="s">
        <v>6495</v>
      </c>
      <c r="J10140" t="s">
        <v>12234</v>
      </c>
      <c r="K10140" t="s">
        <v>16640</v>
      </c>
      <c r="L10140">
        <f>HYPERLINK("https://www2.assemblee-nationale.fr/sycomore/fiche/(num_dept)/4823", "4823")</f>
        <v>0</v>
      </c>
      <c r="N10140">
        <f>HYPERLINK("https://www.wikidata.org/wiki/Q2788498", "Q2788498")</f>
        <v>0</v>
      </c>
      <c r="O10140" t="s">
        <v>20138</v>
      </c>
    </row>
    <row r="10141" spans="1:15">
      <c r="A10141" t="s">
        <v>104</v>
      </c>
      <c r="B10141" t="s">
        <v>149</v>
      </c>
      <c r="C10141" t="s">
        <v>236</v>
      </c>
      <c r="D10141" t="s">
        <v>365</v>
      </c>
      <c r="E10141" t="s">
        <v>478</v>
      </c>
      <c r="F10141">
        <f>HYPERLINK("https://www.wikidata.org/wiki/Q3112413", "Q3112413")</f>
        <v>0</v>
      </c>
      <c r="G10141" t="s">
        <v>717</v>
      </c>
      <c r="H10141" t="s">
        <v>5475</v>
      </c>
      <c r="I10141" t="s">
        <v>6585</v>
      </c>
      <c r="J10141" t="s">
        <v>11466</v>
      </c>
      <c r="K10141" t="s">
        <v>15868</v>
      </c>
      <c r="L10141">
        <f>HYPERLINK("https://www2.assemblee-nationale.fr/sycomore/fiche/(num_dept)/4882", "4882")</f>
        <v>0</v>
      </c>
      <c r="N10141">
        <f>HYPERLINK("https://www.wikidata.org/wiki/Q318617", "Q318617")</f>
        <v>0</v>
      </c>
      <c r="O10141" t="s">
        <v>20065</v>
      </c>
    </row>
    <row r="10142" spans="1:15">
      <c r="A10142" t="s">
        <v>104</v>
      </c>
      <c r="B10142" t="s">
        <v>149</v>
      </c>
      <c r="C10142" t="s">
        <v>236</v>
      </c>
      <c r="D10142" t="s">
        <v>365</v>
      </c>
      <c r="E10142" t="s">
        <v>478</v>
      </c>
      <c r="F10142">
        <f>HYPERLINK("https://www.wikidata.org/wiki/Q3112413", "Q3112413")</f>
        <v>0</v>
      </c>
      <c r="G10142" t="s">
        <v>1562</v>
      </c>
      <c r="H10142" t="s">
        <v>6253</v>
      </c>
      <c r="I10142" t="s">
        <v>9458</v>
      </c>
      <c r="J10142" t="s">
        <v>12275</v>
      </c>
      <c r="K10142" t="s">
        <v>16683</v>
      </c>
      <c r="L10142">
        <f>HYPERLINK("https://www2.assemblee-nationale.fr/sycomore/fiche/(num_dept)/5590", "5590")</f>
        <v>0</v>
      </c>
      <c r="N10142">
        <f>HYPERLINK("https://www.wikidata.org/wiki/Q2835374", "Q2835374")</f>
        <v>0</v>
      </c>
      <c r="O10142" t="s">
        <v>20354</v>
      </c>
    </row>
    <row r="10143" spans="1:15">
      <c r="A10143" t="s">
        <v>104</v>
      </c>
      <c r="B10143" t="s">
        <v>149</v>
      </c>
      <c r="C10143" t="s">
        <v>236</v>
      </c>
      <c r="D10143" t="s">
        <v>365</v>
      </c>
      <c r="E10143" t="s">
        <v>478</v>
      </c>
      <c r="F10143">
        <f>HYPERLINK("https://www.wikidata.org/wiki/Q3112413", "Q3112413")</f>
        <v>0</v>
      </c>
      <c r="G10143" t="s">
        <v>1017</v>
      </c>
      <c r="H10143" t="s">
        <v>5767</v>
      </c>
      <c r="I10143" t="s">
        <v>9388</v>
      </c>
      <c r="J10143" t="s">
        <v>11754</v>
      </c>
      <c r="K10143" t="s">
        <v>16157</v>
      </c>
      <c r="L10143">
        <f>HYPERLINK("https://www2.assemblee-nationale.fr/sycomore/fiche/(num_dept)/5653", "5653")</f>
        <v>0</v>
      </c>
      <c r="N10143">
        <f>HYPERLINK("https://www.wikidata.org/wiki/Q315434", "Q315434")</f>
        <v>0</v>
      </c>
      <c r="O10143" t="s">
        <v>20057</v>
      </c>
    </row>
    <row r="10144" spans="1:15">
      <c r="A10144" t="s">
        <v>104</v>
      </c>
      <c r="B10144" t="s">
        <v>149</v>
      </c>
      <c r="C10144" t="s">
        <v>236</v>
      </c>
      <c r="D10144" t="s">
        <v>365</v>
      </c>
      <c r="E10144" t="s">
        <v>478</v>
      </c>
      <c r="F10144">
        <f>HYPERLINK("https://www.wikidata.org/wiki/Q3112413", "Q3112413")</f>
        <v>0</v>
      </c>
      <c r="G10144" t="s">
        <v>1019</v>
      </c>
      <c r="H10144" t="s">
        <v>5769</v>
      </c>
      <c r="I10144" t="s">
        <v>6478</v>
      </c>
      <c r="J10144" t="s">
        <v>11756</v>
      </c>
      <c r="K10144" t="s">
        <v>16158</v>
      </c>
      <c r="L10144">
        <f>HYPERLINK("https://www2.assemblee-nationale.fr/sycomore/fiche/(num_dept)/5706", "5706")</f>
        <v>0</v>
      </c>
      <c r="N10144">
        <f>HYPERLINK("https://www.wikidata.org/wiki/Q3132997", "Q3132997")</f>
        <v>0</v>
      </c>
      <c r="O10144" t="s">
        <v>20140</v>
      </c>
    </row>
    <row r="10145" spans="1:15">
      <c r="A10145" t="s">
        <v>104</v>
      </c>
      <c r="B10145" t="s">
        <v>149</v>
      </c>
      <c r="C10145" t="s">
        <v>236</v>
      </c>
      <c r="D10145" t="s">
        <v>365</v>
      </c>
      <c r="E10145" t="s">
        <v>478</v>
      </c>
      <c r="F10145">
        <f>HYPERLINK("https://www.wikidata.org/wiki/Q3112413", "Q3112413")</f>
        <v>0</v>
      </c>
      <c r="G10145" t="s">
        <v>3369</v>
      </c>
      <c r="H10145" t="s">
        <v>7766</v>
      </c>
      <c r="I10145" t="s">
        <v>9692</v>
      </c>
      <c r="J10145" t="s">
        <v>13981</v>
      </c>
      <c r="K10145" t="s">
        <v>18349</v>
      </c>
      <c r="L10145">
        <f>HYPERLINK("https://www2.assemblee-nationale.fr/sycomore/fiche/(num_dept)/5994", "5994")</f>
        <v>0</v>
      </c>
      <c r="M10145">
        <f>HYPERLINK("https://www.senat.fr/senateur-3eme-republique/poincare_raymond1024r3.html", "poincare_raymond1024r3")</f>
        <v>0</v>
      </c>
      <c r="N10145">
        <f>HYPERLINK("https://www.wikidata.org/wiki/Q191974", "Q191974")</f>
        <v>0</v>
      </c>
      <c r="O10145" t="s">
        <v>20052</v>
      </c>
    </row>
    <row r="10146" spans="1:15">
      <c r="A10146" t="s">
        <v>104</v>
      </c>
      <c r="B10146" t="s">
        <v>149</v>
      </c>
      <c r="C10146" t="s">
        <v>236</v>
      </c>
      <c r="D10146" t="s">
        <v>365</v>
      </c>
      <c r="E10146" t="s">
        <v>478</v>
      </c>
      <c r="F10146">
        <f>HYPERLINK("https://www.wikidata.org/wiki/Q3112413", "Q3112413")</f>
        <v>0</v>
      </c>
      <c r="G10146" t="s">
        <v>1206</v>
      </c>
      <c r="H10146" t="s">
        <v>5934</v>
      </c>
      <c r="I10146" t="s">
        <v>6585</v>
      </c>
      <c r="J10146" t="s">
        <v>11939</v>
      </c>
      <c r="K10146" t="s">
        <v>16340</v>
      </c>
      <c r="L10146">
        <f>HYPERLINK("https://www2.assemblee-nationale.fr/sycomore/fiche/(num_dept)/6953", "6953")</f>
        <v>0</v>
      </c>
      <c r="N10146">
        <f>HYPERLINK("https://www.wikidata.org/wiki/Q346648", "Q346648")</f>
        <v>0</v>
      </c>
      <c r="O10146" t="s">
        <v>20058</v>
      </c>
    </row>
    <row r="10147" spans="1:15">
      <c r="A10147" t="s">
        <v>104</v>
      </c>
      <c r="B10147" t="s">
        <v>149</v>
      </c>
      <c r="C10147" t="s">
        <v>236</v>
      </c>
      <c r="D10147" t="s">
        <v>365</v>
      </c>
      <c r="E10147" t="s">
        <v>478</v>
      </c>
      <c r="F10147">
        <f>HYPERLINK("https://www.wikidata.org/wiki/Q3112413", "Q3112413")</f>
        <v>0</v>
      </c>
      <c r="G10147" t="s">
        <v>857</v>
      </c>
      <c r="H10147" t="s">
        <v>5613</v>
      </c>
      <c r="I10147" t="s">
        <v>6175</v>
      </c>
      <c r="J10147" t="s">
        <v>11603</v>
      </c>
      <c r="K10147" t="s">
        <v>16005</v>
      </c>
      <c r="L10147">
        <f>HYPERLINK("https://www2.assemblee-nationale.fr/sycomore/fiche/(num_dept)/7840", "7840")</f>
        <v>0</v>
      </c>
      <c r="N10147">
        <f>HYPERLINK("https://www.wikidata.org/wiki/Q728806", "Q728806")</f>
        <v>0</v>
      </c>
      <c r="O10147" t="s">
        <v>20053</v>
      </c>
    </row>
    <row r="10148" spans="1:15">
      <c r="A10148" t="s">
        <v>104</v>
      </c>
      <c r="B10148" t="s">
        <v>149</v>
      </c>
      <c r="C10148" t="s">
        <v>236</v>
      </c>
      <c r="D10148" t="s">
        <v>365</v>
      </c>
      <c r="E10148" t="s">
        <v>478</v>
      </c>
      <c r="F10148">
        <f>HYPERLINK("https://www.wikidata.org/wiki/Q3112413", "Q3112413")</f>
        <v>0</v>
      </c>
      <c r="G10148" t="s">
        <v>4243</v>
      </c>
      <c r="H10148" t="s">
        <v>8417</v>
      </c>
      <c r="I10148" t="s">
        <v>6860</v>
      </c>
      <c r="J10148" t="s">
        <v>14749</v>
      </c>
      <c r="K10148" t="s">
        <v>19095</v>
      </c>
      <c r="M10148">
        <f>HYPERLINK("https://www.senat.fr/senateur-3eme-republique/marraud_pierre0748r3.html", "marraud_pierre0748r3")</f>
        <v>0</v>
      </c>
      <c r="N10148">
        <f>HYPERLINK("https://www.wikidata.org/wiki/Q3386156", "Q3386156")</f>
        <v>0</v>
      </c>
      <c r="O10148" t="s">
        <v>20051</v>
      </c>
    </row>
    <row r="10149" spans="1:15">
      <c r="A10149" t="s">
        <v>105</v>
      </c>
      <c r="B10149" t="s">
        <v>149</v>
      </c>
      <c r="C10149" t="s">
        <v>237</v>
      </c>
      <c r="D10149" t="s">
        <v>366</v>
      </c>
      <c r="E10149" t="s">
        <v>360</v>
      </c>
      <c r="F10149">
        <f>HYPERLINK("https://www.wikidata.org/wiki/Q2718814", "Q2718814")</f>
        <v>0</v>
      </c>
      <c r="G10149" t="s">
        <v>1979</v>
      </c>
      <c r="H10149" t="s">
        <v>6617</v>
      </c>
      <c r="I10149" t="s">
        <v>10026</v>
      </c>
      <c r="J10149" t="s">
        <v>12660</v>
      </c>
      <c r="K10149" t="s">
        <v>17070</v>
      </c>
      <c r="L10149">
        <f>HYPERLINK("https://www2.assemblee-nationale.fr/sycomore/fiche/(num_dept)/74", "74")</f>
        <v>0</v>
      </c>
      <c r="N10149">
        <f>HYPERLINK("https://www.wikidata.org/wiki/Q3063540", "Q3063540")</f>
        <v>0</v>
      </c>
      <c r="O10149" t="s">
        <v>20198</v>
      </c>
    </row>
    <row r="10150" spans="1:15">
      <c r="A10150" t="s">
        <v>105</v>
      </c>
      <c r="B10150" t="s">
        <v>149</v>
      </c>
      <c r="C10150" t="s">
        <v>237</v>
      </c>
      <c r="D10150" t="s">
        <v>366</v>
      </c>
      <c r="E10150" t="s">
        <v>360</v>
      </c>
      <c r="F10150">
        <f>HYPERLINK("https://www.wikidata.org/wiki/Q2718814", "Q2718814")</f>
        <v>0</v>
      </c>
      <c r="G10150" t="s">
        <v>1355</v>
      </c>
      <c r="H10150" t="s">
        <v>6073</v>
      </c>
      <c r="I10150" t="s">
        <v>5528</v>
      </c>
      <c r="J10150" t="s">
        <v>12081</v>
      </c>
      <c r="K10150" t="s">
        <v>16484</v>
      </c>
      <c r="L10150">
        <f>HYPERLINK("https://www2.assemblee-nationale.fr/sycomore/fiche/(num_dept)/409", "409")</f>
        <v>0</v>
      </c>
      <c r="N10150">
        <f>HYPERLINK("https://www.wikidata.org/wiki/Q3270710", "Q3270710")</f>
        <v>0</v>
      </c>
      <c r="O10150" t="s">
        <v>20135</v>
      </c>
    </row>
    <row r="10151" spans="1:15">
      <c r="A10151" t="s">
        <v>105</v>
      </c>
      <c r="B10151" t="s">
        <v>149</v>
      </c>
      <c r="C10151" t="s">
        <v>237</v>
      </c>
      <c r="D10151" t="s">
        <v>366</v>
      </c>
      <c r="E10151" t="s">
        <v>360</v>
      </c>
      <c r="F10151">
        <f>HYPERLINK("https://www.wikidata.org/wiki/Q2718814", "Q2718814")</f>
        <v>0</v>
      </c>
      <c r="G10151" t="s">
        <v>2007</v>
      </c>
      <c r="H10151" t="s">
        <v>6641</v>
      </c>
      <c r="I10151" t="s">
        <v>6166</v>
      </c>
      <c r="J10151" t="s">
        <v>12686</v>
      </c>
      <c r="K10151" t="s">
        <v>17095</v>
      </c>
      <c r="L10151">
        <f>HYPERLINK("https://www2.assemblee-nationale.fr/sycomore/fiche/(num_dept)/857", "857")</f>
        <v>0</v>
      </c>
      <c r="N10151">
        <f>HYPERLINK("https://www.wikidata.org/wiki/Q3083995", "Q3083995")</f>
        <v>0</v>
      </c>
      <c r="O10151" t="s">
        <v>20355</v>
      </c>
    </row>
    <row r="10152" spans="1:15">
      <c r="A10152" t="s">
        <v>105</v>
      </c>
      <c r="B10152" t="s">
        <v>149</v>
      </c>
      <c r="C10152" t="s">
        <v>237</v>
      </c>
      <c r="D10152" t="s">
        <v>366</v>
      </c>
      <c r="E10152" t="s">
        <v>360</v>
      </c>
      <c r="F10152">
        <f>HYPERLINK("https://www.wikidata.org/wiki/Q2718814", "Q2718814")</f>
        <v>0</v>
      </c>
      <c r="G10152" t="s">
        <v>2241</v>
      </c>
      <c r="H10152" t="s">
        <v>6847</v>
      </c>
      <c r="I10152" t="s">
        <v>10131</v>
      </c>
      <c r="J10152" t="s">
        <v>12902</v>
      </c>
      <c r="K10152" t="s">
        <v>17312</v>
      </c>
      <c r="L10152">
        <f>HYPERLINK("https://www2.assemblee-nationale.fr/sycomore/fiche/(num_dept)/1406", "1406")</f>
        <v>0</v>
      </c>
      <c r="N10152">
        <f>HYPERLINK("https://www.wikidata.org/wiki/Q3010436", "Q3010436")</f>
        <v>0</v>
      </c>
      <c r="O10152" t="s">
        <v>20097</v>
      </c>
    </row>
    <row r="10153" spans="1:15">
      <c r="A10153" t="s">
        <v>105</v>
      </c>
      <c r="B10153" t="s">
        <v>149</v>
      </c>
      <c r="C10153" t="s">
        <v>237</v>
      </c>
      <c r="D10153" t="s">
        <v>366</v>
      </c>
      <c r="E10153" t="s">
        <v>360</v>
      </c>
      <c r="F10153">
        <f>HYPERLINK("https://www.wikidata.org/wiki/Q2718814", "Q2718814")</f>
        <v>0</v>
      </c>
      <c r="G10153" t="s">
        <v>1754</v>
      </c>
      <c r="H10153" t="s">
        <v>6424</v>
      </c>
      <c r="I10153" t="s">
        <v>9552</v>
      </c>
      <c r="J10153" t="s">
        <v>12454</v>
      </c>
      <c r="K10153" t="s">
        <v>16860</v>
      </c>
      <c r="L10153">
        <f>HYPERLINK("https://www2.assemblee-nationale.fr/sycomore/fiche/(num_dept)/1631", "1631")</f>
        <v>0</v>
      </c>
      <c r="M10153">
        <f>HYPERLINK("https://www.senat.fr/senateur-3eme-republique/champetier_de_ribes_auguste0517r4.html", "champetier_de_ribes_auguste0517r4")</f>
        <v>0</v>
      </c>
      <c r="N10153">
        <f>HYPERLINK("https://www.wikidata.org/wiki/Q478746", "Q478746")</f>
        <v>0</v>
      </c>
      <c r="O10153" t="s">
        <v>20249</v>
      </c>
    </row>
    <row r="10154" spans="1:15">
      <c r="A10154" t="s">
        <v>105</v>
      </c>
      <c r="B10154" t="s">
        <v>149</v>
      </c>
      <c r="C10154" t="s">
        <v>237</v>
      </c>
      <c r="D10154" t="s">
        <v>366</v>
      </c>
      <c r="E10154" t="s">
        <v>360</v>
      </c>
      <c r="F10154">
        <f>HYPERLINK("https://www.wikidata.org/wiki/Q2718814", "Q2718814")</f>
        <v>0</v>
      </c>
      <c r="G10154" t="s">
        <v>1410</v>
      </c>
      <c r="H10154" t="s">
        <v>5337</v>
      </c>
      <c r="I10154" t="s">
        <v>9506</v>
      </c>
      <c r="J10154" t="s">
        <v>12135</v>
      </c>
      <c r="K10154" t="s">
        <v>16537</v>
      </c>
      <c r="L10154">
        <f>HYPERLINK("https://www2.assemblee-nationale.fr/sycomore/fiche/(num_dept)/1726", "1726")</f>
        <v>0</v>
      </c>
      <c r="M10154">
        <f>HYPERLINK("https://www.senat.fr/senateur-3eme-republique/chautemps_camille0380r3.html", "chautemps_camille0380r3")</f>
        <v>0</v>
      </c>
      <c r="N10154">
        <f>HYPERLINK("https://www.wikidata.org/wiki/Q263884", "Q263884")</f>
        <v>0</v>
      </c>
      <c r="O10154" t="s">
        <v>20074</v>
      </c>
    </row>
    <row r="10155" spans="1:15">
      <c r="A10155" t="s">
        <v>105</v>
      </c>
      <c r="B10155" t="s">
        <v>149</v>
      </c>
      <c r="C10155" t="s">
        <v>237</v>
      </c>
      <c r="D10155" t="s">
        <v>366</v>
      </c>
      <c r="E10155" t="s">
        <v>360</v>
      </c>
      <c r="F10155">
        <f>HYPERLINK("https://www.wikidata.org/wiki/Q2718814", "Q2718814")</f>
        <v>0</v>
      </c>
      <c r="G10155" t="s">
        <v>2289</v>
      </c>
      <c r="H10155" t="s">
        <v>6886</v>
      </c>
      <c r="I10155" t="s">
        <v>6584</v>
      </c>
      <c r="J10155" t="s">
        <v>12946</v>
      </c>
      <c r="K10155" t="s">
        <v>17353</v>
      </c>
      <c r="L10155">
        <f>HYPERLINK("https://www2.assemblee-nationale.fr/sycomore/fiche/(num_dept)/1795", "1795")</f>
        <v>0</v>
      </c>
      <c r="N10155">
        <f>HYPERLINK("https://www.wikidata.org/wiki/Q2831044", "Q2831044")</f>
        <v>0</v>
      </c>
      <c r="O10155" t="s">
        <v>20135</v>
      </c>
    </row>
    <row r="10156" spans="1:15">
      <c r="A10156" t="s">
        <v>105</v>
      </c>
      <c r="B10156" t="s">
        <v>149</v>
      </c>
      <c r="C10156" t="s">
        <v>237</v>
      </c>
      <c r="D10156" t="s">
        <v>366</v>
      </c>
      <c r="E10156" t="s">
        <v>360</v>
      </c>
      <c r="F10156">
        <f>HYPERLINK("https://www.wikidata.org/wiki/Q2718814", "Q2718814")</f>
        <v>0</v>
      </c>
      <c r="G10156" t="s">
        <v>1423</v>
      </c>
      <c r="H10156" t="s">
        <v>6128</v>
      </c>
      <c r="I10156" t="s">
        <v>9728</v>
      </c>
      <c r="J10156" t="s">
        <v>12147</v>
      </c>
      <c r="K10156" t="s">
        <v>16549</v>
      </c>
      <c r="L10156">
        <f>HYPERLINK("https://www2.assemblee-nationale.fr/sycomore/fiche/(num_dept)/2105", "2105")</f>
        <v>0</v>
      </c>
      <c r="N10156">
        <f>HYPERLINK("https://www.wikidata.org/wiki/Q213526", "Q213526")</f>
        <v>0</v>
      </c>
      <c r="O10156" t="s">
        <v>20247</v>
      </c>
    </row>
    <row r="10157" spans="1:15">
      <c r="A10157" t="s">
        <v>105</v>
      </c>
      <c r="B10157" t="s">
        <v>149</v>
      </c>
      <c r="C10157" t="s">
        <v>237</v>
      </c>
      <c r="D10157" t="s">
        <v>366</v>
      </c>
      <c r="E10157" t="s">
        <v>360</v>
      </c>
      <c r="F10157">
        <f>HYPERLINK("https://www.wikidata.org/wiki/Q2718814", "Q2718814")</f>
        <v>0</v>
      </c>
      <c r="G10157" t="s">
        <v>1423</v>
      </c>
      <c r="H10157" t="s">
        <v>6128</v>
      </c>
      <c r="I10157" t="s">
        <v>9728</v>
      </c>
      <c r="J10157" t="s">
        <v>12147</v>
      </c>
      <c r="K10157" t="s">
        <v>16549</v>
      </c>
      <c r="L10157">
        <f>HYPERLINK("https://www2.assemblee-nationale.fr/sycomore/fiche/(num_dept)/2105", "2105")</f>
        <v>0</v>
      </c>
      <c r="N10157">
        <f>HYPERLINK("https://www.wikidata.org/wiki/Q213526", "Q213526")</f>
        <v>0</v>
      </c>
      <c r="O10157" t="s">
        <v>20062</v>
      </c>
    </row>
    <row r="10158" spans="1:15">
      <c r="A10158" t="s">
        <v>105</v>
      </c>
      <c r="B10158" t="s">
        <v>149</v>
      </c>
      <c r="C10158" t="s">
        <v>237</v>
      </c>
      <c r="D10158" t="s">
        <v>366</v>
      </c>
      <c r="E10158" t="s">
        <v>360</v>
      </c>
      <c r="F10158">
        <f>HYPERLINK("https://www.wikidata.org/wiki/Q2718814", "Q2718814")</f>
        <v>0</v>
      </c>
      <c r="G10158" t="s">
        <v>1778</v>
      </c>
      <c r="H10158" t="s">
        <v>6446</v>
      </c>
      <c r="I10158" t="s">
        <v>9946</v>
      </c>
      <c r="J10158" t="s">
        <v>12475</v>
      </c>
      <c r="K10158" t="s">
        <v>16884</v>
      </c>
      <c r="L10158">
        <f>HYPERLINK("https://www2.assemblee-nationale.fr/sycomore/fiche/(num_dept)/2282", "2282")</f>
        <v>0</v>
      </c>
      <c r="N10158">
        <f>HYPERLINK("https://www.wikidata.org/wiki/Q362673", "Q362673")</f>
        <v>0</v>
      </c>
      <c r="O10158" t="s">
        <v>20085</v>
      </c>
    </row>
    <row r="10159" spans="1:15">
      <c r="A10159" t="s">
        <v>105</v>
      </c>
      <c r="B10159" t="s">
        <v>149</v>
      </c>
      <c r="C10159" t="s">
        <v>237</v>
      </c>
      <c r="D10159" t="s">
        <v>366</v>
      </c>
      <c r="E10159" t="s">
        <v>360</v>
      </c>
      <c r="F10159">
        <f>HYPERLINK("https://www.wikidata.org/wiki/Q2718814", "Q2718814")</f>
        <v>0</v>
      </c>
      <c r="G10159" t="s">
        <v>1444</v>
      </c>
      <c r="H10159" t="s">
        <v>6145</v>
      </c>
      <c r="I10159" t="s">
        <v>9472</v>
      </c>
      <c r="J10159" t="s">
        <v>12165</v>
      </c>
      <c r="K10159" t="s">
        <v>16570</v>
      </c>
      <c r="L10159">
        <f>HYPERLINK("https://www2.assemblee-nationale.fr/sycomore/fiche/(num_dept)/2655", "2655")</f>
        <v>0</v>
      </c>
      <c r="N10159">
        <f>HYPERLINK("https://www.wikidata.org/wiki/Q3136053", "Q3136053")</f>
        <v>0</v>
      </c>
      <c r="O10159" t="s">
        <v>20251</v>
      </c>
    </row>
    <row r="10160" spans="1:15">
      <c r="A10160" t="s">
        <v>105</v>
      </c>
      <c r="B10160" t="s">
        <v>149</v>
      </c>
      <c r="C10160" t="s">
        <v>237</v>
      </c>
      <c r="D10160" t="s">
        <v>366</v>
      </c>
      <c r="E10160" t="s">
        <v>360</v>
      </c>
      <c r="F10160">
        <f>HYPERLINK("https://www.wikidata.org/wiki/Q2718814", "Q2718814")</f>
        <v>0</v>
      </c>
      <c r="G10160" t="s">
        <v>1170</v>
      </c>
      <c r="H10160" t="s">
        <v>5901</v>
      </c>
      <c r="I10160" t="s">
        <v>5592</v>
      </c>
      <c r="J10160" t="s">
        <v>11903</v>
      </c>
      <c r="K10160" t="s">
        <v>16305</v>
      </c>
      <c r="L10160">
        <f>HYPERLINK("https://www2.assemblee-nationale.fr/sycomore/fiche/(num_dept)/2874", "2874")</f>
        <v>0</v>
      </c>
      <c r="M10160">
        <f>HYPERLINK("https://www.senat.fr/senateur-3eme-republique/eynac_laurent0520r3.html", "eynac_laurent0520r3")</f>
        <v>0</v>
      </c>
      <c r="N10160">
        <f>HYPERLINK("https://www.wikidata.org/wiki/Q3219208", "Q3219208")</f>
        <v>0</v>
      </c>
      <c r="O10160" t="s">
        <v>20072</v>
      </c>
    </row>
    <row r="10161" spans="1:15">
      <c r="A10161" t="s">
        <v>105</v>
      </c>
      <c r="B10161" t="s">
        <v>149</v>
      </c>
      <c r="C10161" t="s">
        <v>237</v>
      </c>
      <c r="D10161" t="s">
        <v>366</v>
      </c>
      <c r="E10161" t="s">
        <v>360</v>
      </c>
      <c r="F10161">
        <f>HYPERLINK("https://www.wikidata.org/wiki/Q2718814", "Q2718814")</f>
        <v>0</v>
      </c>
      <c r="G10161" t="s">
        <v>1797</v>
      </c>
      <c r="H10161" t="s">
        <v>6462</v>
      </c>
      <c r="I10161" t="s">
        <v>6585</v>
      </c>
      <c r="J10161" t="s">
        <v>12492</v>
      </c>
      <c r="K10161" t="s">
        <v>16902</v>
      </c>
      <c r="L10161">
        <f>HYPERLINK("https://www2.assemblee-nationale.fr/sycomore/fiche/(num_dept)/2995", "2995")</f>
        <v>0</v>
      </c>
      <c r="N10161">
        <f>HYPERLINK("https://www.wikidata.org/wiki/Q2847791", "Q2847791")</f>
        <v>0</v>
      </c>
      <c r="O10161" t="s">
        <v>20356</v>
      </c>
    </row>
    <row r="10162" spans="1:15">
      <c r="A10162" t="s">
        <v>105</v>
      </c>
      <c r="B10162" t="s">
        <v>149</v>
      </c>
      <c r="C10162" t="s">
        <v>237</v>
      </c>
      <c r="D10162" t="s">
        <v>366</v>
      </c>
      <c r="E10162" t="s">
        <v>360</v>
      </c>
      <c r="F10162">
        <f>HYPERLINK("https://www.wikidata.org/wiki/Q2718814", "Q2718814")</f>
        <v>0</v>
      </c>
      <c r="G10162" t="s">
        <v>1797</v>
      </c>
      <c r="H10162" t="s">
        <v>6462</v>
      </c>
      <c r="I10162" t="s">
        <v>6585</v>
      </c>
      <c r="J10162" t="s">
        <v>12492</v>
      </c>
      <c r="K10162" t="s">
        <v>16902</v>
      </c>
      <c r="L10162">
        <f>HYPERLINK("https://www2.assemblee-nationale.fr/sycomore/fiche/(num_dept)/2995", "2995")</f>
        <v>0</v>
      </c>
      <c r="N10162">
        <f>HYPERLINK("https://www.wikidata.org/wiki/Q2847791", "Q2847791")</f>
        <v>0</v>
      </c>
      <c r="O10162" t="s">
        <v>20198</v>
      </c>
    </row>
    <row r="10163" spans="1:15">
      <c r="A10163" t="s">
        <v>105</v>
      </c>
      <c r="B10163" t="s">
        <v>149</v>
      </c>
      <c r="C10163" t="s">
        <v>237</v>
      </c>
      <c r="D10163" t="s">
        <v>366</v>
      </c>
      <c r="E10163" t="s">
        <v>360</v>
      </c>
      <c r="F10163">
        <f>HYPERLINK("https://www.wikidata.org/wiki/Q2718814", "Q2718814")</f>
        <v>0</v>
      </c>
      <c r="G10163" t="s">
        <v>1955</v>
      </c>
      <c r="H10163" t="s">
        <v>6597</v>
      </c>
      <c r="I10163" t="s">
        <v>10016</v>
      </c>
      <c r="J10163" t="s">
        <v>12638</v>
      </c>
      <c r="K10163" t="s">
        <v>17048</v>
      </c>
      <c r="L10163">
        <f>HYPERLINK("https://www2.assemblee-nationale.fr/sycomore/fiche/(num_dept)/3166", "3166")</f>
        <v>0</v>
      </c>
      <c r="N10163">
        <f>HYPERLINK("https://www.wikidata.org/wiki/Q1109027", "Q1109027")</f>
        <v>0</v>
      </c>
      <c r="O10163" t="s">
        <v>20357</v>
      </c>
    </row>
    <row r="10164" spans="1:15">
      <c r="A10164" t="s">
        <v>105</v>
      </c>
      <c r="B10164" t="s">
        <v>149</v>
      </c>
      <c r="C10164" t="s">
        <v>237</v>
      </c>
      <c r="D10164" t="s">
        <v>366</v>
      </c>
      <c r="E10164" t="s">
        <v>360</v>
      </c>
      <c r="F10164">
        <f>HYPERLINK("https://www.wikidata.org/wiki/Q2718814", "Q2718814")</f>
        <v>0</v>
      </c>
      <c r="G10164" t="s">
        <v>1955</v>
      </c>
      <c r="H10164" t="s">
        <v>6597</v>
      </c>
      <c r="I10164" t="s">
        <v>10016</v>
      </c>
      <c r="J10164" t="s">
        <v>12638</v>
      </c>
      <c r="K10164" t="s">
        <v>17048</v>
      </c>
      <c r="L10164">
        <f>HYPERLINK("https://www2.assemblee-nationale.fr/sycomore/fiche/(num_dept)/3166", "3166")</f>
        <v>0</v>
      </c>
      <c r="N10164">
        <f>HYPERLINK("https://www.wikidata.org/wiki/Q1109027", "Q1109027")</f>
        <v>0</v>
      </c>
      <c r="O10164" t="s">
        <v>20358</v>
      </c>
    </row>
    <row r="10165" spans="1:15">
      <c r="A10165" t="s">
        <v>105</v>
      </c>
      <c r="B10165" t="s">
        <v>149</v>
      </c>
      <c r="C10165" t="s">
        <v>237</v>
      </c>
      <c r="D10165" t="s">
        <v>366</v>
      </c>
      <c r="E10165" t="s">
        <v>360</v>
      </c>
      <c r="F10165">
        <f>HYPERLINK("https://www.wikidata.org/wiki/Q2718814", "Q2718814")</f>
        <v>0</v>
      </c>
      <c r="G10165" t="s">
        <v>1814</v>
      </c>
      <c r="H10165" t="s">
        <v>6479</v>
      </c>
      <c r="I10165" t="s">
        <v>9523</v>
      </c>
      <c r="J10165" t="s">
        <v>12508</v>
      </c>
      <c r="K10165" t="s">
        <v>16919</v>
      </c>
      <c r="L10165">
        <f>HYPERLINK("https://www2.assemblee-nationale.fr/sycomore/fiche/(num_dept)/3804", "3804")</f>
        <v>0</v>
      </c>
      <c r="N10165">
        <f>HYPERLINK("https://www.wikidata.org/wiki/Q339436", "Q339436")</f>
        <v>0</v>
      </c>
      <c r="O10165" t="s">
        <v>20089</v>
      </c>
    </row>
    <row r="10166" spans="1:15">
      <c r="A10166" t="s">
        <v>105</v>
      </c>
      <c r="B10166" t="s">
        <v>149</v>
      </c>
      <c r="C10166" t="s">
        <v>237</v>
      </c>
      <c r="D10166" t="s">
        <v>366</v>
      </c>
      <c r="E10166" t="s">
        <v>360</v>
      </c>
      <c r="F10166">
        <f>HYPERLINK("https://www.wikidata.org/wiki/Q2718814", "Q2718814")</f>
        <v>0</v>
      </c>
      <c r="G10166" t="s">
        <v>2250</v>
      </c>
      <c r="H10166" t="s">
        <v>6855</v>
      </c>
      <c r="I10166" t="s">
        <v>6495</v>
      </c>
      <c r="J10166" t="s">
        <v>12910</v>
      </c>
      <c r="K10166" t="s">
        <v>17321</v>
      </c>
      <c r="L10166">
        <f>HYPERLINK("https://www2.assemblee-nationale.fr/sycomore/fiche/(num_dept)/3971", "3971")</f>
        <v>0</v>
      </c>
      <c r="N10166">
        <f>HYPERLINK("https://www.wikidata.org/wiki/Q3262301", "Q3262301")</f>
        <v>0</v>
      </c>
      <c r="O10166" t="s">
        <v>20061</v>
      </c>
    </row>
    <row r="10167" spans="1:15">
      <c r="A10167" t="s">
        <v>105</v>
      </c>
      <c r="B10167" t="s">
        <v>149</v>
      </c>
      <c r="C10167" t="s">
        <v>237</v>
      </c>
      <c r="D10167" t="s">
        <v>366</v>
      </c>
      <c r="E10167" t="s">
        <v>360</v>
      </c>
      <c r="F10167">
        <f>HYPERLINK("https://www.wikidata.org/wiki/Q2718814", "Q2718814")</f>
        <v>0</v>
      </c>
      <c r="G10167" t="s">
        <v>2232</v>
      </c>
      <c r="H10167" t="s">
        <v>6841</v>
      </c>
      <c r="I10167" t="s">
        <v>9458</v>
      </c>
      <c r="J10167" t="s">
        <v>12893</v>
      </c>
      <c r="K10167" t="s">
        <v>17304</v>
      </c>
      <c r="L10167">
        <f>HYPERLINK("https://www2.assemblee-nationale.fr/sycomore/fiche/(num_dept)/4092", "4092")</f>
        <v>0</v>
      </c>
      <c r="N10167">
        <f>HYPERLINK("https://www.wikidata.org/wiki/Q2835216", "Q2835216")</f>
        <v>0</v>
      </c>
      <c r="O10167" t="s">
        <v>20359</v>
      </c>
    </row>
    <row r="10168" spans="1:15">
      <c r="A10168" t="s">
        <v>105</v>
      </c>
      <c r="B10168" t="s">
        <v>149</v>
      </c>
      <c r="C10168" t="s">
        <v>237</v>
      </c>
      <c r="D10168" t="s">
        <v>366</v>
      </c>
      <c r="E10168" t="s">
        <v>360</v>
      </c>
      <c r="F10168">
        <f>HYPERLINK("https://www.wikidata.org/wiki/Q2718814", "Q2718814")</f>
        <v>0</v>
      </c>
      <c r="G10168" t="s">
        <v>2340</v>
      </c>
      <c r="H10168" t="s">
        <v>5467</v>
      </c>
      <c r="I10168" t="s">
        <v>9407</v>
      </c>
      <c r="J10168" t="s">
        <v>12994</v>
      </c>
      <c r="K10168" t="s">
        <v>17404</v>
      </c>
      <c r="L10168">
        <f>HYPERLINK("https://www2.assemblee-nationale.fr/sycomore/fiche/(num_dept)/4338", "4338")</f>
        <v>0</v>
      </c>
      <c r="N10168">
        <f>HYPERLINK("https://www.wikidata.org/wiki/Q328240", "Q328240")</f>
        <v>0</v>
      </c>
      <c r="O10168" t="s">
        <v>20054</v>
      </c>
    </row>
    <row r="10169" spans="1:15">
      <c r="A10169" t="s">
        <v>105</v>
      </c>
      <c r="B10169" t="s">
        <v>149</v>
      </c>
      <c r="C10169" t="s">
        <v>237</v>
      </c>
      <c r="D10169" t="s">
        <v>366</v>
      </c>
      <c r="E10169" t="s">
        <v>360</v>
      </c>
      <c r="F10169">
        <f>HYPERLINK("https://www.wikidata.org/wiki/Q2718814", "Q2718814")</f>
        <v>0</v>
      </c>
      <c r="G10169" t="s">
        <v>1526</v>
      </c>
      <c r="H10169" t="s">
        <v>6221</v>
      </c>
      <c r="I10169" t="s">
        <v>6175</v>
      </c>
      <c r="J10169" t="s">
        <v>12243</v>
      </c>
      <c r="K10169" t="s">
        <v>16649</v>
      </c>
      <c r="L10169">
        <f>HYPERLINK("https://www2.assemblee-nationale.fr/sycomore/fiche/(num_dept)/4952", "4952")</f>
        <v>0</v>
      </c>
      <c r="N10169">
        <f>HYPERLINK("https://www.wikidata.org/wiki/Q669893", "Q669893")</f>
        <v>0</v>
      </c>
      <c r="O10169" t="s">
        <v>20058</v>
      </c>
    </row>
    <row r="10170" spans="1:15">
      <c r="A10170" t="s">
        <v>105</v>
      </c>
      <c r="B10170" t="s">
        <v>149</v>
      </c>
      <c r="C10170" t="s">
        <v>237</v>
      </c>
      <c r="D10170" t="s">
        <v>366</v>
      </c>
      <c r="E10170" t="s">
        <v>360</v>
      </c>
      <c r="F10170">
        <f>HYPERLINK("https://www.wikidata.org/wiki/Q2718814", "Q2718814")</f>
        <v>0</v>
      </c>
      <c r="G10170" t="s">
        <v>1526</v>
      </c>
      <c r="H10170" t="s">
        <v>6221</v>
      </c>
      <c r="I10170" t="s">
        <v>6175</v>
      </c>
      <c r="J10170" t="s">
        <v>12243</v>
      </c>
      <c r="K10170" t="s">
        <v>16649</v>
      </c>
      <c r="L10170">
        <f>HYPERLINK("https://www2.assemblee-nationale.fr/sycomore/fiche/(num_dept)/4952", "4952")</f>
        <v>0</v>
      </c>
      <c r="N10170">
        <f>HYPERLINK("https://www.wikidata.org/wiki/Q669893", "Q669893")</f>
        <v>0</v>
      </c>
      <c r="O10170" t="s">
        <v>20065</v>
      </c>
    </row>
    <row r="10171" spans="1:15">
      <c r="A10171" t="s">
        <v>105</v>
      </c>
      <c r="B10171" t="s">
        <v>149</v>
      </c>
      <c r="C10171" t="s">
        <v>237</v>
      </c>
      <c r="D10171" t="s">
        <v>366</v>
      </c>
      <c r="E10171" t="s">
        <v>360</v>
      </c>
      <c r="F10171">
        <f>HYPERLINK("https://www.wikidata.org/wiki/Q2718814", "Q2718814")</f>
        <v>0</v>
      </c>
      <c r="G10171" t="s">
        <v>2122</v>
      </c>
      <c r="H10171" t="s">
        <v>6742</v>
      </c>
      <c r="I10171" t="s">
        <v>6175</v>
      </c>
      <c r="J10171" t="s">
        <v>12786</v>
      </c>
      <c r="K10171" t="s">
        <v>17202</v>
      </c>
      <c r="L10171">
        <f>HYPERLINK("https://www2.assemblee-nationale.fr/sycomore/fiche/(num_dept)/5350", "5350")</f>
        <v>0</v>
      </c>
      <c r="N10171">
        <f>HYPERLINK("https://www.wikidata.org/wiki/Q3103220", "Q3103220")</f>
        <v>0</v>
      </c>
      <c r="O10171" t="s">
        <v>20252</v>
      </c>
    </row>
    <row r="10172" spans="1:15">
      <c r="A10172" t="s">
        <v>105</v>
      </c>
      <c r="B10172" t="s">
        <v>149</v>
      </c>
      <c r="C10172" t="s">
        <v>237</v>
      </c>
      <c r="D10172" t="s">
        <v>366</v>
      </c>
      <c r="E10172" t="s">
        <v>360</v>
      </c>
      <c r="F10172">
        <f>HYPERLINK("https://www.wikidata.org/wiki/Q2718814", "Q2718814")</f>
        <v>0</v>
      </c>
      <c r="G10172" t="s">
        <v>738</v>
      </c>
      <c r="H10172" t="s">
        <v>5496</v>
      </c>
      <c r="I10172" t="s">
        <v>9503</v>
      </c>
      <c r="J10172" t="s">
        <v>11487</v>
      </c>
      <c r="K10172" t="s">
        <v>15889</v>
      </c>
      <c r="L10172">
        <f>HYPERLINK("https://www2.assemblee-nationale.fr/sycomore/fiche/(num_dept)/5394", "5394")</f>
        <v>0</v>
      </c>
      <c r="M10172">
        <f>HYPERLINK("https://www.senat.fr/senateur-3eme-republique/de_monzie_anatole0605r3.html", "de_monzie_anatole0605r3")</f>
        <v>0</v>
      </c>
      <c r="N10172">
        <f>HYPERLINK("https://www.wikidata.org/wiki/Q2845619", "Q2845619")</f>
        <v>0</v>
      </c>
      <c r="O10172" t="s">
        <v>20063</v>
      </c>
    </row>
    <row r="10173" spans="1:15">
      <c r="A10173" t="s">
        <v>105</v>
      </c>
      <c r="B10173" t="s">
        <v>149</v>
      </c>
      <c r="C10173" t="s">
        <v>237</v>
      </c>
      <c r="D10173" t="s">
        <v>366</v>
      </c>
      <c r="E10173" t="s">
        <v>360</v>
      </c>
      <c r="F10173">
        <f>HYPERLINK("https://www.wikidata.org/wiki/Q2718814", "Q2718814")</f>
        <v>0</v>
      </c>
      <c r="G10173" t="s">
        <v>1869</v>
      </c>
      <c r="H10173" t="s">
        <v>6525</v>
      </c>
      <c r="I10173" t="s">
        <v>6175</v>
      </c>
      <c r="J10173" t="s">
        <v>12557</v>
      </c>
      <c r="K10173" t="s">
        <v>16970</v>
      </c>
      <c r="L10173">
        <f>HYPERLINK("https://www2.assemblee-nationale.fr/sycomore/fiche/(num_dept)/5799", "5799")</f>
        <v>0</v>
      </c>
      <c r="M10173">
        <f>HYPERLINK("https://www.senat.fr/senateur-3eme-republique/pernot_georges0335r4.html", "pernot_georges0335r4")</f>
        <v>0</v>
      </c>
      <c r="N10173">
        <f>HYPERLINK("https://www.wikidata.org/wiki/Q2670356", "Q2670356")</f>
        <v>0</v>
      </c>
      <c r="O10173" t="s">
        <v>20360</v>
      </c>
    </row>
    <row r="10174" spans="1:15">
      <c r="A10174" t="s">
        <v>105</v>
      </c>
      <c r="B10174" t="s">
        <v>149</v>
      </c>
      <c r="C10174" t="s">
        <v>237</v>
      </c>
      <c r="D10174" t="s">
        <v>366</v>
      </c>
      <c r="E10174" t="s">
        <v>360</v>
      </c>
      <c r="F10174">
        <f>HYPERLINK("https://www.wikidata.org/wiki/Q2718814", "Q2718814")</f>
        <v>0</v>
      </c>
      <c r="G10174" t="s">
        <v>1581</v>
      </c>
      <c r="H10174" t="s">
        <v>6271</v>
      </c>
      <c r="I10174" t="s">
        <v>6495</v>
      </c>
      <c r="J10174" t="s">
        <v>12293</v>
      </c>
      <c r="K10174" t="s">
        <v>16700</v>
      </c>
      <c r="L10174">
        <f>HYPERLINK("https://www2.assemblee-nationale.fr/sycomore/fiche/(num_dept)/6068", "6068")</f>
        <v>0</v>
      </c>
      <c r="N10174">
        <f>HYPERLINK("https://www.wikidata.org/wiki/Q3263043", "Q3263043")</f>
        <v>0</v>
      </c>
      <c r="O10174" t="s">
        <v>20065</v>
      </c>
    </row>
    <row r="10175" spans="1:15">
      <c r="A10175" t="s">
        <v>105</v>
      </c>
      <c r="B10175" t="s">
        <v>149</v>
      </c>
      <c r="C10175" t="s">
        <v>237</v>
      </c>
      <c r="D10175" t="s">
        <v>366</v>
      </c>
      <c r="E10175" t="s">
        <v>360</v>
      </c>
      <c r="F10175">
        <f>HYPERLINK("https://www.wikidata.org/wiki/Q2718814", "Q2718814")</f>
        <v>0</v>
      </c>
      <c r="G10175" t="s">
        <v>1581</v>
      </c>
      <c r="H10175" t="s">
        <v>6271</v>
      </c>
      <c r="I10175" t="s">
        <v>6495</v>
      </c>
      <c r="J10175" t="s">
        <v>12293</v>
      </c>
      <c r="K10175" t="s">
        <v>16700</v>
      </c>
      <c r="L10175">
        <f>HYPERLINK("https://www2.assemblee-nationale.fr/sycomore/fiche/(num_dept)/6068", "6068")</f>
        <v>0</v>
      </c>
      <c r="N10175">
        <f>HYPERLINK("https://www.wikidata.org/wiki/Q3263043", "Q3263043")</f>
        <v>0</v>
      </c>
      <c r="O10175" t="s">
        <v>20110</v>
      </c>
    </row>
    <row r="10176" spans="1:15">
      <c r="A10176" t="s">
        <v>105</v>
      </c>
      <c r="B10176" t="s">
        <v>149</v>
      </c>
      <c r="C10176" t="s">
        <v>237</v>
      </c>
      <c r="D10176" t="s">
        <v>366</v>
      </c>
      <c r="E10176" t="s">
        <v>360</v>
      </c>
      <c r="F10176">
        <f>HYPERLINK("https://www.wikidata.org/wiki/Q2718814", "Q2718814")</f>
        <v>0</v>
      </c>
      <c r="G10176" t="s">
        <v>1032</v>
      </c>
      <c r="H10176" t="s">
        <v>5781</v>
      </c>
      <c r="I10176" t="s">
        <v>9457</v>
      </c>
      <c r="J10176" t="s">
        <v>11769</v>
      </c>
      <c r="K10176" t="s">
        <v>16170</v>
      </c>
      <c r="L10176">
        <f>HYPERLINK("https://www2.assemblee-nationale.fr/sycomore/fiche/(num_dept)/6171", "6171")</f>
        <v>0</v>
      </c>
      <c r="M10176">
        <f>HYPERLINK("https://www.senat.fr/senateur-3eme-republique/roy_henri0510r3.html", "roy_henri0510r3")</f>
        <v>0</v>
      </c>
      <c r="N10176">
        <f>HYPERLINK("https://www.wikidata.org/wiki/Q3131955", "Q3131955")</f>
        <v>0</v>
      </c>
      <c r="O10176" t="s">
        <v>20058</v>
      </c>
    </row>
    <row r="10177" spans="1:15">
      <c r="A10177" t="s">
        <v>105</v>
      </c>
      <c r="B10177" t="s">
        <v>149</v>
      </c>
      <c r="C10177" t="s">
        <v>237</v>
      </c>
      <c r="D10177" t="s">
        <v>366</v>
      </c>
      <c r="E10177" t="s">
        <v>360</v>
      </c>
      <c r="F10177">
        <f>HYPERLINK("https://www.wikidata.org/wiki/Q2718814", "Q2718814")</f>
        <v>0</v>
      </c>
      <c r="G10177" t="s">
        <v>778</v>
      </c>
      <c r="H10177" t="s">
        <v>5536</v>
      </c>
      <c r="I10177" t="s">
        <v>6584</v>
      </c>
      <c r="J10177" t="s">
        <v>11525</v>
      </c>
      <c r="K10177" t="s">
        <v>15929</v>
      </c>
      <c r="L10177">
        <f>HYPERLINK("https://www2.assemblee-nationale.fr/sycomore/fiche/(num_dept)/6293", "6293")</f>
        <v>0</v>
      </c>
      <c r="M10177">
        <f>HYPERLINK("https://www.senat.fr/senateur-3eme-republique/sarraut_albert0265r3.html", "sarraut_albert0265r3")</f>
        <v>0</v>
      </c>
      <c r="N10177">
        <f>HYPERLINK("https://www.wikidata.org/wiki/Q460318", "Q460318")</f>
        <v>0</v>
      </c>
      <c r="O10177" t="s">
        <v>20085</v>
      </c>
    </row>
    <row r="10178" spans="1:15">
      <c r="A10178" t="s">
        <v>105</v>
      </c>
      <c r="B10178" t="s">
        <v>149</v>
      </c>
      <c r="C10178" t="s">
        <v>237</v>
      </c>
      <c r="D10178" t="s">
        <v>366</v>
      </c>
      <c r="E10178" t="s">
        <v>360</v>
      </c>
      <c r="F10178">
        <f>HYPERLINK("https://www.wikidata.org/wiki/Q2718814", "Q2718814")</f>
        <v>0</v>
      </c>
      <c r="G10178" t="s">
        <v>1594</v>
      </c>
      <c r="H10178" t="s">
        <v>6284</v>
      </c>
      <c r="I10178" t="s">
        <v>6759</v>
      </c>
      <c r="J10178" t="s">
        <v>12302</v>
      </c>
      <c r="K10178" t="s">
        <v>16712</v>
      </c>
      <c r="L10178">
        <f>HYPERLINK("https://www2.assemblee-nationale.fr/sycomore/fiche/(num_dept)/6358", "6358")</f>
        <v>0</v>
      </c>
      <c r="N10178">
        <f>HYPERLINK("https://www.wikidata.org/wiki/Q15981", "Q15981")</f>
        <v>0</v>
      </c>
      <c r="O10178" t="s">
        <v>20361</v>
      </c>
    </row>
    <row r="10179" spans="1:15">
      <c r="A10179" t="s">
        <v>105</v>
      </c>
      <c r="B10179" t="s">
        <v>149</v>
      </c>
      <c r="C10179" t="s">
        <v>237</v>
      </c>
      <c r="D10179" t="s">
        <v>366</v>
      </c>
      <c r="E10179" t="s">
        <v>360</v>
      </c>
      <c r="F10179">
        <f>HYPERLINK("https://www.wikidata.org/wiki/Q2718814", "Q2718814")</f>
        <v>0</v>
      </c>
      <c r="G10179" t="s">
        <v>1885</v>
      </c>
      <c r="H10179" t="s">
        <v>6538</v>
      </c>
      <c r="I10179" t="s">
        <v>6584</v>
      </c>
      <c r="J10179" t="s">
        <v>12572</v>
      </c>
      <c r="K10179" t="s">
        <v>16984</v>
      </c>
      <c r="L10179">
        <f>HYPERLINK("https://www2.assemblee-nationale.fr/sycomore/fiche/(num_dept)/6395", "6395")</f>
        <v>0</v>
      </c>
      <c r="N10179">
        <f>HYPERLINK("https://www.wikidata.org/wiki/Q8334416", "Q8334416")</f>
        <v>0</v>
      </c>
      <c r="O10179" t="s">
        <v>20064</v>
      </c>
    </row>
    <row r="10180" spans="1:15">
      <c r="A10180" t="s">
        <v>105</v>
      </c>
      <c r="B10180" t="s">
        <v>149</v>
      </c>
      <c r="C10180" t="s">
        <v>237</v>
      </c>
      <c r="D10180" t="s">
        <v>366</v>
      </c>
      <c r="E10180" t="s">
        <v>360</v>
      </c>
      <c r="F10180">
        <f>HYPERLINK("https://www.wikidata.org/wiki/Q2718814", "Q2718814")</f>
        <v>0</v>
      </c>
      <c r="G10180" t="s">
        <v>2156</v>
      </c>
      <c r="H10180" t="s">
        <v>6770</v>
      </c>
      <c r="I10180" t="s">
        <v>9385</v>
      </c>
      <c r="J10180" t="s">
        <v>12820</v>
      </c>
      <c r="K10180" t="s">
        <v>17235</v>
      </c>
      <c r="L10180">
        <f>HYPERLINK("https://www2.assemblee-nationale.fr/sycomore/fiche/(num_dept)/6406", "6406")</f>
        <v>0</v>
      </c>
      <c r="N10180">
        <f>HYPERLINK("https://www.wikidata.org/wiki/Q2960033", "Q2960033")</f>
        <v>0</v>
      </c>
      <c r="O10180" t="s">
        <v>20086</v>
      </c>
    </row>
    <row r="10181" spans="1:15">
      <c r="A10181" t="s">
        <v>105</v>
      </c>
      <c r="B10181" t="s">
        <v>149</v>
      </c>
      <c r="C10181" t="s">
        <v>237</v>
      </c>
      <c r="D10181" t="s">
        <v>366</v>
      </c>
      <c r="E10181" t="s">
        <v>360</v>
      </c>
      <c r="F10181">
        <f>HYPERLINK("https://www.wikidata.org/wiki/Q2718814", "Q2718814")</f>
        <v>0</v>
      </c>
      <c r="G10181" t="s">
        <v>1304</v>
      </c>
      <c r="H10181" t="s">
        <v>6025</v>
      </c>
      <c r="I10181" t="s">
        <v>9457</v>
      </c>
      <c r="J10181" t="s">
        <v>12034</v>
      </c>
      <c r="K10181" t="s">
        <v>16435</v>
      </c>
      <c r="L10181">
        <f>HYPERLINK("https://www2.assemblee-nationale.fr/sycomore/fiche/(num_dept)/6554", "6554")</f>
        <v>0</v>
      </c>
      <c r="M10181">
        <f>HYPERLINK("https://www.senat.fr/senateur-3eme-republique/queuille_henri0469r3.html", "queuille_henri0469r3")</f>
        <v>0</v>
      </c>
      <c r="N10181">
        <f>HYPERLINK("https://www.wikidata.org/wiki/Q455655", "Q455655")</f>
        <v>0</v>
      </c>
      <c r="O10181" t="s">
        <v>20327</v>
      </c>
    </row>
    <row r="10182" spans="1:15">
      <c r="A10182" t="s">
        <v>105</v>
      </c>
      <c r="B10182" t="s">
        <v>149</v>
      </c>
      <c r="C10182" t="s">
        <v>237</v>
      </c>
      <c r="D10182" t="s">
        <v>366</v>
      </c>
      <c r="E10182" t="s">
        <v>360</v>
      </c>
      <c r="F10182">
        <f>HYPERLINK("https://www.wikidata.org/wiki/Q2718814", "Q2718814")</f>
        <v>0</v>
      </c>
      <c r="G10182" t="s">
        <v>1616</v>
      </c>
      <c r="H10182" t="s">
        <v>6301</v>
      </c>
      <c r="I10182" t="s">
        <v>9388</v>
      </c>
      <c r="J10182" t="s">
        <v>12323</v>
      </c>
      <c r="K10182" t="s">
        <v>16733</v>
      </c>
      <c r="L10182">
        <f>HYPERLINK("https://www2.assemblee-nationale.fr/sycomore/fiche/(num_dept)/6710", "6710")</f>
        <v>0</v>
      </c>
      <c r="N10182">
        <f>HYPERLINK("https://www.wikidata.org/wiki/Q161076", "Q161076")</f>
        <v>0</v>
      </c>
      <c r="O10182" t="s">
        <v>20062</v>
      </c>
    </row>
    <row r="10183" spans="1:15">
      <c r="A10183" t="s">
        <v>105</v>
      </c>
      <c r="B10183" t="s">
        <v>149</v>
      </c>
      <c r="C10183" t="s">
        <v>237</v>
      </c>
      <c r="D10183" t="s">
        <v>366</v>
      </c>
      <c r="E10183" t="s">
        <v>360</v>
      </c>
      <c r="F10183">
        <f>HYPERLINK("https://www.wikidata.org/wiki/Q2718814", "Q2718814")</f>
        <v>0</v>
      </c>
      <c r="G10183" t="s">
        <v>1616</v>
      </c>
      <c r="H10183" t="s">
        <v>6301</v>
      </c>
      <c r="I10183" t="s">
        <v>9388</v>
      </c>
      <c r="J10183" t="s">
        <v>12323</v>
      </c>
      <c r="K10183" t="s">
        <v>16733</v>
      </c>
      <c r="L10183">
        <f>HYPERLINK("https://www2.assemblee-nationale.fr/sycomore/fiche/(num_dept)/6710", "6710")</f>
        <v>0</v>
      </c>
      <c r="N10183">
        <f>HYPERLINK("https://www.wikidata.org/wiki/Q161076", "Q161076")</f>
        <v>0</v>
      </c>
      <c r="O10183" t="s">
        <v>20052</v>
      </c>
    </row>
    <row r="10184" spans="1:15">
      <c r="A10184" t="s">
        <v>105</v>
      </c>
      <c r="B10184" t="s">
        <v>149</v>
      </c>
      <c r="C10184" t="s">
        <v>237</v>
      </c>
      <c r="D10184" t="s">
        <v>366</v>
      </c>
      <c r="E10184" t="s">
        <v>360</v>
      </c>
      <c r="F10184">
        <f>HYPERLINK("https://www.wikidata.org/wiki/Q2718814", "Q2718814")</f>
        <v>0</v>
      </c>
      <c r="G10184" t="s">
        <v>1616</v>
      </c>
      <c r="H10184" t="s">
        <v>6301</v>
      </c>
      <c r="I10184" t="s">
        <v>9388</v>
      </c>
      <c r="J10184" t="s">
        <v>12323</v>
      </c>
      <c r="K10184" t="s">
        <v>16733</v>
      </c>
      <c r="L10184">
        <f>HYPERLINK("https://www2.assemblee-nationale.fr/sycomore/fiche/(num_dept)/6710", "6710")</f>
        <v>0</v>
      </c>
      <c r="N10184">
        <f>HYPERLINK("https://www.wikidata.org/wiki/Q161076", "Q161076")</f>
        <v>0</v>
      </c>
      <c r="O10184" t="s">
        <v>20362</v>
      </c>
    </row>
    <row r="10185" spans="1:15">
      <c r="A10185" t="s">
        <v>105</v>
      </c>
      <c r="B10185" t="s">
        <v>149</v>
      </c>
      <c r="C10185" t="s">
        <v>237</v>
      </c>
      <c r="D10185" t="s">
        <v>366</v>
      </c>
      <c r="E10185" t="s">
        <v>360</v>
      </c>
      <c r="F10185">
        <f>HYPERLINK("https://www.wikidata.org/wiki/Q2718814", "Q2718814")</f>
        <v>0</v>
      </c>
      <c r="G10185" t="s">
        <v>1616</v>
      </c>
      <c r="H10185" t="s">
        <v>6301</v>
      </c>
      <c r="I10185" t="s">
        <v>9388</v>
      </c>
      <c r="J10185" t="s">
        <v>12323</v>
      </c>
      <c r="K10185" t="s">
        <v>16733</v>
      </c>
      <c r="L10185">
        <f>HYPERLINK("https://www2.assemblee-nationale.fr/sycomore/fiche/(num_dept)/6710", "6710")</f>
        <v>0</v>
      </c>
      <c r="N10185">
        <f>HYPERLINK("https://www.wikidata.org/wiki/Q161076", "Q161076")</f>
        <v>0</v>
      </c>
      <c r="O10185" t="s">
        <v>20362</v>
      </c>
    </row>
    <row r="10186" spans="1:15">
      <c r="A10186" t="s">
        <v>105</v>
      </c>
      <c r="B10186" t="s">
        <v>149</v>
      </c>
      <c r="C10186" t="s">
        <v>237</v>
      </c>
      <c r="D10186" t="s">
        <v>366</v>
      </c>
      <c r="E10186" t="s">
        <v>360</v>
      </c>
      <c r="F10186">
        <f>HYPERLINK("https://www.wikidata.org/wiki/Q2718814", "Q2718814")</f>
        <v>0</v>
      </c>
      <c r="G10186" t="s">
        <v>1621</v>
      </c>
      <c r="H10186" t="s">
        <v>6306</v>
      </c>
      <c r="I10186" t="s">
        <v>9426</v>
      </c>
      <c r="J10186" t="s">
        <v>12328</v>
      </c>
      <c r="K10186" t="s">
        <v>16738</v>
      </c>
      <c r="L10186">
        <f>HYPERLINK("https://www2.assemblee-nationale.fr/sycomore/fiche/(num_dept)/6781", "6781")</f>
        <v>0</v>
      </c>
      <c r="M10186">
        <f>HYPERLINK("https://www.senat.fr/senateur-3eme-republique/rio_alphonse0903r3.html", "rio_alphonse0903r3")</f>
        <v>0</v>
      </c>
      <c r="N10186">
        <f>HYPERLINK("https://www.wikidata.org/wiki/Q2839950", "Q2839950")</f>
        <v>0</v>
      </c>
      <c r="O10186" t="s">
        <v>20108</v>
      </c>
    </row>
    <row r="10187" spans="1:15">
      <c r="A10187" t="s">
        <v>105</v>
      </c>
      <c r="B10187" t="s">
        <v>149</v>
      </c>
      <c r="C10187" t="s">
        <v>237</v>
      </c>
      <c r="D10187" t="s">
        <v>366</v>
      </c>
      <c r="E10187" t="s">
        <v>360</v>
      </c>
      <c r="F10187">
        <f>HYPERLINK("https://www.wikidata.org/wiki/Q2718814", "Q2718814")</f>
        <v>0</v>
      </c>
      <c r="G10187" t="s">
        <v>2426</v>
      </c>
      <c r="H10187" t="s">
        <v>7000</v>
      </c>
      <c r="I10187" t="s">
        <v>9388</v>
      </c>
      <c r="J10187" t="s">
        <v>13076</v>
      </c>
      <c r="K10187" t="s">
        <v>17484</v>
      </c>
      <c r="L10187">
        <f>HYPERLINK("https://www2.assemblee-nationale.fr/sycomore/fiche/(num_dept)/7013", "7013")</f>
        <v>0</v>
      </c>
      <c r="N10187">
        <f>HYPERLINK("https://www.wikidata.org/wiki/Q3372274", "Q3372274")</f>
        <v>0</v>
      </c>
      <c r="O10187" t="s">
        <v>20056</v>
      </c>
    </row>
    <row r="10188" spans="1:15">
      <c r="A10188" t="s">
        <v>105</v>
      </c>
      <c r="B10188" t="s">
        <v>149</v>
      </c>
      <c r="C10188" t="s">
        <v>237</v>
      </c>
      <c r="D10188" t="s">
        <v>366</v>
      </c>
      <c r="E10188" t="s">
        <v>360</v>
      </c>
      <c r="F10188">
        <f>HYPERLINK("https://www.wikidata.org/wiki/Q2718814", "Q2718814")</f>
        <v>0</v>
      </c>
      <c r="G10188" t="s">
        <v>1208</v>
      </c>
      <c r="H10188" t="s">
        <v>5936</v>
      </c>
      <c r="I10188" t="s">
        <v>6200</v>
      </c>
      <c r="J10188" t="s">
        <v>11940</v>
      </c>
      <c r="K10188" t="s">
        <v>16342</v>
      </c>
      <c r="L10188">
        <f>HYPERLINK("https://www2.assemblee-nationale.fr/sycomore/fiche/(num_dept)/7299", "7299")</f>
        <v>0</v>
      </c>
      <c r="N10188">
        <f>HYPERLINK("https://www.wikidata.org/wiki/Q2624477", "Q2624477")</f>
        <v>0</v>
      </c>
      <c r="O10188" t="s">
        <v>20077</v>
      </c>
    </row>
    <row r="10189" spans="1:15">
      <c r="A10189" t="s">
        <v>105</v>
      </c>
      <c r="B10189" t="s">
        <v>149</v>
      </c>
      <c r="C10189" t="s">
        <v>237</v>
      </c>
      <c r="D10189" t="s">
        <v>366</v>
      </c>
      <c r="E10189" t="s">
        <v>360</v>
      </c>
      <c r="F10189">
        <f>HYPERLINK("https://www.wikidata.org/wiki/Q2718814", "Q2718814")</f>
        <v>0</v>
      </c>
      <c r="G10189" t="s">
        <v>1654</v>
      </c>
      <c r="H10189" t="s">
        <v>6337</v>
      </c>
      <c r="I10189" t="s">
        <v>6200</v>
      </c>
      <c r="J10189" t="s">
        <v>12361</v>
      </c>
      <c r="K10189" t="s">
        <v>16768</v>
      </c>
      <c r="L10189">
        <f>HYPERLINK("https://www2.assemblee-nationale.fr/sycomore/fiche/(num_dept)/7563", "7563")</f>
        <v>0</v>
      </c>
      <c r="N10189">
        <f>HYPERLINK("https://www.wikidata.org/wiki/Q3173069", "Q3173069")</f>
        <v>0</v>
      </c>
      <c r="O10189" t="s">
        <v>20095</v>
      </c>
    </row>
    <row r="10190" spans="1:15">
      <c r="A10190" t="s">
        <v>105</v>
      </c>
      <c r="B10190" t="s">
        <v>149</v>
      </c>
      <c r="C10190" t="s">
        <v>237</v>
      </c>
      <c r="D10190" t="s">
        <v>366</v>
      </c>
      <c r="E10190" t="s">
        <v>360</v>
      </c>
      <c r="F10190">
        <f>HYPERLINK("https://www.wikidata.org/wiki/Q2718814", "Q2718814")</f>
        <v>0</v>
      </c>
      <c r="G10190" t="s">
        <v>2195</v>
      </c>
      <c r="H10190" t="s">
        <v>6806</v>
      </c>
      <c r="I10190" t="s">
        <v>6584</v>
      </c>
      <c r="J10190" t="s">
        <v>12858</v>
      </c>
      <c r="K10190" t="s">
        <v>16325</v>
      </c>
      <c r="L10190">
        <f>HYPERLINK("https://www2.assemblee-nationale.fr/sycomore/fiche/(num_dept)/19493", "19493")</f>
        <v>0</v>
      </c>
      <c r="N10190">
        <f>HYPERLINK("https://www.wikidata.org/wiki/Q2831506", "Q2831506")</f>
        <v>0</v>
      </c>
      <c r="O10190" t="s">
        <v>20363</v>
      </c>
    </row>
    <row r="10191" spans="1:15">
      <c r="A10191" t="s">
        <v>105</v>
      </c>
      <c r="B10191" t="s">
        <v>149</v>
      </c>
      <c r="C10191" t="s">
        <v>237</v>
      </c>
      <c r="D10191" t="s">
        <v>366</v>
      </c>
      <c r="E10191" t="s">
        <v>360</v>
      </c>
      <c r="F10191">
        <f>HYPERLINK("https://www.wikidata.org/wiki/Q2718814", "Q2718814")</f>
        <v>0</v>
      </c>
      <c r="G10191" t="s">
        <v>4285</v>
      </c>
      <c r="H10191" t="s">
        <v>8445</v>
      </c>
      <c r="I10191" t="s">
        <v>9500</v>
      </c>
      <c r="J10191" t="s">
        <v>14784</v>
      </c>
      <c r="K10191" t="s">
        <v>19130</v>
      </c>
      <c r="N10191">
        <f>HYPERLINK("https://www.wikidata.org/wiki/Q1877439", "Q1877439")</f>
        <v>0</v>
      </c>
      <c r="O10191" t="s">
        <v>20254</v>
      </c>
    </row>
    <row r="10192" spans="1:15">
      <c r="A10192" t="s">
        <v>105</v>
      </c>
      <c r="B10192" t="s">
        <v>149</v>
      </c>
      <c r="C10192" t="s">
        <v>237</v>
      </c>
      <c r="D10192" t="s">
        <v>366</v>
      </c>
      <c r="E10192" t="s">
        <v>360</v>
      </c>
      <c r="F10192">
        <f>HYPERLINK("https://www.wikidata.org/wiki/Q2718814", "Q2718814")</f>
        <v>0</v>
      </c>
      <c r="G10192" t="s">
        <v>4336</v>
      </c>
      <c r="H10192" t="s">
        <v>8487</v>
      </c>
      <c r="I10192" t="s">
        <v>6200</v>
      </c>
      <c r="J10192" t="s">
        <v>14830</v>
      </c>
      <c r="K10192" t="s">
        <v>19172</v>
      </c>
      <c r="N10192">
        <f>HYPERLINK("https://www.wikidata.org/wiki/Q3174129", "Q3174129")</f>
        <v>0</v>
      </c>
      <c r="O10192" t="s">
        <v>20364</v>
      </c>
    </row>
    <row r="10193" spans="1:15">
      <c r="A10193" t="s">
        <v>105</v>
      </c>
      <c r="B10193" t="s">
        <v>149</v>
      </c>
      <c r="C10193" t="s">
        <v>237</v>
      </c>
      <c r="D10193" t="s">
        <v>366</v>
      </c>
      <c r="E10193" t="s">
        <v>360</v>
      </c>
      <c r="F10193">
        <f>HYPERLINK("https://www.wikidata.org/wiki/Q2718814", "Q2718814")</f>
        <v>0</v>
      </c>
      <c r="G10193" t="s">
        <v>1512</v>
      </c>
      <c r="H10193" t="s">
        <v>5734</v>
      </c>
      <c r="I10193" t="s">
        <v>9455</v>
      </c>
      <c r="J10193" t="s">
        <v>12229</v>
      </c>
      <c r="K10193" t="s">
        <v>16635</v>
      </c>
      <c r="N10193">
        <f>HYPERLINK("https://www.wikidata.org/wiki/Q3265579", "Q3265579")</f>
        <v>0</v>
      </c>
      <c r="O10193" t="s">
        <v>20066</v>
      </c>
    </row>
    <row r="10194" spans="1:15">
      <c r="A10194" t="s">
        <v>105</v>
      </c>
      <c r="B10194" t="s">
        <v>149</v>
      </c>
      <c r="C10194" t="s">
        <v>237</v>
      </c>
      <c r="D10194" t="s">
        <v>366</v>
      </c>
      <c r="E10194" t="s">
        <v>360</v>
      </c>
      <c r="F10194">
        <f>HYPERLINK("https://www.wikidata.org/wiki/Q2718814", "Q2718814")</f>
        <v>0</v>
      </c>
      <c r="G10194" t="s">
        <v>4331</v>
      </c>
      <c r="H10194" t="s">
        <v>8482</v>
      </c>
      <c r="I10194" t="s">
        <v>9843</v>
      </c>
      <c r="J10194" t="s">
        <v>14826</v>
      </c>
      <c r="K10194" t="s">
        <v>19167</v>
      </c>
      <c r="N10194">
        <f>HYPERLINK("https://www.wikidata.org/wiki/Q2669405", "Q2669405")</f>
        <v>0</v>
      </c>
      <c r="O10194" t="s">
        <v>20066</v>
      </c>
    </row>
    <row r="10195" spans="1:15">
      <c r="A10195" t="s">
        <v>105</v>
      </c>
      <c r="B10195" t="s">
        <v>149</v>
      </c>
      <c r="C10195" t="s">
        <v>237</v>
      </c>
      <c r="D10195" t="s">
        <v>366</v>
      </c>
      <c r="E10195" t="s">
        <v>360</v>
      </c>
      <c r="F10195">
        <f>HYPERLINK("https://www.wikidata.org/wiki/Q2718814", "Q2718814")</f>
        <v>0</v>
      </c>
      <c r="G10195" t="s">
        <v>724</v>
      </c>
      <c r="H10195" t="s">
        <v>5482</v>
      </c>
      <c r="I10195" t="s">
        <v>6495</v>
      </c>
      <c r="J10195" t="s">
        <v>11473</v>
      </c>
      <c r="K10195" t="s">
        <v>15875</v>
      </c>
      <c r="N10195">
        <f>HYPERLINK("https://www.wikidata.org/wiki/Q3262636", "Q3262636")</f>
        <v>0</v>
      </c>
      <c r="O10195" t="s">
        <v>20111</v>
      </c>
    </row>
    <row r="10196" spans="1:15">
      <c r="A10196" t="s">
        <v>105</v>
      </c>
      <c r="B10196" t="s">
        <v>149</v>
      </c>
      <c r="C10196" t="s">
        <v>237</v>
      </c>
      <c r="D10196" t="s">
        <v>366</v>
      </c>
      <c r="E10196" t="s">
        <v>360</v>
      </c>
      <c r="F10196">
        <f>HYPERLINK("https://www.wikidata.org/wiki/Q2718814", "Q2718814")</f>
        <v>0</v>
      </c>
      <c r="G10196" t="s">
        <v>4337</v>
      </c>
      <c r="H10196" t="s">
        <v>8488</v>
      </c>
      <c r="I10196" t="s">
        <v>9476</v>
      </c>
      <c r="J10196" t="s">
        <v>12859</v>
      </c>
      <c r="K10196" t="s">
        <v>19173</v>
      </c>
      <c r="M10196">
        <f>HYPERLINK("https://www.senat.fr/senateur-3eme-republique/hachette_rene0035r3.html", "hachette_rene0035r3")</f>
        <v>0</v>
      </c>
      <c r="N10196">
        <f>HYPERLINK("https://www.wikidata.org/wiki/Q3426336", "Q3426336")</f>
        <v>0</v>
      </c>
      <c r="O10196" t="s">
        <v>20365</v>
      </c>
    </row>
    <row r="10197" spans="1:15">
      <c r="A10197" t="s">
        <v>105</v>
      </c>
      <c r="B10197" t="s">
        <v>149</v>
      </c>
      <c r="C10197" t="s">
        <v>237</v>
      </c>
      <c r="D10197" t="s">
        <v>366</v>
      </c>
      <c r="E10197" t="s">
        <v>360</v>
      </c>
      <c r="F10197">
        <f>HYPERLINK("https://www.wikidata.org/wiki/Q2718814", "Q2718814")</f>
        <v>0</v>
      </c>
      <c r="G10197" t="s">
        <v>4338</v>
      </c>
      <c r="H10197" t="s">
        <v>8489</v>
      </c>
      <c r="I10197" t="s">
        <v>5504</v>
      </c>
      <c r="J10197" t="s">
        <v>14831</v>
      </c>
      <c r="K10197" t="s">
        <v>19174</v>
      </c>
      <c r="N10197">
        <f>HYPERLINK("https://www.wikidata.org/wiki/Q3345869", "Q3345869")</f>
        <v>0</v>
      </c>
      <c r="O10197" t="s">
        <v>20106</v>
      </c>
    </row>
    <row r="10198" spans="1:15">
      <c r="A10198" t="s">
        <v>105</v>
      </c>
      <c r="B10198" t="s">
        <v>149</v>
      </c>
      <c r="C10198" t="s">
        <v>237</v>
      </c>
      <c r="D10198" t="s">
        <v>366</v>
      </c>
      <c r="E10198" t="s">
        <v>360</v>
      </c>
      <c r="F10198">
        <f>HYPERLINK("https://www.wikidata.org/wiki/Q2718814", "Q2718814")</f>
        <v>0</v>
      </c>
      <c r="G10198" t="s">
        <v>4330</v>
      </c>
      <c r="H10198" t="s">
        <v>8481</v>
      </c>
      <c r="I10198" t="s">
        <v>9388</v>
      </c>
      <c r="J10198" t="s">
        <v>14825</v>
      </c>
      <c r="K10198" t="s">
        <v>19166</v>
      </c>
      <c r="N10198">
        <f>HYPERLINK("https://www.wikidata.org/wiki/Q477880", "Q477880")</f>
        <v>0</v>
      </c>
      <c r="O10198" t="s">
        <v>20099</v>
      </c>
    </row>
    <row r="10199" spans="1:15">
      <c r="A10199" t="s">
        <v>105</v>
      </c>
      <c r="B10199" t="s">
        <v>149</v>
      </c>
      <c r="C10199" t="s">
        <v>237</v>
      </c>
      <c r="D10199" t="s">
        <v>366</v>
      </c>
      <c r="E10199" t="s">
        <v>360</v>
      </c>
      <c r="F10199">
        <f>HYPERLINK("https://www.wikidata.org/wiki/Q2718814", "Q2718814")</f>
        <v>0</v>
      </c>
      <c r="G10199" t="s">
        <v>4339</v>
      </c>
      <c r="H10199" t="s">
        <v>8490</v>
      </c>
      <c r="I10199" t="s">
        <v>10950</v>
      </c>
      <c r="J10199" t="s">
        <v>14832</v>
      </c>
      <c r="K10199" t="s">
        <v>19175</v>
      </c>
      <c r="M10199">
        <f>HYPERLINK("https://www.senat.fr/senateur-3eme-republique/de_la_grange_amaury1389r3.html", "de_la_grange_amaury1389r3")</f>
        <v>0</v>
      </c>
      <c r="N10199">
        <f>HYPERLINK("https://www.wikidata.org/wiki/Q2841414", "Q2841414")</f>
        <v>0</v>
      </c>
      <c r="O10199" t="s">
        <v>20366</v>
      </c>
    </row>
    <row r="10200" spans="1:15">
      <c r="A10200" t="s">
        <v>105</v>
      </c>
      <c r="B10200" t="s">
        <v>149</v>
      </c>
      <c r="C10200" t="s">
        <v>237</v>
      </c>
      <c r="D10200" t="s">
        <v>366</v>
      </c>
      <c r="E10200" t="s">
        <v>360</v>
      </c>
      <c r="F10200">
        <f>HYPERLINK("https://www.wikidata.org/wiki/Q2718814", "Q2718814")</f>
        <v>0</v>
      </c>
      <c r="G10200" t="s">
        <v>4340</v>
      </c>
      <c r="H10200" t="s">
        <v>8491</v>
      </c>
      <c r="I10200" t="s">
        <v>9449</v>
      </c>
      <c r="J10200" t="s">
        <v>14833</v>
      </c>
      <c r="N10200">
        <f>HYPERLINK("https://www.wikidata.org/wiki/Q3188815", "Q3188815")</f>
        <v>0</v>
      </c>
      <c r="O10200" t="s">
        <v>20367</v>
      </c>
    </row>
    <row r="10201" spans="1:15">
      <c r="A10201" t="s">
        <v>105</v>
      </c>
      <c r="B10201" t="s">
        <v>149</v>
      </c>
      <c r="C10201" t="s">
        <v>237</v>
      </c>
      <c r="D10201" t="s">
        <v>366</v>
      </c>
      <c r="E10201" t="s">
        <v>360</v>
      </c>
      <c r="F10201">
        <f>HYPERLINK("https://www.wikidata.org/wiki/Q2718814", "Q2718814")</f>
        <v>0</v>
      </c>
      <c r="G10201" t="s">
        <v>4341</v>
      </c>
      <c r="H10201" t="s">
        <v>8492</v>
      </c>
      <c r="I10201" t="s">
        <v>9385</v>
      </c>
      <c r="J10201" t="s">
        <v>12726</v>
      </c>
      <c r="K10201" t="s">
        <v>19176</v>
      </c>
      <c r="N10201">
        <f>HYPERLINK("https://www.wikidata.org/wiki/Q2042", "Q2042")</f>
        <v>0</v>
      </c>
      <c r="O10201" t="s">
        <v>20251</v>
      </c>
    </row>
    <row r="10202" spans="1:15">
      <c r="A10202" t="s">
        <v>105</v>
      </c>
      <c r="B10202" t="s">
        <v>149</v>
      </c>
      <c r="C10202" t="s">
        <v>237</v>
      </c>
      <c r="D10202" t="s">
        <v>366</v>
      </c>
      <c r="E10202" t="s">
        <v>360</v>
      </c>
      <c r="F10202">
        <f>HYPERLINK("https://www.wikidata.org/wiki/Q2718814", "Q2718814")</f>
        <v>0</v>
      </c>
      <c r="G10202" t="s">
        <v>4330</v>
      </c>
      <c r="H10202" t="s">
        <v>8481</v>
      </c>
      <c r="I10202" t="s">
        <v>9388</v>
      </c>
      <c r="J10202" t="s">
        <v>14825</v>
      </c>
      <c r="K10202" t="s">
        <v>19166</v>
      </c>
      <c r="N10202">
        <f>HYPERLINK("https://www.wikidata.org/wiki/Q477880", "Q477880")</f>
        <v>0</v>
      </c>
      <c r="O10202" t="s">
        <v>20249</v>
      </c>
    </row>
    <row r="10203" spans="1:15">
      <c r="A10203" t="s">
        <v>105</v>
      </c>
      <c r="B10203" t="s">
        <v>149</v>
      </c>
      <c r="C10203" t="s">
        <v>237</v>
      </c>
      <c r="D10203" t="s">
        <v>366</v>
      </c>
      <c r="E10203" t="s">
        <v>360</v>
      </c>
      <c r="F10203">
        <f>HYPERLINK("https://www.wikidata.org/wiki/Q2718814", "Q2718814")</f>
        <v>0</v>
      </c>
      <c r="G10203" t="s">
        <v>4232</v>
      </c>
      <c r="H10203" t="s">
        <v>8409</v>
      </c>
      <c r="I10203" t="s">
        <v>7265</v>
      </c>
      <c r="J10203" t="s">
        <v>14739</v>
      </c>
      <c r="K10203" t="s">
        <v>19084</v>
      </c>
      <c r="N10203">
        <f>HYPERLINK("https://www.wikidata.org/wiki/Q5721", "Q5721")</f>
        <v>0</v>
      </c>
      <c r="O10203" t="s">
        <v>20074</v>
      </c>
    </row>
    <row r="10204" spans="1:15">
      <c r="A10204" t="s">
        <v>106</v>
      </c>
      <c r="B10204" t="s">
        <v>149</v>
      </c>
      <c r="C10204" t="s">
        <v>238</v>
      </c>
      <c r="D10204" t="s">
        <v>367</v>
      </c>
      <c r="E10204" t="s">
        <v>368</v>
      </c>
      <c r="F10204">
        <f>HYPERLINK("https://www.wikidata.org/wiki/Q3111852", "Q3111852")</f>
        <v>0</v>
      </c>
      <c r="G10204" t="s">
        <v>3373</v>
      </c>
      <c r="H10204" t="s">
        <v>7083</v>
      </c>
      <c r="I10204" t="s">
        <v>5528</v>
      </c>
      <c r="J10204" t="s">
        <v>13985</v>
      </c>
      <c r="K10204" t="s">
        <v>18353</v>
      </c>
      <c r="L10204">
        <f>HYPERLINK("https://www2.assemblee-nationale.fr/sycomore/fiche/(num_dept)/1083", "1083")</f>
        <v>0</v>
      </c>
      <c r="M10204">
        <f>HYPERLINK("https://www.senat.fr/senateur-3eme-republique/bourgeois_leon0647r3.html", "bourgeois_leon0647r3")</f>
        <v>0</v>
      </c>
      <c r="N10204">
        <f>HYPERLINK("https://www.wikidata.org/wiki/Q217706", "Q217706")</f>
        <v>0</v>
      </c>
      <c r="O10204" t="s">
        <v>20064</v>
      </c>
    </row>
    <row r="10205" spans="1:15">
      <c r="A10205" t="s">
        <v>106</v>
      </c>
      <c r="B10205" t="s">
        <v>149</v>
      </c>
      <c r="C10205" t="s">
        <v>238</v>
      </c>
      <c r="D10205" t="s">
        <v>367</v>
      </c>
      <c r="E10205" t="s">
        <v>368</v>
      </c>
      <c r="F10205">
        <f>HYPERLINK("https://www.wikidata.org/wiki/Q3111852", "Q3111852")</f>
        <v>0</v>
      </c>
      <c r="G10205" t="s">
        <v>3237</v>
      </c>
      <c r="H10205" t="s">
        <v>7662</v>
      </c>
      <c r="I10205" t="s">
        <v>9552</v>
      </c>
      <c r="J10205" t="s">
        <v>13855</v>
      </c>
      <c r="K10205" t="s">
        <v>18227</v>
      </c>
      <c r="L10205">
        <f>HYPERLINK("https://www2.assemblee-nationale.fr/sycomore/fiche/(num_dept)/1312", "1312")</f>
        <v>0</v>
      </c>
      <c r="N10205">
        <f>HYPERLINK("https://www.wikidata.org/wiki/Q2341410", "Q2341410")</f>
        <v>0</v>
      </c>
      <c r="O10205" t="s">
        <v>20185</v>
      </c>
    </row>
    <row r="10206" spans="1:15">
      <c r="A10206" t="s">
        <v>106</v>
      </c>
      <c r="B10206" t="s">
        <v>149</v>
      </c>
      <c r="C10206" t="s">
        <v>238</v>
      </c>
      <c r="D10206" t="s">
        <v>367</v>
      </c>
      <c r="E10206" t="s">
        <v>368</v>
      </c>
      <c r="F10206">
        <f>HYPERLINK("https://www.wikidata.org/wiki/Q3111852", "Q3111852")</f>
        <v>0</v>
      </c>
      <c r="G10206" t="s">
        <v>2554</v>
      </c>
      <c r="H10206" t="s">
        <v>7113</v>
      </c>
      <c r="I10206" t="s">
        <v>9449</v>
      </c>
      <c r="J10206" t="s">
        <v>13198</v>
      </c>
      <c r="K10206" t="s">
        <v>17603</v>
      </c>
      <c r="L10206">
        <f>HYPERLINK("https://www2.assemblee-nationale.fr/sycomore/fiche/(num_dept)/2474", "2474")</f>
        <v>0</v>
      </c>
      <c r="M10206">
        <f>HYPERLINK("https://www.senat.fr/senateur-3eme-republique/develle_jules1013r3.html", "develle_jules1013r3")</f>
        <v>0</v>
      </c>
      <c r="N10206">
        <f>HYPERLINK("https://www.wikidata.org/wiki/Q939193", "Q939193")</f>
        <v>0</v>
      </c>
      <c r="O10206" t="s">
        <v>20056</v>
      </c>
    </row>
    <row r="10207" spans="1:15">
      <c r="A10207" t="s">
        <v>106</v>
      </c>
      <c r="B10207" t="s">
        <v>149</v>
      </c>
      <c r="C10207" t="s">
        <v>238</v>
      </c>
      <c r="D10207" t="s">
        <v>367</v>
      </c>
      <c r="E10207" t="s">
        <v>368</v>
      </c>
      <c r="F10207">
        <f>HYPERLINK("https://www.wikidata.org/wiki/Q3111852", "Q3111852")</f>
        <v>0</v>
      </c>
      <c r="G10207" t="s">
        <v>3258</v>
      </c>
      <c r="H10207" t="s">
        <v>7678</v>
      </c>
      <c r="I10207" t="s">
        <v>9437</v>
      </c>
      <c r="J10207" t="s">
        <v>13874</v>
      </c>
      <c r="K10207" t="s">
        <v>18246</v>
      </c>
      <c r="L10207">
        <f>HYPERLINK("https://www2.assemblee-nationale.fr/sycomore/fiche/(num_dept)/3985", "3985")</f>
        <v>0</v>
      </c>
      <c r="N10207">
        <f>HYPERLINK("https://www.wikidata.org/wiki/Q286003", "Q286003")</f>
        <v>0</v>
      </c>
      <c r="O10207" t="s">
        <v>20184</v>
      </c>
    </row>
    <row r="10208" spans="1:15">
      <c r="A10208" t="s">
        <v>106</v>
      </c>
      <c r="B10208" t="s">
        <v>149</v>
      </c>
      <c r="C10208" t="s">
        <v>238</v>
      </c>
      <c r="D10208" t="s">
        <v>367</v>
      </c>
      <c r="E10208" t="s">
        <v>368</v>
      </c>
      <c r="F10208">
        <f>HYPERLINK("https://www.wikidata.org/wiki/Q3111852", "Q3111852")</f>
        <v>0</v>
      </c>
      <c r="G10208" t="s">
        <v>2650</v>
      </c>
      <c r="H10208" t="s">
        <v>7191</v>
      </c>
      <c r="I10208" t="s">
        <v>7642</v>
      </c>
      <c r="J10208" t="s">
        <v>13292</v>
      </c>
      <c r="K10208" t="s">
        <v>17691</v>
      </c>
      <c r="L10208">
        <f>HYPERLINK("https://www2.assemblee-nationale.fr/sycomore/fiche/(num_dept)/6152", "6152")</f>
        <v>0</v>
      </c>
      <c r="M10208">
        <f>HYPERLINK("https://www.senat.fr/senateur-3eme-republique/rouvier_maurice0115r3.html", "rouvier_maurice0115r3")</f>
        <v>0</v>
      </c>
      <c r="N10208">
        <f>HYPERLINK("https://www.wikidata.org/wiki/Q471293", "Q471293")</f>
        <v>0</v>
      </c>
      <c r="O10208" t="s">
        <v>20066</v>
      </c>
    </row>
    <row r="10209" spans="1:15">
      <c r="A10209" t="s">
        <v>106</v>
      </c>
      <c r="B10209" t="s">
        <v>149</v>
      </c>
      <c r="C10209" t="s">
        <v>238</v>
      </c>
      <c r="D10209" t="s">
        <v>367</v>
      </c>
      <c r="E10209" t="s">
        <v>368</v>
      </c>
      <c r="F10209">
        <f>HYPERLINK("https://www.wikidata.org/wiki/Q3111852", "Q3111852")</f>
        <v>0</v>
      </c>
      <c r="G10209" t="s">
        <v>2671</v>
      </c>
      <c r="H10209" t="s">
        <v>7208</v>
      </c>
      <c r="I10209" t="s">
        <v>9553</v>
      </c>
      <c r="J10209" t="s">
        <v>13312</v>
      </c>
      <c r="K10209" t="s">
        <v>17712</v>
      </c>
      <c r="L10209">
        <f>HYPERLINK("https://www2.assemblee-nationale.fr/sycomore/fiche/(num_dept)/6727", "6727")</f>
        <v>0</v>
      </c>
      <c r="M10209">
        <f>HYPERLINK("https://www.senat.fr/senateur-3eme-republique/ribot_alexandre0941r3.html", "ribot_alexandre0941r3")</f>
        <v>0</v>
      </c>
      <c r="N10209">
        <f>HYPERLINK("https://www.wikidata.org/wiki/Q358387", "Q358387")</f>
        <v>0</v>
      </c>
      <c r="O10209" t="s">
        <v>20062</v>
      </c>
    </row>
    <row r="10210" spans="1:15">
      <c r="A10210" t="s">
        <v>106</v>
      </c>
      <c r="B10210" t="s">
        <v>149</v>
      </c>
      <c r="C10210" t="s">
        <v>238</v>
      </c>
      <c r="D10210" t="s">
        <v>367</v>
      </c>
      <c r="E10210" t="s">
        <v>368</v>
      </c>
      <c r="F10210">
        <f>HYPERLINK("https://www.wikidata.org/wiki/Q3111852", "Q3111852")</f>
        <v>0</v>
      </c>
      <c r="G10210" t="s">
        <v>2671</v>
      </c>
      <c r="H10210" t="s">
        <v>7208</v>
      </c>
      <c r="I10210" t="s">
        <v>9553</v>
      </c>
      <c r="J10210" t="s">
        <v>13312</v>
      </c>
      <c r="K10210" t="s">
        <v>17712</v>
      </c>
      <c r="L10210">
        <f>HYPERLINK("https://www2.assemblee-nationale.fr/sycomore/fiche/(num_dept)/6727", "6727")</f>
        <v>0</v>
      </c>
      <c r="M10210">
        <f>HYPERLINK("https://www.senat.fr/senateur-3eme-republique/ribot_alexandre0941r3.html", "ribot_alexandre0941r3")</f>
        <v>0</v>
      </c>
      <c r="N10210">
        <f>HYPERLINK("https://www.wikidata.org/wiki/Q358387", "Q358387")</f>
        <v>0</v>
      </c>
      <c r="O10210" t="s">
        <v>20114</v>
      </c>
    </row>
    <row r="10211" spans="1:15">
      <c r="A10211" t="s">
        <v>106</v>
      </c>
      <c r="B10211" t="s">
        <v>149</v>
      </c>
      <c r="C10211" t="s">
        <v>238</v>
      </c>
      <c r="D10211" t="s">
        <v>367</v>
      </c>
      <c r="E10211" t="s">
        <v>368</v>
      </c>
      <c r="F10211">
        <f>HYPERLINK("https://www.wikidata.org/wiki/Q3111852", "Q3111852")</f>
        <v>0</v>
      </c>
      <c r="G10211" t="s">
        <v>1052</v>
      </c>
      <c r="H10211" t="s">
        <v>5799</v>
      </c>
      <c r="I10211" t="s">
        <v>9449</v>
      </c>
      <c r="J10211" t="s">
        <v>11789</v>
      </c>
      <c r="K10211" t="s">
        <v>16190</v>
      </c>
      <c r="L10211">
        <f>HYPERLINK("https://www2.assemblee-nationale.fr/sycomore/fiche/(num_dept)/6832", "6832")</f>
        <v>0</v>
      </c>
      <c r="M10211">
        <f>HYPERLINK("https://www.senat.fr/senateur-3eme-republique/siegfried_jules1584r3.html", "siegfried_jules1584r3")</f>
        <v>0</v>
      </c>
      <c r="N10211">
        <f>HYPERLINK("https://www.wikidata.org/wiki/Q3188910", "Q3188910")</f>
        <v>0</v>
      </c>
      <c r="O10211" t="s">
        <v>20115</v>
      </c>
    </row>
    <row r="10212" spans="1:15">
      <c r="A10212" t="s">
        <v>106</v>
      </c>
      <c r="B10212" t="s">
        <v>149</v>
      </c>
      <c r="C10212" t="s">
        <v>238</v>
      </c>
      <c r="D10212" t="s">
        <v>367</v>
      </c>
      <c r="E10212" t="s">
        <v>368</v>
      </c>
      <c r="F10212">
        <f>HYPERLINK("https://www.wikidata.org/wiki/Q3111852", "Q3111852")</f>
        <v>0</v>
      </c>
      <c r="G10212" t="s">
        <v>2695</v>
      </c>
      <c r="H10212" t="s">
        <v>7227</v>
      </c>
      <c r="I10212" t="s">
        <v>9449</v>
      </c>
      <c r="J10212" t="s">
        <v>13336</v>
      </c>
      <c r="K10212" t="s">
        <v>17736</v>
      </c>
      <c r="L10212">
        <f>HYPERLINK("https://www2.assemblee-nationale.fr/sycomore/fiche/(num_dept)/7450", "7450")</f>
        <v>0</v>
      </c>
      <c r="N10212">
        <f>HYPERLINK("https://www.wikidata.org/wiki/Q3188959", "Q3188959")</f>
        <v>0</v>
      </c>
      <c r="O10212" t="s">
        <v>20063</v>
      </c>
    </row>
    <row r="10213" spans="1:15">
      <c r="A10213" t="s">
        <v>106</v>
      </c>
      <c r="B10213" t="s">
        <v>149</v>
      </c>
      <c r="C10213" t="s">
        <v>238</v>
      </c>
      <c r="D10213" t="s">
        <v>367</v>
      </c>
      <c r="E10213" t="s">
        <v>368</v>
      </c>
      <c r="F10213">
        <f>HYPERLINK("https://www.wikidata.org/wiki/Q3111852", "Q3111852")</f>
        <v>0</v>
      </c>
      <c r="G10213" t="s">
        <v>2808</v>
      </c>
      <c r="H10213" t="s">
        <v>7310</v>
      </c>
      <c r="I10213" t="s">
        <v>9437</v>
      </c>
      <c r="J10213" t="s">
        <v>13448</v>
      </c>
      <c r="K10213" t="s">
        <v>17840</v>
      </c>
      <c r="L10213">
        <f>HYPERLINK("https://www2.assemblee-nationale.fr/sycomore/fiche/(num_dept)/8117", "8117")</f>
        <v>0</v>
      </c>
      <c r="M10213">
        <f>HYPERLINK("https://www.senat.fr/senateur-3eme-republique/loubet_emile0714r3.html", "loubet_emile0714r3")</f>
        <v>0</v>
      </c>
      <c r="N10213">
        <f>HYPERLINK("https://www.wikidata.org/wiki/Q169502", "Q169502")</f>
        <v>0</v>
      </c>
      <c r="O10213" t="s">
        <v>20113</v>
      </c>
    </row>
    <row r="10214" spans="1:15">
      <c r="A10214" t="s">
        <v>106</v>
      </c>
      <c r="B10214" t="s">
        <v>149</v>
      </c>
      <c r="C10214" t="s">
        <v>238</v>
      </c>
      <c r="D10214" t="s">
        <v>367</v>
      </c>
      <c r="E10214" t="s">
        <v>368</v>
      </c>
      <c r="F10214">
        <f>HYPERLINK("https://www.wikidata.org/wiki/Q3111852", "Q3111852")</f>
        <v>0</v>
      </c>
      <c r="G10214" t="s">
        <v>2907</v>
      </c>
      <c r="H10214" t="s">
        <v>7389</v>
      </c>
      <c r="I10214" t="s">
        <v>6860</v>
      </c>
      <c r="J10214" t="s">
        <v>13542</v>
      </c>
      <c r="K10214" t="s">
        <v>17928</v>
      </c>
      <c r="L10214">
        <f>HYPERLINK("https://www2.assemblee-nationale.fr/sycomore/fiche/(num_dept)/8246", "8246")</f>
        <v>0</v>
      </c>
      <c r="M10214">
        <f>HYPERLINK("https://www.senat.fr/senateur-3eme-republique/tirard_pierre1538r3.html", "tirard_pierre1538r3")</f>
        <v>0</v>
      </c>
      <c r="N10214">
        <f>HYPERLINK("https://www.wikidata.org/wiki/Q708359", "Q708359")</f>
        <v>0</v>
      </c>
      <c r="O10214" t="s">
        <v>20066</v>
      </c>
    </row>
    <row r="10215" spans="1:15">
      <c r="A10215" t="s">
        <v>106</v>
      </c>
      <c r="B10215" t="s">
        <v>149</v>
      </c>
      <c r="C10215" t="s">
        <v>238</v>
      </c>
      <c r="D10215" t="s">
        <v>367</v>
      </c>
      <c r="E10215" t="s">
        <v>368</v>
      </c>
      <c r="F10215">
        <f>HYPERLINK("https://www.wikidata.org/wiki/Q3111852", "Q3111852")</f>
        <v>0</v>
      </c>
      <c r="G10215" t="s">
        <v>3342</v>
      </c>
      <c r="H10215" t="s">
        <v>5387</v>
      </c>
      <c r="I10215" t="s">
        <v>9385</v>
      </c>
      <c r="J10215" t="s">
        <v>13955</v>
      </c>
      <c r="K10215" t="s">
        <v>18324</v>
      </c>
      <c r="L10215">
        <f>HYPERLINK("https://www2.assemblee-nationale.fr/sycomore/fiche/(num_dept)/10133", "10133")</f>
        <v>0</v>
      </c>
      <c r="M10215">
        <f>HYPERLINK("https://www.senat.fr/senateur-3eme-republique/dupuy_charles0513r3.html", "dupuy_charles0513r3")</f>
        <v>0</v>
      </c>
      <c r="N10215">
        <f>HYPERLINK("https://www.wikidata.org/wiki/Q356032", "Q356032")</f>
        <v>0</v>
      </c>
      <c r="O10215" t="s">
        <v>20186</v>
      </c>
    </row>
    <row r="10216" spans="1:15">
      <c r="A10216" t="s">
        <v>106</v>
      </c>
      <c r="B10216" t="s">
        <v>149</v>
      </c>
      <c r="C10216" t="s">
        <v>238</v>
      </c>
      <c r="D10216" t="s">
        <v>367</v>
      </c>
      <c r="E10216" t="s">
        <v>368</v>
      </c>
      <c r="F10216">
        <f>HYPERLINK("https://www.wikidata.org/wiki/Q3111852", "Q3111852")</f>
        <v>0</v>
      </c>
      <c r="G10216" t="s">
        <v>4245</v>
      </c>
      <c r="H10216" t="s">
        <v>8418</v>
      </c>
      <c r="I10216" t="s">
        <v>9385</v>
      </c>
      <c r="J10216" t="s">
        <v>14751</v>
      </c>
      <c r="K10216" t="s">
        <v>19097</v>
      </c>
      <c r="M10216">
        <f>HYPERLINK("https://www.senat.fr/senateur-3eme-republique/de_saulces_de_freycinet_louis1713r3.html", "de_saulces_de_freycinet_louis1713r3")</f>
        <v>0</v>
      </c>
      <c r="N10216">
        <f>HYPERLINK("https://www.wikidata.org/wiki/Q317957", "Q317957")</f>
        <v>0</v>
      </c>
      <c r="O10216" t="s">
        <v>20057</v>
      </c>
    </row>
    <row r="10217" spans="1:15">
      <c r="A10217" t="s">
        <v>107</v>
      </c>
      <c r="B10217" t="s">
        <v>149</v>
      </c>
      <c r="C10217" t="s">
        <v>239</v>
      </c>
      <c r="D10217" t="s">
        <v>368</v>
      </c>
      <c r="E10217" t="s">
        <v>479</v>
      </c>
      <c r="F10217">
        <f>HYPERLINK("https://www.wikidata.org/wiki/Q3111855", "Q3111855")</f>
        <v>0</v>
      </c>
      <c r="G10217" t="s">
        <v>3373</v>
      </c>
      <c r="H10217" t="s">
        <v>7083</v>
      </c>
      <c r="I10217" t="s">
        <v>5528</v>
      </c>
      <c r="J10217" t="s">
        <v>13985</v>
      </c>
      <c r="K10217" t="s">
        <v>18353</v>
      </c>
      <c r="L10217">
        <f>HYPERLINK("https://www2.assemblee-nationale.fr/sycomore/fiche/(num_dept)/1083", "1083")</f>
        <v>0</v>
      </c>
      <c r="M10217">
        <f>HYPERLINK("https://www.senat.fr/senateur-3eme-republique/bourgeois_leon0647r3.html", "bourgeois_leon0647r3")</f>
        <v>0</v>
      </c>
      <c r="N10217">
        <f>HYPERLINK("https://www.wikidata.org/wiki/Q217706", "Q217706")</f>
        <v>0</v>
      </c>
      <c r="O10217" t="s">
        <v>20064</v>
      </c>
    </row>
    <row r="10218" spans="1:15">
      <c r="A10218" t="s">
        <v>107</v>
      </c>
      <c r="B10218" t="s">
        <v>149</v>
      </c>
      <c r="C10218" t="s">
        <v>239</v>
      </c>
      <c r="D10218" t="s">
        <v>368</v>
      </c>
      <c r="E10218" t="s">
        <v>479</v>
      </c>
      <c r="F10218">
        <f>HYPERLINK("https://www.wikidata.org/wiki/Q3111855", "Q3111855")</f>
        <v>0</v>
      </c>
      <c r="G10218" t="s">
        <v>3373</v>
      </c>
      <c r="H10218" t="s">
        <v>7083</v>
      </c>
      <c r="I10218" t="s">
        <v>5528</v>
      </c>
      <c r="J10218" t="s">
        <v>13985</v>
      </c>
      <c r="K10218" t="s">
        <v>18353</v>
      </c>
      <c r="L10218">
        <f>HYPERLINK("https://www2.assemblee-nationale.fr/sycomore/fiche/(num_dept)/1083", "1083")</f>
        <v>0</v>
      </c>
      <c r="M10218">
        <f>HYPERLINK("https://www.senat.fr/senateur-3eme-republique/bourgeois_leon0647r3.html", "bourgeois_leon0647r3")</f>
        <v>0</v>
      </c>
      <c r="N10218">
        <f>HYPERLINK("https://www.wikidata.org/wiki/Q217706", "Q217706")</f>
        <v>0</v>
      </c>
      <c r="O10218" t="s">
        <v>20064</v>
      </c>
    </row>
    <row r="10219" spans="1:15">
      <c r="A10219" t="s">
        <v>107</v>
      </c>
      <c r="B10219" t="s">
        <v>149</v>
      </c>
      <c r="C10219" t="s">
        <v>239</v>
      </c>
      <c r="D10219" t="s">
        <v>368</v>
      </c>
      <c r="E10219" t="s">
        <v>479</v>
      </c>
      <c r="F10219">
        <f>HYPERLINK("https://www.wikidata.org/wiki/Q3111855", "Q3111855")</f>
        <v>0</v>
      </c>
      <c r="G10219" t="s">
        <v>608</v>
      </c>
      <c r="H10219" t="s">
        <v>5368</v>
      </c>
      <c r="I10219" t="s">
        <v>9451</v>
      </c>
      <c r="J10219" t="s">
        <v>11359</v>
      </c>
      <c r="K10219" t="s">
        <v>15760</v>
      </c>
      <c r="L10219">
        <f>HYPERLINK("https://www2.assemblee-nationale.fr/sycomore/fiche/(num_dept)/2283", "2283")</f>
        <v>0</v>
      </c>
      <c r="N10219">
        <f>HYPERLINK("https://www.wikidata.org/wiki/Q503827", "Q503827")</f>
        <v>0</v>
      </c>
      <c r="O10219" t="s">
        <v>20184</v>
      </c>
    </row>
    <row r="10220" spans="1:15">
      <c r="A10220" t="s">
        <v>107</v>
      </c>
      <c r="B10220" t="s">
        <v>149</v>
      </c>
      <c r="C10220" t="s">
        <v>239</v>
      </c>
      <c r="D10220" t="s">
        <v>368</v>
      </c>
      <c r="E10220" t="s">
        <v>479</v>
      </c>
      <c r="F10220">
        <f>HYPERLINK("https://www.wikidata.org/wiki/Q3111855", "Q3111855")</f>
        <v>0</v>
      </c>
      <c r="G10220" t="s">
        <v>2554</v>
      </c>
      <c r="H10220" t="s">
        <v>7113</v>
      </c>
      <c r="I10220" t="s">
        <v>9449</v>
      </c>
      <c r="J10220" t="s">
        <v>13198</v>
      </c>
      <c r="K10220" t="s">
        <v>17603</v>
      </c>
      <c r="L10220">
        <f>HYPERLINK("https://www2.assemblee-nationale.fr/sycomore/fiche/(num_dept)/2474", "2474")</f>
        <v>0</v>
      </c>
      <c r="M10220">
        <f>HYPERLINK("https://www.senat.fr/senateur-3eme-republique/develle_jules1013r3.html", "develle_jules1013r3")</f>
        <v>0</v>
      </c>
      <c r="N10220">
        <f>HYPERLINK("https://www.wikidata.org/wiki/Q939193", "Q939193")</f>
        <v>0</v>
      </c>
      <c r="O10220" t="s">
        <v>20064</v>
      </c>
    </row>
    <row r="10221" spans="1:15">
      <c r="A10221" t="s">
        <v>107</v>
      </c>
      <c r="B10221" t="s">
        <v>149</v>
      </c>
      <c r="C10221" t="s">
        <v>239</v>
      </c>
      <c r="D10221" t="s">
        <v>368</v>
      </c>
      <c r="E10221" t="s">
        <v>479</v>
      </c>
      <c r="F10221">
        <f>HYPERLINK("https://www.wikidata.org/wiki/Q3111855", "Q3111855")</f>
        <v>0</v>
      </c>
      <c r="G10221" t="s">
        <v>2554</v>
      </c>
      <c r="H10221" t="s">
        <v>7113</v>
      </c>
      <c r="I10221" t="s">
        <v>9449</v>
      </c>
      <c r="J10221" t="s">
        <v>13198</v>
      </c>
      <c r="K10221" t="s">
        <v>17603</v>
      </c>
      <c r="L10221">
        <f>HYPERLINK("https://www2.assemblee-nationale.fr/sycomore/fiche/(num_dept)/2474", "2474")</f>
        <v>0</v>
      </c>
      <c r="M10221">
        <f>HYPERLINK("https://www.senat.fr/senateur-3eme-republique/develle_jules1013r3.html", "develle_jules1013r3")</f>
        <v>0</v>
      </c>
      <c r="N10221">
        <f>HYPERLINK("https://www.wikidata.org/wiki/Q939193", "Q939193")</f>
        <v>0</v>
      </c>
      <c r="O10221" t="s">
        <v>20062</v>
      </c>
    </row>
    <row r="10222" spans="1:15">
      <c r="A10222" t="s">
        <v>107</v>
      </c>
      <c r="B10222" t="s">
        <v>149</v>
      </c>
      <c r="C10222" t="s">
        <v>239</v>
      </c>
      <c r="D10222" t="s">
        <v>368</v>
      </c>
      <c r="E10222" t="s">
        <v>479</v>
      </c>
      <c r="F10222">
        <f>HYPERLINK("https://www.wikidata.org/wiki/Q3111855", "Q3111855")</f>
        <v>0</v>
      </c>
      <c r="G10222" t="s">
        <v>2671</v>
      </c>
      <c r="H10222" t="s">
        <v>7208</v>
      </c>
      <c r="I10222" t="s">
        <v>9553</v>
      </c>
      <c r="J10222" t="s">
        <v>13312</v>
      </c>
      <c r="K10222" t="s">
        <v>17712</v>
      </c>
      <c r="L10222">
        <f>HYPERLINK("https://www2.assemblee-nationale.fr/sycomore/fiche/(num_dept)/6727", "6727")</f>
        <v>0</v>
      </c>
      <c r="M10222">
        <f>HYPERLINK("https://www.senat.fr/senateur-3eme-republique/ribot_alexandre0941r3.html", "ribot_alexandre0941r3")</f>
        <v>0</v>
      </c>
      <c r="N10222">
        <f>HYPERLINK("https://www.wikidata.org/wiki/Q358387", "Q358387")</f>
        <v>0</v>
      </c>
      <c r="O10222" t="s">
        <v>20113</v>
      </c>
    </row>
    <row r="10223" spans="1:15">
      <c r="A10223" t="s">
        <v>107</v>
      </c>
      <c r="B10223" t="s">
        <v>149</v>
      </c>
      <c r="C10223" t="s">
        <v>239</v>
      </c>
      <c r="D10223" t="s">
        <v>368</v>
      </c>
      <c r="E10223" t="s">
        <v>479</v>
      </c>
      <c r="F10223">
        <f>HYPERLINK("https://www.wikidata.org/wiki/Q3111855", "Q3111855")</f>
        <v>0</v>
      </c>
      <c r="G10223" t="s">
        <v>2671</v>
      </c>
      <c r="H10223" t="s">
        <v>7208</v>
      </c>
      <c r="I10223" t="s">
        <v>9553</v>
      </c>
      <c r="J10223" t="s">
        <v>13312</v>
      </c>
      <c r="K10223" t="s">
        <v>17712</v>
      </c>
      <c r="L10223">
        <f>HYPERLINK("https://www2.assemblee-nationale.fr/sycomore/fiche/(num_dept)/6727", "6727")</f>
        <v>0</v>
      </c>
      <c r="M10223">
        <f>HYPERLINK("https://www.senat.fr/senateur-3eme-republique/ribot_alexandre0941r3.html", "ribot_alexandre0941r3")</f>
        <v>0</v>
      </c>
      <c r="N10223">
        <f>HYPERLINK("https://www.wikidata.org/wiki/Q358387", "Q358387")</f>
        <v>0</v>
      </c>
      <c r="O10223" t="s">
        <v>20114</v>
      </c>
    </row>
    <row r="10224" spans="1:15">
      <c r="A10224" t="s">
        <v>107</v>
      </c>
      <c r="B10224" t="s">
        <v>149</v>
      </c>
      <c r="C10224" t="s">
        <v>239</v>
      </c>
      <c r="D10224" t="s">
        <v>368</v>
      </c>
      <c r="E10224" t="s">
        <v>479</v>
      </c>
      <c r="F10224">
        <f>HYPERLINK("https://www.wikidata.org/wiki/Q3111855", "Q3111855")</f>
        <v>0</v>
      </c>
      <c r="G10224" t="s">
        <v>1052</v>
      </c>
      <c r="H10224" t="s">
        <v>5799</v>
      </c>
      <c r="I10224" t="s">
        <v>9449</v>
      </c>
      <c r="J10224" t="s">
        <v>11789</v>
      </c>
      <c r="K10224" t="s">
        <v>16190</v>
      </c>
      <c r="L10224">
        <f>HYPERLINK("https://www2.assemblee-nationale.fr/sycomore/fiche/(num_dept)/6832", "6832")</f>
        <v>0</v>
      </c>
      <c r="M10224">
        <f>HYPERLINK("https://www.senat.fr/senateur-3eme-republique/siegfried_jules1584r3.html", "siegfried_jules1584r3")</f>
        <v>0</v>
      </c>
      <c r="N10224">
        <f>HYPERLINK("https://www.wikidata.org/wiki/Q3188910", "Q3188910")</f>
        <v>0</v>
      </c>
      <c r="O10224" t="s">
        <v>20190</v>
      </c>
    </row>
    <row r="10225" spans="1:15">
      <c r="A10225" t="s">
        <v>107</v>
      </c>
      <c r="B10225" t="s">
        <v>149</v>
      </c>
      <c r="C10225" t="s">
        <v>239</v>
      </c>
      <c r="D10225" t="s">
        <v>368</v>
      </c>
      <c r="E10225" t="s">
        <v>479</v>
      </c>
      <c r="F10225">
        <f>HYPERLINK("https://www.wikidata.org/wiki/Q3111855", "Q3111855")</f>
        <v>0</v>
      </c>
      <c r="G10225" t="s">
        <v>3290</v>
      </c>
      <c r="H10225" t="s">
        <v>7702</v>
      </c>
      <c r="I10225" t="s">
        <v>6584</v>
      </c>
      <c r="J10225" t="s">
        <v>13904</v>
      </c>
      <c r="K10225" t="s">
        <v>18275</v>
      </c>
      <c r="L10225">
        <f>HYPERLINK("https://www2.assemblee-nationale.fr/sycomore/fiche/(num_dept)/7443", "7443")</f>
        <v>0</v>
      </c>
      <c r="M10225">
        <f>HYPERLINK("https://www.senat.fr/senateur-3eme-republique/viger_albert0500r3.html", "viger_albert0500r3")</f>
        <v>0</v>
      </c>
      <c r="N10225">
        <f>HYPERLINK("https://www.wikidata.org/wiki/Q2153536", "Q2153536")</f>
        <v>0</v>
      </c>
      <c r="O10225" t="s">
        <v>20056</v>
      </c>
    </row>
    <row r="10226" spans="1:15">
      <c r="A10226" t="s">
        <v>107</v>
      </c>
      <c r="B10226" t="s">
        <v>149</v>
      </c>
      <c r="C10226" t="s">
        <v>239</v>
      </c>
      <c r="D10226" t="s">
        <v>368</v>
      </c>
      <c r="E10226" t="s">
        <v>479</v>
      </c>
      <c r="F10226">
        <f>HYPERLINK("https://www.wikidata.org/wiki/Q3111855", "Q3111855")</f>
        <v>0</v>
      </c>
      <c r="G10226" t="s">
        <v>2695</v>
      </c>
      <c r="H10226" t="s">
        <v>7227</v>
      </c>
      <c r="I10226" t="s">
        <v>9449</v>
      </c>
      <c r="J10226" t="s">
        <v>13336</v>
      </c>
      <c r="K10226" t="s">
        <v>17736</v>
      </c>
      <c r="L10226">
        <f>HYPERLINK("https://www2.assemblee-nationale.fr/sycomore/fiche/(num_dept)/7450", "7450")</f>
        <v>0</v>
      </c>
      <c r="N10226">
        <f>HYPERLINK("https://www.wikidata.org/wiki/Q3188959", "Q3188959")</f>
        <v>0</v>
      </c>
      <c r="O10226" t="s">
        <v>20063</v>
      </c>
    </row>
    <row r="10227" spans="1:15">
      <c r="A10227" t="s">
        <v>107</v>
      </c>
      <c r="B10227" t="s">
        <v>149</v>
      </c>
      <c r="C10227" t="s">
        <v>239</v>
      </c>
      <c r="D10227" t="s">
        <v>368</v>
      </c>
      <c r="E10227" t="s">
        <v>479</v>
      </c>
      <c r="F10227">
        <f>HYPERLINK("https://www.wikidata.org/wiki/Q3111855", "Q3111855")</f>
        <v>0</v>
      </c>
      <c r="G10227" t="s">
        <v>2907</v>
      </c>
      <c r="H10227" t="s">
        <v>7389</v>
      </c>
      <c r="I10227" t="s">
        <v>6860</v>
      </c>
      <c r="J10227" t="s">
        <v>13542</v>
      </c>
      <c r="K10227" t="s">
        <v>17928</v>
      </c>
      <c r="L10227">
        <f>HYPERLINK("https://www2.assemblee-nationale.fr/sycomore/fiche/(num_dept)/8246", "8246")</f>
        <v>0</v>
      </c>
      <c r="M10227">
        <f>HYPERLINK("https://www.senat.fr/senateur-3eme-republique/tirard_pierre1538r3.html", "tirard_pierre1538r3")</f>
        <v>0</v>
      </c>
      <c r="N10227">
        <f>HYPERLINK("https://www.wikidata.org/wiki/Q708359", "Q708359")</f>
        <v>0</v>
      </c>
      <c r="O10227" t="s">
        <v>20066</v>
      </c>
    </row>
    <row r="10228" spans="1:15">
      <c r="A10228" t="s">
        <v>107</v>
      </c>
      <c r="B10228" t="s">
        <v>149</v>
      </c>
      <c r="C10228" t="s">
        <v>239</v>
      </c>
      <c r="D10228" t="s">
        <v>368</v>
      </c>
      <c r="E10228" t="s">
        <v>479</v>
      </c>
      <c r="F10228">
        <f>HYPERLINK("https://www.wikidata.org/wiki/Q3111855", "Q3111855")</f>
        <v>0</v>
      </c>
      <c r="G10228" t="s">
        <v>3342</v>
      </c>
      <c r="H10228" t="s">
        <v>5387</v>
      </c>
      <c r="I10228" t="s">
        <v>9385</v>
      </c>
      <c r="J10228" t="s">
        <v>13955</v>
      </c>
      <c r="K10228" t="s">
        <v>18324</v>
      </c>
      <c r="L10228">
        <f>HYPERLINK("https://www2.assemblee-nationale.fr/sycomore/fiche/(num_dept)/10133", "10133")</f>
        <v>0</v>
      </c>
      <c r="M10228">
        <f>HYPERLINK("https://www.senat.fr/senateur-3eme-republique/dupuy_charles0513r3.html", "dupuy_charles0513r3")</f>
        <v>0</v>
      </c>
      <c r="N10228">
        <f>HYPERLINK("https://www.wikidata.org/wiki/Q356032", "Q356032")</f>
        <v>0</v>
      </c>
      <c r="O10228" t="s">
        <v>20191</v>
      </c>
    </row>
    <row r="10229" spans="1:15">
      <c r="A10229" t="s">
        <v>107</v>
      </c>
      <c r="B10229" t="s">
        <v>149</v>
      </c>
      <c r="C10229" t="s">
        <v>239</v>
      </c>
      <c r="D10229" t="s">
        <v>368</v>
      </c>
      <c r="E10229" t="s">
        <v>479</v>
      </c>
      <c r="F10229">
        <f>HYPERLINK("https://www.wikidata.org/wiki/Q3111855", "Q3111855")</f>
        <v>0</v>
      </c>
      <c r="G10229" t="s">
        <v>3949</v>
      </c>
      <c r="H10229" t="s">
        <v>8200</v>
      </c>
      <c r="I10229" t="s">
        <v>9445</v>
      </c>
      <c r="J10229" t="s">
        <v>14500</v>
      </c>
      <c r="K10229" t="s">
        <v>18493</v>
      </c>
      <c r="L10229">
        <f>HYPERLINK("https://www2.assemblee-nationale.fr/sycomore/fiche/(num_dept)/10838", "10838")</f>
        <v>0</v>
      </c>
      <c r="N10229">
        <f>HYPERLINK("https://www.wikidata.org/wiki/Q3131916", "Q3131916")</f>
        <v>0</v>
      </c>
      <c r="O10229" t="s">
        <v>20053</v>
      </c>
    </row>
    <row r="10230" spans="1:15">
      <c r="A10230" t="s">
        <v>107</v>
      </c>
      <c r="B10230" t="s">
        <v>149</v>
      </c>
      <c r="C10230" t="s">
        <v>239</v>
      </c>
      <c r="D10230" t="s">
        <v>368</v>
      </c>
      <c r="E10230" t="s">
        <v>479</v>
      </c>
      <c r="F10230">
        <f>HYPERLINK("https://www.wikidata.org/wiki/Q3111855", "Q3111855")</f>
        <v>0</v>
      </c>
      <c r="G10230" t="s">
        <v>4296</v>
      </c>
      <c r="H10230" t="s">
        <v>8455</v>
      </c>
      <c r="I10230" t="s">
        <v>9535</v>
      </c>
      <c r="J10230" t="s">
        <v>14795</v>
      </c>
      <c r="K10230" t="s">
        <v>18899</v>
      </c>
      <c r="N10230">
        <f>HYPERLINK("https://www.wikidata.org/wiki/Q3189574", "Q3189574")</f>
        <v>0</v>
      </c>
      <c r="O10230" t="s">
        <v>20057</v>
      </c>
    </row>
    <row r="10231" spans="1:15">
      <c r="A10231" t="s">
        <v>108</v>
      </c>
      <c r="B10231" t="s">
        <v>149</v>
      </c>
      <c r="C10231" t="s">
        <v>240</v>
      </c>
      <c r="D10231" t="s">
        <v>369</v>
      </c>
      <c r="E10231" t="s">
        <v>480</v>
      </c>
      <c r="F10231">
        <f>HYPERLINK("https://www.wikidata.org/wiki/Q3111856", "Q3111856")</f>
        <v>0</v>
      </c>
      <c r="G10231" t="s">
        <v>3541</v>
      </c>
      <c r="H10231" t="s">
        <v>5337</v>
      </c>
      <c r="I10231" t="s">
        <v>9437</v>
      </c>
      <c r="J10231" t="s">
        <v>14132</v>
      </c>
      <c r="K10231" t="s">
        <v>18497</v>
      </c>
      <c r="L10231">
        <f>HYPERLINK("https://www2.assemblee-nationale.fr/sycomore/fiche/(num_dept)/1727", "1727")</f>
        <v>0</v>
      </c>
      <c r="M10231">
        <f>HYPERLINK("https://www.senat.fr/senateur-3eme-republique/chautemps_emile1313r3.html", "chautemps_emile1313r3")</f>
        <v>0</v>
      </c>
      <c r="N10231">
        <f>HYPERLINK("https://www.wikidata.org/wiki/Q3588410", "Q3588410")</f>
        <v>0</v>
      </c>
      <c r="O10231" t="s">
        <v>20065</v>
      </c>
    </row>
    <row r="10232" spans="1:15">
      <c r="A10232" t="s">
        <v>108</v>
      </c>
      <c r="B10232" t="s">
        <v>149</v>
      </c>
      <c r="C10232" t="s">
        <v>240</v>
      </c>
      <c r="D10232" t="s">
        <v>369</v>
      </c>
      <c r="E10232" t="s">
        <v>480</v>
      </c>
      <c r="F10232">
        <f>HYPERLINK("https://www.wikidata.org/wiki/Q3111856", "Q3111856")</f>
        <v>0</v>
      </c>
      <c r="G10232" t="s">
        <v>3554</v>
      </c>
      <c r="H10232" t="s">
        <v>7910</v>
      </c>
      <c r="I10232" t="s">
        <v>10879</v>
      </c>
      <c r="J10232" t="s">
        <v>14144</v>
      </c>
      <c r="K10232" t="s">
        <v>18510</v>
      </c>
      <c r="L10232">
        <f>HYPERLINK("https://www2.assemblee-nationale.fr/sycomore/fiche/(num_dept)/2744", "2744")</f>
        <v>0</v>
      </c>
      <c r="N10232">
        <f>HYPERLINK("https://www.wikidata.org/wiki/Q3266121", "Q3266121")</f>
        <v>0</v>
      </c>
      <c r="O10232" t="s">
        <v>20063</v>
      </c>
    </row>
    <row r="10233" spans="1:15">
      <c r="A10233" t="s">
        <v>108</v>
      </c>
      <c r="B10233" t="s">
        <v>149</v>
      </c>
      <c r="C10233" t="s">
        <v>240</v>
      </c>
      <c r="D10233" t="s">
        <v>369</v>
      </c>
      <c r="E10233" t="s">
        <v>480</v>
      </c>
      <c r="F10233">
        <f>HYPERLINK("https://www.wikidata.org/wiki/Q3111856", "Q3111856")</f>
        <v>0</v>
      </c>
      <c r="G10233" t="s">
        <v>3126</v>
      </c>
      <c r="H10233" t="s">
        <v>6169</v>
      </c>
      <c r="I10233" t="s">
        <v>9401</v>
      </c>
      <c r="J10233" t="s">
        <v>13748</v>
      </c>
      <c r="K10233" t="s">
        <v>18127</v>
      </c>
      <c r="L10233">
        <f>HYPERLINK("https://www2.assemblee-nationale.fr/sycomore/fiche/(num_dept)/3192", "3192")</f>
        <v>0</v>
      </c>
      <c r="M10233">
        <f>HYPERLINK("https://www.senat.fr/senateur-3eme-republique/gadaud_antoine0660r3.html", "gadaud_antoine0660r3")</f>
        <v>0</v>
      </c>
      <c r="N10233">
        <f>HYPERLINK("https://www.wikidata.org/wiki/Q2853966", "Q2853966")</f>
        <v>0</v>
      </c>
      <c r="O10233" t="s">
        <v>20056</v>
      </c>
    </row>
    <row r="10234" spans="1:15">
      <c r="A10234" t="s">
        <v>108</v>
      </c>
      <c r="B10234" t="s">
        <v>149</v>
      </c>
      <c r="C10234" t="s">
        <v>240</v>
      </c>
      <c r="D10234" t="s">
        <v>369</v>
      </c>
      <c r="E10234" t="s">
        <v>480</v>
      </c>
      <c r="F10234">
        <f>HYPERLINK("https://www.wikidata.org/wiki/Q3111856", "Q3111856")</f>
        <v>0</v>
      </c>
      <c r="G10234" t="s">
        <v>3356</v>
      </c>
      <c r="H10234" t="s">
        <v>7754</v>
      </c>
      <c r="I10234" t="s">
        <v>7911</v>
      </c>
      <c r="J10234" t="s">
        <v>13968</v>
      </c>
      <c r="K10234" t="s">
        <v>18338</v>
      </c>
      <c r="L10234">
        <f>HYPERLINK("https://www2.assemblee-nationale.fr/sycomore/fiche/(num_dept)/3746", "3746")</f>
        <v>0</v>
      </c>
      <c r="N10234">
        <f>HYPERLINK("https://www.wikidata.org/wiki/Q956253", "Q956253")</f>
        <v>0</v>
      </c>
      <c r="O10234" t="s">
        <v>20062</v>
      </c>
    </row>
    <row r="10235" spans="1:15">
      <c r="A10235" t="s">
        <v>108</v>
      </c>
      <c r="B10235" t="s">
        <v>149</v>
      </c>
      <c r="C10235" t="s">
        <v>240</v>
      </c>
      <c r="D10235" t="s">
        <v>369</v>
      </c>
      <c r="E10235" t="s">
        <v>480</v>
      </c>
      <c r="F10235">
        <f>HYPERLINK("https://www.wikidata.org/wiki/Q3111856", "Q3111856")</f>
        <v>0</v>
      </c>
      <c r="G10235" t="s">
        <v>3369</v>
      </c>
      <c r="H10235" t="s">
        <v>7766</v>
      </c>
      <c r="I10235" t="s">
        <v>9692</v>
      </c>
      <c r="J10235" t="s">
        <v>13981</v>
      </c>
      <c r="K10235" t="s">
        <v>18349</v>
      </c>
      <c r="L10235">
        <f>HYPERLINK("https://www2.assemblee-nationale.fr/sycomore/fiche/(num_dept)/5994", "5994")</f>
        <v>0</v>
      </c>
      <c r="M10235">
        <f>HYPERLINK("https://www.senat.fr/senateur-3eme-republique/poincare_raymond1024r3.html", "poincare_raymond1024r3")</f>
        <v>0</v>
      </c>
      <c r="N10235">
        <f>HYPERLINK("https://www.wikidata.org/wiki/Q191974", "Q191974")</f>
        <v>0</v>
      </c>
      <c r="O10235" t="s">
        <v>20051</v>
      </c>
    </row>
    <row r="10236" spans="1:15">
      <c r="A10236" t="s">
        <v>108</v>
      </c>
      <c r="B10236" t="s">
        <v>149</v>
      </c>
      <c r="C10236" t="s">
        <v>240</v>
      </c>
      <c r="D10236" t="s">
        <v>369</v>
      </c>
      <c r="E10236" t="s">
        <v>480</v>
      </c>
      <c r="F10236">
        <f>HYPERLINK("https://www.wikidata.org/wiki/Q3111856", "Q3111856")</f>
        <v>0</v>
      </c>
      <c r="G10236" t="s">
        <v>2671</v>
      </c>
      <c r="H10236" t="s">
        <v>7208</v>
      </c>
      <c r="I10236" t="s">
        <v>9553</v>
      </c>
      <c r="J10236" t="s">
        <v>13312</v>
      </c>
      <c r="K10236" t="s">
        <v>17712</v>
      </c>
      <c r="L10236">
        <f>HYPERLINK("https://www2.assemblee-nationale.fr/sycomore/fiche/(num_dept)/6727", "6727")</f>
        <v>0</v>
      </c>
      <c r="M10236">
        <f>HYPERLINK("https://www.senat.fr/senateur-3eme-republique/ribot_alexandre0941r3.html", "ribot_alexandre0941r3")</f>
        <v>0</v>
      </c>
      <c r="N10236">
        <f>HYPERLINK("https://www.wikidata.org/wiki/Q358387", "Q358387")</f>
        <v>0</v>
      </c>
      <c r="O10236" t="s">
        <v>20066</v>
      </c>
    </row>
    <row r="10237" spans="1:15">
      <c r="A10237" t="s">
        <v>108</v>
      </c>
      <c r="B10237" t="s">
        <v>149</v>
      </c>
      <c r="C10237" t="s">
        <v>240</v>
      </c>
      <c r="D10237" t="s">
        <v>369</v>
      </c>
      <c r="E10237" t="s">
        <v>480</v>
      </c>
      <c r="F10237">
        <f>HYPERLINK("https://www.wikidata.org/wiki/Q3111856", "Q3111856")</f>
        <v>0</v>
      </c>
      <c r="G10237" t="s">
        <v>2671</v>
      </c>
      <c r="H10237" t="s">
        <v>7208</v>
      </c>
      <c r="I10237" t="s">
        <v>9553</v>
      </c>
      <c r="J10237" t="s">
        <v>13312</v>
      </c>
      <c r="K10237" t="s">
        <v>17712</v>
      </c>
      <c r="L10237">
        <f>HYPERLINK("https://www2.assemblee-nationale.fr/sycomore/fiche/(num_dept)/6727", "6727")</f>
        <v>0</v>
      </c>
      <c r="M10237">
        <f>HYPERLINK("https://www.senat.fr/senateur-3eme-republique/ribot_alexandre0941r3.html", "ribot_alexandre0941r3")</f>
        <v>0</v>
      </c>
      <c r="N10237">
        <f>HYPERLINK("https://www.wikidata.org/wiki/Q358387", "Q358387")</f>
        <v>0</v>
      </c>
      <c r="O10237" t="s">
        <v>20114</v>
      </c>
    </row>
    <row r="10238" spans="1:15">
      <c r="A10238" t="s">
        <v>108</v>
      </c>
      <c r="B10238" t="s">
        <v>149</v>
      </c>
      <c r="C10238" t="s">
        <v>240</v>
      </c>
      <c r="D10238" t="s">
        <v>369</v>
      </c>
      <c r="E10238" t="s">
        <v>480</v>
      </c>
      <c r="F10238">
        <f>HYPERLINK("https://www.wikidata.org/wiki/Q3111856", "Q3111856")</f>
        <v>0</v>
      </c>
      <c r="G10238" t="s">
        <v>857</v>
      </c>
      <c r="H10238" t="s">
        <v>5613</v>
      </c>
      <c r="I10238" t="s">
        <v>6175</v>
      </c>
      <c r="J10238" t="s">
        <v>11603</v>
      </c>
      <c r="K10238" t="s">
        <v>16005</v>
      </c>
      <c r="L10238">
        <f>HYPERLINK("https://www2.assemblee-nationale.fr/sycomore/fiche/(num_dept)/7840", "7840")</f>
        <v>0</v>
      </c>
      <c r="N10238">
        <f>HYPERLINK("https://www.wikidata.org/wiki/Q728806", "Q728806")</f>
        <v>0</v>
      </c>
      <c r="O10238" t="s">
        <v>20113</v>
      </c>
    </row>
    <row r="10239" spans="1:15">
      <c r="A10239" t="s">
        <v>108</v>
      </c>
      <c r="B10239" t="s">
        <v>149</v>
      </c>
      <c r="C10239" t="s">
        <v>240</v>
      </c>
      <c r="D10239" t="s">
        <v>369</v>
      </c>
      <c r="E10239" t="s">
        <v>480</v>
      </c>
      <c r="F10239">
        <f>HYPERLINK("https://www.wikidata.org/wiki/Q3111856", "Q3111856")</f>
        <v>0</v>
      </c>
      <c r="G10239" t="s">
        <v>4259</v>
      </c>
      <c r="H10239" t="s">
        <v>8428</v>
      </c>
      <c r="I10239" t="s">
        <v>9437</v>
      </c>
      <c r="J10239" t="s">
        <v>13621</v>
      </c>
      <c r="K10239" t="s">
        <v>19108</v>
      </c>
      <c r="N10239">
        <f>HYPERLINK("https://www.wikidata.org/wiki/Q274898", "Q274898")</f>
        <v>0</v>
      </c>
      <c r="O10239" t="s">
        <v>20057</v>
      </c>
    </row>
    <row r="10240" spans="1:15">
      <c r="A10240" t="s">
        <v>108</v>
      </c>
      <c r="B10240" t="s">
        <v>149</v>
      </c>
      <c r="C10240" t="s">
        <v>240</v>
      </c>
      <c r="D10240" t="s">
        <v>369</v>
      </c>
      <c r="E10240" t="s">
        <v>480</v>
      </c>
      <c r="F10240">
        <f>HYPERLINK("https://www.wikidata.org/wiki/Q3111856", "Q3111856")</f>
        <v>0</v>
      </c>
      <c r="G10240" t="s">
        <v>4342</v>
      </c>
      <c r="H10240" t="s">
        <v>8493</v>
      </c>
      <c r="I10240" t="s">
        <v>10879</v>
      </c>
      <c r="J10240" t="s">
        <v>14834</v>
      </c>
      <c r="K10240" t="s">
        <v>17963</v>
      </c>
      <c r="M10240">
        <f>HYPERLINK("https://www.senat.fr/senateur-3eme-republique/trarieux_ludovic0212r3.html", "trarieux_ludovic0212r3")</f>
        <v>0</v>
      </c>
      <c r="N10240">
        <f>HYPERLINK("https://www.wikidata.org/wiki/Q1654098", "Q1654098")</f>
        <v>0</v>
      </c>
      <c r="O10240" t="s">
        <v>20064</v>
      </c>
    </row>
    <row r="10241" spans="1:15">
      <c r="A10241" t="s">
        <v>108</v>
      </c>
      <c r="B10241" t="s">
        <v>149</v>
      </c>
      <c r="C10241" t="s">
        <v>240</v>
      </c>
      <c r="D10241" t="s">
        <v>369</v>
      </c>
      <c r="E10241" t="s">
        <v>480</v>
      </c>
      <c r="F10241">
        <f>HYPERLINK("https://www.wikidata.org/wiki/Q3111856", "Q3111856")</f>
        <v>0</v>
      </c>
      <c r="G10241" t="s">
        <v>4321</v>
      </c>
      <c r="H10241" t="s">
        <v>5631</v>
      </c>
      <c r="I10241" t="s">
        <v>9421</v>
      </c>
      <c r="J10241" t="s">
        <v>14817</v>
      </c>
      <c r="K10241" t="s">
        <v>17734</v>
      </c>
      <c r="N10241">
        <f>HYPERLINK("https://www.wikidata.org/wiki/Q2861771", "Q2861771")</f>
        <v>0</v>
      </c>
      <c r="O10241" t="s">
        <v>20053</v>
      </c>
    </row>
    <row r="10242" spans="1:15">
      <c r="A10242" t="s">
        <v>108</v>
      </c>
      <c r="B10242" t="s">
        <v>149</v>
      </c>
      <c r="C10242" t="s">
        <v>240</v>
      </c>
      <c r="D10242" t="s">
        <v>369</v>
      </c>
      <c r="E10242" t="s">
        <v>480</v>
      </c>
      <c r="F10242">
        <f>HYPERLINK("https://www.wikidata.org/wiki/Q3111856", "Q3111856")</f>
        <v>0</v>
      </c>
      <c r="G10242" t="s">
        <v>3738</v>
      </c>
      <c r="H10242" t="s">
        <v>7971</v>
      </c>
      <c r="I10242" t="s">
        <v>6585</v>
      </c>
      <c r="J10242" t="s">
        <v>14313</v>
      </c>
      <c r="K10242" t="s">
        <v>17444</v>
      </c>
      <c r="N10242">
        <f>HYPERLINK("https://www.wikidata.org/wiki/Q21074190", "Q21074190")</f>
        <v>0</v>
      </c>
      <c r="O10242" t="s">
        <v>20115</v>
      </c>
    </row>
    <row r="10243" spans="1:15">
      <c r="A10243" t="s">
        <v>109</v>
      </c>
      <c r="B10243" t="s">
        <v>149</v>
      </c>
      <c r="C10243" t="s">
        <v>241</v>
      </c>
      <c r="D10243" t="s">
        <v>370</v>
      </c>
      <c r="E10243" t="s">
        <v>481</v>
      </c>
      <c r="F10243">
        <f>HYPERLINK("https://www.wikidata.org/wiki/Q3111859", "Q3111859")</f>
        <v>0</v>
      </c>
      <c r="G10243" t="s">
        <v>3373</v>
      </c>
      <c r="H10243" t="s">
        <v>7083</v>
      </c>
      <c r="I10243" t="s">
        <v>5528</v>
      </c>
      <c r="J10243" t="s">
        <v>13985</v>
      </c>
      <c r="K10243" t="s">
        <v>18353</v>
      </c>
      <c r="L10243">
        <f>HYPERLINK("https://www2.assemblee-nationale.fr/sycomore/fiche/(num_dept)/1083", "1083")</f>
        <v>0</v>
      </c>
      <c r="M10243">
        <f>HYPERLINK("https://www.senat.fr/senateur-3eme-republique/bourgeois_leon0647r3.html", "bourgeois_leon0647r3")</f>
        <v>0</v>
      </c>
      <c r="N10243">
        <f>HYPERLINK("https://www.wikidata.org/wiki/Q217706", "Q217706")</f>
        <v>0</v>
      </c>
      <c r="O10243" t="s">
        <v>20062</v>
      </c>
    </row>
    <row r="10244" spans="1:15">
      <c r="A10244" t="s">
        <v>109</v>
      </c>
      <c r="B10244" t="s">
        <v>149</v>
      </c>
      <c r="C10244" t="s">
        <v>241</v>
      </c>
      <c r="D10244" t="s">
        <v>370</v>
      </c>
      <c r="E10244" t="s">
        <v>481</v>
      </c>
      <c r="F10244">
        <f>HYPERLINK("https://www.wikidata.org/wiki/Q3111859", "Q3111859")</f>
        <v>0</v>
      </c>
      <c r="G10244" t="s">
        <v>3541</v>
      </c>
      <c r="H10244" t="s">
        <v>5337</v>
      </c>
      <c r="I10244" t="s">
        <v>9437</v>
      </c>
      <c r="J10244" t="s">
        <v>14132</v>
      </c>
      <c r="K10244" t="s">
        <v>18497</v>
      </c>
      <c r="L10244">
        <f>HYPERLINK("https://www2.assemblee-nationale.fr/sycomore/fiche/(num_dept)/1727", "1727")</f>
        <v>0</v>
      </c>
      <c r="M10244">
        <f>HYPERLINK("https://www.senat.fr/senateur-3eme-republique/chautemps_emile1313r3.html", "chautemps_emile1313r3")</f>
        <v>0</v>
      </c>
      <c r="N10244">
        <f>HYPERLINK("https://www.wikidata.org/wiki/Q3588410", "Q3588410")</f>
        <v>0</v>
      </c>
      <c r="O10244" t="s">
        <v>20053</v>
      </c>
    </row>
    <row r="10245" spans="1:15">
      <c r="A10245" t="s">
        <v>109</v>
      </c>
      <c r="B10245" t="s">
        <v>149</v>
      </c>
      <c r="C10245" t="s">
        <v>241</v>
      </c>
      <c r="D10245" t="s">
        <v>370</v>
      </c>
      <c r="E10245" t="s">
        <v>481</v>
      </c>
      <c r="F10245">
        <f>HYPERLINK("https://www.wikidata.org/wiki/Q3111859", "Q3111859")</f>
        <v>0</v>
      </c>
      <c r="G10245" t="s">
        <v>579</v>
      </c>
      <c r="H10245" t="s">
        <v>5341</v>
      </c>
      <c r="I10245" t="s">
        <v>5394</v>
      </c>
      <c r="J10245" t="s">
        <v>11330</v>
      </c>
      <c r="K10245" t="s">
        <v>15731</v>
      </c>
      <c r="L10245">
        <f>HYPERLINK("https://www2.assemblee-nationale.fr/sycomore/fiche/(num_dept)/1849", "1849")</f>
        <v>0</v>
      </c>
      <c r="M10245">
        <f>HYPERLINK("https://www.senat.fr/senateur-3eme-republique/clementel_etienne1006r3.html", "clementel_etienne1006r3")</f>
        <v>0</v>
      </c>
      <c r="N10245">
        <f>HYPERLINK("https://www.wikidata.org/wiki/Q3592114", "Q3592114")</f>
        <v>0</v>
      </c>
      <c r="O10245" t="s">
        <v>20066</v>
      </c>
    </row>
    <row r="10246" spans="1:15">
      <c r="A10246" t="s">
        <v>109</v>
      </c>
      <c r="B10246" t="s">
        <v>149</v>
      </c>
      <c r="C10246" t="s">
        <v>241</v>
      </c>
      <c r="D10246" t="s">
        <v>370</v>
      </c>
      <c r="E10246" t="s">
        <v>481</v>
      </c>
      <c r="F10246">
        <f>HYPERLINK("https://www.wikidata.org/wiki/Q3111859", "Q3111859")</f>
        <v>0</v>
      </c>
      <c r="G10246" t="s">
        <v>599</v>
      </c>
      <c r="H10246" t="s">
        <v>5360</v>
      </c>
      <c r="I10246" t="s">
        <v>9445</v>
      </c>
      <c r="J10246" t="s">
        <v>11350</v>
      </c>
      <c r="K10246" t="s">
        <v>15751</v>
      </c>
      <c r="L10246">
        <f>HYPERLINK("https://www2.assemblee-nationale.fr/sycomore/fiche/(num_dept)/2132", "2132")</f>
        <v>0</v>
      </c>
      <c r="N10246">
        <f>HYPERLINK("https://www.wikidata.org/wiki/Q2825149", "Q2825149")</f>
        <v>0</v>
      </c>
      <c r="O10246" t="s">
        <v>20056</v>
      </c>
    </row>
    <row r="10247" spans="1:15">
      <c r="A10247" t="s">
        <v>109</v>
      </c>
      <c r="B10247" t="s">
        <v>149</v>
      </c>
      <c r="C10247" t="s">
        <v>241</v>
      </c>
      <c r="D10247" t="s">
        <v>370</v>
      </c>
      <c r="E10247" t="s">
        <v>481</v>
      </c>
      <c r="F10247">
        <f>HYPERLINK("https://www.wikidata.org/wiki/Q3111859", "Q3111859")</f>
        <v>0</v>
      </c>
      <c r="G10247" t="s">
        <v>608</v>
      </c>
      <c r="H10247" t="s">
        <v>5368</v>
      </c>
      <c r="I10247" t="s">
        <v>9451</v>
      </c>
      <c r="J10247" t="s">
        <v>11359</v>
      </c>
      <c r="K10247" t="s">
        <v>15760</v>
      </c>
      <c r="L10247">
        <f>HYPERLINK("https://www2.assemblee-nationale.fr/sycomore/fiche/(num_dept)/2283", "2283")</f>
        <v>0</v>
      </c>
      <c r="N10247">
        <f>HYPERLINK("https://www.wikidata.org/wiki/Q503827", "Q503827")</f>
        <v>0</v>
      </c>
      <c r="O10247" t="s">
        <v>20057</v>
      </c>
    </row>
    <row r="10248" spans="1:15">
      <c r="A10248" t="s">
        <v>109</v>
      </c>
      <c r="B10248" t="s">
        <v>149</v>
      </c>
      <c r="C10248" t="s">
        <v>241</v>
      </c>
      <c r="D10248" t="s">
        <v>370</v>
      </c>
      <c r="E10248" t="s">
        <v>481</v>
      </c>
      <c r="F10248">
        <f>HYPERLINK("https://www.wikidata.org/wiki/Q3111859", "Q3111859")</f>
        <v>0</v>
      </c>
      <c r="G10248" t="s">
        <v>614</v>
      </c>
      <c r="H10248" t="s">
        <v>5374</v>
      </c>
      <c r="I10248" t="s">
        <v>9453</v>
      </c>
      <c r="J10248" t="s">
        <v>11365</v>
      </c>
      <c r="K10248" t="s">
        <v>15766</v>
      </c>
      <c r="L10248">
        <f>HYPERLINK("https://www2.assemblee-nationale.fr/sycomore/fiche/(num_dept)/2457", "2457")</f>
        <v>0</v>
      </c>
      <c r="N10248">
        <f>HYPERLINK("https://www.wikidata.org/wiki/Q2865038", "Q2865038")</f>
        <v>0</v>
      </c>
      <c r="O10248" t="s">
        <v>20051</v>
      </c>
    </row>
    <row r="10249" spans="1:15">
      <c r="A10249" t="s">
        <v>109</v>
      </c>
      <c r="B10249" t="s">
        <v>149</v>
      </c>
      <c r="C10249" t="s">
        <v>241</v>
      </c>
      <c r="D10249" t="s">
        <v>370</v>
      </c>
      <c r="E10249" t="s">
        <v>481</v>
      </c>
      <c r="F10249">
        <f>HYPERLINK("https://www.wikidata.org/wiki/Q3111859", "Q3111859")</f>
        <v>0</v>
      </c>
      <c r="G10249" t="s">
        <v>672</v>
      </c>
      <c r="H10249" t="s">
        <v>5431</v>
      </c>
      <c r="I10249" t="s">
        <v>9385</v>
      </c>
      <c r="J10249" t="s">
        <v>11422</v>
      </c>
      <c r="K10249" t="s">
        <v>15823</v>
      </c>
      <c r="L10249">
        <f>HYPERLINK("https://www2.assemblee-nationale.fr/sycomore/fiche/(num_dept)/3634", "3634")</f>
        <v>0</v>
      </c>
      <c r="N10249">
        <f>HYPERLINK("https://www.wikidata.org/wiki/Q2959267", "Q2959267")</f>
        <v>0</v>
      </c>
      <c r="O10249" t="s">
        <v>20060</v>
      </c>
    </row>
    <row r="10250" spans="1:15">
      <c r="A10250" t="s">
        <v>109</v>
      </c>
      <c r="B10250" t="s">
        <v>149</v>
      </c>
      <c r="C10250" t="s">
        <v>241</v>
      </c>
      <c r="D10250" t="s">
        <v>370</v>
      </c>
      <c r="E10250" t="s">
        <v>481</v>
      </c>
      <c r="F10250">
        <f>HYPERLINK("https://www.wikidata.org/wiki/Q3111859", "Q3111859")</f>
        <v>0</v>
      </c>
      <c r="G10250" t="s">
        <v>723</v>
      </c>
      <c r="H10250" t="s">
        <v>5481</v>
      </c>
      <c r="I10250" t="s">
        <v>9458</v>
      </c>
      <c r="J10250" t="s">
        <v>11472</v>
      </c>
      <c r="K10250" t="s">
        <v>15874</v>
      </c>
      <c r="L10250">
        <f>HYPERLINK("https://www2.assemblee-nationale.fr/sycomore/fiche/(num_dept)/4991", "4991")</f>
        <v>0</v>
      </c>
      <c r="N10250">
        <f>HYPERLINK("https://www.wikidata.org/wiki/Q2835305", "Q2835305")</f>
        <v>0</v>
      </c>
      <c r="O10250" t="s">
        <v>20130</v>
      </c>
    </row>
    <row r="10251" spans="1:15">
      <c r="A10251" t="s">
        <v>109</v>
      </c>
      <c r="B10251" t="s">
        <v>149</v>
      </c>
      <c r="C10251" t="s">
        <v>241</v>
      </c>
      <c r="D10251" t="s">
        <v>370</v>
      </c>
      <c r="E10251" t="s">
        <v>481</v>
      </c>
      <c r="F10251">
        <f>HYPERLINK("https://www.wikidata.org/wiki/Q3111859", "Q3111859")</f>
        <v>0</v>
      </c>
      <c r="G10251" t="s">
        <v>728</v>
      </c>
      <c r="H10251" t="s">
        <v>5486</v>
      </c>
      <c r="I10251" t="s">
        <v>7642</v>
      </c>
      <c r="J10251" t="s">
        <v>11477</v>
      </c>
      <c r="K10251" t="s">
        <v>15879</v>
      </c>
      <c r="L10251">
        <f>HYPERLINK("https://www2.assemblee-nationale.fr/sycomore/fiche/(num_dept)/5121", "5121")</f>
        <v>0</v>
      </c>
      <c r="N10251">
        <f>HYPERLINK("https://www.wikidata.org/wiki/Q3301152", "Q3301152")</f>
        <v>0</v>
      </c>
      <c r="O10251" t="s">
        <v>20065</v>
      </c>
    </row>
    <row r="10252" spans="1:15">
      <c r="A10252" t="s">
        <v>109</v>
      </c>
      <c r="B10252" t="s">
        <v>149</v>
      </c>
      <c r="C10252" t="s">
        <v>241</v>
      </c>
      <c r="D10252" t="s">
        <v>370</v>
      </c>
      <c r="E10252" t="s">
        <v>481</v>
      </c>
      <c r="F10252">
        <f>HYPERLINK("https://www.wikidata.org/wiki/Q3111859", "Q3111859")</f>
        <v>0</v>
      </c>
      <c r="G10252" t="s">
        <v>2965</v>
      </c>
      <c r="H10252" t="s">
        <v>5848</v>
      </c>
      <c r="I10252" t="s">
        <v>9388</v>
      </c>
      <c r="J10252" t="s">
        <v>13597</v>
      </c>
      <c r="K10252" t="s">
        <v>17983</v>
      </c>
      <c r="L10252">
        <f>HYPERLINK("https://www2.assemblee-nationale.fr/sycomore/fiche/(num_dept)/5873", "5873")</f>
        <v>0</v>
      </c>
      <c r="M10252">
        <f>HYPERLINK("https://www.senat.fr/senateur-3eme-republique/peytral_paul0322r3.html", "peytral_paul0322r3")</f>
        <v>0</v>
      </c>
      <c r="N10252">
        <f>HYPERLINK("https://www.wikidata.org/wiki/Q179491", "Q179491")</f>
        <v>0</v>
      </c>
      <c r="O10252" t="s">
        <v>20058</v>
      </c>
    </row>
    <row r="10253" spans="1:15">
      <c r="A10253" t="s">
        <v>109</v>
      </c>
      <c r="B10253" t="s">
        <v>149</v>
      </c>
      <c r="C10253" t="s">
        <v>241</v>
      </c>
      <c r="D10253" t="s">
        <v>370</v>
      </c>
      <c r="E10253" t="s">
        <v>481</v>
      </c>
      <c r="F10253">
        <f>HYPERLINK("https://www.wikidata.org/wiki/Q3111859", "Q3111859")</f>
        <v>0</v>
      </c>
      <c r="G10253" t="s">
        <v>805</v>
      </c>
      <c r="H10253" t="s">
        <v>5562</v>
      </c>
      <c r="I10253" t="s">
        <v>9499</v>
      </c>
      <c r="J10253" t="s">
        <v>11552</v>
      </c>
      <c r="K10253" t="s">
        <v>15956</v>
      </c>
      <c r="L10253">
        <f>HYPERLINK("https://www2.assemblee-nationale.fr/sycomore/fiche/(num_dept)/6696", "6696")</f>
        <v>0</v>
      </c>
      <c r="N10253">
        <f>HYPERLINK("https://www.wikidata.org/wiki/Q3288371", "Q3288371")</f>
        <v>0</v>
      </c>
      <c r="O10253" t="s">
        <v>20059</v>
      </c>
    </row>
    <row r="10254" spans="1:15">
      <c r="A10254" t="s">
        <v>109</v>
      </c>
      <c r="B10254" t="s">
        <v>149</v>
      </c>
      <c r="C10254" t="s">
        <v>241</v>
      </c>
      <c r="D10254" t="s">
        <v>370</v>
      </c>
      <c r="E10254" t="s">
        <v>481</v>
      </c>
      <c r="F10254">
        <f>HYPERLINK("https://www.wikidata.org/wiki/Q3111859", "Q3111859")</f>
        <v>0</v>
      </c>
      <c r="G10254" t="s">
        <v>2671</v>
      </c>
      <c r="H10254" t="s">
        <v>7208</v>
      </c>
      <c r="I10254" t="s">
        <v>9553</v>
      </c>
      <c r="J10254" t="s">
        <v>13312</v>
      </c>
      <c r="K10254" t="s">
        <v>17712</v>
      </c>
      <c r="L10254">
        <f>HYPERLINK("https://www2.assemblee-nationale.fr/sycomore/fiche/(num_dept)/6727", "6727")</f>
        <v>0</v>
      </c>
      <c r="M10254">
        <f>HYPERLINK("https://www.senat.fr/senateur-3eme-republique/ribot_alexandre0941r3.html", "ribot_alexandre0941r3")</f>
        <v>0</v>
      </c>
      <c r="N10254">
        <f>HYPERLINK("https://www.wikidata.org/wiki/Q358387", "Q358387")</f>
        <v>0</v>
      </c>
      <c r="O10254" t="s">
        <v>20064</v>
      </c>
    </row>
    <row r="10255" spans="1:15">
      <c r="A10255" t="s">
        <v>109</v>
      </c>
      <c r="B10255" t="s">
        <v>149</v>
      </c>
      <c r="C10255" t="s">
        <v>241</v>
      </c>
      <c r="D10255" t="s">
        <v>370</v>
      </c>
      <c r="E10255" t="s">
        <v>481</v>
      </c>
      <c r="F10255">
        <f>HYPERLINK("https://www.wikidata.org/wiki/Q3111859", "Q3111859")</f>
        <v>0</v>
      </c>
      <c r="G10255" t="s">
        <v>2671</v>
      </c>
      <c r="H10255" t="s">
        <v>7208</v>
      </c>
      <c r="I10255" t="s">
        <v>9553</v>
      </c>
      <c r="J10255" t="s">
        <v>13312</v>
      </c>
      <c r="K10255" t="s">
        <v>17712</v>
      </c>
      <c r="L10255">
        <f>HYPERLINK("https://www2.assemblee-nationale.fr/sycomore/fiche/(num_dept)/6727", "6727")</f>
        <v>0</v>
      </c>
      <c r="M10255">
        <f>HYPERLINK("https://www.senat.fr/senateur-3eme-republique/ribot_alexandre0941r3.html", "ribot_alexandre0941r3")</f>
        <v>0</v>
      </c>
      <c r="N10255">
        <f>HYPERLINK("https://www.wikidata.org/wiki/Q358387", "Q358387")</f>
        <v>0</v>
      </c>
      <c r="O10255" t="s">
        <v>20052</v>
      </c>
    </row>
    <row r="10256" spans="1:15">
      <c r="A10256" t="s">
        <v>109</v>
      </c>
      <c r="B10256" t="s">
        <v>149</v>
      </c>
      <c r="C10256" t="s">
        <v>241</v>
      </c>
      <c r="D10256" t="s">
        <v>370</v>
      </c>
      <c r="E10256" t="s">
        <v>481</v>
      </c>
      <c r="F10256">
        <f>HYPERLINK("https://www.wikidata.org/wiki/Q3111859", "Q3111859")</f>
        <v>0</v>
      </c>
      <c r="G10256" t="s">
        <v>839</v>
      </c>
      <c r="H10256" t="s">
        <v>5596</v>
      </c>
      <c r="I10256" t="s">
        <v>9407</v>
      </c>
      <c r="J10256" t="s">
        <v>11586</v>
      </c>
      <c r="K10256" t="s">
        <v>15988</v>
      </c>
      <c r="L10256">
        <f>HYPERLINK("https://www2.assemblee-nationale.fr/sycomore/fiche/(num_dept)/7553", "7553")</f>
        <v>0</v>
      </c>
      <c r="N10256">
        <f>HYPERLINK("https://www.wikidata.org/wiki/Q3185225", "Q3185225")</f>
        <v>0</v>
      </c>
      <c r="O10256" t="s">
        <v>20068</v>
      </c>
    </row>
    <row r="10257" spans="1:15">
      <c r="A10257" t="s">
        <v>109</v>
      </c>
      <c r="B10257" t="s">
        <v>149</v>
      </c>
      <c r="C10257" t="s">
        <v>241</v>
      </c>
      <c r="D10257" t="s">
        <v>370</v>
      </c>
      <c r="E10257" t="s">
        <v>481</v>
      </c>
      <c r="F10257">
        <f>HYPERLINK("https://www.wikidata.org/wiki/Q3111859", "Q3111859")</f>
        <v>0</v>
      </c>
      <c r="G10257" t="s">
        <v>4240</v>
      </c>
      <c r="H10257" t="s">
        <v>5387</v>
      </c>
      <c r="I10257" t="s">
        <v>6200</v>
      </c>
      <c r="J10257" t="s">
        <v>14747</v>
      </c>
      <c r="K10257" t="s">
        <v>19092</v>
      </c>
      <c r="N10257">
        <f>HYPERLINK("https://www.wikidata.org/wiki/Q3171879", "Q3171879")</f>
        <v>0</v>
      </c>
      <c r="O10257" t="s">
        <v>20063</v>
      </c>
    </row>
    <row r="10258" spans="1:15">
      <c r="A10258" t="s">
        <v>109</v>
      </c>
      <c r="B10258" t="s">
        <v>149</v>
      </c>
      <c r="C10258" t="s">
        <v>241</v>
      </c>
      <c r="D10258" t="s">
        <v>370</v>
      </c>
      <c r="E10258" t="s">
        <v>481</v>
      </c>
      <c r="F10258">
        <f>HYPERLINK("https://www.wikidata.org/wiki/Q3111859", "Q3111859")</f>
        <v>0</v>
      </c>
      <c r="G10258" t="s">
        <v>4343</v>
      </c>
      <c r="H10258" t="s">
        <v>8494</v>
      </c>
      <c r="I10258" t="s">
        <v>9474</v>
      </c>
      <c r="J10258" t="s">
        <v>14835</v>
      </c>
      <c r="K10258" t="s">
        <v>19177</v>
      </c>
      <c r="N10258">
        <f>HYPERLINK("https://www.wikidata.org/wiki/Q1638390", "Q1638390")</f>
        <v>0</v>
      </c>
      <c r="O10258" t="s">
        <v>20055</v>
      </c>
    </row>
    <row r="10259" spans="1:15">
      <c r="A10259" t="s">
        <v>110</v>
      </c>
      <c r="B10259" t="s">
        <v>149</v>
      </c>
      <c r="C10259" t="s">
        <v>242</v>
      </c>
      <c r="D10259" t="s">
        <v>371</v>
      </c>
      <c r="E10259" t="s">
        <v>482</v>
      </c>
      <c r="F10259">
        <f>HYPERLINK("https://www.wikidata.org/wiki/Q3111860", "Q3111860")</f>
        <v>0</v>
      </c>
      <c r="G10259" t="s">
        <v>875</v>
      </c>
      <c r="H10259" t="s">
        <v>5631</v>
      </c>
      <c r="I10259" t="s">
        <v>9476</v>
      </c>
      <c r="J10259" t="s">
        <v>11621</v>
      </c>
      <c r="K10259" t="s">
        <v>16023</v>
      </c>
      <c r="L10259">
        <f>HYPERLINK("https://www2.assemblee-nationale.fr/sycomore/fiche/(num_dept)/749", "749")</f>
        <v>0</v>
      </c>
      <c r="M10259">
        <f>HYPERLINK("https://www.senat.fr/senateur-3eme-republique/besnard_rene0300r3.html", "besnard_rene0300r3")</f>
        <v>0</v>
      </c>
      <c r="N10259">
        <f>HYPERLINK("https://www.wikidata.org/wiki/Q3425839", "Q3425839")</f>
        <v>0</v>
      </c>
      <c r="O10259" t="s">
        <v>20151</v>
      </c>
    </row>
    <row r="10260" spans="1:15">
      <c r="A10260" t="s">
        <v>110</v>
      </c>
      <c r="B10260" t="s">
        <v>149</v>
      </c>
      <c r="C10260" t="s">
        <v>242</v>
      </c>
      <c r="D10260" t="s">
        <v>371</v>
      </c>
      <c r="E10260" t="s">
        <v>482</v>
      </c>
      <c r="F10260">
        <f>HYPERLINK("https://www.wikidata.org/wiki/Q3111860", "Q3111860")</f>
        <v>0</v>
      </c>
      <c r="G10260" t="s">
        <v>3373</v>
      </c>
      <c r="H10260" t="s">
        <v>7083</v>
      </c>
      <c r="I10260" t="s">
        <v>5528</v>
      </c>
      <c r="J10260" t="s">
        <v>13985</v>
      </c>
      <c r="K10260" t="s">
        <v>18353</v>
      </c>
      <c r="L10260">
        <f>HYPERLINK("https://www2.assemblee-nationale.fr/sycomore/fiche/(num_dept)/1083", "1083")</f>
        <v>0</v>
      </c>
      <c r="M10260">
        <f>HYPERLINK("https://www.senat.fr/senateur-3eme-republique/bourgeois_leon0647r3.html", "bourgeois_leon0647r3")</f>
        <v>0</v>
      </c>
      <c r="N10260">
        <f>HYPERLINK("https://www.wikidata.org/wiki/Q217706", "Q217706")</f>
        <v>0</v>
      </c>
      <c r="O10260" t="s">
        <v>20055</v>
      </c>
    </row>
    <row r="10261" spans="1:15">
      <c r="A10261" t="s">
        <v>110</v>
      </c>
      <c r="B10261" t="s">
        <v>149</v>
      </c>
      <c r="C10261" t="s">
        <v>242</v>
      </c>
      <c r="D10261" t="s">
        <v>371</v>
      </c>
      <c r="E10261" t="s">
        <v>482</v>
      </c>
      <c r="F10261">
        <f>HYPERLINK("https://www.wikidata.org/wiki/Q3111860", "Q3111860")</f>
        <v>0</v>
      </c>
      <c r="G10261" t="s">
        <v>552</v>
      </c>
      <c r="H10261" t="s">
        <v>5315</v>
      </c>
      <c r="I10261" t="s">
        <v>9410</v>
      </c>
      <c r="J10261" t="s">
        <v>11303</v>
      </c>
      <c r="K10261" t="s">
        <v>15704</v>
      </c>
      <c r="L10261">
        <f>HYPERLINK("https://www2.assemblee-nationale.fr/sycomore/fiche/(num_dept)/1203", "1203")</f>
        <v>0</v>
      </c>
      <c r="M10261">
        <f>HYPERLINK("https://www.senat.fr/senateur-3eme-republique/breton_jules0441r3.html", "breton_jules0441r3")</f>
        <v>0</v>
      </c>
      <c r="N10261">
        <f>HYPERLINK("https://www.wikidata.org/wiki/Q3188368", "Q3188368")</f>
        <v>0</v>
      </c>
      <c r="O10261" t="s">
        <v>20152</v>
      </c>
    </row>
    <row r="10262" spans="1:15">
      <c r="A10262" t="s">
        <v>110</v>
      </c>
      <c r="B10262" t="s">
        <v>149</v>
      </c>
      <c r="C10262" t="s">
        <v>242</v>
      </c>
      <c r="D10262" t="s">
        <v>371</v>
      </c>
      <c r="E10262" t="s">
        <v>482</v>
      </c>
      <c r="F10262">
        <f>HYPERLINK("https://www.wikidata.org/wiki/Q3111860", "Q3111860")</f>
        <v>0</v>
      </c>
      <c r="G10262" t="s">
        <v>573</v>
      </c>
      <c r="H10262" t="s">
        <v>5336</v>
      </c>
      <c r="I10262" t="s">
        <v>9385</v>
      </c>
      <c r="J10262" t="s">
        <v>11324</v>
      </c>
      <c r="K10262" t="s">
        <v>15725</v>
      </c>
      <c r="L10262">
        <f>HYPERLINK("https://www2.assemblee-nationale.fr/sycomore/fiche/(num_dept)/1716", "1716")</f>
        <v>0</v>
      </c>
      <c r="M10262">
        <f>HYPERLINK("https://www.senat.fr/senateur-3eme-republique/chaumet_jean0195r3.html", "chaumet_jean0195r3")</f>
        <v>0</v>
      </c>
      <c r="N10262">
        <f>HYPERLINK("https://www.wikidata.org/wiki/Q2958718", "Q2958718")</f>
        <v>0</v>
      </c>
      <c r="O10262" t="s">
        <v>20053</v>
      </c>
    </row>
    <row r="10263" spans="1:15">
      <c r="A10263" t="s">
        <v>110</v>
      </c>
      <c r="B10263" t="s">
        <v>149</v>
      </c>
      <c r="C10263" t="s">
        <v>242</v>
      </c>
      <c r="D10263" t="s">
        <v>371</v>
      </c>
      <c r="E10263" t="s">
        <v>482</v>
      </c>
      <c r="F10263">
        <f>HYPERLINK("https://www.wikidata.org/wiki/Q3111860", "Q3111860")</f>
        <v>0</v>
      </c>
      <c r="G10263" t="s">
        <v>579</v>
      </c>
      <c r="H10263" t="s">
        <v>5341</v>
      </c>
      <c r="I10263" t="s">
        <v>5394</v>
      </c>
      <c r="J10263" t="s">
        <v>11330</v>
      </c>
      <c r="K10263" t="s">
        <v>15731</v>
      </c>
      <c r="L10263">
        <f>HYPERLINK("https://www2.assemblee-nationale.fr/sycomore/fiche/(num_dept)/1849", "1849")</f>
        <v>0</v>
      </c>
      <c r="M10263">
        <f>HYPERLINK("https://www.senat.fr/senateur-3eme-republique/clementel_etienne1006r3.html", "clementel_etienne1006r3")</f>
        <v>0</v>
      </c>
      <c r="N10263">
        <f>HYPERLINK("https://www.wikidata.org/wiki/Q3592114", "Q3592114")</f>
        <v>0</v>
      </c>
      <c r="O10263" t="s">
        <v>20368</v>
      </c>
    </row>
    <row r="10264" spans="1:15">
      <c r="A10264" t="s">
        <v>110</v>
      </c>
      <c r="B10264" t="s">
        <v>149</v>
      </c>
      <c r="C10264" t="s">
        <v>242</v>
      </c>
      <c r="D10264" t="s">
        <v>371</v>
      </c>
      <c r="E10264" t="s">
        <v>482</v>
      </c>
      <c r="F10264">
        <f>HYPERLINK("https://www.wikidata.org/wiki/Q3111860", "Q3111860")</f>
        <v>0</v>
      </c>
      <c r="G10264" t="s">
        <v>583</v>
      </c>
      <c r="H10264" t="s">
        <v>5345</v>
      </c>
      <c r="I10264" t="s">
        <v>9432</v>
      </c>
      <c r="J10264" t="s">
        <v>11334</v>
      </c>
      <c r="K10264" t="s">
        <v>15735</v>
      </c>
      <c r="L10264">
        <f>HYPERLINK("https://www2.assemblee-nationale.fr/sycomore/fiche/(num_dept)/1874", "1874")</f>
        <v>0</v>
      </c>
      <c r="N10264">
        <f>HYPERLINK("https://www.wikidata.org/wiki/Q3023401", "Q3023401")</f>
        <v>0</v>
      </c>
      <c r="O10264" t="s">
        <v>20369</v>
      </c>
    </row>
    <row r="10265" spans="1:15">
      <c r="A10265" t="s">
        <v>110</v>
      </c>
      <c r="B10265" t="s">
        <v>149</v>
      </c>
      <c r="C10265" t="s">
        <v>242</v>
      </c>
      <c r="D10265" t="s">
        <v>371</v>
      </c>
      <c r="E10265" t="s">
        <v>482</v>
      </c>
      <c r="F10265">
        <f>HYPERLINK("https://www.wikidata.org/wiki/Q3111860", "Q3111860")</f>
        <v>0</v>
      </c>
      <c r="G10265" t="s">
        <v>597</v>
      </c>
      <c r="H10265" t="s">
        <v>5358</v>
      </c>
      <c r="I10265" t="s">
        <v>6584</v>
      </c>
      <c r="J10265" t="s">
        <v>11348</v>
      </c>
      <c r="K10265" t="s">
        <v>15749</v>
      </c>
      <c r="L10265">
        <f>HYPERLINK("https://www2.assemblee-nationale.fr/sycomore/fiche/(num_dept)/2110", "2110")</f>
        <v>0</v>
      </c>
      <c r="N10265">
        <f>HYPERLINK("https://www.wikidata.org/wiki/Q2831073", "Q2831073")</f>
        <v>0</v>
      </c>
      <c r="O10265" t="s">
        <v>20155</v>
      </c>
    </row>
    <row r="10266" spans="1:15">
      <c r="A10266" t="s">
        <v>110</v>
      </c>
      <c r="B10266" t="s">
        <v>149</v>
      </c>
      <c r="C10266" t="s">
        <v>242</v>
      </c>
      <c r="D10266" t="s">
        <v>371</v>
      </c>
      <c r="E10266" t="s">
        <v>482</v>
      </c>
      <c r="F10266">
        <f>HYPERLINK("https://www.wikidata.org/wiki/Q3111860", "Q3111860")</f>
        <v>0</v>
      </c>
      <c r="G10266" t="s">
        <v>600</v>
      </c>
      <c r="H10266" t="s">
        <v>5361</v>
      </c>
      <c r="I10266" t="s">
        <v>9446</v>
      </c>
      <c r="J10266" t="s">
        <v>11351</v>
      </c>
      <c r="K10266" t="s">
        <v>15752</v>
      </c>
      <c r="L10266">
        <f>HYPERLINK("https://www2.assemblee-nationale.fr/sycomore/fiche/(num_dept)/2171", "2171")</f>
        <v>0</v>
      </c>
      <c r="M10266">
        <f>HYPERLINK("https://www.senat.fr/senateur-3eme-republique/david_fernand1309r3.html", "david_fernand1309r3")</f>
        <v>0</v>
      </c>
      <c r="N10266">
        <f>HYPERLINK("https://www.wikidata.org/wiki/Q3069115", "Q3069115")</f>
        <v>0</v>
      </c>
      <c r="O10266" t="s">
        <v>20056</v>
      </c>
    </row>
    <row r="10267" spans="1:15">
      <c r="A10267" t="s">
        <v>110</v>
      </c>
      <c r="B10267" t="s">
        <v>149</v>
      </c>
      <c r="C10267" t="s">
        <v>242</v>
      </c>
      <c r="D10267" t="s">
        <v>371</v>
      </c>
      <c r="E10267" t="s">
        <v>482</v>
      </c>
      <c r="F10267">
        <f>HYPERLINK("https://www.wikidata.org/wiki/Q3111860", "Q3111860")</f>
        <v>0</v>
      </c>
      <c r="G10267" t="s">
        <v>931</v>
      </c>
      <c r="H10267" t="s">
        <v>5687</v>
      </c>
      <c r="I10267" t="s">
        <v>6175</v>
      </c>
      <c r="J10267" t="s">
        <v>11673</v>
      </c>
      <c r="K10267" t="s">
        <v>16073</v>
      </c>
      <c r="L10267">
        <f>HYPERLINK("https://www2.assemblee-nationale.fr/sycomore/fiche/(num_dept)/2450", "2450")</f>
        <v>0</v>
      </c>
      <c r="N10267">
        <f>HYPERLINK("https://www.wikidata.org/wiki/Q3102597", "Q3102597")</f>
        <v>0</v>
      </c>
      <c r="O10267" t="s">
        <v>20228</v>
      </c>
    </row>
    <row r="10268" spans="1:15">
      <c r="A10268" t="s">
        <v>110</v>
      </c>
      <c r="B10268" t="s">
        <v>149</v>
      </c>
      <c r="C10268" t="s">
        <v>242</v>
      </c>
      <c r="D10268" t="s">
        <v>371</v>
      </c>
      <c r="E10268" t="s">
        <v>482</v>
      </c>
      <c r="F10268">
        <f>HYPERLINK("https://www.wikidata.org/wiki/Q3111860", "Q3111860")</f>
        <v>0</v>
      </c>
      <c r="G10268" t="s">
        <v>625</v>
      </c>
      <c r="H10268" t="s">
        <v>5385</v>
      </c>
      <c r="I10268" t="s">
        <v>9460</v>
      </c>
      <c r="J10268" t="s">
        <v>11375</v>
      </c>
      <c r="K10268" t="s">
        <v>15777</v>
      </c>
      <c r="L10268">
        <f>HYPERLINK("https://www2.assemblee-nationale.fr/sycomore/fiche/(num_dept)/2699", "2699")</f>
        <v>0</v>
      </c>
      <c r="M10268">
        <f>HYPERLINK("https://www.senat.fr/senateur-3eme-republique/dumesnil_jacques1613r3.html", "dumesnil_jacques1613r3")</f>
        <v>0</v>
      </c>
      <c r="N10268">
        <f>HYPERLINK("https://www.wikidata.org/wiki/Q3157989", "Q3157989")</f>
        <v>0</v>
      </c>
      <c r="O10268" t="s">
        <v>20147</v>
      </c>
    </row>
    <row r="10269" spans="1:15">
      <c r="A10269" t="s">
        <v>110</v>
      </c>
      <c r="B10269" t="s">
        <v>149</v>
      </c>
      <c r="C10269" t="s">
        <v>242</v>
      </c>
      <c r="D10269" t="s">
        <v>371</v>
      </c>
      <c r="E10269" t="s">
        <v>482</v>
      </c>
      <c r="F10269">
        <f>HYPERLINK("https://www.wikidata.org/wiki/Q3111860", "Q3111860")</f>
        <v>0</v>
      </c>
      <c r="G10269" t="s">
        <v>966</v>
      </c>
      <c r="H10269" t="s">
        <v>5718</v>
      </c>
      <c r="I10269" t="s">
        <v>9605</v>
      </c>
      <c r="J10269" t="s">
        <v>11705</v>
      </c>
      <c r="K10269" t="s">
        <v>16108</v>
      </c>
      <c r="L10269">
        <f>HYPERLINK("https://www2.assemblee-nationale.fr/sycomore/fiche/(num_dept)/3460", "3460")</f>
        <v>0</v>
      </c>
      <c r="M10269">
        <f>HYPERLINK("https://www.senat.fr/senateur-3eme-republique/godart_justin1138r3.html", "godart_justin1138r3")</f>
        <v>0</v>
      </c>
      <c r="N10269">
        <f>HYPERLINK("https://www.wikidata.org/wiki/Q3190446", "Q3190446")</f>
        <v>0</v>
      </c>
      <c r="O10269" t="s">
        <v>20156</v>
      </c>
    </row>
    <row r="10270" spans="1:15">
      <c r="A10270" t="s">
        <v>110</v>
      </c>
      <c r="B10270" t="s">
        <v>149</v>
      </c>
      <c r="C10270" t="s">
        <v>242</v>
      </c>
      <c r="D10270" t="s">
        <v>371</v>
      </c>
      <c r="E10270" t="s">
        <v>482</v>
      </c>
      <c r="F10270">
        <f>HYPERLINK("https://www.wikidata.org/wiki/Q3111860", "Q3111860")</f>
        <v>0</v>
      </c>
      <c r="G10270" t="s">
        <v>672</v>
      </c>
      <c r="H10270" t="s">
        <v>5431</v>
      </c>
      <c r="I10270" t="s">
        <v>9385</v>
      </c>
      <c r="J10270" t="s">
        <v>11422</v>
      </c>
      <c r="K10270" t="s">
        <v>15823</v>
      </c>
      <c r="L10270">
        <f>HYPERLINK("https://www2.assemblee-nationale.fr/sycomore/fiche/(num_dept)/3634", "3634")</f>
        <v>0</v>
      </c>
      <c r="N10270">
        <f>HYPERLINK("https://www.wikidata.org/wiki/Q2959267", "Q2959267")</f>
        <v>0</v>
      </c>
      <c r="O10270" t="s">
        <v>20370</v>
      </c>
    </row>
    <row r="10271" spans="1:15">
      <c r="A10271" t="s">
        <v>110</v>
      </c>
      <c r="B10271" t="s">
        <v>149</v>
      </c>
      <c r="C10271" t="s">
        <v>242</v>
      </c>
      <c r="D10271" t="s">
        <v>371</v>
      </c>
      <c r="E10271" t="s">
        <v>482</v>
      </c>
      <c r="F10271">
        <f>HYPERLINK("https://www.wikidata.org/wiki/Q3111860", "Q3111860")</f>
        <v>0</v>
      </c>
      <c r="G10271" t="s">
        <v>1517</v>
      </c>
      <c r="H10271" t="s">
        <v>6213</v>
      </c>
      <c r="I10271" t="s">
        <v>6495</v>
      </c>
      <c r="J10271" t="s">
        <v>12234</v>
      </c>
      <c r="K10271" t="s">
        <v>16640</v>
      </c>
      <c r="L10271">
        <f>HYPERLINK("https://www2.assemblee-nationale.fr/sycomore/fiche/(num_dept)/4823", "4823")</f>
        <v>0</v>
      </c>
      <c r="N10271">
        <f>HYPERLINK("https://www.wikidata.org/wiki/Q2788498", "Q2788498")</f>
        <v>0</v>
      </c>
      <c r="O10271" t="s">
        <v>20158</v>
      </c>
    </row>
    <row r="10272" spans="1:15">
      <c r="A10272" t="s">
        <v>110</v>
      </c>
      <c r="B10272" t="s">
        <v>149</v>
      </c>
      <c r="C10272" t="s">
        <v>242</v>
      </c>
      <c r="D10272" t="s">
        <v>371</v>
      </c>
      <c r="E10272" t="s">
        <v>482</v>
      </c>
      <c r="F10272">
        <f>HYPERLINK("https://www.wikidata.org/wiki/Q3111860", "Q3111860")</f>
        <v>0</v>
      </c>
      <c r="G10272" t="s">
        <v>717</v>
      </c>
      <c r="H10272" t="s">
        <v>5475</v>
      </c>
      <c r="I10272" t="s">
        <v>6585</v>
      </c>
      <c r="J10272" t="s">
        <v>11466</v>
      </c>
      <c r="K10272" t="s">
        <v>15868</v>
      </c>
      <c r="L10272">
        <f>HYPERLINK("https://www2.assemblee-nationale.fr/sycomore/fiche/(num_dept)/4882", "4882")</f>
        <v>0</v>
      </c>
      <c r="N10272">
        <f>HYPERLINK("https://www.wikidata.org/wiki/Q318617", "Q318617")</f>
        <v>0</v>
      </c>
      <c r="O10272" t="s">
        <v>20065</v>
      </c>
    </row>
    <row r="10273" spans="1:15">
      <c r="A10273" t="s">
        <v>110</v>
      </c>
      <c r="B10273" t="s">
        <v>149</v>
      </c>
      <c r="C10273" t="s">
        <v>242</v>
      </c>
      <c r="D10273" t="s">
        <v>371</v>
      </c>
      <c r="E10273" t="s">
        <v>482</v>
      </c>
      <c r="F10273">
        <f>HYPERLINK("https://www.wikidata.org/wiki/Q3111860", "Q3111860")</f>
        <v>0</v>
      </c>
      <c r="G10273" t="s">
        <v>721</v>
      </c>
      <c r="H10273" t="s">
        <v>5479</v>
      </c>
      <c r="I10273" t="s">
        <v>6495</v>
      </c>
      <c r="J10273" t="s">
        <v>11470</v>
      </c>
      <c r="K10273" t="s">
        <v>15872</v>
      </c>
      <c r="L10273">
        <f>HYPERLINK("https://www2.assemblee-nationale.fr/sycomore/fiche/(num_dept)/4940", "4940")</f>
        <v>0</v>
      </c>
      <c r="N10273">
        <f>HYPERLINK("https://www.wikidata.org/wiki/Q3262600", "Q3262600")</f>
        <v>0</v>
      </c>
      <c r="O10273" t="s">
        <v>20058</v>
      </c>
    </row>
    <row r="10274" spans="1:15">
      <c r="A10274" t="s">
        <v>110</v>
      </c>
      <c r="B10274" t="s">
        <v>149</v>
      </c>
      <c r="C10274" t="s">
        <v>242</v>
      </c>
      <c r="D10274" t="s">
        <v>371</v>
      </c>
      <c r="E10274" t="s">
        <v>482</v>
      </c>
      <c r="F10274">
        <f>HYPERLINK("https://www.wikidata.org/wiki/Q3111860", "Q3111860")</f>
        <v>0</v>
      </c>
      <c r="G10274" t="s">
        <v>730</v>
      </c>
      <c r="H10274" t="s">
        <v>5488</v>
      </c>
      <c r="I10274" t="s">
        <v>6584</v>
      </c>
      <c r="J10274" t="s">
        <v>11479</v>
      </c>
      <c r="K10274" t="s">
        <v>15881</v>
      </c>
      <c r="L10274">
        <f>HYPERLINK("https://www2.assemblee-nationale.fr/sycomore/fiche/(num_dept)/5228", "5228")</f>
        <v>0</v>
      </c>
      <c r="N10274">
        <f>HYPERLINK("https://www.wikidata.org/wiki/Q2831425", "Q2831425")</f>
        <v>0</v>
      </c>
      <c r="O10274" t="s">
        <v>20369</v>
      </c>
    </row>
    <row r="10275" spans="1:15">
      <c r="A10275" t="s">
        <v>110</v>
      </c>
      <c r="B10275" t="s">
        <v>149</v>
      </c>
      <c r="C10275" t="s">
        <v>242</v>
      </c>
      <c r="D10275" t="s">
        <v>371</v>
      </c>
      <c r="E10275" t="s">
        <v>482</v>
      </c>
      <c r="F10275">
        <f>HYPERLINK("https://www.wikidata.org/wiki/Q3111860", "Q3111860")</f>
        <v>0</v>
      </c>
      <c r="G10275" t="s">
        <v>730</v>
      </c>
      <c r="H10275" t="s">
        <v>5488</v>
      </c>
      <c r="I10275" t="s">
        <v>6584</v>
      </c>
      <c r="J10275" t="s">
        <v>11479</v>
      </c>
      <c r="K10275" t="s">
        <v>15881</v>
      </c>
      <c r="L10275">
        <f>HYPERLINK("https://www2.assemblee-nationale.fr/sycomore/fiche/(num_dept)/5228", "5228")</f>
        <v>0</v>
      </c>
      <c r="N10275">
        <f>HYPERLINK("https://www.wikidata.org/wiki/Q2831425", "Q2831425")</f>
        <v>0</v>
      </c>
      <c r="O10275" t="s">
        <v>20054</v>
      </c>
    </row>
    <row r="10276" spans="1:15">
      <c r="A10276" t="s">
        <v>110</v>
      </c>
      <c r="B10276" t="s">
        <v>149</v>
      </c>
      <c r="C10276" t="s">
        <v>242</v>
      </c>
      <c r="D10276" t="s">
        <v>371</v>
      </c>
      <c r="E10276" t="s">
        <v>482</v>
      </c>
      <c r="F10276">
        <f>HYPERLINK("https://www.wikidata.org/wiki/Q3111860", "Q3111860")</f>
        <v>0</v>
      </c>
      <c r="G10276" t="s">
        <v>738</v>
      </c>
      <c r="H10276" t="s">
        <v>5496</v>
      </c>
      <c r="I10276" t="s">
        <v>9503</v>
      </c>
      <c r="J10276" t="s">
        <v>11487</v>
      </c>
      <c r="K10276" t="s">
        <v>15889</v>
      </c>
      <c r="L10276">
        <f>HYPERLINK("https://www2.assemblee-nationale.fr/sycomore/fiche/(num_dept)/5394", "5394")</f>
        <v>0</v>
      </c>
      <c r="M10276">
        <f>HYPERLINK("https://www.senat.fr/senateur-3eme-republique/de_monzie_anatole0605r3.html", "de_monzie_anatole0605r3")</f>
        <v>0</v>
      </c>
      <c r="N10276">
        <f>HYPERLINK("https://www.wikidata.org/wiki/Q2845619", "Q2845619")</f>
        <v>0</v>
      </c>
      <c r="O10276" t="s">
        <v>20263</v>
      </c>
    </row>
    <row r="10277" spans="1:15">
      <c r="A10277" t="s">
        <v>110</v>
      </c>
      <c r="B10277" t="s">
        <v>149</v>
      </c>
      <c r="C10277" t="s">
        <v>242</v>
      </c>
      <c r="D10277" t="s">
        <v>371</v>
      </c>
      <c r="E10277" t="s">
        <v>482</v>
      </c>
      <c r="F10277">
        <f>HYPERLINK("https://www.wikidata.org/wiki/Q3111860", "Q3111860")</f>
        <v>0</v>
      </c>
      <c r="G10277" t="s">
        <v>1013</v>
      </c>
      <c r="H10277" t="s">
        <v>5763</v>
      </c>
      <c r="I10277" t="s">
        <v>6495</v>
      </c>
      <c r="J10277" t="s">
        <v>11750</v>
      </c>
      <c r="K10277" t="s">
        <v>16153</v>
      </c>
      <c r="L10277">
        <f>HYPERLINK("https://www2.assemblee-nationale.fr/sycomore/fiche/(num_dept)/5502", "5502")</f>
        <v>0</v>
      </c>
      <c r="N10277">
        <f>HYPERLINK("https://www.wikidata.org/wiki/Q3262775", "Q3262775")</f>
        <v>0</v>
      </c>
      <c r="O10277" t="s">
        <v>20106</v>
      </c>
    </row>
    <row r="10278" spans="1:15">
      <c r="A10278" t="s">
        <v>110</v>
      </c>
      <c r="B10278" t="s">
        <v>149</v>
      </c>
      <c r="C10278" t="s">
        <v>242</v>
      </c>
      <c r="D10278" t="s">
        <v>371</v>
      </c>
      <c r="E10278" t="s">
        <v>482</v>
      </c>
      <c r="F10278">
        <f>HYPERLINK("https://www.wikidata.org/wiki/Q3111860", "Q3111860")</f>
        <v>0</v>
      </c>
      <c r="G10278" t="s">
        <v>1017</v>
      </c>
      <c r="H10278" t="s">
        <v>5767</v>
      </c>
      <c r="I10278" t="s">
        <v>9388</v>
      </c>
      <c r="J10278" t="s">
        <v>11754</v>
      </c>
      <c r="K10278" t="s">
        <v>16157</v>
      </c>
      <c r="L10278">
        <f>HYPERLINK("https://www2.assemblee-nationale.fr/sycomore/fiche/(num_dept)/5653", "5653")</f>
        <v>0</v>
      </c>
      <c r="N10278">
        <f>HYPERLINK("https://www.wikidata.org/wiki/Q315434", "Q315434")</f>
        <v>0</v>
      </c>
      <c r="O10278" t="s">
        <v>20057</v>
      </c>
    </row>
    <row r="10279" spans="1:15">
      <c r="A10279" t="s">
        <v>110</v>
      </c>
      <c r="B10279" t="s">
        <v>149</v>
      </c>
      <c r="C10279" t="s">
        <v>242</v>
      </c>
      <c r="D10279" t="s">
        <v>371</v>
      </c>
      <c r="E10279" t="s">
        <v>482</v>
      </c>
      <c r="F10279">
        <f>HYPERLINK("https://www.wikidata.org/wiki/Q3111860", "Q3111860")</f>
        <v>0</v>
      </c>
      <c r="G10279" t="s">
        <v>768</v>
      </c>
      <c r="H10279" t="s">
        <v>5526</v>
      </c>
      <c r="I10279" t="s">
        <v>5349</v>
      </c>
      <c r="J10279" t="s">
        <v>11515</v>
      </c>
      <c r="K10279" t="s">
        <v>15919</v>
      </c>
      <c r="L10279">
        <f>HYPERLINK("https://www2.assemblee-nationale.fr/sycomore/fiche/(num_dept)/6044", "6044")</f>
        <v>0</v>
      </c>
      <c r="N10279">
        <f>HYPERLINK("https://www.wikidata.org/wiki/Q2994888", "Q2994888")</f>
        <v>0</v>
      </c>
      <c r="O10279" t="s">
        <v>20326</v>
      </c>
    </row>
    <row r="10280" spans="1:15">
      <c r="A10280" t="s">
        <v>110</v>
      </c>
      <c r="B10280" t="s">
        <v>149</v>
      </c>
      <c r="C10280" t="s">
        <v>242</v>
      </c>
      <c r="D10280" t="s">
        <v>371</v>
      </c>
      <c r="E10280" t="s">
        <v>482</v>
      </c>
      <c r="F10280">
        <f>HYPERLINK("https://www.wikidata.org/wiki/Q3111860", "Q3111860")</f>
        <v>0</v>
      </c>
      <c r="G10280" t="s">
        <v>2671</v>
      </c>
      <c r="H10280" t="s">
        <v>7208</v>
      </c>
      <c r="I10280" t="s">
        <v>9553</v>
      </c>
      <c r="J10280" t="s">
        <v>13312</v>
      </c>
      <c r="K10280" t="s">
        <v>17712</v>
      </c>
      <c r="L10280">
        <f>HYPERLINK("https://www2.assemblee-nationale.fr/sycomore/fiche/(num_dept)/6727", "6727")</f>
        <v>0</v>
      </c>
      <c r="M10280">
        <f>HYPERLINK("https://www.senat.fr/senateur-3eme-republique/ribot_alexandre0941r3.html", "ribot_alexandre0941r3")</f>
        <v>0</v>
      </c>
      <c r="N10280">
        <f>HYPERLINK("https://www.wikidata.org/wiki/Q358387", "Q358387")</f>
        <v>0</v>
      </c>
      <c r="O10280" t="s">
        <v>20062</v>
      </c>
    </row>
    <row r="10281" spans="1:15">
      <c r="A10281" t="s">
        <v>110</v>
      </c>
      <c r="B10281" t="s">
        <v>149</v>
      </c>
      <c r="C10281" t="s">
        <v>242</v>
      </c>
      <c r="D10281" t="s">
        <v>371</v>
      </c>
      <c r="E10281" t="s">
        <v>482</v>
      </c>
      <c r="F10281">
        <f>HYPERLINK("https://www.wikidata.org/wiki/Q3111860", "Q3111860")</f>
        <v>0</v>
      </c>
      <c r="G10281" t="s">
        <v>2671</v>
      </c>
      <c r="H10281" t="s">
        <v>7208</v>
      </c>
      <c r="I10281" t="s">
        <v>9553</v>
      </c>
      <c r="J10281" t="s">
        <v>13312</v>
      </c>
      <c r="K10281" t="s">
        <v>17712</v>
      </c>
      <c r="L10281">
        <f>HYPERLINK("https://www2.assemblee-nationale.fr/sycomore/fiche/(num_dept)/6727", "6727")</f>
        <v>0</v>
      </c>
      <c r="M10281">
        <f>HYPERLINK("https://www.senat.fr/senateur-3eme-republique/ribot_alexandre0941r3.html", "ribot_alexandre0941r3")</f>
        <v>0</v>
      </c>
      <c r="N10281">
        <f>HYPERLINK("https://www.wikidata.org/wiki/Q358387", "Q358387")</f>
        <v>0</v>
      </c>
      <c r="O10281" t="s">
        <v>20052</v>
      </c>
    </row>
    <row r="10282" spans="1:15">
      <c r="A10282" t="s">
        <v>110</v>
      </c>
      <c r="B10282" t="s">
        <v>149</v>
      </c>
      <c r="C10282" t="s">
        <v>242</v>
      </c>
      <c r="D10282" t="s">
        <v>371</v>
      </c>
      <c r="E10282" t="s">
        <v>482</v>
      </c>
      <c r="F10282">
        <f>HYPERLINK("https://www.wikidata.org/wiki/Q3111860", "Q3111860")</f>
        <v>0</v>
      </c>
      <c r="G10282" t="s">
        <v>814</v>
      </c>
      <c r="H10282" t="s">
        <v>5571</v>
      </c>
      <c r="I10282" t="s">
        <v>9533</v>
      </c>
      <c r="J10282" t="s">
        <v>11561</v>
      </c>
      <c r="K10282" t="s">
        <v>15965</v>
      </c>
      <c r="L10282">
        <f>HYPERLINK("https://www2.assemblee-nationale.fr/sycomore/fiche/(num_dept)/6904", "6904")</f>
        <v>0</v>
      </c>
      <c r="M10282">
        <f>HYPERLINK("https://www.senat.fr/senateur-3eme-republique/steeg_theodore1554r3.html", "steeg_theodore1554r3")</f>
        <v>0</v>
      </c>
      <c r="N10282">
        <f>HYPERLINK("https://www.wikidata.org/wiki/Q717905", "Q717905")</f>
        <v>0</v>
      </c>
      <c r="O10282" t="s">
        <v>20051</v>
      </c>
    </row>
    <row r="10283" spans="1:15">
      <c r="A10283" t="s">
        <v>110</v>
      </c>
      <c r="B10283" t="s">
        <v>149</v>
      </c>
      <c r="C10283" t="s">
        <v>242</v>
      </c>
      <c r="D10283" t="s">
        <v>371</v>
      </c>
      <c r="E10283" t="s">
        <v>482</v>
      </c>
      <c r="F10283">
        <f>HYPERLINK("https://www.wikidata.org/wiki/Q3111860", "Q3111860")</f>
        <v>0</v>
      </c>
      <c r="G10283" t="s">
        <v>814</v>
      </c>
      <c r="H10283" t="s">
        <v>5571</v>
      </c>
      <c r="I10283" t="s">
        <v>9533</v>
      </c>
      <c r="J10283" t="s">
        <v>11561</v>
      </c>
      <c r="K10283" t="s">
        <v>15965</v>
      </c>
      <c r="L10283">
        <f>HYPERLINK("https://www2.assemblee-nationale.fr/sycomore/fiche/(num_dept)/6904", "6904")</f>
        <v>0</v>
      </c>
      <c r="M10283">
        <f>HYPERLINK("https://www.senat.fr/senateur-3eme-republique/steeg_theodore1554r3.html", "steeg_theodore1554r3")</f>
        <v>0</v>
      </c>
      <c r="N10283">
        <f>HYPERLINK("https://www.wikidata.org/wiki/Q717905", "Q717905")</f>
        <v>0</v>
      </c>
      <c r="O10283" t="s">
        <v>20058</v>
      </c>
    </row>
    <row r="10284" spans="1:15">
      <c r="A10284" t="s">
        <v>110</v>
      </c>
      <c r="B10284" t="s">
        <v>149</v>
      </c>
      <c r="C10284" t="s">
        <v>242</v>
      </c>
      <c r="D10284" t="s">
        <v>371</v>
      </c>
      <c r="E10284" t="s">
        <v>482</v>
      </c>
      <c r="F10284">
        <f>HYPERLINK("https://www.wikidata.org/wiki/Q3111860", "Q3111860")</f>
        <v>0</v>
      </c>
      <c r="G10284" t="s">
        <v>1206</v>
      </c>
      <c r="H10284" t="s">
        <v>5934</v>
      </c>
      <c r="I10284" t="s">
        <v>6585</v>
      </c>
      <c r="J10284" t="s">
        <v>11939</v>
      </c>
      <c r="K10284" t="s">
        <v>16340</v>
      </c>
      <c r="L10284">
        <f>HYPERLINK("https://www2.assemblee-nationale.fr/sycomore/fiche/(num_dept)/6953", "6953")</f>
        <v>0</v>
      </c>
      <c r="N10284">
        <f>HYPERLINK("https://www.wikidata.org/wiki/Q346648", "Q346648")</f>
        <v>0</v>
      </c>
      <c r="O10284" t="s">
        <v>20371</v>
      </c>
    </row>
    <row r="10285" spans="1:15">
      <c r="A10285" t="s">
        <v>110</v>
      </c>
      <c r="B10285" t="s">
        <v>149</v>
      </c>
      <c r="C10285" t="s">
        <v>242</v>
      </c>
      <c r="D10285" t="s">
        <v>371</v>
      </c>
      <c r="E10285" t="s">
        <v>482</v>
      </c>
      <c r="F10285">
        <f>HYPERLINK("https://www.wikidata.org/wiki/Q3111860", "Q3111860")</f>
        <v>0</v>
      </c>
      <c r="G10285" t="s">
        <v>817</v>
      </c>
      <c r="H10285" t="s">
        <v>5574</v>
      </c>
      <c r="I10285" t="s">
        <v>9407</v>
      </c>
      <c r="J10285" t="s">
        <v>11564</v>
      </c>
      <c r="K10285" t="s">
        <v>15968</v>
      </c>
      <c r="L10285">
        <f>HYPERLINK("https://www2.assemblee-nationale.fr/sycomore/fiche/(num_dept)/7030", "7030")</f>
        <v>0</v>
      </c>
      <c r="N10285">
        <f>HYPERLINK("https://www.wikidata.org/wiki/Q3185677", "Q3185677")</f>
        <v>0</v>
      </c>
      <c r="O10285" t="s">
        <v>20066</v>
      </c>
    </row>
    <row r="10286" spans="1:15">
      <c r="A10286" t="s">
        <v>110</v>
      </c>
      <c r="B10286" t="s">
        <v>149</v>
      </c>
      <c r="C10286" t="s">
        <v>242</v>
      </c>
      <c r="D10286" t="s">
        <v>371</v>
      </c>
      <c r="E10286" t="s">
        <v>482</v>
      </c>
      <c r="F10286">
        <f>HYPERLINK("https://www.wikidata.org/wiki/Q3111860", "Q3111860")</f>
        <v>0</v>
      </c>
      <c r="G10286" t="s">
        <v>823</v>
      </c>
      <c r="H10286" t="s">
        <v>5580</v>
      </c>
      <c r="I10286" t="s">
        <v>7642</v>
      </c>
      <c r="J10286" t="s">
        <v>11570</v>
      </c>
      <c r="K10286" t="s">
        <v>15973</v>
      </c>
      <c r="L10286">
        <f>HYPERLINK("https://www2.assemblee-nationale.fr/sycomore/fiche/(num_dept)/7238", "7238")</f>
        <v>0</v>
      </c>
      <c r="M10286">
        <f>HYPERLINK("https://www.senat.fr/senateur-3eme-republique/viollette_maurice0773r3.html", "viollette_maurice0773r3")</f>
        <v>0</v>
      </c>
      <c r="N10286">
        <f>HYPERLINK("https://www.wikidata.org/wiki/Q3301513", "Q3301513")</f>
        <v>0</v>
      </c>
      <c r="O10286" t="s">
        <v>20372</v>
      </c>
    </row>
    <row r="10287" spans="1:15">
      <c r="A10287" t="s">
        <v>110</v>
      </c>
      <c r="B10287" t="s">
        <v>149</v>
      </c>
      <c r="C10287" t="s">
        <v>242</v>
      </c>
      <c r="D10287" t="s">
        <v>371</v>
      </c>
      <c r="E10287" t="s">
        <v>482</v>
      </c>
      <c r="F10287">
        <f>HYPERLINK("https://www.wikidata.org/wiki/Q3111860", "Q3111860")</f>
        <v>0</v>
      </c>
      <c r="G10287" t="s">
        <v>1067</v>
      </c>
      <c r="H10287" t="s">
        <v>5812</v>
      </c>
      <c r="I10287" t="s">
        <v>9488</v>
      </c>
      <c r="J10287" t="s">
        <v>11804</v>
      </c>
      <c r="K10287" t="s">
        <v>16204</v>
      </c>
      <c r="L10287">
        <f>HYPERLINK("https://www2.assemblee-nationale.fr/sycomore/fiche/(num_dept)/7361", "7361")</f>
        <v>0</v>
      </c>
      <c r="M10287">
        <f>HYPERLINK("https://www.senat.fr/senateur-3eme-republique/daniel_vincent_charles1382r3.html", "daniel_vincent_charles1382r3")</f>
        <v>0</v>
      </c>
      <c r="N10287">
        <f>HYPERLINK("https://www.wikidata.org/wiki/Q3014792", "Q3014792")</f>
        <v>0</v>
      </c>
      <c r="O10287" t="s">
        <v>20373</v>
      </c>
    </row>
    <row r="10288" spans="1:15">
      <c r="A10288" t="s">
        <v>110</v>
      </c>
      <c r="B10288" t="s">
        <v>149</v>
      </c>
      <c r="C10288" t="s">
        <v>242</v>
      </c>
      <c r="D10288" t="s">
        <v>371</v>
      </c>
      <c r="E10288" t="s">
        <v>482</v>
      </c>
      <c r="F10288">
        <f>HYPERLINK("https://www.wikidata.org/wiki/Q3111860", "Q3111860")</f>
        <v>0</v>
      </c>
      <c r="G10288" t="s">
        <v>827</v>
      </c>
      <c r="H10288" t="s">
        <v>5584</v>
      </c>
      <c r="I10288" t="s">
        <v>9476</v>
      </c>
      <c r="J10288" t="s">
        <v>11574</v>
      </c>
      <c r="K10288" t="s">
        <v>15976</v>
      </c>
      <c r="L10288">
        <f>HYPERLINK("https://www2.assemblee-nationale.fr/sycomore/fiche/(num_dept)/7368", "7368")</f>
        <v>0</v>
      </c>
      <c r="M10288">
        <f>HYPERLINK("https://www.senat.fr/senateur-3eme-republique/viviani_rene0627r3.html", "viviani_rene0627r3")</f>
        <v>0</v>
      </c>
      <c r="N10288">
        <f>HYPERLINK("https://www.wikidata.org/wiki/Q431074", "Q431074")</f>
        <v>0</v>
      </c>
      <c r="O10288" t="s">
        <v>20064</v>
      </c>
    </row>
    <row r="10289" spans="1:15">
      <c r="A10289" t="s">
        <v>110</v>
      </c>
      <c r="B10289" t="s">
        <v>149</v>
      </c>
      <c r="C10289" t="s">
        <v>242</v>
      </c>
      <c r="D10289" t="s">
        <v>371</v>
      </c>
      <c r="E10289" t="s">
        <v>482</v>
      </c>
      <c r="F10289">
        <f>HYPERLINK("https://www.wikidata.org/wiki/Q3111860", "Q3111860")</f>
        <v>0</v>
      </c>
      <c r="G10289" t="s">
        <v>4249</v>
      </c>
      <c r="H10289" t="s">
        <v>6367</v>
      </c>
      <c r="I10289" t="s">
        <v>6584</v>
      </c>
      <c r="J10289" t="s">
        <v>11799</v>
      </c>
      <c r="K10289" t="s">
        <v>16199</v>
      </c>
      <c r="N10289">
        <f>HYPERLINK("https://www.wikidata.org/wiki/Q363255", "Q363255")</f>
        <v>0</v>
      </c>
      <c r="O10289" t="s">
        <v>20162</v>
      </c>
    </row>
    <row r="10290" spans="1:15">
      <c r="A10290" t="s">
        <v>110</v>
      </c>
      <c r="B10290" t="s">
        <v>149</v>
      </c>
      <c r="C10290" t="s">
        <v>242</v>
      </c>
      <c r="D10290" t="s">
        <v>371</v>
      </c>
      <c r="E10290" t="s">
        <v>482</v>
      </c>
      <c r="F10290">
        <f>HYPERLINK("https://www.wikidata.org/wiki/Q3111860", "Q3111860")</f>
        <v>0</v>
      </c>
      <c r="G10290" t="s">
        <v>4248</v>
      </c>
      <c r="H10290" t="s">
        <v>7371</v>
      </c>
      <c r="I10290" t="s">
        <v>9455</v>
      </c>
      <c r="J10290" t="s">
        <v>14753</v>
      </c>
      <c r="K10290" t="s">
        <v>19100</v>
      </c>
      <c r="N10290">
        <f>HYPERLINK("https://www.wikidata.org/wiki/Q932986", "Q932986")</f>
        <v>0</v>
      </c>
      <c r="O10290" t="s">
        <v>20053</v>
      </c>
    </row>
    <row r="10291" spans="1:15">
      <c r="A10291" t="s">
        <v>110</v>
      </c>
      <c r="B10291" t="s">
        <v>149</v>
      </c>
      <c r="C10291" t="s">
        <v>242</v>
      </c>
      <c r="D10291" t="s">
        <v>371</v>
      </c>
      <c r="E10291" t="s">
        <v>482</v>
      </c>
      <c r="F10291">
        <f>HYPERLINK("https://www.wikidata.org/wiki/Q3111860", "Q3111860")</f>
        <v>0</v>
      </c>
      <c r="G10291" t="s">
        <v>4251</v>
      </c>
      <c r="H10291" t="s">
        <v>8421</v>
      </c>
      <c r="I10291" t="s">
        <v>11174</v>
      </c>
      <c r="J10291" t="s">
        <v>14755</v>
      </c>
      <c r="K10291" t="s">
        <v>19102</v>
      </c>
      <c r="M10291">
        <f>HYPERLINK("https://www.senat.fr/senateur-3eme-republique/claveille_albert0663r3.html", "claveille_albert0663r3")</f>
        <v>0</v>
      </c>
      <c r="N10291">
        <f>HYPERLINK("https://www.wikidata.org/wiki/Q2830877", "Q2830877")</f>
        <v>0</v>
      </c>
      <c r="O10291" t="s">
        <v>20163</v>
      </c>
    </row>
    <row r="10292" spans="1:15">
      <c r="A10292" t="s">
        <v>111</v>
      </c>
      <c r="B10292" t="s">
        <v>149</v>
      </c>
      <c r="C10292" t="s">
        <v>243</v>
      </c>
      <c r="D10292" t="s">
        <v>372</v>
      </c>
      <c r="E10292" t="s">
        <v>483</v>
      </c>
      <c r="F10292">
        <f>HYPERLINK("https://www.wikidata.org/wiki/Q3112275", "Q3112275")</f>
        <v>0</v>
      </c>
      <c r="G10292" t="s">
        <v>3230</v>
      </c>
      <c r="H10292" t="s">
        <v>7656</v>
      </c>
      <c r="I10292" t="s">
        <v>9388</v>
      </c>
      <c r="J10292" t="s">
        <v>13849</v>
      </c>
      <c r="K10292" t="s">
        <v>18220</v>
      </c>
      <c r="L10292">
        <f>HYPERLINK("https://www2.assemblee-nationale.fr/sycomore/fiche/(num_dept)/381", "381")</f>
        <v>0</v>
      </c>
      <c r="N10292">
        <f>HYPERLINK("https://www.wikidata.org/wiki/Q18384840", "Q18384840")</f>
        <v>0</v>
      </c>
      <c r="O10292" t="s">
        <v>20056</v>
      </c>
    </row>
    <row r="10293" spans="1:15">
      <c r="A10293" t="s">
        <v>111</v>
      </c>
      <c r="B10293" t="s">
        <v>149</v>
      </c>
      <c r="C10293" t="s">
        <v>243</v>
      </c>
      <c r="D10293" t="s">
        <v>372</v>
      </c>
      <c r="E10293" t="s">
        <v>483</v>
      </c>
      <c r="F10293">
        <f>HYPERLINK("https://www.wikidata.org/wiki/Q3112275", "Q3112275")</f>
        <v>0</v>
      </c>
      <c r="G10293" t="s">
        <v>2548</v>
      </c>
      <c r="H10293" t="s">
        <v>7107</v>
      </c>
      <c r="I10293" t="s">
        <v>9455</v>
      </c>
      <c r="J10293" t="s">
        <v>13192</v>
      </c>
      <c r="K10293" t="s">
        <v>17597</v>
      </c>
      <c r="L10293">
        <f>HYPERLINK("https://www2.assemblee-nationale.fr/sycomore/fiche/(num_dept)/2165", "2165")</f>
        <v>0</v>
      </c>
      <c r="M10293">
        <f>HYPERLINK("https://www.senat.fr/senateur-3eme-republique/dautresme_lucien1592r3.html", "dautresme_lucien1592r3")</f>
        <v>0</v>
      </c>
      <c r="N10293">
        <f>HYPERLINK("https://www.wikidata.org/wiki/Q3265453", "Q3265453")</f>
        <v>0</v>
      </c>
      <c r="O10293" t="s">
        <v>20135</v>
      </c>
    </row>
    <row r="10294" spans="1:15">
      <c r="A10294" t="s">
        <v>111</v>
      </c>
      <c r="B10294" t="s">
        <v>149</v>
      </c>
      <c r="C10294" t="s">
        <v>243</v>
      </c>
      <c r="D10294" t="s">
        <v>372</v>
      </c>
      <c r="E10294" t="s">
        <v>483</v>
      </c>
      <c r="F10294">
        <f>HYPERLINK("https://www.wikidata.org/wiki/Q3112275", "Q3112275")</f>
        <v>0</v>
      </c>
      <c r="G10294" t="s">
        <v>635</v>
      </c>
      <c r="H10294" t="s">
        <v>5394</v>
      </c>
      <c r="I10294" t="s">
        <v>9465</v>
      </c>
      <c r="J10294" t="s">
        <v>11385</v>
      </c>
      <c r="K10294" t="s">
        <v>15787</v>
      </c>
      <c r="L10294">
        <f>HYPERLINK("https://www2.assemblee-nationale.fr/sycomore/fiche/(num_dept)/2861", "2861")</f>
        <v>0</v>
      </c>
      <c r="M10294">
        <f>HYPERLINK("https://www.senat.fr/senateur-3eme-republique/etienne_eugene1824r3.html", "etienne_eugene1824r3")</f>
        <v>0</v>
      </c>
      <c r="N10294">
        <f>HYPERLINK("https://www.wikidata.org/wiki/Q2612305", "Q2612305")</f>
        <v>0</v>
      </c>
      <c r="O10294" t="s">
        <v>20184</v>
      </c>
    </row>
    <row r="10295" spans="1:15">
      <c r="A10295" t="s">
        <v>111</v>
      </c>
      <c r="B10295" t="s">
        <v>149</v>
      </c>
      <c r="C10295" t="s">
        <v>243</v>
      </c>
      <c r="D10295" t="s">
        <v>372</v>
      </c>
      <c r="E10295" t="s">
        <v>483</v>
      </c>
      <c r="F10295">
        <f>HYPERLINK("https://www.wikidata.org/wiki/Q3112275", "Q3112275")</f>
        <v>0</v>
      </c>
      <c r="G10295" t="s">
        <v>2570</v>
      </c>
      <c r="H10295" t="s">
        <v>6156</v>
      </c>
      <c r="I10295" t="s">
        <v>7790</v>
      </c>
      <c r="J10295" t="s">
        <v>13214</v>
      </c>
      <c r="K10295" t="s">
        <v>17617</v>
      </c>
      <c r="L10295">
        <f>HYPERLINK("https://www2.assemblee-nationale.fr/sycomore/fiche/(num_dept)/2901", "2901")</f>
        <v>0</v>
      </c>
      <c r="M10295">
        <f>HYPERLINK("https://www.senat.fr/senateur-3eme-republique/fallieres_armand0754r3.html", "fallieres_armand0754r3")</f>
        <v>0</v>
      </c>
      <c r="N10295">
        <f>HYPERLINK("https://www.wikidata.org/wiki/Q296673", "Q296673")</f>
        <v>0</v>
      </c>
      <c r="O10295" t="s">
        <v>20113</v>
      </c>
    </row>
    <row r="10296" spans="1:15">
      <c r="A10296" t="s">
        <v>111</v>
      </c>
      <c r="B10296" t="s">
        <v>149</v>
      </c>
      <c r="C10296" t="s">
        <v>243</v>
      </c>
      <c r="D10296" t="s">
        <v>372</v>
      </c>
      <c r="E10296" t="s">
        <v>483</v>
      </c>
      <c r="F10296">
        <f>HYPERLINK("https://www.wikidata.org/wiki/Q3112275", "Q3112275")</f>
        <v>0</v>
      </c>
      <c r="G10296" t="s">
        <v>2570</v>
      </c>
      <c r="H10296" t="s">
        <v>6156</v>
      </c>
      <c r="I10296" t="s">
        <v>7790</v>
      </c>
      <c r="J10296" t="s">
        <v>13214</v>
      </c>
      <c r="K10296" t="s">
        <v>17617</v>
      </c>
      <c r="L10296">
        <f>HYPERLINK("https://www2.assemblee-nationale.fr/sycomore/fiche/(num_dept)/2901", "2901")</f>
        <v>0</v>
      </c>
      <c r="M10296">
        <f>HYPERLINK("https://www.senat.fr/senateur-3eme-republique/fallieres_armand0754r3.html", "fallieres_armand0754r3")</f>
        <v>0</v>
      </c>
      <c r="N10296">
        <f>HYPERLINK("https://www.wikidata.org/wiki/Q296673", "Q296673")</f>
        <v>0</v>
      </c>
      <c r="O10296" t="s">
        <v>20064</v>
      </c>
    </row>
    <row r="10297" spans="1:15">
      <c r="A10297" t="s">
        <v>111</v>
      </c>
      <c r="B10297" t="s">
        <v>149</v>
      </c>
      <c r="C10297" t="s">
        <v>243</v>
      </c>
      <c r="D10297" t="s">
        <v>372</v>
      </c>
      <c r="E10297" t="s">
        <v>483</v>
      </c>
      <c r="F10297">
        <f>HYPERLINK("https://www.wikidata.org/wiki/Q3112275", "Q3112275")</f>
        <v>0</v>
      </c>
      <c r="G10297" t="s">
        <v>3375</v>
      </c>
      <c r="H10297" t="s">
        <v>7768</v>
      </c>
      <c r="I10297" t="s">
        <v>9437</v>
      </c>
      <c r="J10297" t="s">
        <v>13748</v>
      </c>
      <c r="K10297" t="s">
        <v>18355</v>
      </c>
      <c r="L10297">
        <f>HYPERLINK("https://www2.assemblee-nationale.fr/sycomore/fiche/(num_dept)/3038", "3038")</f>
        <v>0</v>
      </c>
      <c r="N10297">
        <f>HYPERLINK("https://www.wikidata.org/wiki/Q2602696", "Q2602696")</f>
        <v>0</v>
      </c>
      <c r="O10297" t="s">
        <v>20062</v>
      </c>
    </row>
    <row r="10298" spans="1:15">
      <c r="A10298" t="s">
        <v>111</v>
      </c>
      <c r="B10298" t="s">
        <v>149</v>
      </c>
      <c r="C10298" t="s">
        <v>243</v>
      </c>
      <c r="D10298" t="s">
        <v>372</v>
      </c>
      <c r="E10298" t="s">
        <v>483</v>
      </c>
      <c r="F10298">
        <f>HYPERLINK("https://www.wikidata.org/wiki/Q3112275", "Q3112275")</f>
        <v>0</v>
      </c>
      <c r="G10298" t="s">
        <v>2650</v>
      </c>
      <c r="H10298" t="s">
        <v>7191</v>
      </c>
      <c r="I10298" t="s">
        <v>7642</v>
      </c>
      <c r="J10298" t="s">
        <v>13292</v>
      </c>
      <c r="K10298" t="s">
        <v>17691</v>
      </c>
      <c r="L10298">
        <f>HYPERLINK("https://www2.assemblee-nationale.fr/sycomore/fiche/(num_dept)/6152", "6152")</f>
        <v>0</v>
      </c>
      <c r="M10298">
        <f>HYPERLINK("https://www.senat.fr/senateur-3eme-republique/rouvier_maurice0115r3.html", "rouvier_maurice0115r3")</f>
        <v>0</v>
      </c>
      <c r="N10298">
        <f>HYPERLINK("https://www.wikidata.org/wiki/Q471293", "Q471293")</f>
        <v>0</v>
      </c>
      <c r="O10298" t="s">
        <v>20066</v>
      </c>
    </row>
    <row r="10299" spans="1:15">
      <c r="A10299" t="s">
        <v>111</v>
      </c>
      <c r="B10299" t="s">
        <v>149</v>
      </c>
      <c r="C10299" t="s">
        <v>243</v>
      </c>
      <c r="D10299" t="s">
        <v>372</v>
      </c>
      <c r="E10299" t="s">
        <v>483</v>
      </c>
      <c r="F10299">
        <f>HYPERLINK("https://www.wikidata.org/wiki/Q3112275", "Q3112275")</f>
        <v>0</v>
      </c>
      <c r="G10299" t="s">
        <v>2650</v>
      </c>
      <c r="H10299" t="s">
        <v>7191</v>
      </c>
      <c r="I10299" t="s">
        <v>7642</v>
      </c>
      <c r="J10299" t="s">
        <v>13292</v>
      </c>
      <c r="K10299" t="s">
        <v>17691</v>
      </c>
      <c r="L10299">
        <f>HYPERLINK("https://www2.assemblee-nationale.fr/sycomore/fiche/(num_dept)/6152", "6152")</f>
        <v>0</v>
      </c>
      <c r="M10299">
        <f>HYPERLINK("https://www.senat.fr/senateur-3eme-republique/rouvier_maurice0115r3.html", "rouvier_maurice0115r3")</f>
        <v>0</v>
      </c>
      <c r="N10299">
        <f>HYPERLINK("https://www.wikidata.org/wiki/Q471293", "Q471293")</f>
        <v>0</v>
      </c>
      <c r="O10299" t="s">
        <v>20114</v>
      </c>
    </row>
    <row r="10300" spans="1:15">
      <c r="A10300" t="s">
        <v>111</v>
      </c>
      <c r="B10300" t="s">
        <v>149</v>
      </c>
      <c r="C10300" t="s">
        <v>243</v>
      </c>
      <c r="D10300" t="s">
        <v>372</v>
      </c>
      <c r="E10300" t="s">
        <v>483</v>
      </c>
      <c r="F10300">
        <f>HYPERLINK("https://www.wikidata.org/wiki/Q3112275", "Q3112275")</f>
        <v>0</v>
      </c>
      <c r="G10300" t="s">
        <v>2681</v>
      </c>
      <c r="H10300" t="s">
        <v>7215</v>
      </c>
      <c r="I10300" t="s">
        <v>9465</v>
      </c>
      <c r="J10300" t="s">
        <v>13322</v>
      </c>
      <c r="K10300" t="s">
        <v>17722</v>
      </c>
      <c r="L10300">
        <f>HYPERLINK("https://www2.assemblee-nationale.fr/sycomore/fiche/(num_dept)/6901", "6901")</f>
        <v>0</v>
      </c>
      <c r="M10300">
        <f>HYPERLINK("https://www.senat.fr/senateur-3eme-republique/spuller_eugene0548r3.html", "spuller_eugene0548r3")</f>
        <v>0</v>
      </c>
      <c r="N10300">
        <f>HYPERLINK("https://www.wikidata.org/wiki/Q3060180", "Q3060180")</f>
        <v>0</v>
      </c>
      <c r="O10300" t="s">
        <v>20191</v>
      </c>
    </row>
    <row r="10301" spans="1:15">
      <c r="A10301" t="s">
        <v>111</v>
      </c>
      <c r="B10301" t="s">
        <v>149</v>
      </c>
      <c r="C10301" t="s">
        <v>243</v>
      </c>
      <c r="D10301" t="s">
        <v>372</v>
      </c>
      <c r="E10301" t="s">
        <v>483</v>
      </c>
      <c r="F10301">
        <f>HYPERLINK("https://www.wikidata.org/wiki/Q3112275", "Q3112275")</f>
        <v>0</v>
      </c>
      <c r="G10301" t="s">
        <v>2738</v>
      </c>
      <c r="H10301" t="s">
        <v>7257</v>
      </c>
      <c r="I10301" t="s">
        <v>10395</v>
      </c>
      <c r="J10301" t="s">
        <v>13379</v>
      </c>
      <c r="K10301" t="s">
        <v>17777</v>
      </c>
      <c r="L10301">
        <f>HYPERLINK("https://www2.assemblee-nationale.fr/sycomore/fiche/(num_dept)/7962", "7962")</f>
        <v>0</v>
      </c>
      <c r="N10301">
        <f>HYPERLINK("https://www.wikidata.org/wiki/Q3480822", "Q3480822")</f>
        <v>0</v>
      </c>
      <c r="O10301" t="s">
        <v>20063</v>
      </c>
    </row>
    <row r="10302" spans="1:15">
      <c r="A10302" t="s">
        <v>111</v>
      </c>
      <c r="B10302" t="s">
        <v>149</v>
      </c>
      <c r="C10302" t="s">
        <v>243</v>
      </c>
      <c r="D10302" t="s">
        <v>372</v>
      </c>
      <c r="E10302" t="s">
        <v>483</v>
      </c>
      <c r="F10302">
        <f>HYPERLINK("https://www.wikidata.org/wiki/Q3112275", "Q3112275")</f>
        <v>0</v>
      </c>
      <c r="G10302" t="s">
        <v>4344</v>
      </c>
      <c r="H10302" t="s">
        <v>8495</v>
      </c>
      <c r="I10302" t="s">
        <v>9451</v>
      </c>
      <c r="J10302" t="s">
        <v>14836</v>
      </c>
      <c r="K10302" t="s">
        <v>19178</v>
      </c>
      <c r="N10302">
        <f>HYPERLINK("https://www.wikidata.org/wiki/Q3526656", "Q3526656")</f>
        <v>0</v>
      </c>
      <c r="O10302" t="s">
        <v>20057</v>
      </c>
    </row>
    <row r="10303" spans="1:15">
      <c r="A10303" t="s">
        <v>111</v>
      </c>
      <c r="B10303" t="s">
        <v>149</v>
      </c>
      <c r="C10303" t="s">
        <v>243</v>
      </c>
      <c r="D10303" t="s">
        <v>372</v>
      </c>
      <c r="E10303" t="s">
        <v>483</v>
      </c>
      <c r="F10303">
        <f>HYPERLINK("https://www.wikidata.org/wiki/Q3112275", "Q3112275")</f>
        <v>0</v>
      </c>
      <c r="G10303" t="s">
        <v>4345</v>
      </c>
      <c r="H10303" t="s">
        <v>8496</v>
      </c>
      <c r="I10303" t="s">
        <v>9385</v>
      </c>
      <c r="J10303" t="s">
        <v>14837</v>
      </c>
      <c r="K10303" t="s">
        <v>19179</v>
      </c>
      <c r="M10303">
        <f>HYPERLINK("https://www.senat.fr/senateur-3eme-republique/mazeau_charles0538r3.html", "mazeau_charles0538r3")</f>
        <v>0</v>
      </c>
      <c r="N10303">
        <f>HYPERLINK("https://www.wikidata.org/wiki/Q928664", "Q928664")</f>
        <v>0</v>
      </c>
      <c r="O10303" t="s">
        <v>20064</v>
      </c>
    </row>
    <row r="10304" spans="1:15">
      <c r="A10304" t="s">
        <v>111</v>
      </c>
      <c r="B10304" t="s">
        <v>149</v>
      </c>
      <c r="C10304" t="s">
        <v>243</v>
      </c>
      <c r="D10304" t="s">
        <v>372</v>
      </c>
      <c r="E10304" t="s">
        <v>483</v>
      </c>
      <c r="F10304">
        <f>HYPERLINK("https://www.wikidata.org/wiki/Q3112275", "Q3112275")</f>
        <v>0</v>
      </c>
      <c r="G10304" t="s">
        <v>4292</v>
      </c>
      <c r="H10304" t="s">
        <v>8451</v>
      </c>
      <c r="I10304" t="s">
        <v>9728</v>
      </c>
      <c r="J10304" t="s">
        <v>14791</v>
      </c>
      <c r="K10304" t="s">
        <v>19135</v>
      </c>
      <c r="M10304">
        <f>HYPERLINK("https://www.senat.fr/senateur-3eme-republique/barbey_edouard1693r3.html", "barbey_edouard1693r3")</f>
        <v>0</v>
      </c>
      <c r="N10304">
        <f>HYPERLINK("https://www.wikidata.org/wiki/Q1857743", "Q1857743")</f>
        <v>0</v>
      </c>
      <c r="O10304" t="s">
        <v>20185</v>
      </c>
    </row>
    <row r="10305" spans="1:15">
      <c r="A10305" t="s">
        <v>112</v>
      </c>
      <c r="B10305" t="s">
        <v>149</v>
      </c>
      <c r="C10305" t="s">
        <v>244</v>
      </c>
      <c r="D10305" t="s">
        <v>373</v>
      </c>
      <c r="E10305" t="s">
        <v>374</v>
      </c>
      <c r="F10305">
        <f>HYPERLINK("https://www.wikidata.org/wiki/Q1720263", "Q1720263")</f>
        <v>0</v>
      </c>
      <c r="G10305" t="s">
        <v>3678</v>
      </c>
      <c r="H10305" t="s">
        <v>5286</v>
      </c>
      <c r="I10305" t="s">
        <v>9553</v>
      </c>
      <c r="J10305" t="s">
        <v>14255</v>
      </c>
      <c r="K10305" t="s">
        <v>18616</v>
      </c>
      <c r="L10305">
        <f>HYPERLINK("https://www2.assemblee-nationale.fr/sycomore/fiche/(num_dept)/647", "647")</f>
        <v>0</v>
      </c>
      <c r="M10305">
        <f>HYPERLINK("https://www.senat.fr/senateur-3eme-republique/berard_alexandre0019r3.html", "berard_alexandre0019r3")</f>
        <v>0</v>
      </c>
      <c r="N10305">
        <f>HYPERLINK("https://www.wikidata.org/wiki/Q2833511", "Q2833511")</f>
        <v>0</v>
      </c>
      <c r="O10305" t="s">
        <v>20187</v>
      </c>
    </row>
    <row r="10306" spans="1:15">
      <c r="A10306" t="s">
        <v>112</v>
      </c>
      <c r="B10306" t="s">
        <v>149</v>
      </c>
      <c r="C10306" t="s">
        <v>244</v>
      </c>
      <c r="D10306" t="s">
        <v>373</v>
      </c>
      <c r="E10306" t="s">
        <v>374</v>
      </c>
      <c r="F10306">
        <f>HYPERLINK("https://www.wikidata.org/wiki/Q1720263", "Q1720263")</f>
        <v>0</v>
      </c>
      <c r="G10306" t="s">
        <v>525</v>
      </c>
      <c r="H10306" t="s">
        <v>5289</v>
      </c>
      <c r="I10306" t="s">
        <v>7642</v>
      </c>
      <c r="J10306" t="s">
        <v>11277</v>
      </c>
      <c r="K10306" t="s">
        <v>15677</v>
      </c>
      <c r="L10306">
        <f>HYPERLINK("https://www2.assemblee-nationale.fr/sycomore/fiche/(num_dept)/720", "720")</f>
        <v>0</v>
      </c>
      <c r="N10306">
        <f>HYPERLINK("https://www.wikidata.org/wiki/Q3300415", "Q3300415")</f>
        <v>0</v>
      </c>
      <c r="O10306" t="s">
        <v>20057</v>
      </c>
    </row>
    <row r="10307" spans="1:15">
      <c r="A10307" t="s">
        <v>112</v>
      </c>
      <c r="B10307" t="s">
        <v>149</v>
      </c>
      <c r="C10307" t="s">
        <v>244</v>
      </c>
      <c r="D10307" t="s">
        <v>373</v>
      </c>
      <c r="E10307" t="s">
        <v>374</v>
      </c>
      <c r="F10307">
        <f>HYPERLINK("https://www.wikidata.org/wiki/Q1720263", "Q1720263")</f>
        <v>0</v>
      </c>
      <c r="G10307" t="s">
        <v>3872</v>
      </c>
      <c r="H10307" t="s">
        <v>8140</v>
      </c>
      <c r="I10307" t="s">
        <v>6200</v>
      </c>
      <c r="J10307" t="s">
        <v>14431</v>
      </c>
      <c r="K10307" t="s">
        <v>18783</v>
      </c>
      <c r="L10307">
        <f>HYPERLINK("https://www2.assemblee-nationale.fr/sycomore/fiche/(num_dept)/790", "790")</f>
        <v>0</v>
      </c>
      <c r="M10307">
        <f>HYPERLINK("https://www.senat.fr/senateur-3eme-republique/bienvenu_martin_jean_baptiste1840r3.html", "bienvenu_martin_jean_baptiste1840r3")</f>
        <v>0</v>
      </c>
      <c r="N10307">
        <f>HYPERLINK("https://www.wikidata.org/wiki/Q325552", "Q325552")</f>
        <v>0</v>
      </c>
      <c r="O10307" t="s">
        <v>20191</v>
      </c>
    </row>
    <row r="10308" spans="1:15">
      <c r="A10308" t="s">
        <v>112</v>
      </c>
      <c r="B10308" t="s">
        <v>149</v>
      </c>
      <c r="C10308" t="s">
        <v>244</v>
      </c>
      <c r="D10308" t="s">
        <v>373</v>
      </c>
      <c r="E10308" t="s">
        <v>374</v>
      </c>
      <c r="F10308">
        <f>HYPERLINK("https://www.wikidata.org/wiki/Q1720263", "Q1720263")</f>
        <v>0</v>
      </c>
      <c r="G10308" t="s">
        <v>579</v>
      </c>
      <c r="H10308" t="s">
        <v>5341</v>
      </c>
      <c r="I10308" t="s">
        <v>5394</v>
      </c>
      <c r="J10308" t="s">
        <v>11330</v>
      </c>
      <c r="K10308" t="s">
        <v>15731</v>
      </c>
      <c r="L10308">
        <f>HYPERLINK("https://www2.assemblee-nationale.fr/sycomore/fiche/(num_dept)/1849", "1849")</f>
        <v>0</v>
      </c>
      <c r="M10308">
        <f>HYPERLINK("https://www.senat.fr/senateur-3eme-republique/clementel_etienne1006r3.html", "clementel_etienne1006r3")</f>
        <v>0</v>
      </c>
      <c r="N10308">
        <f>HYPERLINK("https://www.wikidata.org/wiki/Q3592114", "Q3592114")</f>
        <v>0</v>
      </c>
      <c r="O10308" t="s">
        <v>20065</v>
      </c>
    </row>
    <row r="10309" spans="1:15">
      <c r="A10309" t="s">
        <v>112</v>
      </c>
      <c r="B10309" t="s">
        <v>149</v>
      </c>
      <c r="C10309" t="s">
        <v>244</v>
      </c>
      <c r="D10309" t="s">
        <v>373</v>
      </c>
      <c r="E10309" t="s">
        <v>374</v>
      </c>
      <c r="F10309">
        <f>HYPERLINK("https://www.wikidata.org/wiki/Q1720263", "Q1720263")</f>
        <v>0</v>
      </c>
      <c r="G10309" t="s">
        <v>608</v>
      </c>
      <c r="H10309" t="s">
        <v>5368</v>
      </c>
      <c r="I10309" t="s">
        <v>9451</v>
      </c>
      <c r="J10309" t="s">
        <v>11359</v>
      </c>
      <c r="K10309" t="s">
        <v>15760</v>
      </c>
      <c r="L10309">
        <f>HYPERLINK("https://www2.assemblee-nationale.fr/sycomore/fiche/(num_dept)/2283", "2283")</f>
        <v>0</v>
      </c>
      <c r="N10309">
        <f>HYPERLINK("https://www.wikidata.org/wiki/Q503827", "Q503827")</f>
        <v>0</v>
      </c>
      <c r="O10309" t="s">
        <v>20062</v>
      </c>
    </row>
    <row r="10310" spans="1:15">
      <c r="A10310" t="s">
        <v>112</v>
      </c>
      <c r="B10310" t="s">
        <v>149</v>
      </c>
      <c r="C10310" t="s">
        <v>244</v>
      </c>
      <c r="D10310" t="s">
        <v>373</v>
      </c>
      <c r="E10310" t="s">
        <v>374</v>
      </c>
      <c r="F10310">
        <f>HYPERLINK("https://www.wikidata.org/wiki/Q1720263", "Q1720263")</f>
        <v>0</v>
      </c>
      <c r="G10310" t="s">
        <v>1165</v>
      </c>
      <c r="H10310" t="s">
        <v>5897</v>
      </c>
      <c r="I10310" t="s">
        <v>9446</v>
      </c>
      <c r="J10310" t="s">
        <v>11898</v>
      </c>
      <c r="K10310" t="s">
        <v>16300</v>
      </c>
      <c r="L10310">
        <f>HYPERLINK("https://www2.assemblee-nationale.fr/sycomore/fiche/(num_dept)/2610", "2610")</f>
        <v>0</v>
      </c>
      <c r="N10310">
        <f>HYPERLINK("https://www.wikidata.org/wiki/Q2646670", "Q2646670")</f>
        <v>0</v>
      </c>
      <c r="O10310" t="s">
        <v>20058</v>
      </c>
    </row>
    <row r="10311" spans="1:15">
      <c r="A10311" t="s">
        <v>112</v>
      </c>
      <c r="B10311" t="s">
        <v>149</v>
      </c>
      <c r="C10311" t="s">
        <v>244</v>
      </c>
      <c r="D10311" t="s">
        <v>373</v>
      </c>
      <c r="E10311" t="s">
        <v>374</v>
      </c>
      <c r="F10311">
        <f>HYPERLINK("https://www.wikidata.org/wiki/Q1720263", "Q1720263")</f>
        <v>0</v>
      </c>
      <c r="G10311" t="s">
        <v>1165</v>
      </c>
      <c r="H10311" t="s">
        <v>5897</v>
      </c>
      <c r="I10311" t="s">
        <v>9446</v>
      </c>
      <c r="J10311" t="s">
        <v>11898</v>
      </c>
      <c r="K10311" t="s">
        <v>16300</v>
      </c>
      <c r="L10311">
        <f>HYPERLINK("https://www2.assemblee-nationale.fr/sycomore/fiche/(num_dept)/2610", "2610")</f>
        <v>0</v>
      </c>
      <c r="N10311">
        <f>HYPERLINK("https://www.wikidata.org/wiki/Q2646670", "Q2646670")</f>
        <v>0</v>
      </c>
      <c r="O10311" t="s">
        <v>20233</v>
      </c>
    </row>
    <row r="10312" spans="1:15">
      <c r="A10312" t="s">
        <v>112</v>
      </c>
      <c r="B10312" t="s">
        <v>149</v>
      </c>
      <c r="C10312" t="s">
        <v>244</v>
      </c>
      <c r="D10312" t="s">
        <v>373</v>
      </c>
      <c r="E10312" t="s">
        <v>374</v>
      </c>
      <c r="F10312">
        <f>HYPERLINK("https://www.wikidata.org/wiki/Q1720263", "Q1720263")</f>
        <v>0</v>
      </c>
      <c r="G10312" t="s">
        <v>623</v>
      </c>
      <c r="H10312" t="s">
        <v>5383</v>
      </c>
      <c r="I10312" t="s">
        <v>5394</v>
      </c>
      <c r="J10312" t="s">
        <v>11373</v>
      </c>
      <c r="K10312" t="s">
        <v>15775</v>
      </c>
      <c r="L10312">
        <f>HYPERLINK("https://www2.assemblee-nationale.fr/sycomore/fiche/(num_dept)/2685", "2685")</f>
        <v>0</v>
      </c>
      <c r="M10312">
        <f>HYPERLINK("https://www.senat.fr/senateur-3eme-republique/dujardin_beaumetz_henri0274r3.html", "dujardin_beaumetz_henri0274r3")</f>
        <v>0</v>
      </c>
      <c r="N10312">
        <f>HYPERLINK("https://www.wikidata.org/wiki/Q289596", "Q289596")</f>
        <v>0</v>
      </c>
      <c r="O10312" t="s">
        <v>20119</v>
      </c>
    </row>
    <row r="10313" spans="1:15">
      <c r="A10313" t="s">
        <v>112</v>
      </c>
      <c r="B10313" t="s">
        <v>149</v>
      </c>
      <c r="C10313" t="s">
        <v>244</v>
      </c>
      <c r="D10313" t="s">
        <v>373</v>
      </c>
      <c r="E10313" t="s">
        <v>374</v>
      </c>
      <c r="F10313">
        <f>HYPERLINK("https://www.wikidata.org/wiki/Q1720263", "Q1720263")</f>
        <v>0</v>
      </c>
      <c r="G10313" t="s">
        <v>635</v>
      </c>
      <c r="H10313" t="s">
        <v>5394</v>
      </c>
      <c r="I10313" t="s">
        <v>9465</v>
      </c>
      <c r="J10313" t="s">
        <v>11385</v>
      </c>
      <c r="K10313" t="s">
        <v>15787</v>
      </c>
      <c r="L10313">
        <f>HYPERLINK("https://www2.assemblee-nationale.fr/sycomore/fiche/(num_dept)/2861", "2861")</f>
        <v>0</v>
      </c>
      <c r="M10313">
        <f>HYPERLINK("https://www.senat.fr/senateur-3eme-republique/etienne_eugene1824r3.html", "etienne_eugene1824r3")</f>
        <v>0</v>
      </c>
      <c r="N10313">
        <f>HYPERLINK("https://www.wikidata.org/wiki/Q2612305", "Q2612305")</f>
        <v>0</v>
      </c>
      <c r="O10313" t="s">
        <v>20058</v>
      </c>
    </row>
    <row r="10314" spans="1:15">
      <c r="A10314" t="s">
        <v>112</v>
      </c>
      <c r="B10314" t="s">
        <v>149</v>
      </c>
      <c r="C10314" t="s">
        <v>244</v>
      </c>
      <c r="D10314" t="s">
        <v>373</v>
      </c>
      <c r="E10314" t="s">
        <v>374</v>
      </c>
      <c r="F10314">
        <f>HYPERLINK("https://www.wikidata.org/wiki/Q1720263", "Q1720263")</f>
        <v>0</v>
      </c>
      <c r="G10314" t="s">
        <v>635</v>
      </c>
      <c r="H10314" t="s">
        <v>5394</v>
      </c>
      <c r="I10314" t="s">
        <v>9465</v>
      </c>
      <c r="J10314" t="s">
        <v>11385</v>
      </c>
      <c r="K10314" t="s">
        <v>15787</v>
      </c>
      <c r="L10314">
        <f>HYPERLINK("https://www2.assemblee-nationale.fr/sycomore/fiche/(num_dept)/2861", "2861")</f>
        <v>0</v>
      </c>
      <c r="M10314">
        <f>HYPERLINK("https://www.senat.fr/senateur-3eme-republique/etienne_eugene1824r3.html", "etienne_eugene1824r3")</f>
        <v>0</v>
      </c>
      <c r="N10314">
        <f>HYPERLINK("https://www.wikidata.org/wiki/Q2612305", "Q2612305")</f>
        <v>0</v>
      </c>
      <c r="O10314" t="s">
        <v>20058</v>
      </c>
    </row>
    <row r="10315" spans="1:15">
      <c r="A10315" t="s">
        <v>112</v>
      </c>
      <c r="B10315" t="s">
        <v>149</v>
      </c>
      <c r="C10315" t="s">
        <v>244</v>
      </c>
      <c r="D10315" t="s">
        <v>373</v>
      </c>
      <c r="E10315" t="s">
        <v>374</v>
      </c>
      <c r="F10315">
        <f>HYPERLINK("https://www.wikidata.org/wiki/Q1720263", "Q1720263")</f>
        <v>0</v>
      </c>
      <c r="G10315" t="s">
        <v>3580</v>
      </c>
      <c r="H10315" t="s">
        <v>7930</v>
      </c>
      <c r="I10315" t="s">
        <v>6860</v>
      </c>
      <c r="J10315" t="s">
        <v>14167</v>
      </c>
      <c r="K10315" t="s">
        <v>18536</v>
      </c>
      <c r="L10315">
        <f>HYPERLINK("https://www2.assemblee-nationale.fr/sycomore/fiche/(num_dept)/5209", "5209")</f>
        <v>0</v>
      </c>
      <c r="N10315">
        <f>HYPERLINK("https://www.wikidata.org/wiki/Q3386255", "Q3386255")</f>
        <v>0</v>
      </c>
      <c r="O10315" t="s">
        <v>20066</v>
      </c>
    </row>
    <row r="10316" spans="1:15">
      <c r="A10316" t="s">
        <v>112</v>
      </c>
      <c r="B10316" t="s">
        <v>149</v>
      </c>
      <c r="C10316" t="s">
        <v>244</v>
      </c>
      <c r="D10316" t="s">
        <v>373</v>
      </c>
      <c r="E10316" t="s">
        <v>374</v>
      </c>
      <c r="F10316">
        <f>HYPERLINK("https://www.wikidata.org/wiki/Q1720263", "Q1720263")</f>
        <v>0</v>
      </c>
      <c r="G10316" t="s">
        <v>3580</v>
      </c>
      <c r="H10316" t="s">
        <v>7930</v>
      </c>
      <c r="I10316" t="s">
        <v>6860</v>
      </c>
      <c r="J10316" t="s">
        <v>14167</v>
      </c>
      <c r="K10316" t="s">
        <v>18536</v>
      </c>
      <c r="L10316">
        <f>HYPERLINK("https://www2.assemblee-nationale.fr/sycomore/fiche/(num_dept)/5209", "5209")</f>
        <v>0</v>
      </c>
      <c r="N10316">
        <f>HYPERLINK("https://www.wikidata.org/wiki/Q3386255", "Q3386255")</f>
        <v>0</v>
      </c>
      <c r="O10316" t="s">
        <v>20374</v>
      </c>
    </row>
    <row r="10317" spans="1:15">
      <c r="A10317" t="s">
        <v>112</v>
      </c>
      <c r="B10317" t="s">
        <v>149</v>
      </c>
      <c r="C10317" t="s">
        <v>244</v>
      </c>
      <c r="D10317" t="s">
        <v>373</v>
      </c>
      <c r="E10317" t="s">
        <v>374</v>
      </c>
      <c r="F10317">
        <f>HYPERLINK("https://www.wikidata.org/wiki/Q1720263", "Q1720263")</f>
        <v>0</v>
      </c>
      <c r="G10317" t="s">
        <v>2650</v>
      </c>
      <c r="H10317" t="s">
        <v>7191</v>
      </c>
      <c r="I10317" t="s">
        <v>7642</v>
      </c>
      <c r="J10317" t="s">
        <v>13292</v>
      </c>
      <c r="K10317" t="s">
        <v>17691</v>
      </c>
      <c r="L10317">
        <f>HYPERLINK("https://www2.assemblee-nationale.fr/sycomore/fiche/(num_dept)/6152", "6152")</f>
        <v>0</v>
      </c>
      <c r="M10317">
        <f>HYPERLINK("https://www.senat.fr/senateur-3eme-republique/rouvier_maurice0115r3.html", "rouvier_maurice0115r3")</f>
        <v>0</v>
      </c>
      <c r="N10317">
        <f>HYPERLINK("https://www.wikidata.org/wiki/Q471293", "Q471293")</f>
        <v>0</v>
      </c>
      <c r="O10317" t="s">
        <v>20066</v>
      </c>
    </row>
    <row r="10318" spans="1:15">
      <c r="A10318" t="s">
        <v>112</v>
      </c>
      <c r="B10318" t="s">
        <v>149</v>
      </c>
      <c r="C10318" t="s">
        <v>244</v>
      </c>
      <c r="D10318" t="s">
        <v>373</v>
      </c>
      <c r="E10318" t="s">
        <v>374</v>
      </c>
      <c r="F10318">
        <f>HYPERLINK("https://www.wikidata.org/wiki/Q1720263", "Q1720263")</f>
        <v>0</v>
      </c>
      <c r="G10318" t="s">
        <v>2650</v>
      </c>
      <c r="H10318" t="s">
        <v>7191</v>
      </c>
      <c r="I10318" t="s">
        <v>7642</v>
      </c>
      <c r="J10318" t="s">
        <v>13292</v>
      </c>
      <c r="K10318" t="s">
        <v>17691</v>
      </c>
      <c r="L10318">
        <f>HYPERLINK("https://www2.assemblee-nationale.fr/sycomore/fiche/(num_dept)/6152", "6152")</f>
        <v>0</v>
      </c>
      <c r="M10318">
        <f>HYPERLINK("https://www.senat.fr/senateur-3eme-republique/rouvier_maurice0115r3.html", "rouvier_maurice0115r3")</f>
        <v>0</v>
      </c>
      <c r="N10318">
        <f>HYPERLINK("https://www.wikidata.org/wiki/Q471293", "Q471293")</f>
        <v>0</v>
      </c>
      <c r="O10318" t="s">
        <v>20052</v>
      </c>
    </row>
    <row r="10319" spans="1:15">
      <c r="A10319" t="s">
        <v>112</v>
      </c>
      <c r="B10319" t="s">
        <v>149</v>
      </c>
      <c r="C10319" t="s">
        <v>244</v>
      </c>
      <c r="D10319" t="s">
        <v>373</v>
      </c>
      <c r="E10319" t="s">
        <v>374</v>
      </c>
      <c r="F10319">
        <f>HYPERLINK("https://www.wikidata.org/wiki/Q1720263", "Q1720263")</f>
        <v>0</v>
      </c>
      <c r="G10319" t="s">
        <v>2650</v>
      </c>
      <c r="H10319" t="s">
        <v>7191</v>
      </c>
      <c r="I10319" t="s">
        <v>7642</v>
      </c>
      <c r="J10319" t="s">
        <v>13292</v>
      </c>
      <c r="K10319" t="s">
        <v>17691</v>
      </c>
      <c r="L10319">
        <f>HYPERLINK("https://www2.assemblee-nationale.fr/sycomore/fiche/(num_dept)/6152", "6152")</f>
        <v>0</v>
      </c>
      <c r="M10319">
        <f>HYPERLINK("https://www.senat.fr/senateur-3eme-republique/rouvier_maurice0115r3.html", "rouvier_maurice0115r3")</f>
        <v>0</v>
      </c>
      <c r="N10319">
        <f>HYPERLINK("https://www.wikidata.org/wiki/Q471293", "Q471293")</f>
        <v>0</v>
      </c>
      <c r="O10319" t="s">
        <v>20375</v>
      </c>
    </row>
    <row r="10320" spans="1:15">
      <c r="A10320" t="s">
        <v>112</v>
      </c>
      <c r="B10320" t="s">
        <v>149</v>
      </c>
      <c r="C10320" t="s">
        <v>244</v>
      </c>
      <c r="D10320" t="s">
        <v>373</v>
      </c>
      <c r="E10320" t="s">
        <v>374</v>
      </c>
      <c r="F10320">
        <f>HYPERLINK("https://www.wikidata.org/wiki/Q1720263", "Q1720263")</f>
        <v>0</v>
      </c>
      <c r="G10320" t="s">
        <v>776</v>
      </c>
      <c r="H10320" t="s">
        <v>5534</v>
      </c>
      <c r="I10320" t="s">
        <v>9407</v>
      </c>
      <c r="J10320" t="s">
        <v>11523</v>
      </c>
      <c r="K10320" t="s">
        <v>15927</v>
      </c>
      <c r="L10320">
        <f>HYPERLINK("https://www2.assemblee-nationale.fr/sycomore/fiche/(num_dept)/6182", "6182")</f>
        <v>0</v>
      </c>
      <c r="N10320">
        <f>HYPERLINK("https://www.wikidata.org/wiki/Q3185595", "Q3185595")</f>
        <v>0</v>
      </c>
      <c r="O10320" t="s">
        <v>20056</v>
      </c>
    </row>
    <row r="10321" spans="1:15">
      <c r="A10321" t="s">
        <v>112</v>
      </c>
      <c r="B10321" t="s">
        <v>149</v>
      </c>
      <c r="C10321" t="s">
        <v>244</v>
      </c>
      <c r="D10321" t="s">
        <v>373</v>
      </c>
      <c r="E10321" t="s">
        <v>374</v>
      </c>
      <c r="F10321">
        <f>HYPERLINK("https://www.wikidata.org/wiki/Q1720263", "Q1720263")</f>
        <v>0</v>
      </c>
      <c r="G10321" t="s">
        <v>818</v>
      </c>
      <c r="H10321" t="s">
        <v>5575</v>
      </c>
      <c r="I10321" t="s">
        <v>9470</v>
      </c>
      <c r="J10321" t="s">
        <v>11565</v>
      </c>
      <c r="K10321" t="s">
        <v>15969</v>
      </c>
      <c r="L10321">
        <f>HYPERLINK("https://www2.assemblee-nationale.fr/sycomore/fiche/(num_dept)/7055", "7055")</f>
        <v>0</v>
      </c>
      <c r="N10321">
        <f>HYPERLINK("https://www.wikidata.org/wiki/Q2246519", "Q2246519")</f>
        <v>0</v>
      </c>
      <c r="O10321" t="s">
        <v>20053</v>
      </c>
    </row>
    <row r="10322" spans="1:15">
      <c r="A10322" t="s">
        <v>112</v>
      </c>
      <c r="B10322" t="s">
        <v>149</v>
      </c>
      <c r="C10322" t="s">
        <v>244</v>
      </c>
      <c r="D10322" t="s">
        <v>373</v>
      </c>
      <c r="E10322" t="s">
        <v>374</v>
      </c>
      <c r="F10322">
        <f>HYPERLINK("https://www.wikidata.org/wiki/Q1720263", "Q1720263")</f>
        <v>0</v>
      </c>
      <c r="G10322" t="s">
        <v>3603</v>
      </c>
      <c r="H10322" t="s">
        <v>7947</v>
      </c>
      <c r="I10322" t="s">
        <v>6175</v>
      </c>
      <c r="J10322" t="s">
        <v>14188</v>
      </c>
      <c r="K10322" t="s">
        <v>18554</v>
      </c>
      <c r="L10322">
        <f>HYPERLINK("https://www2.assemblee-nationale.fr/sycomore/fiche/(num_dept)/7163", "7163")</f>
        <v>0</v>
      </c>
      <c r="M10322">
        <f>HYPERLINK("https://www.senat.fr/senateur-3eme-republique/trouillot_georges0444r3.html", "trouillot_georges0444r3")</f>
        <v>0</v>
      </c>
      <c r="N10322">
        <f>HYPERLINK("https://www.wikidata.org/wiki/Q3103564", "Q3103564")</f>
        <v>0</v>
      </c>
      <c r="O10322" t="s">
        <v>20262</v>
      </c>
    </row>
    <row r="10323" spans="1:15">
      <c r="A10323" t="s">
        <v>112</v>
      </c>
      <c r="B10323" t="s">
        <v>149</v>
      </c>
      <c r="C10323" t="s">
        <v>244</v>
      </c>
      <c r="D10323" t="s">
        <v>373</v>
      </c>
      <c r="E10323" t="s">
        <v>374</v>
      </c>
      <c r="F10323">
        <f>HYPERLINK("https://www.wikidata.org/wiki/Q1720263", "Q1720263")</f>
        <v>0</v>
      </c>
      <c r="G10323" t="s">
        <v>4276</v>
      </c>
      <c r="H10323" t="s">
        <v>5892</v>
      </c>
      <c r="I10323" t="s">
        <v>9407</v>
      </c>
      <c r="J10323" t="s">
        <v>14775</v>
      </c>
      <c r="K10323" t="s">
        <v>19122</v>
      </c>
      <c r="M10323">
        <f>HYPERLINK("https://www.senat.fr/senateur-3eme-republique/chaumie_joseph0747r3.html", "chaumie_joseph0747r3")</f>
        <v>0</v>
      </c>
      <c r="N10323">
        <f>HYPERLINK("https://www.wikidata.org/wiki/Q3184755", "Q3184755")</f>
        <v>0</v>
      </c>
      <c r="O10323" t="s">
        <v>20064</v>
      </c>
    </row>
    <row r="10324" spans="1:15">
      <c r="A10324" t="s">
        <v>112</v>
      </c>
      <c r="B10324" t="s">
        <v>149</v>
      </c>
      <c r="C10324" t="s">
        <v>244</v>
      </c>
      <c r="D10324" t="s">
        <v>373</v>
      </c>
      <c r="E10324" t="s">
        <v>374</v>
      </c>
      <c r="F10324">
        <f>HYPERLINK("https://www.wikidata.org/wiki/Q1720263", "Q1720263")</f>
        <v>0</v>
      </c>
      <c r="G10324" t="s">
        <v>4293</v>
      </c>
      <c r="H10324" t="s">
        <v>8452</v>
      </c>
      <c r="I10324" t="s">
        <v>7790</v>
      </c>
      <c r="J10324" t="s">
        <v>14792</v>
      </c>
      <c r="K10324" t="s">
        <v>19136</v>
      </c>
      <c r="M10324">
        <f>HYPERLINK("https://www.senat.fr/senateur-3eme-republique/gauthier_armand0264r3.html", "gauthier_armand0264r3")</f>
        <v>0</v>
      </c>
      <c r="N10324">
        <f>HYPERLINK("https://www.wikidata.org/wiki/Q2861852", "Q2861852")</f>
        <v>0</v>
      </c>
      <c r="O10324" t="s">
        <v>20063</v>
      </c>
    </row>
    <row r="10325" spans="1:15">
      <c r="A10325" t="s">
        <v>113</v>
      </c>
      <c r="B10325" t="s">
        <v>149</v>
      </c>
      <c r="C10325" t="s">
        <v>245</v>
      </c>
      <c r="D10325" t="s">
        <v>374</v>
      </c>
      <c r="E10325" t="s">
        <v>484</v>
      </c>
      <c r="F10325">
        <f>HYPERLINK("https://www.wikidata.org/wiki/Q2426439", "Q2426439")</f>
        <v>0</v>
      </c>
      <c r="G10325" t="s">
        <v>3678</v>
      </c>
      <c r="H10325" t="s">
        <v>5286</v>
      </c>
      <c r="I10325" t="s">
        <v>9553</v>
      </c>
      <c r="J10325" t="s">
        <v>14255</v>
      </c>
      <c r="K10325" t="s">
        <v>18616</v>
      </c>
      <c r="L10325">
        <f>HYPERLINK("https://www2.assemblee-nationale.fr/sycomore/fiche/(num_dept)/647", "647")</f>
        <v>0</v>
      </c>
      <c r="M10325">
        <f>HYPERLINK("https://www.senat.fr/senateur-3eme-republique/berard_alexandre0019r3.html", "berard_alexandre0019r3")</f>
        <v>0</v>
      </c>
      <c r="N10325">
        <f>HYPERLINK("https://www.wikidata.org/wiki/Q2833511", "Q2833511")</f>
        <v>0</v>
      </c>
      <c r="O10325" t="s">
        <v>20187</v>
      </c>
    </row>
    <row r="10326" spans="1:15">
      <c r="A10326" t="s">
        <v>113</v>
      </c>
      <c r="B10326" t="s">
        <v>149</v>
      </c>
      <c r="C10326" t="s">
        <v>245</v>
      </c>
      <c r="D10326" t="s">
        <v>374</v>
      </c>
      <c r="E10326" t="s">
        <v>484</v>
      </c>
      <c r="F10326">
        <f>HYPERLINK("https://www.wikidata.org/wiki/Q2426439", "Q2426439")</f>
        <v>0</v>
      </c>
      <c r="G10326" t="s">
        <v>3872</v>
      </c>
      <c r="H10326" t="s">
        <v>8140</v>
      </c>
      <c r="I10326" t="s">
        <v>6200</v>
      </c>
      <c r="J10326" t="s">
        <v>14431</v>
      </c>
      <c r="K10326" t="s">
        <v>18783</v>
      </c>
      <c r="L10326">
        <f>HYPERLINK("https://www2.assemblee-nationale.fr/sycomore/fiche/(num_dept)/790", "790")</f>
        <v>0</v>
      </c>
      <c r="M10326">
        <f>HYPERLINK("https://www.senat.fr/senateur-3eme-republique/bienvenu_martin_jean_baptiste1840r3.html", "bienvenu_martin_jean_baptiste1840r3")</f>
        <v>0</v>
      </c>
      <c r="N10326">
        <f>HYPERLINK("https://www.wikidata.org/wiki/Q325552", "Q325552")</f>
        <v>0</v>
      </c>
      <c r="O10326" t="s">
        <v>20191</v>
      </c>
    </row>
    <row r="10327" spans="1:15">
      <c r="A10327" t="s">
        <v>113</v>
      </c>
      <c r="B10327" t="s">
        <v>149</v>
      </c>
      <c r="C10327" t="s">
        <v>245</v>
      </c>
      <c r="D10327" t="s">
        <v>374</v>
      </c>
      <c r="E10327" t="s">
        <v>484</v>
      </c>
      <c r="F10327">
        <f>HYPERLINK("https://www.wikidata.org/wiki/Q2426439", "Q2426439")</f>
        <v>0</v>
      </c>
      <c r="G10327" t="s">
        <v>579</v>
      </c>
      <c r="H10327" t="s">
        <v>5341</v>
      </c>
      <c r="I10327" t="s">
        <v>5394</v>
      </c>
      <c r="J10327" t="s">
        <v>11330</v>
      </c>
      <c r="K10327" t="s">
        <v>15731</v>
      </c>
      <c r="L10327">
        <f>HYPERLINK("https://www2.assemblee-nationale.fr/sycomore/fiche/(num_dept)/1849", "1849")</f>
        <v>0</v>
      </c>
      <c r="M10327">
        <f>HYPERLINK("https://www.senat.fr/senateur-3eme-republique/clementel_etienne1006r3.html", "clementel_etienne1006r3")</f>
        <v>0</v>
      </c>
      <c r="N10327">
        <f>HYPERLINK("https://www.wikidata.org/wiki/Q3592114", "Q3592114")</f>
        <v>0</v>
      </c>
      <c r="O10327" t="s">
        <v>20065</v>
      </c>
    </row>
    <row r="10328" spans="1:15">
      <c r="A10328" t="s">
        <v>113</v>
      </c>
      <c r="B10328" t="s">
        <v>149</v>
      </c>
      <c r="C10328" t="s">
        <v>245</v>
      </c>
      <c r="D10328" t="s">
        <v>374</v>
      </c>
      <c r="E10328" t="s">
        <v>484</v>
      </c>
      <c r="F10328">
        <f>HYPERLINK("https://www.wikidata.org/wiki/Q2426439", "Q2426439")</f>
        <v>0</v>
      </c>
      <c r="G10328" t="s">
        <v>1165</v>
      </c>
      <c r="H10328" t="s">
        <v>5897</v>
      </c>
      <c r="I10328" t="s">
        <v>9446</v>
      </c>
      <c r="J10328" t="s">
        <v>11898</v>
      </c>
      <c r="K10328" t="s">
        <v>16300</v>
      </c>
      <c r="L10328">
        <f>HYPERLINK("https://www2.assemblee-nationale.fr/sycomore/fiche/(num_dept)/2610", "2610")</f>
        <v>0</v>
      </c>
      <c r="N10328">
        <f>HYPERLINK("https://www.wikidata.org/wiki/Q2646670", "Q2646670")</f>
        <v>0</v>
      </c>
      <c r="O10328" t="s">
        <v>20058</v>
      </c>
    </row>
    <row r="10329" spans="1:15">
      <c r="A10329" t="s">
        <v>113</v>
      </c>
      <c r="B10329" t="s">
        <v>149</v>
      </c>
      <c r="C10329" t="s">
        <v>245</v>
      </c>
      <c r="D10329" t="s">
        <v>374</v>
      </c>
      <c r="E10329" t="s">
        <v>484</v>
      </c>
      <c r="F10329">
        <f>HYPERLINK("https://www.wikidata.org/wiki/Q2426439", "Q2426439")</f>
        <v>0</v>
      </c>
      <c r="G10329" t="s">
        <v>623</v>
      </c>
      <c r="H10329" t="s">
        <v>5383</v>
      </c>
      <c r="I10329" t="s">
        <v>5394</v>
      </c>
      <c r="J10329" t="s">
        <v>11373</v>
      </c>
      <c r="K10329" t="s">
        <v>15775</v>
      </c>
      <c r="L10329">
        <f>HYPERLINK("https://www2.assemblee-nationale.fr/sycomore/fiche/(num_dept)/2685", "2685")</f>
        <v>0</v>
      </c>
      <c r="M10329">
        <f>HYPERLINK("https://www.senat.fr/senateur-3eme-republique/dujardin_beaumetz_henri0274r3.html", "dujardin_beaumetz_henri0274r3")</f>
        <v>0</v>
      </c>
      <c r="N10329">
        <f>HYPERLINK("https://www.wikidata.org/wiki/Q289596", "Q289596")</f>
        <v>0</v>
      </c>
      <c r="O10329" t="s">
        <v>20119</v>
      </c>
    </row>
    <row r="10330" spans="1:15">
      <c r="A10330" t="s">
        <v>113</v>
      </c>
      <c r="B10330" t="s">
        <v>149</v>
      </c>
      <c r="C10330" t="s">
        <v>245</v>
      </c>
      <c r="D10330" t="s">
        <v>374</v>
      </c>
      <c r="E10330" t="s">
        <v>484</v>
      </c>
      <c r="F10330">
        <f>HYPERLINK("https://www.wikidata.org/wiki/Q2426439", "Q2426439")</f>
        <v>0</v>
      </c>
      <c r="G10330" t="s">
        <v>635</v>
      </c>
      <c r="H10330" t="s">
        <v>5394</v>
      </c>
      <c r="I10330" t="s">
        <v>9465</v>
      </c>
      <c r="J10330" t="s">
        <v>11385</v>
      </c>
      <c r="K10330" t="s">
        <v>15787</v>
      </c>
      <c r="L10330">
        <f>HYPERLINK("https://www2.assemblee-nationale.fr/sycomore/fiche/(num_dept)/2861", "2861")</f>
        <v>0</v>
      </c>
      <c r="M10330">
        <f>HYPERLINK("https://www.senat.fr/senateur-3eme-republique/etienne_eugene1824r3.html", "etienne_eugene1824r3")</f>
        <v>0</v>
      </c>
      <c r="N10330">
        <f>HYPERLINK("https://www.wikidata.org/wiki/Q2612305", "Q2612305")</f>
        <v>0</v>
      </c>
      <c r="O10330" t="s">
        <v>20057</v>
      </c>
    </row>
    <row r="10331" spans="1:15">
      <c r="A10331" t="s">
        <v>113</v>
      </c>
      <c r="B10331" t="s">
        <v>149</v>
      </c>
      <c r="C10331" t="s">
        <v>245</v>
      </c>
      <c r="D10331" t="s">
        <v>374</v>
      </c>
      <c r="E10331" t="s">
        <v>484</v>
      </c>
      <c r="F10331">
        <f>HYPERLINK("https://www.wikidata.org/wiki/Q2426439", "Q2426439")</f>
        <v>0</v>
      </c>
      <c r="G10331" t="s">
        <v>3580</v>
      </c>
      <c r="H10331" t="s">
        <v>7930</v>
      </c>
      <c r="I10331" t="s">
        <v>6860</v>
      </c>
      <c r="J10331" t="s">
        <v>14167</v>
      </c>
      <c r="K10331" t="s">
        <v>18536</v>
      </c>
      <c r="L10331">
        <f>HYPERLINK("https://www2.assemblee-nationale.fr/sycomore/fiche/(num_dept)/5209", "5209")</f>
        <v>0</v>
      </c>
      <c r="N10331">
        <f>HYPERLINK("https://www.wikidata.org/wiki/Q3386255", "Q3386255")</f>
        <v>0</v>
      </c>
      <c r="O10331" t="s">
        <v>20066</v>
      </c>
    </row>
    <row r="10332" spans="1:15">
      <c r="A10332" t="s">
        <v>113</v>
      </c>
      <c r="B10332" t="s">
        <v>149</v>
      </c>
      <c r="C10332" t="s">
        <v>245</v>
      </c>
      <c r="D10332" t="s">
        <v>374</v>
      </c>
      <c r="E10332" t="s">
        <v>484</v>
      </c>
      <c r="F10332">
        <f>HYPERLINK("https://www.wikidata.org/wiki/Q2426439", "Q2426439")</f>
        <v>0</v>
      </c>
      <c r="G10332" t="s">
        <v>2650</v>
      </c>
      <c r="H10332" t="s">
        <v>7191</v>
      </c>
      <c r="I10332" t="s">
        <v>7642</v>
      </c>
      <c r="J10332" t="s">
        <v>13292</v>
      </c>
      <c r="K10332" t="s">
        <v>17691</v>
      </c>
      <c r="L10332">
        <f>HYPERLINK("https://www2.assemblee-nationale.fr/sycomore/fiche/(num_dept)/6152", "6152")</f>
        <v>0</v>
      </c>
      <c r="M10332">
        <f>HYPERLINK("https://www.senat.fr/senateur-3eme-republique/rouvier_maurice0115r3.html", "rouvier_maurice0115r3")</f>
        <v>0</v>
      </c>
      <c r="N10332">
        <f>HYPERLINK("https://www.wikidata.org/wiki/Q471293", "Q471293")</f>
        <v>0</v>
      </c>
      <c r="O10332" t="s">
        <v>20062</v>
      </c>
    </row>
    <row r="10333" spans="1:15">
      <c r="A10333" t="s">
        <v>113</v>
      </c>
      <c r="B10333" t="s">
        <v>149</v>
      </c>
      <c r="C10333" t="s">
        <v>245</v>
      </c>
      <c r="D10333" t="s">
        <v>374</v>
      </c>
      <c r="E10333" t="s">
        <v>484</v>
      </c>
      <c r="F10333">
        <f>HYPERLINK("https://www.wikidata.org/wiki/Q2426439", "Q2426439")</f>
        <v>0</v>
      </c>
      <c r="G10333" t="s">
        <v>2650</v>
      </c>
      <c r="H10333" t="s">
        <v>7191</v>
      </c>
      <c r="I10333" t="s">
        <v>7642</v>
      </c>
      <c r="J10333" t="s">
        <v>13292</v>
      </c>
      <c r="K10333" t="s">
        <v>17691</v>
      </c>
      <c r="L10333">
        <f>HYPERLINK("https://www2.assemblee-nationale.fr/sycomore/fiche/(num_dept)/6152", "6152")</f>
        <v>0</v>
      </c>
      <c r="M10333">
        <f>HYPERLINK("https://www.senat.fr/senateur-3eme-republique/rouvier_maurice0115r3.html", "rouvier_maurice0115r3")</f>
        <v>0</v>
      </c>
      <c r="N10333">
        <f>HYPERLINK("https://www.wikidata.org/wiki/Q471293", "Q471293")</f>
        <v>0</v>
      </c>
      <c r="O10333" t="s">
        <v>20052</v>
      </c>
    </row>
    <row r="10334" spans="1:15">
      <c r="A10334" t="s">
        <v>113</v>
      </c>
      <c r="B10334" t="s">
        <v>149</v>
      </c>
      <c r="C10334" t="s">
        <v>245</v>
      </c>
      <c r="D10334" t="s">
        <v>374</v>
      </c>
      <c r="E10334" t="s">
        <v>484</v>
      </c>
      <c r="F10334">
        <f>HYPERLINK("https://www.wikidata.org/wiki/Q2426439", "Q2426439")</f>
        <v>0</v>
      </c>
      <c r="G10334" t="s">
        <v>776</v>
      </c>
      <c r="H10334" t="s">
        <v>5534</v>
      </c>
      <c r="I10334" t="s">
        <v>9407</v>
      </c>
      <c r="J10334" t="s">
        <v>11523</v>
      </c>
      <c r="K10334" t="s">
        <v>15927</v>
      </c>
      <c r="L10334">
        <f>HYPERLINK("https://www2.assemblee-nationale.fr/sycomore/fiche/(num_dept)/6182", "6182")</f>
        <v>0</v>
      </c>
      <c r="N10334">
        <f>HYPERLINK("https://www.wikidata.org/wiki/Q3185595", "Q3185595")</f>
        <v>0</v>
      </c>
      <c r="O10334" t="s">
        <v>20056</v>
      </c>
    </row>
    <row r="10335" spans="1:15">
      <c r="A10335" t="s">
        <v>113</v>
      </c>
      <c r="B10335" t="s">
        <v>149</v>
      </c>
      <c r="C10335" t="s">
        <v>245</v>
      </c>
      <c r="D10335" t="s">
        <v>374</v>
      </c>
      <c r="E10335" t="s">
        <v>484</v>
      </c>
      <c r="F10335">
        <f>HYPERLINK("https://www.wikidata.org/wiki/Q2426439", "Q2426439")</f>
        <v>0</v>
      </c>
      <c r="G10335" t="s">
        <v>818</v>
      </c>
      <c r="H10335" t="s">
        <v>5575</v>
      </c>
      <c r="I10335" t="s">
        <v>9470</v>
      </c>
      <c r="J10335" t="s">
        <v>11565</v>
      </c>
      <c r="K10335" t="s">
        <v>15969</v>
      </c>
      <c r="L10335">
        <f>HYPERLINK("https://www2.assemblee-nationale.fr/sycomore/fiche/(num_dept)/7055", "7055")</f>
        <v>0</v>
      </c>
      <c r="N10335">
        <f>HYPERLINK("https://www.wikidata.org/wiki/Q2246519", "Q2246519")</f>
        <v>0</v>
      </c>
      <c r="O10335" t="s">
        <v>20053</v>
      </c>
    </row>
    <row r="10336" spans="1:15">
      <c r="A10336" t="s">
        <v>113</v>
      </c>
      <c r="B10336" t="s">
        <v>149</v>
      </c>
      <c r="C10336" t="s">
        <v>245</v>
      </c>
      <c r="D10336" t="s">
        <v>374</v>
      </c>
      <c r="E10336" t="s">
        <v>484</v>
      </c>
      <c r="F10336">
        <f>HYPERLINK("https://www.wikidata.org/wiki/Q2426439", "Q2426439")</f>
        <v>0</v>
      </c>
      <c r="G10336" t="s">
        <v>3603</v>
      </c>
      <c r="H10336" t="s">
        <v>7947</v>
      </c>
      <c r="I10336" t="s">
        <v>6175</v>
      </c>
      <c r="J10336" t="s">
        <v>14188</v>
      </c>
      <c r="K10336" t="s">
        <v>18554</v>
      </c>
      <c r="L10336">
        <f>HYPERLINK("https://www2.assemblee-nationale.fr/sycomore/fiche/(num_dept)/7163", "7163")</f>
        <v>0</v>
      </c>
      <c r="M10336">
        <f>HYPERLINK("https://www.senat.fr/senateur-3eme-republique/trouillot_georges0444r3.html", "trouillot_georges0444r3")</f>
        <v>0</v>
      </c>
      <c r="N10336">
        <f>HYPERLINK("https://www.wikidata.org/wiki/Q3103564", "Q3103564")</f>
        <v>0</v>
      </c>
      <c r="O10336" t="s">
        <v>20233</v>
      </c>
    </row>
    <row r="10337" spans="1:15">
      <c r="A10337" t="s">
        <v>113</v>
      </c>
      <c r="B10337" t="s">
        <v>149</v>
      </c>
      <c r="C10337" t="s">
        <v>245</v>
      </c>
      <c r="D10337" t="s">
        <v>374</v>
      </c>
      <c r="E10337" t="s">
        <v>484</v>
      </c>
      <c r="F10337">
        <f>HYPERLINK("https://www.wikidata.org/wiki/Q2426439", "Q2426439")</f>
        <v>0</v>
      </c>
      <c r="G10337" t="s">
        <v>4276</v>
      </c>
      <c r="H10337" t="s">
        <v>5892</v>
      </c>
      <c r="I10337" t="s">
        <v>9407</v>
      </c>
      <c r="J10337" t="s">
        <v>14775</v>
      </c>
      <c r="K10337" t="s">
        <v>19122</v>
      </c>
      <c r="M10337">
        <f>HYPERLINK("https://www.senat.fr/senateur-3eme-republique/chaumie_joseph0747r3.html", "chaumie_joseph0747r3")</f>
        <v>0</v>
      </c>
      <c r="N10337">
        <f>HYPERLINK("https://www.wikidata.org/wiki/Q3184755", "Q3184755")</f>
        <v>0</v>
      </c>
      <c r="O10337" t="s">
        <v>20064</v>
      </c>
    </row>
    <row r="10338" spans="1:15">
      <c r="A10338" t="s">
        <v>113</v>
      </c>
      <c r="B10338" t="s">
        <v>149</v>
      </c>
      <c r="C10338" t="s">
        <v>245</v>
      </c>
      <c r="D10338" t="s">
        <v>374</v>
      </c>
      <c r="E10338" t="s">
        <v>484</v>
      </c>
      <c r="F10338">
        <f>HYPERLINK("https://www.wikidata.org/wiki/Q2426439", "Q2426439")</f>
        <v>0</v>
      </c>
      <c r="G10338" t="s">
        <v>4293</v>
      </c>
      <c r="H10338" t="s">
        <v>8452</v>
      </c>
      <c r="I10338" t="s">
        <v>7790</v>
      </c>
      <c r="J10338" t="s">
        <v>14792</v>
      </c>
      <c r="K10338" t="s">
        <v>19136</v>
      </c>
      <c r="M10338">
        <f>HYPERLINK("https://www.senat.fr/senateur-3eme-republique/gauthier_armand0264r3.html", "gauthier_armand0264r3")</f>
        <v>0</v>
      </c>
      <c r="N10338">
        <f>HYPERLINK("https://www.wikidata.org/wiki/Q2861852", "Q2861852")</f>
        <v>0</v>
      </c>
      <c r="O10338" t="s">
        <v>20063</v>
      </c>
    </row>
    <row r="10339" spans="1:15">
      <c r="A10339" t="s">
        <v>114</v>
      </c>
      <c r="B10339" t="s">
        <v>149</v>
      </c>
      <c r="C10339" t="s">
        <v>246</v>
      </c>
      <c r="D10339" t="s">
        <v>375</v>
      </c>
      <c r="E10339" t="s">
        <v>485</v>
      </c>
      <c r="F10339">
        <f>HYPERLINK("https://www.wikidata.org/wiki/Q3111843", "Q3111843")</f>
        <v>0</v>
      </c>
      <c r="G10339" t="s">
        <v>1718</v>
      </c>
      <c r="H10339" t="s">
        <v>6393</v>
      </c>
      <c r="I10339" t="s">
        <v>9908</v>
      </c>
      <c r="J10339" t="s">
        <v>12419</v>
      </c>
      <c r="K10339" t="s">
        <v>16827</v>
      </c>
      <c r="L10339">
        <f>HYPERLINK("https://www2.assemblee-nationale.fr/sycomore/fiche/(num_dept)/782", "782")</f>
        <v>0</v>
      </c>
      <c r="N10339">
        <f>HYPERLINK("https://www.wikidata.org/wiki/Q3302423", "Q3302423")</f>
        <v>0</v>
      </c>
      <c r="O10339" t="s">
        <v>20376</v>
      </c>
    </row>
    <row r="10340" spans="1:15">
      <c r="A10340" t="s">
        <v>114</v>
      </c>
      <c r="B10340" t="s">
        <v>149</v>
      </c>
      <c r="C10340" t="s">
        <v>246</v>
      </c>
      <c r="D10340" t="s">
        <v>375</v>
      </c>
      <c r="E10340" t="s">
        <v>485</v>
      </c>
      <c r="F10340">
        <f>HYPERLINK("https://www.wikidata.org/wiki/Q3111843", "Q3111843")</f>
        <v>0</v>
      </c>
      <c r="G10340" t="s">
        <v>1410</v>
      </c>
      <c r="H10340" t="s">
        <v>5337</v>
      </c>
      <c r="I10340" t="s">
        <v>9506</v>
      </c>
      <c r="J10340" t="s">
        <v>12135</v>
      </c>
      <c r="K10340" t="s">
        <v>16537</v>
      </c>
      <c r="L10340">
        <f>HYPERLINK("https://www2.assemblee-nationale.fr/sycomore/fiche/(num_dept)/1726", "1726")</f>
        <v>0</v>
      </c>
      <c r="M10340">
        <f>HYPERLINK("https://www.senat.fr/senateur-3eme-republique/chautemps_camille0380r3.html", "chautemps_camille0380r3")</f>
        <v>0</v>
      </c>
      <c r="N10340">
        <f>HYPERLINK("https://www.wikidata.org/wiki/Q263884", "Q263884")</f>
        <v>0</v>
      </c>
      <c r="O10340" t="s">
        <v>20058</v>
      </c>
    </row>
    <row r="10341" spans="1:15">
      <c r="A10341" t="s">
        <v>114</v>
      </c>
      <c r="B10341" t="s">
        <v>149</v>
      </c>
      <c r="C10341" t="s">
        <v>246</v>
      </c>
      <c r="D10341" t="s">
        <v>375</v>
      </c>
      <c r="E10341" t="s">
        <v>485</v>
      </c>
      <c r="F10341">
        <f>HYPERLINK("https://www.wikidata.org/wiki/Q3111843", "Q3111843")</f>
        <v>0</v>
      </c>
      <c r="G10341" t="s">
        <v>1946</v>
      </c>
      <c r="H10341" t="s">
        <v>6590</v>
      </c>
      <c r="I10341" t="s">
        <v>6860</v>
      </c>
      <c r="J10341" t="s">
        <v>12630</v>
      </c>
      <c r="K10341" t="s">
        <v>17040</v>
      </c>
      <c r="L10341">
        <f>HYPERLINK("https://www2.assemblee-nationale.fr/sycomore/fiche/(num_dept)/1997", "1997")</f>
        <v>0</v>
      </c>
      <c r="N10341">
        <f>HYPERLINK("https://www.wikidata.org/wiki/Q2274693", "Q2274693")</f>
        <v>0</v>
      </c>
      <c r="O10341" t="s">
        <v>20072</v>
      </c>
    </row>
    <row r="10342" spans="1:15">
      <c r="A10342" t="s">
        <v>114</v>
      </c>
      <c r="B10342" t="s">
        <v>149</v>
      </c>
      <c r="C10342" t="s">
        <v>246</v>
      </c>
      <c r="D10342" t="s">
        <v>375</v>
      </c>
      <c r="E10342" t="s">
        <v>485</v>
      </c>
      <c r="F10342">
        <f>HYPERLINK("https://www.wikidata.org/wiki/Q3111843", "Q3111843")</f>
        <v>0</v>
      </c>
      <c r="G10342" t="s">
        <v>1423</v>
      </c>
      <c r="H10342" t="s">
        <v>6128</v>
      </c>
      <c r="I10342" t="s">
        <v>9728</v>
      </c>
      <c r="J10342" t="s">
        <v>12147</v>
      </c>
      <c r="K10342" t="s">
        <v>16549</v>
      </c>
      <c r="L10342">
        <f>HYPERLINK("https://www2.assemblee-nationale.fr/sycomore/fiche/(num_dept)/2105", "2105")</f>
        <v>0</v>
      </c>
      <c r="N10342">
        <f>HYPERLINK("https://www.wikidata.org/wiki/Q213526", "Q213526")</f>
        <v>0</v>
      </c>
      <c r="O10342" t="s">
        <v>20057</v>
      </c>
    </row>
    <row r="10343" spans="1:15">
      <c r="A10343" t="s">
        <v>114</v>
      </c>
      <c r="B10343" t="s">
        <v>149</v>
      </c>
      <c r="C10343" t="s">
        <v>246</v>
      </c>
      <c r="D10343" t="s">
        <v>375</v>
      </c>
      <c r="E10343" t="s">
        <v>485</v>
      </c>
      <c r="F10343">
        <f>HYPERLINK("https://www.wikidata.org/wiki/Q3111843", "Q3111843")</f>
        <v>0</v>
      </c>
      <c r="G10343" t="s">
        <v>597</v>
      </c>
      <c r="H10343" t="s">
        <v>5358</v>
      </c>
      <c r="I10343" t="s">
        <v>6584</v>
      </c>
      <c r="J10343" t="s">
        <v>11348</v>
      </c>
      <c r="K10343" t="s">
        <v>15749</v>
      </c>
      <c r="L10343">
        <f>HYPERLINK("https://www2.assemblee-nationale.fr/sycomore/fiche/(num_dept)/2110", "2110")</f>
        <v>0</v>
      </c>
      <c r="N10343">
        <f>HYPERLINK("https://www.wikidata.org/wiki/Q2831073", "Q2831073")</f>
        <v>0</v>
      </c>
      <c r="O10343" t="s">
        <v>20064</v>
      </c>
    </row>
    <row r="10344" spans="1:15">
      <c r="A10344" t="s">
        <v>114</v>
      </c>
      <c r="B10344" t="s">
        <v>149</v>
      </c>
      <c r="C10344" t="s">
        <v>246</v>
      </c>
      <c r="D10344" t="s">
        <v>375</v>
      </c>
      <c r="E10344" t="s">
        <v>485</v>
      </c>
      <c r="F10344">
        <f>HYPERLINK("https://www.wikidata.org/wiki/Q3111843", "Q3111843")</f>
        <v>0</v>
      </c>
      <c r="G10344" t="s">
        <v>597</v>
      </c>
      <c r="H10344" t="s">
        <v>5358</v>
      </c>
      <c r="I10344" t="s">
        <v>6584</v>
      </c>
      <c r="J10344" t="s">
        <v>11348</v>
      </c>
      <c r="K10344" t="s">
        <v>15749</v>
      </c>
      <c r="L10344">
        <f>HYPERLINK("https://www2.assemblee-nationale.fr/sycomore/fiche/(num_dept)/2110", "2110")</f>
        <v>0</v>
      </c>
      <c r="N10344">
        <f>HYPERLINK("https://www.wikidata.org/wiki/Q2831073", "Q2831073")</f>
        <v>0</v>
      </c>
      <c r="O10344" t="s">
        <v>20074</v>
      </c>
    </row>
    <row r="10345" spans="1:15">
      <c r="A10345" t="s">
        <v>114</v>
      </c>
      <c r="B10345" t="s">
        <v>149</v>
      </c>
      <c r="C10345" t="s">
        <v>246</v>
      </c>
      <c r="D10345" t="s">
        <v>375</v>
      </c>
      <c r="E10345" t="s">
        <v>485</v>
      </c>
      <c r="F10345">
        <f>HYPERLINK("https://www.wikidata.org/wiki/Q3111843", "Q3111843")</f>
        <v>0</v>
      </c>
      <c r="G10345" t="s">
        <v>1444</v>
      </c>
      <c r="H10345" t="s">
        <v>6145</v>
      </c>
      <c r="I10345" t="s">
        <v>9472</v>
      </c>
      <c r="J10345" t="s">
        <v>12165</v>
      </c>
      <c r="K10345" t="s">
        <v>16570</v>
      </c>
      <c r="L10345">
        <f>HYPERLINK("https://www2.assemblee-nationale.fr/sycomore/fiche/(num_dept)/2655", "2655")</f>
        <v>0</v>
      </c>
      <c r="N10345">
        <f>HYPERLINK("https://www.wikidata.org/wiki/Q3136053", "Q3136053")</f>
        <v>0</v>
      </c>
      <c r="O10345" t="s">
        <v>20088</v>
      </c>
    </row>
    <row r="10346" spans="1:15">
      <c r="A10346" t="s">
        <v>114</v>
      </c>
      <c r="B10346" t="s">
        <v>149</v>
      </c>
      <c r="C10346" t="s">
        <v>246</v>
      </c>
      <c r="D10346" t="s">
        <v>375</v>
      </c>
      <c r="E10346" t="s">
        <v>485</v>
      </c>
      <c r="F10346">
        <f>HYPERLINK("https://www.wikidata.org/wiki/Q3111843", "Q3111843")</f>
        <v>0</v>
      </c>
      <c r="G10346" t="s">
        <v>1170</v>
      </c>
      <c r="H10346" t="s">
        <v>5901</v>
      </c>
      <c r="I10346" t="s">
        <v>5592</v>
      </c>
      <c r="J10346" t="s">
        <v>11903</v>
      </c>
      <c r="K10346" t="s">
        <v>16305</v>
      </c>
      <c r="L10346">
        <f>HYPERLINK("https://www2.assemblee-nationale.fr/sycomore/fiche/(num_dept)/2874", "2874")</f>
        <v>0</v>
      </c>
      <c r="M10346">
        <f>HYPERLINK("https://www.senat.fr/senateur-3eme-republique/eynac_laurent0520r3.html", "eynac_laurent0520r3")</f>
        <v>0</v>
      </c>
      <c r="N10346">
        <f>HYPERLINK("https://www.wikidata.org/wiki/Q3219208", "Q3219208")</f>
        <v>0</v>
      </c>
      <c r="O10346" t="s">
        <v>20110</v>
      </c>
    </row>
    <row r="10347" spans="1:15">
      <c r="A10347" t="s">
        <v>114</v>
      </c>
      <c r="B10347" t="s">
        <v>149</v>
      </c>
      <c r="C10347" t="s">
        <v>246</v>
      </c>
      <c r="D10347" t="s">
        <v>375</v>
      </c>
      <c r="E10347" t="s">
        <v>485</v>
      </c>
      <c r="F10347">
        <f>HYPERLINK("https://www.wikidata.org/wiki/Q3111843", "Q3111843")</f>
        <v>0</v>
      </c>
      <c r="G10347" t="s">
        <v>1802</v>
      </c>
      <c r="H10347" t="s">
        <v>6467</v>
      </c>
      <c r="I10347" t="s">
        <v>9465</v>
      </c>
      <c r="J10347" t="s">
        <v>12497</v>
      </c>
      <c r="K10347" t="s">
        <v>16907</v>
      </c>
      <c r="L10347">
        <f>HYPERLINK("https://www2.assemblee-nationale.fr/sycomore/fiche/(num_dept)/3167", "3167")</f>
        <v>0</v>
      </c>
      <c r="N10347">
        <f>HYPERLINK("https://www.wikidata.org/wiki/Q3059882", "Q3059882")</f>
        <v>0</v>
      </c>
      <c r="O10347" t="s">
        <v>20204</v>
      </c>
    </row>
    <row r="10348" spans="1:15">
      <c r="A10348" t="s">
        <v>114</v>
      </c>
      <c r="B10348" t="s">
        <v>149</v>
      </c>
      <c r="C10348" t="s">
        <v>246</v>
      </c>
      <c r="D10348" t="s">
        <v>375</v>
      </c>
      <c r="E10348" t="s">
        <v>485</v>
      </c>
      <c r="F10348">
        <f>HYPERLINK("https://www.wikidata.org/wiki/Q3111843", "Q3111843")</f>
        <v>0</v>
      </c>
      <c r="G10348" t="s">
        <v>1175</v>
      </c>
      <c r="H10348" t="s">
        <v>5906</v>
      </c>
      <c r="I10348" t="s">
        <v>8494</v>
      </c>
      <c r="J10348" t="s">
        <v>11908</v>
      </c>
      <c r="K10348" t="s">
        <v>16310</v>
      </c>
      <c r="L10348">
        <f>HYPERLINK("https://www2.assemblee-nationale.fr/sycomore/fiche/(num_dept)/3254", "3254")</f>
        <v>0</v>
      </c>
      <c r="M10348">
        <f>HYPERLINK("https://www.senat.fr/senateur-3eme-republique/gardey_abel0150r3.html", "gardey_abel0150r3")</f>
        <v>0</v>
      </c>
      <c r="N10348">
        <f>HYPERLINK("https://www.wikidata.org/wiki/Q2821514", "Q2821514")</f>
        <v>0</v>
      </c>
      <c r="O10348" t="s">
        <v>20194</v>
      </c>
    </row>
    <row r="10349" spans="1:15">
      <c r="A10349" t="s">
        <v>114</v>
      </c>
      <c r="B10349" t="s">
        <v>149</v>
      </c>
      <c r="C10349" t="s">
        <v>246</v>
      </c>
      <c r="D10349" t="s">
        <v>375</v>
      </c>
      <c r="E10349" t="s">
        <v>485</v>
      </c>
      <c r="F10349">
        <f>HYPERLINK("https://www.wikidata.org/wiki/Q3111843", "Q3111843")</f>
        <v>0</v>
      </c>
      <c r="G10349" t="s">
        <v>1960</v>
      </c>
      <c r="H10349" t="s">
        <v>6601</v>
      </c>
      <c r="I10349" t="s">
        <v>6713</v>
      </c>
      <c r="J10349" t="s">
        <v>12643</v>
      </c>
      <c r="K10349" t="s">
        <v>17053</v>
      </c>
      <c r="L10349">
        <f>HYPERLINK("https://www2.assemblee-nationale.fr/sycomore/fiche/(num_dept)/4175", "4175")</f>
        <v>0</v>
      </c>
      <c r="N10349">
        <f>HYPERLINK("https://www.wikidata.org/wiki/Q3121895", "Q3121895")</f>
        <v>0</v>
      </c>
      <c r="O10349" t="s">
        <v>20130</v>
      </c>
    </row>
    <row r="10350" spans="1:15">
      <c r="A10350" t="s">
        <v>114</v>
      </c>
      <c r="B10350" t="s">
        <v>149</v>
      </c>
      <c r="C10350" t="s">
        <v>246</v>
      </c>
      <c r="D10350" t="s">
        <v>375</v>
      </c>
      <c r="E10350" t="s">
        <v>485</v>
      </c>
      <c r="F10350">
        <f>HYPERLINK("https://www.wikidata.org/wiki/Q3111843", "Q3111843")</f>
        <v>0</v>
      </c>
      <c r="G10350" t="s">
        <v>2107</v>
      </c>
      <c r="H10350" t="s">
        <v>6730</v>
      </c>
      <c r="I10350" t="s">
        <v>7265</v>
      </c>
      <c r="J10350" t="s">
        <v>12772</v>
      </c>
      <c r="K10350" t="s">
        <v>17189</v>
      </c>
      <c r="L10350">
        <f>HYPERLINK("https://www2.assemblee-nationale.fr/sycomore/fiche/(num_dept)/4982", "4982")</f>
        <v>0</v>
      </c>
      <c r="N10350">
        <f>HYPERLINK("https://www.wikidata.org/wiki/Q3380310", "Q3380310")</f>
        <v>0</v>
      </c>
      <c r="O10350" t="s">
        <v>20206</v>
      </c>
    </row>
    <row r="10351" spans="1:15">
      <c r="A10351" t="s">
        <v>114</v>
      </c>
      <c r="B10351" t="s">
        <v>149</v>
      </c>
      <c r="C10351" t="s">
        <v>246</v>
      </c>
      <c r="D10351" t="s">
        <v>375</v>
      </c>
      <c r="E10351" t="s">
        <v>485</v>
      </c>
      <c r="F10351">
        <f>HYPERLINK("https://www.wikidata.org/wiki/Q3111843", "Q3111843")</f>
        <v>0</v>
      </c>
      <c r="G10351" t="s">
        <v>2108</v>
      </c>
      <c r="H10351" t="s">
        <v>6731</v>
      </c>
      <c r="I10351" t="s">
        <v>6585</v>
      </c>
      <c r="J10351" t="s">
        <v>12773</v>
      </c>
      <c r="K10351" t="s">
        <v>17190</v>
      </c>
      <c r="L10351">
        <f>HYPERLINK("https://www2.assemblee-nationale.fr/sycomore/fiche/(num_dept)/4997", "4997")</f>
        <v>0</v>
      </c>
      <c r="N10351">
        <f>HYPERLINK("https://www.wikidata.org/wiki/Q440565", "Q440565")</f>
        <v>0</v>
      </c>
      <c r="O10351" t="s">
        <v>20377</v>
      </c>
    </row>
    <row r="10352" spans="1:15">
      <c r="A10352" t="s">
        <v>114</v>
      </c>
      <c r="B10352" t="s">
        <v>149</v>
      </c>
      <c r="C10352" t="s">
        <v>246</v>
      </c>
      <c r="D10352" t="s">
        <v>375</v>
      </c>
      <c r="E10352" t="s">
        <v>485</v>
      </c>
      <c r="F10352">
        <f>HYPERLINK("https://www.wikidata.org/wiki/Q3111843", "Q3111843")</f>
        <v>0</v>
      </c>
      <c r="G10352" t="s">
        <v>2120</v>
      </c>
      <c r="H10352" t="s">
        <v>6740</v>
      </c>
      <c r="I10352" t="s">
        <v>6200</v>
      </c>
      <c r="J10352" t="s">
        <v>12784</v>
      </c>
      <c r="K10352" t="s">
        <v>17200</v>
      </c>
      <c r="L10352">
        <f>HYPERLINK("https://www2.assemblee-nationale.fr/sycomore/fiche/(num_dept)/5310", "5310")</f>
        <v>0</v>
      </c>
      <c r="N10352">
        <f>HYPERLINK("https://www.wikidata.org/wiki/Q845559", "Q845559")</f>
        <v>0</v>
      </c>
      <c r="O10352" t="s">
        <v>20078</v>
      </c>
    </row>
    <row r="10353" spans="1:15">
      <c r="A10353" t="s">
        <v>114</v>
      </c>
      <c r="B10353" t="s">
        <v>149</v>
      </c>
      <c r="C10353" t="s">
        <v>246</v>
      </c>
      <c r="D10353" t="s">
        <v>375</v>
      </c>
      <c r="E10353" t="s">
        <v>485</v>
      </c>
      <c r="F10353">
        <f>HYPERLINK("https://www.wikidata.org/wiki/Q3111843", "Q3111843")</f>
        <v>0</v>
      </c>
      <c r="G10353" t="s">
        <v>738</v>
      </c>
      <c r="H10353" t="s">
        <v>5496</v>
      </c>
      <c r="I10353" t="s">
        <v>9503</v>
      </c>
      <c r="J10353" t="s">
        <v>11487</v>
      </c>
      <c r="K10353" t="s">
        <v>15889</v>
      </c>
      <c r="L10353">
        <f>HYPERLINK("https://www2.assemblee-nationale.fr/sycomore/fiche/(num_dept)/5394", "5394")</f>
        <v>0</v>
      </c>
      <c r="M10353">
        <f>HYPERLINK("https://www.senat.fr/senateur-3eme-republique/de_monzie_anatole0605r3.html", "de_monzie_anatole0605r3")</f>
        <v>0</v>
      </c>
      <c r="N10353">
        <f>HYPERLINK("https://www.wikidata.org/wiki/Q2845619", "Q2845619")</f>
        <v>0</v>
      </c>
      <c r="O10353" t="s">
        <v>20085</v>
      </c>
    </row>
    <row r="10354" spans="1:15">
      <c r="A10354" t="s">
        <v>114</v>
      </c>
      <c r="B10354" t="s">
        <v>149</v>
      </c>
      <c r="C10354" t="s">
        <v>246</v>
      </c>
      <c r="D10354" t="s">
        <v>375</v>
      </c>
      <c r="E10354" t="s">
        <v>485</v>
      </c>
      <c r="F10354">
        <f>HYPERLINK("https://www.wikidata.org/wiki/Q3111843", "Q3111843")</f>
        <v>0</v>
      </c>
      <c r="G10354" t="s">
        <v>1860</v>
      </c>
      <c r="H10354" t="s">
        <v>6516</v>
      </c>
      <c r="I10354" t="s">
        <v>9407</v>
      </c>
      <c r="J10354" t="s">
        <v>12550</v>
      </c>
      <c r="K10354" t="s">
        <v>16961</v>
      </c>
      <c r="L10354">
        <f>HYPERLINK("https://www2.assemblee-nationale.fr/sycomore/fiche/(num_dept)/5646", "5646")</f>
        <v>0</v>
      </c>
      <c r="M10354">
        <f>HYPERLINK("https://www.senat.fr/senateur-3eme-republique/paganon_joseph1203r3.html", "paganon_joseph1203r3")</f>
        <v>0</v>
      </c>
      <c r="N10354">
        <f>HYPERLINK("https://www.wikidata.org/wiki/Q3185441", "Q3185441")</f>
        <v>0</v>
      </c>
      <c r="O10354" t="s">
        <v>20063</v>
      </c>
    </row>
    <row r="10355" spans="1:15">
      <c r="A10355" t="s">
        <v>114</v>
      </c>
      <c r="B10355" t="s">
        <v>149</v>
      </c>
      <c r="C10355" t="s">
        <v>246</v>
      </c>
      <c r="D10355" t="s">
        <v>375</v>
      </c>
      <c r="E10355" t="s">
        <v>485</v>
      </c>
      <c r="F10355">
        <f>HYPERLINK("https://www.wikidata.org/wiki/Q3111843", "Q3111843")</f>
        <v>0</v>
      </c>
      <c r="G10355" t="s">
        <v>752</v>
      </c>
      <c r="H10355" t="s">
        <v>5510</v>
      </c>
      <c r="I10355" t="s">
        <v>9407</v>
      </c>
      <c r="J10355" t="s">
        <v>11500</v>
      </c>
      <c r="K10355" t="s">
        <v>15903</v>
      </c>
      <c r="L10355">
        <f>HYPERLINK("https://www2.assemblee-nationale.fr/sycomore/fiche/(num_dept)/5724", "5724")</f>
        <v>0</v>
      </c>
      <c r="M10355">
        <f>HYPERLINK("https://www.senat.fr/senateur-3eme-republique/paul_boncour_joseph0550r4.html", "paul_boncour_joseph0550r4")</f>
        <v>0</v>
      </c>
      <c r="N10355">
        <f>HYPERLINK("https://www.wikidata.org/wiki/Q285865", "Q285865")</f>
        <v>0</v>
      </c>
      <c r="O10355" t="s">
        <v>20062</v>
      </c>
    </row>
    <row r="10356" spans="1:15">
      <c r="A10356" t="s">
        <v>114</v>
      </c>
      <c r="B10356" t="s">
        <v>149</v>
      </c>
      <c r="C10356" t="s">
        <v>246</v>
      </c>
      <c r="D10356" t="s">
        <v>375</v>
      </c>
      <c r="E10356" t="s">
        <v>485</v>
      </c>
      <c r="F10356">
        <f>HYPERLINK("https://www.wikidata.org/wiki/Q3111843", "Q3111843")</f>
        <v>0</v>
      </c>
      <c r="G10356" t="s">
        <v>1873</v>
      </c>
      <c r="H10356" t="s">
        <v>6528</v>
      </c>
      <c r="I10356" t="s">
        <v>6166</v>
      </c>
      <c r="J10356" t="s">
        <v>12561</v>
      </c>
      <c r="K10356" t="s">
        <v>16973</v>
      </c>
      <c r="L10356">
        <f>HYPERLINK("https://www2.assemblee-nationale.fr/sycomore/fiche/(num_dept)/5924", "5924")</f>
        <v>0</v>
      </c>
      <c r="N10356">
        <f>HYPERLINK("https://www.wikidata.org/wiki/Q3085590", "Q3085590")</f>
        <v>0</v>
      </c>
      <c r="O10356" t="s">
        <v>20065</v>
      </c>
    </row>
    <row r="10357" spans="1:15">
      <c r="A10357" t="s">
        <v>114</v>
      </c>
      <c r="B10357" t="s">
        <v>149</v>
      </c>
      <c r="C10357" t="s">
        <v>246</v>
      </c>
      <c r="D10357" t="s">
        <v>375</v>
      </c>
      <c r="E10357" t="s">
        <v>485</v>
      </c>
      <c r="F10357">
        <f>HYPERLINK("https://www.wikidata.org/wiki/Q3111843", "Q3111843")</f>
        <v>0</v>
      </c>
      <c r="G10357" t="s">
        <v>778</v>
      </c>
      <c r="H10357" t="s">
        <v>5536</v>
      </c>
      <c r="I10357" t="s">
        <v>6584</v>
      </c>
      <c r="J10357" t="s">
        <v>11525</v>
      </c>
      <c r="K10357" t="s">
        <v>15929</v>
      </c>
      <c r="L10357">
        <f>HYPERLINK("https://www2.assemblee-nationale.fr/sycomore/fiche/(num_dept)/6293", "6293")</f>
        <v>0</v>
      </c>
      <c r="M10357">
        <f>HYPERLINK("https://www.senat.fr/senateur-3eme-republique/sarraut_albert0265r3.html", "sarraut_albert0265r3")</f>
        <v>0</v>
      </c>
      <c r="N10357">
        <f>HYPERLINK("https://www.wikidata.org/wiki/Q460318", "Q460318")</f>
        <v>0</v>
      </c>
      <c r="O10357" t="s">
        <v>20053</v>
      </c>
    </row>
    <row r="10358" spans="1:15">
      <c r="A10358" t="s">
        <v>114</v>
      </c>
      <c r="B10358" t="s">
        <v>149</v>
      </c>
      <c r="C10358" t="s">
        <v>246</v>
      </c>
      <c r="D10358" t="s">
        <v>375</v>
      </c>
      <c r="E10358" t="s">
        <v>485</v>
      </c>
      <c r="F10358">
        <f>HYPERLINK("https://www.wikidata.org/wiki/Q3111843", "Q3111843")</f>
        <v>0</v>
      </c>
      <c r="G10358" t="s">
        <v>778</v>
      </c>
      <c r="H10358" t="s">
        <v>5536</v>
      </c>
      <c r="I10358" t="s">
        <v>6584</v>
      </c>
      <c r="J10358" t="s">
        <v>11525</v>
      </c>
      <c r="K10358" t="s">
        <v>15929</v>
      </c>
      <c r="L10358">
        <f>HYPERLINK("https://www2.assemblee-nationale.fr/sycomore/fiche/(num_dept)/6293", "6293")</f>
        <v>0</v>
      </c>
      <c r="M10358">
        <f>HYPERLINK("https://www.senat.fr/senateur-3eme-republique/sarraut_albert0265r3.html", "sarraut_albert0265r3")</f>
        <v>0</v>
      </c>
      <c r="N10358">
        <f>HYPERLINK("https://www.wikidata.org/wiki/Q460318", "Q460318")</f>
        <v>0</v>
      </c>
      <c r="O10358" t="s">
        <v>20052</v>
      </c>
    </row>
    <row r="10359" spans="1:15">
      <c r="A10359" t="s">
        <v>114</v>
      </c>
      <c r="B10359" t="s">
        <v>149</v>
      </c>
      <c r="C10359" t="s">
        <v>246</v>
      </c>
      <c r="D10359" t="s">
        <v>375</v>
      </c>
      <c r="E10359" t="s">
        <v>485</v>
      </c>
      <c r="F10359">
        <f>HYPERLINK("https://www.wikidata.org/wiki/Q3111843", "Q3111843")</f>
        <v>0</v>
      </c>
      <c r="G10359" t="s">
        <v>1304</v>
      </c>
      <c r="H10359" t="s">
        <v>6025</v>
      </c>
      <c r="I10359" t="s">
        <v>9457</v>
      </c>
      <c r="J10359" t="s">
        <v>12034</v>
      </c>
      <c r="K10359" t="s">
        <v>16435</v>
      </c>
      <c r="L10359">
        <f>HYPERLINK("https://www2.assemblee-nationale.fr/sycomore/fiche/(num_dept)/6554", "6554")</f>
        <v>0</v>
      </c>
      <c r="M10359">
        <f>HYPERLINK("https://www.senat.fr/senateur-3eme-republique/queuille_henri0469r3.html", "queuille_henri0469r3")</f>
        <v>0</v>
      </c>
      <c r="N10359">
        <f>HYPERLINK("https://www.wikidata.org/wiki/Q455655", "Q455655")</f>
        <v>0</v>
      </c>
      <c r="O10359" t="s">
        <v>20056</v>
      </c>
    </row>
    <row r="10360" spans="1:15">
      <c r="A10360" t="s">
        <v>114</v>
      </c>
      <c r="B10360" t="s">
        <v>149</v>
      </c>
      <c r="C10360" t="s">
        <v>246</v>
      </c>
      <c r="D10360" t="s">
        <v>375</v>
      </c>
      <c r="E10360" t="s">
        <v>485</v>
      </c>
      <c r="F10360">
        <f>HYPERLINK("https://www.wikidata.org/wiki/Q3111843", "Q3111843")</f>
        <v>0</v>
      </c>
      <c r="G10360" t="s">
        <v>2175</v>
      </c>
      <c r="H10360" t="s">
        <v>6789</v>
      </c>
      <c r="I10360" t="s">
        <v>6166</v>
      </c>
      <c r="J10360" t="s">
        <v>12339</v>
      </c>
      <c r="K10360" t="s">
        <v>17251</v>
      </c>
      <c r="L10360">
        <f>HYPERLINK("https://www2.assemblee-nationale.fr/sycomore/fiche/(num_dept)/6999", "6999")</f>
        <v>0</v>
      </c>
      <c r="N10360">
        <f>HYPERLINK("https://www.wikidata.org/wiki/Q3086325", "Q3086325")</f>
        <v>0</v>
      </c>
      <c r="O10360" t="s">
        <v>20203</v>
      </c>
    </row>
    <row r="10361" spans="1:15">
      <c r="A10361" t="s">
        <v>114</v>
      </c>
      <c r="B10361" t="s">
        <v>149</v>
      </c>
      <c r="C10361" t="s">
        <v>246</v>
      </c>
      <c r="D10361" t="s">
        <v>375</v>
      </c>
      <c r="E10361" t="s">
        <v>485</v>
      </c>
      <c r="F10361">
        <f>HYPERLINK("https://www.wikidata.org/wiki/Q3111843", "Q3111843")</f>
        <v>0</v>
      </c>
      <c r="G10361" t="s">
        <v>1312</v>
      </c>
      <c r="H10361" t="s">
        <v>6033</v>
      </c>
      <c r="I10361" t="s">
        <v>7419</v>
      </c>
      <c r="J10361" t="s">
        <v>12042</v>
      </c>
      <c r="K10361" t="s">
        <v>16443</v>
      </c>
      <c r="N10361">
        <f>HYPERLINK("https://www.wikidata.org/wiki/Q935896", "Q935896")</f>
        <v>0</v>
      </c>
      <c r="O10361" t="s">
        <v>20108</v>
      </c>
    </row>
    <row r="10362" spans="1:15">
      <c r="A10362" t="s">
        <v>114</v>
      </c>
      <c r="B10362" t="s">
        <v>149</v>
      </c>
      <c r="C10362" t="s">
        <v>246</v>
      </c>
      <c r="D10362" t="s">
        <v>375</v>
      </c>
      <c r="E10362" t="s">
        <v>485</v>
      </c>
      <c r="F10362">
        <f>HYPERLINK("https://www.wikidata.org/wiki/Q3111843", "Q3111843")</f>
        <v>0</v>
      </c>
      <c r="G10362" t="s">
        <v>4280</v>
      </c>
      <c r="H10362" t="s">
        <v>8441</v>
      </c>
      <c r="I10362" t="s">
        <v>9437</v>
      </c>
      <c r="J10362" t="s">
        <v>14779</v>
      </c>
      <c r="K10362" t="s">
        <v>19126</v>
      </c>
      <c r="M10362">
        <f>HYPERLINK("https://www.senat.fr/senateur-3eme-republique/lisbonne_emile0723r3.html", "lisbonne_emile0723r3")</f>
        <v>0</v>
      </c>
      <c r="N10362">
        <f>HYPERLINK("https://www.wikidata.org/wiki/Q3588624", "Q3588624")</f>
        <v>0</v>
      </c>
      <c r="O10362" t="s">
        <v>20089</v>
      </c>
    </row>
    <row r="10363" spans="1:15">
      <c r="A10363" t="s">
        <v>114</v>
      </c>
      <c r="B10363" t="s">
        <v>149</v>
      </c>
      <c r="C10363" t="s">
        <v>246</v>
      </c>
      <c r="D10363" t="s">
        <v>375</v>
      </c>
      <c r="E10363" t="s">
        <v>485</v>
      </c>
      <c r="F10363">
        <f>HYPERLINK("https://www.wikidata.org/wiki/Q3111843", "Q3111843")</f>
        <v>0</v>
      </c>
      <c r="G10363" t="s">
        <v>1724</v>
      </c>
      <c r="H10363" t="s">
        <v>6360</v>
      </c>
      <c r="I10363" t="s">
        <v>6175</v>
      </c>
      <c r="J10363" t="s">
        <v>12425</v>
      </c>
      <c r="K10363" t="s">
        <v>16833</v>
      </c>
      <c r="N10363">
        <f>HYPERLINK("https://www.wikidata.org/wiki/Q3102323", "Q3102323")</f>
        <v>0</v>
      </c>
      <c r="O10363" t="s">
        <v>20066</v>
      </c>
    </row>
    <row r="10364" spans="1:15">
      <c r="A10364" t="s">
        <v>114</v>
      </c>
      <c r="B10364" t="s">
        <v>149</v>
      </c>
      <c r="C10364" t="s">
        <v>246</v>
      </c>
      <c r="D10364" t="s">
        <v>375</v>
      </c>
      <c r="E10364" t="s">
        <v>485</v>
      </c>
      <c r="F10364">
        <f>HYPERLINK("https://www.wikidata.org/wiki/Q3111843", "Q3111843")</f>
        <v>0</v>
      </c>
      <c r="G10364" t="s">
        <v>1430</v>
      </c>
      <c r="H10364" t="s">
        <v>6135</v>
      </c>
      <c r="I10364" t="s">
        <v>9385</v>
      </c>
      <c r="J10364" t="s">
        <v>12153</v>
      </c>
      <c r="K10364" t="s">
        <v>16556</v>
      </c>
      <c r="N10364">
        <f>HYPERLINK("https://www.wikidata.org/wiki/Q2958866", "Q2958866")</f>
        <v>0</v>
      </c>
      <c r="O10364" t="s">
        <v>20205</v>
      </c>
    </row>
    <row r="10365" spans="1:15">
      <c r="A10365" t="s">
        <v>114</v>
      </c>
      <c r="B10365" t="s">
        <v>149</v>
      </c>
      <c r="C10365" t="s">
        <v>246</v>
      </c>
      <c r="D10365" t="s">
        <v>375</v>
      </c>
      <c r="E10365" t="s">
        <v>485</v>
      </c>
      <c r="F10365">
        <f>HYPERLINK("https://www.wikidata.org/wiki/Q3111843", "Q3111843")</f>
        <v>0</v>
      </c>
      <c r="G10365" t="s">
        <v>4269</v>
      </c>
      <c r="H10365" t="s">
        <v>8434</v>
      </c>
      <c r="I10365" t="s">
        <v>9483</v>
      </c>
      <c r="J10365" t="s">
        <v>14769</v>
      </c>
      <c r="K10365" t="s">
        <v>17473</v>
      </c>
      <c r="M10365">
        <f>HYPERLINK("https://www.senat.fr/senateur-3eme-republique/le_gorgeu_victor0818r3.html", "le_gorgeu_victor0818r3")</f>
        <v>0</v>
      </c>
      <c r="N10365">
        <f>HYPERLINK("https://www.wikidata.org/wiki/Q3557509", "Q3557509")</f>
        <v>0</v>
      </c>
      <c r="O10365" t="s">
        <v>20200</v>
      </c>
    </row>
    <row r="10366" spans="1:15">
      <c r="A10366" t="s">
        <v>114</v>
      </c>
      <c r="B10366" t="s">
        <v>149</v>
      </c>
      <c r="C10366" t="s">
        <v>246</v>
      </c>
      <c r="D10366" t="s">
        <v>375</v>
      </c>
      <c r="E10366" t="s">
        <v>485</v>
      </c>
      <c r="F10366">
        <f>HYPERLINK("https://www.wikidata.org/wiki/Q3111843", "Q3111843")</f>
        <v>0</v>
      </c>
      <c r="G10366" t="s">
        <v>1741</v>
      </c>
      <c r="H10366" t="s">
        <v>5650</v>
      </c>
      <c r="I10366" t="s">
        <v>9552</v>
      </c>
      <c r="J10366" t="s">
        <v>12442</v>
      </c>
      <c r="K10366" t="s">
        <v>16849</v>
      </c>
      <c r="N10366">
        <f>HYPERLINK("https://www.wikidata.org/wiki/Q126307762", "Q126307762")</f>
        <v>0</v>
      </c>
      <c r="O10366" t="s">
        <v>20192</v>
      </c>
    </row>
    <row r="10367" spans="1:15">
      <c r="A10367" t="s">
        <v>115</v>
      </c>
      <c r="B10367" t="s">
        <v>149</v>
      </c>
      <c r="C10367" t="s">
        <v>247</v>
      </c>
      <c r="D10367" t="s">
        <v>376</v>
      </c>
      <c r="E10367" t="s">
        <v>294</v>
      </c>
      <c r="F10367">
        <f>HYPERLINK("https://www.wikidata.org/wiki/Q3111844", "Q3111844")</f>
        <v>0</v>
      </c>
      <c r="G10367" t="s">
        <v>2272</v>
      </c>
      <c r="H10367" t="s">
        <v>6871</v>
      </c>
      <c r="I10367" t="s">
        <v>6585</v>
      </c>
      <c r="J10367" t="s">
        <v>12930</v>
      </c>
      <c r="K10367" t="s">
        <v>17339</v>
      </c>
      <c r="L10367">
        <f>HYPERLINK("https://www2.assemblee-nationale.fr/sycomore/fiche/(num_dept)/532", "532")</f>
        <v>0</v>
      </c>
      <c r="N10367">
        <f>HYPERLINK("https://www.wikidata.org/wiki/Q2847242", "Q2847242")</f>
        <v>0</v>
      </c>
      <c r="O10367" t="s">
        <v>20061</v>
      </c>
    </row>
    <row r="10368" spans="1:15">
      <c r="A10368" t="s">
        <v>115</v>
      </c>
      <c r="B10368" t="s">
        <v>149</v>
      </c>
      <c r="C10368" t="s">
        <v>247</v>
      </c>
      <c r="D10368" t="s">
        <v>376</v>
      </c>
      <c r="E10368" t="s">
        <v>294</v>
      </c>
      <c r="F10368">
        <f>HYPERLINK("https://www.wikidata.org/wiki/Q3111844", "Q3111844")</f>
        <v>0</v>
      </c>
      <c r="G10368" t="s">
        <v>1718</v>
      </c>
      <c r="H10368" t="s">
        <v>6393</v>
      </c>
      <c r="I10368" t="s">
        <v>9908</v>
      </c>
      <c r="J10368" t="s">
        <v>12419</v>
      </c>
      <c r="K10368" t="s">
        <v>16827</v>
      </c>
      <c r="L10368">
        <f>HYPERLINK("https://www2.assemblee-nationale.fr/sycomore/fiche/(num_dept)/782", "782")</f>
        <v>0</v>
      </c>
      <c r="N10368">
        <f>HYPERLINK("https://www.wikidata.org/wiki/Q3302423", "Q3302423")</f>
        <v>0</v>
      </c>
      <c r="O10368" t="s">
        <v>20105</v>
      </c>
    </row>
    <row r="10369" spans="1:15">
      <c r="A10369" t="s">
        <v>115</v>
      </c>
      <c r="B10369" t="s">
        <v>149</v>
      </c>
      <c r="C10369" t="s">
        <v>247</v>
      </c>
      <c r="D10369" t="s">
        <v>376</v>
      </c>
      <c r="E10369" t="s">
        <v>294</v>
      </c>
      <c r="F10369">
        <f>HYPERLINK("https://www.wikidata.org/wiki/Q3111844", "Q3111844")</f>
        <v>0</v>
      </c>
      <c r="G10369" t="s">
        <v>906</v>
      </c>
      <c r="H10369" t="s">
        <v>5662</v>
      </c>
      <c r="I10369" t="s">
        <v>6495</v>
      </c>
      <c r="J10369" t="s">
        <v>11377</v>
      </c>
      <c r="K10369" t="s">
        <v>16050</v>
      </c>
      <c r="L10369">
        <f>HYPERLINK("https://www2.assemblee-nationale.fr/sycomore/fiche/(num_dept)/1648", "1648")</f>
        <v>0</v>
      </c>
      <c r="N10369">
        <f>HYPERLINK("https://www.wikidata.org/wiki/Q3263418", "Q3263418")</f>
        <v>0</v>
      </c>
      <c r="O10369" t="s">
        <v>20108</v>
      </c>
    </row>
    <row r="10370" spans="1:15">
      <c r="A10370" t="s">
        <v>115</v>
      </c>
      <c r="B10370" t="s">
        <v>149</v>
      </c>
      <c r="C10370" t="s">
        <v>247</v>
      </c>
      <c r="D10370" t="s">
        <v>376</v>
      </c>
      <c r="E10370" t="s">
        <v>294</v>
      </c>
      <c r="F10370">
        <f>HYPERLINK("https://www.wikidata.org/wiki/Q3111844", "Q3111844")</f>
        <v>0</v>
      </c>
      <c r="G10370" t="s">
        <v>1410</v>
      </c>
      <c r="H10370" t="s">
        <v>5337</v>
      </c>
      <c r="I10370" t="s">
        <v>9506</v>
      </c>
      <c r="J10370" t="s">
        <v>12135</v>
      </c>
      <c r="K10370" t="s">
        <v>16537</v>
      </c>
      <c r="L10370">
        <f>HYPERLINK("https://www2.assemblee-nationale.fr/sycomore/fiche/(num_dept)/1726", "1726")</f>
        <v>0</v>
      </c>
      <c r="M10370">
        <f>HYPERLINK("https://www.senat.fr/senateur-3eme-republique/chautemps_camille0380r3.html", "chautemps_camille0380r3")</f>
        <v>0</v>
      </c>
      <c r="N10370">
        <f>HYPERLINK("https://www.wikidata.org/wiki/Q263884", "Q263884")</f>
        <v>0</v>
      </c>
      <c r="O10370" t="s">
        <v>20063</v>
      </c>
    </row>
    <row r="10371" spans="1:15">
      <c r="A10371" t="s">
        <v>115</v>
      </c>
      <c r="B10371" t="s">
        <v>149</v>
      </c>
      <c r="C10371" t="s">
        <v>247</v>
      </c>
      <c r="D10371" t="s">
        <v>376</v>
      </c>
      <c r="E10371" t="s">
        <v>294</v>
      </c>
      <c r="F10371">
        <f>HYPERLINK("https://www.wikidata.org/wiki/Q3111844", "Q3111844")</f>
        <v>0</v>
      </c>
      <c r="G10371" t="s">
        <v>1924</v>
      </c>
      <c r="H10371" t="s">
        <v>6571</v>
      </c>
      <c r="I10371" t="s">
        <v>9523</v>
      </c>
      <c r="J10371" t="s">
        <v>12609</v>
      </c>
      <c r="K10371" t="s">
        <v>17020</v>
      </c>
      <c r="L10371">
        <f>HYPERLINK("https://www2.assemblee-nationale.fr/sycomore/fiche/(num_dept)/2184", "2184")</f>
        <v>0</v>
      </c>
      <c r="N10371">
        <f>HYPERLINK("https://www.wikidata.org/wiki/Q686084", "Q686084")</f>
        <v>0</v>
      </c>
      <c r="O10371" t="s">
        <v>20072</v>
      </c>
    </row>
    <row r="10372" spans="1:15">
      <c r="A10372" t="s">
        <v>115</v>
      </c>
      <c r="B10372" t="s">
        <v>149</v>
      </c>
      <c r="C10372" t="s">
        <v>247</v>
      </c>
      <c r="D10372" t="s">
        <v>376</v>
      </c>
      <c r="E10372" t="s">
        <v>294</v>
      </c>
      <c r="F10372">
        <f>HYPERLINK("https://www.wikidata.org/wiki/Q3111844", "Q3111844")</f>
        <v>0</v>
      </c>
      <c r="G10372" t="s">
        <v>1778</v>
      </c>
      <c r="H10372" t="s">
        <v>6446</v>
      </c>
      <c r="I10372" t="s">
        <v>9946</v>
      </c>
      <c r="J10372" t="s">
        <v>12475</v>
      </c>
      <c r="K10372" t="s">
        <v>16884</v>
      </c>
      <c r="L10372">
        <f>HYPERLINK("https://www2.assemblee-nationale.fr/sycomore/fiche/(num_dept)/2282", "2282")</f>
        <v>0</v>
      </c>
      <c r="N10372">
        <f>HYPERLINK("https://www.wikidata.org/wiki/Q362673", "Q362673")</f>
        <v>0</v>
      </c>
      <c r="O10372" t="s">
        <v>20064</v>
      </c>
    </row>
    <row r="10373" spans="1:15">
      <c r="A10373" t="s">
        <v>115</v>
      </c>
      <c r="B10373" t="s">
        <v>149</v>
      </c>
      <c r="C10373" t="s">
        <v>247</v>
      </c>
      <c r="D10373" t="s">
        <v>376</v>
      </c>
      <c r="E10373" t="s">
        <v>294</v>
      </c>
      <c r="F10373">
        <f>HYPERLINK("https://www.wikidata.org/wiki/Q3111844", "Q3111844")</f>
        <v>0</v>
      </c>
      <c r="G10373" t="s">
        <v>1955</v>
      </c>
      <c r="H10373" t="s">
        <v>6597</v>
      </c>
      <c r="I10373" t="s">
        <v>10016</v>
      </c>
      <c r="J10373" t="s">
        <v>12638</v>
      </c>
      <c r="K10373" t="s">
        <v>17048</v>
      </c>
      <c r="L10373">
        <f>HYPERLINK("https://www2.assemblee-nationale.fr/sycomore/fiche/(num_dept)/3166", "3166")</f>
        <v>0</v>
      </c>
      <c r="N10373">
        <f>HYPERLINK("https://www.wikidata.org/wiki/Q1109027", "Q1109027")</f>
        <v>0</v>
      </c>
      <c r="O10373" t="s">
        <v>20086</v>
      </c>
    </row>
    <row r="10374" spans="1:15">
      <c r="A10374" t="s">
        <v>115</v>
      </c>
      <c r="B10374" t="s">
        <v>149</v>
      </c>
      <c r="C10374" t="s">
        <v>247</v>
      </c>
      <c r="D10374" t="s">
        <v>376</v>
      </c>
      <c r="E10374" t="s">
        <v>294</v>
      </c>
      <c r="F10374">
        <f>HYPERLINK("https://www.wikidata.org/wiki/Q3111844", "Q3111844")</f>
        <v>0</v>
      </c>
      <c r="G10374" t="s">
        <v>2085</v>
      </c>
      <c r="H10374" t="s">
        <v>6710</v>
      </c>
      <c r="I10374" t="s">
        <v>9457</v>
      </c>
      <c r="J10374" t="s">
        <v>12756</v>
      </c>
      <c r="K10374" t="s">
        <v>17167</v>
      </c>
      <c r="L10374">
        <f>HYPERLINK("https://www2.assemblee-nationale.fr/sycomore/fiche/(num_dept)/3635", "3635")</f>
        <v>0</v>
      </c>
      <c r="N10374">
        <f>HYPERLINK("https://www.wikidata.org/wiki/Q3131234", "Q3131234")</f>
        <v>0</v>
      </c>
      <c r="O10374" t="s">
        <v>20085</v>
      </c>
    </row>
    <row r="10375" spans="1:15">
      <c r="A10375" t="s">
        <v>115</v>
      </c>
      <c r="B10375" t="s">
        <v>149</v>
      </c>
      <c r="C10375" t="s">
        <v>247</v>
      </c>
      <c r="D10375" t="s">
        <v>376</v>
      </c>
      <c r="E10375" t="s">
        <v>294</v>
      </c>
      <c r="F10375">
        <f>HYPERLINK("https://www.wikidata.org/wiki/Q3111844", "Q3111844")</f>
        <v>0</v>
      </c>
      <c r="G10375" t="s">
        <v>2232</v>
      </c>
      <c r="H10375" t="s">
        <v>6841</v>
      </c>
      <c r="I10375" t="s">
        <v>9458</v>
      </c>
      <c r="J10375" t="s">
        <v>12893</v>
      </c>
      <c r="K10375" t="s">
        <v>17304</v>
      </c>
      <c r="L10375">
        <f>HYPERLINK("https://www2.assemblee-nationale.fr/sycomore/fiche/(num_dept)/4092", "4092")</f>
        <v>0</v>
      </c>
      <c r="N10375">
        <f>HYPERLINK("https://www.wikidata.org/wiki/Q2835216", "Q2835216")</f>
        <v>0</v>
      </c>
      <c r="O10375" t="s">
        <v>20316</v>
      </c>
    </row>
    <row r="10376" spans="1:15">
      <c r="A10376" t="s">
        <v>115</v>
      </c>
      <c r="B10376" t="s">
        <v>149</v>
      </c>
      <c r="C10376" t="s">
        <v>247</v>
      </c>
      <c r="D10376" t="s">
        <v>376</v>
      </c>
      <c r="E10376" t="s">
        <v>294</v>
      </c>
      <c r="F10376">
        <f>HYPERLINK("https://www.wikidata.org/wiki/Q3111844", "Q3111844")</f>
        <v>0</v>
      </c>
      <c r="G10376" t="s">
        <v>1526</v>
      </c>
      <c r="H10376" t="s">
        <v>6221</v>
      </c>
      <c r="I10376" t="s">
        <v>6175</v>
      </c>
      <c r="J10376" t="s">
        <v>12243</v>
      </c>
      <c r="K10376" t="s">
        <v>16649</v>
      </c>
      <c r="L10376">
        <f>HYPERLINK("https://www2.assemblee-nationale.fr/sycomore/fiche/(num_dept)/4952", "4952")</f>
        <v>0</v>
      </c>
      <c r="N10376">
        <f>HYPERLINK("https://www.wikidata.org/wiki/Q669893", "Q669893")</f>
        <v>0</v>
      </c>
      <c r="O10376" t="s">
        <v>20078</v>
      </c>
    </row>
    <row r="10377" spans="1:15">
      <c r="A10377" t="s">
        <v>115</v>
      </c>
      <c r="B10377" t="s">
        <v>149</v>
      </c>
      <c r="C10377" t="s">
        <v>247</v>
      </c>
      <c r="D10377" t="s">
        <v>376</v>
      </c>
      <c r="E10377" t="s">
        <v>294</v>
      </c>
      <c r="F10377">
        <f>HYPERLINK("https://www.wikidata.org/wiki/Q3111844", "Q3111844")</f>
        <v>0</v>
      </c>
      <c r="G10377" t="s">
        <v>2352</v>
      </c>
      <c r="H10377" t="s">
        <v>6937</v>
      </c>
      <c r="I10377" t="s">
        <v>6860</v>
      </c>
      <c r="J10377" t="s">
        <v>13005</v>
      </c>
      <c r="K10377" t="s">
        <v>17415</v>
      </c>
      <c r="L10377">
        <f>HYPERLINK("https://www2.assemblee-nationale.fr/sycomore/fiche/(num_dept)/5143", "5143")</f>
        <v>0</v>
      </c>
      <c r="N10377">
        <f>HYPERLINK("https://www.wikidata.org/wiki/Q3386234", "Q3386234")</f>
        <v>0</v>
      </c>
      <c r="O10377" t="s">
        <v>20198</v>
      </c>
    </row>
    <row r="10378" spans="1:15">
      <c r="A10378" t="s">
        <v>115</v>
      </c>
      <c r="B10378" t="s">
        <v>149</v>
      </c>
      <c r="C10378" t="s">
        <v>247</v>
      </c>
      <c r="D10378" t="s">
        <v>376</v>
      </c>
      <c r="E10378" t="s">
        <v>294</v>
      </c>
      <c r="F10378">
        <f>HYPERLINK("https://www.wikidata.org/wiki/Q3111844", "Q3111844")</f>
        <v>0</v>
      </c>
      <c r="G10378" t="s">
        <v>1855</v>
      </c>
      <c r="H10378" t="s">
        <v>5503</v>
      </c>
      <c r="I10378" t="s">
        <v>6495</v>
      </c>
      <c r="J10378" t="s">
        <v>11675</v>
      </c>
      <c r="K10378" t="s">
        <v>16956</v>
      </c>
      <c r="L10378">
        <f>HYPERLINK("https://www2.assemblee-nationale.fr/sycomore/fiche/(num_dept)/5549", "5549")</f>
        <v>0</v>
      </c>
      <c r="N10378">
        <f>HYPERLINK("https://www.wikidata.org/wiki/Q3262798", "Q3262798")</f>
        <v>0</v>
      </c>
      <c r="O10378" t="s">
        <v>20112</v>
      </c>
    </row>
    <row r="10379" spans="1:15">
      <c r="A10379" t="s">
        <v>115</v>
      </c>
      <c r="B10379" t="s">
        <v>149</v>
      </c>
      <c r="C10379" t="s">
        <v>247</v>
      </c>
      <c r="D10379" t="s">
        <v>376</v>
      </c>
      <c r="E10379" t="s">
        <v>294</v>
      </c>
      <c r="F10379">
        <f>HYPERLINK("https://www.wikidata.org/wiki/Q3111844", "Q3111844")</f>
        <v>0</v>
      </c>
      <c r="G10379" t="s">
        <v>752</v>
      </c>
      <c r="H10379" t="s">
        <v>5510</v>
      </c>
      <c r="I10379" t="s">
        <v>9407</v>
      </c>
      <c r="J10379" t="s">
        <v>11500</v>
      </c>
      <c r="K10379" t="s">
        <v>15903</v>
      </c>
      <c r="L10379">
        <f>HYPERLINK("https://www2.assemblee-nationale.fr/sycomore/fiche/(num_dept)/5724", "5724")</f>
        <v>0</v>
      </c>
      <c r="M10379">
        <f>HYPERLINK("https://www.senat.fr/senateur-3eme-republique/paul_boncour_joseph0550r4.html", "paul_boncour_joseph0550r4")</f>
        <v>0</v>
      </c>
      <c r="N10379">
        <f>HYPERLINK("https://www.wikidata.org/wiki/Q285865", "Q285865")</f>
        <v>0</v>
      </c>
      <c r="O10379" t="s">
        <v>20098</v>
      </c>
    </row>
    <row r="10380" spans="1:15">
      <c r="A10380" t="s">
        <v>115</v>
      </c>
      <c r="B10380" t="s">
        <v>149</v>
      </c>
      <c r="C10380" t="s">
        <v>247</v>
      </c>
      <c r="D10380" t="s">
        <v>376</v>
      </c>
      <c r="E10380" t="s">
        <v>294</v>
      </c>
      <c r="F10380">
        <f>HYPERLINK("https://www.wikidata.org/wiki/Q3111844", "Q3111844")</f>
        <v>0</v>
      </c>
      <c r="G10380" t="s">
        <v>1873</v>
      </c>
      <c r="H10380" t="s">
        <v>6528</v>
      </c>
      <c r="I10380" t="s">
        <v>6166</v>
      </c>
      <c r="J10380" t="s">
        <v>12561</v>
      </c>
      <c r="K10380" t="s">
        <v>16973</v>
      </c>
      <c r="L10380">
        <f>HYPERLINK("https://www2.assemblee-nationale.fr/sycomore/fiche/(num_dept)/5924", "5924")</f>
        <v>0</v>
      </c>
      <c r="N10380">
        <f>HYPERLINK("https://www.wikidata.org/wiki/Q3085590", "Q3085590")</f>
        <v>0</v>
      </c>
      <c r="O10380" t="s">
        <v>20053</v>
      </c>
    </row>
    <row r="10381" spans="1:15">
      <c r="A10381" t="s">
        <v>115</v>
      </c>
      <c r="B10381" t="s">
        <v>149</v>
      </c>
      <c r="C10381" t="s">
        <v>247</v>
      </c>
      <c r="D10381" t="s">
        <v>376</v>
      </c>
      <c r="E10381" t="s">
        <v>294</v>
      </c>
      <c r="F10381">
        <f>HYPERLINK("https://www.wikidata.org/wiki/Q3111844", "Q3111844")</f>
        <v>0</v>
      </c>
      <c r="G10381" t="s">
        <v>778</v>
      </c>
      <c r="H10381" t="s">
        <v>5536</v>
      </c>
      <c r="I10381" t="s">
        <v>6584</v>
      </c>
      <c r="J10381" t="s">
        <v>11525</v>
      </c>
      <c r="K10381" t="s">
        <v>15929</v>
      </c>
      <c r="L10381">
        <f>HYPERLINK("https://www2.assemblee-nationale.fr/sycomore/fiche/(num_dept)/6293", "6293")</f>
        <v>0</v>
      </c>
      <c r="M10381">
        <f>HYPERLINK("https://www.senat.fr/senateur-3eme-republique/sarraut_albert0265r3.html", "sarraut_albert0265r3")</f>
        <v>0</v>
      </c>
      <c r="N10381">
        <f>HYPERLINK("https://www.wikidata.org/wiki/Q460318", "Q460318")</f>
        <v>0</v>
      </c>
      <c r="O10381" t="s">
        <v>20058</v>
      </c>
    </row>
    <row r="10382" spans="1:15">
      <c r="A10382" t="s">
        <v>115</v>
      </c>
      <c r="B10382" t="s">
        <v>149</v>
      </c>
      <c r="C10382" t="s">
        <v>247</v>
      </c>
      <c r="D10382" t="s">
        <v>376</v>
      </c>
      <c r="E10382" t="s">
        <v>294</v>
      </c>
      <c r="F10382">
        <f>HYPERLINK("https://www.wikidata.org/wiki/Q3111844", "Q3111844")</f>
        <v>0</v>
      </c>
      <c r="G10382" t="s">
        <v>778</v>
      </c>
      <c r="H10382" t="s">
        <v>5536</v>
      </c>
      <c r="I10382" t="s">
        <v>6584</v>
      </c>
      <c r="J10382" t="s">
        <v>11525</v>
      </c>
      <c r="K10382" t="s">
        <v>15929</v>
      </c>
      <c r="L10382">
        <f>HYPERLINK("https://www2.assemblee-nationale.fr/sycomore/fiche/(num_dept)/6293", "6293")</f>
        <v>0</v>
      </c>
      <c r="M10382">
        <f>HYPERLINK("https://www.senat.fr/senateur-3eme-republique/sarraut_albert0265r3.html", "sarraut_albert0265r3")</f>
        <v>0</v>
      </c>
      <c r="N10382">
        <f>HYPERLINK("https://www.wikidata.org/wiki/Q460318", "Q460318")</f>
        <v>0</v>
      </c>
      <c r="O10382" t="s">
        <v>20052</v>
      </c>
    </row>
    <row r="10383" spans="1:15">
      <c r="A10383" t="s">
        <v>115</v>
      </c>
      <c r="B10383" t="s">
        <v>149</v>
      </c>
      <c r="C10383" t="s">
        <v>247</v>
      </c>
      <c r="D10383" t="s">
        <v>376</v>
      </c>
      <c r="E10383" t="s">
        <v>294</v>
      </c>
      <c r="F10383">
        <f>HYPERLINK("https://www.wikidata.org/wiki/Q3111844", "Q3111844")</f>
        <v>0</v>
      </c>
      <c r="G10383" t="s">
        <v>2426</v>
      </c>
      <c r="H10383" t="s">
        <v>7000</v>
      </c>
      <c r="I10383" t="s">
        <v>9388</v>
      </c>
      <c r="J10383" t="s">
        <v>13076</v>
      </c>
      <c r="K10383" t="s">
        <v>17484</v>
      </c>
      <c r="L10383">
        <f>HYPERLINK("https://www2.assemblee-nationale.fr/sycomore/fiche/(num_dept)/7013", "7013")</f>
        <v>0</v>
      </c>
      <c r="N10383">
        <f>HYPERLINK("https://www.wikidata.org/wiki/Q3372274", "Q3372274")</f>
        <v>0</v>
      </c>
      <c r="O10383" t="s">
        <v>20056</v>
      </c>
    </row>
    <row r="10384" spans="1:15">
      <c r="A10384" t="s">
        <v>115</v>
      </c>
      <c r="B10384" t="s">
        <v>149</v>
      </c>
      <c r="C10384" t="s">
        <v>247</v>
      </c>
      <c r="D10384" t="s">
        <v>376</v>
      </c>
      <c r="E10384" t="s">
        <v>294</v>
      </c>
      <c r="F10384">
        <f>HYPERLINK("https://www.wikidata.org/wiki/Q3111844", "Q3111844")</f>
        <v>0</v>
      </c>
      <c r="G10384" t="s">
        <v>2400</v>
      </c>
      <c r="H10384" t="s">
        <v>6977</v>
      </c>
      <c r="I10384" t="s">
        <v>6200</v>
      </c>
      <c r="J10384" t="s">
        <v>13050</v>
      </c>
      <c r="K10384" t="s">
        <v>17460</v>
      </c>
      <c r="L10384">
        <f>HYPERLINK("https://www2.assemblee-nationale.fr/sycomore/fiche/(num_dept)/7291", "7291")</f>
        <v>0</v>
      </c>
      <c r="N10384">
        <f>HYPERLINK("https://www.wikidata.org/wiki/Q713487", "Q713487")</f>
        <v>0</v>
      </c>
      <c r="O10384" t="s">
        <v>20099</v>
      </c>
    </row>
    <row r="10385" spans="1:15">
      <c r="A10385" t="s">
        <v>115</v>
      </c>
      <c r="B10385" t="s">
        <v>149</v>
      </c>
      <c r="C10385" t="s">
        <v>247</v>
      </c>
      <c r="D10385" t="s">
        <v>376</v>
      </c>
      <c r="E10385" t="s">
        <v>294</v>
      </c>
      <c r="F10385">
        <f>HYPERLINK("https://www.wikidata.org/wiki/Q3111844", "Q3111844")</f>
        <v>0</v>
      </c>
      <c r="G10385" t="s">
        <v>1333</v>
      </c>
      <c r="H10385" t="s">
        <v>5402</v>
      </c>
      <c r="I10385" t="s">
        <v>9754</v>
      </c>
      <c r="J10385" t="s">
        <v>12060</v>
      </c>
      <c r="K10385" t="s">
        <v>16462</v>
      </c>
      <c r="L10385">
        <f>HYPERLINK("https://www2.assemblee-nationale.fr/sycomore/fiche/(num_dept)/10839", "10839")</f>
        <v>0</v>
      </c>
      <c r="N10385">
        <f>HYPERLINK("https://www.wikidata.org/wiki/Q471296", "Q471296")</f>
        <v>0</v>
      </c>
      <c r="O10385" t="s">
        <v>20062</v>
      </c>
    </row>
    <row r="10386" spans="1:15">
      <c r="A10386" t="s">
        <v>115</v>
      </c>
      <c r="B10386" t="s">
        <v>149</v>
      </c>
      <c r="C10386" t="s">
        <v>247</v>
      </c>
      <c r="D10386" t="s">
        <v>376</v>
      </c>
      <c r="E10386" t="s">
        <v>294</v>
      </c>
      <c r="F10386">
        <f>HYPERLINK("https://www.wikidata.org/wiki/Q3111844", "Q3111844")</f>
        <v>0</v>
      </c>
      <c r="G10386" t="s">
        <v>4235</v>
      </c>
      <c r="H10386" t="s">
        <v>8412</v>
      </c>
      <c r="I10386" t="s">
        <v>6495</v>
      </c>
      <c r="J10386" t="s">
        <v>14742</v>
      </c>
      <c r="K10386" t="s">
        <v>19087</v>
      </c>
      <c r="N10386">
        <f>HYPERLINK("https://www.wikidata.org/wiki/Q16060769", "Q16060769")</f>
        <v>0</v>
      </c>
      <c r="O10386" t="s">
        <v>20057</v>
      </c>
    </row>
    <row r="10387" spans="1:15">
      <c r="A10387" t="s">
        <v>115</v>
      </c>
      <c r="B10387" t="s">
        <v>149</v>
      </c>
      <c r="C10387" t="s">
        <v>247</v>
      </c>
      <c r="D10387" t="s">
        <v>376</v>
      </c>
      <c r="E10387" t="s">
        <v>294</v>
      </c>
      <c r="F10387">
        <f>HYPERLINK("https://www.wikidata.org/wiki/Q3111844", "Q3111844")</f>
        <v>0</v>
      </c>
      <c r="G10387" t="s">
        <v>1312</v>
      </c>
      <c r="H10387" t="s">
        <v>6033</v>
      </c>
      <c r="I10387" t="s">
        <v>7419</v>
      </c>
      <c r="J10387" t="s">
        <v>12042</v>
      </c>
      <c r="K10387" t="s">
        <v>16443</v>
      </c>
      <c r="N10387">
        <f>HYPERLINK("https://www.wikidata.org/wiki/Q935896", "Q935896")</f>
        <v>0</v>
      </c>
      <c r="O10387" t="s">
        <v>20065</v>
      </c>
    </row>
    <row r="10388" spans="1:15">
      <c r="A10388" t="s">
        <v>115</v>
      </c>
      <c r="B10388" t="s">
        <v>149</v>
      </c>
      <c r="C10388" t="s">
        <v>247</v>
      </c>
      <c r="D10388" t="s">
        <v>376</v>
      </c>
      <c r="E10388" t="s">
        <v>294</v>
      </c>
      <c r="F10388">
        <f>HYPERLINK("https://www.wikidata.org/wiki/Q3111844", "Q3111844")</f>
        <v>0</v>
      </c>
      <c r="G10388" t="s">
        <v>4152</v>
      </c>
      <c r="H10388" t="s">
        <v>8355</v>
      </c>
      <c r="I10388" t="s">
        <v>9523</v>
      </c>
      <c r="J10388" t="s">
        <v>14681</v>
      </c>
      <c r="K10388" t="s">
        <v>19018</v>
      </c>
      <c r="N10388">
        <f>HYPERLINK("https://www.wikidata.org/wiki/Q3289369", "Q3289369")</f>
        <v>0</v>
      </c>
      <c r="O10388" t="s">
        <v>20066</v>
      </c>
    </row>
    <row r="10389" spans="1:15">
      <c r="A10389" t="s">
        <v>115</v>
      </c>
      <c r="B10389" t="s">
        <v>149</v>
      </c>
      <c r="C10389" t="s">
        <v>247</v>
      </c>
      <c r="D10389" t="s">
        <v>376</v>
      </c>
      <c r="E10389" t="s">
        <v>294</v>
      </c>
      <c r="F10389">
        <f>HYPERLINK("https://www.wikidata.org/wiki/Q3111844", "Q3111844")</f>
        <v>0</v>
      </c>
      <c r="G10389" t="s">
        <v>2274</v>
      </c>
      <c r="H10389" t="s">
        <v>6873</v>
      </c>
      <c r="I10389" t="s">
        <v>9476</v>
      </c>
      <c r="J10389" t="s">
        <v>12932</v>
      </c>
      <c r="K10389" t="s">
        <v>17341</v>
      </c>
      <c r="N10389">
        <f>HYPERLINK("https://www.wikidata.org/wiki/Q18384898", "Q18384898")</f>
        <v>0</v>
      </c>
      <c r="O10389" t="s">
        <v>20088</v>
      </c>
    </row>
    <row r="10390" spans="1:15">
      <c r="A10390" t="s">
        <v>115</v>
      </c>
      <c r="B10390" t="s">
        <v>149</v>
      </c>
      <c r="C10390" t="s">
        <v>247</v>
      </c>
      <c r="D10390" t="s">
        <v>376</v>
      </c>
      <c r="E10390" t="s">
        <v>294</v>
      </c>
      <c r="F10390">
        <f>HYPERLINK("https://www.wikidata.org/wiki/Q3111844", "Q3111844")</f>
        <v>0</v>
      </c>
      <c r="G10390" t="s">
        <v>1724</v>
      </c>
      <c r="H10390" t="s">
        <v>6360</v>
      </c>
      <c r="I10390" t="s">
        <v>6175</v>
      </c>
      <c r="J10390" t="s">
        <v>12425</v>
      </c>
      <c r="K10390" t="s">
        <v>16833</v>
      </c>
      <c r="N10390">
        <f>HYPERLINK("https://www.wikidata.org/wiki/Q3102323", "Q3102323")</f>
        <v>0</v>
      </c>
      <c r="O10390" t="s">
        <v>20110</v>
      </c>
    </row>
    <row r="10391" spans="1:15">
      <c r="A10391" t="s">
        <v>116</v>
      </c>
      <c r="B10391" t="s">
        <v>149</v>
      </c>
      <c r="C10391" t="s">
        <v>248</v>
      </c>
      <c r="D10391" t="s">
        <v>377</v>
      </c>
      <c r="E10391" t="s">
        <v>486</v>
      </c>
      <c r="F10391">
        <f>HYPERLINK("https://www.wikidata.org/wiki/Q2685396", "Q2685396")</f>
        <v>0</v>
      </c>
      <c r="G10391" t="s">
        <v>512</v>
      </c>
      <c r="H10391" t="s">
        <v>5277</v>
      </c>
      <c r="I10391" t="s">
        <v>6495</v>
      </c>
      <c r="J10391" t="s">
        <v>11264</v>
      </c>
      <c r="K10391" t="s">
        <v>15664</v>
      </c>
      <c r="L10391">
        <f>HYPERLINK("https://www2.assemblee-nationale.fr/sycomore/fiche/(num_dept)/451", "451")</f>
        <v>0</v>
      </c>
      <c r="M10391">
        <f>HYPERLINK("https://www.senat.fr/senateur-3eme-republique/barthou_louis1071r3.html", "barthou_louis1071r3")</f>
        <v>0</v>
      </c>
      <c r="N10391">
        <f>HYPERLINK("https://www.wikidata.org/wiki/Q271887", "Q271887")</f>
        <v>0</v>
      </c>
      <c r="O10391" t="s">
        <v>20120</v>
      </c>
    </row>
    <row r="10392" spans="1:15">
      <c r="A10392" t="s">
        <v>116</v>
      </c>
      <c r="B10392" t="s">
        <v>149</v>
      </c>
      <c r="C10392" t="s">
        <v>248</v>
      </c>
      <c r="D10392" t="s">
        <v>377</v>
      </c>
      <c r="E10392" t="s">
        <v>486</v>
      </c>
      <c r="F10392">
        <f>HYPERLINK("https://www.wikidata.org/wiki/Q2685396", "Q2685396")</f>
        <v>0</v>
      </c>
      <c r="G10392" t="s">
        <v>3678</v>
      </c>
      <c r="H10392" t="s">
        <v>5286</v>
      </c>
      <c r="I10392" t="s">
        <v>9553</v>
      </c>
      <c r="J10392" t="s">
        <v>14255</v>
      </c>
      <c r="K10392" t="s">
        <v>18616</v>
      </c>
      <c r="L10392">
        <f>HYPERLINK("https://www2.assemblee-nationale.fr/sycomore/fiche/(num_dept)/647", "647")</f>
        <v>0</v>
      </c>
      <c r="M10392">
        <f>HYPERLINK("https://www.senat.fr/senateur-3eme-republique/berard_alexandre0019r3.html", "berard_alexandre0019r3")</f>
        <v>0</v>
      </c>
      <c r="N10392">
        <f>HYPERLINK("https://www.wikidata.org/wiki/Q2833511", "Q2833511")</f>
        <v>0</v>
      </c>
      <c r="O10392" t="s">
        <v>20187</v>
      </c>
    </row>
    <row r="10393" spans="1:15">
      <c r="A10393" t="s">
        <v>116</v>
      </c>
      <c r="B10393" t="s">
        <v>149</v>
      </c>
      <c r="C10393" t="s">
        <v>248</v>
      </c>
      <c r="D10393" t="s">
        <v>377</v>
      </c>
      <c r="E10393" t="s">
        <v>486</v>
      </c>
      <c r="F10393">
        <f>HYPERLINK("https://www.wikidata.org/wiki/Q2685396", "Q2685396")</f>
        <v>0</v>
      </c>
      <c r="G10393" t="s">
        <v>3373</v>
      </c>
      <c r="H10393" t="s">
        <v>7083</v>
      </c>
      <c r="I10393" t="s">
        <v>5528</v>
      </c>
      <c r="J10393" t="s">
        <v>13985</v>
      </c>
      <c r="K10393" t="s">
        <v>18353</v>
      </c>
      <c r="L10393">
        <f>HYPERLINK("https://www2.assemblee-nationale.fr/sycomore/fiche/(num_dept)/1083", "1083")</f>
        <v>0</v>
      </c>
      <c r="M10393">
        <f>HYPERLINK("https://www.senat.fr/senateur-3eme-republique/bourgeois_leon0647r3.html", "bourgeois_leon0647r3")</f>
        <v>0</v>
      </c>
      <c r="N10393">
        <f>HYPERLINK("https://www.wikidata.org/wiki/Q217706", "Q217706")</f>
        <v>0</v>
      </c>
      <c r="O10393" t="s">
        <v>20062</v>
      </c>
    </row>
    <row r="10394" spans="1:15">
      <c r="A10394" t="s">
        <v>116</v>
      </c>
      <c r="B10394" t="s">
        <v>149</v>
      </c>
      <c r="C10394" t="s">
        <v>248</v>
      </c>
      <c r="D10394" t="s">
        <v>377</v>
      </c>
      <c r="E10394" t="s">
        <v>486</v>
      </c>
      <c r="F10394">
        <f>HYPERLINK("https://www.wikidata.org/wiki/Q2685396", "Q2685396")</f>
        <v>0</v>
      </c>
      <c r="G10394" t="s">
        <v>553</v>
      </c>
      <c r="H10394" t="s">
        <v>5316</v>
      </c>
      <c r="I10394" t="s">
        <v>9411</v>
      </c>
      <c r="J10394" t="s">
        <v>11304</v>
      </c>
      <c r="K10394" t="s">
        <v>15705</v>
      </c>
      <c r="L10394">
        <f>HYPERLINK("https://www2.assemblee-nationale.fr/sycomore/fiche/(num_dept)/1211", "1211")</f>
        <v>0</v>
      </c>
      <c r="N10394">
        <f>HYPERLINK("https://www.wikidata.org/wiki/Q179888", "Q179888")</f>
        <v>0</v>
      </c>
      <c r="O10394" t="s">
        <v>20274</v>
      </c>
    </row>
    <row r="10395" spans="1:15">
      <c r="A10395" t="s">
        <v>116</v>
      </c>
      <c r="B10395" t="s">
        <v>149</v>
      </c>
      <c r="C10395" t="s">
        <v>248</v>
      </c>
      <c r="D10395" t="s">
        <v>377</v>
      </c>
      <c r="E10395" t="s">
        <v>486</v>
      </c>
      <c r="F10395">
        <f>HYPERLINK("https://www.wikidata.org/wiki/Q2685396", "Q2685396")</f>
        <v>0</v>
      </c>
      <c r="G10395" t="s">
        <v>2539</v>
      </c>
      <c r="H10395" t="s">
        <v>7099</v>
      </c>
      <c r="I10395" t="s">
        <v>6175</v>
      </c>
      <c r="J10395" t="s">
        <v>13183</v>
      </c>
      <c r="K10395" t="s">
        <v>17588</v>
      </c>
      <c r="L10395">
        <f>HYPERLINK("https://www2.assemblee-nationale.fr/sycomore/fiche/(num_dept)/1844", "1844")</f>
        <v>0</v>
      </c>
      <c r="M10395">
        <f>HYPERLINK("https://www.senat.fr/senateur-3eme-republique/clemenceau_georges1741r3.html", "clemenceau_georges1741r3")</f>
        <v>0</v>
      </c>
      <c r="N10395">
        <f>HYPERLINK("https://www.wikidata.org/wiki/Q171730", "Q171730")</f>
        <v>0</v>
      </c>
      <c r="O10395" t="s">
        <v>20058</v>
      </c>
    </row>
    <row r="10396" spans="1:15">
      <c r="A10396" t="s">
        <v>116</v>
      </c>
      <c r="B10396" t="s">
        <v>149</v>
      </c>
      <c r="C10396" t="s">
        <v>248</v>
      </c>
      <c r="D10396" t="s">
        <v>377</v>
      </c>
      <c r="E10396" t="s">
        <v>486</v>
      </c>
      <c r="F10396">
        <f>HYPERLINK("https://www.wikidata.org/wiki/Q2685396", "Q2685396")</f>
        <v>0</v>
      </c>
      <c r="G10396" t="s">
        <v>3819</v>
      </c>
      <c r="H10396" t="s">
        <v>8103</v>
      </c>
      <c r="I10396" t="s">
        <v>9470</v>
      </c>
      <c r="J10396" t="s">
        <v>14385</v>
      </c>
      <c r="K10396" t="s">
        <v>18737</v>
      </c>
      <c r="L10396">
        <f>HYPERLINK("https://www2.assemblee-nationale.fr/sycomore/fiche/(num_dept)/2570", "2570")</f>
        <v>0</v>
      </c>
      <c r="M10396">
        <f>HYPERLINK("https://www.senat.fr/senateur-3eme-republique/doumergue_gaston0833r3.html", "doumergue_gaston0833r3")</f>
        <v>0</v>
      </c>
      <c r="N10396">
        <f>HYPERLINK("https://www.wikidata.org/wiki/Q296064", "Q296064")</f>
        <v>0</v>
      </c>
      <c r="O10396" t="s">
        <v>20378</v>
      </c>
    </row>
    <row r="10397" spans="1:15">
      <c r="A10397" t="s">
        <v>116</v>
      </c>
      <c r="B10397" t="s">
        <v>149</v>
      </c>
      <c r="C10397" t="s">
        <v>248</v>
      </c>
      <c r="D10397" t="s">
        <v>377</v>
      </c>
      <c r="E10397" t="s">
        <v>486</v>
      </c>
      <c r="F10397">
        <f>HYPERLINK("https://www.wikidata.org/wiki/Q2685396", "Q2685396")</f>
        <v>0</v>
      </c>
      <c r="G10397" t="s">
        <v>623</v>
      </c>
      <c r="H10397" t="s">
        <v>5383</v>
      </c>
      <c r="I10397" t="s">
        <v>5394</v>
      </c>
      <c r="J10397" t="s">
        <v>11373</v>
      </c>
      <c r="K10397" t="s">
        <v>15775</v>
      </c>
      <c r="L10397">
        <f>HYPERLINK("https://www2.assemblee-nationale.fr/sycomore/fiche/(num_dept)/2685", "2685")</f>
        <v>0</v>
      </c>
      <c r="M10397">
        <f>HYPERLINK("https://www.senat.fr/senateur-3eme-republique/dujardin_beaumetz_henri0274r3.html", "dujardin_beaumetz_henri0274r3")</f>
        <v>0</v>
      </c>
      <c r="N10397">
        <f>HYPERLINK("https://www.wikidata.org/wiki/Q289596", "Q289596")</f>
        <v>0</v>
      </c>
      <c r="O10397" t="s">
        <v>20119</v>
      </c>
    </row>
    <row r="10398" spans="1:15">
      <c r="A10398" t="s">
        <v>116</v>
      </c>
      <c r="B10398" t="s">
        <v>149</v>
      </c>
      <c r="C10398" t="s">
        <v>248</v>
      </c>
      <c r="D10398" t="s">
        <v>377</v>
      </c>
      <c r="E10398" t="s">
        <v>486</v>
      </c>
      <c r="F10398">
        <f>HYPERLINK("https://www.wikidata.org/wiki/Q2685396", "Q2685396")</f>
        <v>0</v>
      </c>
      <c r="G10398" t="s">
        <v>635</v>
      </c>
      <c r="H10398" t="s">
        <v>5394</v>
      </c>
      <c r="I10398" t="s">
        <v>9465</v>
      </c>
      <c r="J10398" t="s">
        <v>11385</v>
      </c>
      <c r="K10398" t="s">
        <v>15787</v>
      </c>
      <c r="L10398">
        <f>HYPERLINK("https://www2.assemblee-nationale.fr/sycomore/fiche/(num_dept)/2861", "2861")</f>
        <v>0</v>
      </c>
      <c r="M10398">
        <f>HYPERLINK("https://www.senat.fr/senateur-3eme-republique/etienne_eugene1824r3.html", "etienne_eugene1824r3")</f>
        <v>0</v>
      </c>
      <c r="N10398">
        <f>HYPERLINK("https://www.wikidata.org/wiki/Q2612305", "Q2612305")</f>
        <v>0</v>
      </c>
      <c r="O10398" t="s">
        <v>20057</v>
      </c>
    </row>
    <row r="10399" spans="1:15">
      <c r="A10399" t="s">
        <v>116</v>
      </c>
      <c r="B10399" t="s">
        <v>149</v>
      </c>
      <c r="C10399" t="s">
        <v>248</v>
      </c>
      <c r="D10399" t="s">
        <v>377</v>
      </c>
      <c r="E10399" t="s">
        <v>486</v>
      </c>
      <c r="F10399">
        <f>HYPERLINK("https://www.wikidata.org/wiki/Q2685396", "Q2685396")</f>
        <v>0</v>
      </c>
      <c r="G10399" t="s">
        <v>3369</v>
      </c>
      <c r="H10399" t="s">
        <v>7766</v>
      </c>
      <c r="I10399" t="s">
        <v>9692</v>
      </c>
      <c r="J10399" t="s">
        <v>13981</v>
      </c>
      <c r="K10399" t="s">
        <v>18349</v>
      </c>
      <c r="L10399">
        <f>HYPERLINK("https://www2.assemblee-nationale.fr/sycomore/fiche/(num_dept)/5994", "5994")</f>
        <v>0</v>
      </c>
      <c r="M10399">
        <f>HYPERLINK("https://www.senat.fr/senateur-3eme-republique/poincare_raymond1024r3.html", "poincare_raymond1024r3")</f>
        <v>0</v>
      </c>
      <c r="N10399">
        <f>HYPERLINK("https://www.wikidata.org/wiki/Q191974", "Q191974")</f>
        <v>0</v>
      </c>
      <c r="O10399" t="s">
        <v>20066</v>
      </c>
    </row>
    <row r="10400" spans="1:15">
      <c r="A10400" t="s">
        <v>116</v>
      </c>
      <c r="B10400" t="s">
        <v>149</v>
      </c>
      <c r="C10400" t="s">
        <v>248</v>
      </c>
      <c r="D10400" t="s">
        <v>377</v>
      </c>
      <c r="E10400" t="s">
        <v>486</v>
      </c>
      <c r="F10400">
        <f>HYPERLINK("https://www.wikidata.org/wiki/Q2685396", "Q2685396")</f>
        <v>0</v>
      </c>
      <c r="G10400" t="s">
        <v>776</v>
      </c>
      <c r="H10400" t="s">
        <v>5534</v>
      </c>
      <c r="I10400" t="s">
        <v>9407</v>
      </c>
      <c r="J10400" t="s">
        <v>11523</v>
      </c>
      <c r="K10400" t="s">
        <v>15927</v>
      </c>
      <c r="L10400">
        <f>HYPERLINK("https://www2.assemblee-nationale.fr/sycomore/fiche/(num_dept)/6182", "6182")</f>
        <v>0</v>
      </c>
      <c r="N10400">
        <f>HYPERLINK("https://www.wikidata.org/wiki/Q3185595", "Q3185595")</f>
        <v>0</v>
      </c>
      <c r="O10400" t="s">
        <v>20056</v>
      </c>
    </row>
    <row r="10401" spans="1:15">
      <c r="A10401" t="s">
        <v>116</v>
      </c>
      <c r="B10401" t="s">
        <v>149</v>
      </c>
      <c r="C10401" t="s">
        <v>248</v>
      </c>
      <c r="D10401" t="s">
        <v>377</v>
      </c>
      <c r="E10401" t="s">
        <v>486</v>
      </c>
      <c r="F10401">
        <f>HYPERLINK("https://www.wikidata.org/wiki/Q2685396", "Q2685396")</f>
        <v>0</v>
      </c>
      <c r="G10401" t="s">
        <v>778</v>
      </c>
      <c r="H10401" t="s">
        <v>5536</v>
      </c>
      <c r="I10401" t="s">
        <v>6584</v>
      </c>
      <c r="J10401" t="s">
        <v>11525</v>
      </c>
      <c r="K10401" t="s">
        <v>15929</v>
      </c>
      <c r="L10401">
        <f>HYPERLINK("https://www2.assemblee-nationale.fr/sycomore/fiche/(num_dept)/6293", "6293")</f>
        <v>0</v>
      </c>
      <c r="M10401">
        <f>HYPERLINK("https://www.senat.fr/senateur-3eme-republique/sarraut_albert0265r3.html", "sarraut_albert0265r3")</f>
        <v>0</v>
      </c>
      <c r="N10401">
        <f>HYPERLINK("https://www.wikidata.org/wiki/Q460318", "Q460318")</f>
        <v>0</v>
      </c>
      <c r="O10401" t="s">
        <v>20188</v>
      </c>
    </row>
    <row r="10402" spans="1:15">
      <c r="A10402" t="s">
        <v>116</v>
      </c>
      <c r="B10402" t="s">
        <v>149</v>
      </c>
      <c r="C10402" t="s">
        <v>248</v>
      </c>
      <c r="D10402" t="s">
        <v>377</v>
      </c>
      <c r="E10402" t="s">
        <v>486</v>
      </c>
      <c r="F10402">
        <f>HYPERLINK("https://www.wikidata.org/wiki/Q2685396", "Q2685396")</f>
        <v>0</v>
      </c>
      <c r="G10402" t="s">
        <v>2659</v>
      </c>
      <c r="H10402" t="s">
        <v>7199</v>
      </c>
      <c r="I10402" t="s">
        <v>9376</v>
      </c>
      <c r="J10402" t="s">
        <v>13300</v>
      </c>
      <c r="K10402" t="s">
        <v>17700</v>
      </c>
      <c r="L10402">
        <f>HYPERLINK("https://www2.assemblee-nationale.fr/sycomore/fiche/(num_dept)/6297", "6297")</f>
        <v>0</v>
      </c>
      <c r="M10402">
        <f>HYPERLINK("https://www.senat.fr/senateur-3eme-republique/sarrien_ferdinand1219r3.html", "sarrien_ferdinand1219r3")</f>
        <v>0</v>
      </c>
      <c r="N10402">
        <f>HYPERLINK("https://www.wikidata.org/wiki/Q718698", "Q718698")</f>
        <v>0</v>
      </c>
      <c r="O10402" t="s">
        <v>20064</v>
      </c>
    </row>
    <row r="10403" spans="1:15">
      <c r="A10403" t="s">
        <v>116</v>
      </c>
      <c r="B10403" t="s">
        <v>149</v>
      </c>
      <c r="C10403" t="s">
        <v>248</v>
      </c>
      <c r="D10403" t="s">
        <v>377</v>
      </c>
      <c r="E10403" t="s">
        <v>486</v>
      </c>
      <c r="F10403">
        <f>HYPERLINK("https://www.wikidata.org/wiki/Q2685396", "Q2685396")</f>
        <v>0</v>
      </c>
      <c r="G10403" t="s">
        <v>2659</v>
      </c>
      <c r="H10403" t="s">
        <v>7199</v>
      </c>
      <c r="I10403" t="s">
        <v>9376</v>
      </c>
      <c r="J10403" t="s">
        <v>13300</v>
      </c>
      <c r="K10403" t="s">
        <v>17700</v>
      </c>
      <c r="L10403">
        <f>HYPERLINK("https://www2.assemblee-nationale.fr/sycomore/fiche/(num_dept)/6297", "6297")</f>
        <v>0</v>
      </c>
      <c r="M10403">
        <f>HYPERLINK("https://www.senat.fr/senateur-3eme-republique/sarrien_ferdinand1219r3.html", "sarrien_ferdinand1219r3")</f>
        <v>0</v>
      </c>
      <c r="N10403">
        <f>HYPERLINK("https://www.wikidata.org/wiki/Q718698", "Q718698")</f>
        <v>0</v>
      </c>
      <c r="O10403" t="s">
        <v>20052</v>
      </c>
    </row>
    <row r="10404" spans="1:15">
      <c r="A10404" t="s">
        <v>116</v>
      </c>
      <c r="B10404" t="s">
        <v>149</v>
      </c>
      <c r="C10404" t="s">
        <v>248</v>
      </c>
      <c r="D10404" t="s">
        <v>377</v>
      </c>
      <c r="E10404" t="s">
        <v>486</v>
      </c>
      <c r="F10404">
        <f>HYPERLINK("https://www.wikidata.org/wiki/Q2685396", "Q2685396")</f>
        <v>0</v>
      </c>
      <c r="G10404" t="s">
        <v>818</v>
      </c>
      <c r="H10404" t="s">
        <v>5575</v>
      </c>
      <c r="I10404" t="s">
        <v>9470</v>
      </c>
      <c r="J10404" t="s">
        <v>11565</v>
      </c>
      <c r="K10404" t="s">
        <v>15969</v>
      </c>
      <c r="L10404">
        <f>HYPERLINK("https://www2.assemblee-nationale.fr/sycomore/fiche/(num_dept)/7055", "7055")</f>
        <v>0</v>
      </c>
      <c r="N10404">
        <f>HYPERLINK("https://www.wikidata.org/wiki/Q2246519", "Q2246519")</f>
        <v>0</v>
      </c>
      <c r="O10404" t="s">
        <v>20053</v>
      </c>
    </row>
    <row r="10405" spans="1:15">
      <c r="A10405" t="s">
        <v>116</v>
      </c>
      <c r="B10405" t="s">
        <v>149</v>
      </c>
      <c r="C10405" t="s">
        <v>248</v>
      </c>
      <c r="D10405" t="s">
        <v>377</v>
      </c>
      <c r="E10405" t="s">
        <v>486</v>
      </c>
      <c r="F10405">
        <f>HYPERLINK("https://www.wikidata.org/wiki/Q2685396", "Q2685396")</f>
        <v>0</v>
      </c>
      <c r="G10405" t="s">
        <v>857</v>
      </c>
      <c r="H10405" t="s">
        <v>5613</v>
      </c>
      <c r="I10405" t="s">
        <v>6175</v>
      </c>
      <c r="J10405" t="s">
        <v>11603</v>
      </c>
      <c r="K10405" t="s">
        <v>16005</v>
      </c>
      <c r="L10405">
        <f>HYPERLINK("https://www2.assemblee-nationale.fr/sycomore/fiche/(num_dept)/7840", "7840")</f>
        <v>0</v>
      </c>
      <c r="N10405">
        <f>HYPERLINK("https://www.wikidata.org/wiki/Q728806", "Q728806")</f>
        <v>0</v>
      </c>
      <c r="O10405" t="s">
        <v>20065</v>
      </c>
    </row>
    <row r="10406" spans="1:15">
      <c r="A10406" t="s">
        <v>117</v>
      </c>
      <c r="B10406" t="s">
        <v>149</v>
      </c>
      <c r="C10406" t="s">
        <v>249</v>
      </c>
      <c r="D10406" t="s">
        <v>378</v>
      </c>
      <c r="E10406" t="s">
        <v>487</v>
      </c>
      <c r="F10406">
        <f>HYPERLINK("https://www.wikidata.org/wiki/Q2842193", "Q2842193")</f>
        <v>0</v>
      </c>
      <c r="G10406" t="s">
        <v>512</v>
      </c>
      <c r="H10406" t="s">
        <v>5277</v>
      </c>
      <c r="I10406" t="s">
        <v>6495</v>
      </c>
      <c r="J10406" t="s">
        <v>11264</v>
      </c>
      <c r="K10406" t="s">
        <v>15664</v>
      </c>
      <c r="L10406">
        <f>HYPERLINK("https://www2.assemblee-nationale.fr/sycomore/fiche/(num_dept)/451", "451")</f>
        <v>0</v>
      </c>
      <c r="M10406">
        <f>HYPERLINK("https://www.senat.fr/senateur-3eme-republique/barthou_louis1071r3.html", "barthou_louis1071r3")</f>
        <v>0</v>
      </c>
      <c r="N10406">
        <f>HYPERLINK("https://www.wikidata.org/wiki/Q271887", "Q271887")</f>
        <v>0</v>
      </c>
      <c r="O10406" t="s">
        <v>20057</v>
      </c>
    </row>
    <row r="10407" spans="1:15">
      <c r="A10407" t="s">
        <v>117</v>
      </c>
      <c r="B10407" t="s">
        <v>149</v>
      </c>
      <c r="C10407" t="s">
        <v>249</v>
      </c>
      <c r="D10407" t="s">
        <v>378</v>
      </c>
      <c r="E10407" t="s">
        <v>487</v>
      </c>
      <c r="F10407">
        <f>HYPERLINK("https://www.wikidata.org/wiki/Q2842193", "Q2842193")</f>
        <v>0</v>
      </c>
      <c r="G10407" t="s">
        <v>1091</v>
      </c>
      <c r="H10407" t="s">
        <v>5833</v>
      </c>
      <c r="I10407" t="s">
        <v>9445</v>
      </c>
      <c r="J10407" t="s">
        <v>11827</v>
      </c>
      <c r="K10407" t="s">
        <v>16227</v>
      </c>
      <c r="L10407">
        <f>HYPERLINK("https://www2.assemblee-nationale.fr/sycomore/fiche/(num_dept)/729", "729")</f>
        <v>0</v>
      </c>
      <c r="M10407">
        <f>HYPERLINK("https://www.senat.fr/senateur-3eme-republique/berthod_aime0449r3.html", "berthod_aime0449r3")</f>
        <v>0</v>
      </c>
      <c r="N10407">
        <f>HYPERLINK("https://www.wikidata.org/wiki/Q2825126", "Q2825126")</f>
        <v>0</v>
      </c>
      <c r="O10407" t="s">
        <v>20067</v>
      </c>
    </row>
    <row r="10408" spans="1:15">
      <c r="A10408" t="s">
        <v>117</v>
      </c>
      <c r="B10408" t="s">
        <v>149</v>
      </c>
      <c r="C10408" t="s">
        <v>249</v>
      </c>
      <c r="D10408" t="s">
        <v>378</v>
      </c>
      <c r="E10408" t="s">
        <v>487</v>
      </c>
      <c r="F10408">
        <f>HYPERLINK("https://www.wikidata.org/wiki/Q2842193", "Q2842193")</f>
        <v>0</v>
      </c>
      <c r="G10408" t="s">
        <v>878</v>
      </c>
      <c r="H10408" t="s">
        <v>5634</v>
      </c>
      <c r="I10408" t="s">
        <v>9483</v>
      </c>
      <c r="J10408" t="s">
        <v>11624</v>
      </c>
      <c r="K10408" t="s">
        <v>16025</v>
      </c>
      <c r="L10408">
        <f>HYPERLINK("https://www2.assemblee-nationale.fr/sycomore/fiche/(num_dept)/976", "976")</f>
        <v>0</v>
      </c>
      <c r="M10408">
        <f>HYPERLINK("https://www.senat.fr/senateur-3eme-republique/boret_victor1774r3.html", "boret_victor1774r3")</f>
        <v>0</v>
      </c>
      <c r="N10408">
        <f>HYPERLINK("https://www.wikidata.org/wiki/Q3557173", "Q3557173")</f>
        <v>0</v>
      </c>
      <c r="O10408" t="s">
        <v>20056</v>
      </c>
    </row>
    <row r="10409" spans="1:15">
      <c r="A10409" t="s">
        <v>117</v>
      </c>
      <c r="B10409" t="s">
        <v>149</v>
      </c>
      <c r="C10409" t="s">
        <v>249</v>
      </c>
      <c r="D10409" t="s">
        <v>378</v>
      </c>
      <c r="E10409" t="s">
        <v>487</v>
      </c>
      <c r="F10409">
        <f>HYPERLINK("https://www.wikidata.org/wiki/Q2842193", "Q2842193")</f>
        <v>0</v>
      </c>
      <c r="G10409" t="s">
        <v>2017</v>
      </c>
      <c r="H10409" t="s">
        <v>6651</v>
      </c>
      <c r="I10409" t="s">
        <v>9442</v>
      </c>
      <c r="J10409" t="s">
        <v>12688</v>
      </c>
      <c r="K10409" t="s">
        <v>17030</v>
      </c>
      <c r="L10409">
        <f>HYPERLINK("https://www2.assemblee-nationale.fr/sycomore/fiche/(num_dept)/1187", "1187")</f>
        <v>0</v>
      </c>
      <c r="N10409">
        <f>HYPERLINK("https://www.wikidata.org/wiki/Q3056865", "Q3056865")</f>
        <v>0</v>
      </c>
      <c r="O10409" t="s">
        <v>20121</v>
      </c>
    </row>
    <row r="10410" spans="1:15">
      <c r="A10410" t="s">
        <v>117</v>
      </c>
      <c r="B10410" t="s">
        <v>149</v>
      </c>
      <c r="C10410" t="s">
        <v>249</v>
      </c>
      <c r="D10410" t="s">
        <v>378</v>
      </c>
      <c r="E10410" t="s">
        <v>487</v>
      </c>
      <c r="F10410">
        <f>HYPERLINK("https://www.wikidata.org/wiki/Q2842193", "Q2842193")</f>
        <v>0</v>
      </c>
      <c r="G10410" t="s">
        <v>553</v>
      </c>
      <c r="H10410" t="s">
        <v>5316</v>
      </c>
      <c r="I10410" t="s">
        <v>9411</v>
      </c>
      <c r="J10410" t="s">
        <v>11304</v>
      </c>
      <c r="K10410" t="s">
        <v>15705</v>
      </c>
      <c r="L10410">
        <f>HYPERLINK("https://www2.assemblee-nationale.fr/sycomore/fiche/(num_dept)/1211", "1211")</f>
        <v>0</v>
      </c>
      <c r="N10410">
        <f>HYPERLINK("https://www.wikidata.org/wiki/Q179888", "Q179888")</f>
        <v>0</v>
      </c>
      <c r="O10410" t="s">
        <v>20062</v>
      </c>
    </row>
    <row r="10411" spans="1:15">
      <c r="A10411" t="s">
        <v>117</v>
      </c>
      <c r="B10411" t="s">
        <v>149</v>
      </c>
      <c r="C10411" t="s">
        <v>249</v>
      </c>
      <c r="D10411" t="s">
        <v>378</v>
      </c>
      <c r="E10411" t="s">
        <v>487</v>
      </c>
      <c r="F10411">
        <f>HYPERLINK("https://www.wikidata.org/wiki/Q2842193", "Q2842193")</f>
        <v>0</v>
      </c>
      <c r="G10411" t="s">
        <v>1155</v>
      </c>
      <c r="H10411" t="s">
        <v>5650</v>
      </c>
      <c r="I10411" t="s">
        <v>9683</v>
      </c>
      <c r="J10411" t="s">
        <v>11889</v>
      </c>
      <c r="K10411" t="s">
        <v>16290</v>
      </c>
      <c r="L10411">
        <f>HYPERLINK("https://www2.assemblee-nationale.fr/sycomore/fiche/(num_dept)/1284", "1284")</f>
        <v>0</v>
      </c>
      <c r="N10411">
        <f>HYPERLINK("https://www.wikidata.org/wiki/Q2853742", "Q2853742")</f>
        <v>0</v>
      </c>
      <c r="O10411" t="s">
        <v>20196</v>
      </c>
    </row>
    <row r="10412" spans="1:15">
      <c r="A10412" t="s">
        <v>117</v>
      </c>
      <c r="B10412" t="s">
        <v>149</v>
      </c>
      <c r="C10412" t="s">
        <v>249</v>
      </c>
      <c r="D10412" t="s">
        <v>378</v>
      </c>
      <c r="E10412" t="s">
        <v>487</v>
      </c>
      <c r="F10412">
        <f>HYPERLINK("https://www.wikidata.org/wiki/Q2842193", "Q2842193")</f>
        <v>0</v>
      </c>
      <c r="G10412" t="s">
        <v>1405</v>
      </c>
      <c r="H10412" t="s">
        <v>6115</v>
      </c>
      <c r="I10412" t="s">
        <v>9506</v>
      </c>
      <c r="J10412" t="s">
        <v>12130</v>
      </c>
      <c r="K10412" t="s">
        <v>16532</v>
      </c>
      <c r="L10412">
        <f>HYPERLINK("https://www2.assemblee-nationale.fr/sycomore/fiche/(num_dept)/1536", "1536")</f>
        <v>0</v>
      </c>
      <c r="M10412">
        <f>HYPERLINK("https://www.senat.fr/senateur-3eme-republique/cautru_camille0339r3.html", "cautru_camille0339r3")</f>
        <v>0</v>
      </c>
      <c r="N10412">
        <f>HYPERLINK("https://www.wikidata.org/wiki/Q2934880", "Q2934880")</f>
        <v>0</v>
      </c>
      <c r="O10412" t="s">
        <v>20087</v>
      </c>
    </row>
    <row r="10413" spans="1:15">
      <c r="A10413" t="s">
        <v>117</v>
      </c>
      <c r="B10413" t="s">
        <v>149</v>
      </c>
      <c r="C10413" t="s">
        <v>249</v>
      </c>
      <c r="D10413" t="s">
        <v>378</v>
      </c>
      <c r="E10413" t="s">
        <v>487</v>
      </c>
      <c r="F10413">
        <f>HYPERLINK("https://www.wikidata.org/wiki/Q2842193", "Q2842193")</f>
        <v>0</v>
      </c>
      <c r="G10413" t="s">
        <v>1410</v>
      </c>
      <c r="H10413" t="s">
        <v>5337</v>
      </c>
      <c r="I10413" t="s">
        <v>9506</v>
      </c>
      <c r="J10413" t="s">
        <v>12135</v>
      </c>
      <c r="K10413" t="s">
        <v>16537</v>
      </c>
      <c r="L10413">
        <f>HYPERLINK("https://www2.assemblee-nationale.fr/sycomore/fiche/(num_dept)/1726", "1726")</f>
        <v>0</v>
      </c>
      <c r="M10413">
        <f>HYPERLINK("https://www.senat.fr/senateur-3eme-republique/chautemps_camille0380r3.html", "chautemps_camille0380r3")</f>
        <v>0</v>
      </c>
      <c r="N10413">
        <f>HYPERLINK("https://www.wikidata.org/wiki/Q263884", "Q263884")</f>
        <v>0</v>
      </c>
      <c r="O10413" t="s">
        <v>20051</v>
      </c>
    </row>
    <row r="10414" spans="1:15">
      <c r="A10414" t="s">
        <v>117</v>
      </c>
      <c r="B10414" t="s">
        <v>149</v>
      </c>
      <c r="C10414" t="s">
        <v>249</v>
      </c>
      <c r="D10414" t="s">
        <v>378</v>
      </c>
      <c r="E10414" t="s">
        <v>487</v>
      </c>
      <c r="F10414">
        <f>HYPERLINK("https://www.wikidata.org/wiki/Q2842193", "Q2842193")</f>
        <v>0</v>
      </c>
      <c r="G10414" t="s">
        <v>576</v>
      </c>
      <c r="H10414" t="s">
        <v>5338</v>
      </c>
      <c r="I10414" t="s">
        <v>6478</v>
      </c>
      <c r="J10414" t="s">
        <v>11327</v>
      </c>
      <c r="K10414" t="s">
        <v>15728</v>
      </c>
      <c r="L10414">
        <f>HYPERLINK("https://www2.assemblee-nationale.fr/sycomore/fiche/(num_dept)/1768", "1768")</f>
        <v>0</v>
      </c>
      <c r="M10414">
        <f>HYPERLINK("https://www.senat.fr/senateur-3eme-republique/cheron_henry0337r3.html", "cheron_henry0337r3")</f>
        <v>0</v>
      </c>
      <c r="N10414">
        <f>HYPERLINK("https://www.wikidata.org/wiki/Q3132698", "Q3132698")</f>
        <v>0</v>
      </c>
      <c r="O10414" t="s">
        <v>20064</v>
      </c>
    </row>
    <row r="10415" spans="1:15">
      <c r="A10415" t="s">
        <v>117</v>
      </c>
      <c r="B10415" t="s">
        <v>149</v>
      </c>
      <c r="C10415" t="s">
        <v>249</v>
      </c>
      <c r="D10415" t="s">
        <v>378</v>
      </c>
      <c r="E10415" t="s">
        <v>487</v>
      </c>
      <c r="F10415">
        <f>HYPERLINK("https://www.wikidata.org/wiki/Q2842193", "Q2842193")</f>
        <v>0</v>
      </c>
      <c r="G10415" t="s">
        <v>1692</v>
      </c>
      <c r="H10415" t="s">
        <v>6370</v>
      </c>
      <c r="I10415" t="s">
        <v>9476</v>
      </c>
      <c r="J10415" t="s">
        <v>12396</v>
      </c>
      <c r="K10415" t="s">
        <v>16804</v>
      </c>
      <c r="L10415">
        <f>HYPERLINK("https://www2.assemblee-nationale.fr/sycomore/fiche/(num_dept)/2000", "2000")</f>
        <v>0</v>
      </c>
      <c r="M10415">
        <f>HYPERLINK("https://www.senat.fr/senateur-3eme-republique/coty_rene0134r4.html", "coty_rene0134r4")</f>
        <v>0</v>
      </c>
      <c r="N10415">
        <f>HYPERLINK("https://www.wikidata.org/wiki/Q158768", "Q158768")</f>
        <v>0</v>
      </c>
      <c r="O10415" t="s">
        <v>20068</v>
      </c>
    </row>
    <row r="10416" spans="1:15">
      <c r="A10416" t="s">
        <v>117</v>
      </c>
      <c r="B10416" t="s">
        <v>149</v>
      </c>
      <c r="C10416" t="s">
        <v>249</v>
      </c>
      <c r="D10416" t="s">
        <v>378</v>
      </c>
      <c r="E10416" t="s">
        <v>487</v>
      </c>
      <c r="F10416">
        <f>HYPERLINK("https://www.wikidata.org/wiki/Q2842193", "Q2842193")</f>
        <v>0</v>
      </c>
      <c r="G10416" t="s">
        <v>1423</v>
      </c>
      <c r="H10416" t="s">
        <v>6128</v>
      </c>
      <c r="I10416" t="s">
        <v>9728</v>
      </c>
      <c r="J10416" t="s">
        <v>12147</v>
      </c>
      <c r="K10416" t="s">
        <v>16549</v>
      </c>
      <c r="L10416">
        <f>HYPERLINK("https://www2.assemblee-nationale.fr/sycomore/fiche/(num_dept)/2105", "2105")</f>
        <v>0</v>
      </c>
      <c r="N10416">
        <f>HYPERLINK("https://www.wikidata.org/wiki/Q213526", "Q213526")</f>
        <v>0</v>
      </c>
      <c r="O10416" t="s">
        <v>20063</v>
      </c>
    </row>
    <row r="10417" spans="1:15">
      <c r="A10417" t="s">
        <v>117</v>
      </c>
      <c r="B10417" t="s">
        <v>149</v>
      </c>
      <c r="C10417" t="s">
        <v>249</v>
      </c>
      <c r="D10417" t="s">
        <v>378</v>
      </c>
      <c r="E10417" t="s">
        <v>487</v>
      </c>
      <c r="F10417">
        <f>HYPERLINK("https://www.wikidata.org/wiki/Q2842193", "Q2842193")</f>
        <v>0</v>
      </c>
      <c r="G10417" t="s">
        <v>920</v>
      </c>
      <c r="H10417" t="s">
        <v>5676</v>
      </c>
      <c r="I10417" t="s">
        <v>9385</v>
      </c>
      <c r="J10417" t="s">
        <v>11662</v>
      </c>
      <c r="K10417" t="s">
        <v>16063</v>
      </c>
      <c r="L10417">
        <f>HYPERLINK("https://www2.assemblee-nationale.fr/sycomore/fiche/(num_dept)/2124", "2124")</f>
        <v>0</v>
      </c>
      <c r="N10417">
        <f>HYPERLINK("https://www.wikidata.org/wiki/Q2958846", "Q2958846")</f>
        <v>0</v>
      </c>
      <c r="O10417" t="s">
        <v>20108</v>
      </c>
    </row>
    <row r="10418" spans="1:15">
      <c r="A10418" t="s">
        <v>117</v>
      </c>
      <c r="B10418" t="s">
        <v>149</v>
      </c>
      <c r="C10418" t="s">
        <v>249</v>
      </c>
      <c r="D10418" t="s">
        <v>378</v>
      </c>
      <c r="E10418" t="s">
        <v>487</v>
      </c>
      <c r="F10418">
        <f>HYPERLINK("https://www.wikidata.org/wiki/Q2842193", "Q2842193")</f>
        <v>0</v>
      </c>
      <c r="G10418" t="s">
        <v>2057</v>
      </c>
      <c r="H10418" t="s">
        <v>6688</v>
      </c>
      <c r="I10418" t="s">
        <v>7642</v>
      </c>
      <c r="J10418" t="s">
        <v>12729</v>
      </c>
      <c r="K10418" t="s">
        <v>17139</v>
      </c>
      <c r="L10418">
        <f>HYPERLINK("https://www2.assemblee-nationale.fr/sycomore/fiche/(num_dept)/2558", "2558")</f>
        <v>0</v>
      </c>
      <c r="M10418">
        <f>HYPERLINK("https://www.senat.fr/senateur-3eme-republique/dormann_maurice1649r3.html", "dormann_maurice1649r3")</f>
        <v>0</v>
      </c>
      <c r="N10418">
        <f>HYPERLINK("https://www.wikidata.org/wiki/Q3300704", "Q3300704")</f>
        <v>0</v>
      </c>
      <c r="O10418" t="s">
        <v>20088</v>
      </c>
    </row>
    <row r="10419" spans="1:15">
      <c r="A10419" t="s">
        <v>117</v>
      </c>
      <c r="B10419" t="s">
        <v>149</v>
      </c>
      <c r="C10419" t="s">
        <v>249</v>
      </c>
      <c r="D10419" t="s">
        <v>378</v>
      </c>
      <c r="E10419" t="s">
        <v>487</v>
      </c>
      <c r="F10419">
        <f>HYPERLINK("https://www.wikidata.org/wiki/Q2842193", "Q2842193")</f>
        <v>0</v>
      </c>
      <c r="G10419" t="s">
        <v>2074</v>
      </c>
      <c r="H10419" t="s">
        <v>6701</v>
      </c>
      <c r="I10419" t="s">
        <v>6495</v>
      </c>
      <c r="J10419" t="s">
        <v>12745</v>
      </c>
      <c r="K10419" t="s">
        <v>17156</v>
      </c>
      <c r="L10419">
        <f>HYPERLINK("https://www2.assemblee-nationale.fr/sycomore/fiche/(num_dept)/3378", "3378")</f>
        <v>0</v>
      </c>
      <c r="N10419">
        <f>HYPERLINK("https://www.wikidata.org/wiki/Q3262030", "Q3262030")</f>
        <v>0</v>
      </c>
      <c r="O10419" t="s">
        <v>20066</v>
      </c>
    </row>
    <row r="10420" spans="1:15">
      <c r="A10420" t="s">
        <v>117</v>
      </c>
      <c r="B10420" t="s">
        <v>149</v>
      </c>
      <c r="C10420" t="s">
        <v>249</v>
      </c>
      <c r="D10420" t="s">
        <v>378</v>
      </c>
      <c r="E10420" t="s">
        <v>487</v>
      </c>
      <c r="F10420">
        <f>HYPERLINK("https://www.wikidata.org/wiki/Q2842193", "Q2842193")</f>
        <v>0</v>
      </c>
      <c r="G10420" t="s">
        <v>2078</v>
      </c>
      <c r="H10420" t="s">
        <v>6704</v>
      </c>
      <c r="I10420" t="s">
        <v>9470</v>
      </c>
      <c r="J10420" t="s">
        <v>12749</v>
      </c>
      <c r="K10420" t="s">
        <v>17160</v>
      </c>
      <c r="L10420">
        <f>HYPERLINK("https://www2.assemblee-nationale.fr/sycomore/fiche/(num_dept)/3509", "3509")</f>
        <v>0</v>
      </c>
      <c r="N10420">
        <f>HYPERLINK("https://www.wikidata.org/wiki/Q3099021", "Q3099021")</f>
        <v>0</v>
      </c>
      <c r="O10420" t="s">
        <v>20379</v>
      </c>
    </row>
    <row r="10421" spans="1:15">
      <c r="A10421" t="s">
        <v>117</v>
      </c>
      <c r="B10421" t="s">
        <v>149</v>
      </c>
      <c r="C10421" t="s">
        <v>249</v>
      </c>
      <c r="D10421" t="s">
        <v>378</v>
      </c>
      <c r="E10421" t="s">
        <v>487</v>
      </c>
      <c r="F10421">
        <f>HYPERLINK("https://www.wikidata.org/wiki/Q2842193", "Q2842193")</f>
        <v>0</v>
      </c>
      <c r="G10421" t="s">
        <v>1483</v>
      </c>
      <c r="H10421" t="s">
        <v>6181</v>
      </c>
      <c r="I10421" t="s">
        <v>9728</v>
      </c>
      <c r="J10421" t="s">
        <v>12202</v>
      </c>
      <c r="K10421" t="s">
        <v>16607</v>
      </c>
      <c r="L10421">
        <f>HYPERLINK("https://www2.assemblee-nationale.fr/sycomore/fiche/(num_dept)/3589", "3589")</f>
        <v>0</v>
      </c>
      <c r="N10421">
        <f>HYPERLINK("https://www.wikidata.org/wiki/Q3579872", "Q3579872")</f>
        <v>0</v>
      </c>
      <c r="O10421" t="s">
        <v>20380</v>
      </c>
    </row>
    <row r="10422" spans="1:15">
      <c r="A10422" t="s">
        <v>117</v>
      </c>
      <c r="B10422" t="s">
        <v>149</v>
      </c>
      <c r="C10422" t="s">
        <v>249</v>
      </c>
      <c r="D10422" t="s">
        <v>378</v>
      </c>
      <c r="E10422" t="s">
        <v>487</v>
      </c>
      <c r="F10422">
        <f>HYPERLINK("https://www.wikidata.org/wiki/Q2842193", "Q2842193")</f>
        <v>0</v>
      </c>
      <c r="G10422" t="s">
        <v>1517</v>
      </c>
      <c r="H10422" t="s">
        <v>6213</v>
      </c>
      <c r="I10422" t="s">
        <v>6495</v>
      </c>
      <c r="J10422" t="s">
        <v>12234</v>
      </c>
      <c r="K10422" t="s">
        <v>16640</v>
      </c>
      <c r="L10422">
        <f>HYPERLINK("https://www2.assemblee-nationale.fr/sycomore/fiche/(num_dept)/4823", "4823")</f>
        <v>0</v>
      </c>
      <c r="N10422">
        <f>HYPERLINK("https://www.wikidata.org/wiki/Q2788498", "Q2788498")</f>
        <v>0</v>
      </c>
      <c r="O10422" t="s">
        <v>20381</v>
      </c>
    </row>
    <row r="10423" spans="1:15">
      <c r="A10423" t="s">
        <v>117</v>
      </c>
      <c r="B10423" t="s">
        <v>149</v>
      </c>
      <c r="C10423" t="s">
        <v>249</v>
      </c>
      <c r="D10423" t="s">
        <v>378</v>
      </c>
      <c r="E10423" t="s">
        <v>487</v>
      </c>
      <c r="F10423">
        <f>HYPERLINK("https://www.wikidata.org/wiki/Q2842193", "Q2842193")</f>
        <v>0</v>
      </c>
      <c r="G10423" t="s">
        <v>1925</v>
      </c>
      <c r="H10423" t="s">
        <v>6572</v>
      </c>
      <c r="I10423" t="s">
        <v>9388</v>
      </c>
      <c r="J10423" t="s">
        <v>12610</v>
      </c>
      <c r="K10423" t="s">
        <v>17021</v>
      </c>
      <c r="L10423">
        <f>HYPERLINK("https://www2.assemblee-nationale.fr/sycomore/fiche/(num_dept)/4976", "4976")</f>
        <v>0</v>
      </c>
      <c r="N10423">
        <f>HYPERLINK("https://www.wikidata.org/wiki/Q3371769", "Q3371769")</f>
        <v>0</v>
      </c>
      <c r="O10423" t="s">
        <v>20099</v>
      </c>
    </row>
    <row r="10424" spans="1:15">
      <c r="A10424" t="s">
        <v>117</v>
      </c>
      <c r="B10424" t="s">
        <v>149</v>
      </c>
      <c r="C10424" t="s">
        <v>249</v>
      </c>
      <c r="D10424" t="s">
        <v>378</v>
      </c>
      <c r="E10424" t="s">
        <v>487</v>
      </c>
      <c r="F10424">
        <f>HYPERLINK("https://www.wikidata.org/wiki/Q2842193", "Q2842193")</f>
        <v>0</v>
      </c>
      <c r="G10424" t="s">
        <v>1693</v>
      </c>
      <c r="H10424" t="s">
        <v>6239</v>
      </c>
      <c r="I10424" t="s">
        <v>5528</v>
      </c>
      <c r="J10424" t="s">
        <v>12397</v>
      </c>
      <c r="K10424" t="s">
        <v>16805</v>
      </c>
      <c r="L10424">
        <f>HYPERLINK("https://www2.assemblee-nationale.fr/sycomore/fiche/(num_dept)/5241", "5241")</f>
        <v>0</v>
      </c>
      <c r="N10424">
        <f>HYPERLINK("https://www.wikidata.org/wiki/Q1879449", "Q1879449")</f>
        <v>0</v>
      </c>
      <c r="O10424" t="s">
        <v>20382</v>
      </c>
    </row>
    <row r="10425" spans="1:15">
      <c r="A10425" t="s">
        <v>117</v>
      </c>
      <c r="B10425" t="s">
        <v>149</v>
      </c>
      <c r="C10425" t="s">
        <v>249</v>
      </c>
      <c r="D10425" t="s">
        <v>378</v>
      </c>
      <c r="E10425" t="s">
        <v>487</v>
      </c>
      <c r="F10425">
        <f>HYPERLINK("https://www.wikidata.org/wiki/Q2842193", "Q2842193")</f>
        <v>0</v>
      </c>
      <c r="G10425" t="s">
        <v>2119</v>
      </c>
      <c r="H10425" t="s">
        <v>6739</v>
      </c>
      <c r="I10425" t="s">
        <v>5528</v>
      </c>
      <c r="J10425" t="s">
        <v>12783</v>
      </c>
      <c r="K10425" t="s">
        <v>16919</v>
      </c>
      <c r="L10425">
        <f>HYPERLINK("https://www2.assemblee-nationale.fr/sycomore/fiche/(num_dept)/5292", "5292")</f>
        <v>0</v>
      </c>
      <c r="N10425">
        <f>HYPERLINK("https://www.wikidata.org/wiki/Q3271203", "Q3271203")</f>
        <v>0</v>
      </c>
      <c r="O10425" t="s">
        <v>20130</v>
      </c>
    </row>
    <row r="10426" spans="1:15">
      <c r="A10426" t="s">
        <v>117</v>
      </c>
      <c r="B10426" t="s">
        <v>149</v>
      </c>
      <c r="C10426" t="s">
        <v>249</v>
      </c>
      <c r="D10426" t="s">
        <v>378</v>
      </c>
      <c r="E10426" t="s">
        <v>487</v>
      </c>
      <c r="F10426">
        <f>HYPERLINK("https://www.wikidata.org/wiki/Q2842193", "Q2842193")</f>
        <v>0</v>
      </c>
      <c r="G10426" t="s">
        <v>1017</v>
      </c>
      <c r="H10426" t="s">
        <v>5767</v>
      </c>
      <c r="I10426" t="s">
        <v>9388</v>
      </c>
      <c r="J10426" t="s">
        <v>11754</v>
      </c>
      <c r="K10426" t="s">
        <v>16157</v>
      </c>
      <c r="L10426">
        <f>HYPERLINK("https://www2.assemblee-nationale.fr/sycomore/fiche/(num_dept)/5653", "5653")</f>
        <v>0</v>
      </c>
      <c r="N10426">
        <f>HYPERLINK("https://www.wikidata.org/wiki/Q315434", "Q315434")</f>
        <v>0</v>
      </c>
      <c r="O10426" t="s">
        <v>20072</v>
      </c>
    </row>
    <row r="10427" spans="1:15">
      <c r="A10427" t="s">
        <v>117</v>
      </c>
      <c r="B10427" t="s">
        <v>149</v>
      </c>
      <c r="C10427" t="s">
        <v>249</v>
      </c>
      <c r="D10427" t="s">
        <v>378</v>
      </c>
      <c r="E10427" t="s">
        <v>487</v>
      </c>
      <c r="F10427">
        <f>HYPERLINK("https://www.wikidata.org/wiki/Q2842193", "Q2842193")</f>
        <v>0</v>
      </c>
      <c r="G10427" t="s">
        <v>1861</v>
      </c>
      <c r="H10427" t="s">
        <v>6517</v>
      </c>
      <c r="I10427" t="s">
        <v>7642</v>
      </c>
      <c r="J10427" t="s">
        <v>11903</v>
      </c>
      <c r="K10427" t="s">
        <v>16962</v>
      </c>
      <c r="L10427">
        <f>HYPERLINK("https://www2.assemblee-nationale.fr/sycomore/fiche/(num_dept)/5662", "5662")</f>
        <v>0</v>
      </c>
      <c r="M10427">
        <f>HYPERLINK("https://www.senat.fr/senateur-3eme-republique/palmade_maurice0409r3.html", "palmade_maurice0409r3")</f>
        <v>0</v>
      </c>
      <c r="N10427">
        <f>HYPERLINK("https://www.wikidata.org/wiki/Q3301240", "Q3301240")</f>
        <v>0</v>
      </c>
      <c r="O10427" t="s">
        <v>20194</v>
      </c>
    </row>
    <row r="10428" spans="1:15">
      <c r="A10428" t="s">
        <v>117</v>
      </c>
      <c r="B10428" t="s">
        <v>149</v>
      </c>
      <c r="C10428" t="s">
        <v>249</v>
      </c>
      <c r="D10428" t="s">
        <v>378</v>
      </c>
      <c r="E10428" t="s">
        <v>487</v>
      </c>
      <c r="F10428">
        <f>HYPERLINK("https://www.wikidata.org/wiki/Q2842193", "Q2842193")</f>
        <v>0</v>
      </c>
      <c r="G10428" t="s">
        <v>778</v>
      </c>
      <c r="H10428" t="s">
        <v>5536</v>
      </c>
      <c r="I10428" t="s">
        <v>6584</v>
      </c>
      <c r="J10428" t="s">
        <v>11525</v>
      </c>
      <c r="K10428" t="s">
        <v>15929</v>
      </c>
      <c r="L10428">
        <f>HYPERLINK("https://www2.assemblee-nationale.fr/sycomore/fiche/(num_dept)/6293", "6293")</f>
        <v>0</v>
      </c>
      <c r="M10428">
        <f>HYPERLINK("https://www.senat.fr/senateur-3eme-republique/sarraut_albert0265r3.html", "sarraut_albert0265r3")</f>
        <v>0</v>
      </c>
      <c r="N10428">
        <f>HYPERLINK("https://www.wikidata.org/wiki/Q460318", "Q460318")</f>
        <v>0</v>
      </c>
      <c r="O10428" t="s">
        <v>20097</v>
      </c>
    </row>
    <row r="10429" spans="1:15">
      <c r="A10429" t="s">
        <v>117</v>
      </c>
      <c r="B10429" t="s">
        <v>149</v>
      </c>
      <c r="C10429" t="s">
        <v>249</v>
      </c>
      <c r="D10429" t="s">
        <v>378</v>
      </c>
      <c r="E10429" t="s">
        <v>487</v>
      </c>
      <c r="F10429">
        <f>HYPERLINK("https://www.wikidata.org/wiki/Q2842193", "Q2842193")</f>
        <v>0</v>
      </c>
      <c r="G10429" t="s">
        <v>1304</v>
      </c>
      <c r="H10429" t="s">
        <v>6025</v>
      </c>
      <c r="I10429" t="s">
        <v>9457</v>
      </c>
      <c r="J10429" t="s">
        <v>12034</v>
      </c>
      <c r="K10429" t="s">
        <v>16435</v>
      </c>
      <c r="L10429">
        <f>HYPERLINK("https://www2.assemblee-nationale.fr/sycomore/fiche/(num_dept)/6554", "6554")</f>
        <v>0</v>
      </c>
      <c r="M10429">
        <f>HYPERLINK("https://www.senat.fr/senateur-3eme-republique/queuille_henri0469r3.html", "queuille_henri0469r3")</f>
        <v>0</v>
      </c>
      <c r="N10429">
        <f>HYPERLINK("https://www.wikidata.org/wiki/Q455655", "Q455655")</f>
        <v>0</v>
      </c>
      <c r="O10429" t="s">
        <v>20089</v>
      </c>
    </row>
    <row r="10430" spans="1:15">
      <c r="A10430" t="s">
        <v>117</v>
      </c>
      <c r="B10430" t="s">
        <v>149</v>
      </c>
      <c r="C10430" t="s">
        <v>249</v>
      </c>
      <c r="D10430" t="s">
        <v>378</v>
      </c>
      <c r="E10430" t="s">
        <v>487</v>
      </c>
      <c r="F10430">
        <f>HYPERLINK("https://www.wikidata.org/wiki/Q2842193", "Q2842193")</f>
        <v>0</v>
      </c>
      <c r="G10430" t="s">
        <v>814</v>
      </c>
      <c r="H10430" t="s">
        <v>5571</v>
      </c>
      <c r="I10430" t="s">
        <v>9533</v>
      </c>
      <c r="J10430" t="s">
        <v>11561</v>
      </c>
      <c r="K10430" t="s">
        <v>15965</v>
      </c>
      <c r="L10430">
        <f>HYPERLINK("https://www2.assemblee-nationale.fr/sycomore/fiche/(num_dept)/6904", "6904")</f>
        <v>0</v>
      </c>
      <c r="M10430">
        <f>HYPERLINK("https://www.senat.fr/senateur-3eme-republique/steeg_theodore1554r3.html", "steeg_theodore1554r3")</f>
        <v>0</v>
      </c>
      <c r="N10430">
        <f>HYPERLINK("https://www.wikidata.org/wiki/Q717905", "Q717905")</f>
        <v>0</v>
      </c>
      <c r="O10430" t="s">
        <v>20052</v>
      </c>
    </row>
    <row r="10431" spans="1:15">
      <c r="A10431" t="s">
        <v>117</v>
      </c>
      <c r="B10431" t="s">
        <v>149</v>
      </c>
      <c r="C10431" t="s">
        <v>249</v>
      </c>
      <c r="D10431" t="s">
        <v>378</v>
      </c>
      <c r="E10431" t="s">
        <v>487</v>
      </c>
      <c r="F10431">
        <f>HYPERLINK("https://www.wikidata.org/wiki/Q2842193", "Q2842193")</f>
        <v>0</v>
      </c>
      <c r="G10431" t="s">
        <v>1632</v>
      </c>
      <c r="H10431" t="s">
        <v>6317</v>
      </c>
      <c r="I10431" t="s">
        <v>6759</v>
      </c>
      <c r="J10431" t="s">
        <v>12339</v>
      </c>
      <c r="K10431" t="s">
        <v>16748</v>
      </c>
      <c r="L10431">
        <f>HYPERLINK("https://www2.assemblee-nationale.fr/sycomore/fiche/(num_dept)/7066", "7066")</f>
        <v>0</v>
      </c>
      <c r="M10431">
        <f>HYPERLINK("https://www.senat.fr/senateur-3eme-republique/thoumyre_robert1579r3.html", "thoumyre_robert1579r3")</f>
        <v>0</v>
      </c>
      <c r="N10431">
        <f>HYPERLINK("https://www.wikidata.org/wiki/Q3436407", "Q3436407")</f>
        <v>0</v>
      </c>
      <c r="O10431" t="s">
        <v>20088</v>
      </c>
    </row>
    <row r="10432" spans="1:15">
      <c r="A10432" t="s">
        <v>117</v>
      </c>
      <c r="B10432" t="s">
        <v>149</v>
      </c>
      <c r="C10432" t="s">
        <v>249</v>
      </c>
      <c r="D10432" t="s">
        <v>378</v>
      </c>
      <c r="E10432" t="s">
        <v>487</v>
      </c>
      <c r="F10432">
        <f>HYPERLINK("https://www.wikidata.org/wiki/Q2842193", "Q2842193")</f>
        <v>0</v>
      </c>
      <c r="G10432" t="s">
        <v>2178</v>
      </c>
      <c r="H10432" t="s">
        <v>6791</v>
      </c>
      <c r="I10432" t="s">
        <v>6860</v>
      </c>
      <c r="J10432" t="s">
        <v>12841</v>
      </c>
      <c r="K10432" t="s">
        <v>17254</v>
      </c>
      <c r="L10432">
        <f>HYPERLINK("https://www2.assemblee-nationale.fr/sycomore/fiche/(num_dept)/7152", "7152")</f>
        <v>0</v>
      </c>
      <c r="N10432">
        <f>HYPERLINK("https://www.wikidata.org/wiki/Q3387161", "Q3387161")</f>
        <v>0</v>
      </c>
      <c r="O10432" t="s">
        <v>20195</v>
      </c>
    </row>
    <row r="10433" spans="1:15">
      <c r="A10433" t="s">
        <v>117</v>
      </c>
      <c r="B10433" t="s">
        <v>149</v>
      </c>
      <c r="C10433" t="s">
        <v>249</v>
      </c>
      <c r="D10433" t="s">
        <v>378</v>
      </c>
      <c r="E10433" t="s">
        <v>487</v>
      </c>
      <c r="F10433">
        <f>HYPERLINK("https://www.wikidata.org/wiki/Q2842193", "Q2842193")</f>
        <v>0</v>
      </c>
      <c r="G10433" t="s">
        <v>857</v>
      </c>
      <c r="H10433" t="s">
        <v>5613</v>
      </c>
      <c r="I10433" t="s">
        <v>6175</v>
      </c>
      <c r="J10433" t="s">
        <v>11603</v>
      </c>
      <c r="K10433" t="s">
        <v>16005</v>
      </c>
      <c r="L10433">
        <f>HYPERLINK("https://www2.assemblee-nationale.fr/sycomore/fiche/(num_dept)/7840", "7840")</f>
        <v>0</v>
      </c>
      <c r="N10433">
        <f>HYPERLINK("https://www.wikidata.org/wiki/Q728806", "Q728806")</f>
        <v>0</v>
      </c>
      <c r="O10433" t="s">
        <v>20058</v>
      </c>
    </row>
    <row r="10434" spans="1:15">
      <c r="A10434" t="s">
        <v>117</v>
      </c>
      <c r="B10434" t="s">
        <v>149</v>
      </c>
      <c r="C10434" t="s">
        <v>249</v>
      </c>
      <c r="D10434" t="s">
        <v>378</v>
      </c>
      <c r="E10434" t="s">
        <v>487</v>
      </c>
      <c r="F10434">
        <f>HYPERLINK("https://www.wikidata.org/wiki/Q2842193", "Q2842193")</f>
        <v>0</v>
      </c>
      <c r="G10434" t="s">
        <v>1724</v>
      </c>
      <c r="H10434" t="s">
        <v>6360</v>
      </c>
      <c r="I10434" t="s">
        <v>6175</v>
      </c>
      <c r="J10434" t="s">
        <v>12425</v>
      </c>
      <c r="K10434" t="s">
        <v>16833</v>
      </c>
      <c r="N10434">
        <f>HYPERLINK("https://www.wikidata.org/wiki/Q3102323", "Q3102323")</f>
        <v>0</v>
      </c>
      <c r="O10434" t="s">
        <v>20193</v>
      </c>
    </row>
    <row r="10435" spans="1:15">
      <c r="A10435" t="s">
        <v>117</v>
      </c>
      <c r="B10435" t="s">
        <v>149</v>
      </c>
      <c r="C10435" t="s">
        <v>249</v>
      </c>
      <c r="D10435" t="s">
        <v>378</v>
      </c>
      <c r="E10435" t="s">
        <v>487</v>
      </c>
      <c r="F10435">
        <f>HYPERLINK("https://www.wikidata.org/wiki/Q2842193", "Q2842193")</f>
        <v>0</v>
      </c>
      <c r="G10435" t="s">
        <v>4268</v>
      </c>
      <c r="H10435" t="s">
        <v>8433</v>
      </c>
      <c r="I10435" t="s">
        <v>5394</v>
      </c>
      <c r="J10435" t="s">
        <v>14768</v>
      </c>
      <c r="K10435" t="s">
        <v>19116</v>
      </c>
      <c r="N10435">
        <f>HYPERLINK("https://www.wikidata.org/wiki/Q3592105", "Q3592105")</f>
        <v>0</v>
      </c>
      <c r="O10435" t="s">
        <v>20118</v>
      </c>
    </row>
    <row r="10436" spans="1:15">
      <c r="A10436" t="s">
        <v>117</v>
      </c>
      <c r="B10436" t="s">
        <v>149</v>
      </c>
      <c r="C10436" t="s">
        <v>249</v>
      </c>
      <c r="D10436" t="s">
        <v>378</v>
      </c>
      <c r="E10436" t="s">
        <v>487</v>
      </c>
      <c r="F10436">
        <f>HYPERLINK("https://www.wikidata.org/wiki/Q2842193", "Q2842193")</f>
        <v>0</v>
      </c>
      <c r="G10436" t="s">
        <v>1312</v>
      </c>
      <c r="H10436" t="s">
        <v>6033</v>
      </c>
      <c r="I10436" t="s">
        <v>7419</v>
      </c>
      <c r="J10436" t="s">
        <v>12042</v>
      </c>
      <c r="K10436" t="s">
        <v>16443</v>
      </c>
      <c r="N10436">
        <f>HYPERLINK("https://www.wikidata.org/wiki/Q935896", "Q935896")</f>
        <v>0</v>
      </c>
      <c r="O10436" t="s">
        <v>20095</v>
      </c>
    </row>
    <row r="10437" spans="1:15">
      <c r="A10437" t="s">
        <v>117</v>
      </c>
      <c r="B10437" t="s">
        <v>149</v>
      </c>
      <c r="C10437" t="s">
        <v>249</v>
      </c>
      <c r="D10437" t="s">
        <v>378</v>
      </c>
      <c r="E10437" t="s">
        <v>487</v>
      </c>
      <c r="F10437">
        <f>HYPERLINK("https://www.wikidata.org/wiki/Q2842193", "Q2842193")</f>
        <v>0</v>
      </c>
      <c r="G10437" t="s">
        <v>4346</v>
      </c>
      <c r="H10437" t="s">
        <v>8497</v>
      </c>
      <c r="I10437" t="s">
        <v>9552</v>
      </c>
      <c r="J10437" t="s">
        <v>14838</v>
      </c>
      <c r="K10437" t="s">
        <v>19180</v>
      </c>
      <c r="M10437">
        <f>HYPERLINK("https://www.senat.fr/senateur-3eme-republique/mounie_auguste1331r3.html", "mounie_auguste1331r3")</f>
        <v>0</v>
      </c>
      <c r="N10437">
        <f>HYPERLINK("https://www.wikidata.org/wiki/Q2871327", "Q2871327")</f>
        <v>0</v>
      </c>
      <c r="O10437" t="s">
        <v>20333</v>
      </c>
    </row>
    <row r="10438" spans="1:15">
      <c r="A10438" t="s">
        <v>117</v>
      </c>
      <c r="B10438" t="s">
        <v>149</v>
      </c>
      <c r="C10438" t="s">
        <v>249</v>
      </c>
      <c r="D10438" t="s">
        <v>378</v>
      </c>
      <c r="E10438" t="s">
        <v>487</v>
      </c>
      <c r="F10438">
        <f>HYPERLINK("https://www.wikidata.org/wiki/Q2842193", "Q2842193")</f>
        <v>0</v>
      </c>
      <c r="G10438" t="s">
        <v>1741</v>
      </c>
      <c r="H10438" t="s">
        <v>5650</v>
      </c>
      <c r="I10438" t="s">
        <v>9552</v>
      </c>
      <c r="J10438" t="s">
        <v>12442</v>
      </c>
      <c r="K10438" t="s">
        <v>16849</v>
      </c>
      <c r="N10438">
        <f>HYPERLINK("https://www.wikidata.org/wiki/Q126307762", "Q126307762")</f>
        <v>0</v>
      </c>
      <c r="O10438" t="s">
        <v>20192</v>
      </c>
    </row>
    <row r="10439" spans="1:15">
      <c r="A10439" t="s">
        <v>118</v>
      </c>
      <c r="B10439" t="s">
        <v>149</v>
      </c>
      <c r="C10439" t="s">
        <v>250</v>
      </c>
      <c r="D10439" t="s">
        <v>379</v>
      </c>
      <c r="E10439" t="s">
        <v>488</v>
      </c>
      <c r="F10439">
        <f>HYPERLINK("https://www.wikidata.org/wiki/Q3111874", "Q3111874")</f>
        <v>0</v>
      </c>
      <c r="G10439" t="s">
        <v>1355</v>
      </c>
      <c r="H10439" t="s">
        <v>6073</v>
      </c>
      <c r="I10439" t="s">
        <v>5528</v>
      </c>
      <c r="J10439" t="s">
        <v>12081</v>
      </c>
      <c r="K10439" t="s">
        <v>16484</v>
      </c>
      <c r="L10439">
        <f>HYPERLINK("https://www2.assemblee-nationale.fr/sycomore/fiche/(num_dept)/409", "409")</f>
        <v>0</v>
      </c>
      <c r="N10439">
        <f>HYPERLINK("https://www.wikidata.org/wiki/Q3270710", "Q3270710")</f>
        <v>0</v>
      </c>
      <c r="O10439" t="s">
        <v>20196</v>
      </c>
    </row>
    <row r="10440" spans="1:15">
      <c r="A10440" t="s">
        <v>118</v>
      </c>
      <c r="B10440" t="s">
        <v>149</v>
      </c>
      <c r="C10440" t="s">
        <v>250</v>
      </c>
      <c r="D10440" t="s">
        <v>379</v>
      </c>
      <c r="E10440" t="s">
        <v>488</v>
      </c>
      <c r="F10440">
        <f>HYPERLINK("https://www.wikidata.org/wiki/Q3111874", "Q3111874")</f>
        <v>0</v>
      </c>
      <c r="G10440" t="s">
        <v>553</v>
      </c>
      <c r="H10440" t="s">
        <v>5316</v>
      </c>
      <c r="I10440" t="s">
        <v>9411</v>
      </c>
      <c r="J10440" t="s">
        <v>11304</v>
      </c>
      <c r="K10440" t="s">
        <v>15705</v>
      </c>
      <c r="L10440">
        <f>HYPERLINK("https://www2.assemblee-nationale.fr/sycomore/fiche/(num_dept)/1211", "1211")</f>
        <v>0</v>
      </c>
      <c r="N10440">
        <f>HYPERLINK("https://www.wikidata.org/wiki/Q179888", "Q179888")</f>
        <v>0</v>
      </c>
      <c r="O10440" t="s">
        <v>20062</v>
      </c>
    </row>
    <row r="10441" spans="1:15">
      <c r="A10441" t="s">
        <v>118</v>
      </c>
      <c r="B10441" t="s">
        <v>149</v>
      </c>
      <c r="C10441" t="s">
        <v>250</v>
      </c>
      <c r="D10441" t="s">
        <v>379</v>
      </c>
      <c r="E10441" t="s">
        <v>488</v>
      </c>
      <c r="F10441">
        <f>HYPERLINK("https://www.wikidata.org/wiki/Q3111874", "Q3111874")</f>
        <v>0</v>
      </c>
      <c r="G10441" t="s">
        <v>1754</v>
      </c>
      <c r="H10441" t="s">
        <v>6424</v>
      </c>
      <c r="I10441" t="s">
        <v>9552</v>
      </c>
      <c r="J10441" t="s">
        <v>12454</v>
      </c>
      <c r="K10441" t="s">
        <v>16860</v>
      </c>
      <c r="L10441">
        <f>HYPERLINK("https://www2.assemblee-nationale.fr/sycomore/fiche/(num_dept)/1631", "1631")</f>
        <v>0</v>
      </c>
      <c r="M10441">
        <f>HYPERLINK("https://www.senat.fr/senateur-3eme-republique/champetier_de_ribes_auguste0517r4.html", "champetier_de_ribes_auguste0517r4")</f>
        <v>0</v>
      </c>
      <c r="N10441">
        <f>HYPERLINK("https://www.wikidata.org/wiki/Q478746", "Q478746")</f>
        <v>0</v>
      </c>
      <c r="O10441" t="s">
        <v>20054</v>
      </c>
    </row>
    <row r="10442" spans="1:15">
      <c r="A10442" t="s">
        <v>118</v>
      </c>
      <c r="B10442" t="s">
        <v>149</v>
      </c>
      <c r="C10442" t="s">
        <v>250</v>
      </c>
      <c r="D10442" t="s">
        <v>379</v>
      </c>
      <c r="E10442" t="s">
        <v>488</v>
      </c>
      <c r="F10442">
        <f>HYPERLINK("https://www.wikidata.org/wiki/Q3111874", "Q3111874")</f>
        <v>0</v>
      </c>
      <c r="G10442" t="s">
        <v>576</v>
      </c>
      <c r="H10442" t="s">
        <v>5338</v>
      </c>
      <c r="I10442" t="s">
        <v>6478</v>
      </c>
      <c r="J10442" t="s">
        <v>11327</v>
      </c>
      <c r="K10442" t="s">
        <v>15728</v>
      </c>
      <c r="L10442">
        <f>HYPERLINK("https://www2.assemblee-nationale.fr/sycomore/fiche/(num_dept)/1768", "1768")</f>
        <v>0</v>
      </c>
      <c r="M10442">
        <f>HYPERLINK("https://www.senat.fr/senateur-3eme-republique/cheron_henry0337r3.html", "cheron_henry0337r3")</f>
        <v>0</v>
      </c>
      <c r="N10442">
        <f>HYPERLINK("https://www.wikidata.org/wiki/Q3132698", "Q3132698")</f>
        <v>0</v>
      </c>
      <c r="O10442" t="s">
        <v>20066</v>
      </c>
    </row>
    <row r="10443" spans="1:15">
      <c r="A10443" t="s">
        <v>118</v>
      </c>
      <c r="B10443" t="s">
        <v>149</v>
      </c>
      <c r="C10443" t="s">
        <v>250</v>
      </c>
      <c r="D10443" t="s">
        <v>379</v>
      </c>
      <c r="E10443" t="s">
        <v>488</v>
      </c>
      <c r="F10443">
        <f>HYPERLINK("https://www.wikidata.org/wiki/Q3111874", "Q3111874")</f>
        <v>0</v>
      </c>
      <c r="G10443" t="s">
        <v>2047</v>
      </c>
      <c r="H10443" t="s">
        <v>6678</v>
      </c>
      <c r="I10443" t="s">
        <v>7642</v>
      </c>
      <c r="J10443" t="s">
        <v>12720</v>
      </c>
      <c r="K10443" t="s">
        <v>17131</v>
      </c>
      <c r="L10443">
        <f>HYPERLINK("https://www2.assemblee-nationale.fr/sycomore/fiche/(num_dept)/2303", "2303")</f>
        <v>0</v>
      </c>
      <c r="N10443">
        <f>HYPERLINK("https://www.wikidata.org/wiki/Q3300659", "Q3300659")</f>
        <v>0</v>
      </c>
      <c r="O10443" t="s">
        <v>20147</v>
      </c>
    </row>
    <row r="10444" spans="1:15">
      <c r="A10444" t="s">
        <v>118</v>
      </c>
      <c r="B10444" t="s">
        <v>149</v>
      </c>
      <c r="C10444" t="s">
        <v>250</v>
      </c>
      <c r="D10444" t="s">
        <v>379</v>
      </c>
      <c r="E10444" t="s">
        <v>488</v>
      </c>
      <c r="F10444">
        <f>HYPERLINK("https://www.wikidata.org/wiki/Q3111874", "Q3111874")</f>
        <v>0</v>
      </c>
      <c r="G10444" t="s">
        <v>1780</v>
      </c>
      <c r="H10444" t="s">
        <v>6448</v>
      </c>
      <c r="I10444" t="s">
        <v>9947</v>
      </c>
      <c r="J10444" t="s">
        <v>12119</v>
      </c>
      <c r="K10444" t="s">
        <v>16886</v>
      </c>
      <c r="L10444">
        <f>HYPERLINK("https://www2.assemblee-nationale.fr/sycomore/fiche/(num_dept)/2318", "2318")</f>
        <v>0</v>
      </c>
      <c r="N10444">
        <f>HYPERLINK("https://www.wikidata.org/wiki/Q2832159", "Q2832159")</f>
        <v>0</v>
      </c>
      <c r="O10444" t="s">
        <v>20192</v>
      </c>
    </row>
    <row r="10445" spans="1:15">
      <c r="A10445" t="s">
        <v>118</v>
      </c>
      <c r="B10445" t="s">
        <v>149</v>
      </c>
      <c r="C10445" t="s">
        <v>250</v>
      </c>
      <c r="D10445" t="s">
        <v>379</v>
      </c>
      <c r="E10445" t="s">
        <v>488</v>
      </c>
      <c r="F10445">
        <f>HYPERLINK("https://www.wikidata.org/wiki/Q3111874", "Q3111874")</f>
        <v>0</v>
      </c>
      <c r="G10445" t="s">
        <v>1170</v>
      </c>
      <c r="H10445" t="s">
        <v>5901</v>
      </c>
      <c r="I10445" t="s">
        <v>5592</v>
      </c>
      <c r="J10445" t="s">
        <v>11903</v>
      </c>
      <c r="K10445" t="s">
        <v>16305</v>
      </c>
      <c r="L10445">
        <f>HYPERLINK("https://www2.assemblee-nationale.fr/sycomore/fiche/(num_dept)/2874", "2874")</f>
        <v>0</v>
      </c>
      <c r="M10445">
        <f>HYPERLINK("https://www.senat.fr/senateur-3eme-republique/eynac_laurent0520r3.html", "eynac_laurent0520r3")</f>
        <v>0</v>
      </c>
      <c r="N10445">
        <f>HYPERLINK("https://www.wikidata.org/wiki/Q3219208", "Q3219208")</f>
        <v>0</v>
      </c>
      <c r="O10445" t="s">
        <v>20072</v>
      </c>
    </row>
    <row r="10446" spans="1:15">
      <c r="A10446" t="s">
        <v>118</v>
      </c>
      <c r="B10446" t="s">
        <v>149</v>
      </c>
      <c r="C10446" t="s">
        <v>250</v>
      </c>
      <c r="D10446" t="s">
        <v>379</v>
      </c>
      <c r="E10446" t="s">
        <v>488</v>
      </c>
      <c r="F10446">
        <f>HYPERLINK("https://www.wikidata.org/wiki/Q3111874", "Q3111874")</f>
        <v>0</v>
      </c>
      <c r="G10446" t="s">
        <v>1801</v>
      </c>
      <c r="H10446" t="s">
        <v>6466</v>
      </c>
      <c r="I10446" t="s">
        <v>6585</v>
      </c>
      <c r="J10446" t="s">
        <v>12496</v>
      </c>
      <c r="K10446" t="s">
        <v>16906</v>
      </c>
      <c r="L10446">
        <f>HYPERLINK("https://www2.assemblee-nationale.fr/sycomore/fiche/(num_dept)/3130", "3130")</f>
        <v>0</v>
      </c>
      <c r="N10446">
        <f>HYPERLINK("https://www.wikidata.org/wiki/Q518576", "Q518576")</f>
        <v>0</v>
      </c>
      <c r="O10446" t="s">
        <v>20067</v>
      </c>
    </row>
    <row r="10447" spans="1:15">
      <c r="A10447" t="s">
        <v>118</v>
      </c>
      <c r="B10447" t="s">
        <v>149</v>
      </c>
      <c r="C10447" t="s">
        <v>250</v>
      </c>
      <c r="D10447" t="s">
        <v>379</v>
      </c>
      <c r="E10447" t="s">
        <v>488</v>
      </c>
      <c r="F10447">
        <f>HYPERLINK("https://www.wikidata.org/wiki/Q3111874", "Q3111874")</f>
        <v>0</v>
      </c>
      <c r="G10447" t="s">
        <v>2074</v>
      </c>
      <c r="H10447" t="s">
        <v>6701</v>
      </c>
      <c r="I10447" t="s">
        <v>6495</v>
      </c>
      <c r="J10447" t="s">
        <v>12745</v>
      </c>
      <c r="K10447" t="s">
        <v>17156</v>
      </c>
      <c r="L10447">
        <f>HYPERLINK("https://www2.assemblee-nationale.fr/sycomore/fiche/(num_dept)/3378", "3378")</f>
        <v>0</v>
      </c>
      <c r="N10447">
        <f>HYPERLINK("https://www.wikidata.org/wiki/Q3262030", "Q3262030")</f>
        <v>0</v>
      </c>
      <c r="O10447" t="s">
        <v>20193</v>
      </c>
    </row>
    <row r="10448" spans="1:15">
      <c r="A10448" t="s">
        <v>118</v>
      </c>
      <c r="B10448" t="s">
        <v>149</v>
      </c>
      <c r="C10448" t="s">
        <v>250</v>
      </c>
      <c r="D10448" t="s">
        <v>379</v>
      </c>
      <c r="E10448" t="s">
        <v>488</v>
      </c>
      <c r="F10448">
        <f>HYPERLINK("https://www.wikidata.org/wiki/Q3111874", "Q3111874")</f>
        <v>0</v>
      </c>
      <c r="G10448" t="s">
        <v>682</v>
      </c>
      <c r="H10448" t="s">
        <v>5440</v>
      </c>
      <c r="I10448" t="s">
        <v>6200</v>
      </c>
      <c r="J10448" t="s">
        <v>11432</v>
      </c>
      <c r="K10448" t="s">
        <v>15833</v>
      </c>
      <c r="L10448">
        <f>HYPERLINK("https://www2.assemblee-nationale.fr/sycomore/fiche/(num_dept)/3795", "3795")</f>
        <v>0</v>
      </c>
      <c r="N10448">
        <f>HYPERLINK("https://www.wikidata.org/wiki/Q554679", "Q554679")</f>
        <v>0</v>
      </c>
      <c r="O10448" t="s">
        <v>20056</v>
      </c>
    </row>
    <row r="10449" spans="1:15">
      <c r="A10449" t="s">
        <v>118</v>
      </c>
      <c r="B10449" t="s">
        <v>149</v>
      </c>
      <c r="C10449" t="s">
        <v>250</v>
      </c>
      <c r="D10449" t="s">
        <v>379</v>
      </c>
      <c r="E10449" t="s">
        <v>488</v>
      </c>
      <c r="F10449">
        <f>HYPERLINK("https://www.wikidata.org/wiki/Q3111874", "Q3111874")</f>
        <v>0</v>
      </c>
      <c r="G10449" t="s">
        <v>1814</v>
      </c>
      <c r="H10449" t="s">
        <v>6479</v>
      </c>
      <c r="I10449" t="s">
        <v>9523</v>
      </c>
      <c r="J10449" t="s">
        <v>12508</v>
      </c>
      <c r="K10449" t="s">
        <v>16919</v>
      </c>
      <c r="L10449">
        <f>HYPERLINK("https://www2.assemblee-nationale.fr/sycomore/fiche/(num_dept)/3804", "3804")</f>
        <v>0</v>
      </c>
      <c r="N10449">
        <f>HYPERLINK("https://www.wikidata.org/wiki/Q339436", "Q339436")</f>
        <v>0</v>
      </c>
      <c r="O10449" t="s">
        <v>20099</v>
      </c>
    </row>
    <row r="10450" spans="1:15">
      <c r="A10450" t="s">
        <v>118</v>
      </c>
      <c r="B10450" t="s">
        <v>149</v>
      </c>
      <c r="C10450" t="s">
        <v>250</v>
      </c>
      <c r="D10450" t="s">
        <v>379</v>
      </c>
      <c r="E10450" t="s">
        <v>488</v>
      </c>
      <c r="F10450">
        <f>HYPERLINK("https://www.wikidata.org/wiki/Q3111874", "Q3111874")</f>
        <v>0</v>
      </c>
      <c r="G10450" t="s">
        <v>1517</v>
      </c>
      <c r="H10450" t="s">
        <v>6213</v>
      </c>
      <c r="I10450" t="s">
        <v>6495</v>
      </c>
      <c r="J10450" t="s">
        <v>12234</v>
      </c>
      <c r="K10450" t="s">
        <v>16640</v>
      </c>
      <c r="L10450">
        <f>HYPERLINK("https://www2.assemblee-nationale.fr/sycomore/fiche/(num_dept)/4823", "4823")</f>
        <v>0</v>
      </c>
      <c r="N10450">
        <f>HYPERLINK("https://www.wikidata.org/wiki/Q2788498", "Q2788498")</f>
        <v>0</v>
      </c>
      <c r="O10450" t="s">
        <v>20138</v>
      </c>
    </row>
    <row r="10451" spans="1:15">
      <c r="A10451" t="s">
        <v>118</v>
      </c>
      <c r="B10451" t="s">
        <v>149</v>
      </c>
      <c r="C10451" t="s">
        <v>250</v>
      </c>
      <c r="D10451" t="s">
        <v>379</v>
      </c>
      <c r="E10451" t="s">
        <v>488</v>
      </c>
      <c r="F10451">
        <f>HYPERLINK("https://www.wikidata.org/wiki/Q3111874", "Q3111874")</f>
        <v>0</v>
      </c>
      <c r="G10451" t="s">
        <v>717</v>
      </c>
      <c r="H10451" t="s">
        <v>5475</v>
      </c>
      <c r="I10451" t="s">
        <v>6585</v>
      </c>
      <c r="J10451" t="s">
        <v>11466</v>
      </c>
      <c r="K10451" t="s">
        <v>15868</v>
      </c>
      <c r="L10451">
        <f>HYPERLINK("https://www2.assemblee-nationale.fr/sycomore/fiche/(num_dept)/4882", "4882")</f>
        <v>0</v>
      </c>
      <c r="N10451">
        <f>HYPERLINK("https://www.wikidata.org/wiki/Q318617", "Q318617")</f>
        <v>0</v>
      </c>
      <c r="O10451" t="s">
        <v>20057</v>
      </c>
    </row>
    <row r="10452" spans="1:15">
      <c r="A10452" t="s">
        <v>118</v>
      </c>
      <c r="B10452" t="s">
        <v>149</v>
      </c>
      <c r="C10452" t="s">
        <v>250</v>
      </c>
      <c r="D10452" t="s">
        <v>379</v>
      </c>
      <c r="E10452" t="s">
        <v>488</v>
      </c>
      <c r="F10452">
        <f>HYPERLINK("https://www.wikidata.org/wiki/Q3111874", "Q3111874")</f>
        <v>0</v>
      </c>
      <c r="G10452" t="s">
        <v>1921</v>
      </c>
      <c r="H10452" t="s">
        <v>6568</v>
      </c>
      <c r="I10452" t="s">
        <v>6585</v>
      </c>
      <c r="J10452" t="s">
        <v>12606</v>
      </c>
      <c r="K10452" t="s">
        <v>17018</v>
      </c>
      <c r="L10452">
        <f>HYPERLINK("https://www2.assemblee-nationale.fr/sycomore/fiche/(num_dept)/4931", "4931")</f>
        <v>0</v>
      </c>
      <c r="M10452">
        <f>HYPERLINK("https://www.senat.fr/senateur-3eme-republique/mallarme_andre0841r3.html", "mallarme_andre0841r3")</f>
        <v>0</v>
      </c>
      <c r="N10452">
        <f>HYPERLINK("https://www.wikidata.org/wiki/Q2511312", "Q2511312")</f>
        <v>0</v>
      </c>
      <c r="O10452" t="s">
        <v>20198</v>
      </c>
    </row>
    <row r="10453" spans="1:15">
      <c r="A10453" t="s">
        <v>118</v>
      </c>
      <c r="B10453" t="s">
        <v>149</v>
      </c>
      <c r="C10453" t="s">
        <v>250</v>
      </c>
      <c r="D10453" t="s">
        <v>379</v>
      </c>
      <c r="E10453" t="s">
        <v>488</v>
      </c>
      <c r="F10453">
        <f>HYPERLINK("https://www.wikidata.org/wiki/Q3111874", "Q3111874")</f>
        <v>0</v>
      </c>
      <c r="G10453" t="s">
        <v>1524</v>
      </c>
      <c r="H10453" t="s">
        <v>5746</v>
      </c>
      <c r="I10453" t="s">
        <v>9476</v>
      </c>
      <c r="J10453" t="s">
        <v>12241</v>
      </c>
      <c r="K10453" t="s">
        <v>16647</v>
      </c>
      <c r="L10453">
        <f>HYPERLINK("https://www2.assemblee-nationale.fr/sycomore/fiche/(num_dept)/4946", "4946")</f>
        <v>0</v>
      </c>
      <c r="N10453">
        <f>HYPERLINK("https://www.wikidata.org/wiki/Q3426588", "Q3426588")</f>
        <v>0</v>
      </c>
      <c r="O10453" t="s">
        <v>20068</v>
      </c>
    </row>
    <row r="10454" spans="1:15">
      <c r="A10454" t="s">
        <v>118</v>
      </c>
      <c r="B10454" t="s">
        <v>149</v>
      </c>
      <c r="C10454" t="s">
        <v>250</v>
      </c>
      <c r="D10454" t="s">
        <v>379</v>
      </c>
      <c r="E10454" t="s">
        <v>488</v>
      </c>
      <c r="F10454">
        <f>HYPERLINK("https://www.wikidata.org/wiki/Q3111874", "Q3111874")</f>
        <v>0</v>
      </c>
      <c r="G10454" t="s">
        <v>1562</v>
      </c>
      <c r="H10454" t="s">
        <v>6253</v>
      </c>
      <c r="I10454" t="s">
        <v>9458</v>
      </c>
      <c r="J10454" t="s">
        <v>12275</v>
      </c>
      <c r="K10454" t="s">
        <v>16683</v>
      </c>
      <c r="L10454">
        <f>HYPERLINK("https://www2.assemblee-nationale.fr/sycomore/fiche/(num_dept)/5590", "5590")</f>
        <v>0</v>
      </c>
      <c r="N10454">
        <f>HYPERLINK("https://www.wikidata.org/wiki/Q2835374", "Q2835374")</f>
        <v>0</v>
      </c>
      <c r="O10454" t="s">
        <v>20383</v>
      </c>
    </row>
    <row r="10455" spans="1:15">
      <c r="A10455" t="s">
        <v>118</v>
      </c>
      <c r="B10455" t="s">
        <v>149</v>
      </c>
      <c r="C10455" t="s">
        <v>250</v>
      </c>
      <c r="D10455" t="s">
        <v>379</v>
      </c>
      <c r="E10455" t="s">
        <v>488</v>
      </c>
      <c r="F10455">
        <f>HYPERLINK("https://www.wikidata.org/wiki/Q3111874", "Q3111874")</f>
        <v>0</v>
      </c>
      <c r="G10455" t="s">
        <v>1019</v>
      </c>
      <c r="H10455" t="s">
        <v>5769</v>
      </c>
      <c r="I10455" t="s">
        <v>6478</v>
      </c>
      <c r="J10455" t="s">
        <v>11756</v>
      </c>
      <c r="K10455" t="s">
        <v>16158</v>
      </c>
      <c r="L10455">
        <f>HYPERLINK("https://www2.assemblee-nationale.fr/sycomore/fiche/(num_dept)/5706", "5706")</f>
        <v>0</v>
      </c>
      <c r="N10455">
        <f>HYPERLINK("https://www.wikidata.org/wiki/Q3132997", "Q3132997")</f>
        <v>0</v>
      </c>
      <c r="O10455" t="s">
        <v>20195</v>
      </c>
    </row>
    <row r="10456" spans="1:15">
      <c r="A10456" t="s">
        <v>118</v>
      </c>
      <c r="B10456" t="s">
        <v>149</v>
      </c>
      <c r="C10456" t="s">
        <v>250</v>
      </c>
      <c r="D10456" t="s">
        <v>379</v>
      </c>
      <c r="E10456" t="s">
        <v>488</v>
      </c>
      <c r="F10456">
        <f>HYPERLINK("https://www.wikidata.org/wiki/Q3111874", "Q3111874")</f>
        <v>0</v>
      </c>
      <c r="G10456" t="s">
        <v>1869</v>
      </c>
      <c r="H10456" t="s">
        <v>6525</v>
      </c>
      <c r="I10456" t="s">
        <v>6175</v>
      </c>
      <c r="J10456" t="s">
        <v>12557</v>
      </c>
      <c r="K10456" t="s">
        <v>16970</v>
      </c>
      <c r="L10456">
        <f>HYPERLINK("https://www2.assemblee-nationale.fr/sycomore/fiche/(num_dept)/5799", "5799")</f>
        <v>0</v>
      </c>
      <c r="M10456">
        <f>HYPERLINK("https://www.senat.fr/senateur-3eme-republique/pernot_georges0335r4.html", "pernot_georges0335r4")</f>
        <v>0</v>
      </c>
      <c r="N10456">
        <f>HYPERLINK("https://www.wikidata.org/wiki/Q2670356", "Q2670356")</f>
        <v>0</v>
      </c>
      <c r="O10456" t="s">
        <v>20063</v>
      </c>
    </row>
    <row r="10457" spans="1:15">
      <c r="A10457" t="s">
        <v>118</v>
      </c>
      <c r="B10457" t="s">
        <v>149</v>
      </c>
      <c r="C10457" t="s">
        <v>250</v>
      </c>
      <c r="D10457" t="s">
        <v>379</v>
      </c>
      <c r="E10457" t="s">
        <v>488</v>
      </c>
      <c r="F10457">
        <f>HYPERLINK("https://www.wikidata.org/wiki/Q3111874", "Q3111874")</f>
        <v>0</v>
      </c>
      <c r="G10457" t="s">
        <v>1873</v>
      </c>
      <c r="H10457" t="s">
        <v>6528</v>
      </c>
      <c r="I10457" t="s">
        <v>6166</v>
      </c>
      <c r="J10457" t="s">
        <v>12561</v>
      </c>
      <c r="K10457" t="s">
        <v>16973</v>
      </c>
      <c r="L10457">
        <f>HYPERLINK("https://www2.assemblee-nationale.fr/sycomore/fiche/(num_dept)/5924", "5924")</f>
        <v>0</v>
      </c>
      <c r="N10457">
        <f>HYPERLINK("https://www.wikidata.org/wiki/Q3085590", "Q3085590")</f>
        <v>0</v>
      </c>
      <c r="O10457" t="s">
        <v>20065</v>
      </c>
    </row>
    <row r="10458" spans="1:15">
      <c r="A10458" t="s">
        <v>118</v>
      </c>
      <c r="B10458" t="s">
        <v>149</v>
      </c>
      <c r="C10458" t="s">
        <v>250</v>
      </c>
      <c r="D10458" t="s">
        <v>379</v>
      </c>
      <c r="E10458" t="s">
        <v>488</v>
      </c>
      <c r="F10458">
        <f>HYPERLINK("https://www.wikidata.org/wiki/Q3111874", "Q3111874")</f>
        <v>0</v>
      </c>
      <c r="G10458" t="s">
        <v>1581</v>
      </c>
      <c r="H10458" t="s">
        <v>6271</v>
      </c>
      <c r="I10458" t="s">
        <v>6495</v>
      </c>
      <c r="J10458" t="s">
        <v>12293</v>
      </c>
      <c r="K10458" t="s">
        <v>16700</v>
      </c>
      <c r="L10458">
        <f>HYPERLINK("https://www2.assemblee-nationale.fr/sycomore/fiche/(num_dept)/6068", "6068")</f>
        <v>0</v>
      </c>
      <c r="N10458">
        <f>HYPERLINK("https://www.wikidata.org/wiki/Q3263043", "Q3263043")</f>
        <v>0</v>
      </c>
      <c r="O10458" t="s">
        <v>20108</v>
      </c>
    </row>
    <row r="10459" spans="1:15">
      <c r="A10459" t="s">
        <v>118</v>
      </c>
      <c r="B10459" t="s">
        <v>149</v>
      </c>
      <c r="C10459" t="s">
        <v>250</v>
      </c>
      <c r="D10459" t="s">
        <v>379</v>
      </c>
      <c r="E10459" t="s">
        <v>488</v>
      </c>
      <c r="F10459">
        <f>HYPERLINK("https://www.wikidata.org/wiki/Q3111874", "Q3111874")</f>
        <v>0</v>
      </c>
      <c r="G10459" t="s">
        <v>1598</v>
      </c>
      <c r="H10459" t="s">
        <v>6288</v>
      </c>
      <c r="I10459" t="s">
        <v>6759</v>
      </c>
      <c r="J10459" t="s">
        <v>12306</v>
      </c>
      <c r="K10459" t="s">
        <v>16716</v>
      </c>
      <c r="L10459">
        <f>HYPERLINK("https://www2.assemblee-nationale.fr/sycomore/fiche/(num_dept)/6396", "6396")</f>
        <v>0</v>
      </c>
      <c r="N10459">
        <f>HYPERLINK("https://www.wikidata.org/wiki/Q3436380", "Q3436380")</f>
        <v>0</v>
      </c>
      <c r="O10459" t="s">
        <v>20087</v>
      </c>
    </row>
    <row r="10460" spans="1:15">
      <c r="A10460" t="s">
        <v>118</v>
      </c>
      <c r="B10460" t="s">
        <v>149</v>
      </c>
      <c r="C10460" t="s">
        <v>250</v>
      </c>
      <c r="D10460" t="s">
        <v>379</v>
      </c>
      <c r="E10460" t="s">
        <v>488</v>
      </c>
      <c r="F10460">
        <f>HYPERLINK("https://www.wikidata.org/wiki/Q3111874", "Q3111874")</f>
        <v>0</v>
      </c>
      <c r="G10460" t="s">
        <v>1206</v>
      </c>
      <c r="H10460" t="s">
        <v>5934</v>
      </c>
      <c r="I10460" t="s">
        <v>6585</v>
      </c>
      <c r="J10460" t="s">
        <v>11939</v>
      </c>
      <c r="K10460" t="s">
        <v>16340</v>
      </c>
      <c r="L10460">
        <f>HYPERLINK("https://www2.assemblee-nationale.fr/sycomore/fiche/(num_dept)/6953", "6953")</f>
        <v>0</v>
      </c>
      <c r="N10460">
        <f>HYPERLINK("https://www.wikidata.org/wiki/Q346648", "Q346648")</f>
        <v>0</v>
      </c>
      <c r="O10460" t="s">
        <v>20058</v>
      </c>
    </row>
    <row r="10461" spans="1:15">
      <c r="A10461" t="s">
        <v>118</v>
      </c>
      <c r="B10461" t="s">
        <v>149</v>
      </c>
      <c r="C10461" t="s">
        <v>250</v>
      </c>
      <c r="D10461" t="s">
        <v>379</v>
      </c>
      <c r="E10461" t="s">
        <v>488</v>
      </c>
      <c r="F10461">
        <f>HYPERLINK("https://www.wikidata.org/wiki/Q3111874", "Q3111874")</f>
        <v>0</v>
      </c>
      <c r="G10461" t="s">
        <v>1206</v>
      </c>
      <c r="H10461" t="s">
        <v>5934</v>
      </c>
      <c r="I10461" t="s">
        <v>6585</v>
      </c>
      <c r="J10461" t="s">
        <v>11939</v>
      </c>
      <c r="K10461" t="s">
        <v>16340</v>
      </c>
      <c r="L10461">
        <f>HYPERLINK("https://www2.assemblee-nationale.fr/sycomore/fiche/(num_dept)/6953", "6953")</f>
        <v>0</v>
      </c>
      <c r="N10461">
        <f>HYPERLINK("https://www.wikidata.org/wiki/Q346648", "Q346648")</f>
        <v>0</v>
      </c>
      <c r="O10461" t="s">
        <v>20052</v>
      </c>
    </row>
    <row r="10462" spans="1:15">
      <c r="A10462" t="s">
        <v>118</v>
      </c>
      <c r="B10462" t="s">
        <v>149</v>
      </c>
      <c r="C10462" t="s">
        <v>250</v>
      </c>
      <c r="D10462" t="s">
        <v>379</v>
      </c>
      <c r="E10462" t="s">
        <v>488</v>
      </c>
      <c r="F10462">
        <f>HYPERLINK("https://www.wikidata.org/wiki/Q3111874", "Q3111874")</f>
        <v>0</v>
      </c>
      <c r="G10462" t="s">
        <v>857</v>
      </c>
      <c r="H10462" t="s">
        <v>5613</v>
      </c>
      <c r="I10462" t="s">
        <v>6175</v>
      </c>
      <c r="J10462" t="s">
        <v>11603</v>
      </c>
      <c r="K10462" t="s">
        <v>16005</v>
      </c>
      <c r="L10462">
        <f>HYPERLINK("https://www2.assemblee-nationale.fr/sycomore/fiche/(num_dept)/7840", "7840")</f>
        <v>0</v>
      </c>
      <c r="N10462">
        <f>HYPERLINK("https://www.wikidata.org/wiki/Q728806", "Q728806")</f>
        <v>0</v>
      </c>
      <c r="O10462" t="s">
        <v>20053</v>
      </c>
    </row>
    <row r="10463" spans="1:15">
      <c r="A10463" t="s">
        <v>118</v>
      </c>
      <c r="B10463" t="s">
        <v>149</v>
      </c>
      <c r="C10463" t="s">
        <v>250</v>
      </c>
      <c r="D10463" t="s">
        <v>379</v>
      </c>
      <c r="E10463" t="s">
        <v>488</v>
      </c>
      <c r="F10463">
        <f>HYPERLINK("https://www.wikidata.org/wiki/Q3111874", "Q3111874")</f>
        <v>0</v>
      </c>
      <c r="G10463" t="s">
        <v>1333</v>
      </c>
      <c r="H10463" t="s">
        <v>5402</v>
      </c>
      <c r="I10463" t="s">
        <v>9754</v>
      </c>
      <c r="J10463" t="s">
        <v>12060</v>
      </c>
      <c r="K10463" t="s">
        <v>16462</v>
      </c>
      <c r="L10463">
        <f>HYPERLINK("https://www2.assemblee-nationale.fr/sycomore/fiche/(num_dept)/10839", "10839")</f>
        <v>0</v>
      </c>
      <c r="N10463">
        <f>HYPERLINK("https://www.wikidata.org/wiki/Q471296", "Q471296")</f>
        <v>0</v>
      </c>
      <c r="O10463" t="s">
        <v>20135</v>
      </c>
    </row>
    <row r="10464" spans="1:15">
      <c r="A10464" t="s">
        <v>118</v>
      </c>
      <c r="B10464" t="s">
        <v>149</v>
      </c>
      <c r="C10464" t="s">
        <v>250</v>
      </c>
      <c r="D10464" t="s">
        <v>379</v>
      </c>
      <c r="E10464" t="s">
        <v>488</v>
      </c>
      <c r="F10464">
        <f>HYPERLINK("https://www.wikidata.org/wiki/Q3111874", "Q3111874")</f>
        <v>0</v>
      </c>
      <c r="G10464" t="s">
        <v>4243</v>
      </c>
      <c r="H10464" t="s">
        <v>8417</v>
      </c>
      <c r="I10464" t="s">
        <v>6860</v>
      </c>
      <c r="J10464" t="s">
        <v>14749</v>
      </c>
      <c r="K10464" t="s">
        <v>19095</v>
      </c>
      <c r="M10464">
        <f>HYPERLINK("https://www.senat.fr/senateur-3eme-republique/marraud_pierre0748r3.html", "marraud_pierre0748r3")</f>
        <v>0</v>
      </c>
      <c r="N10464">
        <f>HYPERLINK("https://www.wikidata.org/wiki/Q3386156", "Q3386156")</f>
        <v>0</v>
      </c>
      <c r="O10464" t="s">
        <v>20051</v>
      </c>
    </row>
    <row r="10465" spans="1:15">
      <c r="A10465" t="s">
        <v>118</v>
      </c>
      <c r="B10465" t="s">
        <v>149</v>
      </c>
      <c r="C10465" t="s">
        <v>250</v>
      </c>
      <c r="D10465" t="s">
        <v>379</v>
      </c>
      <c r="E10465" t="s">
        <v>488</v>
      </c>
      <c r="F10465">
        <f>HYPERLINK("https://www.wikidata.org/wiki/Q3111874", "Q3111874")</f>
        <v>0</v>
      </c>
      <c r="G10465" t="s">
        <v>687</v>
      </c>
      <c r="H10465" t="s">
        <v>5445</v>
      </c>
      <c r="I10465" t="s">
        <v>9455</v>
      </c>
      <c r="J10465" t="s">
        <v>11437</v>
      </c>
      <c r="K10465" t="s">
        <v>15838</v>
      </c>
      <c r="N10465">
        <f>HYPERLINK("https://www.wikidata.org/wiki/Q3265545", "Q3265545")</f>
        <v>0</v>
      </c>
      <c r="O10465" t="s">
        <v>20064</v>
      </c>
    </row>
    <row r="10466" spans="1:15">
      <c r="A10466" t="s">
        <v>118</v>
      </c>
      <c r="B10466" t="s">
        <v>149</v>
      </c>
      <c r="C10466" t="s">
        <v>250</v>
      </c>
      <c r="D10466" t="s">
        <v>379</v>
      </c>
      <c r="E10466" t="s">
        <v>488</v>
      </c>
      <c r="F10466">
        <f>HYPERLINK("https://www.wikidata.org/wiki/Q3111874", "Q3111874")</f>
        <v>0</v>
      </c>
      <c r="G10466" t="s">
        <v>4266</v>
      </c>
      <c r="H10466" t="s">
        <v>6698</v>
      </c>
      <c r="I10466" t="s">
        <v>10909</v>
      </c>
      <c r="J10466" t="s">
        <v>14766</v>
      </c>
      <c r="K10466" t="s">
        <v>19114</v>
      </c>
      <c r="M10466">
        <f>HYPERLINK("https://www.senat.fr/senateur-3eme-republique/gallet_claudius1314r3.html", "gallet_claudius1314r3")</f>
        <v>0</v>
      </c>
      <c r="N10466">
        <f>HYPERLINK("https://www.wikidata.org/wiki/Q2978569", "Q2978569")</f>
        <v>0</v>
      </c>
      <c r="O10466" t="s">
        <v>20088</v>
      </c>
    </row>
    <row r="10467" spans="1:15">
      <c r="A10467" t="s">
        <v>118</v>
      </c>
      <c r="B10467" t="s">
        <v>149</v>
      </c>
      <c r="C10467" t="s">
        <v>250</v>
      </c>
      <c r="D10467" t="s">
        <v>379</v>
      </c>
      <c r="E10467" t="s">
        <v>488</v>
      </c>
      <c r="F10467">
        <f>HYPERLINK("https://www.wikidata.org/wiki/Q3111874", "Q3111874")</f>
        <v>0</v>
      </c>
      <c r="G10467" t="s">
        <v>687</v>
      </c>
      <c r="H10467" t="s">
        <v>5445</v>
      </c>
      <c r="I10467" t="s">
        <v>9455</v>
      </c>
      <c r="J10467" t="s">
        <v>11437</v>
      </c>
      <c r="K10467" t="s">
        <v>15838</v>
      </c>
      <c r="N10467">
        <f>HYPERLINK("https://www.wikidata.org/wiki/Q3265545", "Q3265545")</f>
        <v>0</v>
      </c>
      <c r="O10467" t="s">
        <v>20074</v>
      </c>
    </row>
    <row r="10468" spans="1:15">
      <c r="A10468" t="s">
        <v>119</v>
      </c>
      <c r="B10468" t="s">
        <v>149</v>
      </c>
      <c r="C10468" t="s">
        <v>251</v>
      </c>
      <c r="D10468" t="s">
        <v>380</v>
      </c>
      <c r="E10468" t="s">
        <v>489</v>
      </c>
      <c r="F10468">
        <f>HYPERLINK("https://www.wikidata.org/wiki/Q643087", "Q643087")</f>
        <v>0</v>
      </c>
      <c r="G10468" t="s">
        <v>1355</v>
      </c>
      <c r="H10468" t="s">
        <v>6073</v>
      </c>
      <c r="I10468" t="s">
        <v>5528</v>
      </c>
      <c r="J10468" t="s">
        <v>12081</v>
      </c>
      <c r="K10468" t="s">
        <v>16484</v>
      </c>
      <c r="L10468">
        <f>HYPERLINK("https://www2.assemblee-nationale.fr/sycomore/fiche/(num_dept)/409", "409")</f>
        <v>0</v>
      </c>
      <c r="N10468">
        <f>HYPERLINK("https://www.wikidata.org/wiki/Q3270710", "Q3270710")</f>
        <v>0</v>
      </c>
      <c r="O10468" t="s">
        <v>20384</v>
      </c>
    </row>
    <row r="10469" spans="1:15">
      <c r="A10469" t="s">
        <v>119</v>
      </c>
      <c r="B10469" t="s">
        <v>149</v>
      </c>
      <c r="C10469" t="s">
        <v>251</v>
      </c>
      <c r="D10469" t="s">
        <v>380</v>
      </c>
      <c r="E10469" t="s">
        <v>489</v>
      </c>
      <c r="F10469">
        <f>HYPERLINK("https://www.wikidata.org/wiki/Q643087", "Q643087")</f>
        <v>0</v>
      </c>
      <c r="G10469" t="s">
        <v>553</v>
      </c>
      <c r="H10469" t="s">
        <v>5316</v>
      </c>
      <c r="I10469" t="s">
        <v>9411</v>
      </c>
      <c r="J10469" t="s">
        <v>11304</v>
      </c>
      <c r="K10469" t="s">
        <v>15705</v>
      </c>
      <c r="L10469">
        <f>HYPERLINK("https://www2.assemblee-nationale.fr/sycomore/fiche/(num_dept)/1211", "1211")</f>
        <v>0</v>
      </c>
      <c r="N10469">
        <f>HYPERLINK("https://www.wikidata.org/wiki/Q179888", "Q179888")</f>
        <v>0</v>
      </c>
      <c r="O10469" t="s">
        <v>20062</v>
      </c>
    </row>
    <row r="10470" spans="1:15">
      <c r="A10470" t="s">
        <v>119</v>
      </c>
      <c r="B10470" t="s">
        <v>149</v>
      </c>
      <c r="C10470" t="s">
        <v>251</v>
      </c>
      <c r="D10470" t="s">
        <v>380</v>
      </c>
      <c r="E10470" t="s">
        <v>489</v>
      </c>
      <c r="F10470">
        <f>HYPERLINK("https://www.wikidata.org/wiki/Q643087", "Q643087")</f>
        <v>0</v>
      </c>
      <c r="G10470" t="s">
        <v>2032</v>
      </c>
      <c r="H10470" t="s">
        <v>6664</v>
      </c>
      <c r="I10470" t="s">
        <v>6860</v>
      </c>
      <c r="J10470" t="s">
        <v>12706</v>
      </c>
      <c r="K10470" t="s">
        <v>17118</v>
      </c>
      <c r="L10470">
        <f>HYPERLINK("https://www2.assemblee-nationale.fr/sycomore/fiche/(num_dept)/1521", "1521")</f>
        <v>0</v>
      </c>
      <c r="N10470">
        <f>HYPERLINK("https://www.wikidata.org/wiki/Q1921652", "Q1921652")</f>
        <v>0</v>
      </c>
      <c r="O10470" t="s">
        <v>20160</v>
      </c>
    </row>
    <row r="10471" spans="1:15">
      <c r="A10471" t="s">
        <v>119</v>
      </c>
      <c r="B10471" t="s">
        <v>149</v>
      </c>
      <c r="C10471" t="s">
        <v>251</v>
      </c>
      <c r="D10471" t="s">
        <v>380</v>
      </c>
      <c r="E10471" t="s">
        <v>489</v>
      </c>
      <c r="F10471">
        <f>HYPERLINK("https://www.wikidata.org/wiki/Q643087", "Q643087")</f>
        <v>0</v>
      </c>
      <c r="G10471" t="s">
        <v>1754</v>
      </c>
      <c r="H10471" t="s">
        <v>6424</v>
      </c>
      <c r="I10471" t="s">
        <v>9552</v>
      </c>
      <c r="J10471" t="s">
        <v>12454</v>
      </c>
      <c r="K10471" t="s">
        <v>16860</v>
      </c>
      <c r="L10471">
        <f>HYPERLINK("https://www2.assemblee-nationale.fr/sycomore/fiche/(num_dept)/1631", "1631")</f>
        <v>0</v>
      </c>
      <c r="M10471">
        <f>HYPERLINK("https://www.senat.fr/senateur-3eme-republique/champetier_de_ribes_auguste0517r4.html", "champetier_de_ribes_auguste0517r4")</f>
        <v>0</v>
      </c>
      <c r="N10471">
        <f>HYPERLINK("https://www.wikidata.org/wiki/Q478746", "Q478746")</f>
        <v>0</v>
      </c>
      <c r="O10471" t="s">
        <v>20088</v>
      </c>
    </row>
    <row r="10472" spans="1:15">
      <c r="A10472" t="s">
        <v>119</v>
      </c>
      <c r="B10472" t="s">
        <v>149</v>
      </c>
      <c r="C10472" t="s">
        <v>251</v>
      </c>
      <c r="D10472" t="s">
        <v>380</v>
      </c>
      <c r="E10472" t="s">
        <v>489</v>
      </c>
      <c r="F10472">
        <f>HYPERLINK("https://www.wikidata.org/wiki/Q643087", "Q643087")</f>
        <v>0</v>
      </c>
      <c r="G10472" t="s">
        <v>576</v>
      </c>
      <c r="H10472" t="s">
        <v>5338</v>
      </c>
      <c r="I10472" t="s">
        <v>6478</v>
      </c>
      <c r="J10472" t="s">
        <v>11327</v>
      </c>
      <c r="K10472" t="s">
        <v>15728</v>
      </c>
      <c r="L10472">
        <f>HYPERLINK("https://www2.assemblee-nationale.fr/sycomore/fiche/(num_dept)/1768", "1768")</f>
        <v>0</v>
      </c>
      <c r="M10472">
        <f>HYPERLINK("https://www.senat.fr/senateur-3eme-republique/cheron_henry0337r3.html", "cheron_henry0337r3")</f>
        <v>0</v>
      </c>
      <c r="N10472">
        <f>HYPERLINK("https://www.wikidata.org/wiki/Q3132698", "Q3132698")</f>
        <v>0</v>
      </c>
      <c r="O10472" t="s">
        <v>20066</v>
      </c>
    </row>
    <row r="10473" spans="1:15">
      <c r="A10473" t="s">
        <v>119</v>
      </c>
      <c r="B10473" t="s">
        <v>149</v>
      </c>
      <c r="C10473" t="s">
        <v>251</v>
      </c>
      <c r="D10473" t="s">
        <v>380</v>
      </c>
      <c r="E10473" t="s">
        <v>489</v>
      </c>
      <c r="F10473">
        <f>HYPERLINK("https://www.wikidata.org/wiki/Q643087", "Q643087")</f>
        <v>0</v>
      </c>
      <c r="G10473" t="s">
        <v>600</v>
      </c>
      <c r="H10473" t="s">
        <v>5361</v>
      </c>
      <c r="I10473" t="s">
        <v>9446</v>
      </c>
      <c r="J10473" t="s">
        <v>11351</v>
      </c>
      <c r="K10473" t="s">
        <v>15752</v>
      </c>
      <c r="L10473">
        <f>HYPERLINK("https://www2.assemblee-nationale.fr/sycomore/fiche/(num_dept)/2171", "2171")</f>
        <v>0</v>
      </c>
      <c r="M10473">
        <f>HYPERLINK("https://www.senat.fr/senateur-3eme-republique/david_fernand1309r3.html", "david_fernand1309r3")</f>
        <v>0</v>
      </c>
      <c r="N10473">
        <f>HYPERLINK("https://www.wikidata.org/wiki/Q3069115", "Q3069115")</f>
        <v>0</v>
      </c>
      <c r="O10473" t="s">
        <v>20056</v>
      </c>
    </row>
    <row r="10474" spans="1:15">
      <c r="A10474" t="s">
        <v>119</v>
      </c>
      <c r="B10474" t="s">
        <v>149</v>
      </c>
      <c r="C10474" t="s">
        <v>251</v>
      </c>
      <c r="D10474" t="s">
        <v>380</v>
      </c>
      <c r="E10474" t="s">
        <v>489</v>
      </c>
      <c r="F10474">
        <f>HYPERLINK("https://www.wikidata.org/wiki/Q643087", "Q643087")</f>
        <v>0</v>
      </c>
      <c r="G10474" t="s">
        <v>1780</v>
      </c>
      <c r="H10474" t="s">
        <v>6448</v>
      </c>
      <c r="I10474" t="s">
        <v>9947</v>
      </c>
      <c r="J10474" t="s">
        <v>12119</v>
      </c>
      <c r="K10474" t="s">
        <v>16886</v>
      </c>
      <c r="L10474">
        <f>HYPERLINK("https://www2.assemblee-nationale.fr/sycomore/fiche/(num_dept)/2318", "2318")</f>
        <v>0</v>
      </c>
      <c r="N10474">
        <f>HYPERLINK("https://www.wikidata.org/wiki/Q2832159", "Q2832159")</f>
        <v>0</v>
      </c>
      <c r="O10474" t="s">
        <v>20192</v>
      </c>
    </row>
    <row r="10475" spans="1:15">
      <c r="A10475" t="s">
        <v>119</v>
      </c>
      <c r="B10475" t="s">
        <v>149</v>
      </c>
      <c r="C10475" t="s">
        <v>251</v>
      </c>
      <c r="D10475" t="s">
        <v>380</v>
      </c>
      <c r="E10475" t="s">
        <v>489</v>
      </c>
      <c r="F10475">
        <f>HYPERLINK("https://www.wikidata.org/wiki/Q643087", "Q643087")</f>
        <v>0</v>
      </c>
      <c r="G10475" t="s">
        <v>625</v>
      </c>
      <c r="H10475" t="s">
        <v>5385</v>
      </c>
      <c r="I10475" t="s">
        <v>9460</v>
      </c>
      <c r="J10475" t="s">
        <v>11375</v>
      </c>
      <c r="K10475" t="s">
        <v>15777</v>
      </c>
      <c r="L10475">
        <f>HYPERLINK("https://www2.assemblee-nationale.fr/sycomore/fiche/(num_dept)/2699", "2699")</f>
        <v>0</v>
      </c>
      <c r="M10475">
        <f>HYPERLINK("https://www.senat.fr/senateur-3eme-republique/dumesnil_jacques1613r3.html", "dumesnil_jacques1613r3")</f>
        <v>0</v>
      </c>
      <c r="N10475">
        <f>HYPERLINK("https://www.wikidata.org/wiki/Q3157989", "Q3157989")</f>
        <v>0</v>
      </c>
      <c r="O10475" t="s">
        <v>20053</v>
      </c>
    </row>
    <row r="10476" spans="1:15">
      <c r="A10476" t="s">
        <v>119</v>
      </c>
      <c r="B10476" t="s">
        <v>149</v>
      </c>
      <c r="C10476" t="s">
        <v>251</v>
      </c>
      <c r="D10476" t="s">
        <v>380</v>
      </c>
      <c r="E10476" t="s">
        <v>489</v>
      </c>
      <c r="F10476">
        <f>HYPERLINK("https://www.wikidata.org/wiki/Q643087", "Q643087")</f>
        <v>0</v>
      </c>
      <c r="G10476" t="s">
        <v>1170</v>
      </c>
      <c r="H10476" t="s">
        <v>5901</v>
      </c>
      <c r="I10476" t="s">
        <v>5592</v>
      </c>
      <c r="J10476" t="s">
        <v>11903</v>
      </c>
      <c r="K10476" t="s">
        <v>16305</v>
      </c>
      <c r="L10476">
        <f>HYPERLINK("https://www2.assemblee-nationale.fr/sycomore/fiche/(num_dept)/2874", "2874")</f>
        <v>0</v>
      </c>
      <c r="M10476">
        <f>HYPERLINK("https://www.senat.fr/senateur-3eme-republique/eynac_laurent0520r3.html", "eynac_laurent0520r3")</f>
        <v>0</v>
      </c>
      <c r="N10476">
        <f>HYPERLINK("https://www.wikidata.org/wiki/Q3219208", "Q3219208")</f>
        <v>0</v>
      </c>
      <c r="O10476" t="s">
        <v>20072</v>
      </c>
    </row>
    <row r="10477" spans="1:15">
      <c r="A10477" t="s">
        <v>119</v>
      </c>
      <c r="B10477" t="s">
        <v>149</v>
      </c>
      <c r="C10477" t="s">
        <v>251</v>
      </c>
      <c r="D10477" t="s">
        <v>380</v>
      </c>
      <c r="E10477" t="s">
        <v>489</v>
      </c>
      <c r="F10477">
        <f>HYPERLINK("https://www.wikidata.org/wiki/Q643087", "Q643087")</f>
        <v>0</v>
      </c>
      <c r="G10477" t="s">
        <v>1792</v>
      </c>
      <c r="H10477" t="s">
        <v>6459</v>
      </c>
      <c r="I10477" t="s">
        <v>9457</v>
      </c>
      <c r="J10477" t="s">
        <v>11694</v>
      </c>
      <c r="K10477" t="s">
        <v>16897</v>
      </c>
      <c r="L10477">
        <f>HYPERLINK("https://www2.assemblee-nationale.fr/sycomore/fiche/(num_dept)/2899", "2899")</f>
        <v>0</v>
      </c>
      <c r="N10477">
        <f>HYPERLINK("https://www.wikidata.org/wiki/Q3131064", "Q3131064")</f>
        <v>0</v>
      </c>
      <c r="O10477" t="s">
        <v>20198</v>
      </c>
    </row>
    <row r="10478" spans="1:15">
      <c r="A10478" t="s">
        <v>119</v>
      </c>
      <c r="B10478" t="s">
        <v>149</v>
      </c>
      <c r="C10478" t="s">
        <v>251</v>
      </c>
      <c r="D10478" t="s">
        <v>380</v>
      </c>
      <c r="E10478" t="s">
        <v>489</v>
      </c>
      <c r="F10478">
        <f>HYPERLINK("https://www.wikidata.org/wiki/Q643087", "Q643087")</f>
        <v>0</v>
      </c>
      <c r="G10478" t="s">
        <v>1462</v>
      </c>
      <c r="H10478" t="s">
        <v>5400</v>
      </c>
      <c r="I10478" t="s">
        <v>9818</v>
      </c>
      <c r="J10478" t="s">
        <v>12181</v>
      </c>
      <c r="K10478" t="s">
        <v>16587</v>
      </c>
      <c r="L10478">
        <f>HYPERLINK("https://www2.assemblee-nationale.fr/sycomore/fiche/(num_dept)/2987", "2987")</f>
        <v>0</v>
      </c>
      <c r="N10478">
        <f>HYPERLINK("https://www.wikidata.org/wiki/Q3045174", "Q3045174")</f>
        <v>0</v>
      </c>
      <c r="O10478" t="s">
        <v>20089</v>
      </c>
    </row>
    <row r="10479" spans="1:15">
      <c r="A10479" t="s">
        <v>119</v>
      </c>
      <c r="B10479" t="s">
        <v>149</v>
      </c>
      <c r="C10479" t="s">
        <v>251</v>
      </c>
      <c r="D10479" t="s">
        <v>380</v>
      </c>
      <c r="E10479" t="s">
        <v>489</v>
      </c>
      <c r="F10479">
        <f>HYPERLINK("https://www.wikidata.org/wiki/Q643087", "Q643087")</f>
        <v>0</v>
      </c>
      <c r="G10479" t="s">
        <v>1801</v>
      </c>
      <c r="H10479" t="s">
        <v>6466</v>
      </c>
      <c r="I10479" t="s">
        <v>6585</v>
      </c>
      <c r="J10479" t="s">
        <v>12496</v>
      </c>
      <c r="K10479" t="s">
        <v>16906</v>
      </c>
      <c r="L10479">
        <f>HYPERLINK("https://www2.assemblee-nationale.fr/sycomore/fiche/(num_dept)/3130", "3130")</f>
        <v>0</v>
      </c>
      <c r="N10479">
        <f>HYPERLINK("https://www.wikidata.org/wiki/Q518576", "Q518576")</f>
        <v>0</v>
      </c>
      <c r="O10479" t="s">
        <v>20385</v>
      </c>
    </row>
    <row r="10480" spans="1:15">
      <c r="A10480" t="s">
        <v>119</v>
      </c>
      <c r="B10480" t="s">
        <v>149</v>
      </c>
      <c r="C10480" t="s">
        <v>251</v>
      </c>
      <c r="D10480" t="s">
        <v>380</v>
      </c>
      <c r="E10480" t="s">
        <v>489</v>
      </c>
      <c r="F10480">
        <f>HYPERLINK("https://www.wikidata.org/wiki/Q643087", "Q643087")</f>
        <v>0</v>
      </c>
      <c r="G10480" t="s">
        <v>1957</v>
      </c>
      <c r="H10480" t="s">
        <v>5417</v>
      </c>
      <c r="I10480" t="s">
        <v>9470</v>
      </c>
      <c r="J10480" t="s">
        <v>12640</v>
      </c>
      <c r="K10480" t="s">
        <v>17050</v>
      </c>
      <c r="L10480">
        <f>HYPERLINK("https://www2.assemblee-nationale.fr/sycomore/fiche/(num_dept)/3360", "3360")</f>
        <v>0</v>
      </c>
      <c r="N10480">
        <f>HYPERLINK("https://www.wikidata.org/wiki/Q3099030", "Q3099030")</f>
        <v>0</v>
      </c>
      <c r="O10480" t="s">
        <v>20386</v>
      </c>
    </row>
    <row r="10481" spans="1:15">
      <c r="A10481" t="s">
        <v>119</v>
      </c>
      <c r="B10481" t="s">
        <v>149</v>
      </c>
      <c r="C10481" t="s">
        <v>251</v>
      </c>
      <c r="D10481" t="s">
        <v>380</v>
      </c>
      <c r="E10481" t="s">
        <v>489</v>
      </c>
      <c r="F10481">
        <f>HYPERLINK("https://www.wikidata.org/wiki/Q643087", "Q643087")</f>
        <v>0</v>
      </c>
      <c r="G10481" t="s">
        <v>2074</v>
      </c>
      <c r="H10481" t="s">
        <v>6701</v>
      </c>
      <c r="I10481" t="s">
        <v>6495</v>
      </c>
      <c r="J10481" t="s">
        <v>12745</v>
      </c>
      <c r="K10481" t="s">
        <v>17156</v>
      </c>
      <c r="L10481">
        <f>HYPERLINK("https://www2.assemblee-nationale.fr/sycomore/fiche/(num_dept)/3378", "3378")</f>
        <v>0</v>
      </c>
      <c r="N10481">
        <f>HYPERLINK("https://www.wikidata.org/wiki/Q3262030", "Q3262030")</f>
        <v>0</v>
      </c>
      <c r="O10481" t="s">
        <v>20194</v>
      </c>
    </row>
    <row r="10482" spans="1:15">
      <c r="A10482" t="s">
        <v>119</v>
      </c>
      <c r="B10482" t="s">
        <v>149</v>
      </c>
      <c r="C10482" t="s">
        <v>251</v>
      </c>
      <c r="D10482" t="s">
        <v>380</v>
      </c>
      <c r="E10482" t="s">
        <v>489</v>
      </c>
      <c r="F10482">
        <f>HYPERLINK("https://www.wikidata.org/wiki/Q643087", "Q643087")</f>
        <v>0</v>
      </c>
      <c r="G10482" t="s">
        <v>1814</v>
      </c>
      <c r="H10482" t="s">
        <v>6479</v>
      </c>
      <c r="I10482" t="s">
        <v>9523</v>
      </c>
      <c r="J10482" t="s">
        <v>12508</v>
      </c>
      <c r="K10482" t="s">
        <v>16919</v>
      </c>
      <c r="L10482">
        <f>HYPERLINK("https://www2.assemblee-nationale.fr/sycomore/fiche/(num_dept)/3804", "3804")</f>
        <v>0</v>
      </c>
      <c r="N10482">
        <f>HYPERLINK("https://www.wikidata.org/wiki/Q339436", "Q339436")</f>
        <v>0</v>
      </c>
      <c r="O10482" t="s">
        <v>20099</v>
      </c>
    </row>
    <row r="10483" spans="1:15">
      <c r="A10483" t="s">
        <v>119</v>
      </c>
      <c r="B10483" t="s">
        <v>149</v>
      </c>
      <c r="C10483" t="s">
        <v>251</v>
      </c>
      <c r="D10483" t="s">
        <v>380</v>
      </c>
      <c r="E10483" t="s">
        <v>489</v>
      </c>
      <c r="F10483">
        <f>HYPERLINK("https://www.wikidata.org/wiki/Q643087", "Q643087")</f>
        <v>0</v>
      </c>
      <c r="G10483" t="s">
        <v>717</v>
      </c>
      <c r="H10483" t="s">
        <v>5475</v>
      </c>
      <c r="I10483" t="s">
        <v>6585</v>
      </c>
      <c r="J10483" t="s">
        <v>11466</v>
      </c>
      <c r="K10483" t="s">
        <v>15868</v>
      </c>
      <c r="L10483">
        <f>HYPERLINK("https://www2.assemblee-nationale.fr/sycomore/fiche/(num_dept)/4882", "4882")</f>
        <v>0</v>
      </c>
      <c r="N10483">
        <f>HYPERLINK("https://www.wikidata.org/wiki/Q318617", "Q318617")</f>
        <v>0</v>
      </c>
      <c r="O10483" t="s">
        <v>20057</v>
      </c>
    </row>
    <row r="10484" spans="1:15">
      <c r="A10484" t="s">
        <v>119</v>
      </c>
      <c r="B10484" t="s">
        <v>149</v>
      </c>
      <c r="C10484" t="s">
        <v>251</v>
      </c>
      <c r="D10484" t="s">
        <v>380</v>
      </c>
      <c r="E10484" t="s">
        <v>489</v>
      </c>
      <c r="F10484">
        <f>HYPERLINK("https://www.wikidata.org/wiki/Q643087", "Q643087")</f>
        <v>0</v>
      </c>
      <c r="G10484" t="s">
        <v>1921</v>
      </c>
      <c r="H10484" t="s">
        <v>6568</v>
      </c>
      <c r="I10484" t="s">
        <v>6585</v>
      </c>
      <c r="J10484" t="s">
        <v>12606</v>
      </c>
      <c r="K10484" t="s">
        <v>17018</v>
      </c>
      <c r="L10484">
        <f>HYPERLINK("https://www2.assemblee-nationale.fr/sycomore/fiche/(num_dept)/4931", "4931")</f>
        <v>0</v>
      </c>
      <c r="M10484">
        <f>HYPERLINK("https://www.senat.fr/senateur-3eme-republique/mallarme_andre0841r3.html", "mallarme_andre0841r3")</f>
        <v>0</v>
      </c>
      <c r="N10484">
        <f>HYPERLINK("https://www.wikidata.org/wiki/Q2511312", "Q2511312")</f>
        <v>0</v>
      </c>
      <c r="O10484" t="s">
        <v>20193</v>
      </c>
    </row>
    <row r="10485" spans="1:15">
      <c r="A10485" t="s">
        <v>119</v>
      </c>
      <c r="B10485" t="s">
        <v>149</v>
      </c>
      <c r="C10485" t="s">
        <v>251</v>
      </c>
      <c r="D10485" t="s">
        <v>380</v>
      </c>
      <c r="E10485" t="s">
        <v>489</v>
      </c>
      <c r="F10485">
        <f>HYPERLINK("https://www.wikidata.org/wiki/Q643087", "Q643087")</f>
        <v>0</v>
      </c>
      <c r="G10485" t="s">
        <v>1524</v>
      </c>
      <c r="H10485" t="s">
        <v>5746</v>
      </c>
      <c r="I10485" t="s">
        <v>9476</v>
      </c>
      <c r="J10485" t="s">
        <v>12241</v>
      </c>
      <c r="K10485" t="s">
        <v>16647</v>
      </c>
      <c r="L10485">
        <f>HYPERLINK("https://www2.assemblee-nationale.fr/sycomore/fiche/(num_dept)/4946", "4946")</f>
        <v>0</v>
      </c>
      <c r="N10485">
        <f>HYPERLINK("https://www.wikidata.org/wiki/Q3426588", "Q3426588")</f>
        <v>0</v>
      </c>
      <c r="O10485" t="s">
        <v>20068</v>
      </c>
    </row>
    <row r="10486" spans="1:15">
      <c r="A10486" t="s">
        <v>119</v>
      </c>
      <c r="B10486" t="s">
        <v>149</v>
      </c>
      <c r="C10486" t="s">
        <v>251</v>
      </c>
      <c r="D10486" t="s">
        <v>380</v>
      </c>
      <c r="E10486" t="s">
        <v>489</v>
      </c>
      <c r="F10486">
        <f>HYPERLINK("https://www.wikidata.org/wiki/Q643087", "Q643087")</f>
        <v>0</v>
      </c>
      <c r="G10486" t="s">
        <v>1553</v>
      </c>
      <c r="H10486" t="s">
        <v>6244</v>
      </c>
      <c r="I10486" t="s">
        <v>9437</v>
      </c>
      <c r="J10486" t="s">
        <v>12267</v>
      </c>
      <c r="K10486" t="s">
        <v>16675</v>
      </c>
      <c r="L10486">
        <f>HYPERLINK("https://www2.assemblee-nationale.fr/sycomore/fiche/(num_dept)/5425", "5425")</f>
        <v>0</v>
      </c>
      <c r="N10486">
        <f>HYPERLINK("https://www.wikidata.org/wiki/Q3588669", "Q3588669")</f>
        <v>0</v>
      </c>
      <c r="O10486" t="s">
        <v>20195</v>
      </c>
    </row>
    <row r="10487" spans="1:15">
      <c r="A10487" t="s">
        <v>119</v>
      </c>
      <c r="B10487" t="s">
        <v>149</v>
      </c>
      <c r="C10487" t="s">
        <v>251</v>
      </c>
      <c r="D10487" t="s">
        <v>380</v>
      </c>
      <c r="E10487" t="s">
        <v>489</v>
      </c>
      <c r="F10487">
        <f>HYPERLINK("https://www.wikidata.org/wiki/Q643087", "Q643087")</f>
        <v>0</v>
      </c>
      <c r="G10487" t="s">
        <v>1562</v>
      </c>
      <c r="H10487" t="s">
        <v>6253</v>
      </c>
      <c r="I10487" t="s">
        <v>9458</v>
      </c>
      <c r="J10487" t="s">
        <v>12275</v>
      </c>
      <c r="K10487" t="s">
        <v>16683</v>
      </c>
      <c r="L10487">
        <f>HYPERLINK("https://www2.assemblee-nationale.fr/sycomore/fiche/(num_dept)/5590", "5590")</f>
        <v>0</v>
      </c>
      <c r="N10487">
        <f>HYPERLINK("https://www.wikidata.org/wiki/Q2835374", "Q2835374")</f>
        <v>0</v>
      </c>
      <c r="O10487" t="s">
        <v>20295</v>
      </c>
    </row>
    <row r="10488" spans="1:15">
      <c r="A10488" t="s">
        <v>119</v>
      </c>
      <c r="B10488" t="s">
        <v>149</v>
      </c>
      <c r="C10488" t="s">
        <v>251</v>
      </c>
      <c r="D10488" t="s">
        <v>380</v>
      </c>
      <c r="E10488" t="s">
        <v>489</v>
      </c>
      <c r="F10488">
        <f>HYPERLINK("https://www.wikidata.org/wiki/Q643087", "Q643087")</f>
        <v>0</v>
      </c>
      <c r="G10488" t="s">
        <v>755</v>
      </c>
      <c r="H10488" t="s">
        <v>5513</v>
      </c>
      <c r="I10488" t="s">
        <v>9500</v>
      </c>
      <c r="J10488" t="s">
        <v>11503</v>
      </c>
      <c r="K10488" t="s">
        <v>15906</v>
      </c>
      <c r="L10488">
        <f>HYPERLINK("https://www2.assemblee-nationale.fr/sycomore/fiche/(num_dept)/5779", "5779")</f>
        <v>0</v>
      </c>
      <c r="M10488">
        <f>HYPERLINK("https://www.senat.fr/senateur-3eme-republique/peret_raoul1766r3.html", "peret_raoul1766r3")</f>
        <v>0</v>
      </c>
      <c r="N10488">
        <f>HYPERLINK("https://www.wikidata.org/wiki/Q3419252", "Q3419252")</f>
        <v>0</v>
      </c>
      <c r="O10488" t="s">
        <v>20064</v>
      </c>
    </row>
    <row r="10489" spans="1:15">
      <c r="A10489" t="s">
        <v>119</v>
      </c>
      <c r="B10489" t="s">
        <v>149</v>
      </c>
      <c r="C10489" t="s">
        <v>251</v>
      </c>
      <c r="D10489" t="s">
        <v>380</v>
      </c>
      <c r="E10489" t="s">
        <v>489</v>
      </c>
      <c r="F10489">
        <f>HYPERLINK("https://www.wikidata.org/wiki/Q643087", "Q643087")</f>
        <v>0</v>
      </c>
      <c r="G10489" t="s">
        <v>1869</v>
      </c>
      <c r="H10489" t="s">
        <v>6525</v>
      </c>
      <c r="I10489" t="s">
        <v>6175</v>
      </c>
      <c r="J10489" t="s">
        <v>12557</v>
      </c>
      <c r="K10489" t="s">
        <v>16970</v>
      </c>
      <c r="L10489">
        <f>HYPERLINK("https://www2.assemblee-nationale.fr/sycomore/fiche/(num_dept)/5799", "5799")</f>
        <v>0</v>
      </c>
      <c r="M10489">
        <f>HYPERLINK("https://www.senat.fr/senateur-3eme-republique/pernot_georges0335r4.html", "pernot_georges0335r4")</f>
        <v>0</v>
      </c>
      <c r="N10489">
        <f>HYPERLINK("https://www.wikidata.org/wiki/Q2670356", "Q2670356")</f>
        <v>0</v>
      </c>
      <c r="O10489" t="s">
        <v>20063</v>
      </c>
    </row>
    <row r="10490" spans="1:15">
      <c r="A10490" t="s">
        <v>119</v>
      </c>
      <c r="B10490" t="s">
        <v>149</v>
      </c>
      <c r="C10490" t="s">
        <v>251</v>
      </c>
      <c r="D10490" t="s">
        <v>380</v>
      </c>
      <c r="E10490" t="s">
        <v>489</v>
      </c>
      <c r="F10490">
        <f>HYPERLINK("https://www.wikidata.org/wiki/Q643087", "Q643087")</f>
        <v>0</v>
      </c>
      <c r="G10490" t="s">
        <v>1923</v>
      </c>
      <c r="H10490" t="s">
        <v>6570</v>
      </c>
      <c r="I10490" t="s">
        <v>7642</v>
      </c>
      <c r="J10490" t="s">
        <v>12608</v>
      </c>
      <c r="K10490" t="s">
        <v>17019</v>
      </c>
      <c r="L10490">
        <f>HYPERLINK("https://www2.assemblee-nationale.fr/sycomore/fiche/(num_dept)/5854", "5854")</f>
        <v>0</v>
      </c>
      <c r="N10490">
        <f>HYPERLINK("https://www.wikidata.org/wiki/Q3301257", "Q3301257")</f>
        <v>0</v>
      </c>
      <c r="O10490" t="s">
        <v>20054</v>
      </c>
    </row>
    <row r="10491" spans="1:15">
      <c r="A10491" t="s">
        <v>119</v>
      </c>
      <c r="B10491" t="s">
        <v>149</v>
      </c>
      <c r="C10491" t="s">
        <v>251</v>
      </c>
      <c r="D10491" t="s">
        <v>380</v>
      </c>
      <c r="E10491" t="s">
        <v>489</v>
      </c>
      <c r="F10491">
        <f>HYPERLINK("https://www.wikidata.org/wiki/Q643087", "Q643087")</f>
        <v>0</v>
      </c>
      <c r="G10491" t="s">
        <v>1873</v>
      </c>
      <c r="H10491" t="s">
        <v>6528</v>
      </c>
      <c r="I10491" t="s">
        <v>6166</v>
      </c>
      <c r="J10491" t="s">
        <v>12561</v>
      </c>
      <c r="K10491" t="s">
        <v>16973</v>
      </c>
      <c r="L10491">
        <f>HYPERLINK("https://www2.assemblee-nationale.fr/sycomore/fiche/(num_dept)/5924", "5924")</f>
        <v>0</v>
      </c>
      <c r="N10491">
        <f>HYPERLINK("https://www.wikidata.org/wiki/Q3085590", "Q3085590")</f>
        <v>0</v>
      </c>
      <c r="O10491" t="s">
        <v>20065</v>
      </c>
    </row>
    <row r="10492" spans="1:15">
      <c r="A10492" t="s">
        <v>119</v>
      </c>
      <c r="B10492" t="s">
        <v>149</v>
      </c>
      <c r="C10492" t="s">
        <v>251</v>
      </c>
      <c r="D10492" t="s">
        <v>380</v>
      </c>
      <c r="E10492" t="s">
        <v>489</v>
      </c>
      <c r="F10492">
        <f>HYPERLINK("https://www.wikidata.org/wiki/Q643087", "Q643087")</f>
        <v>0</v>
      </c>
      <c r="G10492" t="s">
        <v>1581</v>
      </c>
      <c r="H10492" t="s">
        <v>6271</v>
      </c>
      <c r="I10492" t="s">
        <v>6495</v>
      </c>
      <c r="J10492" t="s">
        <v>12293</v>
      </c>
      <c r="K10492" t="s">
        <v>16700</v>
      </c>
      <c r="L10492">
        <f>HYPERLINK("https://www2.assemblee-nationale.fr/sycomore/fiche/(num_dept)/6068", "6068")</f>
        <v>0</v>
      </c>
      <c r="N10492">
        <f>HYPERLINK("https://www.wikidata.org/wiki/Q3263043", "Q3263043")</f>
        <v>0</v>
      </c>
      <c r="O10492" t="s">
        <v>20108</v>
      </c>
    </row>
    <row r="10493" spans="1:15">
      <c r="A10493" t="s">
        <v>119</v>
      </c>
      <c r="B10493" t="s">
        <v>149</v>
      </c>
      <c r="C10493" t="s">
        <v>251</v>
      </c>
      <c r="D10493" t="s">
        <v>380</v>
      </c>
      <c r="E10493" t="s">
        <v>489</v>
      </c>
      <c r="F10493">
        <f>HYPERLINK("https://www.wikidata.org/wiki/Q643087", "Q643087")</f>
        <v>0</v>
      </c>
      <c r="G10493" t="s">
        <v>1598</v>
      </c>
      <c r="H10493" t="s">
        <v>6288</v>
      </c>
      <c r="I10493" t="s">
        <v>6759</v>
      </c>
      <c r="J10493" t="s">
        <v>12306</v>
      </c>
      <c r="K10493" t="s">
        <v>16716</v>
      </c>
      <c r="L10493">
        <f>HYPERLINK("https://www2.assemblee-nationale.fr/sycomore/fiche/(num_dept)/6396", "6396")</f>
        <v>0</v>
      </c>
      <c r="N10493">
        <f>HYPERLINK("https://www.wikidata.org/wiki/Q3436380", "Q3436380")</f>
        <v>0</v>
      </c>
      <c r="O10493" t="s">
        <v>20087</v>
      </c>
    </row>
    <row r="10494" spans="1:15">
      <c r="A10494" t="s">
        <v>119</v>
      </c>
      <c r="B10494" t="s">
        <v>149</v>
      </c>
      <c r="C10494" t="s">
        <v>251</v>
      </c>
      <c r="D10494" t="s">
        <v>380</v>
      </c>
      <c r="E10494" t="s">
        <v>489</v>
      </c>
      <c r="F10494">
        <f>HYPERLINK("https://www.wikidata.org/wiki/Q643087", "Q643087")</f>
        <v>0</v>
      </c>
      <c r="G10494" t="s">
        <v>1616</v>
      </c>
      <c r="H10494" t="s">
        <v>6301</v>
      </c>
      <c r="I10494" t="s">
        <v>9388</v>
      </c>
      <c r="J10494" t="s">
        <v>12323</v>
      </c>
      <c r="K10494" t="s">
        <v>16733</v>
      </c>
      <c r="L10494">
        <f>HYPERLINK("https://www2.assemblee-nationale.fr/sycomore/fiche/(num_dept)/6710", "6710")</f>
        <v>0</v>
      </c>
      <c r="N10494">
        <f>HYPERLINK("https://www.wikidata.org/wiki/Q161076", "Q161076")</f>
        <v>0</v>
      </c>
      <c r="O10494" t="s">
        <v>20066</v>
      </c>
    </row>
    <row r="10495" spans="1:15">
      <c r="A10495" t="s">
        <v>119</v>
      </c>
      <c r="B10495" t="s">
        <v>149</v>
      </c>
      <c r="C10495" t="s">
        <v>251</v>
      </c>
      <c r="D10495" t="s">
        <v>380</v>
      </c>
      <c r="E10495" t="s">
        <v>489</v>
      </c>
      <c r="F10495">
        <f>HYPERLINK("https://www.wikidata.org/wiki/Q643087", "Q643087")</f>
        <v>0</v>
      </c>
      <c r="G10495" t="s">
        <v>1619</v>
      </c>
      <c r="H10495" t="s">
        <v>6304</v>
      </c>
      <c r="I10495" t="s">
        <v>7575</v>
      </c>
      <c r="J10495" t="s">
        <v>12326</v>
      </c>
      <c r="K10495" t="s">
        <v>16736</v>
      </c>
      <c r="L10495">
        <f>HYPERLINK("https://www2.assemblee-nationale.fr/sycomore/fiche/(num_dept)/6752", "6752")</f>
        <v>0</v>
      </c>
      <c r="N10495">
        <f>HYPERLINK("https://www.wikidata.org/wiki/Q3143189", "Q3143189")</f>
        <v>0</v>
      </c>
      <c r="O10495" t="s">
        <v>20130</v>
      </c>
    </row>
    <row r="10496" spans="1:15">
      <c r="A10496" t="s">
        <v>119</v>
      </c>
      <c r="B10496" t="s">
        <v>149</v>
      </c>
      <c r="C10496" t="s">
        <v>251</v>
      </c>
      <c r="D10496" t="s">
        <v>380</v>
      </c>
      <c r="E10496" t="s">
        <v>489</v>
      </c>
      <c r="F10496">
        <f>HYPERLINK("https://www.wikidata.org/wiki/Q643087", "Q643087")</f>
        <v>0</v>
      </c>
      <c r="G10496" t="s">
        <v>1621</v>
      </c>
      <c r="H10496" t="s">
        <v>6306</v>
      </c>
      <c r="I10496" t="s">
        <v>9426</v>
      </c>
      <c r="J10496" t="s">
        <v>12328</v>
      </c>
      <c r="K10496" t="s">
        <v>16738</v>
      </c>
      <c r="L10496">
        <f>HYPERLINK("https://www2.assemblee-nationale.fr/sycomore/fiche/(num_dept)/6781", "6781")</f>
        <v>0</v>
      </c>
      <c r="M10496">
        <f>HYPERLINK("https://www.senat.fr/senateur-3eme-republique/rio_alphonse0903r3.html", "rio_alphonse0903r3")</f>
        <v>0</v>
      </c>
      <c r="N10496">
        <f>HYPERLINK("https://www.wikidata.org/wiki/Q2839950", "Q2839950")</f>
        <v>0</v>
      </c>
      <c r="O10496" t="s">
        <v>20147</v>
      </c>
    </row>
    <row r="10497" spans="1:15">
      <c r="A10497" t="s">
        <v>119</v>
      </c>
      <c r="B10497" t="s">
        <v>149</v>
      </c>
      <c r="C10497" t="s">
        <v>251</v>
      </c>
      <c r="D10497" t="s">
        <v>380</v>
      </c>
      <c r="E10497" t="s">
        <v>489</v>
      </c>
      <c r="F10497">
        <f>HYPERLINK("https://www.wikidata.org/wiki/Q643087", "Q643087")</f>
        <v>0</v>
      </c>
      <c r="G10497" t="s">
        <v>1206</v>
      </c>
      <c r="H10497" t="s">
        <v>5934</v>
      </c>
      <c r="I10497" t="s">
        <v>6585</v>
      </c>
      <c r="J10497" t="s">
        <v>11939</v>
      </c>
      <c r="K10497" t="s">
        <v>16340</v>
      </c>
      <c r="L10497">
        <f>HYPERLINK("https://www2.assemblee-nationale.fr/sycomore/fiche/(num_dept)/6953", "6953")</f>
        <v>0</v>
      </c>
      <c r="N10497">
        <f>HYPERLINK("https://www.wikidata.org/wiki/Q346648", "Q346648")</f>
        <v>0</v>
      </c>
      <c r="O10497" t="s">
        <v>20058</v>
      </c>
    </row>
    <row r="10498" spans="1:15">
      <c r="A10498" t="s">
        <v>119</v>
      </c>
      <c r="B10498" t="s">
        <v>149</v>
      </c>
      <c r="C10498" t="s">
        <v>251</v>
      </c>
      <c r="D10498" t="s">
        <v>380</v>
      </c>
      <c r="E10498" t="s">
        <v>489</v>
      </c>
      <c r="F10498">
        <f>HYPERLINK("https://www.wikidata.org/wiki/Q643087", "Q643087")</f>
        <v>0</v>
      </c>
      <c r="G10498" t="s">
        <v>1206</v>
      </c>
      <c r="H10498" t="s">
        <v>5934</v>
      </c>
      <c r="I10498" t="s">
        <v>6585</v>
      </c>
      <c r="J10498" t="s">
        <v>11939</v>
      </c>
      <c r="K10498" t="s">
        <v>16340</v>
      </c>
      <c r="L10498">
        <f>HYPERLINK("https://www2.assemblee-nationale.fr/sycomore/fiche/(num_dept)/6953", "6953")</f>
        <v>0</v>
      </c>
      <c r="N10498">
        <f>HYPERLINK("https://www.wikidata.org/wiki/Q346648", "Q346648")</f>
        <v>0</v>
      </c>
      <c r="O10498" t="s">
        <v>20052</v>
      </c>
    </row>
    <row r="10499" spans="1:15">
      <c r="A10499" t="s">
        <v>119</v>
      </c>
      <c r="B10499" t="s">
        <v>149</v>
      </c>
      <c r="C10499" t="s">
        <v>251</v>
      </c>
      <c r="D10499" t="s">
        <v>380</v>
      </c>
      <c r="E10499" t="s">
        <v>489</v>
      </c>
      <c r="F10499">
        <f>HYPERLINK("https://www.wikidata.org/wiki/Q643087", "Q643087")</f>
        <v>0</v>
      </c>
      <c r="G10499" t="s">
        <v>1915</v>
      </c>
      <c r="H10499" t="s">
        <v>6563</v>
      </c>
      <c r="I10499" t="s">
        <v>9465</v>
      </c>
      <c r="J10499" t="s">
        <v>12600</v>
      </c>
      <c r="K10499" t="s">
        <v>17013</v>
      </c>
      <c r="L10499">
        <f>HYPERLINK("https://www2.assemblee-nationale.fr/sycomore/fiche/(num_dept)/7517", "7517")</f>
        <v>0</v>
      </c>
      <c r="N10499">
        <f>HYPERLINK("https://www.wikidata.org/wiki/Q3059966", "Q3059966")</f>
        <v>0</v>
      </c>
      <c r="O10499" t="s">
        <v>20067</v>
      </c>
    </row>
    <row r="10500" spans="1:15">
      <c r="A10500" t="s">
        <v>119</v>
      </c>
      <c r="B10500" t="s">
        <v>149</v>
      </c>
      <c r="C10500" t="s">
        <v>251</v>
      </c>
      <c r="D10500" t="s">
        <v>380</v>
      </c>
      <c r="E10500" t="s">
        <v>489</v>
      </c>
      <c r="F10500">
        <f>HYPERLINK("https://www.wikidata.org/wiki/Q643087", "Q643087")</f>
        <v>0</v>
      </c>
      <c r="G10500" t="s">
        <v>1323</v>
      </c>
      <c r="H10500" t="s">
        <v>6042</v>
      </c>
      <c r="I10500" t="s">
        <v>6860</v>
      </c>
      <c r="J10500" t="s">
        <v>12052</v>
      </c>
      <c r="K10500" t="s">
        <v>16453</v>
      </c>
      <c r="L10500">
        <f>HYPERLINK("https://www2.assemblee-nationale.fr/sycomore/fiche/(num_dept)/7519", "7519")</f>
        <v>0</v>
      </c>
      <c r="M10500">
        <f>HYPERLINK("https://www.senat.fr/senateur-3eme-republique/laval_pierre1565r3.html", "laval_pierre1565r3")</f>
        <v>0</v>
      </c>
      <c r="N10500">
        <f>HYPERLINK("https://www.wikidata.org/wiki/Q151983", "Q151983")</f>
        <v>0</v>
      </c>
      <c r="O10500" t="s">
        <v>20204</v>
      </c>
    </row>
    <row r="10501" spans="1:15">
      <c r="A10501" t="s">
        <v>119</v>
      </c>
      <c r="B10501" t="s">
        <v>149</v>
      </c>
      <c r="C10501" t="s">
        <v>251</v>
      </c>
      <c r="D10501" t="s">
        <v>380</v>
      </c>
      <c r="E10501" t="s">
        <v>489</v>
      </c>
      <c r="F10501">
        <f>HYPERLINK("https://www.wikidata.org/wiki/Q643087", "Q643087")</f>
        <v>0</v>
      </c>
      <c r="G10501" t="s">
        <v>2194</v>
      </c>
      <c r="H10501" t="s">
        <v>6805</v>
      </c>
      <c r="I10501" t="s">
        <v>9457</v>
      </c>
      <c r="J10501" t="s">
        <v>12857</v>
      </c>
      <c r="K10501" t="s">
        <v>17269</v>
      </c>
      <c r="L10501">
        <f>HYPERLINK("https://www2.assemblee-nationale.fr/sycomore/fiche/(num_dept)/7853", "7853")</f>
        <v>0</v>
      </c>
      <c r="N10501">
        <f>HYPERLINK("https://www.wikidata.org/wiki/Q3131493", "Q3131493")</f>
        <v>0</v>
      </c>
      <c r="O10501" t="s">
        <v>20196</v>
      </c>
    </row>
    <row r="10502" spans="1:15">
      <c r="A10502" t="s">
        <v>119</v>
      </c>
      <c r="B10502" t="s">
        <v>149</v>
      </c>
      <c r="C10502" t="s">
        <v>251</v>
      </c>
      <c r="D10502" t="s">
        <v>380</v>
      </c>
      <c r="E10502" t="s">
        <v>489</v>
      </c>
      <c r="F10502">
        <f>HYPERLINK("https://www.wikidata.org/wiki/Q643087", "Q643087")</f>
        <v>0</v>
      </c>
      <c r="G10502" t="s">
        <v>1333</v>
      </c>
      <c r="H10502" t="s">
        <v>5402</v>
      </c>
      <c r="I10502" t="s">
        <v>9754</v>
      </c>
      <c r="J10502" t="s">
        <v>12060</v>
      </c>
      <c r="K10502" t="s">
        <v>16462</v>
      </c>
      <c r="L10502">
        <f>HYPERLINK("https://www2.assemblee-nationale.fr/sycomore/fiche/(num_dept)/10839", "10839")</f>
        <v>0</v>
      </c>
      <c r="N10502">
        <f>HYPERLINK("https://www.wikidata.org/wiki/Q471296", "Q471296")</f>
        <v>0</v>
      </c>
      <c r="O10502" t="s">
        <v>20135</v>
      </c>
    </row>
    <row r="10503" spans="1:15">
      <c r="A10503" t="s">
        <v>119</v>
      </c>
      <c r="B10503" t="s">
        <v>149</v>
      </c>
      <c r="C10503" t="s">
        <v>251</v>
      </c>
      <c r="D10503" t="s">
        <v>380</v>
      </c>
      <c r="E10503" t="s">
        <v>489</v>
      </c>
      <c r="F10503">
        <f>HYPERLINK("https://www.wikidata.org/wiki/Q643087", "Q643087")</f>
        <v>0</v>
      </c>
      <c r="G10503" t="s">
        <v>4243</v>
      </c>
      <c r="H10503" t="s">
        <v>8417</v>
      </c>
      <c r="I10503" t="s">
        <v>6860</v>
      </c>
      <c r="J10503" t="s">
        <v>14749</v>
      </c>
      <c r="K10503" t="s">
        <v>19095</v>
      </c>
      <c r="M10503">
        <f>HYPERLINK("https://www.senat.fr/senateur-3eme-republique/marraud_pierre0748r3.html", "marraud_pierre0748r3")</f>
        <v>0</v>
      </c>
      <c r="N10503">
        <f>HYPERLINK("https://www.wikidata.org/wiki/Q3386156", "Q3386156")</f>
        <v>0</v>
      </c>
      <c r="O10503" t="s">
        <v>20051</v>
      </c>
    </row>
    <row r="10504" spans="1:15">
      <c r="A10504" t="s">
        <v>120</v>
      </c>
      <c r="B10504" t="s">
        <v>149</v>
      </c>
      <c r="C10504" t="s">
        <v>252</v>
      </c>
      <c r="D10504" t="s">
        <v>381</v>
      </c>
      <c r="E10504" t="s">
        <v>345</v>
      </c>
      <c r="F10504">
        <f>HYPERLINK("https://www.wikidata.org/wiki/Q3111872", "Q3111872")</f>
        <v>0</v>
      </c>
      <c r="G10504" t="s">
        <v>1225</v>
      </c>
      <c r="H10504" t="s">
        <v>5950</v>
      </c>
      <c r="I10504" t="s">
        <v>9506</v>
      </c>
      <c r="J10504" t="s">
        <v>11957</v>
      </c>
      <c r="K10504" t="s">
        <v>16359</v>
      </c>
      <c r="L10504">
        <f>HYPERLINK("https://www2.assemblee-nationale.fr/sycomore/fiche/(num_dept)/842", "842")</f>
        <v>0</v>
      </c>
      <c r="N10504">
        <f>HYPERLINK("https://www.wikidata.org/wiki/Q2934871", "Q2934871")</f>
        <v>0</v>
      </c>
      <c r="O10504" t="s">
        <v>20089</v>
      </c>
    </row>
    <row r="10505" spans="1:15">
      <c r="A10505" t="s">
        <v>120</v>
      </c>
      <c r="B10505" t="s">
        <v>149</v>
      </c>
      <c r="C10505" t="s">
        <v>252</v>
      </c>
      <c r="D10505" t="s">
        <v>381</v>
      </c>
      <c r="E10505" t="s">
        <v>345</v>
      </c>
      <c r="F10505">
        <f>HYPERLINK("https://www.wikidata.org/wiki/Q3111872", "Q3111872")</f>
        <v>0</v>
      </c>
      <c r="G10505" t="s">
        <v>2032</v>
      </c>
      <c r="H10505" t="s">
        <v>6664</v>
      </c>
      <c r="I10505" t="s">
        <v>6860</v>
      </c>
      <c r="J10505" t="s">
        <v>12706</v>
      </c>
      <c r="K10505" t="s">
        <v>17118</v>
      </c>
      <c r="L10505">
        <f>HYPERLINK("https://www2.assemblee-nationale.fr/sycomore/fiche/(num_dept)/1521", "1521")</f>
        <v>0</v>
      </c>
      <c r="N10505">
        <f>HYPERLINK("https://www.wikidata.org/wiki/Q1921652", "Q1921652")</f>
        <v>0</v>
      </c>
      <c r="O10505" t="s">
        <v>20203</v>
      </c>
    </row>
    <row r="10506" spans="1:15">
      <c r="A10506" t="s">
        <v>120</v>
      </c>
      <c r="B10506" t="s">
        <v>149</v>
      </c>
      <c r="C10506" t="s">
        <v>252</v>
      </c>
      <c r="D10506" t="s">
        <v>381</v>
      </c>
      <c r="E10506" t="s">
        <v>345</v>
      </c>
      <c r="F10506">
        <f>HYPERLINK("https://www.wikidata.org/wiki/Q3111872", "Q3111872")</f>
        <v>0</v>
      </c>
      <c r="G10506" t="s">
        <v>1754</v>
      </c>
      <c r="H10506" t="s">
        <v>6424</v>
      </c>
      <c r="I10506" t="s">
        <v>9552</v>
      </c>
      <c r="J10506" t="s">
        <v>12454</v>
      </c>
      <c r="K10506" t="s">
        <v>16860</v>
      </c>
      <c r="L10506">
        <f>HYPERLINK("https://www2.assemblee-nationale.fr/sycomore/fiche/(num_dept)/1631", "1631")</f>
        <v>0</v>
      </c>
      <c r="M10506">
        <f>HYPERLINK("https://www.senat.fr/senateur-3eme-republique/champetier_de_ribes_auguste0517r4.html", "champetier_de_ribes_auguste0517r4")</f>
        <v>0</v>
      </c>
      <c r="N10506">
        <f>HYPERLINK("https://www.wikidata.org/wiki/Q478746", "Q478746")</f>
        <v>0</v>
      </c>
      <c r="O10506" t="s">
        <v>20387</v>
      </c>
    </row>
    <row r="10507" spans="1:15">
      <c r="A10507" t="s">
        <v>120</v>
      </c>
      <c r="B10507" t="s">
        <v>149</v>
      </c>
      <c r="C10507" t="s">
        <v>252</v>
      </c>
      <c r="D10507" t="s">
        <v>381</v>
      </c>
      <c r="E10507" t="s">
        <v>345</v>
      </c>
      <c r="F10507">
        <f>HYPERLINK("https://www.wikidata.org/wiki/Q3111872", "Q3111872")</f>
        <v>0</v>
      </c>
      <c r="G10507" t="s">
        <v>906</v>
      </c>
      <c r="H10507" t="s">
        <v>5662</v>
      </c>
      <c r="I10507" t="s">
        <v>6495</v>
      </c>
      <c r="J10507" t="s">
        <v>11377</v>
      </c>
      <c r="K10507" t="s">
        <v>16050</v>
      </c>
      <c r="L10507">
        <f>HYPERLINK("https://www2.assemblee-nationale.fr/sycomore/fiche/(num_dept)/1648", "1648")</f>
        <v>0</v>
      </c>
      <c r="N10507">
        <f>HYPERLINK("https://www.wikidata.org/wiki/Q3263418", "Q3263418")</f>
        <v>0</v>
      </c>
      <c r="O10507" t="s">
        <v>20065</v>
      </c>
    </row>
    <row r="10508" spans="1:15">
      <c r="A10508" t="s">
        <v>120</v>
      </c>
      <c r="B10508" t="s">
        <v>149</v>
      </c>
      <c r="C10508" t="s">
        <v>252</v>
      </c>
      <c r="D10508" t="s">
        <v>381</v>
      </c>
      <c r="E10508" t="s">
        <v>345</v>
      </c>
      <c r="F10508">
        <f>HYPERLINK("https://www.wikidata.org/wiki/Q3111872", "Q3111872")</f>
        <v>0</v>
      </c>
      <c r="G10508" t="s">
        <v>1466</v>
      </c>
      <c r="H10508" t="s">
        <v>6165</v>
      </c>
      <c r="I10508" t="s">
        <v>9820</v>
      </c>
      <c r="J10508" t="s">
        <v>12185</v>
      </c>
      <c r="K10508" t="s">
        <v>16591</v>
      </c>
      <c r="L10508">
        <f>HYPERLINK("https://www2.assemblee-nationale.fr/sycomore/fiche/(num_dept)/3080", "3080")</f>
        <v>0</v>
      </c>
      <c r="N10508">
        <f>HYPERLINK("https://www.wikidata.org/wiki/Q2861749", "Q2861749")</f>
        <v>0</v>
      </c>
      <c r="O10508" t="s">
        <v>20056</v>
      </c>
    </row>
    <row r="10509" spans="1:15">
      <c r="A10509" t="s">
        <v>120</v>
      </c>
      <c r="B10509" t="s">
        <v>149</v>
      </c>
      <c r="C10509" t="s">
        <v>252</v>
      </c>
      <c r="D10509" t="s">
        <v>381</v>
      </c>
      <c r="E10509" t="s">
        <v>345</v>
      </c>
      <c r="F10509">
        <f>HYPERLINK("https://www.wikidata.org/wiki/Q3111872", "Q3111872")</f>
        <v>0</v>
      </c>
      <c r="G10509" t="s">
        <v>2069</v>
      </c>
      <c r="H10509" t="s">
        <v>6696</v>
      </c>
      <c r="I10509" t="s">
        <v>7642</v>
      </c>
      <c r="J10509" t="s">
        <v>12740</v>
      </c>
      <c r="K10509" t="s">
        <v>17151</v>
      </c>
      <c r="L10509">
        <f>HYPERLINK("https://www2.assemblee-nationale.fr/sycomore/fiche/(num_dept)/3082", "3082")</f>
        <v>0</v>
      </c>
      <c r="N10509">
        <f>HYPERLINK("https://www.wikidata.org/wiki/Q3300788", "Q3300788")</f>
        <v>0</v>
      </c>
      <c r="O10509" t="s">
        <v>20068</v>
      </c>
    </row>
    <row r="10510" spans="1:15">
      <c r="A10510" t="s">
        <v>120</v>
      </c>
      <c r="B10510" t="s">
        <v>149</v>
      </c>
      <c r="C10510" t="s">
        <v>252</v>
      </c>
      <c r="D10510" t="s">
        <v>381</v>
      </c>
      <c r="E10510" t="s">
        <v>345</v>
      </c>
      <c r="F10510">
        <f>HYPERLINK("https://www.wikidata.org/wiki/Q3111872", "Q3111872")</f>
        <v>0</v>
      </c>
      <c r="G10510" t="s">
        <v>1957</v>
      </c>
      <c r="H10510" t="s">
        <v>5417</v>
      </c>
      <c r="I10510" t="s">
        <v>9470</v>
      </c>
      <c r="J10510" t="s">
        <v>12640</v>
      </c>
      <c r="K10510" t="s">
        <v>17050</v>
      </c>
      <c r="L10510">
        <f>HYPERLINK("https://www2.assemblee-nationale.fr/sycomore/fiche/(num_dept)/3360", "3360")</f>
        <v>0</v>
      </c>
      <c r="N10510">
        <f>HYPERLINK("https://www.wikidata.org/wiki/Q3099030", "Q3099030")</f>
        <v>0</v>
      </c>
      <c r="O10510" t="s">
        <v>20388</v>
      </c>
    </row>
    <row r="10511" spans="1:15">
      <c r="A10511" t="s">
        <v>120</v>
      </c>
      <c r="B10511" t="s">
        <v>149</v>
      </c>
      <c r="C10511" t="s">
        <v>252</v>
      </c>
      <c r="D10511" t="s">
        <v>381</v>
      </c>
      <c r="E10511" t="s">
        <v>345</v>
      </c>
      <c r="F10511">
        <f>HYPERLINK("https://www.wikidata.org/wiki/Q3111872", "Q3111872")</f>
        <v>0</v>
      </c>
      <c r="G10511" t="s">
        <v>672</v>
      </c>
      <c r="H10511" t="s">
        <v>5431</v>
      </c>
      <c r="I10511" t="s">
        <v>9385</v>
      </c>
      <c r="J10511" t="s">
        <v>11422</v>
      </c>
      <c r="K10511" t="s">
        <v>15823</v>
      </c>
      <c r="L10511">
        <f>HYPERLINK("https://www2.assemblee-nationale.fr/sycomore/fiche/(num_dept)/3634", "3634")</f>
        <v>0</v>
      </c>
      <c r="N10511">
        <f>HYPERLINK("https://www.wikidata.org/wiki/Q2959267", "Q2959267")</f>
        <v>0</v>
      </c>
      <c r="O10511" t="s">
        <v>20389</v>
      </c>
    </row>
    <row r="10512" spans="1:15">
      <c r="A10512" t="s">
        <v>120</v>
      </c>
      <c r="B10512" t="s">
        <v>149</v>
      </c>
      <c r="C10512" t="s">
        <v>252</v>
      </c>
      <c r="D10512" t="s">
        <v>381</v>
      </c>
      <c r="E10512" t="s">
        <v>345</v>
      </c>
      <c r="F10512">
        <f>HYPERLINK("https://www.wikidata.org/wiki/Q3111872", "Q3111872")</f>
        <v>0</v>
      </c>
      <c r="G10512" t="s">
        <v>1553</v>
      </c>
      <c r="H10512" t="s">
        <v>6244</v>
      </c>
      <c r="I10512" t="s">
        <v>9437</v>
      </c>
      <c r="J10512" t="s">
        <v>12267</v>
      </c>
      <c r="K10512" t="s">
        <v>16675</v>
      </c>
      <c r="L10512">
        <f>HYPERLINK("https://www2.assemblee-nationale.fr/sycomore/fiche/(num_dept)/5425", "5425")</f>
        <v>0</v>
      </c>
      <c r="N10512">
        <f>HYPERLINK("https://www.wikidata.org/wiki/Q3588669", "Q3588669")</f>
        <v>0</v>
      </c>
      <c r="O10512" t="s">
        <v>20297</v>
      </c>
    </row>
    <row r="10513" spans="1:15">
      <c r="A10513" t="s">
        <v>120</v>
      </c>
      <c r="B10513" t="s">
        <v>149</v>
      </c>
      <c r="C10513" t="s">
        <v>252</v>
      </c>
      <c r="D10513" t="s">
        <v>381</v>
      </c>
      <c r="E10513" t="s">
        <v>345</v>
      </c>
      <c r="F10513">
        <f>HYPERLINK("https://www.wikidata.org/wiki/Q3111872", "Q3111872")</f>
        <v>0</v>
      </c>
      <c r="G10513" t="s">
        <v>2133</v>
      </c>
      <c r="H10513" t="s">
        <v>6751</v>
      </c>
      <c r="I10513" t="s">
        <v>9385</v>
      </c>
      <c r="J10513" t="s">
        <v>12797</v>
      </c>
      <c r="K10513" t="s">
        <v>17213</v>
      </c>
      <c r="L10513">
        <f>HYPERLINK("https://www2.assemblee-nationale.fr/sycomore/fiche/(num_dept)/5744", "5744")</f>
        <v>0</v>
      </c>
      <c r="N10513">
        <f>HYPERLINK("https://www.wikidata.org/wiki/Q2960054", "Q2960054")</f>
        <v>0</v>
      </c>
      <c r="O10513" t="s">
        <v>20188</v>
      </c>
    </row>
    <row r="10514" spans="1:15">
      <c r="A10514" t="s">
        <v>120</v>
      </c>
      <c r="B10514" t="s">
        <v>149</v>
      </c>
      <c r="C10514" t="s">
        <v>252</v>
      </c>
      <c r="D10514" t="s">
        <v>381</v>
      </c>
      <c r="E10514" t="s">
        <v>345</v>
      </c>
      <c r="F10514">
        <f>HYPERLINK("https://www.wikidata.org/wiki/Q3111872", "Q3111872")</f>
        <v>0</v>
      </c>
      <c r="G10514" t="s">
        <v>1116</v>
      </c>
      <c r="H10514" t="s">
        <v>5775</v>
      </c>
      <c r="I10514" t="s">
        <v>6860</v>
      </c>
      <c r="J10514" t="s">
        <v>11850</v>
      </c>
      <c r="K10514" t="s">
        <v>16252</v>
      </c>
      <c r="L10514">
        <f>HYPERLINK("https://www2.assemblee-nationale.fr/sycomore/fiche/(num_dept)/5808", "5808")</f>
        <v>0</v>
      </c>
      <c r="N10514">
        <f>HYPERLINK("https://www.wikidata.org/wiki/Q3386559", "Q3386559")</f>
        <v>0</v>
      </c>
      <c r="O10514" t="s">
        <v>20054</v>
      </c>
    </row>
    <row r="10515" spans="1:15">
      <c r="A10515" t="s">
        <v>120</v>
      </c>
      <c r="B10515" t="s">
        <v>149</v>
      </c>
      <c r="C10515" t="s">
        <v>252</v>
      </c>
      <c r="D10515" t="s">
        <v>381</v>
      </c>
      <c r="E10515" t="s">
        <v>345</v>
      </c>
      <c r="F10515">
        <f>HYPERLINK("https://www.wikidata.org/wiki/Q3111872", "Q3111872")</f>
        <v>0</v>
      </c>
      <c r="G10515" t="s">
        <v>1923</v>
      </c>
      <c r="H10515" t="s">
        <v>6570</v>
      </c>
      <c r="I10515" t="s">
        <v>7642</v>
      </c>
      <c r="J10515" t="s">
        <v>12608</v>
      </c>
      <c r="K10515" t="s">
        <v>17019</v>
      </c>
      <c r="L10515">
        <f>HYPERLINK("https://www2.assemblee-nationale.fr/sycomore/fiche/(num_dept)/5854", "5854")</f>
        <v>0</v>
      </c>
      <c r="N10515">
        <f>HYPERLINK("https://www.wikidata.org/wiki/Q3301257", "Q3301257")</f>
        <v>0</v>
      </c>
      <c r="O10515" t="s">
        <v>20390</v>
      </c>
    </row>
    <row r="10516" spans="1:15">
      <c r="A10516" t="s">
        <v>120</v>
      </c>
      <c r="B10516" t="s">
        <v>149</v>
      </c>
      <c r="C10516" t="s">
        <v>252</v>
      </c>
      <c r="D10516" t="s">
        <v>381</v>
      </c>
      <c r="E10516" t="s">
        <v>345</v>
      </c>
      <c r="F10516">
        <f>HYPERLINK("https://www.wikidata.org/wiki/Q3111872", "Q3111872")</f>
        <v>0</v>
      </c>
      <c r="G10516" t="s">
        <v>1873</v>
      </c>
      <c r="H10516" t="s">
        <v>6528</v>
      </c>
      <c r="I10516" t="s">
        <v>6166</v>
      </c>
      <c r="J10516" t="s">
        <v>12561</v>
      </c>
      <c r="K10516" t="s">
        <v>16973</v>
      </c>
      <c r="L10516">
        <f>HYPERLINK("https://www2.assemblee-nationale.fr/sycomore/fiche/(num_dept)/5924", "5924")</f>
        <v>0</v>
      </c>
      <c r="N10516">
        <f>HYPERLINK("https://www.wikidata.org/wiki/Q3085590", "Q3085590")</f>
        <v>0</v>
      </c>
      <c r="O10516" t="s">
        <v>20338</v>
      </c>
    </row>
    <row r="10517" spans="1:15">
      <c r="A10517" t="s">
        <v>120</v>
      </c>
      <c r="B10517" t="s">
        <v>149</v>
      </c>
      <c r="C10517" t="s">
        <v>252</v>
      </c>
      <c r="D10517" t="s">
        <v>381</v>
      </c>
      <c r="E10517" t="s">
        <v>345</v>
      </c>
      <c r="F10517">
        <f>HYPERLINK("https://www.wikidata.org/wiki/Q3111872", "Q3111872")</f>
        <v>0</v>
      </c>
      <c r="G10517" t="s">
        <v>1581</v>
      </c>
      <c r="H10517" t="s">
        <v>6271</v>
      </c>
      <c r="I10517" t="s">
        <v>6495</v>
      </c>
      <c r="J10517" t="s">
        <v>12293</v>
      </c>
      <c r="K10517" t="s">
        <v>16700</v>
      </c>
      <c r="L10517">
        <f>HYPERLINK("https://www2.assemblee-nationale.fr/sycomore/fiche/(num_dept)/6068", "6068")</f>
        <v>0</v>
      </c>
      <c r="N10517">
        <f>HYPERLINK("https://www.wikidata.org/wiki/Q3263043", "Q3263043")</f>
        <v>0</v>
      </c>
      <c r="O10517" t="s">
        <v>20391</v>
      </c>
    </row>
    <row r="10518" spans="1:15">
      <c r="A10518" t="s">
        <v>120</v>
      </c>
      <c r="B10518" t="s">
        <v>149</v>
      </c>
      <c r="C10518" t="s">
        <v>252</v>
      </c>
      <c r="D10518" t="s">
        <v>381</v>
      </c>
      <c r="E10518" t="s">
        <v>345</v>
      </c>
      <c r="F10518">
        <f>HYPERLINK("https://www.wikidata.org/wiki/Q3111872", "Q3111872")</f>
        <v>0</v>
      </c>
      <c r="G10518" t="s">
        <v>1616</v>
      </c>
      <c r="H10518" t="s">
        <v>6301</v>
      </c>
      <c r="I10518" t="s">
        <v>9388</v>
      </c>
      <c r="J10518" t="s">
        <v>12323</v>
      </c>
      <c r="K10518" t="s">
        <v>16733</v>
      </c>
      <c r="L10518">
        <f>HYPERLINK("https://www2.assemblee-nationale.fr/sycomore/fiche/(num_dept)/6710", "6710")</f>
        <v>0</v>
      </c>
      <c r="N10518">
        <f>HYPERLINK("https://www.wikidata.org/wiki/Q161076", "Q161076")</f>
        <v>0</v>
      </c>
      <c r="O10518" t="s">
        <v>20064</v>
      </c>
    </row>
    <row r="10519" spans="1:15">
      <c r="A10519" t="s">
        <v>120</v>
      </c>
      <c r="B10519" t="s">
        <v>149</v>
      </c>
      <c r="C10519" t="s">
        <v>252</v>
      </c>
      <c r="D10519" t="s">
        <v>381</v>
      </c>
      <c r="E10519" t="s">
        <v>345</v>
      </c>
      <c r="F10519">
        <f>HYPERLINK("https://www.wikidata.org/wiki/Q3111872", "Q3111872")</f>
        <v>0</v>
      </c>
      <c r="G10519" t="s">
        <v>1616</v>
      </c>
      <c r="H10519" t="s">
        <v>6301</v>
      </c>
      <c r="I10519" t="s">
        <v>9388</v>
      </c>
      <c r="J10519" t="s">
        <v>12323</v>
      </c>
      <c r="K10519" t="s">
        <v>16733</v>
      </c>
      <c r="L10519">
        <f>HYPERLINK("https://www2.assemblee-nationale.fr/sycomore/fiche/(num_dept)/6710", "6710")</f>
        <v>0</v>
      </c>
      <c r="N10519">
        <f>HYPERLINK("https://www.wikidata.org/wiki/Q161076", "Q161076")</f>
        <v>0</v>
      </c>
      <c r="O10519" t="s">
        <v>20074</v>
      </c>
    </row>
    <row r="10520" spans="1:15">
      <c r="A10520" t="s">
        <v>120</v>
      </c>
      <c r="B10520" t="s">
        <v>149</v>
      </c>
      <c r="C10520" t="s">
        <v>252</v>
      </c>
      <c r="D10520" t="s">
        <v>381</v>
      </c>
      <c r="E10520" t="s">
        <v>345</v>
      </c>
      <c r="F10520">
        <f>HYPERLINK("https://www.wikidata.org/wiki/Q3111872", "Q3111872")</f>
        <v>0</v>
      </c>
      <c r="G10520" t="s">
        <v>2166</v>
      </c>
      <c r="H10520" t="s">
        <v>6780</v>
      </c>
      <c r="I10520" t="s">
        <v>5394</v>
      </c>
      <c r="J10520" t="s">
        <v>12830</v>
      </c>
      <c r="K10520" t="s">
        <v>17245</v>
      </c>
      <c r="L10520">
        <f>HYPERLINK("https://www2.assemblee-nationale.fr/sycomore/fiche/(num_dept)/6742", "6742")</f>
        <v>0</v>
      </c>
      <c r="N10520">
        <f>HYPERLINK("https://www.wikidata.org/wiki/Q3592354", "Q3592354")</f>
        <v>0</v>
      </c>
      <c r="O10520" t="s">
        <v>20392</v>
      </c>
    </row>
    <row r="10521" spans="1:15">
      <c r="A10521" t="s">
        <v>120</v>
      </c>
      <c r="B10521" t="s">
        <v>149</v>
      </c>
      <c r="C10521" t="s">
        <v>252</v>
      </c>
      <c r="D10521" t="s">
        <v>381</v>
      </c>
      <c r="E10521" t="s">
        <v>345</v>
      </c>
      <c r="F10521">
        <f>HYPERLINK("https://www.wikidata.org/wiki/Q3111872", "Q3111872")</f>
        <v>0</v>
      </c>
      <c r="G10521" t="s">
        <v>1206</v>
      </c>
      <c r="H10521" t="s">
        <v>5934</v>
      </c>
      <c r="I10521" t="s">
        <v>6585</v>
      </c>
      <c r="J10521" t="s">
        <v>11939</v>
      </c>
      <c r="K10521" t="s">
        <v>16340</v>
      </c>
      <c r="L10521">
        <f>HYPERLINK("https://www2.assemblee-nationale.fr/sycomore/fiche/(num_dept)/6953", "6953")</f>
        <v>0</v>
      </c>
      <c r="N10521">
        <f>HYPERLINK("https://www.wikidata.org/wiki/Q346648", "Q346648")</f>
        <v>0</v>
      </c>
      <c r="O10521" t="s">
        <v>20062</v>
      </c>
    </row>
    <row r="10522" spans="1:15">
      <c r="A10522" t="s">
        <v>120</v>
      </c>
      <c r="B10522" t="s">
        <v>149</v>
      </c>
      <c r="C10522" t="s">
        <v>252</v>
      </c>
      <c r="D10522" t="s">
        <v>381</v>
      </c>
      <c r="E10522" t="s">
        <v>345</v>
      </c>
      <c r="F10522">
        <f>HYPERLINK("https://www.wikidata.org/wiki/Q3111872", "Q3111872")</f>
        <v>0</v>
      </c>
      <c r="G10522" t="s">
        <v>1206</v>
      </c>
      <c r="H10522" t="s">
        <v>5934</v>
      </c>
      <c r="I10522" t="s">
        <v>6585</v>
      </c>
      <c r="J10522" t="s">
        <v>11939</v>
      </c>
      <c r="K10522" t="s">
        <v>16340</v>
      </c>
      <c r="L10522">
        <f>HYPERLINK("https://www2.assemblee-nationale.fr/sycomore/fiche/(num_dept)/6953", "6953")</f>
        <v>0</v>
      </c>
      <c r="N10522">
        <f>HYPERLINK("https://www.wikidata.org/wiki/Q346648", "Q346648")</f>
        <v>0</v>
      </c>
      <c r="O10522" t="s">
        <v>20052</v>
      </c>
    </row>
    <row r="10523" spans="1:15">
      <c r="A10523" t="s">
        <v>120</v>
      </c>
      <c r="B10523" t="s">
        <v>149</v>
      </c>
      <c r="C10523" t="s">
        <v>252</v>
      </c>
      <c r="D10523" t="s">
        <v>381</v>
      </c>
      <c r="E10523" t="s">
        <v>345</v>
      </c>
      <c r="F10523">
        <f>HYPERLINK("https://www.wikidata.org/wiki/Q3111872", "Q3111872")</f>
        <v>0</v>
      </c>
      <c r="G10523" t="s">
        <v>1323</v>
      </c>
      <c r="H10523" t="s">
        <v>6042</v>
      </c>
      <c r="I10523" t="s">
        <v>6860</v>
      </c>
      <c r="J10523" t="s">
        <v>12052</v>
      </c>
      <c r="K10523" t="s">
        <v>16453</v>
      </c>
      <c r="L10523">
        <f>HYPERLINK("https://www2.assemblee-nationale.fr/sycomore/fiche/(num_dept)/7519", "7519")</f>
        <v>0</v>
      </c>
      <c r="M10523">
        <f>HYPERLINK("https://www.senat.fr/senateur-3eme-republique/laval_pierre1565r3.html", "laval_pierre1565r3")</f>
        <v>0</v>
      </c>
      <c r="N10523">
        <f>HYPERLINK("https://www.wikidata.org/wiki/Q151983", "Q151983")</f>
        <v>0</v>
      </c>
      <c r="O10523" t="s">
        <v>20204</v>
      </c>
    </row>
    <row r="10524" spans="1:15">
      <c r="A10524" t="s">
        <v>120</v>
      </c>
      <c r="B10524" t="s">
        <v>149</v>
      </c>
      <c r="C10524" t="s">
        <v>252</v>
      </c>
      <c r="D10524" t="s">
        <v>381</v>
      </c>
      <c r="E10524" t="s">
        <v>345</v>
      </c>
      <c r="F10524">
        <f>HYPERLINK("https://www.wikidata.org/wiki/Q3111872", "Q3111872")</f>
        <v>0</v>
      </c>
      <c r="G10524" t="s">
        <v>1333</v>
      </c>
      <c r="H10524" t="s">
        <v>5402</v>
      </c>
      <c r="I10524" t="s">
        <v>9754</v>
      </c>
      <c r="J10524" t="s">
        <v>12060</v>
      </c>
      <c r="K10524" t="s">
        <v>16462</v>
      </c>
      <c r="L10524">
        <f>HYPERLINK("https://www2.assemblee-nationale.fr/sycomore/fiche/(num_dept)/10839", "10839")</f>
        <v>0</v>
      </c>
      <c r="N10524">
        <f>HYPERLINK("https://www.wikidata.org/wiki/Q471296", "Q471296")</f>
        <v>0</v>
      </c>
      <c r="O10524" t="s">
        <v>20066</v>
      </c>
    </row>
    <row r="10525" spans="1:15">
      <c r="A10525" t="s">
        <v>120</v>
      </c>
      <c r="B10525" t="s">
        <v>149</v>
      </c>
      <c r="C10525" t="s">
        <v>252</v>
      </c>
      <c r="D10525" t="s">
        <v>381</v>
      </c>
      <c r="E10525" t="s">
        <v>345</v>
      </c>
      <c r="F10525">
        <f>HYPERLINK("https://www.wikidata.org/wiki/Q3111872", "Q3111872")</f>
        <v>0</v>
      </c>
      <c r="G10525" t="s">
        <v>4347</v>
      </c>
      <c r="H10525" t="s">
        <v>7359</v>
      </c>
      <c r="I10525" t="s">
        <v>9391</v>
      </c>
      <c r="J10525" t="s">
        <v>14839</v>
      </c>
      <c r="K10525" t="s">
        <v>19181</v>
      </c>
      <c r="M10525">
        <f>HYPERLINK("https://www.senat.fr/senateur-3eme-republique/chauveau_claude0544r3.html", "chauveau_claude0544r3")</f>
        <v>0</v>
      </c>
      <c r="N10525">
        <f>HYPERLINK("https://www.wikidata.org/wiki/Q2977185", "Q2977185")</f>
        <v>0</v>
      </c>
      <c r="O10525" t="s">
        <v>20056</v>
      </c>
    </row>
    <row r="10526" spans="1:15">
      <c r="A10526" t="s">
        <v>120</v>
      </c>
      <c r="B10526" t="s">
        <v>149</v>
      </c>
      <c r="C10526" t="s">
        <v>252</v>
      </c>
      <c r="D10526" t="s">
        <v>381</v>
      </c>
      <c r="E10526" t="s">
        <v>345</v>
      </c>
      <c r="F10526">
        <f>HYPERLINK("https://www.wikidata.org/wiki/Q3111872", "Q3111872")</f>
        <v>0</v>
      </c>
      <c r="G10526" t="s">
        <v>4234</v>
      </c>
      <c r="H10526" t="s">
        <v>8411</v>
      </c>
      <c r="I10526" t="s">
        <v>9593</v>
      </c>
      <c r="J10526" t="s">
        <v>14741</v>
      </c>
      <c r="K10526" t="s">
        <v>19086</v>
      </c>
      <c r="M10526">
        <f>HYPERLINK("https://www.senat.fr/senateur-3eme-republique/roustan_marius0246r3.html", "roustan_marius0246r3")</f>
        <v>0</v>
      </c>
      <c r="N10526">
        <f>HYPERLINK("https://www.wikidata.org/wiki/Q3293852", "Q3293852")</f>
        <v>0</v>
      </c>
      <c r="O10526" t="s">
        <v>20051</v>
      </c>
    </row>
    <row r="10527" spans="1:15">
      <c r="A10527" t="s">
        <v>120</v>
      </c>
      <c r="B10527" t="s">
        <v>149</v>
      </c>
      <c r="C10527" t="s">
        <v>252</v>
      </c>
      <c r="D10527" t="s">
        <v>381</v>
      </c>
      <c r="E10527" t="s">
        <v>345</v>
      </c>
      <c r="F10527">
        <f>HYPERLINK("https://www.wikidata.org/wiki/Q3111872", "Q3111872")</f>
        <v>0</v>
      </c>
      <c r="G10527" t="s">
        <v>718</v>
      </c>
      <c r="H10527" t="s">
        <v>5476</v>
      </c>
      <c r="I10527" t="s">
        <v>6584</v>
      </c>
      <c r="J10527" t="s">
        <v>11467</v>
      </c>
      <c r="K10527" t="s">
        <v>15869</v>
      </c>
      <c r="N10527">
        <f>HYPERLINK("https://www.wikidata.org/wiki/Q2831367", "Q2831367")</f>
        <v>0</v>
      </c>
      <c r="O10527" t="s">
        <v>20058</v>
      </c>
    </row>
    <row r="10528" spans="1:15">
      <c r="A10528" t="s">
        <v>121</v>
      </c>
      <c r="B10528" t="s">
        <v>149</v>
      </c>
      <c r="C10528" t="s">
        <v>253</v>
      </c>
      <c r="D10528" t="s">
        <v>382</v>
      </c>
      <c r="E10528" t="s">
        <v>490</v>
      </c>
      <c r="F10528">
        <f>HYPERLINK("https://www.wikidata.org/wiki/Q3112392", "Q3112392")</f>
        <v>0</v>
      </c>
      <c r="G10528" t="s">
        <v>2548</v>
      </c>
      <c r="H10528" t="s">
        <v>7107</v>
      </c>
      <c r="I10528" t="s">
        <v>9455</v>
      </c>
      <c r="J10528" t="s">
        <v>13192</v>
      </c>
      <c r="K10528" t="s">
        <v>17597</v>
      </c>
      <c r="L10528">
        <f>HYPERLINK("https://www2.assemblee-nationale.fr/sycomore/fiche/(num_dept)/2165", "2165")</f>
        <v>0</v>
      </c>
      <c r="M10528">
        <f>HYPERLINK("https://www.senat.fr/senateur-3eme-republique/dautresme_lucien1592r3.html", "dautresme_lucien1592r3")</f>
        <v>0</v>
      </c>
      <c r="N10528">
        <f>HYPERLINK("https://www.wikidata.org/wiki/Q3265453", "Q3265453")</f>
        <v>0</v>
      </c>
      <c r="O10528" t="s">
        <v>20135</v>
      </c>
    </row>
    <row r="10529" spans="1:15">
      <c r="A10529" t="s">
        <v>121</v>
      </c>
      <c r="B10529" t="s">
        <v>149</v>
      </c>
      <c r="C10529" t="s">
        <v>253</v>
      </c>
      <c r="D10529" t="s">
        <v>382</v>
      </c>
      <c r="E10529" t="s">
        <v>490</v>
      </c>
      <c r="F10529">
        <f>HYPERLINK("https://www.wikidata.org/wiki/Q3112392", "Q3112392")</f>
        <v>0</v>
      </c>
      <c r="G10529" t="s">
        <v>2570</v>
      </c>
      <c r="H10529" t="s">
        <v>6156</v>
      </c>
      <c r="I10529" t="s">
        <v>7790</v>
      </c>
      <c r="J10529" t="s">
        <v>13214</v>
      </c>
      <c r="K10529" t="s">
        <v>17617</v>
      </c>
      <c r="L10529">
        <f>HYPERLINK("https://www2.assemblee-nationale.fr/sycomore/fiche/(num_dept)/2901", "2901")</f>
        <v>0</v>
      </c>
      <c r="M10529">
        <f>HYPERLINK("https://www.senat.fr/senateur-3eme-republique/fallieres_armand0754r3.html", "fallieres_armand0754r3")</f>
        <v>0</v>
      </c>
      <c r="N10529">
        <f>HYPERLINK("https://www.wikidata.org/wiki/Q296673", "Q296673")</f>
        <v>0</v>
      </c>
      <c r="O10529" t="s">
        <v>20064</v>
      </c>
    </row>
    <row r="10530" spans="1:15">
      <c r="A10530" t="s">
        <v>121</v>
      </c>
      <c r="B10530" t="s">
        <v>149</v>
      </c>
      <c r="C10530" t="s">
        <v>253</v>
      </c>
      <c r="D10530" t="s">
        <v>382</v>
      </c>
      <c r="E10530" t="s">
        <v>490</v>
      </c>
      <c r="F10530">
        <f>HYPERLINK("https://www.wikidata.org/wiki/Q3112392", "Q3112392")</f>
        <v>0</v>
      </c>
      <c r="G10530" t="s">
        <v>2573</v>
      </c>
      <c r="H10530" t="s">
        <v>5397</v>
      </c>
      <c r="I10530" t="s">
        <v>6158</v>
      </c>
      <c r="J10530" t="s">
        <v>13217</v>
      </c>
      <c r="K10530" t="s">
        <v>17620</v>
      </c>
      <c r="L10530">
        <f>HYPERLINK("https://www2.assemblee-nationale.fr/sycomore/fiche/(num_dept)/2925", "2925")</f>
        <v>0</v>
      </c>
      <c r="N10530">
        <f>HYPERLINK("https://www.wikidata.org/wiki/Q296076", "Q296076")</f>
        <v>0</v>
      </c>
      <c r="O10530" t="s">
        <v>20184</v>
      </c>
    </row>
    <row r="10531" spans="1:15">
      <c r="A10531" t="s">
        <v>121</v>
      </c>
      <c r="B10531" t="s">
        <v>149</v>
      </c>
      <c r="C10531" t="s">
        <v>253</v>
      </c>
      <c r="D10531" t="s">
        <v>382</v>
      </c>
      <c r="E10531" t="s">
        <v>490</v>
      </c>
      <c r="F10531">
        <f>HYPERLINK("https://www.wikidata.org/wiki/Q3112392", "Q3112392")</f>
        <v>0</v>
      </c>
      <c r="G10531" t="s">
        <v>3375</v>
      </c>
      <c r="H10531" t="s">
        <v>7768</v>
      </c>
      <c r="I10531" t="s">
        <v>9437</v>
      </c>
      <c r="J10531" t="s">
        <v>13748</v>
      </c>
      <c r="K10531" t="s">
        <v>18355</v>
      </c>
      <c r="L10531">
        <f>HYPERLINK("https://www2.assemblee-nationale.fr/sycomore/fiche/(num_dept)/3038", "3038")</f>
        <v>0</v>
      </c>
      <c r="N10531">
        <f>HYPERLINK("https://www.wikidata.org/wiki/Q2602696", "Q2602696")</f>
        <v>0</v>
      </c>
      <c r="O10531" t="s">
        <v>20062</v>
      </c>
    </row>
    <row r="10532" spans="1:15">
      <c r="A10532" t="s">
        <v>121</v>
      </c>
      <c r="B10532" t="s">
        <v>149</v>
      </c>
      <c r="C10532" t="s">
        <v>253</v>
      </c>
      <c r="D10532" t="s">
        <v>382</v>
      </c>
      <c r="E10532" t="s">
        <v>490</v>
      </c>
      <c r="F10532">
        <f>HYPERLINK("https://www.wikidata.org/wiki/Q3112392", "Q3112392")</f>
        <v>0</v>
      </c>
      <c r="G10532" t="s">
        <v>2606</v>
      </c>
      <c r="H10532" t="s">
        <v>7155</v>
      </c>
      <c r="I10532" t="s">
        <v>9440</v>
      </c>
      <c r="J10532" t="s">
        <v>13249</v>
      </c>
      <c r="K10532" t="s">
        <v>17651</v>
      </c>
      <c r="L10532">
        <f>HYPERLINK("https://www2.assemblee-nationale.fr/sycomore/fiche/(num_dept)/4183", "4183")</f>
        <v>0</v>
      </c>
      <c r="N10532">
        <f>HYPERLINK("https://www.wikidata.org/wiki/Q2844734", "Q2844734")</f>
        <v>0</v>
      </c>
      <c r="O10532" t="s">
        <v>20184</v>
      </c>
    </row>
    <row r="10533" spans="1:15">
      <c r="A10533" t="s">
        <v>121</v>
      </c>
      <c r="B10533" t="s">
        <v>149</v>
      </c>
      <c r="C10533" t="s">
        <v>253</v>
      </c>
      <c r="D10533" t="s">
        <v>382</v>
      </c>
      <c r="E10533" t="s">
        <v>490</v>
      </c>
      <c r="F10533">
        <f>HYPERLINK("https://www.wikidata.org/wiki/Q3112392", "Q3112392")</f>
        <v>0</v>
      </c>
      <c r="G10533" t="s">
        <v>2964</v>
      </c>
      <c r="H10533" t="s">
        <v>7434</v>
      </c>
      <c r="I10533" t="s">
        <v>6166</v>
      </c>
      <c r="J10533" t="s">
        <v>13596</v>
      </c>
      <c r="K10533" t="s">
        <v>17982</v>
      </c>
      <c r="L10533">
        <f>HYPERLINK("https://www2.assemblee-nationale.fr/sycomore/fiche/(num_dept)/4897", "4897")</f>
        <v>0</v>
      </c>
      <c r="N10533">
        <f>HYPERLINK("https://www.wikidata.org/wiki/Q962478", "Q962478")</f>
        <v>0</v>
      </c>
      <c r="O10533" t="s">
        <v>20185</v>
      </c>
    </row>
    <row r="10534" spans="1:15">
      <c r="A10534" t="s">
        <v>121</v>
      </c>
      <c r="B10534" t="s">
        <v>149</v>
      </c>
      <c r="C10534" t="s">
        <v>253</v>
      </c>
      <c r="D10534" t="s">
        <v>382</v>
      </c>
      <c r="E10534" t="s">
        <v>490</v>
      </c>
      <c r="F10534">
        <f>HYPERLINK("https://www.wikidata.org/wiki/Q3112392", "Q3112392")</f>
        <v>0</v>
      </c>
      <c r="G10534" t="s">
        <v>2659</v>
      </c>
      <c r="H10534" t="s">
        <v>7199</v>
      </c>
      <c r="I10534" t="s">
        <v>9376</v>
      </c>
      <c r="J10534" t="s">
        <v>13300</v>
      </c>
      <c r="K10534" t="s">
        <v>17700</v>
      </c>
      <c r="L10534">
        <f>HYPERLINK("https://www2.assemblee-nationale.fr/sycomore/fiche/(num_dept)/6297", "6297")</f>
        <v>0</v>
      </c>
      <c r="M10534">
        <f>HYPERLINK("https://www.senat.fr/senateur-3eme-republique/sarrien_ferdinand1219r3.html", "sarrien_ferdinand1219r3")</f>
        <v>0</v>
      </c>
      <c r="N10534">
        <f>HYPERLINK("https://www.wikidata.org/wiki/Q718698", "Q718698")</f>
        <v>0</v>
      </c>
      <c r="O10534" t="s">
        <v>20113</v>
      </c>
    </row>
    <row r="10535" spans="1:15">
      <c r="A10535" t="s">
        <v>121</v>
      </c>
      <c r="B10535" t="s">
        <v>149</v>
      </c>
      <c r="C10535" t="s">
        <v>253</v>
      </c>
      <c r="D10535" t="s">
        <v>382</v>
      </c>
      <c r="E10535" t="s">
        <v>490</v>
      </c>
      <c r="F10535">
        <f>HYPERLINK("https://www.wikidata.org/wiki/Q3112392", "Q3112392")</f>
        <v>0</v>
      </c>
      <c r="G10535" t="s">
        <v>2695</v>
      </c>
      <c r="H10535" t="s">
        <v>7227</v>
      </c>
      <c r="I10535" t="s">
        <v>9449</v>
      </c>
      <c r="J10535" t="s">
        <v>13336</v>
      </c>
      <c r="K10535" t="s">
        <v>17736</v>
      </c>
      <c r="L10535">
        <f>HYPERLINK("https://www2.assemblee-nationale.fr/sycomore/fiche/(num_dept)/7450", "7450")</f>
        <v>0</v>
      </c>
      <c r="N10535">
        <f>HYPERLINK("https://www.wikidata.org/wiki/Q3188959", "Q3188959")</f>
        <v>0</v>
      </c>
      <c r="O10535" t="s">
        <v>20056</v>
      </c>
    </row>
    <row r="10536" spans="1:15">
      <c r="A10536" t="s">
        <v>121</v>
      </c>
      <c r="B10536" t="s">
        <v>149</v>
      </c>
      <c r="C10536" t="s">
        <v>253</v>
      </c>
      <c r="D10536" t="s">
        <v>382</v>
      </c>
      <c r="E10536" t="s">
        <v>490</v>
      </c>
      <c r="F10536">
        <f>HYPERLINK("https://www.wikidata.org/wiki/Q3112392", "Q3112392")</f>
        <v>0</v>
      </c>
      <c r="G10536" t="s">
        <v>2808</v>
      </c>
      <c r="H10536" t="s">
        <v>7310</v>
      </c>
      <c r="I10536" t="s">
        <v>9437</v>
      </c>
      <c r="J10536" t="s">
        <v>13448</v>
      </c>
      <c r="K10536" t="s">
        <v>17840</v>
      </c>
      <c r="L10536">
        <f>HYPERLINK("https://www2.assemblee-nationale.fr/sycomore/fiche/(num_dept)/8117", "8117")</f>
        <v>0</v>
      </c>
      <c r="M10536">
        <f>HYPERLINK("https://www.senat.fr/senateur-3eme-republique/loubet_emile0714r3.html", "loubet_emile0714r3")</f>
        <v>0</v>
      </c>
      <c r="N10536">
        <f>HYPERLINK("https://www.wikidata.org/wiki/Q169502", "Q169502")</f>
        <v>0</v>
      </c>
      <c r="O10536" t="s">
        <v>20063</v>
      </c>
    </row>
    <row r="10537" spans="1:15">
      <c r="A10537" t="s">
        <v>121</v>
      </c>
      <c r="B10537" t="s">
        <v>149</v>
      </c>
      <c r="C10537" t="s">
        <v>253</v>
      </c>
      <c r="D10537" t="s">
        <v>382</v>
      </c>
      <c r="E10537" t="s">
        <v>490</v>
      </c>
      <c r="F10537">
        <f>HYPERLINK("https://www.wikidata.org/wiki/Q3112392", "Q3112392")</f>
        <v>0</v>
      </c>
      <c r="G10537" t="s">
        <v>2907</v>
      </c>
      <c r="H10537" t="s">
        <v>7389</v>
      </c>
      <c r="I10537" t="s">
        <v>6860</v>
      </c>
      <c r="J10537" t="s">
        <v>13542</v>
      </c>
      <c r="K10537" t="s">
        <v>17928</v>
      </c>
      <c r="L10537">
        <f>HYPERLINK("https://www2.assemblee-nationale.fr/sycomore/fiche/(num_dept)/8246", "8246")</f>
        <v>0</v>
      </c>
      <c r="M10537">
        <f>HYPERLINK("https://www.senat.fr/senateur-3eme-republique/tirard_pierre1538r3.html", "tirard_pierre1538r3")</f>
        <v>0</v>
      </c>
      <c r="N10537">
        <f>HYPERLINK("https://www.wikidata.org/wiki/Q708359", "Q708359")</f>
        <v>0</v>
      </c>
      <c r="O10537" t="s">
        <v>20066</v>
      </c>
    </row>
    <row r="10538" spans="1:15">
      <c r="A10538" t="s">
        <v>121</v>
      </c>
      <c r="B10538" t="s">
        <v>149</v>
      </c>
      <c r="C10538" t="s">
        <v>253</v>
      </c>
      <c r="D10538" t="s">
        <v>382</v>
      </c>
      <c r="E10538" t="s">
        <v>490</v>
      </c>
      <c r="F10538">
        <f>HYPERLINK("https://www.wikidata.org/wiki/Q3112392", "Q3112392")</f>
        <v>0</v>
      </c>
      <c r="G10538" t="s">
        <v>2907</v>
      </c>
      <c r="H10538" t="s">
        <v>7389</v>
      </c>
      <c r="I10538" t="s">
        <v>6860</v>
      </c>
      <c r="J10538" t="s">
        <v>13542</v>
      </c>
      <c r="K10538" t="s">
        <v>17928</v>
      </c>
      <c r="L10538">
        <f>HYPERLINK("https://www2.assemblee-nationale.fr/sycomore/fiche/(num_dept)/8246", "8246")</f>
        <v>0</v>
      </c>
      <c r="M10538">
        <f>HYPERLINK("https://www.senat.fr/senateur-3eme-republique/tirard_pierre1538r3.html", "tirard_pierre1538r3")</f>
        <v>0</v>
      </c>
      <c r="N10538">
        <f>HYPERLINK("https://www.wikidata.org/wiki/Q708359", "Q708359")</f>
        <v>0</v>
      </c>
      <c r="O10538" t="s">
        <v>20114</v>
      </c>
    </row>
    <row r="10539" spans="1:15">
      <c r="A10539" t="s">
        <v>121</v>
      </c>
      <c r="B10539" t="s">
        <v>149</v>
      </c>
      <c r="C10539" t="s">
        <v>253</v>
      </c>
      <c r="D10539" t="s">
        <v>382</v>
      </c>
      <c r="E10539" t="s">
        <v>490</v>
      </c>
      <c r="F10539">
        <f>HYPERLINK("https://www.wikidata.org/wiki/Q3112392", "Q3112392")</f>
        <v>0</v>
      </c>
      <c r="G10539" t="s">
        <v>4348</v>
      </c>
      <c r="H10539" t="s">
        <v>8498</v>
      </c>
      <c r="I10539" t="s">
        <v>10037</v>
      </c>
      <c r="J10539" t="s">
        <v>14840</v>
      </c>
      <c r="K10539" t="s">
        <v>19182</v>
      </c>
      <c r="M10539">
        <f>HYPERLINK("https://www.senat.fr/senateur-3eme-republique/faye_etienne0733r3.html", "faye_etienne0733r3")</f>
        <v>0</v>
      </c>
      <c r="N10539">
        <f>HYPERLINK("https://www.wikidata.org/wiki/Q3271801", "Q3271801")</f>
        <v>0</v>
      </c>
      <c r="O10539" t="s">
        <v>20191</v>
      </c>
    </row>
    <row r="10540" spans="1:15">
      <c r="A10540" t="s">
        <v>121</v>
      </c>
      <c r="B10540" t="s">
        <v>149</v>
      </c>
      <c r="C10540" t="s">
        <v>253</v>
      </c>
      <c r="D10540" t="s">
        <v>382</v>
      </c>
      <c r="E10540" t="s">
        <v>490</v>
      </c>
      <c r="F10540">
        <f>HYPERLINK("https://www.wikidata.org/wiki/Q3112392", "Q3112392")</f>
        <v>0</v>
      </c>
      <c r="G10540" t="s">
        <v>4349</v>
      </c>
      <c r="H10540" t="s">
        <v>8499</v>
      </c>
      <c r="I10540" t="s">
        <v>6166</v>
      </c>
      <c r="J10540" t="s">
        <v>14841</v>
      </c>
      <c r="N10540">
        <f>HYPERLINK("https://www.wikidata.org/wiki/Q3085190", "Q3085190")</f>
        <v>0</v>
      </c>
      <c r="O10540" t="s">
        <v>20057</v>
      </c>
    </row>
    <row r="10541" spans="1:15">
      <c r="A10541" t="s">
        <v>121</v>
      </c>
      <c r="B10541" t="s">
        <v>149</v>
      </c>
      <c r="C10541" t="s">
        <v>253</v>
      </c>
      <c r="D10541" t="s">
        <v>382</v>
      </c>
      <c r="E10541" t="s">
        <v>490</v>
      </c>
      <c r="F10541">
        <f>HYPERLINK("https://www.wikidata.org/wiki/Q3112392", "Q3112392")</f>
        <v>0</v>
      </c>
      <c r="G10541" t="s">
        <v>4307</v>
      </c>
      <c r="H10541" t="s">
        <v>8463</v>
      </c>
      <c r="I10541" t="s">
        <v>9449</v>
      </c>
      <c r="J10541" t="s">
        <v>14805</v>
      </c>
      <c r="K10541" t="s">
        <v>18160</v>
      </c>
      <c r="N10541">
        <f>HYPERLINK("https://www.wikidata.org/wiki/Q2385765", "Q2385765")</f>
        <v>0</v>
      </c>
      <c r="O10541" t="s">
        <v>20185</v>
      </c>
    </row>
    <row r="10542" spans="1:15">
      <c r="A10542" t="s">
        <v>122</v>
      </c>
      <c r="B10542" t="s">
        <v>149</v>
      </c>
      <c r="C10542" t="s">
        <v>254</v>
      </c>
      <c r="D10542" t="s">
        <v>383</v>
      </c>
      <c r="E10542" t="s">
        <v>491</v>
      </c>
      <c r="F10542">
        <f>HYPERLINK("https://www.wikidata.org/wiki/Q3086877", "Q3086877")</f>
        <v>0</v>
      </c>
      <c r="G10542" t="s">
        <v>3373</v>
      </c>
      <c r="H10542" t="s">
        <v>7083</v>
      </c>
      <c r="I10542" t="s">
        <v>5528</v>
      </c>
      <c r="J10542" t="s">
        <v>13985</v>
      </c>
      <c r="K10542" t="s">
        <v>18353</v>
      </c>
      <c r="L10542">
        <f>HYPERLINK("https://www2.assemblee-nationale.fr/sycomore/fiche/(num_dept)/1083", "1083")</f>
        <v>0</v>
      </c>
      <c r="M10542">
        <f>HYPERLINK("https://www.senat.fr/senateur-3eme-republique/bourgeois_leon0647r3.html", "bourgeois_leon0647r3")</f>
        <v>0</v>
      </c>
      <c r="N10542">
        <f>HYPERLINK("https://www.wikidata.org/wiki/Q217706", "Q217706")</f>
        <v>0</v>
      </c>
      <c r="O10542" t="s">
        <v>20113</v>
      </c>
    </row>
    <row r="10543" spans="1:15">
      <c r="A10543" t="s">
        <v>122</v>
      </c>
      <c r="B10543" t="s">
        <v>149</v>
      </c>
      <c r="C10543" t="s">
        <v>254</v>
      </c>
      <c r="D10543" t="s">
        <v>383</v>
      </c>
      <c r="E10543" t="s">
        <v>491</v>
      </c>
      <c r="F10543">
        <f>HYPERLINK("https://www.wikidata.org/wiki/Q3086877", "Q3086877")</f>
        <v>0</v>
      </c>
      <c r="G10543" t="s">
        <v>2542</v>
      </c>
      <c r="H10543" t="s">
        <v>5867</v>
      </c>
      <c r="I10543" t="s">
        <v>9442</v>
      </c>
      <c r="J10543" t="s">
        <v>13186</v>
      </c>
      <c r="K10543" t="s">
        <v>17591</v>
      </c>
      <c r="L10543">
        <f>HYPERLINK("https://www2.assemblee-nationale.fr/sycomore/fiche/(num_dept)/1942", "1942")</f>
        <v>0</v>
      </c>
      <c r="M10543">
        <f>HYPERLINK("https://www.senat.fr/senateur-3eme-republique/constans_ernest0107r3.html", "constans_ernest0107r3")</f>
        <v>0</v>
      </c>
      <c r="N10543">
        <f>HYPERLINK("https://www.wikidata.org/wiki/Q1934639", "Q1934639")</f>
        <v>0</v>
      </c>
      <c r="O10543" t="s">
        <v>20113</v>
      </c>
    </row>
    <row r="10544" spans="1:15">
      <c r="A10544" t="s">
        <v>122</v>
      </c>
      <c r="B10544" t="s">
        <v>149</v>
      </c>
      <c r="C10544" t="s">
        <v>254</v>
      </c>
      <c r="D10544" t="s">
        <v>383</v>
      </c>
      <c r="E10544" t="s">
        <v>491</v>
      </c>
      <c r="F10544">
        <f>HYPERLINK("https://www.wikidata.org/wiki/Q3086877", "Q3086877")</f>
        <v>0</v>
      </c>
      <c r="G10544" t="s">
        <v>635</v>
      </c>
      <c r="H10544" t="s">
        <v>5394</v>
      </c>
      <c r="I10544" t="s">
        <v>9465</v>
      </c>
      <c r="J10544" t="s">
        <v>11385</v>
      </c>
      <c r="K10544" t="s">
        <v>15787</v>
      </c>
      <c r="L10544">
        <f>HYPERLINK("https://www2.assemblee-nationale.fr/sycomore/fiche/(num_dept)/2861", "2861")</f>
        <v>0</v>
      </c>
      <c r="M10544">
        <f>HYPERLINK("https://www.senat.fr/senateur-3eme-republique/etienne_eugene1824r3.html", "etienne_eugene1824r3")</f>
        <v>0</v>
      </c>
      <c r="N10544">
        <f>HYPERLINK("https://www.wikidata.org/wiki/Q2612305", "Q2612305")</f>
        <v>0</v>
      </c>
      <c r="O10544" t="s">
        <v>20184</v>
      </c>
    </row>
    <row r="10545" spans="1:15">
      <c r="A10545" t="s">
        <v>122</v>
      </c>
      <c r="B10545" t="s">
        <v>149</v>
      </c>
      <c r="C10545" t="s">
        <v>254</v>
      </c>
      <c r="D10545" t="s">
        <v>383</v>
      </c>
      <c r="E10545" t="s">
        <v>491</v>
      </c>
      <c r="F10545">
        <f>HYPERLINK("https://www.wikidata.org/wiki/Q3086877", "Q3086877")</f>
        <v>0</v>
      </c>
      <c r="G10545" t="s">
        <v>2570</v>
      </c>
      <c r="H10545" t="s">
        <v>6156</v>
      </c>
      <c r="I10545" t="s">
        <v>7790</v>
      </c>
      <c r="J10545" t="s">
        <v>13214</v>
      </c>
      <c r="K10545" t="s">
        <v>17617</v>
      </c>
      <c r="L10545">
        <f>HYPERLINK("https://www2.assemblee-nationale.fr/sycomore/fiche/(num_dept)/2901", "2901")</f>
        <v>0</v>
      </c>
      <c r="M10545">
        <f>HYPERLINK("https://www.senat.fr/senateur-3eme-republique/fallieres_armand0754r3.html", "fallieres_armand0754r3")</f>
        <v>0</v>
      </c>
      <c r="N10545">
        <f>HYPERLINK("https://www.wikidata.org/wiki/Q296673", "Q296673")</f>
        <v>0</v>
      </c>
      <c r="O10545" t="s">
        <v>20186</v>
      </c>
    </row>
    <row r="10546" spans="1:15">
      <c r="A10546" t="s">
        <v>122</v>
      </c>
      <c r="B10546" t="s">
        <v>149</v>
      </c>
      <c r="C10546" t="s">
        <v>254</v>
      </c>
      <c r="D10546" t="s">
        <v>383</v>
      </c>
      <c r="E10546" t="s">
        <v>491</v>
      </c>
      <c r="F10546">
        <f>HYPERLINK("https://www.wikidata.org/wiki/Q3086877", "Q3086877")</f>
        <v>0</v>
      </c>
      <c r="G10546" t="s">
        <v>2650</v>
      </c>
      <c r="H10546" t="s">
        <v>7191</v>
      </c>
      <c r="I10546" t="s">
        <v>7642</v>
      </c>
      <c r="J10546" t="s">
        <v>13292</v>
      </c>
      <c r="K10546" t="s">
        <v>17691</v>
      </c>
      <c r="L10546">
        <f>HYPERLINK("https://www2.assemblee-nationale.fr/sycomore/fiche/(num_dept)/6152", "6152")</f>
        <v>0</v>
      </c>
      <c r="M10546">
        <f>HYPERLINK("https://www.senat.fr/senateur-3eme-republique/rouvier_maurice0115r3.html", "rouvier_maurice0115r3")</f>
        <v>0</v>
      </c>
      <c r="N10546">
        <f>HYPERLINK("https://www.wikidata.org/wiki/Q471293", "Q471293")</f>
        <v>0</v>
      </c>
      <c r="O10546" t="s">
        <v>20066</v>
      </c>
    </row>
    <row r="10547" spans="1:15">
      <c r="A10547" t="s">
        <v>122</v>
      </c>
      <c r="B10547" t="s">
        <v>149</v>
      </c>
      <c r="C10547" t="s">
        <v>254</v>
      </c>
      <c r="D10547" t="s">
        <v>383</v>
      </c>
      <c r="E10547" t="s">
        <v>491</v>
      </c>
      <c r="F10547">
        <f>HYPERLINK("https://www.wikidata.org/wiki/Q3086877", "Q3086877")</f>
        <v>0</v>
      </c>
      <c r="G10547" t="s">
        <v>2681</v>
      </c>
      <c r="H10547" t="s">
        <v>7215</v>
      </c>
      <c r="I10547" t="s">
        <v>9465</v>
      </c>
      <c r="J10547" t="s">
        <v>13322</v>
      </c>
      <c r="K10547" t="s">
        <v>17722</v>
      </c>
      <c r="L10547">
        <f>HYPERLINK("https://www2.assemblee-nationale.fr/sycomore/fiche/(num_dept)/6901", "6901")</f>
        <v>0</v>
      </c>
      <c r="M10547">
        <f>HYPERLINK("https://www.senat.fr/senateur-3eme-republique/spuller_eugene0548r3.html", "spuller_eugene0548r3")</f>
        <v>0</v>
      </c>
      <c r="N10547">
        <f>HYPERLINK("https://www.wikidata.org/wiki/Q3060180", "Q3060180")</f>
        <v>0</v>
      </c>
      <c r="O10547" t="s">
        <v>20062</v>
      </c>
    </row>
    <row r="10548" spans="1:15">
      <c r="A10548" t="s">
        <v>122</v>
      </c>
      <c r="B10548" t="s">
        <v>149</v>
      </c>
      <c r="C10548" t="s">
        <v>254</v>
      </c>
      <c r="D10548" t="s">
        <v>383</v>
      </c>
      <c r="E10548" t="s">
        <v>491</v>
      </c>
      <c r="F10548">
        <f>HYPERLINK("https://www.wikidata.org/wiki/Q3086877", "Q3086877")</f>
        <v>0</v>
      </c>
      <c r="G10548" t="s">
        <v>3287</v>
      </c>
      <c r="H10548" t="s">
        <v>7699</v>
      </c>
      <c r="I10548" t="s">
        <v>6166</v>
      </c>
      <c r="J10548" t="s">
        <v>13901</v>
      </c>
      <c r="K10548" t="s">
        <v>18273</v>
      </c>
      <c r="L10548">
        <f>HYPERLINK("https://www2.assemblee-nationale.fr/sycomore/fiche/(num_dept)/7018", "7018")</f>
        <v>0</v>
      </c>
      <c r="M10548">
        <f>HYPERLINK("https://www.senat.fr/senateur-3eme-republique/thevenet_francois1147r3.html", "thevenet_francois1147r3")</f>
        <v>0</v>
      </c>
      <c r="N10548">
        <f>HYPERLINK("https://www.wikidata.org/wiki/Q3085914", "Q3085914")</f>
        <v>0</v>
      </c>
      <c r="O10548" t="s">
        <v>20064</v>
      </c>
    </row>
    <row r="10549" spans="1:15">
      <c r="A10549" t="s">
        <v>122</v>
      </c>
      <c r="B10549" t="s">
        <v>149</v>
      </c>
      <c r="C10549" t="s">
        <v>254</v>
      </c>
      <c r="D10549" t="s">
        <v>383</v>
      </c>
      <c r="E10549" t="s">
        <v>491</v>
      </c>
      <c r="F10549">
        <f>HYPERLINK("https://www.wikidata.org/wiki/Q3086877", "Q3086877")</f>
        <v>0</v>
      </c>
      <c r="G10549" t="s">
        <v>3314</v>
      </c>
      <c r="H10549" t="s">
        <v>7378</v>
      </c>
      <c r="I10549" t="s">
        <v>9843</v>
      </c>
      <c r="J10549" t="s">
        <v>13928</v>
      </c>
      <c r="K10549" t="s">
        <v>18298</v>
      </c>
      <c r="L10549">
        <f>HYPERLINK("https://www2.assemblee-nationale.fr/sycomore/fiche/(num_dept)/7958", "7958")</f>
        <v>0</v>
      </c>
      <c r="N10549">
        <f>HYPERLINK("https://www.wikidata.org/wiki/Q249982", "Q249982")</f>
        <v>0</v>
      </c>
      <c r="O10549" t="s">
        <v>20063</v>
      </c>
    </row>
    <row r="10550" spans="1:15">
      <c r="A10550" t="s">
        <v>122</v>
      </c>
      <c r="B10550" t="s">
        <v>149</v>
      </c>
      <c r="C10550" t="s">
        <v>254</v>
      </c>
      <c r="D10550" t="s">
        <v>383</v>
      </c>
      <c r="E10550" t="s">
        <v>491</v>
      </c>
      <c r="F10550">
        <f>HYPERLINK("https://www.wikidata.org/wiki/Q3086877", "Q3086877")</f>
        <v>0</v>
      </c>
      <c r="G10550" t="s">
        <v>2907</v>
      </c>
      <c r="H10550" t="s">
        <v>7389</v>
      </c>
      <c r="I10550" t="s">
        <v>6860</v>
      </c>
      <c r="J10550" t="s">
        <v>13542</v>
      </c>
      <c r="K10550" t="s">
        <v>17928</v>
      </c>
      <c r="L10550">
        <f>HYPERLINK("https://www2.assemblee-nationale.fr/sycomore/fiche/(num_dept)/8246", "8246")</f>
        <v>0</v>
      </c>
      <c r="M10550">
        <f>HYPERLINK("https://www.senat.fr/senateur-3eme-republique/tirard_pierre1538r3.html", "tirard_pierre1538r3")</f>
        <v>0</v>
      </c>
      <c r="N10550">
        <f>HYPERLINK("https://www.wikidata.org/wiki/Q708359", "Q708359")</f>
        <v>0</v>
      </c>
      <c r="O10550" t="s">
        <v>20135</v>
      </c>
    </row>
    <row r="10551" spans="1:15">
      <c r="A10551" t="s">
        <v>122</v>
      </c>
      <c r="B10551" t="s">
        <v>149</v>
      </c>
      <c r="C10551" t="s">
        <v>254</v>
      </c>
      <c r="D10551" t="s">
        <v>383</v>
      </c>
      <c r="E10551" t="s">
        <v>491</v>
      </c>
      <c r="F10551">
        <f>HYPERLINK("https://www.wikidata.org/wiki/Q3086877", "Q3086877")</f>
        <v>0</v>
      </c>
      <c r="G10551" t="s">
        <v>2907</v>
      </c>
      <c r="H10551" t="s">
        <v>7389</v>
      </c>
      <c r="I10551" t="s">
        <v>6860</v>
      </c>
      <c r="J10551" t="s">
        <v>13542</v>
      </c>
      <c r="K10551" t="s">
        <v>17928</v>
      </c>
      <c r="L10551">
        <f>HYPERLINK("https://www2.assemblee-nationale.fr/sycomore/fiche/(num_dept)/8246", "8246")</f>
        <v>0</v>
      </c>
      <c r="M10551">
        <f>HYPERLINK("https://www.senat.fr/senateur-3eme-republique/tirard_pierre1538r3.html", "tirard_pierre1538r3")</f>
        <v>0</v>
      </c>
      <c r="N10551">
        <f>HYPERLINK("https://www.wikidata.org/wiki/Q708359", "Q708359")</f>
        <v>0</v>
      </c>
      <c r="O10551" t="s">
        <v>20114</v>
      </c>
    </row>
    <row r="10552" spans="1:15">
      <c r="A10552" t="s">
        <v>122</v>
      </c>
      <c r="B10552" t="s">
        <v>149</v>
      </c>
      <c r="C10552" t="s">
        <v>254</v>
      </c>
      <c r="D10552" t="s">
        <v>383</v>
      </c>
      <c r="E10552" t="s">
        <v>491</v>
      </c>
      <c r="F10552">
        <f>HYPERLINK("https://www.wikidata.org/wiki/Q3086877", "Q3086877")</f>
        <v>0</v>
      </c>
      <c r="G10552" t="s">
        <v>4348</v>
      </c>
      <c r="H10552" t="s">
        <v>8498</v>
      </c>
      <c r="I10552" t="s">
        <v>10037</v>
      </c>
      <c r="J10552" t="s">
        <v>14840</v>
      </c>
      <c r="K10552" t="s">
        <v>19182</v>
      </c>
      <c r="M10552">
        <f>HYPERLINK("https://www.senat.fr/senateur-3eme-republique/faye_etienne0733r3.html", "faye_etienne0733r3")</f>
        <v>0</v>
      </c>
      <c r="N10552">
        <f>HYPERLINK("https://www.wikidata.org/wiki/Q3271801", "Q3271801")</f>
        <v>0</v>
      </c>
      <c r="O10552" t="s">
        <v>20056</v>
      </c>
    </row>
    <row r="10553" spans="1:15">
      <c r="A10553" t="s">
        <v>122</v>
      </c>
      <c r="B10553" t="s">
        <v>149</v>
      </c>
      <c r="C10553" t="s">
        <v>254</v>
      </c>
      <c r="D10553" t="s">
        <v>383</v>
      </c>
      <c r="E10553" t="s">
        <v>491</v>
      </c>
      <c r="F10553">
        <f>HYPERLINK("https://www.wikidata.org/wiki/Q3086877", "Q3086877")</f>
        <v>0</v>
      </c>
      <c r="G10553" t="s">
        <v>4245</v>
      </c>
      <c r="H10553" t="s">
        <v>8418</v>
      </c>
      <c r="I10553" t="s">
        <v>9385</v>
      </c>
      <c r="J10553" t="s">
        <v>14751</v>
      </c>
      <c r="K10553" t="s">
        <v>19097</v>
      </c>
      <c r="M10553">
        <f>HYPERLINK("https://www.senat.fr/senateur-3eme-republique/de_saulces_de_freycinet_louis1713r3.html", "de_saulces_de_freycinet_louis1713r3")</f>
        <v>0</v>
      </c>
      <c r="N10553">
        <f>HYPERLINK("https://www.wikidata.org/wiki/Q317957", "Q317957")</f>
        <v>0</v>
      </c>
      <c r="O10553" t="s">
        <v>20057</v>
      </c>
    </row>
    <row r="10554" spans="1:15">
      <c r="A10554" t="s">
        <v>122</v>
      </c>
      <c r="B10554" t="s">
        <v>149</v>
      </c>
      <c r="C10554" t="s">
        <v>254</v>
      </c>
      <c r="D10554" t="s">
        <v>383</v>
      </c>
      <c r="E10554" t="s">
        <v>491</v>
      </c>
      <c r="F10554">
        <f>HYPERLINK("https://www.wikidata.org/wiki/Q3086877", "Q3086877")</f>
        <v>0</v>
      </c>
      <c r="G10554" t="s">
        <v>4292</v>
      </c>
      <c r="H10554" t="s">
        <v>8451</v>
      </c>
      <c r="I10554" t="s">
        <v>9728</v>
      </c>
      <c r="J10554" t="s">
        <v>14791</v>
      </c>
      <c r="K10554" t="s">
        <v>19135</v>
      </c>
      <c r="M10554">
        <f>HYPERLINK("https://www.senat.fr/senateur-3eme-republique/barbey_edouard1693r3.html", "barbey_edouard1693r3")</f>
        <v>0</v>
      </c>
      <c r="N10554">
        <f>HYPERLINK("https://www.wikidata.org/wiki/Q1857743", "Q1857743")</f>
        <v>0</v>
      </c>
      <c r="O10554" t="s">
        <v>20053</v>
      </c>
    </row>
    <row r="10555" spans="1:15">
      <c r="A10555" t="s">
        <v>122</v>
      </c>
      <c r="B10555" t="s">
        <v>149</v>
      </c>
      <c r="C10555" t="s">
        <v>254</v>
      </c>
      <c r="D10555" t="s">
        <v>383</v>
      </c>
      <c r="E10555" t="s">
        <v>491</v>
      </c>
      <c r="F10555">
        <f>HYPERLINK("https://www.wikidata.org/wiki/Q3086877", "Q3086877")</f>
        <v>0</v>
      </c>
      <c r="G10555" t="s">
        <v>4307</v>
      </c>
      <c r="H10555" t="s">
        <v>8463</v>
      </c>
      <c r="I10555" t="s">
        <v>9449</v>
      </c>
      <c r="J10555" t="s">
        <v>14805</v>
      </c>
      <c r="K10555" t="s">
        <v>18160</v>
      </c>
      <c r="N10555">
        <f>HYPERLINK("https://www.wikidata.org/wiki/Q2385765", "Q2385765")</f>
        <v>0</v>
      </c>
      <c r="O10555" t="s">
        <v>20053</v>
      </c>
    </row>
    <row r="10556" spans="1:15">
      <c r="A10556" t="s">
        <v>122</v>
      </c>
      <c r="B10556" t="s">
        <v>149</v>
      </c>
      <c r="C10556" t="s">
        <v>254</v>
      </c>
      <c r="D10556" t="s">
        <v>383</v>
      </c>
      <c r="E10556" t="s">
        <v>491</v>
      </c>
      <c r="F10556">
        <f>HYPERLINK("https://www.wikidata.org/wiki/Q3086877", "Q3086877")</f>
        <v>0</v>
      </c>
      <c r="G10556" t="s">
        <v>4350</v>
      </c>
      <c r="H10556" t="s">
        <v>5448</v>
      </c>
      <c r="I10556" t="s">
        <v>11183</v>
      </c>
      <c r="J10556" t="s">
        <v>14842</v>
      </c>
      <c r="K10556" t="s">
        <v>19183</v>
      </c>
      <c r="M10556">
        <f>HYPERLINK("https://www.senat.fr/senateur-3eme-republique/jaures_benjamin1487r3.html", "jaures_benjamin1487r3")</f>
        <v>0</v>
      </c>
      <c r="N10556">
        <f>HYPERLINK("https://www.wikidata.org/wiki/Q635996", "Q635996")</f>
        <v>0</v>
      </c>
      <c r="O10556" t="s">
        <v>20185</v>
      </c>
    </row>
    <row r="10557" spans="1:15">
      <c r="A10557" t="s">
        <v>123</v>
      </c>
      <c r="B10557" t="s">
        <v>149</v>
      </c>
      <c r="C10557" t="s">
        <v>255</v>
      </c>
      <c r="D10557" t="s">
        <v>384</v>
      </c>
      <c r="E10557" t="s">
        <v>385</v>
      </c>
      <c r="F10557">
        <f>HYPERLINK("https://www.wikidata.org/wiki/Q3112418", "Q3112418")</f>
        <v>0</v>
      </c>
      <c r="G10557" t="s">
        <v>495</v>
      </c>
      <c r="H10557" t="s">
        <v>5260</v>
      </c>
      <c r="I10557" t="s">
        <v>7642</v>
      </c>
      <c r="J10557" t="s">
        <v>11247</v>
      </c>
      <c r="K10557" t="s">
        <v>15647</v>
      </c>
      <c r="L10557">
        <f>HYPERLINK("https://www2.assemblee-nationale.fr/sycomore/fiche/(num_dept)/61", "61")</f>
        <v>0</v>
      </c>
      <c r="M10557">
        <f>HYPERLINK("https://www.senat.fr/senateur-3eme-republique/ajam_pierre1240r3.html", "ajam_pierre1240r3")</f>
        <v>0</v>
      </c>
      <c r="N10557">
        <f>HYPERLINK("https://www.wikidata.org/wiki/Q3383653", "Q3383653")</f>
        <v>0</v>
      </c>
      <c r="O10557" t="s">
        <v>20060</v>
      </c>
    </row>
    <row r="10558" spans="1:15">
      <c r="A10558" t="s">
        <v>123</v>
      </c>
      <c r="B10558" t="s">
        <v>149</v>
      </c>
      <c r="C10558" t="s">
        <v>255</v>
      </c>
      <c r="D10558" t="s">
        <v>384</v>
      </c>
      <c r="E10558" t="s">
        <v>385</v>
      </c>
      <c r="F10558">
        <f>HYPERLINK("https://www.wikidata.org/wiki/Q3112418", "Q3112418")</f>
        <v>0</v>
      </c>
      <c r="G10558" t="s">
        <v>504</v>
      </c>
      <c r="H10558" t="s">
        <v>5269</v>
      </c>
      <c r="I10558" t="s">
        <v>9374</v>
      </c>
      <c r="J10558" t="s">
        <v>11256</v>
      </c>
      <c r="K10558" t="s">
        <v>15656</v>
      </c>
      <c r="L10558">
        <f>HYPERLINK("https://www2.assemblee-nationale.fr/sycomore/fiche/(num_dept)/261", "261")</f>
        <v>0</v>
      </c>
      <c r="N10558">
        <f>HYPERLINK("https://www.wikidata.org/wiki/Q653621", "Q653621")</f>
        <v>0</v>
      </c>
      <c r="O10558" t="s">
        <v>20051</v>
      </c>
    </row>
    <row r="10559" spans="1:15">
      <c r="A10559" t="s">
        <v>123</v>
      </c>
      <c r="B10559" t="s">
        <v>149</v>
      </c>
      <c r="C10559" t="s">
        <v>255</v>
      </c>
      <c r="D10559" t="s">
        <v>384</v>
      </c>
      <c r="E10559" t="s">
        <v>385</v>
      </c>
      <c r="F10559">
        <f>HYPERLINK("https://www.wikidata.org/wiki/Q3112418", "Q3112418")</f>
        <v>0</v>
      </c>
      <c r="G10559" t="s">
        <v>504</v>
      </c>
      <c r="H10559" t="s">
        <v>5269</v>
      </c>
      <c r="I10559" t="s">
        <v>9374</v>
      </c>
      <c r="J10559" t="s">
        <v>11256</v>
      </c>
      <c r="K10559" t="s">
        <v>15656</v>
      </c>
      <c r="L10559">
        <f>HYPERLINK("https://www2.assemblee-nationale.fr/sycomore/fiche/(num_dept)/261", "261")</f>
        <v>0</v>
      </c>
      <c r="N10559">
        <f>HYPERLINK("https://www.wikidata.org/wiki/Q653621", "Q653621")</f>
        <v>0</v>
      </c>
      <c r="O10559" t="s">
        <v>20051</v>
      </c>
    </row>
    <row r="10560" spans="1:15">
      <c r="A10560" t="s">
        <v>123</v>
      </c>
      <c r="B10560" t="s">
        <v>149</v>
      </c>
      <c r="C10560" t="s">
        <v>255</v>
      </c>
      <c r="D10560" t="s">
        <v>384</v>
      </c>
      <c r="E10560" t="s">
        <v>385</v>
      </c>
      <c r="F10560">
        <f>HYPERLINK("https://www.wikidata.org/wiki/Q3112418", "Q3112418")</f>
        <v>0</v>
      </c>
      <c r="G10560" t="s">
        <v>3872</v>
      </c>
      <c r="H10560" t="s">
        <v>8140</v>
      </c>
      <c r="I10560" t="s">
        <v>6200</v>
      </c>
      <c r="J10560" t="s">
        <v>14431</v>
      </c>
      <c r="K10560" t="s">
        <v>18783</v>
      </c>
      <c r="L10560">
        <f>HYPERLINK("https://www2.assemblee-nationale.fr/sycomore/fiche/(num_dept)/790", "790")</f>
        <v>0</v>
      </c>
      <c r="M10560">
        <f>HYPERLINK("https://www.senat.fr/senateur-3eme-republique/bienvenu_martin_jean_baptiste1840r3.html", "bienvenu_martin_jean_baptiste1840r3")</f>
        <v>0</v>
      </c>
      <c r="N10560">
        <f>HYPERLINK("https://www.wikidata.org/wiki/Q325552", "Q325552")</f>
        <v>0</v>
      </c>
      <c r="O10560" t="s">
        <v>20064</v>
      </c>
    </row>
    <row r="10561" spans="1:15">
      <c r="A10561" t="s">
        <v>123</v>
      </c>
      <c r="B10561" t="s">
        <v>149</v>
      </c>
      <c r="C10561" t="s">
        <v>255</v>
      </c>
      <c r="D10561" t="s">
        <v>384</v>
      </c>
      <c r="E10561" t="s">
        <v>385</v>
      </c>
      <c r="F10561">
        <f>HYPERLINK("https://www.wikidata.org/wiki/Q3112418", "Q3112418")</f>
        <v>0</v>
      </c>
      <c r="G10561" t="s">
        <v>3873</v>
      </c>
      <c r="H10561" t="s">
        <v>8141</v>
      </c>
      <c r="I10561" t="s">
        <v>7642</v>
      </c>
      <c r="J10561" t="s">
        <v>12605</v>
      </c>
      <c r="K10561" t="s">
        <v>18784</v>
      </c>
      <c r="L10561">
        <f>HYPERLINK("https://www2.assemblee-nationale.fr/sycomore/fiche/(num_dept)/2057", "2057")</f>
        <v>0</v>
      </c>
      <c r="M10561">
        <f>HYPERLINK("https://www.senat.fr/senateur-3eme-republique/couyba_charles1178r3.html", "couyba_charles1178r3")</f>
        <v>0</v>
      </c>
      <c r="N10561">
        <f>HYPERLINK("https://www.wikidata.org/wiki/Q1750410", "Q1750410")</f>
        <v>0</v>
      </c>
      <c r="O10561" t="s">
        <v>20055</v>
      </c>
    </row>
    <row r="10562" spans="1:15">
      <c r="A10562" t="s">
        <v>123</v>
      </c>
      <c r="B10562" t="s">
        <v>149</v>
      </c>
      <c r="C10562" t="s">
        <v>255</v>
      </c>
      <c r="D10562" t="s">
        <v>384</v>
      </c>
      <c r="E10562" t="s">
        <v>385</v>
      </c>
      <c r="F10562">
        <f>HYPERLINK("https://www.wikidata.org/wiki/Q3112418", "Q3112418")</f>
        <v>0</v>
      </c>
      <c r="G10562" t="s">
        <v>597</v>
      </c>
      <c r="H10562" t="s">
        <v>5358</v>
      </c>
      <c r="I10562" t="s">
        <v>6584</v>
      </c>
      <c r="J10562" t="s">
        <v>11348</v>
      </c>
      <c r="K10562" t="s">
        <v>15749</v>
      </c>
      <c r="L10562">
        <f>HYPERLINK("https://www2.assemblee-nationale.fr/sycomore/fiche/(num_dept)/2110", "2110")</f>
        <v>0</v>
      </c>
      <c r="N10562">
        <f>HYPERLINK("https://www.wikidata.org/wiki/Q2831073", "Q2831073")</f>
        <v>0</v>
      </c>
      <c r="O10562" t="s">
        <v>20261</v>
      </c>
    </row>
    <row r="10563" spans="1:15">
      <c r="A10563" t="s">
        <v>123</v>
      </c>
      <c r="B10563" t="s">
        <v>149</v>
      </c>
      <c r="C10563" t="s">
        <v>255</v>
      </c>
      <c r="D10563" t="s">
        <v>384</v>
      </c>
      <c r="E10563" t="s">
        <v>385</v>
      </c>
      <c r="F10563">
        <f>HYPERLINK("https://www.wikidata.org/wiki/Q3112418", "Q3112418")</f>
        <v>0</v>
      </c>
      <c r="G10563" t="s">
        <v>600</v>
      </c>
      <c r="H10563" t="s">
        <v>5361</v>
      </c>
      <c r="I10563" t="s">
        <v>9446</v>
      </c>
      <c r="J10563" t="s">
        <v>11351</v>
      </c>
      <c r="K10563" t="s">
        <v>15752</v>
      </c>
      <c r="L10563">
        <f>HYPERLINK("https://www2.assemblee-nationale.fr/sycomore/fiche/(num_dept)/2171", "2171")</f>
        <v>0</v>
      </c>
      <c r="M10563">
        <f>HYPERLINK("https://www.senat.fr/senateur-3eme-republique/david_fernand1309r3.html", "david_fernand1309r3")</f>
        <v>0</v>
      </c>
      <c r="N10563">
        <f>HYPERLINK("https://www.wikidata.org/wiki/Q3069115", "Q3069115")</f>
        <v>0</v>
      </c>
      <c r="O10563" t="s">
        <v>20056</v>
      </c>
    </row>
    <row r="10564" spans="1:15">
      <c r="A10564" t="s">
        <v>123</v>
      </c>
      <c r="B10564" t="s">
        <v>149</v>
      </c>
      <c r="C10564" t="s">
        <v>255</v>
      </c>
      <c r="D10564" t="s">
        <v>384</v>
      </c>
      <c r="E10564" t="s">
        <v>385</v>
      </c>
      <c r="F10564">
        <f>HYPERLINK("https://www.wikidata.org/wiki/Q3112418", "Q3112418")</f>
        <v>0</v>
      </c>
      <c r="G10564" t="s">
        <v>3819</v>
      </c>
      <c r="H10564" t="s">
        <v>8103</v>
      </c>
      <c r="I10564" t="s">
        <v>9470</v>
      </c>
      <c r="J10564" t="s">
        <v>14385</v>
      </c>
      <c r="K10564" t="s">
        <v>18737</v>
      </c>
      <c r="L10564">
        <f>HYPERLINK("https://www2.assemblee-nationale.fr/sycomore/fiche/(num_dept)/2570", "2570")</f>
        <v>0</v>
      </c>
      <c r="M10564">
        <f>HYPERLINK("https://www.senat.fr/senateur-3eme-republique/doumergue_gaston0833r3.html", "doumergue_gaston0833r3")</f>
        <v>0</v>
      </c>
      <c r="N10564">
        <f>HYPERLINK("https://www.wikidata.org/wiki/Q296064", "Q296064")</f>
        <v>0</v>
      </c>
      <c r="O10564" t="s">
        <v>20062</v>
      </c>
    </row>
    <row r="10565" spans="1:15">
      <c r="A10565" t="s">
        <v>123</v>
      </c>
      <c r="B10565" t="s">
        <v>149</v>
      </c>
      <c r="C10565" t="s">
        <v>255</v>
      </c>
      <c r="D10565" t="s">
        <v>384</v>
      </c>
      <c r="E10565" t="s">
        <v>385</v>
      </c>
      <c r="F10565">
        <f>HYPERLINK("https://www.wikidata.org/wiki/Q3112418", "Q3112418")</f>
        <v>0</v>
      </c>
      <c r="G10565" t="s">
        <v>641</v>
      </c>
      <c r="H10565" t="s">
        <v>5400</v>
      </c>
      <c r="I10565" t="s">
        <v>8494</v>
      </c>
      <c r="J10565" t="s">
        <v>11391</v>
      </c>
      <c r="K10565" t="s">
        <v>15793</v>
      </c>
      <c r="L10565">
        <f>HYPERLINK("https://www2.assemblee-nationale.fr/sycomore/fiche/(num_dept)/2983", "2983")</f>
        <v>0</v>
      </c>
      <c r="N10565">
        <f>HYPERLINK("https://www.wikidata.org/wiki/Q2821507", "Q2821507")</f>
        <v>0</v>
      </c>
      <c r="O10565" t="s">
        <v>20393</v>
      </c>
    </row>
    <row r="10566" spans="1:15">
      <c r="A10566" t="s">
        <v>123</v>
      </c>
      <c r="B10566" t="s">
        <v>149</v>
      </c>
      <c r="C10566" t="s">
        <v>255</v>
      </c>
      <c r="D10566" t="s">
        <v>384</v>
      </c>
      <c r="E10566" t="s">
        <v>385</v>
      </c>
      <c r="F10566">
        <f>HYPERLINK("https://www.wikidata.org/wiki/Q3112418", "Q3112418")</f>
        <v>0</v>
      </c>
      <c r="G10566" t="s">
        <v>689</v>
      </c>
      <c r="H10566" t="s">
        <v>5447</v>
      </c>
      <c r="I10566" t="s">
        <v>9388</v>
      </c>
      <c r="J10566" t="s">
        <v>11439</v>
      </c>
      <c r="K10566" t="s">
        <v>15840</v>
      </c>
      <c r="L10566">
        <f>HYPERLINK("https://www2.assemblee-nationale.fr/sycomore/fiche/(num_dept)/3970", "3970")</f>
        <v>0</v>
      </c>
      <c r="M10566">
        <f>HYPERLINK("https://www.senat.fr/senateur-3eme-republique/jacquier_paul1310r3.html", "jacquier_paul1310r3")</f>
        <v>0</v>
      </c>
      <c r="N10566">
        <f>HYPERLINK("https://www.wikidata.org/wiki/Q3371508", "Q3371508")</f>
        <v>0</v>
      </c>
      <c r="O10566" t="s">
        <v>20068</v>
      </c>
    </row>
    <row r="10567" spans="1:15">
      <c r="A10567" t="s">
        <v>123</v>
      </c>
      <c r="B10567" t="s">
        <v>149</v>
      </c>
      <c r="C10567" t="s">
        <v>255</v>
      </c>
      <c r="D10567" t="s">
        <v>384</v>
      </c>
      <c r="E10567" t="s">
        <v>385</v>
      </c>
      <c r="F10567">
        <f>HYPERLINK("https://www.wikidata.org/wiki/Q3112418", "Q3112418")</f>
        <v>0</v>
      </c>
      <c r="G10567" t="s">
        <v>721</v>
      </c>
      <c r="H10567" t="s">
        <v>5479</v>
      </c>
      <c r="I10567" t="s">
        <v>6495</v>
      </c>
      <c r="J10567" t="s">
        <v>11470</v>
      </c>
      <c r="K10567" t="s">
        <v>15872</v>
      </c>
      <c r="L10567">
        <f>HYPERLINK("https://www2.assemblee-nationale.fr/sycomore/fiche/(num_dept)/4940", "4940")</f>
        <v>0</v>
      </c>
      <c r="N10567">
        <f>HYPERLINK("https://www.wikidata.org/wiki/Q3262600", "Q3262600")</f>
        <v>0</v>
      </c>
      <c r="O10567" t="s">
        <v>20058</v>
      </c>
    </row>
    <row r="10568" spans="1:15">
      <c r="A10568" t="s">
        <v>123</v>
      </c>
      <c r="B10568" t="s">
        <v>149</v>
      </c>
      <c r="C10568" t="s">
        <v>255</v>
      </c>
      <c r="D10568" t="s">
        <v>384</v>
      </c>
      <c r="E10568" t="s">
        <v>385</v>
      </c>
      <c r="F10568">
        <f>HYPERLINK("https://www.wikidata.org/wiki/Q3112418", "Q3112418")</f>
        <v>0</v>
      </c>
      <c r="G10568" t="s">
        <v>1003</v>
      </c>
      <c r="H10568" t="s">
        <v>5754</v>
      </c>
      <c r="I10568" t="s">
        <v>9534</v>
      </c>
      <c r="J10568" t="s">
        <v>11740</v>
      </c>
      <c r="K10568" t="s">
        <v>16144</v>
      </c>
      <c r="L10568">
        <f>HYPERLINK("https://www2.assemblee-nationale.fr/sycomore/fiche/(num_dept)/5219", "5219")</f>
        <v>0</v>
      </c>
      <c r="M10568">
        <f>HYPERLINK("https://www.senat.fr/senateur-3eme-republique/messimy_adolphe0021r3.html", "messimy_adolphe0021r3")</f>
        <v>0</v>
      </c>
      <c r="N10568">
        <f>HYPERLINK("https://www.wikidata.org/wiki/Q365771", "Q365771")</f>
        <v>0</v>
      </c>
      <c r="O10568" t="s">
        <v>20057</v>
      </c>
    </row>
    <row r="10569" spans="1:15">
      <c r="A10569" t="s">
        <v>123</v>
      </c>
      <c r="B10569" t="s">
        <v>149</v>
      </c>
      <c r="C10569" t="s">
        <v>255</v>
      </c>
      <c r="D10569" t="s">
        <v>384</v>
      </c>
      <c r="E10569" t="s">
        <v>385</v>
      </c>
      <c r="F10569">
        <f>HYPERLINK("https://www.wikidata.org/wiki/Q3112418", "Q3112418")</f>
        <v>0</v>
      </c>
      <c r="G10569" t="s">
        <v>748</v>
      </c>
      <c r="H10569" t="s">
        <v>5506</v>
      </c>
      <c r="I10569" t="s">
        <v>9407</v>
      </c>
      <c r="J10569" t="s">
        <v>11330</v>
      </c>
      <c r="K10569" t="s">
        <v>15899</v>
      </c>
      <c r="L10569">
        <f>HYPERLINK("https://www2.assemblee-nationale.fr/sycomore/fiche/(num_dept)/5583", "5583")</f>
        <v>0</v>
      </c>
      <c r="M10569">
        <f>HYPERLINK("https://www.senat.fr/senateur-3eme-republique/noulens_jean_baptiste0149r3.html", "noulens_jean_baptiste0149r3")</f>
        <v>0</v>
      </c>
      <c r="N10569">
        <f>HYPERLINK("https://www.wikidata.org/wiki/Q3185419", "Q3185419")</f>
        <v>0</v>
      </c>
      <c r="O10569" t="s">
        <v>20066</v>
      </c>
    </row>
    <row r="10570" spans="1:15">
      <c r="A10570" t="s">
        <v>123</v>
      </c>
      <c r="B10570" t="s">
        <v>149</v>
      </c>
      <c r="C10570" t="s">
        <v>255</v>
      </c>
      <c r="D10570" t="s">
        <v>384</v>
      </c>
      <c r="E10570" t="s">
        <v>385</v>
      </c>
      <c r="F10570">
        <f>HYPERLINK("https://www.wikidata.org/wiki/Q3112418", "Q3112418")</f>
        <v>0</v>
      </c>
      <c r="G10570" t="s">
        <v>778</v>
      </c>
      <c r="H10570" t="s">
        <v>5536</v>
      </c>
      <c r="I10570" t="s">
        <v>6584</v>
      </c>
      <c r="J10570" t="s">
        <v>11525</v>
      </c>
      <c r="K10570" t="s">
        <v>15929</v>
      </c>
      <c r="L10570">
        <f>HYPERLINK("https://www2.assemblee-nationale.fr/sycomore/fiche/(num_dept)/6293", "6293")</f>
        <v>0</v>
      </c>
      <c r="M10570">
        <f>HYPERLINK("https://www.senat.fr/senateur-3eme-republique/sarraut_albert0265r3.html", "sarraut_albert0265r3")</f>
        <v>0</v>
      </c>
      <c r="N10570">
        <f>HYPERLINK("https://www.wikidata.org/wiki/Q460318", "Q460318")</f>
        <v>0</v>
      </c>
      <c r="O10570" t="s">
        <v>20051</v>
      </c>
    </row>
    <row r="10571" spans="1:15">
      <c r="A10571" t="s">
        <v>123</v>
      </c>
      <c r="B10571" t="s">
        <v>149</v>
      </c>
      <c r="C10571" t="s">
        <v>255</v>
      </c>
      <c r="D10571" t="s">
        <v>384</v>
      </c>
      <c r="E10571" t="s">
        <v>385</v>
      </c>
      <c r="F10571">
        <f>HYPERLINK("https://www.wikidata.org/wiki/Q3112418", "Q3112418")</f>
        <v>0</v>
      </c>
      <c r="G10571" t="s">
        <v>804</v>
      </c>
      <c r="H10571" t="s">
        <v>5561</v>
      </c>
      <c r="I10571" t="s">
        <v>9476</v>
      </c>
      <c r="J10571" t="s">
        <v>11551</v>
      </c>
      <c r="K10571" t="s">
        <v>15955</v>
      </c>
      <c r="L10571">
        <f>HYPERLINK("https://www2.assemblee-nationale.fr/sycomore/fiche/(num_dept)/6684", "6684")</f>
        <v>0</v>
      </c>
      <c r="M10571">
        <f>HYPERLINK("https://www.senat.fr/senateur-3eme-republique/renoult_rene1734r3.html", "renoult_rene1734r3")</f>
        <v>0</v>
      </c>
      <c r="N10571">
        <f>HYPERLINK("https://www.wikidata.org/wiki/Q3426810", "Q3426810")</f>
        <v>0</v>
      </c>
      <c r="O10571" t="s">
        <v>20063</v>
      </c>
    </row>
    <row r="10572" spans="1:15">
      <c r="A10572" t="s">
        <v>123</v>
      </c>
      <c r="B10572" t="s">
        <v>149</v>
      </c>
      <c r="C10572" t="s">
        <v>255</v>
      </c>
      <c r="D10572" t="s">
        <v>384</v>
      </c>
      <c r="E10572" t="s">
        <v>385</v>
      </c>
      <c r="F10572">
        <f>HYPERLINK("https://www.wikidata.org/wiki/Q3112418", "Q3112418")</f>
        <v>0</v>
      </c>
      <c r="G10572" t="s">
        <v>818</v>
      </c>
      <c r="H10572" t="s">
        <v>5575</v>
      </c>
      <c r="I10572" t="s">
        <v>9470</v>
      </c>
      <c r="J10572" t="s">
        <v>11565</v>
      </c>
      <c r="K10572" t="s">
        <v>15969</v>
      </c>
      <c r="L10572">
        <f>HYPERLINK("https://www2.assemblee-nationale.fr/sycomore/fiche/(num_dept)/7055", "7055")</f>
        <v>0</v>
      </c>
      <c r="N10572">
        <f>HYPERLINK("https://www.wikidata.org/wiki/Q2246519", "Q2246519")</f>
        <v>0</v>
      </c>
      <c r="O10572" t="s">
        <v>20059</v>
      </c>
    </row>
    <row r="10573" spans="1:15">
      <c r="A10573" t="s">
        <v>123</v>
      </c>
      <c r="B10573" t="s">
        <v>149</v>
      </c>
      <c r="C10573" t="s">
        <v>255</v>
      </c>
      <c r="D10573" t="s">
        <v>384</v>
      </c>
      <c r="E10573" t="s">
        <v>385</v>
      </c>
      <c r="F10573">
        <f>HYPERLINK("https://www.wikidata.org/wiki/Q3112418", "Q3112418")</f>
        <v>0</v>
      </c>
      <c r="G10573" t="s">
        <v>827</v>
      </c>
      <c r="H10573" t="s">
        <v>5584</v>
      </c>
      <c r="I10573" t="s">
        <v>9476</v>
      </c>
      <c r="J10573" t="s">
        <v>11574</v>
      </c>
      <c r="K10573" t="s">
        <v>15976</v>
      </c>
      <c r="L10573">
        <f>HYPERLINK("https://www2.assemblee-nationale.fr/sycomore/fiche/(num_dept)/7368", "7368")</f>
        <v>0</v>
      </c>
      <c r="M10573">
        <f>HYPERLINK("https://www.senat.fr/senateur-3eme-republique/viviani_rene0627r3.html", "viviani_rene0627r3")</f>
        <v>0</v>
      </c>
      <c r="N10573">
        <f>HYPERLINK("https://www.wikidata.org/wiki/Q431074", "Q431074")</f>
        <v>0</v>
      </c>
      <c r="O10573" t="s">
        <v>20062</v>
      </c>
    </row>
    <row r="10574" spans="1:15">
      <c r="A10574" t="s">
        <v>123</v>
      </c>
      <c r="B10574" t="s">
        <v>149</v>
      </c>
      <c r="C10574" t="s">
        <v>255</v>
      </c>
      <c r="D10574" t="s">
        <v>384</v>
      </c>
      <c r="E10574" t="s">
        <v>385</v>
      </c>
      <c r="F10574">
        <f>HYPERLINK("https://www.wikidata.org/wiki/Q3112418", "Q3112418")</f>
        <v>0</v>
      </c>
      <c r="G10574" t="s">
        <v>827</v>
      </c>
      <c r="H10574" t="s">
        <v>5584</v>
      </c>
      <c r="I10574" t="s">
        <v>9476</v>
      </c>
      <c r="J10574" t="s">
        <v>11574</v>
      </c>
      <c r="K10574" t="s">
        <v>15976</v>
      </c>
      <c r="L10574">
        <f>HYPERLINK("https://www2.assemblee-nationale.fr/sycomore/fiche/(num_dept)/7368", "7368")</f>
        <v>0</v>
      </c>
      <c r="M10574">
        <f>HYPERLINK("https://www.senat.fr/senateur-3eme-republique/viviani_rene0627r3.html", "viviani_rene0627r3")</f>
        <v>0</v>
      </c>
      <c r="N10574">
        <f>HYPERLINK("https://www.wikidata.org/wiki/Q431074", "Q431074")</f>
        <v>0</v>
      </c>
      <c r="O10574" t="s">
        <v>20052</v>
      </c>
    </row>
    <row r="10575" spans="1:15">
      <c r="A10575" t="s">
        <v>123</v>
      </c>
      <c r="B10575" t="s">
        <v>149</v>
      </c>
      <c r="C10575" t="s">
        <v>255</v>
      </c>
      <c r="D10575" t="s">
        <v>384</v>
      </c>
      <c r="E10575" t="s">
        <v>385</v>
      </c>
      <c r="F10575">
        <f>HYPERLINK("https://www.wikidata.org/wiki/Q3112418", "Q3112418")</f>
        <v>0</v>
      </c>
      <c r="G10575" t="s">
        <v>834</v>
      </c>
      <c r="H10575" t="s">
        <v>5591</v>
      </c>
      <c r="I10575" t="s">
        <v>9544</v>
      </c>
      <c r="J10575" t="s">
        <v>11581</v>
      </c>
      <c r="K10575" t="s">
        <v>15983</v>
      </c>
      <c r="L10575">
        <f>HYPERLINK("https://www2.assemblee-nationale.fr/sycomore/fiche/(num_dept)/7493", "7493")</f>
        <v>0</v>
      </c>
      <c r="M10575">
        <f>HYPERLINK("https://www.senat.fr/senateur-3eme-republique/lauraine_jean_octave0422r3.html", "lauraine_jean_octave0422r3")</f>
        <v>0</v>
      </c>
      <c r="N10575">
        <f>HYPERLINK("https://www.wikidata.org/wiki/Q3168275", "Q3168275")</f>
        <v>0</v>
      </c>
      <c r="O10575" t="s">
        <v>20130</v>
      </c>
    </row>
    <row r="10576" spans="1:15">
      <c r="A10576" t="s">
        <v>123</v>
      </c>
      <c r="B10576" t="s">
        <v>149</v>
      </c>
      <c r="C10576" t="s">
        <v>255</v>
      </c>
      <c r="D10576" t="s">
        <v>384</v>
      </c>
      <c r="E10576" t="s">
        <v>385</v>
      </c>
      <c r="F10576">
        <f>HYPERLINK("https://www.wikidata.org/wiki/Q3112418", "Q3112418")</f>
        <v>0</v>
      </c>
      <c r="G10576" t="s">
        <v>4293</v>
      </c>
      <c r="H10576" t="s">
        <v>8452</v>
      </c>
      <c r="I10576" t="s">
        <v>7790</v>
      </c>
      <c r="J10576" t="s">
        <v>14792</v>
      </c>
      <c r="K10576" t="s">
        <v>19136</v>
      </c>
      <c r="M10576">
        <f>HYPERLINK("https://www.senat.fr/senateur-3eme-republique/gauthier_armand0264r3.html", "gauthier_armand0264r3")</f>
        <v>0</v>
      </c>
      <c r="N10576">
        <f>HYPERLINK("https://www.wikidata.org/wiki/Q2861852", "Q2861852")</f>
        <v>0</v>
      </c>
      <c r="O10576" t="s">
        <v>20053</v>
      </c>
    </row>
    <row r="10577" spans="1:15">
      <c r="A10577" t="s">
        <v>123</v>
      </c>
      <c r="B10577" t="s">
        <v>149</v>
      </c>
      <c r="C10577" t="s">
        <v>255</v>
      </c>
      <c r="D10577" t="s">
        <v>384</v>
      </c>
      <c r="E10577" t="s">
        <v>385</v>
      </c>
      <c r="F10577">
        <f>HYPERLINK("https://www.wikidata.org/wiki/Q3112418", "Q3112418")</f>
        <v>0</v>
      </c>
      <c r="G10577" t="s">
        <v>800</v>
      </c>
      <c r="H10577" t="s">
        <v>5557</v>
      </c>
      <c r="I10577" t="s">
        <v>7642</v>
      </c>
      <c r="J10577" t="s">
        <v>11547</v>
      </c>
      <c r="K10577" t="s">
        <v>15951</v>
      </c>
      <c r="N10577">
        <f>HYPERLINK("https://www.wikidata.org/wiki/Q2406228", "Q2406228")</f>
        <v>0</v>
      </c>
      <c r="O10577" t="s">
        <v>20065</v>
      </c>
    </row>
    <row r="10578" spans="1:15">
      <c r="A10578" t="s">
        <v>124</v>
      </c>
      <c r="B10578" t="s">
        <v>149</v>
      </c>
      <c r="C10578" t="s">
        <v>256</v>
      </c>
      <c r="D10578" t="s">
        <v>385</v>
      </c>
      <c r="E10578" t="s">
        <v>492</v>
      </c>
      <c r="F10578">
        <f>HYPERLINK("https://www.wikidata.org/wiki/Q1720449", "Q1720449")</f>
        <v>0</v>
      </c>
      <c r="G10578" t="s">
        <v>504</v>
      </c>
      <c r="H10578" t="s">
        <v>5269</v>
      </c>
      <c r="I10578" t="s">
        <v>9374</v>
      </c>
      <c r="J10578" t="s">
        <v>11256</v>
      </c>
      <c r="K10578" t="s">
        <v>15656</v>
      </c>
      <c r="L10578">
        <f>HYPERLINK("https://www2.assemblee-nationale.fr/sycomore/fiche/(num_dept)/261", "261")</f>
        <v>0</v>
      </c>
      <c r="N10578">
        <f>HYPERLINK("https://www.wikidata.org/wiki/Q653621", "Q653621")</f>
        <v>0</v>
      </c>
      <c r="O10578" t="s">
        <v>20053</v>
      </c>
    </row>
    <row r="10579" spans="1:15">
      <c r="A10579" t="s">
        <v>124</v>
      </c>
      <c r="B10579" t="s">
        <v>149</v>
      </c>
      <c r="C10579" t="s">
        <v>256</v>
      </c>
      <c r="D10579" t="s">
        <v>385</v>
      </c>
      <c r="E10579" t="s">
        <v>492</v>
      </c>
      <c r="F10579">
        <f>HYPERLINK("https://www.wikidata.org/wiki/Q1720449", "Q1720449")</f>
        <v>0</v>
      </c>
      <c r="G10579" t="s">
        <v>875</v>
      </c>
      <c r="H10579" t="s">
        <v>5631</v>
      </c>
      <c r="I10579" t="s">
        <v>9476</v>
      </c>
      <c r="J10579" t="s">
        <v>11621</v>
      </c>
      <c r="K10579" t="s">
        <v>16023</v>
      </c>
      <c r="L10579">
        <f>HYPERLINK("https://www2.assemblee-nationale.fr/sycomore/fiche/(num_dept)/749", "749")</f>
        <v>0</v>
      </c>
      <c r="M10579">
        <f>HYPERLINK("https://www.senat.fr/senateur-3eme-republique/besnard_rene0300r3.html", "besnard_rene0300r3")</f>
        <v>0</v>
      </c>
      <c r="N10579">
        <f>HYPERLINK("https://www.wikidata.org/wiki/Q3425839", "Q3425839")</f>
        <v>0</v>
      </c>
      <c r="O10579" t="s">
        <v>20394</v>
      </c>
    </row>
    <row r="10580" spans="1:15">
      <c r="A10580" t="s">
        <v>124</v>
      </c>
      <c r="B10580" t="s">
        <v>149</v>
      </c>
      <c r="C10580" t="s">
        <v>256</v>
      </c>
      <c r="D10580" t="s">
        <v>385</v>
      </c>
      <c r="E10580" t="s">
        <v>492</v>
      </c>
      <c r="F10580">
        <f>HYPERLINK("https://www.wikidata.org/wiki/Q1720449", "Q1720449")</f>
        <v>0</v>
      </c>
      <c r="G10580" t="s">
        <v>3872</v>
      </c>
      <c r="H10580" t="s">
        <v>8140</v>
      </c>
      <c r="I10580" t="s">
        <v>6200</v>
      </c>
      <c r="J10580" t="s">
        <v>14431</v>
      </c>
      <c r="K10580" t="s">
        <v>18783</v>
      </c>
      <c r="L10580">
        <f>HYPERLINK("https://www2.assemblee-nationale.fr/sycomore/fiche/(num_dept)/790", "790")</f>
        <v>0</v>
      </c>
      <c r="M10580">
        <f>HYPERLINK("https://www.senat.fr/senateur-3eme-republique/bienvenu_martin_jean_baptiste1840r3.html", "bienvenu_martin_jean_baptiste1840r3")</f>
        <v>0</v>
      </c>
      <c r="N10580">
        <f>HYPERLINK("https://www.wikidata.org/wiki/Q325552", "Q325552")</f>
        <v>0</v>
      </c>
      <c r="O10580" t="s">
        <v>20055</v>
      </c>
    </row>
    <row r="10581" spans="1:15">
      <c r="A10581" t="s">
        <v>124</v>
      </c>
      <c r="B10581" t="s">
        <v>149</v>
      </c>
      <c r="C10581" t="s">
        <v>256</v>
      </c>
      <c r="D10581" t="s">
        <v>385</v>
      </c>
      <c r="E10581" t="s">
        <v>492</v>
      </c>
      <c r="F10581">
        <f>HYPERLINK("https://www.wikidata.org/wiki/Q1720449", "Q1720449")</f>
        <v>0</v>
      </c>
      <c r="G10581" t="s">
        <v>553</v>
      </c>
      <c r="H10581" t="s">
        <v>5316</v>
      </c>
      <c r="I10581" t="s">
        <v>9411</v>
      </c>
      <c r="J10581" t="s">
        <v>11304</v>
      </c>
      <c r="K10581" t="s">
        <v>15705</v>
      </c>
      <c r="L10581">
        <f>HYPERLINK("https://www2.assemblee-nationale.fr/sycomore/fiche/(num_dept)/1211", "1211")</f>
        <v>0</v>
      </c>
      <c r="N10581">
        <f>HYPERLINK("https://www.wikidata.org/wiki/Q179888", "Q179888")</f>
        <v>0</v>
      </c>
      <c r="O10581" t="s">
        <v>20064</v>
      </c>
    </row>
    <row r="10582" spans="1:15">
      <c r="A10582" t="s">
        <v>124</v>
      </c>
      <c r="B10582" t="s">
        <v>149</v>
      </c>
      <c r="C10582" t="s">
        <v>256</v>
      </c>
      <c r="D10582" t="s">
        <v>385</v>
      </c>
      <c r="E10582" t="s">
        <v>492</v>
      </c>
      <c r="F10582">
        <f>HYPERLINK("https://www.wikidata.org/wiki/Q1720449", "Q1720449")</f>
        <v>0</v>
      </c>
      <c r="G10582" t="s">
        <v>553</v>
      </c>
      <c r="H10582" t="s">
        <v>5316</v>
      </c>
      <c r="I10582" t="s">
        <v>9411</v>
      </c>
      <c r="J10582" t="s">
        <v>11304</v>
      </c>
      <c r="K10582" t="s">
        <v>15705</v>
      </c>
      <c r="L10582">
        <f>HYPERLINK("https://www2.assemblee-nationale.fr/sycomore/fiche/(num_dept)/1211", "1211")</f>
        <v>0</v>
      </c>
      <c r="N10582">
        <f>HYPERLINK("https://www.wikidata.org/wiki/Q179888", "Q179888")</f>
        <v>0</v>
      </c>
      <c r="O10582" t="s">
        <v>20074</v>
      </c>
    </row>
    <row r="10583" spans="1:15">
      <c r="A10583" t="s">
        <v>124</v>
      </c>
      <c r="B10583" t="s">
        <v>149</v>
      </c>
      <c r="C10583" t="s">
        <v>256</v>
      </c>
      <c r="D10583" t="s">
        <v>385</v>
      </c>
      <c r="E10583" t="s">
        <v>492</v>
      </c>
      <c r="F10583">
        <f>HYPERLINK("https://www.wikidata.org/wiki/Q1720449", "Q1720449")</f>
        <v>0</v>
      </c>
      <c r="G10583" t="s">
        <v>896</v>
      </c>
      <c r="H10583" t="s">
        <v>5652</v>
      </c>
      <c r="I10583" t="s">
        <v>6175</v>
      </c>
      <c r="J10583" t="s">
        <v>11642</v>
      </c>
      <c r="K10583" t="s">
        <v>16041</v>
      </c>
      <c r="L10583">
        <f>HYPERLINK("https://www2.assemblee-nationale.fr/sycomore/fiche/(num_dept)/1313", "1313")</f>
        <v>0</v>
      </c>
      <c r="N10583">
        <f>HYPERLINK("https://www.wikidata.org/wiki/Q3102398", "Q3102398")</f>
        <v>0</v>
      </c>
      <c r="O10583" t="s">
        <v>20060</v>
      </c>
    </row>
    <row r="10584" spans="1:15">
      <c r="A10584" t="s">
        <v>124</v>
      </c>
      <c r="B10584" t="s">
        <v>149</v>
      </c>
      <c r="C10584" t="s">
        <v>256</v>
      </c>
      <c r="D10584" t="s">
        <v>385</v>
      </c>
      <c r="E10584" t="s">
        <v>492</v>
      </c>
      <c r="F10584">
        <f>HYPERLINK("https://www.wikidata.org/wiki/Q1720449", "Q1720449")</f>
        <v>0</v>
      </c>
      <c r="G10584" t="s">
        <v>597</v>
      </c>
      <c r="H10584" t="s">
        <v>5358</v>
      </c>
      <c r="I10584" t="s">
        <v>6584</v>
      </c>
      <c r="J10584" t="s">
        <v>11348</v>
      </c>
      <c r="K10584" t="s">
        <v>15749</v>
      </c>
      <c r="L10584">
        <f>HYPERLINK("https://www2.assemblee-nationale.fr/sycomore/fiche/(num_dept)/2110", "2110")</f>
        <v>0</v>
      </c>
      <c r="N10584">
        <f>HYPERLINK("https://www.wikidata.org/wiki/Q2831073", "Q2831073")</f>
        <v>0</v>
      </c>
      <c r="O10584" t="s">
        <v>20261</v>
      </c>
    </row>
    <row r="10585" spans="1:15">
      <c r="A10585" t="s">
        <v>124</v>
      </c>
      <c r="B10585" t="s">
        <v>149</v>
      </c>
      <c r="C10585" t="s">
        <v>256</v>
      </c>
      <c r="D10585" t="s">
        <v>385</v>
      </c>
      <c r="E10585" t="s">
        <v>492</v>
      </c>
      <c r="F10585">
        <f>HYPERLINK("https://www.wikidata.org/wiki/Q1720449", "Q1720449")</f>
        <v>0</v>
      </c>
      <c r="G10585" t="s">
        <v>600</v>
      </c>
      <c r="H10585" t="s">
        <v>5361</v>
      </c>
      <c r="I10585" t="s">
        <v>9446</v>
      </c>
      <c r="J10585" t="s">
        <v>11351</v>
      </c>
      <c r="K10585" t="s">
        <v>15752</v>
      </c>
      <c r="L10585">
        <f>HYPERLINK("https://www2.assemblee-nationale.fr/sycomore/fiche/(num_dept)/2171", "2171")</f>
        <v>0</v>
      </c>
      <c r="M10585">
        <f>HYPERLINK("https://www.senat.fr/senateur-3eme-republique/david_fernand1309r3.html", "david_fernand1309r3")</f>
        <v>0</v>
      </c>
      <c r="N10585">
        <f>HYPERLINK("https://www.wikidata.org/wiki/Q3069115", "Q3069115")</f>
        <v>0</v>
      </c>
      <c r="O10585" t="s">
        <v>20056</v>
      </c>
    </row>
    <row r="10586" spans="1:15">
      <c r="A10586" t="s">
        <v>124</v>
      </c>
      <c r="B10586" t="s">
        <v>149</v>
      </c>
      <c r="C10586" t="s">
        <v>256</v>
      </c>
      <c r="D10586" t="s">
        <v>385</v>
      </c>
      <c r="E10586" t="s">
        <v>492</v>
      </c>
      <c r="F10586">
        <f>HYPERLINK("https://www.wikidata.org/wiki/Q1720449", "Q1720449")</f>
        <v>0</v>
      </c>
      <c r="G10586" t="s">
        <v>608</v>
      </c>
      <c r="H10586" t="s">
        <v>5368</v>
      </c>
      <c r="I10586" t="s">
        <v>9451</v>
      </c>
      <c r="J10586" t="s">
        <v>11359</v>
      </c>
      <c r="K10586" t="s">
        <v>15760</v>
      </c>
      <c r="L10586">
        <f>HYPERLINK("https://www2.assemblee-nationale.fr/sycomore/fiche/(num_dept)/2283", "2283")</f>
        <v>0</v>
      </c>
      <c r="N10586">
        <f>HYPERLINK("https://www.wikidata.org/wiki/Q503827", "Q503827")</f>
        <v>0</v>
      </c>
      <c r="O10586" t="s">
        <v>20062</v>
      </c>
    </row>
    <row r="10587" spans="1:15">
      <c r="A10587" t="s">
        <v>124</v>
      </c>
      <c r="B10587" t="s">
        <v>149</v>
      </c>
      <c r="C10587" t="s">
        <v>256</v>
      </c>
      <c r="D10587" t="s">
        <v>385</v>
      </c>
      <c r="E10587" t="s">
        <v>492</v>
      </c>
      <c r="F10587">
        <f>HYPERLINK("https://www.wikidata.org/wiki/Q1720449", "Q1720449")</f>
        <v>0</v>
      </c>
      <c r="G10587" t="s">
        <v>3819</v>
      </c>
      <c r="H10587" t="s">
        <v>8103</v>
      </c>
      <c r="I10587" t="s">
        <v>9470</v>
      </c>
      <c r="J10587" t="s">
        <v>14385</v>
      </c>
      <c r="K10587" t="s">
        <v>18737</v>
      </c>
      <c r="L10587">
        <f>HYPERLINK("https://www2.assemblee-nationale.fr/sycomore/fiche/(num_dept)/2570", "2570")</f>
        <v>0</v>
      </c>
      <c r="M10587">
        <f>HYPERLINK("https://www.senat.fr/senateur-3eme-republique/doumergue_gaston0833r3.html", "doumergue_gaston0833r3")</f>
        <v>0</v>
      </c>
      <c r="N10587">
        <f>HYPERLINK("https://www.wikidata.org/wiki/Q296064", "Q296064")</f>
        <v>0</v>
      </c>
      <c r="O10587" t="s">
        <v>20065</v>
      </c>
    </row>
    <row r="10588" spans="1:15">
      <c r="A10588" t="s">
        <v>124</v>
      </c>
      <c r="B10588" t="s">
        <v>149</v>
      </c>
      <c r="C10588" t="s">
        <v>256</v>
      </c>
      <c r="D10588" t="s">
        <v>385</v>
      </c>
      <c r="E10588" t="s">
        <v>492</v>
      </c>
      <c r="F10588">
        <f>HYPERLINK("https://www.wikidata.org/wiki/Q1720449", "Q1720449")</f>
        <v>0</v>
      </c>
      <c r="G10588" t="s">
        <v>641</v>
      </c>
      <c r="H10588" t="s">
        <v>5400</v>
      </c>
      <c r="I10588" t="s">
        <v>8494</v>
      </c>
      <c r="J10588" t="s">
        <v>11391</v>
      </c>
      <c r="K10588" t="s">
        <v>15793</v>
      </c>
      <c r="L10588">
        <f>HYPERLINK("https://www2.assemblee-nationale.fr/sycomore/fiche/(num_dept)/2983", "2983")</f>
        <v>0</v>
      </c>
      <c r="N10588">
        <f>HYPERLINK("https://www.wikidata.org/wiki/Q2821507", "Q2821507")</f>
        <v>0</v>
      </c>
      <c r="O10588" t="s">
        <v>20203</v>
      </c>
    </row>
    <row r="10589" spans="1:15">
      <c r="A10589" t="s">
        <v>124</v>
      </c>
      <c r="B10589" t="s">
        <v>149</v>
      </c>
      <c r="C10589" t="s">
        <v>256</v>
      </c>
      <c r="D10589" t="s">
        <v>385</v>
      </c>
      <c r="E10589" t="s">
        <v>492</v>
      </c>
      <c r="F10589">
        <f>HYPERLINK("https://www.wikidata.org/wiki/Q1720449", "Q1720449")</f>
        <v>0</v>
      </c>
      <c r="G10589" t="s">
        <v>966</v>
      </c>
      <c r="H10589" t="s">
        <v>5718</v>
      </c>
      <c r="I10589" t="s">
        <v>9605</v>
      </c>
      <c r="J10589" t="s">
        <v>11705</v>
      </c>
      <c r="K10589" t="s">
        <v>16108</v>
      </c>
      <c r="L10589">
        <f>HYPERLINK("https://www2.assemblee-nationale.fr/sycomore/fiche/(num_dept)/3460", "3460")</f>
        <v>0</v>
      </c>
      <c r="M10589">
        <f>HYPERLINK("https://www.senat.fr/senateur-3eme-republique/godart_justin1138r3.html", "godart_justin1138r3")</f>
        <v>0</v>
      </c>
      <c r="N10589">
        <f>HYPERLINK("https://www.wikidata.org/wiki/Q3190446", "Q3190446")</f>
        <v>0</v>
      </c>
      <c r="O10589" t="s">
        <v>20395</v>
      </c>
    </row>
    <row r="10590" spans="1:15">
      <c r="A10590" t="s">
        <v>124</v>
      </c>
      <c r="B10590" t="s">
        <v>149</v>
      </c>
      <c r="C10590" t="s">
        <v>256</v>
      </c>
      <c r="D10590" t="s">
        <v>385</v>
      </c>
      <c r="E10590" t="s">
        <v>492</v>
      </c>
      <c r="F10590">
        <f>HYPERLINK("https://www.wikidata.org/wiki/Q1720449", "Q1720449")</f>
        <v>0</v>
      </c>
      <c r="G10590" t="s">
        <v>673</v>
      </c>
      <c r="H10590" t="s">
        <v>5432</v>
      </c>
      <c r="I10590" t="s">
        <v>9449</v>
      </c>
      <c r="J10590" t="s">
        <v>11423</v>
      </c>
      <c r="K10590" t="s">
        <v>15824</v>
      </c>
      <c r="L10590">
        <f>HYPERLINK("https://www2.assemblee-nationale.fr/sycomore/fiche/(num_dept)/3638", "3638")</f>
        <v>0</v>
      </c>
      <c r="N10590">
        <f>HYPERLINK("https://www.wikidata.org/wiki/Q379699", "Q379699")</f>
        <v>0</v>
      </c>
      <c r="O10590" t="s">
        <v>20396</v>
      </c>
    </row>
    <row r="10591" spans="1:15">
      <c r="A10591" t="s">
        <v>124</v>
      </c>
      <c r="B10591" t="s">
        <v>149</v>
      </c>
      <c r="C10591" t="s">
        <v>256</v>
      </c>
      <c r="D10591" t="s">
        <v>385</v>
      </c>
      <c r="E10591" t="s">
        <v>492</v>
      </c>
      <c r="F10591">
        <f>HYPERLINK("https://www.wikidata.org/wiki/Q1720449", "Q1720449")</f>
        <v>0</v>
      </c>
      <c r="G10591" t="s">
        <v>689</v>
      </c>
      <c r="H10591" t="s">
        <v>5447</v>
      </c>
      <c r="I10591" t="s">
        <v>9388</v>
      </c>
      <c r="J10591" t="s">
        <v>11439</v>
      </c>
      <c r="K10591" t="s">
        <v>15840</v>
      </c>
      <c r="L10591">
        <f>HYPERLINK("https://www2.assemblee-nationale.fr/sycomore/fiche/(num_dept)/3970", "3970")</f>
        <v>0</v>
      </c>
      <c r="M10591">
        <f>HYPERLINK("https://www.senat.fr/senateur-3eme-republique/jacquier_paul1310r3.html", "jacquier_paul1310r3")</f>
        <v>0</v>
      </c>
      <c r="N10591">
        <f>HYPERLINK("https://www.wikidata.org/wiki/Q3371508", "Q3371508")</f>
        <v>0</v>
      </c>
      <c r="O10591" t="s">
        <v>20068</v>
      </c>
    </row>
    <row r="10592" spans="1:15">
      <c r="A10592" t="s">
        <v>124</v>
      </c>
      <c r="B10592" t="s">
        <v>149</v>
      </c>
      <c r="C10592" t="s">
        <v>256</v>
      </c>
      <c r="D10592" t="s">
        <v>385</v>
      </c>
      <c r="E10592" t="s">
        <v>492</v>
      </c>
      <c r="F10592">
        <f>HYPERLINK("https://www.wikidata.org/wiki/Q1720449", "Q1720449")</f>
        <v>0</v>
      </c>
      <c r="G10592" t="s">
        <v>721</v>
      </c>
      <c r="H10592" t="s">
        <v>5479</v>
      </c>
      <c r="I10592" t="s">
        <v>6495</v>
      </c>
      <c r="J10592" t="s">
        <v>11470</v>
      </c>
      <c r="K10592" t="s">
        <v>15872</v>
      </c>
      <c r="L10592">
        <f>HYPERLINK("https://www2.assemblee-nationale.fr/sycomore/fiche/(num_dept)/4940", "4940")</f>
        <v>0</v>
      </c>
      <c r="N10592">
        <f>HYPERLINK("https://www.wikidata.org/wiki/Q3262600", "Q3262600")</f>
        <v>0</v>
      </c>
      <c r="O10592" t="s">
        <v>20058</v>
      </c>
    </row>
    <row r="10593" spans="1:15">
      <c r="A10593" t="s">
        <v>124</v>
      </c>
      <c r="B10593" t="s">
        <v>149</v>
      </c>
      <c r="C10593" t="s">
        <v>256</v>
      </c>
      <c r="D10593" t="s">
        <v>385</v>
      </c>
      <c r="E10593" t="s">
        <v>492</v>
      </c>
      <c r="F10593">
        <f>HYPERLINK("https://www.wikidata.org/wiki/Q1720449", "Q1720449")</f>
        <v>0</v>
      </c>
      <c r="G10593" t="s">
        <v>1005</v>
      </c>
      <c r="H10593" t="s">
        <v>5756</v>
      </c>
      <c r="I10593" t="s">
        <v>9553</v>
      </c>
      <c r="J10593" t="s">
        <v>11742</v>
      </c>
      <c r="K10593" t="s">
        <v>16146</v>
      </c>
      <c r="L10593">
        <f>HYPERLINK("https://www2.assemblee-nationale.fr/sycomore/fiche/(num_dept)/5284", "5284")</f>
        <v>0</v>
      </c>
      <c r="M10593">
        <f>HYPERLINK("https://www.senat.fr/senateur-3eme-republique/millerand_alexandre0910r3.html", "millerand_alexandre0910r3")</f>
        <v>0</v>
      </c>
      <c r="N10593">
        <f>HYPERLINK("https://www.wikidata.org/wiki/Q274540", "Q274540")</f>
        <v>0</v>
      </c>
      <c r="O10593" t="s">
        <v>20057</v>
      </c>
    </row>
    <row r="10594" spans="1:15">
      <c r="A10594" t="s">
        <v>124</v>
      </c>
      <c r="B10594" t="s">
        <v>149</v>
      </c>
      <c r="C10594" t="s">
        <v>256</v>
      </c>
      <c r="D10594" t="s">
        <v>385</v>
      </c>
      <c r="E10594" t="s">
        <v>492</v>
      </c>
      <c r="F10594">
        <f>HYPERLINK("https://www.wikidata.org/wiki/Q1720449", "Q1720449")</f>
        <v>0</v>
      </c>
      <c r="G10594" t="s">
        <v>778</v>
      </c>
      <c r="H10594" t="s">
        <v>5536</v>
      </c>
      <c r="I10594" t="s">
        <v>6584</v>
      </c>
      <c r="J10594" t="s">
        <v>11525</v>
      </c>
      <c r="K10594" t="s">
        <v>15929</v>
      </c>
      <c r="L10594">
        <f>HYPERLINK("https://www2.assemblee-nationale.fr/sycomore/fiche/(num_dept)/6293", "6293")</f>
        <v>0</v>
      </c>
      <c r="M10594">
        <f>HYPERLINK("https://www.senat.fr/senateur-3eme-republique/sarraut_albert0265r3.html", "sarraut_albert0265r3")</f>
        <v>0</v>
      </c>
      <c r="N10594">
        <f>HYPERLINK("https://www.wikidata.org/wiki/Q460318", "Q460318")</f>
        <v>0</v>
      </c>
      <c r="O10594" t="s">
        <v>20051</v>
      </c>
    </row>
    <row r="10595" spans="1:15">
      <c r="A10595" t="s">
        <v>124</v>
      </c>
      <c r="B10595" t="s">
        <v>149</v>
      </c>
      <c r="C10595" t="s">
        <v>256</v>
      </c>
      <c r="D10595" t="s">
        <v>385</v>
      </c>
      <c r="E10595" t="s">
        <v>492</v>
      </c>
      <c r="F10595">
        <f>HYPERLINK("https://www.wikidata.org/wiki/Q1720449", "Q1720449")</f>
        <v>0</v>
      </c>
      <c r="G10595" t="s">
        <v>786</v>
      </c>
      <c r="H10595" t="s">
        <v>5543</v>
      </c>
      <c r="I10595" t="s">
        <v>9523</v>
      </c>
      <c r="J10595" t="s">
        <v>11533</v>
      </c>
      <c r="K10595" t="s">
        <v>15937</v>
      </c>
      <c r="L10595">
        <f>HYPERLINK("https://www2.assemblee-nationale.fr/sycomore/fiche/(num_dept)/6379", "6379")</f>
        <v>0</v>
      </c>
      <c r="N10595">
        <f>HYPERLINK("https://www.wikidata.org/wiki/Q2019775", "Q2019775")</f>
        <v>0</v>
      </c>
      <c r="O10595" t="s">
        <v>20063</v>
      </c>
    </row>
    <row r="10596" spans="1:15">
      <c r="A10596" t="s">
        <v>124</v>
      </c>
      <c r="B10596" t="s">
        <v>149</v>
      </c>
      <c r="C10596" t="s">
        <v>256</v>
      </c>
      <c r="D10596" t="s">
        <v>385</v>
      </c>
      <c r="E10596" t="s">
        <v>492</v>
      </c>
      <c r="F10596">
        <f>HYPERLINK("https://www.wikidata.org/wiki/Q1720449", "Q1720449")</f>
        <v>0</v>
      </c>
      <c r="G10596" t="s">
        <v>2671</v>
      </c>
      <c r="H10596" t="s">
        <v>7208</v>
      </c>
      <c r="I10596" t="s">
        <v>9553</v>
      </c>
      <c r="J10596" t="s">
        <v>13312</v>
      </c>
      <c r="K10596" t="s">
        <v>17712</v>
      </c>
      <c r="L10596">
        <f>HYPERLINK("https://www2.assemblee-nationale.fr/sycomore/fiche/(num_dept)/6727", "6727")</f>
        <v>0</v>
      </c>
      <c r="M10596">
        <f>HYPERLINK("https://www.senat.fr/senateur-3eme-republique/ribot_alexandre0941r3.html", "ribot_alexandre0941r3")</f>
        <v>0</v>
      </c>
      <c r="N10596">
        <f>HYPERLINK("https://www.wikidata.org/wiki/Q358387", "Q358387")</f>
        <v>0</v>
      </c>
      <c r="O10596" t="s">
        <v>20066</v>
      </c>
    </row>
    <row r="10597" spans="1:15">
      <c r="A10597" t="s">
        <v>124</v>
      </c>
      <c r="B10597" t="s">
        <v>149</v>
      </c>
      <c r="C10597" t="s">
        <v>256</v>
      </c>
      <c r="D10597" t="s">
        <v>385</v>
      </c>
      <c r="E10597" t="s">
        <v>492</v>
      </c>
      <c r="F10597">
        <f>HYPERLINK("https://www.wikidata.org/wiki/Q1720449", "Q1720449")</f>
        <v>0</v>
      </c>
      <c r="G10597" t="s">
        <v>817</v>
      </c>
      <c r="H10597" t="s">
        <v>5574</v>
      </c>
      <c r="I10597" t="s">
        <v>9407</v>
      </c>
      <c r="J10597" t="s">
        <v>11564</v>
      </c>
      <c r="K10597" t="s">
        <v>15968</v>
      </c>
      <c r="L10597">
        <f>HYPERLINK("https://www2.assemblee-nationale.fr/sycomore/fiche/(num_dept)/7030", "7030")</f>
        <v>0</v>
      </c>
      <c r="N10597">
        <f>HYPERLINK("https://www.wikidata.org/wiki/Q3185677", "Q3185677")</f>
        <v>0</v>
      </c>
      <c r="O10597" t="s">
        <v>20148</v>
      </c>
    </row>
    <row r="10598" spans="1:15">
      <c r="A10598" t="s">
        <v>124</v>
      </c>
      <c r="B10598" t="s">
        <v>149</v>
      </c>
      <c r="C10598" t="s">
        <v>256</v>
      </c>
      <c r="D10598" t="s">
        <v>385</v>
      </c>
      <c r="E10598" t="s">
        <v>492</v>
      </c>
      <c r="F10598">
        <f>HYPERLINK("https://www.wikidata.org/wiki/Q1720449", "Q1720449")</f>
        <v>0</v>
      </c>
      <c r="G10598" t="s">
        <v>818</v>
      </c>
      <c r="H10598" t="s">
        <v>5575</v>
      </c>
      <c r="I10598" t="s">
        <v>9470</v>
      </c>
      <c r="J10598" t="s">
        <v>11565</v>
      </c>
      <c r="K10598" t="s">
        <v>15969</v>
      </c>
      <c r="L10598">
        <f>HYPERLINK("https://www2.assemblee-nationale.fr/sycomore/fiche/(num_dept)/7055", "7055")</f>
        <v>0</v>
      </c>
      <c r="N10598">
        <f>HYPERLINK("https://www.wikidata.org/wiki/Q2246519", "Q2246519")</f>
        <v>0</v>
      </c>
      <c r="O10598" t="s">
        <v>20059</v>
      </c>
    </row>
    <row r="10599" spans="1:15">
      <c r="A10599" t="s">
        <v>124</v>
      </c>
      <c r="B10599" t="s">
        <v>149</v>
      </c>
      <c r="C10599" t="s">
        <v>256</v>
      </c>
      <c r="D10599" t="s">
        <v>385</v>
      </c>
      <c r="E10599" t="s">
        <v>492</v>
      </c>
      <c r="F10599">
        <f>HYPERLINK("https://www.wikidata.org/wiki/Q1720449", "Q1720449")</f>
        <v>0</v>
      </c>
      <c r="G10599" t="s">
        <v>827</v>
      </c>
      <c r="H10599" t="s">
        <v>5584</v>
      </c>
      <c r="I10599" t="s">
        <v>9476</v>
      </c>
      <c r="J10599" t="s">
        <v>11574</v>
      </c>
      <c r="K10599" t="s">
        <v>15976</v>
      </c>
      <c r="L10599">
        <f>HYPERLINK("https://www2.assemblee-nationale.fr/sycomore/fiche/(num_dept)/7368", "7368")</f>
        <v>0</v>
      </c>
      <c r="M10599">
        <f>HYPERLINK("https://www.senat.fr/senateur-3eme-republique/viviani_rene0627r3.html", "viviani_rene0627r3")</f>
        <v>0</v>
      </c>
      <c r="N10599">
        <f>HYPERLINK("https://www.wikidata.org/wiki/Q431074", "Q431074")</f>
        <v>0</v>
      </c>
      <c r="O10599" t="s">
        <v>20052</v>
      </c>
    </row>
    <row r="10600" spans="1:15">
      <c r="A10600" t="s">
        <v>124</v>
      </c>
      <c r="B10600" t="s">
        <v>149</v>
      </c>
      <c r="C10600" t="s">
        <v>256</v>
      </c>
      <c r="D10600" t="s">
        <v>385</v>
      </c>
      <c r="E10600" t="s">
        <v>492</v>
      </c>
      <c r="F10600">
        <f>HYPERLINK("https://www.wikidata.org/wiki/Q1720449", "Q1720449")</f>
        <v>0</v>
      </c>
      <c r="G10600" t="s">
        <v>827</v>
      </c>
      <c r="H10600" t="s">
        <v>5584</v>
      </c>
      <c r="I10600" t="s">
        <v>9476</v>
      </c>
      <c r="J10600" t="s">
        <v>11574</v>
      </c>
      <c r="K10600" t="s">
        <v>15976</v>
      </c>
      <c r="L10600">
        <f>HYPERLINK("https://www2.assemblee-nationale.fr/sycomore/fiche/(num_dept)/7368", "7368")</f>
        <v>0</v>
      </c>
      <c r="M10600">
        <f>HYPERLINK("https://www.senat.fr/senateur-3eme-republique/viviani_rene0627r3.html", "viviani_rene0627r3")</f>
        <v>0</v>
      </c>
      <c r="N10600">
        <f>HYPERLINK("https://www.wikidata.org/wiki/Q431074", "Q431074")</f>
        <v>0</v>
      </c>
      <c r="O10600" t="s">
        <v>20362</v>
      </c>
    </row>
    <row r="10601" spans="1:15">
      <c r="A10601" t="s">
        <v>124</v>
      </c>
      <c r="B10601" t="s">
        <v>149</v>
      </c>
      <c r="C10601" t="s">
        <v>256</v>
      </c>
      <c r="D10601" t="s">
        <v>385</v>
      </c>
      <c r="E10601" t="s">
        <v>492</v>
      </c>
      <c r="F10601">
        <f>HYPERLINK("https://www.wikidata.org/wiki/Q1720449", "Q1720449")</f>
        <v>0</v>
      </c>
      <c r="G10601" t="s">
        <v>4249</v>
      </c>
      <c r="H10601" t="s">
        <v>6367</v>
      </c>
      <c r="I10601" t="s">
        <v>6584</v>
      </c>
      <c r="J10601" t="s">
        <v>11799</v>
      </c>
      <c r="K10601" t="s">
        <v>16199</v>
      </c>
      <c r="N10601">
        <f>HYPERLINK("https://www.wikidata.org/wiki/Q363255", "Q363255")</f>
        <v>0</v>
      </c>
      <c r="O10601" t="s">
        <v>20397</v>
      </c>
    </row>
    <row r="10602" spans="1:15">
      <c r="A10602" t="s">
        <v>125</v>
      </c>
      <c r="B10602" t="s">
        <v>149</v>
      </c>
      <c r="C10602" t="s">
        <v>257</v>
      </c>
      <c r="D10602" t="s">
        <v>386</v>
      </c>
      <c r="E10602" t="s">
        <v>493</v>
      </c>
      <c r="F10602">
        <f>HYPERLINK("https://www.wikidata.org/wiki/Q2912866", "Q2912866")</f>
        <v>0</v>
      </c>
      <c r="G10602" t="s">
        <v>3953</v>
      </c>
      <c r="H10602" t="s">
        <v>7891</v>
      </c>
      <c r="I10602" t="s">
        <v>6860</v>
      </c>
      <c r="J10602" t="s">
        <v>14504</v>
      </c>
      <c r="K10602" t="s">
        <v>18851</v>
      </c>
      <c r="L10602">
        <f>HYPERLINK("https://www2.assemblee-nationale.fr/sycomore/fiche/(num_dept)/491", "491")</f>
        <v>0</v>
      </c>
      <c r="M10602">
        <f>HYPERLINK("https://www.senat.fr/senateur-3eme-republique/baudin_pierre0016r3.html", "baudin_pierre0016r3")</f>
        <v>0</v>
      </c>
      <c r="N10602">
        <f>HYPERLINK("https://www.wikidata.org/wiki/Q2993834", "Q2993834")</f>
        <v>0</v>
      </c>
      <c r="O10602" t="s">
        <v>20063</v>
      </c>
    </row>
    <row r="10603" spans="1:15">
      <c r="A10603" t="s">
        <v>125</v>
      </c>
      <c r="B10603" t="s">
        <v>149</v>
      </c>
      <c r="C10603" t="s">
        <v>257</v>
      </c>
      <c r="D10603" t="s">
        <v>386</v>
      </c>
      <c r="E10603" t="s">
        <v>493</v>
      </c>
      <c r="F10603">
        <f>HYPERLINK("https://www.wikidata.org/wiki/Q2912866", "Q2912866")</f>
        <v>0</v>
      </c>
      <c r="G10603" t="s">
        <v>560</v>
      </c>
      <c r="H10603" t="s">
        <v>5323</v>
      </c>
      <c r="I10603" t="s">
        <v>9407</v>
      </c>
      <c r="J10603" t="s">
        <v>11311</v>
      </c>
      <c r="K10603" t="s">
        <v>15712</v>
      </c>
      <c r="L10603">
        <f>HYPERLINK("https://www2.assemblee-nationale.fr/sycomore/fiche/(num_dept)/1366", "1366")</f>
        <v>0</v>
      </c>
      <c r="M10603">
        <f>HYPERLINK("https://www.senat.fr/senateur-3eme-republique/caillaux_joseph1254r3.html", "caillaux_joseph1254r3")</f>
        <v>0</v>
      </c>
      <c r="N10603">
        <f>HYPERLINK("https://www.wikidata.org/wiki/Q450463", "Q450463")</f>
        <v>0</v>
      </c>
      <c r="O10603" t="s">
        <v>20066</v>
      </c>
    </row>
    <row r="10604" spans="1:15">
      <c r="A10604" t="s">
        <v>125</v>
      </c>
      <c r="B10604" t="s">
        <v>149</v>
      </c>
      <c r="C10604" t="s">
        <v>257</v>
      </c>
      <c r="D10604" t="s">
        <v>386</v>
      </c>
      <c r="E10604" t="s">
        <v>493</v>
      </c>
      <c r="F10604">
        <f>HYPERLINK("https://www.wikidata.org/wiki/Q2912866", "Q2912866")</f>
        <v>0</v>
      </c>
      <c r="G10604" t="s">
        <v>3870</v>
      </c>
      <c r="H10604" t="s">
        <v>8138</v>
      </c>
      <c r="I10604" t="s">
        <v>6584</v>
      </c>
      <c r="J10604" t="s">
        <v>14429</v>
      </c>
      <c r="K10604" t="s">
        <v>18300</v>
      </c>
      <c r="L10604">
        <f>HYPERLINK("https://www2.assemblee-nationale.fr/sycomore/fiche/(num_dept)/2211", "2211")</f>
        <v>0</v>
      </c>
      <c r="M10604">
        <f>HYPERLINK("https://www.senat.fr/senateur-3eme-republique/decrais_albert0207r3.html", "decrais_albert0207r3")</f>
        <v>0</v>
      </c>
      <c r="N10604">
        <f>HYPERLINK("https://www.wikidata.org/wiki/Q2831089", "Q2831089")</f>
        <v>0</v>
      </c>
      <c r="O10604" t="s">
        <v>20065</v>
      </c>
    </row>
    <row r="10605" spans="1:15">
      <c r="A10605" t="s">
        <v>125</v>
      </c>
      <c r="B10605" t="s">
        <v>149</v>
      </c>
      <c r="C10605" t="s">
        <v>257</v>
      </c>
      <c r="D10605" t="s">
        <v>386</v>
      </c>
      <c r="E10605" t="s">
        <v>493</v>
      </c>
      <c r="F10605">
        <f>HYPERLINK("https://www.wikidata.org/wiki/Q2912866", "Q2912866")</f>
        <v>0</v>
      </c>
      <c r="G10605" t="s">
        <v>608</v>
      </c>
      <c r="H10605" t="s">
        <v>5368</v>
      </c>
      <c r="I10605" t="s">
        <v>9451</v>
      </c>
      <c r="J10605" t="s">
        <v>11359</v>
      </c>
      <c r="K10605" t="s">
        <v>15760</v>
      </c>
      <c r="L10605">
        <f>HYPERLINK("https://www2.assemblee-nationale.fr/sycomore/fiche/(num_dept)/2283", "2283")</f>
        <v>0</v>
      </c>
      <c r="N10605">
        <f>HYPERLINK("https://www.wikidata.org/wiki/Q503827", "Q503827")</f>
        <v>0</v>
      </c>
      <c r="O10605" t="s">
        <v>20062</v>
      </c>
    </row>
    <row r="10606" spans="1:15">
      <c r="A10606" t="s">
        <v>125</v>
      </c>
      <c r="B10606" t="s">
        <v>149</v>
      </c>
      <c r="C10606" t="s">
        <v>257</v>
      </c>
      <c r="D10606" t="s">
        <v>386</v>
      </c>
      <c r="E10606" t="s">
        <v>493</v>
      </c>
      <c r="F10606">
        <f>HYPERLINK("https://www.wikidata.org/wiki/Q2912866", "Q2912866")</f>
        <v>0</v>
      </c>
      <c r="G10606" t="s">
        <v>984</v>
      </c>
      <c r="H10606" t="s">
        <v>5736</v>
      </c>
      <c r="I10606" t="s">
        <v>9606</v>
      </c>
      <c r="J10606" t="s">
        <v>11722</v>
      </c>
      <c r="K10606" t="s">
        <v>16126</v>
      </c>
      <c r="L10606">
        <f>HYPERLINK("https://www2.assemblee-nationale.fr/sycomore/fiche/(num_dept)/4328", "4328")</f>
        <v>0</v>
      </c>
      <c r="N10606">
        <f>HYPERLINK("https://www.wikidata.org/wiki/Q645606", "Q645606")</f>
        <v>0</v>
      </c>
      <c r="O10606" t="s">
        <v>20053</v>
      </c>
    </row>
    <row r="10607" spans="1:15">
      <c r="A10607" t="s">
        <v>125</v>
      </c>
      <c r="B10607" t="s">
        <v>149</v>
      </c>
      <c r="C10607" t="s">
        <v>257</v>
      </c>
      <c r="D10607" t="s">
        <v>386</v>
      </c>
      <c r="E10607" t="s">
        <v>493</v>
      </c>
      <c r="F10607">
        <f>HYPERLINK("https://www.wikidata.org/wiki/Q2912866", "Q2912866")</f>
        <v>0</v>
      </c>
      <c r="G10607" t="s">
        <v>1005</v>
      </c>
      <c r="H10607" t="s">
        <v>5756</v>
      </c>
      <c r="I10607" t="s">
        <v>9553</v>
      </c>
      <c r="J10607" t="s">
        <v>11742</v>
      </c>
      <c r="K10607" t="s">
        <v>16146</v>
      </c>
      <c r="L10607">
        <f>HYPERLINK("https://www2.assemblee-nationale.fr/sycomore/fiche/(num_dept)/5284", "5284")</f>
        <v>0</v>
      </c>
      <c r="M10607">
        <f>HYPERLINK("https://www.senat.fr/senateur-3eme-republique/millerand_alexandre0910r3.html", "millerand_alexandre0910r3")</f>
        <v>0</v>
      </c>
      <c r="N10607">
        <f>HYPERLINK("https://www.wikidata.org/wiki/Q274540", "Q274540")</f>
        <v>0</v>
      </c>
      <c r="O10607" t="s">
        <v>20398</v>
      </c>
    </row>
    <row r="10608" spans="1:15">
      <c r="A10608" t="s">
        <v>125</v>
      </c>
      <c r="B10608" t="s">
        <v>149</v>
      </c>
      <c r="C10608" t="s">
        <v>257</v>
      </c>
      <c r="D10608" t="s">
        <v>386</v>
      </c>
      <c r="E10608" t="s">
        <v>493</v>
      </c>
      <c r="F10608">
        <f>HYPERLINK("https://www.wikidata.org/wiki/Q2912866", "Q2912866")</f>
        <v>0</v>
      </c>
      <c r="G10608" t="s">
        <v>3269</v>
      </c>
      <c r="H10608" t="s">
        <v>7684</v>
      </c>
      <c r="I10608" t="s">
        <v>9442</v>
      </c>
      <c r="J10608" t="s">
        <v>13883</v>
      </c>
      <c r="K10608" t="s">
        <v>18257</v>
      </c>
      <c r="L10608">
        <f>HYPERLINK("https://www2.assemblee-nationale.fr/sycomore/fiche/(num_dept)/5343", "5343")</f>
        <v>0</v>
      </c>
      <c r="M10608">
        <f>HYPERLINK("https://www.senat.fr/senateur-3eme-republique/monis_ernest0193r3.html", "monis_ernest0193r3")</f>
        <v>0</v>
      </c>
      <c r="N10608">
        <f>HYPERLINK("https://www.wikidata.org/wiki/Q561583", "Q561583")</f>
        <v>0</v>
      </c>
      <c r="O10608" t="s">
        <v>20064</v>
      </c>
    </row>
    <row r="10609" spans="1:19">
      <c r="A10609" t="s">
        <v>125</v>
      </c>
      <c r="B10609" t="s">
        <v>149</v>
      </c>
      <c r="C10609" t="s">
        <v>257</v>
      </c>
      <c r="D10609" t="s">
        <v>386</v>
      </c>
      <c r="E10609" t="s">
        <v>493</v>
      </c>
      <c r="F10609">
        <f>HYPERLINK("https://www.wikidata.org/wiki/Q2912866", "Q2912866")</f>
        <v>0</v>
      </c>
      <c r="G10609" t="s">
        <v>3718</v>
      </c>
      <c r="H10609" t="s">
        <v>8028</v>
      </c>
      <c r="I10609" t="s">
        <v>5528</v>
      </c>
      <c r="J10609" t="s">
        <v>14293</v>
      </c>
      <c r="K10609" t="s">
        <v>18648</v>
      </c>
      <c r="L10609">
        <f>HYPERLINK("https://www2.assemblee-nationale.fr/sycomore/fiche/(num_dept)/5445", "5445")</f>
        <v>0</v>
      </c>
      <c r="M10609">
        <f>HYPERLINK("https://www.senat.fr/senateur-3eme-republique/mougeot_leon0865r3.html", "mougeot_leon0865r3")</f>
        <v>0</v>
      </c>
      <c r="N10609">
        <f>HYPERLINK("https://www.wikidata.org/wiki/Q3271218", "Q3271218")</f>
        <v>0</v>
      </c>
      <c r="O10609" t="s">
        <v>20187</v>
      </c>
    </row>
    <row r="10610" spans="1:19">
      <c r="A10610" t="s">
        <v>125</v>
      </c>
      <c r="B10610" t="s">
        <v>149</v>
      </c>
      <c r="C10610" t="s">
        <v>257</v>
      </c>
      <c r="D10610" t="s">
        <v>386</v>
      </c>
      <c r="E10610" t="s">
        <v>493</v>
      </c>
      <c r="F10610">
        <f>HYPERLINK("https://www.wikidata.org/wiki/Q2912866", "Q2912866")</f>
        <v>0</v>
      </c>
      <c r="G10610" t="s">
        <v>2702</v>
      </c>
      <c r="H10610" t="s">
        <v>7234</v>
      </c>
      <c r="I10610" t="s">
        <v>6860</v>
      </c>
      <c r="J10610" t="s">
        <v>13343</v>
      </c>
      <c r="K10610" t="s">
        <v>17743</v>
      </c>
      <c r="L10610">
        <f>HYPERLINK("https://www2.assemblee-nationale.fr/sycomore/fiche/(num_dept)/7473", "7473")</f>
        <v>0</v>
      </c>
      <c r="M10610">
        <f>HYPERLINK("https://www.senat.fr/senateur-3eme-republique/waldeck_rousseau_pierre1368r3.html", "waldeck_rousseau_pierre1368r3")</f>
        <v>0</v>
      </c>
      <c r="N10610">
        <f>HYPERLINK("https://www.wikidata.org/wiki/Q358452", "Q358452")</f>
        <v>0</v>
      </c>
      <c r="O10610" t="s">
        <v>20058</v>
      </c>
    </row>
    <row r="10611" spans="1:19">
      <c r="A10611" t="s">
        <v>125</v>
      </c>
      <c r="B10611" t="s">
        <v>149</v>
      </c>
      <c r="C10611" t="s">
        <v>257</v>
      </c>
      <c r="D10611" t="s">
        <v>386</v>
      </c>
      <c r="E10611" t="s">
        <v>493</v>
      </c>
      <c r="F10611">
        <f>HYPERLINK("https://www.wikidata.org/wiki/Q2912866", "Q2912866")</f>
        <v>0</v>
      </c>
      <c r="G10611" t="s">
        <v>2702</v>
      </c>
      <c r="H10611" t="s">
        <v>7234</v>
      </c>
      <c r="I10611" t="s">
        <v>6860</v>
      </c>
      <c r="J10611" t="s">
        <v>13343</v>
      </c>
      <c r="K10611" t="s">
        <v>17743</v>
      </c>
      <c r="L10611">
        <f>HYPERLINK("https://www2.assemblee-nationale.fr/sycomore/fiche/(num_dept)/7473", "7473")</f>
        <v>0</v>
      </c>
      <c r="M10611">
        <f>HYPERLINK("https://www.senat.fr/senateur-3eme-republique/waldeck_rousseau_pierre1368r3.html", "waldeck_rousseau_pierre1368r3")</f>
        <v>0</v>
      </c>
      <c r="N10611">
        <f>HYPERLINK("https://www.wikidata.org/wiki/Q358452", "Q358452")</f>
        <v>0</v>
      </c>
      <c r="O10611" t="s">
        <v>20052</v>
      </c>
    </row>
    <row r="10612" spans="1:19">
      <c r="A10612" t="s">
        <v>125</v>
      </c>
      <c r="B10612" t="s">
        <v>149</v>
      </c>
      <c r="C10612" t="s">
        <v>257</v>
      </c>
      <c r="D10612" t="s">
        <v>386</v>
      </c>
      <c r="E10612" t="s">
        <v>493</v>
      </c>
      <c r="F10612">
        <f>HYPERLINK("https://www.wikidata.org/wiki/Q2912866", "Q2912866")</f>
        <v>0</v>
      </c>
      <c r="G10612" t="s">
        <v>857</v>
      </c>
      <c r="H10612" t="s">
        <v>5613</v>
      </c>
      <c r="I10612" t="s">
        <v>6175</v>
      </c>
      <c r="J10612" t="s">
        <v>11603</v>
      </c>
      <c r="K10612" t="s">
        <v>16005</v>
      </c>
      <c r="L10612">
        <f>HYPERLINK("https://www2.assemblee-nationale.fr/sycomore/fiche/(num_dept)/7840", "7840")</f>
        <v>0</v>
      </c>
      <c r="N10612">
        <f>HYPERLINK("https://www.wikidata.org/wiki/Q728806", "Q728806")</f>
        <v>0</v>
      </c>
      <c r="O10612" t="s">
        <v>20051</v>
      </c>
    </row>
    <row r="10613" spans="1:19">
      <c r="A10613" t="s">
        <v>125</v>
      </c>
      <c r="B10613" t="s">
        <v>149</v>
      </c>
      <c r="C10613" t="s">
        <v>257</v>
      </c>
      <c r="D10613" t="s">
        <v>386</v>
      </c>
      <c r="E10613" t="s">
        <v>493</v>
      </c>
      <c r="F10613">
        <f>HYPERLINK("https://www.wikidata.org/wiki/Q2912866", "Q2912866")</f>
        <v>0</v>
      </c>
      <c r="G10613" t="s">
        <v>4240</v>
      </c>
      <c r="H10613" t="s">
        <v>5387</v>
      </c>
      <c r="I10613" t="s">
        <v>6200</v>
      </c>
      <c r="J10613" t="s">
        <v>14747</v>
      </c>
      <c r="K10613" t="s">
        <v>19092</v>
      </c>
      <c r="N10613">
        <f>HYPERLINK("https://www.wikidata.org/wiki/Q3171879", "Q3171879")</f>
        <v>0</v>
      </c>
      <c r="O10613" t="s">
        <v>20056</v>
      </c>
    </row>
    <row r="10614" spans="1:19">
      <c r="A10614" t="s">
        <v>125</v>
      </c>
      <c r="B10614" t="s">
        <v>149</v>
      </c>
      <c r="C10614" t="s">
        <v>257</v>
      </c>
      <c r="D10614" t="s">
        <v>386</v>
      </c>
      <c r="E10614" t="s">
        <v>493</v>
      </c>
      <c r="F10614">
        <f>HYPERLINK("https://www.wikidata.org/wiki/Q2912866", "Q2912866")</f>
        <v>0</v>
      </c>
      <c r="G10614" t="s">
        <v>4351</v>
      </c>
      <c r="H10614" t="s">
        <v>8500</v>
      </c>
      <c r="I10614" t="s">
        <v>9470</v>
      </c>
      <c r="J10614" t="s">
        <v>14843</v>
      </c>
      <c r="K10614" t="s">
        <v>19184</v>
      </c>
      <c r="N10614">
        <f>HYPERLINK("https://www.wikidata.org/wiki/Q700951", "Q700951")</f>
        <v>0</v>
      </c>
      <c r="O10614" t="s">
        <v>20057</v>
      </c>
    </row>
    <row r="10615" spans="1:19">
      <c r="A10615" t="s">
        <v>125</v>
      </c>
      <c r="B10615" t="s">
        <v>149</v>
      </c>
      <c r="C10615" t="s">
        <v>257</v>
      </c>
      <c r="D10615" t="s">
        <v>386</v>
      </c>
      <c r="E10615" t="s">
        <v>493</v>
      </c>
      <c r="F10615">
        <f>HYPERLINK("https://www.wikidata.org/wiki/Q2912866", "Q2912866")</f>
        <v>0</v>
      </c>
      <c r="G10615" t="s">
        <v>4277</v>
      </c>
      <c r="H10615" t="s">
        <v>6585</v>
      </c>
      <c r="I10615" t="s">
        <v>6495</v>
      </c>
      <c r="J10615" t="s">
        <v>14776</v>
      </c>
      <c r="K10615" t="s">
        <v>19123</v>
      </c>
      <c r="N10615">
        <f>HYPERLINK("https://www.wikidata.org/wiki/Q3261042", "Q3261042")</f>
        <v>0</v>
      </c>
      <c r="O10615" t="s">
        <v>20057</v>
      </c>
    </row>
    <row r="10616" spans="1:19">
      <c r="A10616" t="s">
        <v>126</v>
      </c>
      <c r="B10616" t="s">
        <v>150</v>
      </c>
      <c r="C10616" t="s">
        <v>258</v>
      </c>
      <c r="D10616" t="s">
        <v>387</v>
      </c>
      <c r="F10616">
        <f>HYPERLINK("https://www.wikidata.org/wiki/Q3510904", "Q3510904")</f>
        <v>0</v>
      </c>
      <c r="G10616" t="s">
        <v>4352</v>
      </c>
      <c r="H10616" t="s">
        <v>8501</v>
      </c>
      <c r="I10616" t="s">
        <v>6495</v>
      </c>
      <c r="J10616" t="s">
        <v>14844</v>
      </c>
      <c r="K10616" t="s">
        <v>19185</v>
      </c>
      <c r="M10616">
        <f>HYPERLINK("https://www.senat.fr/senateur-3eme-republique/martel_louis1514r3.html", "martel_louis1514r3")</f>
        <v>0</v>
      </c>
      <c r="N10616">
        <f>HYPERLINK("https://www.wikidata.org/wiki/Q950030", "Q950030")</f>
        <v>0</v>
      </c>
      <c r="O10616" t="s">
        <v>20399</v>
      </c>
      <c r="Q10616" t="s">
        <v>387</v>
      </c>
      <c r="R10616" t="s">
        <v>19185</v>
      </c>
      <c r="S10616">
        <v>5930</v>
      </c>
    </row>
    <row r="10617" spans="1:19">
      <c r="A10617" t="s">
        <v>126</v>
      </c>
      <c r="B10617" t="s">
        <v>150</v>
      </c>
      <c r="C10617" t="s">
        <v>258</v>
      </c>
      <c r="D10617" t="s">
        <v>387</v>
      </c>
      <c r="F10617">
        <f>HYPERLINK("https://www.wikidata.org/wiki/Q3510904", "Q3510904")</f>
        <v>0</v>
      </c>
      <c r="G10617" t="s">
        <v>4353</v>
      </c>
      <c r="H10617" t="s">
        <v>8502</v>
      </c>
      <c r="I10617" t="s">
        <v>11184</v>
      </c>
      <c r="J10617" t="s">
        <v>14845</v>
      </c>
      <c r="K10617" t="s">
        <v>19186</v>
      </c>
      <c r="M10617">
        <f>HYPERLINK("https://www.senat.fr/senateur-3eme-republique/d_audiffret_pasquier_edme1427r3.html", "d_audiffret_pasquier_edme1427r3")</f>
        <v>0</v>
      </c>
      <c r="N10617">
        <f>HYPERLINK("https://www.wikidata.org/wiki/Q2600693", "Q2600693")</f>
        <v>0</v>
      </c>
      <c r="O10617" t="s">
        <v>20399</v>
      </c>
      <c r="Q10617" t="s">
        <v>387</v>
      </c>
      <c r="R10617" t="s">
        <v>19186</v>
      </c>
      <c r="S10617">
        <v>10769</v>
      </c>
    </row>
    <row r="10618" spans="1:19">
      <c r="A10618" t="s">
        <v>126</v>
      </c>
      <c r="B10618" t="s">
        <v>150</v>
      </c>
      <c r="C10618" t="s">
        <v>258</v>
      </c>
      <c r="D10618" t="s">
        <v>387</v>
      </c>
      <c r="F10618">
        <f>HYPERLINK("https://www.wikidata.org/wiki/Q3510904", "Q3510904")</f>
        <v>0</v>
      </c>
      <c r="G10618" t="s">
        <v>4354</v>
      </c>
      <c r="H10618" t="s">
        <v>8503</v>
      </c>
      <c r="I10618" t="s">
        <v>6495</v>
      </c>
      <c r="J10618" t="s">
        <v>14846</v>
      </c>
      <c r="K10618" t="s">
        <v>19187</v>
      </c>
      <c r="M10618">
        <f>HYPERLINK("https://www.senat.fr/senateur-3eme-republique/pothuau_louis1523r3.html", "pothuau_louis1523r3")</f>
        <v>0</v>
      </c>
      <c r="N10618">
        <f>HYPERLINK("https://www.wikidata.org/wiki/Q942372", "Q942372")</f>
        <v>0</v>
      </c>
      <c r="O10618" t="s">
        <v>20399</v>
      </c>
      <c r="Q10618" t="s">
        <v>20977</v>
      </c>
      <c r="R10618" t="s">
        <v>19187</v>
      </c>
      <c r="S10618">
        <v>2493</v>
      </c>
    </row>
    <row r="10619" spans="1:19">
      <c r="A10619" t="s">
        <v>126</v>
      </c>
      <c r="B10619" t="s">
        <v>150</v>
      </c>
      <c r="C10619" t="s">
        <v>258</v>
      </c>
      <c r="D10619" t="s">
        <v>387</v>
      </c>
      <c r="F10619">
        <f>HYPERLINK("https://www.wikidata.org/wiki/Q3510904", "Q3510904")</f>
        <v>0</v>
      </c>
      <c r="G10619" t="s">
        <v>4355</v>
      </c>
      <c r="H10619" t="s">
        <v>8504</v>
      </c>
      <c r="I10619" t="s">
        <v>9458</v>
      </c>
      <c r="J10619" t="s">
        <v>14847</v>
      </c>
      <c r="K10619" t="s">
        <v>19188</v>
      </c>
      <c r="M10619">
        <f>HYPERLINK("https://www.senat.fr/senateur-3eme-republique/chanzy_alfred1452r3.html", "chanzy_alfred1452r3")</f>
        <v>0</v>
      </c>
      <c r="N10619">
        <f>HYPERLINK("https://www.wikidata.org/wiki/Q239760", "Q239760")</f>
        <v>0</v>
      </c>
      <c r="O10619" t="s">
        <v>20399</v>
      </c>
      <c r="Q10619" t="s">
        <v>20977</v>
      </c>
      <c r="R10619" t="s">
        <v>19188</v>
      </c>
      <c r="S10619">
        <v>2583</v>
      </c>
    </row>
    <row r="10620" spans="1:19">
      <c r="A10620" t="s">
        <v>126</v>
      </c>
      <c r="B10620" t="s">
        <v>150</v>
      </c>
      <c r="C10620" t="s">
        <v>258</v>
      </c>
      <c r="D10620" t="s">
        <v>387</v>
      </c>
      <c r="F10620">
        <f>HYPERLINK("https://www.wikidata.org/wiki/Q3510904", "Q3510904")</f>
        <v>0</v>
      </c>
      <c r="G10620" t="s">
        <v>4356</v>
      </c>
      <c r="H10620" t="s">
        <v>8505</v>
      </c>
      <c r="I10620" t="s">
        <v>9375</v>
      </c>
      <c r="J10620" t="s">
        <v>14848</v>
      </c>
      <c r="K10620" t="s">
        <v>19189</v>
      </c>
      <c r="M10620">
        <f>HYPERLINK("https://www.senat.fr/senateur-3eme-republique/lefebvre_de_laboulaye_edouard1490r3.html", "lefebvre_de_laboulaye_edouard1490r3")</f>
        <v>0</v>
      </c>
      <c r="N10620">
        <f>HYPERLINK("https://www.wikidata.org/wiki/Q274429", "Q274429")</f>
        <v>0</v>
      </c>
      <c r="O10620" t="s">
        <v>20399</v>
      </c>
      <c r="Q10620" t="s">
        <v>20977</v>
      </c>
      <c r="R10620" t="s">
        <v>19189</v>
      </c>
      <c r="S10620">
        <v>2723</v>
      </c>
    </row>
    <row r="10621" spans="1:19">
      <c r="A10621" t="s">
        <v>126</v>
      </c>
      <c r="B10621" t="s">
        <v>150</v>
      </c>
      <c r="C10621" t="s">
        <v>258</v>
      </c>
      <c r="D10621" t="s">
        <v>387</v>
      </c>
      <c r="F10621">
        <f>HYPERLINK("https://www.wikidata.org/wiki/Q3510904", "Q3510904")</f>
        <v>0</v>
      </c>
      <c r="G10621" t="s">
        <v>4357</v>
      </c>
      <c r="H10621" t="s">
        <v>8506</v>
      </c>
      <c r="I10621" t="s">
        <v>9449</v>
      </c>
      <c r="J10621" t="s">
        <v>14849</v>
      </c>
      <c r="K10621" t="s">
        <v>19190</v>
      </c>
      <c r="M10621">
        <f>HYPERLINK("https://www.senat.fr/senateur-3eme-republique/lasteyrie_du_saillant_jules1496r3.html", "lasteyrie_du_saillant_jules1496r3")</f>
        <v>0</v>
      </c>
      <c r="N10621">
        <f>HYPERLINK("https://www.wikidata.org/wiki/Q3188991", "Q3188991")</f>
        <v>0</v>
      </c>
      <c r="O10621" t="s">
        <v>20399</v>
      </c>
      <c r="Q10621" t="s">
        <v>20977</v>
      </c>
      <c r="R10621" t="s">
        <v>19190</v>
      </c>
      <c r="S10621">
        <v>2896</v>
      </c>
    </row>
    <row r="10622" spans="1:19">
      <c r="A10622" t="s">
        <v>126</v>
      </c>
      <c r="B10622" t="s">
        <v>150</v>
      </c>
      <c r="C10622" t="s">
        <v>258</v>
      </c>
      <c r="D10622" t="s">
        <v>387</v>
      </c>
      <c r="F10622">
        <f>HYPERLINK("https://www.wikidata.org/wiki/Q3510904", "Q3510904")</f>
        <v>0</v>
      </c>
      <c r="G10622" t="s">
        <v>4358</v>
      </c>
      <c r="H10622" t="s">
        <v>8507</v>
      </c>
      <c r="I10622" t="s">
        <v>6501</v>
      </c>
      <c r="J10622" t="s">
        <v>14850</v>
      </c>
      <c r="K10622" t="s">
        <v>19191</v>
      </c>
      <c r="M10622">
        <f>HYPERLINK("https://www.senat.fr/senateur-3eme-republique/fourichon_martin1474r3.html", "fourichon_martin1474r3")</f>
        <v>0</v>
      </c>
      <c r="N10622">
        <f>HYPERLINK("https://www.wikidata.org/wiki/Q460617", "Q460617")</f>
        <v>0</v>
      </c>
      <c r="O10622" t="s">
        <v>20399</v>
      </c>
      <c r="Q10622" t="s">
        <v>20977</v>
      </c>
      <c r="R10622" t="s">
        <v>19191</v>
      </c>
      <c r="S10622">
        <v>3271</v>
      </c>
    </row>
    <row r="10623" spans="1:19">
      <c r="A10623" t="s">
        <v>126</v>
      </c>
      <c r="B10623" t="s">
        <v>150</v>
      </c>
      <c r="C10623" t="s">
        <v>258</v>
      </c>
      <c r="D10623" t="s">
        <v>387</v>
      </c>
      <c r="F10623">
        <f>HYPERLINK("https://www.wikidata.org/wiki/Q3510904", "Q3510904")</f>
        <v>0</v>
      </c>
      <c r="G10623" t="s">
        <v>4359</v>
      </c>
      <c r="H10623" t="s">
        <v>8508</v>
      </c>
      <c r="I10623" t="s">
        <v>9388</v>
      </c>
      <c r="J10623" t="s">
        <v>14851</v>
      </c>
      <c r="K10623" t="s">
        <v>19192</v>
      </c>
      <c r="M10623">
        <f>HYPERLINK("https://www.senat.fr/senateur-3eme-republique/foubert_paul1472r3.html", "foubert_paul1472r3")</f>
        <v>0</v>
      </c>
      <c r="N10623">
        <f>HYPERLINK("https://www.wikidata.org/wiki/Q3371222", "Q3371222")</f>
        <v>0</v>
      </c>
      <c r="O10623" t="s">
        <v>20399</v>
      </c>
      <c r="Q10623" t="s">
        <v>20977</v>
      </c>
      <c r="R10623" t="s">
        <v>19192</v>
      </c>
      <c r="S10623">
        <v>3328</v>
      </c>
    </row>
    <row r="10624" spans="1:19">
      <c r="A10624" t="s">
        <v>126</v>
      </c>
      <c r="B10624" t="s">
        <v>150</v>
      </c>
      <c r="C10624" t="s">
        <v>258</v>
      </c>
      <c r="D10624" t="s">
        <v>387</v>
      </c>
      <c r="F10624">
        <f>HYPERLINK("https://www.wikidata.org/wiki/Q3510904", "Q3510904")</f>
        <v>0</v>
      </c>
      <c r="G10624" t="s">
        <v>4360</v>
      </c>
      <c r="H10624" t="s">
        <v>8509</v>
      </c>
      <c r="I10624" t="s">
        <v>9928</v>
      </c>
      <c r="J10624" t="s">
        <v>14852</v>
      </c>
      <c r="K10624" t="s">
        <v>19193</v>
      </c>
      <c r="M10624">
        <f>HYPERLINK("https://www.senat.fr/senateur-3eme-republique/corne_hyacinthe1458r3.html", "corne_hyacinthe1458r3")</f>
        <v>0</v>
      </c>
      <c r="N10624">
        <f>HYPERLINK("https://www.wikidata.org/wiki/Q3143581", "Q3143581")</f>
        <v>0</v>
      </c>
      <c r="O10624" t="s">
        <v>20399</v>
      </c>
      <c r="Q10624" t="s">
        <v>20977</v>
      </c>
      <c r="R10624" t="s">
        <v>19193</v>
      </c>
      <c r="S10624">
        <v>4085</v>
      </c>
    </row>
    <row r="10625" spans="1:19">
      <c r="A10625" t="s">
        <v>126</v>
      </c>
      <c r="B10625" t="s">
        <v>150</v>
      </c>
      <c r="C10625" t="s">
        <v>258</v>
      </c>
      <c r="D10625" t="s">
        <v>387</v>
      </c>
      <c r="F10625">
        <f>HYPERLINK("https://www.wikidata.org/wiki/Q3510904", "Q3510904")</f>
        <v>0</v>
      </c>
      <c r="G10625" t="s">
        <v>4361</v>
      </c>
      <c r="H10625" t="s">
        <v>8510</v>
      </c>
      <c r="I10625" t="s">
        <v>9385</v>
      </c>
      <c r="J10625" t="s">
        <v>14853</v>
      </c>
      <c r="K10625" t="s">
        <v>19194</v>
      </c>
      <c r="M10625">
        <f>HYPERLINK("https://www.senat.fr/senateur-3eme-republique/frebault_charles1476r3.html", "frebault_charles1476r3")</f>
        <v>0</v>
      </c>
      <c r="N10625">
        <f>HYPERLINK("https://www.wikidata.org/wiki/Q2960389", "Q2960389")</f>
        <v>0</v>
      </c>
      <c r="O10625" t="s">
        <v>20399</v>
      </c>
      <c r="Q10625" t="s">
        <v>20977</v>
      </c>
      <c r="R10625" t="s">
        <v>19194</v>
      </c>
      <c r="S10625">
        <v>4441</v>
      </c>
    </row>
    <row r="10626" spans="1:19">
      <c r="A10626" t="s">
        <v>126</v>
      </c>
      <c r="B10626" t="s">
        <v>150</v>
      </c>
      <c r="C10626" t="s">
        <v>258</v>
      </c>
      <c r="D10626" t="s">
        <v>387</v>
      </c>
      <c r="F10626">
        <f>HYPERLINK("https://www.wikidata.org/wiki/Q3510904", "Q3510904")</f>
        <v>0</v>
      </c>
      <c r="G10626" t="s">
        <v>4295</v>
      </c>
      <c r="H10626" t="s">
        <v>8454</v>
      </c>
      <c r="I10626" t="s">
        <v>9385</v>
      </c>
      <c r="J10626" t="s">
        <v>14794</v>
      </c>
      <c r="K10626" t="s">
        <v>19138</v>
      </c>
      <c r="M10626">
        <f>HYPERLINK("https://www.senat.fr/senateur-3eme-republique/duclerc_eugene1466r3.html", "duclerc_eugene1466r3")</f>
        <v>0</v>
      </c>
      <c r="N10626">
        <f>HYPERLINK("https://www.wikidata.org/wiki/Q551572", "Q551572")</f>
        <v>0</v>
      </c>
      <c r="O10626" t="s">
        <v>20399</v>
      </c>
      <c r="Q10626" t="s">
        <v>20977</v>
      </c>
      <c r="R10626" t="s">
        <v>19138</v>
      </c>
      <c r="S10626">
        <v>4607</v>
      </c>
    </row>
    <row r="10627" spans="1:19">
      <c r="A10627" t="s">
        <v>126</v>
      </c>
      <c r="B10627" t="s">
        <v>150</v>
      </c>
      <c r="C10627" t="s">
        <v>258</v>
      </c>
      <c r="D10627" t="s">
        <v>387</v>
      </c>
      <c r="F10627">
        <f>HYPERLINK("https://www.wikidata.org/wiki/Q3510904", "Q3510904")</f>
        <v>0</v>
      </c>
      <c r="G10627" t="s">
        <v>4362</v>
      </c>
      <c r="H10627" t="s">
        <v>8511</v>
      </c>
      <c r="I10627" t="s">
        <v>9449</v>
      </c>
      <c r="J10627" t="s">
        <v>14854</v>
      </c>
      <c r="K10627" t="s">
        <v>19195</v>
      </c>
      <c r="M10627">
        <f>HYPERLINK("https://www.senat.fr/senateur-3eme-republique/barthelemy_saint_hilaire_jules1432r3.html", "barthelemy_saint_hilaire_jules1432r3")</f>
        <v>0</v>
      </c>
      <c r="N10627">
        <f>HYPERLINK("https://www.wikidata.org/wiki/Q1332164", "Q1332164")</f>
        <v>0</v>
      </c>
      <c r="O10627" t="s">
        <v>20399</v>
      </c>
      <c r="Q10627" t="s">
        <v>20977</v>
      </c>
      <c r="R10627" t="s">
        <v>19195</v>
      </c>
      <c r="S10627">
        <v>7289</v>
      </c>
    </row>
    <row r="10628" spans="1:19">
      <c r="A10628" t="s">
        <v>126</v>
      </c>
      <c r="B10628" t="s">
        <v>150</v>
      </c>
      <c r="C10628" t="s">
        <v>258</v>
      </c>
      <c r="D10628" t="s">
        <v>387</v>
      </c>
      <c r="F10628">
        <f>HYPERLINK("https://www.wikidata.org/wiki/Q3510904", "Q3510904")</f>
        <v>0</v>
      </c>
      <c r="G10628" t="s">
        <v>4363</v>
      </c>
      <c r="H10628" t="s">
        <v>8512</v>
      </c>
      <c r="I10628" t="s">
        <v>9426</v>
      </c>
      <c r="J10628" t="s">
        <v>14855</v>
      </c>
      <c r="K10628" t="s">
        <v>19196</v>
      </c>
      <c r="M10628">
        <f>HYPERLINK("https://www.senat.fr/senateur-3eme-republique/cordier_alphonse1457r3.html", "cordier_alphonse1457r3")</f>
        <v>0</v>
      </c>
      <c r="N10628">
        <f>HYPERLINK("https://www.wikidata.org/wiki/Q2839742", "Q2839742")</f>
        <v>0</v>
      </c>
      <c r="O10628" t="s">
        <v>20399</v>
      </c>
      <c r="Q10628" t="s">
        <v>20977</v>
      </c>
      <c r="R10628" t="s">
        <v>19196</v>
      </c>
      <c r="S10628">
        <v>7702</v>
      </c>
    </row>
    <row r="10629" spans="1:19">
      <c r="A10629" t="s">
        <v>126</v>
      </c>
      <c r="B10629" t="s">
        <v>150</v>
      </c>
      <c r="C10629" t="s">
        <v>258</v>
      </c>
      <c r="D10629" t="s">
        <v>387</v>
      </c>
      <c r="F10629">
        <f>HYPERLINK("https://www.wikidata.org/wiki/Q3510904", "Q3510904")</f>
        <v>0</v>
      </c>
      <c r="G10629" t="s">
        <v>4364</v>
      </c>
      <c r="H10629" t="s">
        <v>8513</v>
      </c>
      <c r="I10629" t="s">
        <v>10942</v>
      </c>
      <c r="J10629" t="s">
        <v>13575</v>
      </c>
      <c r="K10629" t="s">
        <v>19197</v>
      </c>
      <c r="M10629">
        <f>HYPERLINK("https://www.senat.fr/senateur-3eme-republique/krantz_sebastien1489r3.html", "krantz_sebastien1489r3")</f>
        <v>0</v>
      </c>
      <c r="N10629">
        <f>HYPERLINK("https://www.wikidata.org/wiki/Q3164447", "Q3164447")</f>
        <v>0</v>
      </c>
      <c r="O10629" t="s">
        <v>20399</v>
      </c>
      <c r="Q10629" t="s">
        <v>20977</v>
      </c>
      <c r="R10629" t="s">
        <v>19197</v>
      </c>
      <c r="S10629">
        <v>8497</v>
      </c>
    </row>
    <row r="10630" spans="1:19">
      <c r="A10630" t="s">
        <v>126</v>
      </c>
      <c r="B10630" t="s">
        <v>150</v>
      </c>
      <c r="C10630" t="s">
        <v>258</v>
      </c>
      <c r="D10630" t="s">
        <v>387</v>
      </c>
      <c r="F10630">
        <f>HYPERLINK("https://www.wikidata.org/wiki/Q3510904", "Q3510904")</f>
        <v>0</v>
      </c>
      <c r="G10630" t="s">
        <v>4365</v>
      </c>
      <c r="H10630" t="s">
        <v>8514</v>
      </c>
      <c r="I10630" t="s">
        <v>11185</v>
      </c>
      <c r="J10630" t="s">
        <v>14856</v>
      </c>
      <c r="K10630" t="s">
        <v>19198</v>
      </c>
      <c r="M10630">
        <f>HYPERLINK("https://www.senat.fr/senateur-3eme-republique/calouin_de_treville_bernard_louis1540r3.html", "calouin_de_treville_bernard_louis1540r3")</f>
        <v>0</v>
      </c>
      <c r="N10630">
        <f>HYPERLINK("https://www.wikidata.org/wiki/Q3134042", "Q3134042")</f>
        <v>0</v>
      </c>
      <c r="O10630" t="s">
        <v>20399</v>
      </c>
      <c r="Q10630" t="s">
        <v>20978</v>
      </c>
      <c r="R10630" t="s">
        <v>19198</v>
      </c>
      <c r="S10630">
        <v>3722</v>
      </c>
    </row>
    <row r="10631" spans="1:19">
      <c r="A10631" t="s">
        <v>126</v>
      </c>
      <c r="B10631" t="s">
        <v>150</v>
      </c>
      <c r="C10631" t="s">
        <v>258</v>
      </c>
      <c r="D10631" t="s">
        <v>387</v>
      </c>
      <c r="F10631">
        <f>HYPERLINK("https://www.wikidata.org/wiki/Q3510904", "Q3510904")</f>
        <v>0</v>
      </c>
      <c r="G10631" t="s">
        <v>4366</v>
      </c>
      <c r="H10631" t="s">
        <v>8515</v>
      </c>
      <c r="I10631" t="s">
        <v>9472</v>
      </c>
      <c r="J10631" t="s">
        <v>14857</v>
      </c>
      <c r="K10631" t="s">
        <v>19199</v>
      </c>
      <c r="M10631">
        <f>HYPERLINK("https://www.senat.fr/senateur-3eme-republique/de_cornulier_luciniere_hippolyte1459r3.html", "de_cornulier_luciniere_hippolyte1459r3")</f>
        <v>0</v>
      </c>
      <c r="N10631">
        <f>HYPERLINK("https://www.wikidata.org/wiki/Q3136152", "Q3136152")</f>
        <v>0</v>
      </c>
      <c r="O10631" t="s">
        <v>20399</v>
      </c>
      <c r="Q10631" t="s">
        <v>20978</v>
      </c>
      <c r="R10631" t="s">
        <v>21641</v>
      </c>
      <c r="S10631">
        <v>3779</v>
      </c>
    </row>
    <row r="10632" spans="1:19">
      <c r="A10632" t="s">
        <v>126</v>
      </c>
      <c r="B10632" t="s">
        <v>150</v>
      </c>
      <c r="C10632" t="s">
        <v>258</v>
      </c>
      <c r="D10632" t="s">
        <v>387</v>
      </c>
      <c r="F10632">
        <f>HYPERLINK("https://www.wikidata.org/wiki/Q3510904", "Q3510904")</f>
        <v>0</v>
      </c>
      <c r="G10632" t="s">
        <v>4367</v>
      </c>
      <c r="H10632" t="s">
        <v>8516</v>
      </c>
      <c r="I10632" t="s">
        <v>9385</v>
      </c>
      <c r="J10632" t="s">
        <v>14858</v>
      </c>
      <c r="K10632" t="s">
        <v>18332</v>
      </c>
      <c r="M10632">
        <f>HYPERLINK("https://www.senat.fr/senateur-3eme-republique/kolb_bernard_charles1488r3.html", "kolb_bernard_charles1488r3")</f>
        <v>0</v>
      </c>
      <c r="N10632">
        <f>HYPERLINK("https://www.wikidata.org/wiki/Q2959527", "Q2959527")</f>
        <v>0</v>
      </c>
      <c r="O10632" t="s">
        <v>20399</v>
      </c>
      <c r="Q10632" t="s">
        <v>20978</v>
      </c>
      <c r="R10632" t="s">
        <v>18332</v>
      </c>
      <c r="S10632">
        <v>4531</v>
      </c>
    </row>
    <row r="10633" spans="1:19">
      <c r="A10633" t="s">
        <v>126</v>
      </c>
      <c r="B10633" t="s">
        <v>150</v>
      </c>
      <c r="C10633" t="s">
        <v>258</v>
      </c>
      <c r="D10633" t="s">
        <v>387</v>
      </c>
      <c r="F10633">
        <f>HYPERLINK("https://www.wikidata.org/wiki/Q3510904", "Q3510904")</f>
        <v>0</v>
      </c>
      <c r="G10633" t="s">
        <v>4286</v>
      </c>
      <c r="H10633" t="s">
        <v>7575</v>
      </c>
      <c r="I10633" t="s">
        <v>9421</v>
      </c>
      <c r="J10633" t="s">
        <v>14785</v>
      </c>
      <c r="K10633" t="s">
        <v>17979</v>
      </c>
      <c r="M10633">
        <f>HYPERLINK("https://www.senat.fr/senateur-3eme-republique/humbert_gustave1485r3.html", "humbert_gustave1485r3")</f>
        <v>0</v>
      </c>
      <c r="N10633">
        <f>HYPERLINK("https://www.wikidata.org/wiki/Q1556684", "Q1556684")</f>
        <v>0</v>
      </c>
      <c r="O10633" t="s">
        <v>20399</v>
      </c>
      <c r="Q10633" t="s">
        <v>20978</v>
      </c>
      <c r="R10633" t="s">
        <v>17979</v>
      </c>
      <c r="S10633">
        <v>6862</v>
      </c>
    </row>
    <row r="10634" spans="1:19">
      <c r="A10634" t="s">
        <v>126</v>
      </c>
      <c r="B10634" t="s">
        <v>150</v>
      </c>
      <c r="C10634" t="s">
        <v>258</v>
      </c>
      <c r="D10634" t="s">
        <v>387</v>
      </c>
      <c r="F10634">
        <f>HYPERLINK("https://www.wikidata.org/wiki/Q3510904", "Q3510904")</f>
        <v>0</v>
      </c>
      <c r="G10634" t="s">
        <v>4368</v>
      </c>
      <c r="H10634" t="s">
        <v>8517</v>
      </c>
      <c r="I10634" t="s">
        <v>9401</v>
      </c>
      <c r="J10634" t="s">
        <v>14859</v>
      </c>
      <c r="K10634" t="s">
        <v>19200</v>
      </c>
      <c r="M10634">
        <f>HYPERLINK("https://www.senat.fr/senateur-3eme-republique/thery_antoine1537r3.html", "thery_antoine1537r3")</f>
        <v>0</v>
      </c>
      <c r="N10634">
        <f>HYPERLINK("https://www.wikidata.org/wiki/Q2856763", "Q2856763")</f>
        <v>0</v>
      </c>
      <c r="O10634" t="s">
        <v>20399</v>
      </c>
      <c r="Q10634" t="s">
        <v>20978</v>
      </c>
      <c r="R10634" t="s">
        <v>19200</v>
      </c>
      <c r="S10634">
        <v>7688</v>
      </c>
    </row>
    <row r="10635" spans="1:19">
      <c r="A10635" t="s">
        <v>126</v>
      </c>
      <c r="B10635" t="s">
        <v>150</v>
      </c>
      <c r="C10635" t="s">
        <v>258</v>
      </c>
      <c r="D10635" t="s">
        <v>387</v>
      </c>
      <c r="F10635">
        <f>HYPERLINK("https://www.wikidata.org/wiki/Q3510904", "Q3510904")</f>
        <v>0</v>
      </c>
      <c r="G10635" t="s">
        <v>4369</v>
      </c>
      <c r="H10635" t="s">
        <v>8518</v>
      </c>
      <c r="I10635" t="s">
        <v>9449</v>
      </c>
      <c r="J10635" t="s">
        <v>14860</v>
      </c>
      <c r="K10635" t="s">
        <v>19201</v>
      </c>
      <c r="M10635">
        <f>HYPERLINK("https://www.senat.fr/senateur-3eme-republique/pajot_jules1518r3.html", "pajot_jules1518r3")</f>
        <v>0</v>
      </c>
      <c r="N10635">
        <f>HYPERLINK("https://www.wikidata.org/wiki/Q3188826", "Q3188826")</f>
        <v>0</v>
      </c>
      <c r="O10635" t="s">
        <v>20399</v>
      </c>
      <c r="Q10635" t="s">
        <v>20978</v>
      </c>
      <c r="R10635" t="s">
        <v>19201</v>
      </c>
      <c r="S10635">
        <v>8068</v>
      </c>
    </row>
    <row r="10636" spans="1:19">
      <c r="A10636" t="s">
        <v>126</v>
      </c>
      <c r="B10636" t="s">
        <v>150</v>
      </c>
      <c r="C10636" t="s">
        <v>258</v>
      </c>
      <c r="D10636" t="s">
        <v>387</v>
      </c>
      <c r="F10636">
        <f>HYPERLINK("https://www.wikidata.org/wiki/Q3510904", "Q3510904")</f>
        <v>0</v>
      </c>
      <c r="G10636" t="s">
        <v>4370</v>
      </c>
      <c r="H10636" t="s">
        <v>8519</v>
      </c>
      <c r="I10636" t="s">
        <v>9388</v>
      </c>
      <c r="J10636" t="s">
        <v>14861</v>
      </c>
      <c r="K10636" t="s">
        <v>19202</v>
      </c>
      <c r="M10636">
        <f>HYPERLINK("https://www.senat.fr/senateur-3eme-republique/de_chadois_paul1450r3.html", "de_chadois_paul1450r3")</f>
        <v>0</v>
      </c>
      <c r="N10636">
        <f>HYPERLINK("https://www.wikidata.org/wiki/Q3372463", "Q3372463")</f>
        <v>0</v>
      </c>
      <c r="O10636" t="s">
        <v>20399</v>
      </c>
      <c r="Q10636" t="s">
        <v>20978</v>
      </c>
      <c r="R10636" t="s">
        <v>19202</v>
      </c>
      <c r="S10636">
        <v>8987</v>
      </c>
    </row>
    <row r="10637" spans="1:19">
      <c r="A10637" t="s">
        <v>126</v>
      </c>
      <c r="B10637" t="s">
        <v>150</v>
      </c>
      <c r="C10637" t="s">
        <v>258</v>
      </c>
      <c r="D10637" t="s">
        <v>387</v>
      </c>
      <c r="F10637">
        <f>HYPERLINK("https://www.wikidata.org/wiki/Q3510904", "Q3510904")</f>
        <v>0</v>
      </c>
      <c r="G10637" t="s">
        <v>4371</v>
      </c>
      <c r="H10637" t="s">
        <v>8520</v>
      </c>
      <c r="I10637" t="s">
        <v>9474</v>
      </c>
      <c r="J10637" t="s">
        <v>14862</v>
      </c>
      <c r="K10637" t="s">
        <v>19203</v>
      </c>
      <c r="M10637">
        <f>HYPERLINK("https://www.senat.fr/senateur-3eme-republique/dumon_jean_baptiste1468r3.html", "dumon_jean_baptiste1468r3")</f>
        <v>0</v>
      </c>
      <c r="N10637">
        <f>HYPERLINK("https://www.wikidata.org/wiki/Q3164043", "Q3164043")</f>
        <v>0</v>
      </c>
      <c r="O10637" t="s">
        <v>20399</v>
      </c>
      <c r="Q10637" t="s">
        <v>20978</v>
      </c>
      <c r="R10637" t="s">
        <v>19203</v>
      </c>
      <c r="S10637">
        <v>9094</v>
      </c>
    </row>
    <row r="10638" spans="1:19">
      <c r="A10638" t="s">
        <v>126</v>
      </c>
      <c r="B10638" t="s">
        <v>150</v>
      </c>
      <c r="C10638" t="s">
        <v>258</v>
      </c>
      <c r="D10638" t="s">
        <v>387</v>
      </c>
      <c r="F10638">
        <f>HYPERLINK("https://www.wikidata.org/wiki/Q3510904", "Q3510904")</f>
        <v>0</v>
      </c>
      <c r="G10638" t="s">
        <v>4372</v>
      </c>
      <c r="H10638" t="s">
        <v>8521</v>
      </c>
      <c r="I10638" t="s">
        <v>9458</v>
      </c>
      <c r="J10638" t="s">
        <v>14863</v>
      </c>
      <c r="K10638" t="s">
        <v>19204</v>
      </c>
      <c r="M10638">
        <f>HYPERLINK("https://www.senat.fr/senateur-3eme-republique/bertauld_alfred1435r3.html", "bertauld_alfred1435r3")</f>
        <v>0</v>
      </c>
      <c r="N10638">
        <f>HYPERLINK("https://www.wikidata.org/wiki/Q2957921", "Q2957921")</f>
        <v>0</v>
      </c>
      <c r="O10638" t="s">
        <v>20399</v>
      </c>
      <c r="Q10638" t="s">
        <v>20979</v>
      </c>
      <c r="R10638" t="s">
        <v>19204</v>
      </c>
      <c r="S10638">
        <v>2308</v>
      </c>
    </row>
    <row r="10639" spans="1:19">
      <c r="A10639" t="s">
        <v>126</v>
      </c>
      <c r="B10639" t="s">
        <v>150</v>
      </c>
      <c r="C10639" t="s">
        <v>258</v>
      </c>
      <c r="D10639" t="s">
        <v>387</v>
      </c>
      <c r="F10639">
        <f>HYPERLINK("https://www.wikidata.org/wiki/Q3510904", "Q3510904")</f>
        <v>0</v>
      </c>
      <c r="G10639" t="s">
        <v>4373</v>
      </c>
      <c r="H10639" t="s">
        <v>8522</v>
      </c>
      <c r="I10639" t="s">
        <v>6495</v>
      </c>
      <c r="J10639" t="s">
        <v>14864</v>
      </c>
      <c r="K10639" t="s">
        <v>19205</v>
      </c>
      <c r="M10639">
        <f>HYPERLINK("https://www.senat.fr/senateur-3eme-republique/gaulthier_de_rumilly_louis1477r3.html", "gaulthier_de_rumilly_louis1477r3")</f>
        <v>0</v>
      </c>
      <c r="N10639">
        <f>HYPERLINK("https://www.wikidata.org/wiki/Q3260695", "Q3260695")</f>
        <v>0</v>
      </c>
      <c r="O10639" t="s">
        <v>20399</v>
      </c>
      <c r="Q10639" t="s">
        <v>20979</v>
      </c>
      <c r="R10639" t="s">
        <v>19205</v>
      </c>
      <c r="S10639">
        <v>2970</v>
      </c>
    </row>
    <row r="10640" spans="1:19">
      <c r="A10640" t="s">
        <v>126</v>
      </c>
      <c r="B10640" t="s">
        <v>150</v>
      </c>
      <c r="C10640" t="s">
        <v>258</v>
      </c>
      <c r="D10640" t="s">
        <v>387</v>
      </c>
      <c r="F10640">
        <f>HYPERLINK("https://www.wikidata.org/wiki/Q3510904", "Q3510904")</f>
        <v>0</v>
      </c>
      <c r="G10640" t="s">
        <v>4350</v>
      </c>
      <c r="H10640" t="s">
        <v>5448</v>
      </c>
      <c r="I10640" t="s">
        <v>11183</v>
      </c>
      <c r="J10640" t="s">
        <v>14842</v>
      </c>
      <c r="K10640" t="s">
        <v>19183</v>
      </c>
      <c r="M10640">
        <f>HYPERLINK("https://www.senat.fr/senateur-3eme-republique/jaures_benjamin1487r3.html", "jaures_benjamin1487r3")</f>
        <v>0</v>
      </c>
      <c r="N10640">
        <f>HYPERLINK("https://www.wikidata.org/wiki/Q635996", "Q635996")</f>
        <v>0</v>
      </c>
      <c r="O10640" t="s">
        <v>20399</v>
      </c>
      <c r="Q10640" t="s">
        <v>20979</v>
      </c>
      <c r="R10640" t="s">
        <v>19183</v>
      </c>
      <c r="S10640">
        <v>4839</v>
      </c>
    </row>
    <row r="10641" spans="1:19">
      <c r="A10641" t="s">
        <v>126</v>
      </c>
      <c r="B10641" t="s">
        <v>150</v>
      </c>
      <c r="C10641" t="s">
        <v>258</v>
      </c>
      <c r="D10641" t="s">
        <v>387</v>
      </c>
      <c r="F10641">
        <f>HYPERLINK("https://www.wikidata.org/wiki/Q3510904", "Q3510904")</f>
        <v>0</v>
      </c>
      <c r="G10641" t="s">
        <v>4374</v>
      </c>
      <c r="H10641" t="s">
        <v>8523</v>
      </c>
      <c r="I10641" t="s">
        <v>11186</v>
      </c>
      <c r="J10641" t="s">
        <v>14865</v>
      </c>
      <c r="K10641" t="s">
        <v>19206</v>
      </c>
      <c r="M10641">
        <f>HYPERLINK("https://www.senat.fr/senateur-3eme-republique/calmon_marc_antoine1441r3.html", "calmon_marc_antoine1441r3")</f>
        <v>0</v>
      </c>
      <c r="N10641">
        <f>HYPERLINK("https://www.wikidata.org/wiki/Q3287763", "Q3287763")</f>
        <v>0</v>
      </c>
      <c r="O10641" t="s">
        <v>20399</v>
      </c>
      <c r="Q10641" t="s">
        <v>20979</v>
      </c>
      <c r="R10641" t="s">
        <v>19206</v>
      </c>
      <c r="S10641">
        <v>5417</v>
      </c>
    </row>
    <row r="10642" spans="1:19">
      <c r="A10642" t="s">
        <v>126</v>
      </c>
      <c r="B10642" t="s">
        <v>150</v>
      </c>
      <c r="C10642" t="s">
        <v>258</v>
      </c>
      <c r="D10642" t="s">
        <v>387</v>
      </c>
      <c r="F10642">
        <f>HYPERLINK("https://www.wikidata.org/wiki/Q3510904", "Q3510904")</f>
        <v>0</v>
      </c>
      <c r="G10642" t="s">
        <v>4375</v>
      </c>
      <c r="H10642" t="s">
        <v>8524</v>
      </c>
      <c r="I10642" t="s">
        <v>11187</v>
      </c>
      <c r="J10642" t="s">
        <v>14866</v>
      </c>
      <c r="K10642" t="s">
        <v>19207</v>
      </c>
      <c r="M10642">
        <f>HYPERLINK("https://www.senat.fr/senateur-3eme-republique/le_royer_philippe_elie1502r3.html", "le_royer_philippe_elie1502r3")</f>
        <v>0</v>
      </c>
      <c r="N10642">
        <f>HYPERLINK("https://www.wikidata.org/wiki/Q585025", "Q585025")</f>
        <v>0</v>
      </c>
      <c r="O10642" t="s">
        <v>20399</v>
      </c>
      <c r="Q10642" t="s">
        <v>20979</v>
      </c>
      <c r="R10642" t="s">
        <v>19207</v>
      </c>
      <c r="S10642">
        <v>7742</v>
      </c>
    </row>
    <row r="10643" spans="1:19">
      <c r="A10643" t="s">
        <v>126</v>
      </c>
      <c r="B10643" t="s">
        <v>150</v>
      </c>
      <c r="C10643" t="s">
        <v>258</v>
      </c>
      <c r="D10643" t="s">
        <v>387</v>
      </c>
      <c r="F10643">
        <f>HYPERLINK("https://www.wikidata.org/wiki/Q3510904", "Q3510904")</f>
        <v>0</v>
      </c>
      <c r="G10643" t="s">
        <v>4376</v>
      </c>
      <c r="H10643" t="s">
        <v>8525</v>
      </c>
      <c r="I10643" t="s">
        <v>6495</v>
      </c>
      <c r="J10643" t="s">
        <v>14867</v>
      </c>
      <c r="K10643" t="s">
        <v>19208</v>
      </c>
      <c r="M10643">
        <f>HYPERLINK("https://www.senat.fr/senateur-3eme-republique/tribert_louis1541r3.html", "tribert_louis1541r3")</f>
        <v>0</v>
      </c>
      <c r="N10643">
        <f>HYPERLINK("https://www.wikidata.org/wiki/Q3263211", "Q3263211")</f>
        <v>0</v>
      </c>
      <c r="O10643" t="s">
        <v>20399</v>
      </c>
      <c r="Q10643" t="s">
        <v>20979</v>
      </c>
      <c r="R10643" t="s">
        <v>19208</v>
      </c>
      <c r="S10643">
        <v>8585</v>
      </c>
    </row>
    <row r="10644" spans="1:19">
      <c r="A10644" t="s">
        <v>126</v>
      </c>
      <c r="B10644" t="s">
        <v>150</v>
      </c>
      <c r="C10644" t="s">
        <v>258</v>
      </c>
      <c r="D10644" t="s">
        <v>387</v>
      </c>
      <c r="F10644">
        <f>HYPERLINK("https://www.wikidata.org/wiki/Q3510904", "Q3510904")</f>
        <v>0</v>
      </c>
      <c r="G10644" t="s">
        <v>4377</v>
      </c>
      <c r="H10644" t="s">
        <v>8526</v>
      </c>
      <c r="I10644" t="s">
        <v>9423</v>
      </c>
      <c r="J10644" t="s">
        <v>14868</v>
      </c>
      <c r="K10644" t="s">
        <v>11355</v>
      </c>
      <c r="M10644">
        <f>HYPERLINK("https://www.senat.fr/senateur-3eme-republique/de_douhet_guillaume1465r3.html", "de_douhet_guillaume1465r3")</f>
        <v>0</v>
      </c>
      <c r="N10644">
        <f>HYPERLINK("https://www.wikidata.org/wiki/Q3119598", "Q3119598")</f>
        <v>0</v>
      </c>
      <c r="O10644" t="s">
        <v>20399</v>
      </c>
      <c r="Q10644" t="s">
        <v>20980</v>
      </c>
      <c r="R10644" t="s">
        <v>21642</v>
      </c>
      <c r="S10644">
        <v>3163</v>
      </c>
    </row>
    <row r="10645" spans="1:19">
      <c r="A10645" t="s">
        <v>126</v>
      </c>
      <c r="B10645" t="s">
        <v>150</v>
      </c>
      <c r="C10645" t="s">
        <v>258</v>
      </c>
      <c r="D10645" t="s">
        <v>387</v>
      </c>
      <c r="F10645">
        <f>HYPERLINK("https://www.wikidata.org/wiki/Q3510904", "Q3510904")</f>
        <v>0</v>
      </c>
      <c r="G10645" t="s">
        <v>4378</v>
      </c>
      <c r="H10645" t="s">
        <v>8527</v>
      </c>
      <c r="I10645" t="s">
        <v>9472</v>
      </c>
      <c r="J10645" t="s">
        <v>14869</v>
      </c>
      <c r="K10645" t="s">
        <v>15611</v>
      </c>
      <c r="M10645">
        <f>HYPERLINK("https://www.senat.fr/senateur-3eme-republique/carnot_hippolyte1446r3.html", "carnot_hippolyte1446r3")</f>
        <v>0</v>
      </c>
      <c r="N10645">
        <f>HYPERLINK("https://www.wikidata.org/wiki/Q950235", "Q950235")</f>
        <v>0</v>
      </c>
      <c r="O10645" t="s">
        <v>20399</v>
      </c>
      <c r="Q10645" t="s">
        <v>20980</v>
      </c>
      <c r="R10645" t="s">
        <v>15611</v>
      </c>
      <c r="S10645">
        <v>4474</v>
      </c>
    </row>
    <row r="10646" spans="1:19">
      <c r="A10646" t="s">
        <v>126</v>
      </c>
      <c r="B10646" t="s">
        <v>150</v>
      </c>
      <c r="C10646" t="s">
        <v>258</v>
      </c>
      <c r="D10646" t="s">
        <v>387</v>
      </c>
      <c r="F10646">
        <f>HYPERLINK("https://www.wikidata.org/wiki/Q3510904", "Q3510904")</f>
        <v>0</v>
      </c>
      <c r="G10646" t="s">
        <v>4379</v>
      </c>
      <c r="H10646" t="s">
        <v>8528</v>
      </c>
      <c r="I10646" t="s">
        <v>9472</v>
      </c>
      <c r="J10646" t="s">
        <v>14870</v>
      </c>
      <c r="K10646" t="s">
        <v>19209</v>
      </c>
      <c r="M10646">
        <f>HYPERLINK("https://www.senat.fr/senateur-3eme-republique/de_lorgeril_hippolyte1506r3.html", "de_lorgeril_hippolyte1506r3")</f>
        <v>0</v>
      </c>
      <c r="N10646">
        <f>HYPERLINK("https://www.wikidata.org/wiki/Q3136003", "Q3136003")</f>
        <v>0</v>
      </c>
      <c r="O10646" t="s">
        <v>20399</v>
      </c>
      <c r="Q10646" t="s">
        <v>20980</v>
      </c>
      <c r="R10646" t="s">
        <v>19209</v>
      </c>
      <c r="S10646">
        <v>4586</v>
      </c>
    </row>
    <row r="10647" spans="1:19">
      <c r="A10647" t="s">
        <v>126</v>
      </c>
      <c r="B10647" t="s">
        <v>150</v>
      </c>
      <c r="C10647" t="s">
        <v>258</v>
      </c>
      <c r="D10647" t="s">
        <v>387</v>
      </c>
      <c r="F10647">
        <f>HYPERLINK("https://www.wikidata.org/wiki/Q3510904", "Q3510904")</f>
        <v>0</v>
      </c>
      <c r="G10647" t="s">
        <v>4380</v>
      </c>
      <c r="H10647" t="s">
        <v>8529</v>
      </c>
      <c r="I10647" t="s">
        <v>7140</v>
      </c>
      <c r="J10647" t="s">
        <v>14871</v>
      </c>
      <c r="K10647" t="s">
        <v>19210</v>
      </c>
      <c r="M10647">
        <f>HYPERLINK("https://www.senat.fr/senateur-3eme-republique/rampont_germain1525r3.html", "rampont_germain1525r3")</f>
        <v>0</v>
      </c>
      <c r="N10647">
        <f>HYPERLINK("https://www.wikidata.org/wiki/Q3104140", "Q3104140")</f>
        <v>0</v>
      </c>
      <c r="O10647" t="s">
        <v>20399</v>
      </c>
      <c r="Q10647" t="s">
        <v>20980</v>
      </c>
      <c r="R10647" t="s">
        <v>19210</v>
      </c>
      <c r="S10647">
        <v>4728</v>
      </c>
    </row>
    <row r="10648" spans="1:19">
      <c r="A10648" t="s">
        <v>126</v>
      </c>
      <c r="B10648" t="s">
        <v>150</v>
      </c>
      <c r="C10648" t="s">
        <v>258</v>
      </c>
      <c r="D10648" t="s">
        <v>387</v>
      </c>
      <c r="F10648">
        <f>HYPERLINK("https://www.wikidata.org/wiki/Q3510904", "Q3510904")</f>
        <v>0</v>
      </c>
      <c r="G10648" t="s">
        <v>4381</v>
      </c>
      <c r="H10648" t="s">
        <v>8530</v>
      </c>
      <c r="I10648" t="s">
        <v>9602</v>
      </c>
      <c r="J10648" t="s">
        <v>14872</v>
      </c>
      <c r="K10648" t="s">
        <v>19211</v>
      </c>
      <c r="M10648">
        <f>HYPERLINK("https://www.senat.fr/senateur-3eme-republique/scherer_edmond1530r3.html", "scherer_edmond1530r3")</f>
        <v>0</v>
      </c>
      <c r="N10648">
        <f>HYPERLINK("https://www.wikidata.org/wiki/Q1033589", "Q1033589")</f>
        <v>0</v>
      </c>
      <c r="O10648" t="s">
        <v>20399</v>
      </c>
      <c r="Q10648" t="s">
        <v>20980</v>
      </c>
      <c r="R10648" t="s">
        <v>19211</v>
      </c>
      <c r="S10648">
        <v>4840</v>
      </c>
    </row>
    <row r="10649" spans="1:19">
      <c r="A10649" t="s">
        <v>126</v>
      </c>
      <c r="B10649" t="s">
        <v>150</v>
      </c>
      <c r="C10649" t="s">
        <v>258</v>
      </c>
      <c r="D10649" t="s">
        <v>387</v>
      </c>
      <c r="F10649">
        <f>HYPERLINK("https://www.wikidata.org/wiki/Q3510904", "Q3510904")</f>
        <v>0</v>
      </c>
      <c r="G10649" t="s">
        <v>4382</v>
      </c>
      <c r="H10649" t="s">
        <v>8531</v>
      </c>
      <c r="I10649" t="s">
        <v>5630</v>
      </c>
      <c r="J10649" t="s">
        <v>14873</v>
      </c>
      <c r="K10649" t="s">
        <v>19212</v>
      </c>
      <c r="M10649">
        <f>HYPERLINK("https://www.senat.fr/senateur-3eme-republique/de_chabron_bertrand1449r3.html", "de_chabron_bertrand1449r3")</f>
        <v>0</v>
      </c>
      <c r="N10649">
        <f>HYPERLINK("https://www.wikidata.org/wiki/Q2899716", "Q2899716")</f>
        <v>0</v>
      </c>
      <c r="O10649" t="s">
        <v>20399</v>
      </c>
      <c r="Q10649" t="s">
        <v>20980</v>
      </c>
      <c r="R10649" t="s">
        <v>19212</v>
      </c>
      <c r="S10649">
        <v>5060</v>
      </c>
    </row>
    <row r="10650" spans="1:19">
      <c r="A10650" t="s">
        <v>126</v>
      </c>
      <c r="B10650" t="s">
        <v>150</v>
      </c>
      <c r="C10650" t="s">
        <v>258</v>
      </c>
      <c r="D10650" t="s">
        <v>387</v>
      </c>
      <c r="F10650">
        <f>HYPERLINK("https://www.wikidata.org/wiki/Q3510904", "Q3510904")</f>
        <v>0</v>
      </c>
      <c r="G10650" t="s">
        <v>4383</v>
      </c>
      <c r="H10650" t="s">
        <v>8532</v>
      </c>
      <c r="I10650" t="s">
        <v>11188</v>
      </c>
      <c r="J10650" t="s">
        <v>14874</v>
      </c>
      <c r="K10650" t="s">
        <v>19213</v>
      </c>
      <c r="M10650">
        <f>HYPERLINK("https://www.senat.fr/senateur-3eme-republique/corbon_anthime1456r3.html", "corbon_anthime1456r3")</f>
        <v>0</v>
      </c>
      <c r="N10650">
        <f>HYPERLINK("https://www.wikidata.org/wiki/Q2976885", "Q2976885")</f>
        <v>0</v>
      </c>
      <c r="O10650" t="s">
        <v>20399</v>
      </c>
      <c r="Q10650" t="s">
        <v>20980</v>
      </c>
      <c r="R10650" t="s">
        <v>19213</v>
      </c>
      <c r="S10650">
        <v>5553</v>
      </c>
    </row>
    <row r="10651" spans="1:19">
      <c r="A10651" t="s">
        <v>126</v>
      </c>
      <c r="B10651" t="s">
        <v>150</v>
      </c>
      <c r="C10651" t="s">
        <v>258</v>
      </c>
      <c r="D10651" t="s">
        <v>387</v>
      </c>
      <c r="F10651">
        <f>HYPERLINK("https://www.wikidata.org/wiki/Q3510904", "Q3510904")</f>
        <v>0</v>
      </c>
      <c r="G10651" t="s">
        <v>4384</v>
      </c>
      <c r="H10651" t="s">
        <v>8533</v>
      </c>
      <c r="I10651" t="s">
        <v>9681</v>
      </c>
      <c r="J10651" t="s">
        <v>14875</v>
      </c>
      <c r="K10651" t="s">
        <v>19214</v>
      </c>
      <c r="M10651">
        <f>HYPERLINK("https://www.senat.fr/senateur-3eme-republique/testelin_achille1536r3.html", "testelin_achille1536r3")</f>
        <v>0</v>
      </c>
      <c r="N10651">
        <f>HYPERLINK("https://www.wikidata.org/wiki/Q2823110", "Q2823110")</f>
        <v>0</v>
      </c>
      <c r="O10651" t="s">
        <v>20399</v>
      </c>
      <c r="Q10651" t="s">
        <v>20980</v>
      </c>
      <c r="R10651" t="s">
        <v>19214</v>
      </c>
      <c r="S10651">
        <v>5728</v>
      </c>
    </row>
    <row r="10652" spans="1:19">
      <c r="A10652" t="s">
        <v>126</v>
      </c>
      <c r="B10652" t="s">
        <v>150</v>
      </c>
      <c r="C10652" t="s">
        <v>258</v>
      </c>
      <c r="D10652" t="s">
        <v>387</v>
      </c>
      <c r="F10652">
        <f>HYPERLINK("https://www.wikidata.org/wiki/Q3510904", "Q3510904")</f>
        <v>0</v>
      </c>
      <c r="G10652" t="s">
        <v>4385</v>
      </c>
      <c r="H10652" t="s">
        <v>8534</v>
      </c>
      <c r="I10652" t="s">
        <v>9552</v>
      </c>
      <c r="J10652" t="s">
        <v>14876</v>
      </c>
      <c r="K10652" t="s">
        <v>18423</v>
      </c>
      <c r="M10652">
        <f>HYPERLINK("https://www.senat.fr/senateur-3eme-republique/scheurer_kestner_auguste1533r3.html", "scheurer_kestner_auguste1533r3")</f>
        <v>0</v>
      </c>
      <c r="N10652">
        <f>HYPERLINK("https://www.wikidata.org/wiki/Q166297", "Q166297")</f>
        <v>0</v>
      </c>
      <c r="O10652" t="s">
        <v>20399</v>
      </c>
      <c r="Q10652" t="s">
        <v>20980</v>
      </c>
      <c r="R10652" t="s">
        <v>18423</v>
      </c>
      <c r="S10652">
        <v>8679</v>
      </c>
    </row>
    <row r="10653" spans="1:19">
      <c r="A10653" t="s">
        <v>126</v>
      </c>
      <c r="B10653" t="s">
        <v>150</v>
      </c>
      <c r="C10653" t="s">
        <v>258</v>
      </c>
      <c r="D10653" t="s">
        <v>387</v>
      </c>
      <c r="F10653">
        <f>HYPERLINK("https://www.wikidata.org/wiki/Q3510904", "Q3510904")</f>
        <v>0</v>
      </c>
      <c r="G10653" t="s">
        <v>4386</v>
      </c>
      <c r="H10653" t="s">
        <v>8535</v>
      </c>
      <c r="I10653" t="s">
        <v>9483</v>
      </c>
      <c r="J10653" t="s">
        <v>14877</v>
      </c>
      <c r="K10653" t="s">
        <v>19215</v>
      </c>
      <c r="M10653">
        <f>HYPERLINK("https://www.senat.fr/senateur-3eme-republique/luro_victor1507r3.html", "luro_victor1507r3")</f>
        <v>0</v>
      </c>
      <c r="N10653">
        <f>HYPERLINK("https://www.wikidata.org/wiki/Q3557429", "Q3557429")</f>
        <v>0</v>
      </c>
      <c r="O10653" t="s">
        <v>20399</v>
      </c>
      <c r="Q10653" t="s">
        <v>20980</v>
      </c>
      <c r="R10653" t="s">
        <v>19215</v>
      </c>
      <c r="S10653">
        <v>10121</v>
      </c>
    </row>
    <row r="10654" spans="1:19">
      <c r="A10654" t="s">
        <v>126</v>
      </c>
      <c r="B10654" t="s">
        <v>150</v>
      </c>
      <c r="C10654" t="s">
        <v>258</v>
      </c>
      <c r="D10654" t="s">
        <v>387</v>
      </c>
      <c r="F10654">
        <f>HYPERLINK("https://www.wikidata.org/wiki/Q3510904", "Q3510904")</f>
        <v>0</v>
      </c>
      <c r="G10654" t="s">
        <v>4387</v>
      </c>
      <c r="H10654" t="s">
        <v>8536</v>
      </c>
      <c r="I10654" t="s">
        <v>10232</v>
      </c>
      <c r="J10654" t="s">
        <v>14878</v>
      </c>
      <c r="K10654" t="s">
        <v>19216</v>
      </c>
      <c r="M10654">
        <f>HYPERLINK("https://www.senat.fr/senateur-3eme-republique/de_saisy_de_kerampuil_herve1529r3.html", "de_saisy_de_kerampuil_herve1529r3")</f>
        <v>0</v>
      </c>
      <c r="N10654">
        <f>HYPERLINK("https://www.wikidata.org/wiki/Q3134680", "Q3134680")</f>
        <v>0</v>
      </c>
      <c r="O10654" t="s">
        <v>20399</v>
      </c>
      <c r="Q10654" t="s">
        <v>20980</v>
      </c>
      <c r="R10654" t="s">
        <v>19216</v>
      </c>
      <c r="S10654">
        <v>10488</v>
      </c>
    </row>
    <row r="10655" spans="1:19">
      <c r="A10655" t="s">
        <v>126</v>
      </c>
      <c r="B10655" t="s">
        <v>150</v>
      </c>
      <c r="C10655" t="s">
        <v>258</v>
      </c>
      <c r="D10655" t="s">
        <v>387</v>
      </c>
      <c r="F10655">
        <f>HYPERLINK("https://www.wikidata.org/wiki/Q3510904", "Q3510904")</f>
        <v>0</v>
      </c>
      <c r="G10655" t="s">
        <v>4388</v>
      </c>
      <c r="H10655" t="s">
        <v>8537</v>
      </c>
      <c r="I10655" t="s">
        <v>9465</v>
      </c>
      <c r="J10655" t="s">
        <v>14879</v>
      </c>
      <c r="K10655" t="s">
        <v>19217</v>
      </c>
      <c r="M10655">
        <f>HYPERLINK("https://www.senat.fr/senateur-3eme-republique/gouin_eugene1478r3.html", "gouin_eugene1478r3")</f>
        <v>0</v>
      </c>
      <c r="N10655">
        <f>HYPERLINK("https://www.wikidata.org/wiki/Q3059899", "Q3059899")</f>
        <v>0</v>
      </c>
      <c r="O10655" t="s">
        <v>20399</v>
      </c>
      <c r="Q10655" t="s">
        <v>20980</v>
      </c>
      <c r="R10655" t="s">
        <v>19217</v>
      </c>
      <c r="S10655">
        <v>12220</v>
      </c>
    </row>
    <row r="10656" spans="1:19">
      <c r="A10656" t="s">
        <v>126</v>
      </c>
      <c r="B10656" t="s">
        <v>150</v>
      </c>
      <c r="C10656" t="s">
        <v>258</v>
      </c>
      <c r="D10656" t="s">
        <v>387</v>
      </c>
      <c r="F10656">
        <f>HYPERLINK("https://www.wikidata.org/wiki/Q3510904", "Q3510904")</f>
        <v>0</v>
      </c>
      <c r="G10656" t="s">
        <v>4389</v>
      </c>
      <c r="H10656" t="s">
        <v>8538</v>
      </c>
      <c r="I10656" t="s">
        <v>5528</v>
      </c>
      <c r="J10656" t="s">
        <v>14880</v>
      </c>
      <c r="K10656" t="s">
        <v>19218</v>
      </c>
      <c r="M10656">
        <f>HYPERLINK("https://www.senat.fr/senateur-3eme-republique/laurent_pichat_leon1497r3.html", "laurent_pichat_leon1497r3")</f>
        <v>0</v>
      </c>
      <c r="N10656">
        <f>HYPERLINK("https://www.wikidata.org/wiki/Q1879434", "Q1879434")</f>
        <v>0</v>
      </c>
      <c r="O10656" t="s">
        <v>20399</v>
      </c>
      <c r="Q10656" t="s">
        <v>20981</v>
      </c>
      <c r="R10656" t="s">
        <v>19218</v>
      </c>
      <c r="S10656">
        <v>3831</v>
      </c>
    </row>
    <row r="10657" spans="1:19">
      <c r="A10657" t="s">
        <v>126</v>
      </c>
      <c r="B10657" t="s">
        <v>150</v>
      </c>
      <c r="C10657" t="s">
        <v>258</v>
      </c>
      <c r="D10657" t="s">
        <v>387</v>
      </c>
      <c r="F10657">
        <f>HYPERLINK("https://www.wikidata.org/wiki/Q3510904", "Q3510904")</f>
        <v>0</v>
      </c>
      <c r="G10657" t="s">
        <v>4390</v>
      </c>
      <c r="H10657" t="s">
        <v>8539</v>
      </c>
      <c r="I10657" t="s">
        <v>9483</v>
      </c>
      <c r="J10657" t="s">
        <v>14881</v>
      </c>
      <c r="K10657" t="s">
        <v>19219</v>
      </c>
      <c r="M10657">
        <f>HYPERLINK("https://www.senat.fr/senateur-3eme-republique/schoelcher_victor1534r3.html", "schoelcher_victor1534r3")</f>
        <v>0</v>
      </c>
      <c r="N10657">
        <f>HYPERLINK("https://www.wikidata.org/wiki/Q120417", "Q120417")</f>
        <v>0</v>
      </c>
      <c r="O10657" t="s">
        <v>20399</v>
      </c>
      <c r="Q10657" t="s">
        <v>20981</v>
      </c>
      <c r="R10657" t="s">
        <v>19219</v>
      </c>
      <c r="S10657">
        <v>6579</v>
      </c>
    </row>
    <row r="10658" spans="1:19">
      <c r="A10658" t="s">
        <v>126</v>
      </c>
      <c r="B10658" t="s">
        <v>150</v>
      </c>
      <c r="C10658" t="s">
        <v>258</v>
      </c>
      <c r="D10658" t="s">
        <v>387</v>
      </c>
      <c r="F10658">
        <f>HYPERLINK("https://www.wikidata.org/wiki/Q3510904", "Q3510904")</f>
        <v>0</v>
      </c>
      <c r="G10658" t="s">
        <v>4391</v>
      </c>
      <c r="H10658" t="s">
        <v>8540</v>
      </c>
      <c r="I10658" t="s">
        <v>11189</v>
      </c>
      <c r="J10658" t="s">
        <v>13689</v>
      </c>
      <c r="K10658" t="s">
        <v>19220</v>
      </c>
      <c r="M10658">
        <f>HYPERLINK("https://www.senat.fr/senateur-3eme-republique/suisse_jules1865r3.html", "suisse_jules1865r3")</f>
        <v>0</v>
      </c>
      <c r="N10658">
        <f>HYPERLINK("https://www.wikidata.org/wiki/Q548532", "Q548532")</f>
        <v>0</v>
      </c>
      <c r="O10658" t="s">
        <v>20399</v>
      </c>
      <c r="Q10658" t="s">
        <v>20981</v>
      </c>
      <c r="R10658" t="s">
        <v>19220</v>
      </c>
      <c r="S10658">
        <v>7480</v>
      </c>
    </row>
    <row r="10659" spans="1:19">
      <c r="A10659" t="s">
        <v>126</v>
      </c>
      <c r="B10659" t="s">
        <v>150</v>
      </c>
      <c r="C10659" t="s">
        <v>258</v>
      </c>
      <c r="D10659" t="s">
        <v>387</v>
      </c>
      <c r="F10659">
        <f>HYPERLINK("https://www.wikidata.org/wiki/Q3510904", "Q3510904")</f>
        <v>0</v>
      </c>
      <c r="G10659" t="s">
        <v>4392</v>
      </c>
      <c r="H10659" t="s">
        <v>8541</v>
      </c>
      <c r="I10659" t="s">
        <v>9442</v>
      </c>
      <c r="J10659" t="s">
        <v>14882</v>
      </c>
      <c r="K10659" t="s">
        <v>18742</v>
      </c>
      <c r="M10659">
        <f>HYPERLINK("https://www.senat.fr/senateur-3eme-republique/denormandie_ernest1461r3.html", "denormandie_ernest1461r3")</f>
        <v>0</v>
      </c>
      <c r="N10659">
        <f>HYPERLINK("https://www.wikidata.org/wiki/Q3056922", "Q3056922")</f>
        <v>0</v>
      </c>
      <c r="O10659" t="s">
        <v>20399</v>
      </c>
      <c r="Q10659" t="s">
        <v>20981</v>
      </c>
      <c r="R10659" t="s">
        <v>18742</v>
      </c>
      <c r="S10659">
        <v>9539</v>
      </c>
    </row>
    <row r="10660" spans="1:19">
      <c r="A10660" t="s">
        <v>126</v>
      </c>
      <c r="B10660" t="s">
        <v>150</v>
      </c>
      <c r="C10660" t="s">
        <v>258</v>
      </c>
      <c r="D10660" t="s">
        <v>387</v>
      </c>
      <c r="F10660">
        <f>HYPERLINK("https://www.wikidata.org/wiki/Q3510904", "Q3510904")</f>
        <v>0</v>
      </c>
      <c r="G10660" t="s">
        <v>4287</v>
      </c>
      <c r="H10660" t="s">
        <v>8446</v>
      </c>
      <c r="I10660" t="s">
        <v>9474</v>
      </c>
      <c r="J10660" t="s">
        <v>14786</v>
      </c>
      <c r="K10660" t="s">
        <v>19131</v>
      </c>
      <c r="M10660">
        <f>HYPERLINK("https://www.senat.fr/senateur-3eme-republique/billot_jean_baptiste1437r3.html", "billot_jean_baptiste1437r3")</f>
        <v>0</v>
      </c>
      <c r="N10660">
        <f>HYPERLINK("https://www.wikidata.org/wiki/Q1684617", "Q1684617")</f>
        <v>0</v>
      </c>
      <c r="O10660" t="s">
        <v>20399</v>
      </c>
      <c r="Q10660" t="s">
        <v>20981</v>
      </c>
      <c r="R10660" t="s">
        <v>19131</v>
      </c>
      <c r="S10660">
        <v>11488</v>
      </c>
    </row>
    <row r="10661" spans="1:19">
      <c r="A10661" t="s">
        <v>126</v>
      </c>
      <c r="B10661" t="s">
        <v>150</v>
      </c>
      <c r="C10661" t="s">
        <v>258</v>
      </c>
      <c r="D10661" t="s">
        <v>387</v>
      </c>
      <c r="F10661">
        <f>HYPERLINK("https://www.wikidata.org/wiki/Q3510904", "Q3510904")</f>
        <v>0</v>
      </c>
      <c r="G10661" t="s">
        <v>4393</v>
      </c>
      <c r="H10661" t="s">
        <v>8542</v>
      </c>
      <c r="I10661" t="s">
        <v>9407</v>
      </c>
      <c r="J10661" t="s">
        <v>14883</v>
      </c>
      <c r="K10661" t="s">
        <v>19221</v>
      </c>
      <c r="M10661">
        <f>HYPERLINK("https://www.senat.fr/senateur-3eme-republique/magnin_joseph1510r3.html", "magnin_joseph1510r3")</f>
        <v>0</v>
      </c>
      <c r="N10661">
        <f>HYPERLINK("https://www.wikidata.org/wiki/Q3386064", "Q3386064")</f>
        <v>0</v>
      </c>
      <c r="O10661" t="s">
        <v>20399</v>
      </c>
      <c r="Q10661" t="s">
        <v>20981</v>
      </c>
      <c r="R10661" t="s">
        <v>19221</v>
      </c>
      <c r="S10661">
        <v>12759</v>
      </c>
    </row>
    <row r="10662" spans="1:19">
      <c r="A10662" t="s">
        <v>126</v>
      </c>
      <c r="B10662" t="s">
        <v>150</v>
      </c>
      <c r="C10662" t="s">
        <v>258</v>
      </c>
      <c r="D10662" t="s">
        <v>387</v>
      </c>
      <c r="F10662">
        <f>HYPERLINK("https://www.wikidata.org/wiki/Q3510904", "Q3510904")</f>
        <v>0</v>
      </c>
      <c r="G10662" t="s">
        <v>4309</v>
      </c>
      <c r="H10662" t="s">
        <v>8465</v>
      </c>
      <c r="I10662" t="s">
        <v>9449</v>
      </c>
      <c r="J10662" t="s">
        <v>14807</v>
      </c>
      <c r="K10662" t="s">
        <v>19148</v>
      </c>
      <c r="M10662">
        <f>HYPERLINK("https://www.senat.fr/senateur-3eme-republique/cazot_jules1447r3.html", "cazot_jules1447r3")</f>
        <v>0</v>
      </c>
      <c r="N10662">
        <f>HYPERLINK("https://www.wikidata.org/wiki/Q647707", "Q647707")</f>
        <v>0</v>
      </c>
      <c r="O10662" t="s">
        <v>20399</v>
      </c>
      <c r="Q10662" t="s">
        <v>20981</v>
      </c>
      <c r="R10662" t="s">
        <v>21643</v>
      </c>
      <c r="S10662">
        <v>13525</v>
      </c>
    </row>
    <row r="10663" spans="1:19">
      <c r="A10663" t="s">
        <v>126</v>
      </c>
      <c r="B10663" t="s">
        <v>150</v>
      </c>
      <c r="C10663" t="s">
        <v>258</v>
      </c>
      <c r="D10663" t="s">
        <v>387</v>
      </c>
      <c r="F10663">
        <f>HYPERLINK("https://www.wikidata.org/wiki/Q3510904", "Q3510904")</f>
        <v>0</v>
      </c>
      <c r="G10663" t="s">
        <v>4394</v>
      </c>
      <c r="H10663" t="s">
        <v>8543</v>
      </c>
      <c r="I10663" t="s">
        <v>9476</v>
      </c>
      <c r="J10663" t="s">
        <v>14884</v>
      </c>
      <c r="K10663" t="s">
        <v>19222</v>
      </c>
      <c r="M10663">
        <f>HYPERLINK("https://www.senat.fr/senateur-3eme-republique/berenger_rene1434r3.html", "berenger_rene1434r3")</f>
        <v>0</v>
      </c>
      <c r="N10663">
        <f>HYPERLINK("https://www.wikidata.org/wiki/Q3425950", "Q3425950")</f>
        <v>0</v>
      </c>
      <c r="O10663" t="s">
        <v>20399</v>
      </c>
      <c r="Q10663" t="s">
        <v>20981</v>
      </c>
      <c r="R10663" t="s">
        <v>19222</v>
      </c>
      <c r="S10663">
        <v>14500</v>
      </c>
    </row>
    <row r="10664" spans="1:19">
      <c r="A10664" t="s">
        <v>126</v>
      </c>
      <c r="B10664" t="s">
        <v>150</v>
      </c>
      <c r="C10664" t="s">
        <v>258</v>
      </c>
      <c r="D10664" t="s">
        <v>387</v>
      </c>
      <c r="F10664">
        <f>HYPERLINK("https://www.wikidata.org/wiki/Q3510904", "Q3510904")</f>
        <v>0</v>
      </c>
      <c r="G10664" t="s">
        <v>4395</v>
      </c>
      <c r="H10664" t="s">
        <v>8544</v>
      </c>
      <c r="I10664" t="s">
        <v>11190</v>
      </c>
      <c r="J10664" t="s">
        <v>14885</v>
      </c>
      <c r="K10664" t="s">
        <v>19223</v>
      </c>
      <c r="M10664">
        <f>HYPERLINK("https://www.senat.fr/senateur-3eme-republique/de_cissey_ernest_courtot1868r3.html", "de_cissey_ernest_courtot1868r3")</f>
        <v>0</v>
      </c>
      <c r="N10664">
        <f>HYPERLINK("https://www.wikidata.org/wiki/Q471302", "Q471302")</f>
        <v>0</v>
      </c>
      <c r="O10664" t="s">
        <v>20399</v>
      </c>
      <c r="Q10664" t="s">
        <v>20982</v>
      </c>
      <c r="R10664" t="s">
        <v>19223</v>
      </c>
      <c r="S10664">
        <v>2372</v>
      </c>
    </row>
    <row r="10665" spans="1:19">
      <c r="A10665" t="s">
        <v>126</v>
      </c>
      <c r="B10665" t="s">
        <v>150</v>
      </c>
      <c r="C10665" t="s">
        <v>258</v>
      </c>
      <c r="D10665" t="s">
        <v>387</v>
      </c>
      <c r="F10665">
        <f>HYPERLINK("https://www.wikidata.org/wiki/Q3510904", "Q3510904")</f>
        <v>0</v>
      </c>
      <c r="G10665" t="s">
        <v>4396</v>
      </c>
      <c r="H10665" t="s">
        <v>8545</v>
      </c>
      <c r="I10665" t="s">
        <v>9457</v>
      </c>
      <c r="J10665" t="s">
        <v>14886</v>
      </c>
      <c r="K10665" t="s">
        <v>19224</v>
      </c>
      <c r="M10665">
        <f>HYPERLINK("https://www.senat.fr/senateur-3eme-republique/wallon_henri1544r3.html", "wallon_henri1544r3")</f>
        <v>0</v>
      </c>
      <c r="N10665">
        <f>HYPERLINK("https://www.wikidata.org/wiki/Q589355", "Q589355")</f>
        <v>0</v>
      </c>
      <c r="O10665" t="s">
        <v>20399</v>
      </c>
      <c r="Q10665" t="s">
        <v>12546</v>
      </c>
      <c r="R10665" t="s">
        <v>19224</v>
      </c>
      <c r="S10665">
        <v>10557</v>
      </c>
    </row>
    <row r="10666" spans="1:19">
      <c r="A10666" t="s">
        <v>126</v>
      </c>
      <c r="B10666" t="s">
        <v>150</v>
      </c>
      <c r="C10666" t="s">
        <v>258</v>
      </c>
      <c r="D10666" t="s">
        <v>387</v>
      </c>
      <c r="F10666">
        <f>HYPERLINK("https://www.wikidata.org/wiki/Q3510904", "Q3510904")</f>
        <v>0</v>
      </c>
      <c r="G10666" t="s">
        <v>4397</v>
      </c>
      <c r="H10666" t="s">
        <v>8546</v>
      </c>
      <c r="I10666" t="s">
        <v>9423</v>
      </c>
      <c r="J10666" t="s">
        <v>14887</v>
      </c>
      <c r="K10666" t="s">
        <v>19225</v>
      </c>
      <c r="M10666">
        <f>HYPERLINK("https://www.senat.fr/senateur-3eme-republique/de_maleville_guillaume1511r3.html", "de_maleville_guillaume1511r3")</f>
        <v>0</v>
      </c>
      <c r="N10666">
        <f>HYPERLINK("https://www.wikidata.org/wiki/Q3120381", "Q3120381")</f>
        <v>0</v>
      </c>
      <c r="O10666" t="s">
        <v>20399</v>
      </c>
      <c r="Q10666" t="s">
        <v>20983</v>
      </c>
      <c r="R10666" t="s">
        <v>19225</v>
      </c>
      <c r="S10666">
        <v>5117</v>
      </c>
    </row>
    <row r="10667" spans="1:19">
      <c r="A10667" t="s">
        <v>126</v>
      </c>
      <c r="B10667" t="s">
        <v>150</v>
      </c>
      <c r="C10667" t="s">
        <v>258</v>
      </c>
      <c r="D10667" t="s">
        <v>387</v>
      </c>
      <c r="F10667">
        <f>HYPERLINK("https://www.wikidata.org/wiki/Q3510904", "Q3510904")</f>
        <v>0</v>
      </c>
      <c r="G10667" t="s">
        <v>4398</v>
      </c>
      <c r="H10667" t="s">
        <v>8547</v>
      </c>
      <c r="I10667" t="s">
        <v>6495</v>
      </c>
      <c r="J10667" t="s">
        <v>14888</v>
      </c>
      <c r="K10667" t="s">
        <v>19226</v>
      </c>
      <c r="M10667">
        <f>HYPERLINK("https://www.senat.fr/senateur-3eme-republique/de_montaignac_de_chauvance_louis1515r3.html", "de_montaignac_de_chauvance_louis1515r3")</f>
        <v>0</v>
      </c>
      <c r="N10667">
        <f>HYPERLINK("https://www.wikidata.org/wiki/Q732472", "Q732472")</f>
        <v>0</v>
      </c>
      <c r="O10667" t="s">
        <v>20399</v>
      </c>
      <c r="Q10667" t="s">
        <v>20983</v>
      </c>
      <c r="R10667" t="s">
        <v>19226</v>
      </c>
      <c r="S10667">
        <v>5649</v>
      </c>
    </row>
    <row r="10668" spans="1:19">
      <c r="A10668" t="s">
        <v>127</v>
      </c>
      <c r="B10668" t="s">
        <v>150</v>
      </c>
      <c r="C10668" t="s">
        <v>259</v>
      </c>
      <c r="D10668" t="s">
        <v>388</v>
      </c>
      <c r="F10668">
        <f>HYPERLINK("https://www.wikidata.org/wiki/Q97178405", "Q97178405")</f>
        <v>0</v>
      </c>
      <c r="G10668" t="s">
        <v>4399</v>
      </c>
      <c r="H10668" t="s">
        <v>8548</v>
      </c>
      <c r="I10668" t="s">
        <v>11191</v>
      </c>
      <c r="J10668" t="s">
        <v>14889</v>
      </c>
      <c r="K10668" t="s">
        <v>19227</v>
      </c>
      <c r="M10668">
        <f>HYPERLINK("https://www.senat.fr/senateur-3eme-republique/de_la_jaille_charles_andre0842r3.html", "de_la_jaille_charles_andre0842r3")</f>
        <v>0</v>
      </c>
      <c r="N10668">
        <f>HYPERLINK("https://www.wikidata.org/wiki/Q20027704", "Q20027704")</f>
        <v>0</v>
      </c>
      <c r="O10668" t="s">
        <v>20028</v>
      </c>
      <c r="Q10668" t="s">
        <v>388</v>
      </c>
      <c r="R10668" t="s">
        <v>21644</v>
      </c>
      <c r="S10668">
        <v>3285</v>
      </c>
    </row>
    <row r="10669" spans="1:19">
      <c r="A10669" t="s">
        <v>127</v>
      </c>
      <c r="B10669" t="s">
        <v>150</v>
      </c>
      <c r="C10669" t="s">
        <v>259</v>
      </c>
      <c r="D10669" t="s">
        <v>388</v>
      </c>
      <c r="F10669">
        <f>HYPERLINK("https://www.wikidata.org/wiki/Q97178405", "Q97178405")</f>
        <v>0</v>
      </c>
      <c r="G10669" t="s">
        <v>3114</v>
      </c>
      <c r="H10669" t="s">
        <v>7559</v>
      </c>
      <c r="I10669" t="s">
        <v>9385</v>
      </c>
      <c r="J10669" t="s">
        <v>13736</v>
      </c>
      <c r="K10669" t="s">
        <v>18118</v>
      </c>
      <c r="L10669">
        <f>HYPERLINK("https://www2.assemblee-nationale.fr/sycomore/fiche/(num_dept)/2545", "2545")</f>
        <v>0</v>
      </c>
      <c r="M10669">
        <f>HYPERLINK("https://www.senat.fr/senateur-3eme-republique/de_dompierre_d_hornoy_charles1675r3.html", "de_dompierre_d_hornoy_charles1675r3")</f>
        <v>0</v>
      </c>
      <c r="N10669">
        <f>HYPERLINK("https://www.wikidata.org/wiki/Q2960566", "Q2960566")</f>
        <v>0</v>
      </c>
      <c r="O10669" t="s">
        <v>20012</v>
      </c>
      <c r="Q10669" t="s">
        <v>20984</v>
      </c>
      <c r="R10669" t="s">
        <v>21645</v>
      </c>
      <c r="S10669">
        <v>2169</v>
      </c>
    </row>
    <row r="10670" spans="1:19">
      <c r="A10670" t="s">
        <v>127</v>
      </c>
      <c r="B10670" t="s">
        <v>150</v>
      </c>
      <c r="C10670" t="s">
        <v>259</v>
      </c>
      <c r="D10670" t="s">
        <v>388</v>
      </c>
      <c r="F10670">
        <f>HYPERLINK("https://www.wikidata.org/wiki/Q97178405", "Q97178405")</f>
        <v>0</v>
      </c>
      <c r="G10670" t="s">
        <v>3141</v>
      </c>
      <c r="H10670" t="s">
        <v>7580</v>
      </c>
      <c r="I10670" t="s">
        <v>10656</v>
      </c>
      <c r="J10670" t="s">
        <v>13763</v>
      </c>
      <c r="K10670" t="s">
        <v>13113</v>
      </c>
      <c r="L10670">
        <f>HYPERLINK("https://www2.assemblee-nationale.fr/sycomore/fiche/(num_dept)/4308", "4308")</f>
        <v>0</v>
      </c>
      <c r="M10670">
        <f>HYPERLINK("https://www.senat.fr/senateur-3eme-republique/lambert_de_sainte_croix_charles0266r3.html", "lambert_de_sainte_croix_charles0266r3")</f>
        <v>0</v>
      </c>
      <c r="N10670">
        <f>HYPERLINK("https://www.wikidata.org/wiki/Q2959560", "Q2959560")</f>
        <v>0</v>
      </c>
      <c r="O10670" t="s">
        <v>19960</v>
      </c>
      <c r="Q10670" t="s">
        <v>20984</v>
      </c>
      <c r="R10670" t="s">
        <v>21644</v>
      </c>
      <c r="S10670">
        <v>3282</v>
      </c>
    </row>
    <row r="10671" spans="1:19">
      <c r="A10671" t="s">
        <v>127</v>
      </c>
      <c r="B10671" t="s">
        <v>150</v>
      </c>
      <c r="C10671" t="s">
        <v>259</v>
      </c>
      <c r="D10671" t="s">
        <v>388</v>
      </c>
      <c r="F10671">
        <f>HYPERLINK("https://www.wikidata.org/wiki/Q97178405", "Q97178405")</f>
        <v>0</v>
      </c>
      <c r="G10671" t="s">
        <v>3494</v>
      </c>
      <c r="H10671" t="s">
        <v>7864</v>
      </c>
      <c r="I10671" t="s">
        <v>5528</v>
      </c>
      <c r="J10671" t="s">
        <v>13235</v>
      </c>
      <c r="K10671" t="s">
        <v>18458</v>
      </c>
      <c r="L10671">
        <f>HYPERLINK("https://www2.assemblee-nationale.fr/sycomore/fiche/(num_dept)/6327", "6327")</f>
        <v>0</v>
      </c>
      <c r="M10671">
        <f>HYPERLINK("https://www.senat.fr/senateur-3eme-republique/say_leon1623r3.html", "say_leon1623r3")</f>
        <v>0</v>
      </c>
      <c r="N10671">
        <f>HYPERLINK("https://www.wikidata.org/wiki/Q3271322", "Q3271322")</f>
        <v>0</v>
      </c>
      <c r="O10671" t="s">
        <v>19976</v>
      </c>
      <c r="Q10671" t="s">
        <v>20984</v>
      </c>
      <c r="R10671" t="s">
        <v>21645</v>
      </c>
      <c r="S10671">
        <v>2169</v>
      </c>
    </row>
    <row r="10672" spans="1:19">
      <c r="A10672" t="s">
        <v>127</v>
      </c>
      <c r="B10672" t="s">
        <v>150</v>
      </c>
      <c r="C10672" t="s">
        <v>259</v>
      </c>
      <c r="D10672" t="s">
        <v>388</v>
      </c>
      <c r="F10672">
        <f>HYPERLINK("https://www.wikidata.org/wiki/Q97178405", "Q97178405")</f>
        <v>0</v>
      </c>
      <c r="G10672" t="s">
        <v>3292</v>
      </c>
      <c r="H10672" t="s">
        <v>7704</v>
      </c>
      <c r="I10672" t="s">
        <v>9385</v>
      </c>
      <c r="J10672" t="s">
        <v>13906</v>
      </c>
      <c r="K10672" t="s">
        <v>18277</v>
      </c>
      <c r="L10672">
        <f>HYPERLINK("https://www2.assemblee-nationale.fr/sycomore/fiche/(num_dept)/7472", "7472")</f>
        <v>0</v>
      </c>
      <c r="M10672">
        <f>HYPERLINK("https://www.senat.fr/senateur-3eme-republique/de_vast_vimeux_charles0403r3.html", "de_vast_vimeux_charles0403r3")</f>
        <v>0</v>
      </c>
      <c r="N10672">
        <f>HYPERLINK("https://www.wikidata.org/wiki/Q2835553", "Q2835553")</f>
        <v>0</v>
      </c>
      <c r="O10672" t="s">
        <v>20037</v>
      </c>
      <c r="Q10672" t="s">
        <v>20984</v>
      </c>
      <c r="R10672" t="s">
        <v>21644</v>
      </c>
      <c r="S10672">
        <v>3282</v>
      </c>
    </row>
    <row r="10673" spans="1:19">
      <c r="A10673" t="s">
        <v>127</v>
      </c>
      <c r="B10673" t="s">
        <v>150</v>
      </c>
      <c r="C10673" t="s">
        <v>259</v>
      </c>
      <c r="D10673" t="s">
        <v>388</v>
      </c>
      <c r="F10673">
        <f>HYPERLINK("https://www.wikidata.org/wiki/Q97178405", "Q97178405")</f>
        <v>0</v>
      </c>
      <c r="G10673" t="s">
        <v>3222</v>
      </c>
      <c r="H10673" t="s">
        <v>7649</v>
      </c>
      <c r="I10673" t="s">
        <v>9385</v>
      </c>
      <c r="J10673" t="s">
        <v>13841</v>
      </c>
      <c r="K10673" t="s">
        <v>18212</v>
      </c>
      <c r="L10673">
        <f>HYPERLINK("https://www2.assemblee-nationale.fr/sycomore/fiche/(num_dept)/8037", "8037")</f>
        <v>0</v>
      </c>
      <c r="M10673">
        <f>HYPERLINK("https://www.senat.fr/senateur-3eme-republique/du_campe_de_rosamel_charles0953r3.html", "du_campe_de_rosamel_charles0953r3")</f>
        <v>0</v>
      </c>
      <c r="N10673">
        <f>HYPERLINK("https://www.wikidata.org/wiki/Q2960734", "Q2960734")</f>
        <v>0</v>
      </c>
      <c r="O10673" t="s">
        <v>19968</v>
      </c>
      <c r="Q10673" t="s">
        <v>20984</v>
      </c>
      <c r="R10673" t="s">
        <v>21645</v>
      </c>
      <c r="S10673">
        <v>2169</v>
      </c>
    </row>
    <row r="10674" spans="1:19">
      <c r="A10674" t="s">
        <v>127</v>
      </c>
      <c r="B10674" t="s">
        <v>150</v>
      </c>
      <c r="C10674" t="s">
        <v>259</v>
      </c>
      <c r="D10674" t="s">
        <v>388</v>
      </c>
      <c r="F10674">
        <f>HYPERLINK("https://www.wikidata.org/wiki/Q97178405", "Q97178405")</f>
        <v>0</v>
      </c>
      <c r="G10674" t="s">
        <v>4400</v>
      </c>
      <c r="H10674" t="s">
        <v>8549</v>
      </c>
      <c r="I10674" t="s">
        <v>9385</v>
      </c>
      <c r="J10674" t="s">
        <v>14890</v>
      </c>
      <c r="K10674" t="s">
        <v>19228</v>
      </c>
      <c r="M10674">
        <f>HYPERLINK("https://www.senat.fr/senateur-3eme-republique/robin_charles0011r3.html", "robin_charles0011r3")</f>
        <v>0</v>
      </c>
      <c r="N10674">
        <f>HYPERLINK("https://www.wikidata.org/wiki/Q716201", "Q716201")</f>
        <v>0</v>
      </c>
      <c r="O10674" t="s">
        <v>19986</v>
      </c>
      <c r="Q10674" t="s">
        <v>20984</v>
      </c>
      <c r="R10674" t="s">
        <v>21644</v>
      </c>
      <c r="S10674">
        <v>3282</v>
      </c>
    </row>
    <row r="10675" spans="1:19">
      <c r="A10675" t="s">
        <v>127</v>
      </c>
      <c r="B10675" t="s">
        <v>150</v>
      </c>
      <c r="C10675" t="s">
        <v>259</v>
      </c>
      <c r="D10675" t="s">
        <v>388</v>
      </c>
      <c r="F10675">
        <f>HYPERLINK("https://www.wikidata.org/wiki/Q97178405", "Q97178405")</f>
        <v>0</v>
      </c>
      <c r="G10675" t="s">
        <v>4401</v>
      </c>
      <c r="H10675" t="s">
        <v>8550</v>
      </c>
      <c r="I10675" t="s">
        <v>9465</v>
      </c>
      <c r="J10675" t="s">
        <v>14891</v>
      </c>
      <c r="K10675" t="s">
        <v>19229</v>
      </c>
      <c r="M10675">
        <f>HYPERLINK("https://www.senat.fr/senateur-3eme-republique/bonnet_louis_eugene0005r3.html", "bonnet_louis_eugene0005r3")</f>
        <v>0</v>
      </c>
      <c r="N10675">
        <f>HYPERLINK("https://www.wikidata.org/wiki/Q3261308", "Q3261308")</f>
        <v>0</v>
      </c>
      <c r="O10675" t="s">
        <v>19986</v>
      </c>
      <c r="Q10675" t="s">
        <v>20984</v>
      </c>
      <c r="R10675" t="s">
        <v>21644</v>
      </c>
      <c r="S10675">
        <v>3282</v>
      </c>
    </row>
    <row r="10676" spans="1:19">
      <c r="A10676" t="s">
        <v>127</v>
      </c>
      <c r="B10676" t="s">
        <v>150</v>
      </c>
      <c r="C10676" t="s">
        <v>259</v>
      </c>
      <c r="D10676" t="s">
        <v>388</v>
      </c>
      <c r="F10676">
        <f>HYPERLINK("https://www.wikidata.org/wiki/Q97178405", "Q97178405")</f>
        <v>0</v>
      </c>
      <c r="G10676" t="s">
        <v>4402</v>
      </c>
      <c r="H10676" t="s">
        <v>8551</v>
      </c>
      <c r="I10676" t="s">
        <v>9457</v>
      </c>
      <c r="J10676" t="s">
        <v>14892</v>
      </c>
      <c r="K10676" t="s">
        <v>19230</v>
      </c>
      <c r="M10676">
        <f>HYPERLINK("https://www.senat.fr/senateur-3eme-republique/martin_henri0024r3.html", "martin_henri0024r3")</f>
        <v>0</v>
      </c>
      <c r="N10676">
        <f>HYPERLINK("https://www.wikidata.org/wiki/Q954657", "Q954657")</f>
        <v>0</v>
      </c>
      <c r="O10676" t="s">
        <v>20015</v>
      </c>
      <c r="Q10676" t="s">
        <v>20984</v>
      </c>
      <c r="R10676" t="s">
        <v>19230</v>
      </c>
      <c r="S10676">
        <v>2874</v>
      </c>
    </row>
    <row r="10677" spans="1:19">
      <c r="A10677" t="s">
        <v>127</v>
      </c>
      <c r="B10677" t="s">
        <v>150</v>
      </c>
      <c r="C10677" t="s">
        <v>259</v>
      </c>
      <c r="D10677" t="s">
        <v>388</v>
      </c>
      <c r="F10677">
        <f>HYPERLINK("https://www.wikidata.org/wiki/Q97178405", "Q97178405")</f>
        <v>0</v>
      </c>
      <c r="G10677" t="s">
        <v>4403</v>
      </c>
      <c r="H10677" t="s">
        <v>8552</v>
      </c>
      <c r="I10677" t="s">
        <v>9385</v>
      </c>
      <c r="J10677" t="s">
        <v>14893</v>
      </c>
      <c r="K10677" t="s">
        <v>19231</v>
      </c>
      <c r="M10677">
        <f>HYPERLINK("https://www.senat.fr/senateur-3eme-republique/de_saint_vallier_charles0032r3.html", "de_saint_vallier_charles0032r3")</f>
        <v>0</v>
      </c>
      <c r="N10677">
        <f>HYPERLINK("https://www.wikidata.org/wiki/Q834576", "Q834576")</f>
        <v>0</v>
      </c>
      <c r="O10677" t="s">
        <v>20015</v>
      </c>
      <c r="Q10677" t="s">
        <v>20984</v>
      </c>
      <c r="R10677" t="s">
        <v>21644</v>
      </c>
      <c r="S10677">
        <v>3282</v>
      </c>
    </row>
    <row r="10678" spans="1:19">
      <c r="A10678" t="s">
        <v>127</v>
      </c>
      <c r="B10678" t="s">
        <v>150</v>
      </c>
      <c r="C10678" t="s">
        <v>259</v>
      </c>
      <c r="D10678" t="s">
        <v>388</v>
      </c>
      <c r="F10678">
        <f>HYPERLINK("https://www.wikidata.org/wiki/Q97178405", "Q97178405")</f>
        <v>0</v>
      </c>
      <c r="G10678" t="s">
        <v>4404</v>
      </c>
      <c r="H10678" t="s">
        <v>8553</v>
      </c>
      <c r="I10678" t="s">
        <v>9712</v>
      </c>
      <c r="J10678" t="s">
        <v>14894</v>
      </c>
      <c r="K10678" t="s">
        <v>19232</v>
      </c>
      <c r="M10678">
        <f>HYPERLINK("https://www.senat.fr/senateur-3eme-republique/waddington_william0028r3.html", "waddington_william0028r3")</f>
        <v>0</v>
      </c>
      <c r="N10678">
        <f>HYPERLINK("https://www.wikidata.org/wiki/Q548696", "Q548696")</f>
        <v>0</v>
      </c>
      <c r="O10678" t="s">
        <v>20015</v>
      </c>
      <c r="Q10678" t="s">
        <v>20984</v>
      </c>
      <c r="R10678" t="s">
        <v>21644</v>
      </c>
      <c r="S10678">
        <v>3282</v>
      </c>
    </row>
    <row r="10679" spans="1:19">
      <c r="A10679" t="s">
        <v>127</v>
      </c>
      <c r="B10679" t="s">
        <v>150</v>
      </c>
      <c r="C10679" t="s">
        <v>259</v>
      </c>
      <c r="D10679" t="s">
        <v>388</v>
      </c>
      <c r="F10679">
        <f>HYPERLINK("https://www.wikidata.org/wiki/Q97178405", "Q97178405")</f>
        <v>0</v>
      </c>
      <c r="G10679" t="s">
        <v>4405</v>
      </c>
      <c r="H10679" t="s">
        <v>8554</v>
      </c>
      <c r="I10679" t="s">
        <v>9385</v>
      </c>
      <c r="J10679" t="s">
        <v>14895</v>
      </c>
      <c r="K10679" t="s">
        <v>12601</v>
      </c>
      <c r="M10679">
        <f>HYPERLINK("https://www.senat.fr/senateur-3eme-republique/de_veauce_charles0046r3.html", "de_veauce_charles0046r3")</f>
        <v>0</v>
      </c>
      <c r="N10679">
        <f>HYPERLINK("https://www.wikidata.org/wiki/Q2960717", "Q2960717")</f>
        <v>0</v>
      </c>
      <c r="O10679" t="s">
        <v>19999</v>
      </c>
      <c r="Q10679" t="s">
        <v>20984</v>
      </c>
      <c r="R10679" t="s">
        <v>20689</v>
      </c>
      <c r="S10679">
        <v>2975</v>
      </c>
    </row>
    <row r="10680" spans="1:19">
      <c r="A10680" t="s">
        <v>127</v>
      </c>
      <c r="B10680" t="s">
        <v>150</v>
      </c>
      <c r="C10680" t="s">
        <v>259</v>
      </c>
      <c r="D10680" t="s">
        <v>388</v>
      </c>
      <c r="F10680">
        <f>HYPERLINK("https://www.wikidata.org/wiki/Q97178405", "Q97178405")</f>
        <v>0</v>
      </c>
      <c r="G10680" t="s">
        <v>4406</v>
      </c>
      <c r="H10680" t="s">
        <v>8555</v>
      </c>
      <c r="I10680" t="s">
        <v>6495</v>
      </c>
      <c r="J10680" t="s">
        <v>14896</v>
      </c>
      <c r="K10680" t="s">
        <v>19233</v>
      </c>
      <c r="M10680">
        <f>HYPERLINK("https://www.senat.fr/senateur-3eme-republique/de_chantemerle_louis0041r3.html", "de_chantemerle_louis0041r3")</f>
        <v>0</v>
      </c>
      <c r="N10680">
        <f>HYPERLINK("https://www.wikidata.org/wiki/Q3263417", "Q3263417")</f>
        <v>0</v>
      </c>
      <c r="O10680" t="s">
        <v>19999</v>
      </c>
      <c r="Q10680" t="s">
        <v>20984</v>
      </c>
      <c r="R10680" t="s">
        <v>21644</v>
      </c>
      <c r="S10680">
        <v>3282</v>
      </c>
    </row>
    <row r="10681" spans="1:19">
      <c r="A10681" t="s">
        <v>127</v>
      </c>
      <c r="B10681" t="s">
        <v>150</v>
      </c>
      <c r="C10681" t="s">
        <v>259</v>
      </c>
      <c r="D10681" t="s">
        <v>388</v>
      </c>
      <c r="F10681">
        <f>HYPERLINK("https://www.wikidata.org/wiki/Q97178405", "Q97178405")</f>
        <v>0</v>
      </c>
      <c r="G10681" t="s">
        <v>4407</v>
      </c>
      <c r="H10681" t="s">
        <v>8556</v>
      </c>
      <c r="I10681" t="s">
        <v>11192</v>
      </c>
      <c r="J10681" t="s">
        <v>14897</v>
      </c>
      <c r="K10681" t="s">
        <v>19234</v>
      </c>
      <c r="M10681">
        <f>HYPERLINK("https://www.senat.fr/senateur-3eme-republique/martenot_charles_auguste0052r3.html", "martenot_charles_auguste0052r3")</f>
        <v>0</v>
      </c>
      <c r="N10681">
        <f>HYPERLINK("https://www.wikidata.org/wiki/Q2957966", "Q2957966")</f>
        <v>0</v>
      </c>
      <c r="O10681" t="s">
        <v>19999</v>
      </c>
      <c r="Q10681" t="s">
        <v>20984</v>
      </c>
      <c r="R10681" t="s">
        <v>21644</v>
      </c>
      <c r="S10681">
        <v>3282</v>
      </c>
    </row>
    <row r="10682" spans="1:19">
      <c r="A10682" t="s">
        <v>127</v>
      </c>
      <c r="B10682" t="s">
        <v>150</v>
      </c>
      <c r="C10682" t="s">
        <v>259</v>
      </c>
      <c r="D10682" t="s">
        <v>388</v>
      </c>
      <c r="F10682">
        <f>HYPERLINK("https://www.wikidata.org/wiki/Q97178405", "Q97178405")</f>
        <v>0</v>
      </c>
      <c r="G10682" t="s">
        <v>4408</v>
      </c>
      <c r="H10682" t="s">
        <v>8557</v>
      </c>
      <c r="I10682" t="s">
        <v>6166</v>
      </c>
      <c r="J10682" t="s">
        <v>14898</v>
      </c>
      <c r="K10682" t="s">
        <v>15562</v>
      </c>
      <c r="M10682">
        <f>HYPERLINK("https://www.senat.fr/senateur-3eme-republique/dieude_defly_francois0072r3.html", "dieude_defly_francois0072r3")</f>
        <v>0</v>
      </c>
      <c r="N10682">
        <f>HYPERLINK("https://www.wikidata.org/wiki/Q2958914", "Q2958914")</f>
        <v>0</v>
      </c>
      <c r="O10682" t="s">
        <v>20024</v>
      </c>
      <c r="Q10682" t="s">
        <v>20984</v>
      </c>
      <c r="R10682" t="s">
        <v>15562</v>
      </c>
      <c r="S10682">
        <v>3093</v>
      </c>
    </row>
    <row r="10683" spans="1:19">
      <c r="A10683" t="s">
        <v>127</v>
      </c>
      <c r="B10683" t="s">
        <v>150</v>
      </c>
      <c r="C10683" t="s">
        <v>259</v>
      </c>
      <c r="D10683" t="s">
        <v>388</v>
      </c>
      <c r="F10683">
        <f>HYPERLINK("https://www.wikidata.org/wiki/Q97178405", "Q97178405")</f>
        <v>0</v>
      </c>
      <c r="G10683" t="s">
        <v>4409</v>
      </c>
      <c r="H10683" t="s">
        <v>8558</v>
      </c>
      <c r="I10683" t="s">
        <v>9841</v>
      </c>
      <c r="J10683" t="s">
        <v>14899</v>
      </c>
      <c r="K10683" t="s">
        <v>19235</v>
      </c>
      <c r="M10683">
        <f>HYPERLINK("https://www.senat.fr/senateur-3eme-republique/rampon_joachim0130r3.html", "rampon_joachim0130r3")</f>
        <v>0</v>
      </c>
      <c r="N10683">
        <f>HYPERLINK("https://www.wikidata.org/wiki/Q3179497", "Q3179497")</f>
        <v>0</v>
      </c>
      <c r="O10683" t="s">
        <v>19991</v>
      </c>
      <c r="Q10683" t="s">
        <v>20984</v>
      </c>
      <c r="R10683" t="s">
        <v>19235</v>
      </c>
      <c r="S10683">
        <v>2538</v>
      </c>
    </row>
    <row r="10684" spans="1:19">
      <c r="A10684" t="s">
        <v>127</v>
      </c>
      <c r="B10684" t="s">
        <v>150</v>
      </c>
      <c r="C10684" t="s">
        <v>259</v>
      </c>
      <c r="D10684" t="s">
        <v>388</v>
      </c>
      <c r="F10684">
        <f>HYPERLINK("https://www.wikidata.org/wiki/Q97178405", "Q97178405")</f>
        <v>0</v>
      </c>
      <c r="G10684" t="s">
        <v>4410</v>
      </c>
      <c r="H10684" t="s">
        <v>8559</v>
      </c>
      <c r="I10684" t="s">
        <v>9445</v>
      </c>
      <c r="J10684" t="s">
        <v>14900</v>
      </c>
      <c r="K10684" t="s">
        <v>19236</v>
      </c>
      <c r="M10684">
        <f>HYPERLINK("https://www.senat.fr/senateur-3eme-republique/tailhand_adrien0137r3.html", "tailhand_adrien0137r3")</f>
        <v>0</v>
      </c>
      <c r="N10684">
        <f>HYPERLINK("https://www.wikidata.org/wiki/Q377194", "Q377194")</f>
        <v>0</v>
      </c>
      <c r="O10684" t="s">
        <v>19991</v>
      </c>
      <c r="Q10684" t="s">
        <v>20984</v>
      </c>
      <c r="R10684" t="s">
        <v>21644</v>
      </c>
      <c r="S10684">
        <v>3282</v>
      </c>
    </row>
    <row r="10685" spans="1:19">
      <c r="A10685" t="s">
        <v>127</v>
      </c>
      <c r="B10685" t="s">
        <v>150</v>
      </c>
      <c r="C10685" t="s">
        <v>259</v>
      </c>
      <c r="D10685" t="s">
        <v>388</v>
      </c>
      <c r="F10685">
        <f>HYPERLINK("https://www.wikidata.org/wiki/Q97178405", "Q97178405")</f>
        <v>0</v>
      </c>
      <c r="G10685" t="s">
        <v>4411</v>
      </c>
      <c r="H10685" t="s">
        <v>8560</v>
      </c>
      <c r="I10685" t="s">
        <v>9602</v>
      </c>
      <c r="J10685" t="s">
        <v>14901</v>
      </c>
      <c r="K10685" t="s">
        <v>19237</v>
      </c>
      <c r="M10685">
        <f>HYPERLINK("https://www.senat.fr/senateur-3eme-republique/toupet_des_vignes_edmond0159r3.html", "toupet_des_vignes_edmond0159r3")</f>
        <v>0</v>
      </c>
      <c r="N10685">
        <f>HYPERLINK("https://www.wikidata.org/wiki/Q3048005", "Q3048005")</f>
        <v>0</v>
      </c>
      <c r="O10685" t="s">
        <v>19959</v>
      </c>
      <c r="Q10685" t="s">
        <v>20984</v>
      </c>
      <c r="R10685" t="s">
        <v>21646</v>
      </c>
      <c r="S10685">
        <v>2336</v>
      </c>
    </row>
    <row r="10686" spans="1:19">
      <c r="A10686" t="s">
        <v>127</v>
      </c>
      <c r="B10686" t="s">
        <v>150</v>
      </c>
      <c r="C10686" t="s">
        <v>259</v>
      </c>
      <c r="D10686" t="s">
        <v>388</v>
      </c>
      <c r="F10686">
        <f>HYPERLINK("https://www.wikidata.org/wiki/Q97178405", "Q97178405")</f>
        <v>0</v>
      </c>
      <c r="G10686" t="s">
        <v>4412</v>
      </c>
      <c r="H10686" t="s">
        <v>8561</v>
      </c>
      <c r="I10686" t="s">
        <v>9474</v>
      </c>
      <c r="J10686" t="s">
        <v>14902</v>
      </c>
      <c r="K10686" t="s">
        <v>19238</v>
      </c>
      <c r="M10686">
        <f>HYPERLINK("https://www.senat.fr/senateur-3eme-republique/vigarosy_jean_baptiste0185r3.html", "vigarosy_jean_baptiste0185r3")</f>
        <v>0</v>
      </c>
      <c r="N10686">
        <f>HYPERLINK("https://www.wikidata.org/wiki/Q3164480", "Q3164480")</f>
        <v>0</v>
      </c>
      <c r="O10686" t="s">
        <v>20019</v>
      </c>
      <c r="Q10686" t="s">
        <v>20984</v>
      </c>
      <c r="R10686" t="s">
        <v>21644</v>
      </c>
      <c r="S10686">
        <v>3282</v>
      </c>
    </row>
    <row r="10687" spans="1:19">
      <c r="A10687" t="s">
        <v>127</v>
      </c>
      <c r="B10687" t="s">
        <v>150</v>
      </c>
      <c r="C10687" t="s">
        <v>259</v>
      </c>
      <c r="D10687" t="s">
        <v>388</v>
      </c>
      <c r="F10687">
        <f>HYPERLINK("https://www.wikidata.org/wiki/Q97178405", "Q97178405")</f>
        <v>0</v>
      </c>
      <c r="G10687" t="s">
        <v>4413</v>
      </c>
      <c r="H10687" t="s">
        <v>8562</v>
      </c>
      <c r="I10687" t="s">
        <v>6200</v>
      </c>
      <c r="J10687" t="s">
        <v>14903</v>
      </c>
      <c r="K10687" t="s">
        <v>19239</v>
      </c>
      <c r="M10687">
        <f>HYPERLINK("https://www.senat.fr/senateur-3eme-republique/masson_de_mortefontaine_jean0227r3.html", "masson_de_mortefontaine_jean0227r3")</f>
        <v>0</v>
      </c>
      <c r="N10687">
        <f>HYPERLINK("https://www.wikidata.org/wiki/Q3173452", "Q3173452")</f>
        <v>0</v>
      </c>
      <c r="O10687" t="s">
        <v>8449</v>
      </c>
      <c r="Q10687" t="s">
        <v>20984</v>
      </c>
      <c r="R10687" t="s">
        <v>21644</v>
      </c>
      <c r="S10687">
        <v>3282</v>
      </c>
    </row>
    <row r="10688" spans="1:19">
      <c r="A10688" t="s">
        <v>127</v>
      </c>
      <c r="B10688" t="s">
        <v>150</v>
      </c>
      <c r="C10688" t="s">
        <v>259</v>
      </c>
      <c r="D10688" t="s">
        <v>388</v>
      </c>
      <c r="F10688">
        <f>HYPERLINK("https://www.wikidata.org/wiki/Q97178405", "Q97178405")</f>
        <v>0</v>
      </c>
      <c r="G10688" t="s">
        <v>4414</v>
      </c>
      <c r="H10688" t="s">
        <v>8563</v>
      </c>
      <c r="I10688" t="s">
        <v>6860</v>
      </c>
      <c r="J10688" t="s">
        <v>14904</v>
      </c>
      <c r="K10688" t="s">
        <v>19240</v>
      </c>
      <c r="M10688">
        <f>HYPERLINK("https://www.senat.fr/senateur-3eme-republique/beraldi_pierre0256r3.html", "beraldi_pierre0256r3")</f>
        <v>0</v>
      </c>
      <c r="N10688">
        <f>HYPERLINK("https://www.wikidata.org/wiki/Q3383259", "Q3383259")</f>
        <v>0</v>
      </c>
      <c r="O10688" t="s">
        <v>19960</v>
      </c>
      <c r="Q10688" t="s">
        <v>20984</v>
      </c>
      <c r="R10688" t="s">
        <v>21644</v>
      </c>
      <c r="S10688">
        <v>3282</v>
      </c>
    </row>
    <row r="10689" spans="1:19">
      <c r="A10689" t="s">
        <v>127</v>
      </c>
      <c r="B10689" t="s">
        <v>150</v>
      </c>
      <c r="C10689" t="s">
        <v>259</v>
      </c>
      <c r="D10689" t="s">
        <v>388</v>
      </c>
      <c r="F10689">
        <f>HYPERLINK("https://www.wikidata.org/wiki/Q97178405", "Q97178405")</f>
        <v>0</v>
      </c>
      <c r="G10689" t="s">
        <v>4415</v>
      </c>
      <c r="H10689" t="s">
        <v>8564</v>
      </c>
      <c r="I10689" t="s">
        <v>10485</v>
      </c>
      <c r="J10689" t="s">
        <v>14905</v>
      </c>
      <c r="K10689" t="s">
        <v>19241</v>
      </c>
      <c r="M10689">
        <f>HYPERLINK("https://www.senat.fr/senateur-3eme-republique/mayran_casimir0282r3.html", "mayran_casimir0282r3")</f>
        <v>0</v>
      </c>
      <c r="N10689">
        <f>HYPERLINK("https://www.wikidata.org/wiki/Q20027647", "Q20027647")</f>
        <v>0</v>
      </c>
      <c r="O10689" t="s">
        <v>19967</v>
      </c>
      <c r="Q10689" t="s">
        <v>20984</v>
      </c>
      <c r="R10689" t="s">
        <v>21644</v>
      </c>
      <c r="S10689">
        <v>3282</v>
      </c>
    </row>
    <row r="10690" spans="1:19">
      <c r="A10690" t="s">
        <v>127</v>
      </c>
      <c r="B10690" t="s">
        <v>150</v>
      </c>
      <c r="C10690" t="s">
        <v>259</v>
      </c>
      <c r="D10690" t="s">
        <v>388</v>
      </c>
      <c r="F10690">
        <f>HYPERLINK("https://www.wikidata.org/wiki/Q97178405", "Q97178405")</f>
        <v>0</v>
      </c>
      <c r="G10690" t="s">
        <v>4416</v>
      </c>
      <c r="H10690" t="s">
        <v>8565</v>
      </c>
      <c r="I10690" t="s">
        <v>9534</v>
      </c>
      <c r="J10690" t="s">
        <v>14906</v>
      </c>
      <c r="K10690" t="s">
        <v>17625</v>
      </c>
      <c r="M10690">
        <f>HYPERLINK("https://www.senat.fr/senateur-3eme-republique/boisse_adolphe0285r3.html", "boisse_adolphe0285r3")</f>
        <v>0</v>
      </c>
      <c r="N10690">
        <f>HYPERLINK("https://www.wikidata.org/wiki/Q2824776", "Q2824776")</f>
        <v>0</v>
      </c>
      <c r="O10690" t="s">
        <v>19967</v>
      </c>
      <c r="Q10690" t="s">
        <v>20984</v>
      </c>
      <c r="R10690" t="s">
        <v>21644</v>
      </c>
      <c r="S10690">
        <v>3282</v>
      </c>
    </row>
    <row r="10691" spans="1:19">
      <c r="A10691" t="s">
        <v>127</v>
      </c>
      <c r="B10691" t="s">
        <v>150</v>
      </c>
      <c r="C10691" t="s">
        <v>259</v>
      </c>
      <c r="D10691" t="s">
        <v>388</v>
      </c>
      <c r="F10691">
        <f>HYPERLINK("https://www.wikidata.org/wiki/Q97178405", "Q97178405")</f>
        <v>0</v>
      </c>
      <c r="G10691" t="s">
        <v>4417</v>
      </c>
      <c r="H10691" t="s">
        <v>8566</v>
      </c>
      <c r="I10691" t="s">
        <v>6200</v>
      </c>
      <c r="J10691" t="s">
        <v>14907</v>
      </c>
      <c r="K10691" t="s">
        <v>19242</v>
      </c>
      <c r="M10691">
        <f>HYPERLINK("https://www.senat.fr/senateur-3eme-republique/delsol_jean0292r3.html", "delsol_jean0292r3")</f>
        <v>0</v>
      </c>
      <c r="N10691">
        <f>HYPERLINK("https://www.wikidata.org/wiki/Q3171653", "Q3171653")</f>
        <v>0</v>
      </c>
      <c r="O10691" t="s">
        <v>19967</v>
      </c>
      <c r="Q10691" t="s">
        <v>20984</v>
      </c>
      <c r="R10691" t="s">
        <v>21644</v>
      </c>
      <c r="S10691">
        <v>3282</v>
      </c>
    </row>
    <row r="10692" spans="1:19">
      <c r="A10692" t="s">
        <v>127</v>
      </c>
      <c r="B10692" t="s">
        <v>150</v>
      </c>
      <c r="C10692" t="s">
        <v>259</v>
      </c>
      <c r="D10692" t="s">
        <v>388</v>
      </c>
      <c r="F10692">
        <f>HYPERLINK("https://www.wikidata.org/wiki/Q97178405", "Q97178405")</f>
        <v>0</v>
      </c>
      <c r="G10692" t="s">
        <v>4418</v>
      </c>
      <c r="H10692" t="s">
        <v>8567</v>
      </c>
      <c r="I10692" t="s">
        <v>11193</v>
      </c>
      <c r="J10692" t="s">
        <v>14908</v>
      </c>
      <c r="K10692" t="s">
        <v>19243</v>
      </c>
      <c r="M10692">
        <f>HYPERLINK("https://www.senat.fr/senateur-3eme-republique/du_chaffault_cesaire0064r3.html", "du_chaffault_cesaire0064r3")</f>
        <v>0</v>
      </c>
      <c r="N10692">
        <f>HYPERLINK("https://www.wikidata.org/wiki/Q3010382", "Q3010382")</f>
        <v>0</v>
      </c>
      <c r="O10692" t="s">
        <v>20033</v>
      </c>
      <c r="Q10692" t="s">
        <v>20984</v>
      </c>
      <c r="R10692" t="s">
        <v>19243</v>
      </c>
      <c r="S10692">
        <v>3050</v>
      </c>
    </row>
    <row r="10693" spans="1:19">
      <c r="A10693" t="s">
        <v>127</v>
      </c>
      <c r="B10693" t="s">
        <v>150</v>
      </c>
      <c r="C10693" t="s">
        <v>259</v>
      </c>
      <c r="D10693" t="s">
        <v>388</v>
      </c>
      <c r="F10693">
        <f>HYPERLINK("https://www.wikidata.org/wiki/Q97178405", "Q97178405")</f>
        <v>0</v>
      </c>
      <c r="G10693" t="s">
        <v>4419</v>
      </c>
      <c r="H10693" t="s">
        <v>8568</v>
      </c>
      <c r="I10693" t="s">
        <v>9407</v>
      </c>
      <c r="J10693" t="s">
        <v>14909</v>
      </c>
      <c r="K10693" t="s">
        <v>19244</v>
      </c>
      <c r="M10693">
        <f>HYPERLINK("https://www.senat.fr/senateur-3eme-republique/michel_joseph0056r3.html", "michel_joseph0056r3")</f>
        <v>0</v>
      </c>
      <c r="N10693">
        <f>HYPERLINK("https://www.wikidata.org/wiki/Q3185366", "Q3185366")</f>
        <v>0</v>
      </c>
      <c r="O10693" t="s">
        <v>20033</v>
      </c>
      <c r="Q10693" t="s">
        <v>20984</v>
      </c>
      <c r="R10693" t="s">
        <v>21644</v>
      </c>
      <c r="S10693">
        <v>3282</v>
      </c>
    </row>
    <row r="10694" spans="1:19">
      <c r="A10694" t="s">
        <v>127</v>
      </c>
      <c r="B10694" t="s">
        <v>150</v>
      </c>
      <c r="C10694" t="s">
        <v>259</v>
      </c>
      <c r="D10694" t="s">
        <v>388</v>
      </c>
      <c r="F10694">
        <f>HYPERLINK("https://www.wikidata.org/wiki/Q97178405", "Q97178405")</f>
        <v>0</v>
      </c>
      <c r="G10694" t="s">
        <v>4420</v>
      </c>
      <c r="H10694" t="s">
        <v>8569</v>
      </c>
      <c r="I10694" t="s">
        <v>7419</v>
      </c>
      <c r="J10694" t="s">
        <v>14910</v>
      </c>
      <c r="K10694" t="s">
        <v>12852</v>
      </c>
      <c r="M10694">
        <f>HYPERLINK("https://www.senat.fr/senateur-3eme-republique/daguenet_jacques1054r3.html", "daguenet_jacques1054r3")</f>
        <v>0</v>
      </c>
      <c r="N10694">
        <f>HYPERLINK("https://www.wikidata.org/wiki/Q2824802", "Q2824802")</f>
        <v>0</v>
      </c>
      <c r="O10694" t="s">
        <v>19970</v>
      </c>
      <c r="Q10694" t="s">
        <v>20984</v>
      </c>
      <c r="R10694" t="s">
        <v>21645</v>
      </c>
      <c r="S10694">
        <v>2169</v>
      </c>
    </row>
    <row r="10695" spans="1:19">
      <c r="A10695" t="s">
        <v>127</v>
      </c>
      <c r="B10695" t="s">
        <v>150</v>
      </c>
      <c r="C10695" t="s">
        <v>259</v>
      </c>
      <c r="D10695" t="s">
        <v>388</v>
      </c>
      <c r="F10695">
        <f>HYPERLINK("https://www.wikidata.org/wiki/Q97178405", "Q97178405")</f>
        <v>0</v>
      </c>
      <c r="G10695" t="s">
        <v>4421</v>
      </c>
      <c r="H10695" t="s">
        <v>5719</v>
      </c>
      <c r="I10695" t="s">
        <v>11194</v>
      </c>
      <c r="J10695" t="s">
        <v>14911</v>
      </c>
      <c r="K10695" t="s">
        <v>19245</v>
      </c>
      <c r="M10695">
        <f>HYPERLINK("https://www.senat.fr/senateur-3eme-republique/de_gontaut_biron_anne1063r3.html", "de_gontaut_biron_anne1063r3")</f>
        <v>0</v>
      </c>
      <c r="N10695">
        <f>HYPERLINK("https://www.wikidata.org/wiki/Q3587779", "Q3587779")</f>
        <v>0</v>
      </c>
      <c r="O10695" t="s">
        <v>19970</v>
      </c>
      <c r="Q10695" t="s">
        <v>20984</v>
      </c>
      <c r="R10695" t="s">
        <v>21645</v>
      </c>
      <c r="S10695">
        <v>2169</v>
      </c>
    </row>
    <row r="10696" spans="1:19">
      <c r="A10696" t="s">
        <v>127</v>
      </c>
      <c r="B10696" t="s">
        <v>150</v>
      </c>
      <c r="C10696" t="s">
        <v>259</v>
      </c>
      <c r="D10696" t="s">
        <v>388</v>
      </c>
      <c r="F10696">
        <f>HYPERLINK("https://www.wikidata.org/wiki/Q97178405", "Q97178405")</f>
        <v>0</v>
      </c>
      <c r="G10696" t="s">
        <v>4422</v>
      </c>
      <c r="H10696" t="s">
        <v>8570</v>
      </c>
      <c r="I10696" t="s">
        <v>9388</v>
      </c>
      <c r="J10696" t="s">
        <v>14912</v>
      </c>
      <c r="K10696" t="s">
        <v>19246</v>
      </c>
      <c r="M10696">
        <f>HYPERLINK("https://www.senat.fr/senateur-3eme-republique/de_lestapis_paul1044r3.html", "de_lestapis_paul1044r3")</f>
        <v>0</v>
      </c>
      <c r="N10696">
        <f>HYPERLINK("https://www.wikidata.org/wiki/Q3370318", "Q3370318")</f>
        <v>0</v>
      </c>
      <c r="O10696" t="s">
        <v>19970</v>
      </c>
      <c r="Q10696" t="s">
        <v>20984</v>
      </c>
      <c r="R10696" t="s">
        <v>21645</v>
      </c>
      <c r="S10696">
        <v>2169</v>
      </c>
    </row>
    <row r="10697" spans="1:19">
      <c r="A10697" t="s">
        <v>127</v>
      </c>
      <c r="B10697" t="s">
        <v>150</v>
      </c>
      <c r="C10697" t="s">
        <v>259</v>
      </c>
      <c r="D10697" t="s">
        <v>388</v>
      </c>
      <c r="F10697">
        <f>HYPERLINK("https://www.wikidata.org/wiki/Q97178405", "Q97178405")</f>
        <v>0</v>
      </c>
      <c r="G10697" t="s">
        <v>4303</v>
      </c>
      <c r="H10697" t="s">
        <v>8460</v>
      </c>
      <c r="I10697" t="s">
        <v>11179</v>
      </c>
      <c r="J10697" t="s">
        <v>14801</v>
      </c>
      <c r="K10697" t="s">
        <v>19144</v>
      </c>
      <c r="M10697">
        <f>HYPERLINK("https://www.senat.fr/senateur-3eme-republique/challemel_lacour_paul0315r3.html", "challemel_lacour_paul0315r3")</f>
        <v>0</v>
      </c>
      <c r="N10697">
        <f>HYPERLINK("https://www.wikidata.org/wiki/Q674393", "Q674393")</f>
        <v>0</v>
      </c>
      <c r="O10697" t="s">
        <v>19990</v>
      </c>
      <c r="Q10697" t="s">
        <v>20984</v>
      </c>
      <c r="R10697" t="s">
        <v>21644</v>
      </c>
      <c r="S10697">
        <v>3282</v>
      </c>
    </row>
    <row r="10698" spans="1:19">
      <c r="A10698" t="s">
        <v>127</v>
      </c>
      <c r="B10698" t="s">
        <v>150</v>
      </c>
      <c r="C10698" t="s">
        <v>259</v>
      </c>
      <c r="D10698" t="s">
        <v>388</v>
      </c>
      <c r="F10698">
        <f>HYPERLINK("https://www.wikidata.org/wiki/Q97178405", "Q97178405")</f>
        <v>0</v>
      </c>
      <c r="G10698" t="s">
        <v>4423</v>
      </c>
      <c r="H10698" t="s">
        <v>8571</v>
      </c>
      <c r="I10698" t="s">
        <v>9385</v>
      </c>
      <c r="J10698" t="s">
        <v>14913</v>
      </c>
      <c r="K10698" t="s">
        <v>19247</v>
      </c>
      <c r="M10698">
        <f>HYPERLINK("https://www.senat.fr/senateur-3eme-republique/paulmier_charles0332r3.html", "paulmier_charles0332r3")</f>
        <v>0</v>
      </c>
      <c r="N10698">
        <f>HYPERLINK("https://www.wikidata.org/wiki/Q17350278", "Q17350278")</f>
        <v>0</v>
      </c>
      <c r="O10698" t="s">
        <v>20009</v>
      </c>
      <c r="Q10698" t="s">
        <v>20984</v>
      </c>
      <c r="R10698" t="s">
        <v>21644</v>
      </c>
      <c r="S10698">
        <v>3282</v>
      </c>
    </row>
    <row r="10699" spans="1:19">
      <c r="A10699" t="s">
        <v>127</v>
      </c>
      <c r="B10699" t="s">
        <v>150</v>
      </c>
      <c r="C10699" t="s">
        <v>259</v>
      </c>
      <c r="D10699" t="s">
        <v>388</v>
      </c>
      <c r="F10699">
        <f>HYPERLINK("https://www.wikidata.org/wiki/Q97178405", "Q97178405")</f>
        <v>0</v>
      </c>
      <c r="G10699" t="s">
        <v>4424</v>
      </c>
      <c r="H10699" t="s">
        <v>8572</v>
      </c>
      <c r="I10699" t="s">
        <v>6495</v>
      </c>
      <c r="J10699" t="s">
        <v>14914</v>
      </c>
      <c r="K10699" t="s">
        <v>19248</v>
      </c>
      <c r="M10699">
        <f>HYPERLINK("https://www.senat.fr/senateur-3eme-republique/de_saint_pierre_louis0352r3.html", "de_saint_pierre_louis0352r3")</f>
        <v>0</v>
      </c>
      <c r="N10699">
        <f>HYPERLINK("https://www.wikidata.org/wiki/Q3263556", "Q3263556")</f>
        <v>0</v>
      </c>
      <c r="O10699" t="s">
        <v>20009</v>
      </c>
      <c r="Q10699" t="s">
        <v>20984</v>
      </c>
      <c r="R10699" t="s">
        <v>21644</v>
      </c>
      <c r="S10699">
        <v>3282</v>
      </c>
    </row>
    <row r="10700" spans="1:19">
      <c r="A10700" t="s">
        <v>127</v>
      </c>
      <c r="B10700" t="s">
        <v>150</v>
      </c>
      <c r="C10700" t="s">
        <v>259</v>
      </c>
      <c r="D10700" t="s">
        <v>388</v>
      </c>
      <c r="F10700">
        <f>HYPERLINK("https://www.wikidata.org/wiki/Q97178405", "Q97178405")</f>
        <v>0</v>
      </c>
      <c r="G10700" t="s">
        <v>4425</v>
      </c>
      <c r="H10700" t="s">
        <v>8573</v>
      </c>
      <c r="I10700" t="s">
        <v>6860</v>
      </c>
      <c r="J10700" t="s">
        <v>14915</v>
      </c>
      <c r="K10700" t="s">
        <v>19249</v>
      </c>
      <c r="M10700">
        <f>HYPERLINK("https://www.senat.fr/senateur-3eme-republique/bocher_pierre0344r3.html", "bocher_pierre0344r3")</f>
        <v>0</v>
      </c>
      <c r="N10700">
        <f>HYPERLINK("https://www.wikidata.org/wiki/Q3579743", "Q3579743")</f>
        <v>0</v>
      </c>
      <c r="O10700" t="s">
        <v>20009</v>
      </c>
      <c r="Q10700" t="s">
        <v>20984</v>
      </c>
      <c r="R10700" t="s">
        <v>19192</v>
      </c>
      <c r="S10700">
        <v>3277</v>
      </c>
    </row>
    <row r="10701" spans="1:19">
      <c r="A10701" t="s">
        <v>127</v>
      </c>
      <c r="B10701" t="s">
        <v>150</v>
      </c>
      <c r="C10701" t="s">
        <v>259</v>
      </c>
      <c r="D10701" t="s">
        <v>388</v>
      </c>
      <c r="F10701">
        <f>HYPERLINK("https://www.wikidata.org/wiki/Q97178405", "Q97178405")</f>
        <v>0</v>
      </c>
      <c r="G10701" t="s">
        <v>4426</v>
      </c>
      <c r="H10701" t="s">
        <v>8574</v>
      </c>
      <c r="I10701" t="s">
        <v>9449</v>
      </c>
      <c r="J10701" t="s">
        <v>14916</v>
      </c>
      <c r="K10701" t="s">
        <v>19250</v>
      </c>
      <c r="M10701">
        <f>HYPERLINK("https://www.senat.fr/senateur-3eme-republique/bertrand_jules0364r3.html", "bertrand_jules0364r3")</f>
        <v>0</v>
      </c>
      <c r="N10701">
        <f>HYPERLINK("https://www.wikidata.org/wiki/Q3188432", "Q3188432")</f>
        <v>0</v>
      </c>
      <c r="O10701" t="s">
        <v>19966</v>
      </c>
      <c r="Q10701" t="s">
        <v>20984</v>
      </c>
      <c r="R10701" t="s">
        <v>19250</v>
      </c>
      <c r="S10701">
        <v>2234</v>
      </c>
    </row>
    <row r="10702" spans="1:19">
      <c r="A10702" t="s">
        <v>127</v>
      </c>
      <c r="B10702" t="s">
        <v>150</v>
      </c>
      <c r="C10702" t="s">
        <v>259</v>
      </c>
      <c r="D10702" t="s">
        <v>388</v>
      </c>
      <c r="F10702">
        <f>HYPERLINK("https://www.wikidata.org/wiki/Q97178405", "Q97178405")</f>
        <v>0</v>
      </c>
      <c r="G10702" t="s">
        <v>4427</v>
      </c>
      <c r="H10702" t="s">
        <v>8575</v>
      </c>
      <c r="I10702" t="s">
        <v>6731</v>
      </c>
      <c r="J10702" t="s">
        <v>14917</v>
      </c>
      <c r="K10702" t="s">
        <v>19251</v>
      </c>
      <c r="M10702">
        <f>HYPERLINK("https://www.senat.fr/senateur-3eme-republique/de_parieu_marie0358r3.html", "de_parieu_marie0358r3")</f>
        <v>0</v>
      </c>
      <c r="N10702">
        <f>HYPERLINK("https://www.wikidata.org/wiki/Q535804", "Q535804")</f>
        <v>0</v>
      </c>
      <c r="O10702" t="s">
        <v>19966</v>
      </c>
      <c r="Q10702" t="s">
        <v>20984</v>
      </c>
      <c r="R10702" t="s">
        <v>21644</v>
      </c>
      <c r="S10702">
        <v>3282</v>
      </c>
    </row>
    <row r="10703" spans="1:19">
      <c r="A10703" t="s">
        <v>127</v>
      </c>
      <c r="B10703" t="s">
        <v>150</v>
      </c>
      <c r="C10703" t="s">
        <v>259</v>
      </c>
      <c r="D10703" t="s">
        <v>388</v>
      </c>
      <c r="F10703">
        <f>HYPERLINK("https://www.wikidata.org/wiki/Q97178405", "Q97178405")</f>
        <v>0</v>
      </c>
      <c r="G10703" t="s">
        <v>4428</v>
      </c>
      <c r="H10703" t="s">
        <v>8576</v>
      </c>
      <c r="I10703" t="s">
        <v>6860</v>
      </c>
      <c r="J10703" t="s">
        <v>14918</v>
      </c>
      <c r="K10703" t="s">
        <v>19252</v>
      </c>
      <c r="M10703">
        <f>HYPERLINK("https://www.senat.fr/senateur-3eme-republique/roy_de_loulay_pierre0415r3.html", "roy_de_loulay_pierre0415r3")</f>
        <v>0</v>
      </c>
      <c r="N10703">
        <f>HYPERLINK("https://www.wikidata.org/wiki/Q3386886", "Q3386886")</f>
        <v>0</v>
      </c>
      <c r="O10703" t="s">
        <v>20037</v>
      </c>
      <c r="Q10703" t="s">
        <v>20984</v>
      </c>
      <c r="R10703" t="s">
        <v>21644</v>
      </c>
      <c r="S10703">
        <v>3282</v>
      </c>
    </row>
    <row r="10704" spans="1:19">
      <c r="A10704" t="s">
        <v>127</v>
      </c>
      <c r="B10704" t="s">
        <v>150</v>
      </c>
      <c r="C10704" t="s">
        <v>259</v>
      </c>
      <c r="D10704" t="s">
        <v>388</v>
      </c>
      <c r="F10704">
        <f>HYPERLINK("https://www.wikidata.org/wiki/Q97178405", "Q97178405")</f>
        <v>0</v>
      </c>
      <c r="G10704" t="s">
        <v>4429</v>
      </c>
      <c r="H10704" t="s">
        <v>8577</v>
      </c>
      <c r="I10704" t="s">
        <v>9474</v>
      </c>
      <c r="J10704" t="s">
        <v>14919</v>
      </c>
      <c r="K10704" t="s">
        <v>19253</v>
      </c>
      <c r="M10704">
        <f>HYPERLINK("https://www.senat.fr/senateur-3eme-republique/boffinton_jean_baptiste0410r3.html", "boffinton_jean_baptiste0410r3")</f>
        <v>0</v>
      </c>
      <c r="N10704">
        <f>HYPERLINK("https://www.wikidata.org/wiki/Q3163889", "Q3163889")</f>
        <v>0</v>
      </c>
      <c r="O10704" t="s">
        <v>20037</v>
      </c>
      <c r="Q10704" t="s">
        <v>20984</v>
      </c>
      <c r="R10704" t="s">
        <v>21644</v>
      </c>
      <c r="S10704">
        <v>3282</v>
      </c>
    </row>
    <row r="10705" spans="1:19">
      <c r="A10705" t="s">
        <v>127</v>
      </c>
      <c r="B10705" t="s">
        <v>150</v>
      </c>
      <c r="C10705" t="s">
        <v>259</v>
      </c>
      <c r="D10705" t="s">
        <v>388</v>
      </c>
      <c r="F10705">
        <f>HYPERLINK("https://www.wikidata.org/wiki/Q97178405", "Q97178405")</f>
        <v>0</v>
      </c>
      <c r="G10705" t="s">
        <v>4430</v>
      </c>
      <c r="H10705" t="s">
        <v>8578</v>
      </c>
      <c r="I10705" t="s">
        <v>6495</v>
      </c>
      <c r="J10705" t="s">
        <v>14920</v>
      </c>
      <c r="K10705" t="s">
        <v>19254</v>
      </c>
      <c r="M10705">
        <f>HYPERLINK("https://www.senat.fr/senateur-3eme-republique/riviere_louis0433r3.html", "riviere_louis0433r3")</f>
        <v>0</v>
      </c>
      <c r="N10705">
        <f>HYPERLINK("https://www.wikidata.org/wiki/Q3263010", "Q3263010")</f>
        <v>0</v>
      </c>
      <c r="O10705" t="s">
        <v>19996</v>
      </c>
      <c r="Q10705" t="s">
        <v>20984</v>
      </c>
      <c r="R10705" t="s">
        <v>21644</v>
      </c>
      <c r="S10705">
        <v>3282</v>
      </c>
    </row>
    <row r="10706" spans="1:19">
      <c r="A10706" t="s">
        <v>127</v>
      </c>
      <c r="B10706" t="s">
        <v>150</v>
      </c>
      <c r="C10706" t="s">
        <v>259</v>
      </c>
      <c r="D10706" t="s">
        <v>388</v>
      </c>
      <c r="F10706">
        <f>HYPERLINK("https://www.wikidata.org/wiki/Q97178405", "Q97178405")</f>
        <v>0</v>
      </c>
      <c r="G10706" t="s">
        <v>4431</v>
      </c>
      <c r="H10706" t="s">
        <v>8579</v>
      </c>
      <c r="I10706" t="s">
        <v>9457</v>
      </c>
      <c r="J10706" t="s">
        <v>14921</v>
      </c>
      <c r="M10706">
        <f>HYPERLINK("https://www.senat.fr/senateur-3eme-republique/fournier_henri0424r3.html", "fournier_henri0424r3")</f>
        <v>0</v>
      </c>
      <c r="N10706">
        <f>HYPERLINK("https://www.wikidata.org/wiki/Q3131108", "Q3131108")</f>
        <v>0</v>
      </c>
      <c r="O10706" t="s">
        <v>19996</v>
      </c>
      <c r="Q10706" t="s">
        <v>20984</v>
      </c>
      <c r="R10706" t="s">
        <v>21644</v>
      </c>
      <c r="S10706">
        <v>3282</v>
      </c>
    </row>
    <row r="10707" spans="1:19">
      <c r="A10707" t="s">
        <v>127</v>
      </c>
      <c r="B10707" t="s">
        <v>150</v>
      </c>
      <c r="C10707" t="s">
        <v>259</v>
      </c>
      <c r="D10707" t="s">
        <v>388</v>
      </c>
      <c r="F10707">
        <f>HYPERLINK("https://www.wikidata.org/wiki/Q97178405", "Q97178405")</f>
        <v>0</v>
      </c>
      <c r="G10707" t="s">
        <v>4432</v>
      </c>
      <c r="H10707" t="s">
        <v>8580</v>
      </c>
      <c r="I10707" t="s">
        <v>9407</v>
      </c>
      <c r="J10707" t="s">
        <v>14922</v>
      </c>
      <c r="K10707" t="s">
        <v>19255</v>
      </c>
      <c r="M10707">
        <f>HYPERLINK("https://www.senat.fr/senateur-3eme-republique/brunet_joseph0460r3.html", "brunet_joseph0460r3")</f>
        <v>0</v>
      </c>
      <c r="N10707">
        <f>HYPERLINK("https://www.wikidata.org/wiki/Q3184674", "Q3184674")</f>
        <v>0</v>
      </c>
      <c r="O10707" t="s">
        <v>20020</v>
      </c>
      <c r="Q10707" t="s">
        <v>20984</v>
      </c>
      <c r="R10707" t="s">
        <v>21644</v>
      </c>
      <c r="S10707">
        <v>3282</v>
      </c>
    </row>
    <row r="10708" spans="1:19">
      <c r="A10708" t="s">
        <v>127</v>
      </c>
      <c r="B10708" t="s">
        <v>150</v>
      </c>
      <c r="C10708" t="s">
        <v>259</v>
      </c>
      <c r="D10708" t="s">
        <v>388</v>
      </c>
      <c r="F10708">
        <f>HYPERLINK("https://www.wikidata.org/wiki/Q97178405", "Q97178405")</f>
        <v>0</v>
      </c>
      <c r="G10708" t="s">
        <v>4433</v>
      </c>
      <c r="H10708" t="s">
        <v>8581</v>
      </c>
      <c r="I10708" t="s">
        <v>10432</v>
      </c>
      <c r="J10708" t="s">
        <v>14923</v>
      </c>
      <c r="K10708" t="s">
        <v>19256</v>
      </c>
      <c r="M10708">
        <f>HYPERLINK("https://www.senat.fr/senateur-3eme-republique/galloni_d_istria_jerome0475r3.html", "galloni_d_istria_jerome0475r3")</f>
        <v>0</v>
      </c>
      <c r="N10708">
        <f>HYPERLINK("https://www.wikidata.org/wiki/Q3190909", "Q3190909")</f>
        <v>0</v>
      </c>
      <c r="O10708" t="s">
        <v>19955</v>
      </c>
      <c r="Q10708" t="s">
        <v>20984</v>
      </c>
      <c r="R10708" t="s">
        <v>21644</v>
      </c>
      <c r="S10708">
        <v>3282</v>
      </c>
    </row>
    <row r="10709" spans="1:19">
      <c r="A10709" t="s">
        <v>127</v>
      </c>
      <c r="B10709" t="s">
        <v>150</v>
      </c>
      <c r="C10709" t="s">
        <v>259</v>
      </c>
      <c r="D10709" t="s">
        <v>388</v>
      </c>
      <c r="F10709">
        <f>HYPERLINK("https://www.wikidata.org/wiki/Q97178405", "Q97178405")</f>
        <v>0</v>
      </c>
      <c r="G10709" t="s">
        <v>4434</v>
      </c>
      <c r="H10709" t="s">
        <v>8582</v>
      </c>
      <c r="I10709" t="s">
        <v>9457</v>
      </c>
      <c r="J10709" t="s">
        <v>14924</v>
      </c>
      <c r="K10709" t="s">
        <v>19257</v>
      </c>
      <c r="M10709">
        <f>HYPERLINK("https://www.senat.fr/senateur-3eme-republique/de_champagny_henri0569r3.html", "de_champagny_henri0569r3")</f>
        <v>0</v>
      </c>
      <c r="N10709">
        <f>HYPERLINK("https://www.wikidata.org/wiki/Q2364407", "Q2364407")</f>
        <v>0</v>
      </c>
      <c r="O10709" t="s">
        <v>19964</v>
      </c>
      <c r="Q10709" t="s">
        <v>20984</v>
      </c>
      <c r="R10709" t="s">
        <v>21644</v>
      </c>
      <c r="S10709">
        <v>3282</v>
      </c>
    </row>
    <row r="10710" spans="1:19">
      <c r="A10710" t="s">
        <v>127</v>
      </c>
      <c r="B10710" t="s">
        <v>150</v>
      </c>
      <c r="C10710" t="s">
        <v>259</v>
      </c>
      <c r="D10710" t="s">
        <v>388</v>
      </c>
      <c r="F10710">
        <f>HYPERLINK("https://www.wikidata.org/wiki/Q97178405", "Q97178405")</f>
        <v>0</v>
      </c>
      <c r="G10710" t="s">
        <v>4435</v>
      </c>
      <c r="H10710" t="s">
        <v>8040</v>
      </c>
      <c r="I10710" t="s">
        <v>9457</v>
      </c>
      <c r="J10710" t="s">
        <v>14925</v>
      </c>
      <c r="K10710" t="s">
        <v>19258</v>
      </c>
      <c r="M10710">
        <f>HYPERLINK("https://www.senat.fr/senateur-3eme-republique/de_treveneuc_henri0575r3.html", "de_treveneuc_henri0575r3")</f>
        <v>0</v>
      </c>
      <c r="N10710">
        <f>HYPERLINK("https://www.wikidata.org/wiki/Q3132385", "Q3132385")</f>
        <v>0</v>
      </c>
      <c r="O10710" t="s">
        <v>19964</v>
      </c>
      <c r="Q10710" t="s">
        <v>20984</v>
      </c>
      <c r="R10710" t="s">
        <v>21644</v>
      </c>
      <c r="S10710">
        <v>3282</v>
      </c>
    </row>
    <row r="10711" spans="1:19">
      <c r="A10711" t="s">
        <v>127</v>
      </c>
      <c r="B10711" t="s">
        <v>150</v>
      </c>
      <c r="C10711" t="s">
        <v>259</v>
      </c>
      <c r="D10711" t="s">
        <v>388</v>
      </c>
      <c r="F10711">
        <f>HYPERLINK("https://www.wikidata.org/wiki/Q97178405", "Q97178405")</f>
        <v>0</v>
      </c>
      <c r="G10711" t="s">
        <v>4436</v>
      </c>
      <c r="H10711" t="s">
        <v>8583</v>
      </c>
      <c r="I10711" t="s">
        <v>9389</v>
      </c>
      <c r="J10711" t="s">
        <v>14926</v>
      </c>
      <c r="K10711" t="s">
        <v>17860</v>
      </c>
      <c r="M10711">
        <f>HYPERLINK("https://www.senat.fr/senateur-3eme-republique/jacques_palotte_emile0622r3.html", "jacques_palotte_emile0622r3")</f>
        <v>0</v>
      </c>
      <c r="N10711">
        <f>HYPERLINK("https://www.wikidata.org/wiki/Q3052269", "Q3052269")</f>
        <v>0</v>
      </c>
      <c r="O10711" t="s">
        <v>19979</v>
      </c>
      <c r="Q10711" t="s">
        <v>20984</v>
      </c>
      <c r="R10711" t="s">
        <v>21647</v>
      </c>
      <c r="S10711">
        <v>2986</v>
      </c>
    </row>
    <row r="10712" spans="1:19">
      <c r="A10712" t="s">
        <v>127</v>
      </c>
      <c r="B10712" t="s">
        <v>150</v>
      </c>
      <c r="C10712" t="s">
        <v>259</v>
      </c>
      <c r="D10712" t="s">
        <v>388</v>
      </c>
      <c r="F10712">
        <f>HYPERLINK("https://www.wikidata.org/wiki/Q97178405", "Q97178405")</f>
        <v>0</v>
      </c>
      <c r="G10712" t="s">
        <v>4437</v>
      </c>
      <c r="H10712" t="s">
        <v>8584</v>
      </c>
      <c r="I10712" t="s">
        <v>9407</v>
      </c>
      <c r="J10712" t="s">
        <v>14927</v>
      </c>
      <c r="K10712" t="s">
        <v>19259</v>
      </c>
      <c r="M10712">
        <f>HYPERLINK("https://www.senat.fr/senateur-3eme-republique/fayolle_joseph0598r3.html", "fayolle_joseph0598r3")</f>
        <v>0</v>
      </c>
      <c r="N10712">
        <f>HYPERLINK("https://www.wikidata.org/wiki/Q3184230", "Q3184230")</f>
        <v>0</v>
      </c>
      <c r="O10712" t="s">
        <v>19979</v>
      </c>
      <c r="Q10712" t="s">
        <v>20984</v>
      </c>
      <c r="R10712" t="s">
        <v>21644</v>
      </c>
      <c r="S10712">
        <v>3282</v>
      </c>
    </row>
    <row r="10713" spans="1:19">
      <c r="A10713" t="s">
        <v>127</v>
      </c>
      <c r="B10713" t="s">
        <v>150</v>
      </c>
      <c r="C10713" t="s">
        <v>259</v>
      </c>
      <c r="D10713" t="s">
        <v>388</v>
      </c>
      <c r="F10713">
        <f>HYPERLINK("https://www.wikidata.org/wiki/Q97178405", "Q97178405")</f>
        <v>0</v>
      </c>
      <c r="G10713" t="s">
        <v>4438</v>
      </c>
      <c r="H10713" t="s">
        <v>8585</v>
      </c>
      <c r="I10713" t="s">
        <v>9947</v>
      </c>
      <c r="J10713" t="s">
        <v>14928</v>
      </c>
      <c r="K10713" t="s">
        <v>19260</v>
      </c>
      <c r="M10713">
        <f>HYPERLINK("https://www.senat.fr/senateur-3eme-republique/taillefert_alcide1619r3.html", "taillefert_alcide1619r3")</f>
        <v>0</v>
      </c>
      <c r="N10713">
        <f>HYPERLINK("https://www.wikidata.org/wiki/Q2832166", "Q2832166")</f>
        <v>0</v>
      </c>
      <c r="O10713" t="s">
        <v>20021</v>
      </c>
      <c r="Q10713" t="s">
        <v>20984</v>
      </c>
      <c r="R10713" t="s">
        <v>21645</v>
      </c>
      <c r="S10713">
        <v>2169</v>
      </c>
    </row>
    <row r="10714" spans="1:19">
      <c r="A10714" t="s">
        <v>127</v>
      </c>
      <c r="B10714" t="s">
        <v>150</v>
      </c>
      <c r="C10714" t="s">
        <v>259</v>
      </c>
      <c r="D10714" t="s">
        <v>388</v>
      </c>
      <c r="F10714">
        <f>HYPERLINK("https://www.wikidata.org/wiki/Q97178405", "Q97178405")</f>
        <v>0</v>
      </c>
      <c r="G10714" t="s">
        <v>4439</v>
      </c>
      <c r="H10714" t="s">
        <v>8586</v>
      </c>
      <c r="I10714" t="s">
        <v>9458</v>
      </c>
      <c r="J10714" t="s">
        <v>14929</v>
      </c>
      <c r="K10714" t="s">
        <v>19261</v>
      </c>
      <c r="M10714">
        <f>HYPERLINK("https://www.senat.fr/senateur-3eme-republique/monnet_alfred1630r3.html", "monnet_alfred1630r3")</f>
        <v>0</v>
      </c>
      <c r="N10714">
        <f>HYPERLINK("https://www.wikidata.org/wiki/Q2835339", "Q2835339")</f>
        <v>0</v>
      </c>
      <c r="O10714" t="s">
        <v>20021</v>
      </c>
      <c r="Q10714" t="s">
        <v>20984</v>
      </c>
      <c r="R10714" t="s">
        <v>21645</v>
      </c>
      <c r="S10714">
        <v>2169</v>
      </c>
    </row>
    <row r="10715" spans="1:19">
      <c r="A10715" t="s">
        <v>127</v>
      </c>
      <c r="B10715" t="s">
        <v>150</v>
      </c>
      <c r="C10715" t="s">
        <v>259</v>
      </c>
      <c r="D10715" t="s">
        <v>388</v>
      </c>
      <c r="F10715">
        <f>HYPERLINK("https://www.wikidata.org/wiki/Q97178405", "Q97178405")</f>
        <v>0</v>
      </c>
      <c r="G10715" t="s">
        <v>4440</v>
      </c>
      <c r="H10715" t="s">
        <v>8587</v>
      </c>
      <c r="I10715" t="s">
        <v>7265</v>
      </c>
      <c r="J10715" t="s">
        <v>14930</v>
      </c>
      <c r="K10715" t="s">
        <v>19262</v>
      </c>
      <c r="M10715">
        <f>HYPERLINK("https://www.senat.fr/senateur-3eme-republique/daussel_philippe0658r3.html", "daussel_philippe0658r3")</f>
        <v>0</v>
      </c>
      <c r="N10715">
        <f>HYPERLINK("https://www.wikidata.org/wiki/Q3379682", "Q3379682")</f>
        <v>0</v>
      </c>
      <c r="O10715" t="s">
        <v>20010</v>
      </c>
      <c r="Q10715" t="s">
        <v>20984</v>
      </c>
      <c r="R10715" t="s">
        <v>19262</v>
      </c>
      <c r="S10715">
        <v>2735</v>
      </c>
    </row>
    <row r="10716" spans="1:19">
      <c r="A10716" t="s">
        <v>127</v>
      </c>
      <c r="B10716" t="s">
        <v>150</v>
      </c>
      <c r="C10716" t="s">
        <v>259</v>
      </c>
      <c r="D10716" t="s">
        <v>388</v>
      </c>
      <c r="F10716">
        <f>HYPERLINK("https://www.wikidata.org/wiki/Q97178405", "Q97178405")</f>
        <v>0</v>
      </c>
      <c r="G10716" t="s">
        <v>4441</v>
      </c>
      <c r="H10716" t="s">
        <v>8588</v>
      </c>
      <c r="I10716" t="s">
        <v>9553</v>
      </c>
      <c r="J10716" t="s">
        <v>14931</v>
      </c>
      <c r="K10716" t="s">
        <v>19263</v>
      </c>
      <c r="M10716">
        <f>HYPERLINK("https://www.senat.fr/senateur-3eme-republique/oudet_alexandre0681r3.html", "oudet_alexandre0681r3")</f>
        <v>0</v>
      </c>
      <c r="N10716">
        <f>HYPERLINK("https://www.wikidata.org/wiki/Q3121281", "Q3121281")</f>
        <v>0</v>
      </c>
      <c r="O10716" t="s">
        <v>19973</v>
      </c>
      <c r="Q10716" t="s">
        <v>20984</v>
      </c>
      <c r="R10716" t="s">
        <v>21644</v>
      </c>
      <c r="S10716">
        <v>3282</v>
      </c>
    </row>
    <row r="10717" spans="1:19">
      <c r="A10717" t="s">
        <v>127</v>
      </c>
      <c r="B10717" t="s">
        <v>150</v>
      </c>
      <c r="C10717" t="s">
        <v>259</v>
      </c>
      <c r="D10717" t="s">
        <v>388</v>
      </c>
      <c r="F10717">
        <f>HYPERLINK("https://www.wikidata.org/wiki/Q97178405", "Q97178405")</f>
        <v>0</v>
      </c>
      <c r="G10717" t="s">
        <v>4442</v>
      </c>
      <c r="H10717" t="s">
        <v>8589</v>
      </c>
      <c r="I10717" t="s">
        <v>6200</v>
      </c>
      <c r="J10717" t="s">
        <v>14932</v>
      </c>
      <c r="K10717" t="s">
        <v>19264</v>
      </c>
      <c r="M10717">
        <f>HYPERLINK("https://www.senat.fr/senateur-3eme-republique/lamorte_jean0720r3.html", "lamorte_jean0720r3")</f>
        <v>0</v>
      </c>
      <c r="N10717">
        <f>HYPERLINK("https://www.wikidata.org/wiki/Q3172970", "Q3172970")</f>
        <v>0</v>
      </c>
      <c r="O10717" t="s">
        <v>20044</v>
      </c>
      <c r="Q10717" t="s">
        <v>20984</v>
      </c>
      <c r="R10717" t="s">
        <v>19264</v>
      </c>
      <c r="S10717">
        <v>3013</v>
      </c>
    </row>
    <row r="10718" spans="1:19">
      <c r="A10718" t="s">
        <v>127</v>
      </c>
      <c r="B10718" t="s">
        <v>150</v>
      </c>
      <c r="C10718" t="s">
        <v>259</v>
      </c>
      <c r="D10718" t="s">
        <v>388</v>
      </c>
      <c r="F10718">
        <f>HYPERLINK("https://www.wikidata.org/wiki/Q97178405", "Q97178405")</f>
        <v>0</v>
      </c>
      <c r="G10718" t="s">
        <v>4443</v>
      </c>
      <c r="H10718" t="s">
        <v>8590</v>
      </c>
      <c r="I10718" t="s">
        <v>10131</v>
      </c>
      <c r="J10718" t="s">
        <v>14933</v>
      </c>
      <c r="K10718" t="s">
        <v>19265</v>
      </c>
      <c r="M10718">
        <f>HYPERLINK("https://www.senat.fr/senateur-3eme-republique/malens_cesar0713r3.html", "malens_cesar0713r3")</f>
        <v>0</v>
      </c>
      <c r="N10718">
        <f>HYPERLINK("https://www.wikidata.org/wiki/Q3010476", "Q3010476")</f>
        <v>0</v>
      </c>
      <c r="O10718" t="s">
        <v>20044</v>
      </c>
      <c r="Q10718" t="s">
        <v>20984</v>
      </c>
      <c r="R10718" t="s">
        <v>21644</v>
      </c>
      <c r="S10718">
        <v>3282</v>
      </c>
    </row>
    <row r="10719" spans="1:19">
      <c r="A10719" t="s">
        <v>127</v>
      </c>
      <c r="B10719" t="s">
        <v>150</v>
      </c>
      <c r="C10719" t="s">
        <v>259</v>
      </c>
      <c r="D10719" t="s">
        <v>388</v>
      </c>
      <c r="F10719">
        <f>HYPERLINK("https://www.wikidata.org/wiki/Q97178405", "Q97178405")</f>
        <v>0</v>
      </c>
      <c r="G10719" t="s">
        <v>4444</v>
      </c>
      <c r="H10719" t="s">
        <v>8591</v>
      </c>
      <c r="I10719" t="s">
        <v>7419</v>
      </c>
      <c r="J10719" t="s">
        <v>14934</v>
      </c>
      <c r="K10719" t="s">
        <v>19266</v>
      </c>
      <c r="M10719">
        <f>HYPERLINK("https://www.senat.fr/senateur-3eme-republique/de_broglie_jacques0753r3.html", "de_broglie_jacques0753r3")</f>
        <v>0</v>
      </c>
      <c r="N10719">
        <f>HYPERLINK("https://www.wikidata.org/wiki/Q434932", "Q434932")</f>
        <v>0</v>
      </c>
      <c r="O10719" t="s">
        <v>19992</v>
      </c>
      <c r="Q10719" t="s">
        <v>20984</v>
      </c>
      <c r="R10719" t="s">
        <v>21644</v>
      </c>
      <c r="S10719">
        <v>3282</v>
      </c>
    </row>
    <row r="10720" spans="1:19">
      <c r="A10720" t="s">
        <v>127</v>
      </c>
      <c r="B10720" t="s">
        <v>150</v>
      </c>
      <c r="C10720" t="s">
        <v>259</v>
      </c>
      <c r="D10720" t="s">
        <v>388</v>
      </c>
      <c r="F10720">
        <f>HYPERLINK("https://www.wikidata.org/wiki/Q97178405", "Q97178405")</f>
        <v>0</v>
      </c>
      <c r="G10720" t="s">
        <v>4445</v>
      </c>
      <c r="H10720" t="s">
        <v>8592</v>
      </c>
      <c r="I10720" t="s">
        <v>7419</v>
      </c>
      <c r="J10720" t="s">
        <v>14935</v>
      </c>
      <c r="K10720" t="s">
        <v>12433</v>
      </c>
      <c r="M10720">
        <f>HYPERLINK("https://www.senat.fr/senateur-3eme-republique/delacroix_jacques0764r3.html", "delacroix_jacques0764r3")</f>
        <v>0</v>
      </c>
      <c r="N10720">
        <f>HYPERLINK("https://www.wikidata.org/wiki/Q3158669", "Q3158669")</f>
        <v>0</v>
      </c>
      <c r="O10720" t="s">
        <v>19971</v>
      </c>
      <c r="Q10720" t="s">
        <v>20984</v>
      </c>
      <c r="R10720" t="s">
        <v>21644</v>
      </c>
      <c r="S10720">
        <v>3282</v>
      </c>
    </row>
    <row r="10721" spans="1:19">
      <c r="A10721" t="s">
        <v>127</v>
      </c>
      <c r="B10721" t="s">
        <v>150</v>
      </c>
      <c r="C10721" t="s">
        <v>259</v>
      </c>
      <c r="D10721" t="s">
        <v>388</v>
      </c>
      <c r="F10721">
        <f>HYPERLINK("https://www.wikidata.org/wiki/Q97178405", "Q97178405")</f>
        <v>0</v>
      </c>
      <c r="G10721" t="s">
        <v>4446</v>
      </c>
      <c r="H10721" t="s">
        <v>8593</v>
      </c>
      <c r="I10721" t="s">
        <v>9389</v>
      </c>
      <c r="J10721" t="s">
        <v>14936</v>
      </c>
      <c r="K10721" t="s">
        <v>19267</v>
      </c>
      <c r="M10721">
        <f>HYPERLINK("https://www.senat.fr/senateur-3eme-republique/labiche_emile0771r3.html", "labiche_emile0771r3")</f>
        <v>0</v>
      </c>
      <c r="N10721">
        <f>HYPERLINK("https://www.wikidata.org/wiki/Q3588592", "Q3588592")</f>
        <v>0</v>
      </c>
      <c r="O10721" t="s">
        <v>19971</v>
      </c>
      <c r="Q10721" t="s">
        <v>20984</v>
      </c>
      <c r="R10721" t="s">
        <v>21644</v>
      </c>
      <c r="S10721">
        <v>3282</v>
      </c>
    </row>
    <row r="10722" spans="1:19">
      <c r="A10722" t="s">
        <v>127</v>
      </c>
      <c r="B10722" t="s">
        <v>150</v>
      </c>
      <c r="C10722" t="s">
        <v>259</v>
      </c>
      <c r="D10722" t="s">
        <v>388</v>
      </c>
      <c r="F10722">
        <f>HYPERLINK("https://www.wikidata.org/wiki/Q97178405", "Q97178405")</f>
        <v>0</v>
      </c>
      <c r="G10722" t="s">
        <v>4447</v>
      </c>
      <c r="H10722" t="s">
        <v>8594</v>
      </c>
      <c r="I10722" t="s">
        <v>6166</v>
      </c>
      <c r="J10722" t="s">
        <v>14937</v>
      </c>
      <c r="K10722" t="s">
        <v>19268</v>
      </c>
      <c r="M10722">
        <f>HYPERLINK("https://www.senat.fr/senateur-3eme-republique/monjaret_de_kerjegu_francois0782r3.html", "monjaret_de_kerjegu_francois0782r3")</f>
        <v>0</v>
      </c>
      <c r="N10722">
        <f>HYPERLINK("https://www.wikidata.org/wiki/Q3085294", "Q3085294")</f>
        <v>0</v>
      </c>
      <c r="O10722" t="s">
        <v>20011</v>
      </c>
      <c r="Q10722" t="s">
        <v>20984</v>
      </c>
      <c r="R10722" t="s">
        <v>20660</v>
      </c>
      <c r="S10722">
        <v>2206</v>
      </c>
    </row>
    <row r="10723" spans="1:19">
      <c r="A10723" t="s">
        <v>127</v>
      </c>
      <c r="B10723" t="s">
        <v>150</v>
      </c>
      <c r="C10723" t="s">
        <v>259</v>
      </c>
      <c r="D10723" t="s">
        <v>388</v>
      </c>
      <c r="F10723">
        <f>HYPERLINK("https://www.wikidata.org/wiki/Q97178405", "Q97178405")</f>
        <v>0</v>
      </c>
      <c r="G10723" t="s">
        <v>4448</v>
      </c>
      <c r="H10723" t="s">
        <v>8595</v>
      </c>
      <c r="I10723" t="s">
        <v>9389</v>
      </c>
      <c r="J10723" t="s">
        <v>14938</v>
      </c>
      <c r="K10723" t="s">
        <v>12610</v>
      </c>
      <c r="M10723">
        <f>HYPERLINK("https://www.senat.fr/senateur-3eme-republique/forsanz_emile0795r3.html", "forsanz_emile0795r3")</f>
        <v>0</v>
      </c>
      <c r="N10723">
        <f>HYPERLINK("https://www.wikidata.org/wiki/Q3588505", "Q3588505")</f>
        <v>0</v>
      </c>
      <c r="O10723" t="s">
        <v>20011</v>
      </c>
      <c r="Q10723" t="s">
        <v>20984</v>
      </c>
      <c r="R10723" t="s">
        <v>21648</v>
      </c>
      <c r="S10723">
        <v>2391</v>
      </c>
    </row>
    <row r="10724" spans="1:19">
      <c r="A10724" t="s">
        <v>127</v>
      </c>
      <c r="B10724" t="s">
        <v>150</v>
      </c>
      <c r="C10724" t="s">
        <v>259</v>
      </c>
      <c r="D10724" t="s">
        <v>388</v>
      </c>
      <c r="F10724">
        <f>HYPERLINK("https://www.wikidata.org/wiki/Q97178405", "Q97178405")</f>
        <v>0</v>
      </c>
      <c r="G10724" t="s">
        <v>4449</v>
      </c>
      <c r="H10724" t="s">
        <v>8596</v>
      </c>
      <c r="I10724" t="s">
        <v>11195</v>
      </c>
      <c r="J10724" t="s">
        <v>14939</v>
      </c>
      <c r="K10724" t="s">
        <v>18465</v>
      </c>
      <c r="M10724">
        <f>HYPERLINK("https://www.senat.fr/senateur-3eme-republique/de_raismes_arnold0804r3.html", "de_raismes_arnold0804r3")</f>
        <v>0</v>
      </c>
      <c r="N10724">
        <f>HYPERLINK("https://www.wikidata.org/wiki/Q2863387", "Q2863387")</f>
        <v>0</v>
      </c>
      <c r="O10724" t="s">
        <v>20011</v>
      </c>
      <c r="Q10724" t="s">
        <v>20984</v>
      </c>
      <c r="R10724" t="s">
        <v>21644</v>
      </c>
      <c r="S10724">
        <v>3282</v>
      </c>
    </row>
    <row r="10725" spans="1:19">
      <c r="A10725" t="s">
        <v>127</v>
      </c>
      <c r="B10725" t="s">
        <v>150</v>
      </c>
      <c r="C10725" t="s">
        <v>259</v>
      </c>
      <c r="D10725" t="s">
        <v>388</v>
      </c>
      <c r="F10725">
        <f>HYPERLINK("https://www.wikidata.org/wiki/Q97178405", "Q97178405")</f>
        <v>0</v>
      </c>
      <c r="G10725" t="s">
        <v>4450</v>
      </c>
      <c r="H10725" t="s">
        <v>8597</v>
      </c>
      <c r="I10725" t="s">
        <v>6166</v>
      </c>
      <c r="J10725" t="s">
        <v>14940</v>
      </c>
      <c r="K10725" t="s">
        <v>19269</v>
      </c>
      <c r="M10725">
        <f>HYPERLINK("https://www.senat.fr/senateur-3eme-republique/soubigou_francois0789r3.html", "soubigou_francois0789r3")</f>
        <v>0</v>
      </c>
      <c r="N10725">
        <f>HYPERLINK("https://www.wikidata.org/wiki/Q3085847", "Q3085847")</f>
        <v>0</v>
      </c>
      <c r="O10725" t="s">
        <v>20011</v>
      </c>
      <c r="Q10725" t="s">
        <v>20984</v>
      </c>
      <c r="R10725" t="s">
        <v>21644</v>
      </c>
      <c r="S10725">
        <v>3282</v>
      </c>
    </row>
    <row r="10726" spans="1:19">
      <c r="A10726" t="s">
        <v>127</v>
      </c>
      <c r="B10726" t="s">
        <v>150</v>
      </c>
      <c r="C10726" t="s">
        <v>259</v>
      </c>
      <c r="D10726" t="s">
        <v>388</v>
      </c>
      <c r="F10726">
        <f>HYPERLINK("https://www.wikidata.org/wiki/Q97178405", "Q97178405")</f>
        <v>0</v>
      </c>
      <c r="G10726" t="s">
        <v>4451</v>
      </c>
      <c r="H10726" t="s">
        <v>8598</v>
      </c>
      <c r="I10726" t="s">
        <v>7419</v>
      </c>
      <c r="J10726" t="s">
        <v>14941</v>
      </c>
      <c r="K10726" t="s">
        <v>19270</v>
      </c>
      <c r="M10726">
        <f>HYPERLINK("https://www.senat.fr/senateur-3eme-republique/laget_jacques0830r3.html", "laget_jacques0830r3")</f>
        <v>0</v>
      </c>
      <c r="N10726">
        <f>HYPERLINK("https://www.wikidata.org/wiki/Q1607265", "Q1607265")</f>
        <v>0</v>
      </c>
      <c r="O10726" t="s">
        <v>20014</v>
      </c>
      <c r="Q10726" t="s">
        <v>20984</v>
      </c>
      <c r="R10726" t="s">
        <v>19270</v>
      </c>
      <c r="S10726">
        <v>3226</v>
      </c>
    </row>
    <row r="10727" spans="1:19">
      <c r="A10727" t="s">
        <v>127</v>
      </c>
      <c r="B10727" t="s">
        <v>150</v>
      </c>
      <c r="C10727" t="s">
        <v>259</v>
      </c>
      <c r="D10727" t="s">
        <v>388</v>
      </c>
      <c r="F10727">
        <f>HYPERLINK("https://www.wikidata.org/wiki/Q97178405", "Q97178405")</f>
        <v>0</v>
      </c>
      <c r="G10727" t="s">
        <v>4452</v>
      </c>
      <c r="H10727" t="s">
        <v>8599</v>
      </c>
      <c r="I10727" t="s">
        <v>6860</v>
      </c>
      <c r="J10727" t="s">
        <v>14942</v>
      </c>
      <c r="K10727" t="s">
        <v>19271</v>
      </c>
      <c r="M10727">
        <f>HYPERLINK("https://www.senat.fr/senateur-3eme-republique/meinadier_pierre0819r3.html", "meinadier_pierre0819r3")</f>
        <v>0</v>
      </c>
      <c r="N10727">
        <f>HYPERLINK("https://www.wikidata.org/wiki/Q2093687", "Q2093687")</f>
        <v>0</v>
      </c>
      <c r="O10727" t="s">
        <v>20014</v>
      </c>
      <c r="Q10727" t="s">
        <v>20984</v>
      </c>
      <c r="R10727" t="s">
        <v>21644</v>
      </c>
      <c r="S10727">
        <v>3282</v>
      </c>
    </row>
    <row r="10728" spans="1:19">
      <c r="A10728" t="s">
        <v>127</v>
      </c>
      <c r="B10728" t="s">
        <v>150</v>
      </c>
      <c r="C10728" t="s">
        <v>259</v>
      </c>
      <c r="D10728" t="s">
        <v>388</v>
      </c>
      <c r="F10728">
        <f>HYPERLINK("https://www.wikidata.org/wiki/Q97178405", "Q97178405")</f>
        <v>0</v>
      </c>
      <c r="G10728" t="s">
        <v>4453</v>
      </c>
      <c r="H10728" t="s">
        <v>8600</v>
      </c>
      <c r="I10728" t="s">
        <v>11196</v>
      </c>
      <c r="J10728" t="s">
        <v>14943</v>
      </c>
      <c r="K10728" t="s">
        <v>19272</v>
      </c>
      <c r="M10728">
        <f>HYPERLINK("https://www.senat.fr/senateur-3eme-republique/batbie_anselme0151r3.html", "batbie_anselme0151r3")</f>
        <v>0</v>
      </c>
      <c r="N10728">
        <f>HYPERLINK("https://www.wikidata.org/wiki/Q2852466", "Q2852466")</f>
        <v>0</v>
      </c>
      <c r="O10728" t="s">
        <v>20003</v>
      </c>
      <c r="Q10728" t="s">
        <v>20984</v>
      </c>
      <c r="R10728" t="s">
        <v>11967</v>
      </c>
      <c r="S10728">
        <v>1070</v>
      </c>
    </row>
    <row r="10729" spans="1:19">
      <c r="A10729" t="s">
        <v>127</v>
      </c>
      <c r="B10729" t="s">
        <v>150</v>
      </c>
      <c r="C10729" t="s">
        <v>259</v>
      </c>
      <c r="D10729" t="s">
        <v>388</v>
      </c>
      <c r="F10729">
        <f>HYPERLINK("https://www.wikidata.org/wiki/Q97178405", "Q97178405")</f>
        <v>0</v>
      </c>
      <c r="G10729" t="s">
        <v>4454</v>
      </c>
      <c r="H10729" t="s">
        <v>8601</v>
      </c>
      <c r="I10729" t="s">
        <v>6495</v>
      </c>
      <c r="J10729" t="s">
        <v>14944</v>
      </c>
      <c r="K10729" t="s">
        <v>19273</v>
      </c>
      <c r="M10729">
        <f>HYPERLINK("https://www.senat.fr/senateur-3eme-republique/lacave_laplagne_louis0128r3.html", "lacave_laplagne_louis0128r3")</f>
        <v>0</v>
      </c>
      <c r="N10729">
        <f>HYPERLINK("https://www.wikidata.org/wiki/Q3262415", "Q3262415")</f>
        <v>0</v>
      </c>
      <c r="O10729" t="s">
        <v>20003</v>
      </c>
      <c r="Q10729" t="s">
        <v>20984</v>
      </c>
      <c r="R10729" t="s">
        <v>11967</v>
      </c>
      <c r="S10729">
        <v>1070</v>
      </c>
    </row>
    <row r="10730" spans="1:19">
      <c r="A10730" t="s">
        <v>127</v>
      </c>
      <c r="B10730" t="s">
        <v>150</v>
      </c>
      <c r="C10730" t="s">
        <v>259</v>
      </c>
      <c r="D10730" t="s">
        <v>388</v>
      </c>
      <c r="F10730">
        <f>HYPERLINK("https://www.wikidata.org/wiki/Q97178405", "Q97178405")</f>
        <v>0</v>
      </c>
      <c r="G10730" t="s">
        <v>4455</v>
      </c>
      <c r="H10730" t="s">
        <v>8602</v>
      </c>
      <c r="I10730" t="s">
        <v>9602</v>
      </c>
      <c r="J10730" t="s">
        <v>13371</v>
      </c>
      <c r="K10730" t="s">
        <v>19274</v>
      </c>
      <c r="M10730">
        <f>HYPERLINK("https://www.senat.fr/senateur-3eme-republique/du_motier_de_la_fayette_edmond0511r3.html", "du_motier_de_la_fayette_edmond0511r3")</f>
        <v>0</v>
      </c>
      <c r="N10730">
        <f>HYPERLINK("https://www.wikidata.org/wiki/Q3048033", "Q3048033")</f>
        <v>0</v>
      </c>
      <c r="O10730" t="s">
        <v>19993</v>
      </c>
      <c r="Q10730" t="s">
        <v>20984</v>
      </c>
      <c r="R10730" t="s">
        <v>11967</v>
      </c>
      <c r="S10730">
        <v>1070</v>
      </c>
    </row>
    <row r="10731" spans="1:19">
      <c r="A10731" t="s">
        <v>127</v>
      </c>
      <c r="B10731" t="s">
        <v>150</v>
      </c>
      <c r="C10731" t="s">
        <v>259</v>
      </c>
      <c r="D10731" t="s">
        <v>388</v>
      </c>
      <c r="F10731">
        <f>HYPERLINK("https://www.wikidata.org/wiki/Q97178405", "Q97178405")</f>
        <v>0</v>
      </c>
      <c r="G10731" t="s">
        <v>4456</v>
      </c>
      <c r="H10731" t="s">
        <v>8603</v>
      </c>
      <c r="I10731" t="s">
        <v>6158</v>
      </c>
      <c r="J10731" t="s">
        <v>14945</v>
      </c>
      <c r="K10731" t="s">
        <v>12889</v>
      </c>
      <c r="M10731">
        <f>HYPERLINK("https://www.senat.fr/senateur-3eme-republique/pelissier_felix0863r3.html", "pelissier_felix0863r3")</f>
        <v>0</v>
      </c>
      <c r="N10731">
        <f>HYPERLINK("https://www.wikidata.org/wiki/Q3092583", "Q3092583")</f>
        <v>0</v>
      </c>
      <c r="O10731" t="s">
        <v>20022</v>
      </c>
      <c r="Q10731" t="s">
        <v>20984</v>
      </c>
      <c r="R10731" t="s">
        <v>11967</v>
      </c>
      <c r="S10731">
        <v>1070</v>
      </c>
    </row>
    <row r="10732" spans="1:19">
      <c r="A10732" t="s">
        <v>127</v>
      </c>
      <c r="B10732" t="s">
        <v>150</v>
      </c>
      <c r="C10732" t="s">
        <v>259</v>
      </c>
      <c r="D10732" t="s">
        <v>388</v>
      </c>
      <c r="F10732">
        <f>HYPERLINK("https://www.wikidata.org/wiki/Q97178405", "Q97178405")</f>
        <v>0</v>
      </c>
      <c r="G10732" t="s">
        <v>4457</v>
      </c>
      <c r="H10732" t="s">
        <v>8604</v>
      </c>
      <c r="I10732" t="s">
        <v>6166</v>
      </c>
      <c r="J10732" t="s">
        <v>14946</v>
      </c>
      <c r="K10732" t="s">
        <v>19275</v>
      </c>
      <c r="M10732">
        <f>HYPERLINK("https://www.senat.fr/senateur-3eme-republique/dufournel_francois1165r3.html", "dufournel_francois1165r3")</f>
        <v>0</v>
      </c>
      <c r="N10732">
        <f>HYPERLINK("https://www.wikidata.org/wiki/Q3084505", "Q3084505")</f>
        <v>0</v>
      </c>
      <c r="O10732" t="s">
        <v>20036</v>
      </c>
      <c r="Q10732" t="s">
        <v>20984</v>
      </c>
      <c r="R10732" t="s">
        <v>21645</v>
      </c>
      <c r="S10732">
        <v>2169</v>
      </c>
    </row>
    <row r="10733" spans="1:19">
      <c r="A10733" t="s">
        <v>127</v>
      </c>
      <c r="B10733" t="s">
        <v>150</v>
      </c>
      <c r="C10733" t="s">
        <v>259</v>
      </c>
      <c r="D10733" t="s">
        <v>388</v>
      </c>
      <c r="F10733">
        <f>HYPERLINK("https://www.wikidata.org/wiki/Q97178405", "Q97178405")</f>
        <v>0</v>
      </c>
      <c r="G10733" t="s">
        <v>4458</v>
      </c>
      <c r="H10733" t="s">
        <v>8605</v>
      </c>
      <c r="I10733" t="s">
        <v>6495</v>
      </c>
      <c r="J10733" t="s">
        <v>14947</v>
      </c>
      <c r="K10733" t="s">
        <v>17976</v>
      </c>
      <c r="M10733">
        <f>HYPERLINK("https://www.senat.fr/senateur-3eme-republique/jobard_louis1175r3.html", "jobard_louis1175r3")</f>
        <v>0</v>
      </c>
      <c r="N10733">
        <f>HYPERLINK("https://www.wikidata.org/wiki/Q3262327", "Q3262327")</f>
        <v>0</v>
      </c>
      <c r="O10733" t="s">
        <v>20036</v>
      </c>
      <c r="Q10733" t="s">
        <v>20984</v>
      </c>
      <c r="R10733" t="s">
        <v>21645</v>
      </c>
      <c r="S10733">
        <v>2169</v>
      </c>
    </row>
    <row r="10734" spans="1:19">
      <c r="A10734" t="s">
        <v>127</v>
      </c>
      <c r="B10734" t="s">
        <v>150</v>
      </c>
      <c r="C10734" t="s">
        <v>259</v>
      </c>
      <c r="D10734" t="s">
        <v>388</v>
      </c>
      <c r="F10734">
        <f>HYPERLINK("https://www.wikidata.org/wiki/Q97178405", "Q97178405")</f>
        <v>0</v>
      </c>
      <c r="G10734" t="s">
        <v>4459</v>
      </c>
      <c r="H10734" t="s">
        <v>8606</v>
      </c>
      <c r="I10734" t="s">
        <v>6495</v>
      </c>
      <c r="J10734" t="s">
        <v>13222</v>
      </c>
      <c r="K10734" t="s">
        <v>19276</v>
      </c>
      <c r="M10734">
        <f>HYPERLINK("https://www.senat.fr/senateur-3eme-republique/chaumontel_louis1306r3.html", "chaumontel_louis1306r3")</f>
        <v>0</v>
      </c>
      <c r="N10734">
        <f>HYPERLINK("https://www.wikidata.org/wiki/Q3261508", "Q3261508")</f>
        <v>0</v>
      </c>
      <c r="O10734" t="s">
        <v>20018</v>
      </c>
      <c r="Q10734" t="s">
        <v>20984</v>
      </c>
      <c r="R10734" t="s">
        <v>21645</v>
      </c>
      <c r="S10734">
        <v>2169</v>
      </c>
    </row>
    <row r="10735" spans="1:19">
      <c r="A10735" t="s">
        <v>127</v>
      </c>
      <c r="B10735" t="s">
        <v>150</v>
      </c>
      <c r="C10735" t="s">
        <v>259</v>
      </c>
      <c r="D10735" t="s">
        <v>388</v>
      </c>
      <c r="F10735">
        <f>HYPERLINK("https://www.wikidata.org/wiki/Q97178405", "Q97178405")</f>
        <v>0</v>
      </c>
      <c r="G10735" t="s">
        <v>4460</v>
      </c>
      <c r="H10735" t="s">
        <v>8607</v>
      </c>
      <c r="I10735" t="s">
        <v>9458</v>
      </c>
      <c r="J10735" t="s">
        <v>14948</v>
      </c>
      <c r="K10735" t="s">
        <v>19277</v>
      </c>
      <c r="M10735">
        <f>HYPERLINK("https://www.senat.fr/senateur-3eme-republique/chardon_alfred1311r3.html", "chardon_alfred1311r3")</f>
        <v>0</v>
      </c>
      <c r="N10735">
        <f>HYPERLINK("https://www.wikidata.org/wiki/Q2835013", "Q2835013")</f>
        <v>0</v>
      </c>
      <c r="O10735" t="s">
        <v>20018</v>
      </c>
      <c r="Q10735" t="s">
        <v>20984</v>
      </c>
      <c r="R10735" t="s">
        <v>21645</v>
      </c>
      <c r="S10735">
        <v>2169</v>
      </c>
    </row>
    <row r="10736" spans="1:19">
      <c r="A10736" t="s">
        <v>127</v>
      </c>
      <c r="B10736" t="s">
        <v>150</v>
      </c>
      <c r="C10736" t="s">
        <v>259</v>
      </c>
      <c r="D10736" t="s">
        <v>388</v>
      </c>
      <c r="F10736">
        <f>HYPERLINK("https://www.wikidata.org/wiki/Q97178405", "Q97178405")</f>
        <v>0</v>
      </c>
      <c r="G10736" t="s">
        <v>4461</v>
      </c>
      <c r="H10736" t="s">
        <v>8608</v>
      </c>
      <c r="I10736" t="s">
        <v>6860</v>
      </c>
      <c r="J10736" t="s">
        <v>14949</v>
      </c>
      <c r="K10736" t="s">
        <v>18594</v>
      </c>
      <c r="M10736">
        <f>HYPERLINK("https://www.senat.fr/senateur-3eme-republique/teisserenc_de_bort_pierre1775r3.html", "teisserenc_de_bort_pierre1775r3")</f>
        <v>0</v>
      </c>
      <c r="N10736">
        <f>HYPERLINK("https://www.wikidata.org/wiki/Q2093418", "Q2093418")</f>
        <v>0</v>
      </c>
      <c r="O10736" t="s">
        <v>19977</v>
      </c>
      <c r="Q10736" t="s">
        <v>20984</v>
      </c>
      <c r="R10736" t="s">
        <v>21645</v>
      </c>
      <c r="S10736">
        <v>2169</v>
      </c>
    </row>
    <row r="10737" spans="1:19">
      <c r="A10737" t="s">
        <v>127</v>
      </c>
      <c r="B10737" t="s">
        <v>150</v>
      </c>
      <c r="C10737" t="s">
        <v>259</v>
      </c>
      <c r="D10737" t="s">
        <v>388</v>
      </c>
      <c r="F10737">
        <f>HYPERLINK("https://www.wikidata.org/wiki/Q97178405", "Q97178405")</f>
        <v>0</v>
      </c>
      <c r="G10737" t="s">
        <v>4462</v>
      </c>
      <c r="H10737" t="s">
        <v>8609</v>
      </c>
      <c r="I10737" t="s">
        <v>9868</v>
      </c>
      <c r="J10737" t="s">
        <v>14950</v>
      </c>
      <c r="K10737" t="s">
        <v>19278</v>
      </c>
      <c r="M10737">
        <f>HYPERLINK("https://www.senat.fr/senateur-3eme-republique/blanc_xavier0082r3.html", "blanc_xavier0082r3")</f>
        <v>0</v>
      </c>
      <c r="N10737">
        <f>HYPERLINK("https://www.wikidata.org/wiki/Q3570605", "Q3570605")</f>
        <v>0</v>
      </c>
      <c r="O10737" t="s">
        <v>19981</v>
      </c>
      <c r="Q10737" t="s">
        <v>20984</v>
      </c>
      <c r="R10737" t="s">
        <v>21644</v>
      </c>
      <c r="S10737">
        <v>3282</v>
      </c>
    </row>
    <row r="10738" spans="1:19">
      <c r="A10738" t="s">
        <v>127</v>
      </c>
      <c r="B10738" t="s">
        <v>150</v>
      </c>
      <c r="C10738" t="s">
        <v>259</v>
      </c>
      <c r="D10738" t="s">
        <v>388</v>
      </c>
      <c r="F10738">
        <f>HYPERLINK("https://www.wikidata.org/wiki/Q97178405", "Q97178405")</f>
        <v>0</v>
      </c>
      <c r="G10738" t="s">
        <v>4463</v>
      </c>
      <c r="H10738" t="s">
        <v>8610</v>
      </c>
      <c r="I10738" t="s">
        <v>6495</v>
      </c>
      <c r="J10738" t="s">
        <v>14951</v>
      </c>
      <c r="K10738" t="s">
        <v>19279</v>
      </c>
      <c r="M10738">
        <f>HYPERLINK("https://www.senat.fr/senateur-3eme-republique/cazalas_louis1076r3.html", "cazalas_louis1076r3")</f>
        <v>0</v>
      </c>
      <c r="N10738">
        <f>HYPERLINK("https://www.wikidata.org/wiki/Q3261448", "Q3261448")</f>
        <v>0</v>
      </c>
      <c r="O10738" t="s">
        <v>20027</v>
      </c>
      <c r="Q10738" t="s">
        <v>20984</v>
      </c>
      <c r="R10738" t="s">
        <v>21645</v>
      </c>
      <c r="S10738">
        <v>2169</v>
      </c>
    </row>
    <row r="10739" spans="1:19">
      <c r="A10739" t="s">
        <v>127</v>
      </c>
      <c r="B10739" t="s">
        <v>150</v>
      </c>
      <c r="C10739" t="s">
        <v>259</v>
      </c>
      <c r="D10739" t="s">
        <v>388</v>
      </c>
      <c r="F10739">
        <f>HYPERLINK("https://www.wikidata.org/wiki/Q97178405", "Q97178405")</f>
        <v>0</v>
      </c>
      <c r="G10739" t="s">
        <v>4464</v>
      </c>
      <c r="H10739" t="s">
        <v>8611</v>
      </c>
      <c r="I10739" t="s">
        <v>6200</v>
      </c>
      <c r="J10739" t="s">
        <v>14952</v>
      </c>
      <c r="K10739" t="s">
        <v>19280</v>
      </c>
      <c r="M10739">
        <f>HYPERLINK("https://www.senat.fr/senateur-3eme-republique/adnet_jean1082r3.html", "adnet_jean1082r3")</f>
        <v>0</v>
      </c>
      <c r="N10739">
        <f>HYPERLINK("https://www.wikidata.org/wiki/Q3170287", "Q3170287")</f>
        <v>0</v>
      </c>
      <c r="O10739" t="s">
        <v>20027</v>
      </c>
      <c r="Q10739" t="s">
        <v>20984</v>
      </c>
      <c r="R10739" t="s">
        <v>21645</v>
      </c>
      <c r="S10739">
        <v>2169</v>
      </c>
    </row>
    <row r="10740" spans="1:19">
      <c r="A10740" t="s">
        <v>127</v>
      </c>
      <c r="B10740" t="s">
        <v>150</v>
      </c>
      <c r="C10740" t="s">
        <v>259</v>
      </c>
      <c r="D10740" t="s">
        <v>388</v>
      </c>
      <c r="F10740">
        <f>HYPERLINK("https://www.wikidata.org/wiki/Q97178405", "Q97178405")</f>
        <v>0</v>
      </c>
      <c r="G10740" t="s">
        <v>4465</v>
      </c>
      <c r="H10740" t="s">
        <v>8612</v>
      </c>
      <c r="I10740" t="s">
        <v>6495</v>
      </c>
      <c r="J10740" t="s">
        <v>14953</v>
      </c>
      <c r="K10740" t="s">
        <v>18707</v>
      </c>
      <c r="M10740">
        <f>HYPERLINK("https://www.senat.fr/senateur-3eme-republique/grivart_louis0525r3.html", "grivart_louis0525r3")</f>
        <v>0</v>
      </c>
      <c r="N10740">
        <f>HYPERLINK("https://www.wikidata.org/wiki/Q3262084", "Q3262084")</f>
        <v>0</v>
      </c>
      <c r="O10740" t="s">
        <v>19998</v>
      </c>
      <c r="Q10740" t="s">
        <v>20984</v>
      </c>
      <c r="R10740" t="s">
        <v>18382</v>
      </c>
      <c r="S10740">
        <v>6362</v>
      </c>
    </row>
    <row r="10741" spans="1:19">
      <c r="A10741" t="s">
        <v>127</v>
      </c>
      <c r="B10741" t="s">
        <v>150</v>
      </c>
      <c r="C10741" t="s">
        <v>259</v>
      </c>
      <c r="D10741" t="s">
        <v>388</v>
      </c>
      <c r="F10741">
        <f>HYPERLINK("https://www.wikidata.org/wiki/Q97178405", "Q97178405")</f>
        <v>0</v>
      </c>
      <c r="G10741" t="s">
        <v>4466</v>
      </c>
      <c r="H10741" t="s">
        <v>8613</v>
      </c>
      <c r="I10741" t="s">
        <v>9465</v>
      </c>
      <c r="J10741" t="s">
        <v>14954</v>
      </c>
      <c r="K10741" t="s">
        <v>19281</v>
      </c>
      <c r="M10741">
        <f>HYPERLINK("https://www.senat.fr/senateur-3eme-republique/pelletan_eugene1519r3.html", "pelletan_eugene1519r3")</f>
        <v>0</v>
      </c>
      <c r="N10741">
        <f>HYPERLINK("https://www.wikidata.org/wiki/Q764156", "Q764156")</f>
        <v>0</v>
      </c>
      <c r="O10741" t="s">
        <v>20399</v>
      </c>
      <c r="Q10741" t="s">
        <v>20984</v>
      </c>
      <c r="R10741" t="s">
        <v>21649</v>
      </c>
      <c r="S10741">
        <v>3067</v>
      </c>
    </row>
    <row r="10742" spans="1:19">
      <c r="A10742" t="s">
        <v>127</v>
      </c>
      <c r="B10742" t="s">
        <v>150</v>
      </c>
      <c r="C10742" t="s">
        <v>259</v>
      </c>
      <c r="D10742" t="s">
        <v>388</v>
      </c>
      <c r="F10742">
        <f>HYPERLINK("https://www.wikidata.org/wiki/Q97178405", "Q97178405")</f>
        <v>0</v>
      </c>
      <c r="G10742" t="s">
        <v>4467</v>
      </c>
      <c r="H10742" t="s">
        <v>8614</v>
      </c>
      <c r="I10742" t="s">
        <v>6166</v>
      </c>
      <c r="J10742" t="s">
        <v>14955</v>
      </c>
      <c r="K10742" t="s">
        <v>19282</v>
      </c>
      <c r="M10742">
        <f>HYPERLINK("https://www.senat.fr/senateur-3eme-republique/de_bondy_francois0261r3.html", "de_bondy_francois0261r3")</f>
        <v>0</v>
      </c>
      <c r="N10742">
        <f>HYPERLINK("https://www.wikidata.org/wiki/Q3083560", "Q3083560")</f>
        <v>0</v>
      </c>
      <c r="O10742" t="s">
        <v>19975</v>
      </c>
      <c r="Q10742" t="s">
        <v>20984</v>
      </c>
      <c r="R10742" t="s">
        <v>11967</v>
      </c>
      <c r="S10742">
        <v>1070</v>
      </c>
    </row>
    <row r="10743" spans="1:19">
      <c r="A10743" t="s">
        <v>127</v>
      </c>
      <c r="B10743" t="s">
        <v>150</v>
      </c>
      <c r="C10743" t="s">
        <v>259</v>
      </c>
      <c r="D10743" t="s">
        <v>388</v>
      </c>
      <c r="F10743">
        <f>HYPERLINK("https://www.wikidata.org/wiki/Q97178405", "Q97178405")</f>
        <v>0</v>
      </c>
      <c r="G10743" t="s">
        <v>4468</v>
      </c>
      <c r="H10743" t="s">
        <v>8615</v>
      </c>
      <c r="I10743" t="s">
        <v>5528</v>
      </c>
      <c r="J10743" t="s">
        <v>14956</v>
      </c>
      <c r="K10743" t="s">
        <v>19283</v>
      </c>
      <c r="M10743">
        <f>HYPERLINK("https://www.senat.fr/senateur-3eme-republique/clement_leon0258r3.html", "clement_leon0258r3")</f>
        <v>0</v>
      </c>
      <c r="N10743">
        <f>HYPERLINK("https://www.wikidata.org/wiki/Q3270832", "Q3270832")</f>
        <v>0</v>
      </c>
      <c r="O10743" t="s">
        <v>19975</v>
      </c>
      <c r="Q10743" t="s">
        <v>20984</v>
      </c>
      <c r="R10743" t="s">
        <v>11967</v>
      </c>
      <c r="S10743">
        <v>1070</v>
      </c>
    </row>
    <row r="10744" spans="1:19">
      <c r="A10744" t="s">
        <v>127</v>
      </c>
      <c r="B10744" t="s">
        <v>150</v>
      </c>
      <c r="C10744" t="s">
        <v>259</v>
      </c>
      <c r="D10744" t="s">
        <v>388</v>
      </c>
      <c r="F10744">
        <f>HYPERLINK("https://www.wikidata.org/wiki/Q97178405", "Q97178405")</f>
        <v>0</v>
      </c>
      <c r="G10744" t="s">
        <v>4469</v>
      </c>
      <c r="H10744" t="s">
        <v>8616</v>
      </c>
      <c r="I10744" t="s">
        <v>6166</v>
      </c>
      <c r="J10744" t="s">
        <v>14957</v>
      </c>
      <c r="K10744" t="s">
        <v>19284</v>
      </c>
      <c r="M10744">
        <f>HYPERLINK("https://www.senat.fr/senateur-3eme-republique/michal_ladichere_francois1183r3.html", "michal_ladichere_francois1183r3")</f>
        <v>0</v>
      </c>
      <c r="N10744">
        <f>HYPERLINK("https://www.wikidata.org/wiki/Q3085355", "Q3085355")</f>
        <v>0</v>
      </c>
      <c r="O10744" t="s">
        <v>20006</v>
      </c>
      <c r="Q10744" t="s">
        <v>20984</v>
      </c>
      <c r="R10744" t="s">
        <v>11967</v>
      </c>
      <c r="S10744">
        <v>1070</v>
      </c>
    </row>
    <row r="10745" spans="1:19">
      <c r="A10745" t="s">
        <v>127</v>
      </c>
      <c r="B10745" t="s">
        <v>150</v>
      </c>
      <c r="C10745" t="s">
        <v>259</v>
      </c>
      <c r="D10745" t="s">
        <v>388</v>
      </c>
      <c r="F10745">
        <f>HYPERLINK("https://www.wikidata.org/wiki/Q97178405", "Q97178405")</f>
        <v>0</v>
      </c>
      <c r="G10745" t="s">
        <v>4470</v>
      </c>
      <c r="H10745" t="s">
        <v>8617</v>
      </c>
      <c r="I10745" t="s">
        <v>9407</v>
      </c>
      <c r="J10745" t="s">
        <v>14958</v>
      </c>
      <c r="K10745" t="s">
        <v>19285</v>
      </c>
      <c r="M10745">
        <f>HYPERLINK("https://www.senat.fr/senateur-3eme-republique/eymard_duvernay_joseph1190r3.html", "eymard_duvernay_joseph1190r3")</f>
        <v>0</v>
      </c>
      <c r="N10745">
        <f>HYPERLINK("https://www.wikidata.org/wiki/Q3184918", "Q3184918")</f>
        <v>0</v>
      </c>
      <c r="O10745" t="s">
        <v>20006</v>
      </c>
      <c r="Q10745" t="s">
        <v>20984</v>
      </c>
      <c r="R10745" t="s">
        <v>11967</v>
      </c>
      <c r="S10745">
        <v>1070</v>
      </c>
    </row>
    <row r="10746" spans="1:19">
      <c r="A10746" t="s">
        <v>127</v>
      </c>
      <c r="B10746" t="s">
        <v>150</v>
      </c>
      <c r="C10746" t="s">
        <v>259</v>
      </c>
      <c r="D10746" t="s">
        <v>388</v>
      </c>
      <c r="F10746">
        <f>HYPERLINK("https://www.wikidata.org/wiki/Q97178405", "Q97178405")</f>
        <v>0</v>
      </c>
      <c r="G10746" t="s">
        <v>4471</v>
      </c>
      <c r="H10746" t="s">
        <v>8618</v>
      </c>
      <c r="I10746" t="s">
        <v>9449</v>
      </c>
      <c r="J10746" t="s">
        <v>13406</v>
      </c>
      <c r="K10746" t="s">
        <v>19286</v>
      </c>
      <c r="M10746">
        <f>HYPERLINK("https://www.senat.fr/senateur-3eme-republique/thurel_jules0437r3.html", "thurel_jules0437r3")</f>
        <v>0</v>
      </c>
      <c r="N10746">
        <f>HYPERLINK("https://www.wikidata.org/wiki/Q3188938", "Q3188938")</f>
        <v>0</v>
      </c>
      <c r="O10746" t="s">
        <v>20041</v>
      </c>
      <c r="Q10746" t="s">
        <v>20984</v>
      </c>
      <c r="R10746" t="s">
        <v>11967</v>
      </c>
      <c r="S10746">
        <v>1070</v>
      </c>
    </row>
    <row r="10747" spans="1:19">
      <c r="A10747" t="s">
        <v>127</v>
      </c>
      <c r="B10747" t="s">
        <v>150</v>
      </c>
      <c r="C10747" t="s">
        <v>259</v>
      </c>
      <c r="D10747" t="s">
        <v>388</v>
      </c>
      <c r="F10747">
        <f>HYPERLINK("https://www.wikidata.org/wiki/Q97178405", "Q97178405")</f>
        <v>0</v>
      </c>
      <c r="G10747" t="s">
        <v>4472</v>
      </c>
      <c r="H10747" t="s">
        <v>8619</v>
      </c>
      <c r="I10747" t="s">
        <v>6731</v>
      </c>
      <c r="J10747" t="s">
        <v>14959</v>
      </c>
      <c r="K10747" t="s">
        <v>19287</v>
      </c>
      <c r="M10747">
        <f>HYPERLINK("https://www.senat.fr/senateur-3eme-republique/de_lacroix_de_ravignan_marie0335r3.html", "de_lacroix_de_ravignan_marie0335r3")</f>
        <v>0</v>
      </c>
      <c r="N10747">
        <f>HYPERLINK("https://www.wikidata.org/wiki/Q3292225", "Q3292225")</f>
        <v>0</v>
      </c>
      <c r="O10747" t="s">
        <v>19995</v>
      </c>
      <c r="Q10747" t="s">
        <v>20984</v>
      </c>
      <c r="R10747" t="s">
        <v>11967</v>
      </c>
      <c r="S10747">
        <v>1070</v>
      </c>
    </row>
    <row r="10748" spans="1:19">
      <c r="A10748" t="s">
        <v>127</v>
      </c>
      <c r="B10748" t="s">
        <v>150</v>
      </c>
      <c r="C10748" t="s">
        <v>259</v>
      </c>
      <c r="D10748" t="s">
        <v>388</v>
      </c>
      <c r="F10748">
        <f>HYPERLINK("https://www.wikidata.org/wiki/Q97178405", "Q97178405")</f>
        <v>0</v>
      </c>
      <c r="G10748" t="s">
        <v>4473</v>
      </c>
      <c r="H10748" t="s">
        <v>8620</v>
      </c>
      <c r="I10748" t="s">
        <v>9457</v>
      </c>
      <c r="J10748" t="s">
        <v>14960</v>
      </c>
      <c r="K10748" t="s">
        <v>19288</v>
      </c>
      <c r="M10748">
        <f>HYPERLINK("https://www.senat.fr/senateur-3eme-republique/de_gavardie_henri0342r3.html", "de_gavardie_henri0342r3")</f>
        <v>0</v>
      </c>
      <c r="N10748">
        <f>HYPERLINK("https://www.wikidata.org/wiki/Q3132275", "Q3132275")</f>
        <v>0</v>
      </c>
      <c r="O10748" t="s">
        <v>19995</v>
      </c>
      <c r="Q10748" t="s">
        <v>20984</v>
      </c>
      <c r="R10748" t="s">
        <v>11967</v>
      </c>
      <c r="S10748">
        <v>1070</v>
      </c>
    </row>
    <row r="10749" spans="1:19">
      <c r="A10749" t="s">
        <v>127</v>
      </c>
      <c r="B10749" t="s">
        <v>150</v>
      </c>
      <c r="C10749" t="s">
        <v>259</v>
      </c>
      <c r="D10749" t="s">
        <v>388</v>
      </c>
      <c r="F10749">
        <f>HYPERLINK("https://www.wikidata.org/wiki/Q97178405", "Q97178405")</f>
        <v>0</v>
      </c>
      <c r="G10749" t="s">
        <v>4474</v>
      </c>
      <c r="H10749" t="s">
        <v>8621</v>
      </c>
      <c r="I10749" t="s">
        <v>9449</v>
      </c>
      <c r="J10749" t="s">
        <v>14961</v>
      </c>
      <c r="K10749" t="s">
        <v>19289</v>
      </c>
      <c r="M10749">
        <f>HYPERLINK("https://www.senat.fr/senateur-3eme-republique/bozerian_jules0374r3.html", "bozerian_jules0374r3")</f>
        <v>0</v>
      </c>
      <c r="N10749">
        <f>HYPERLINK("https://www.wikidata.org/wiki/Q3170973", "Q3170973")</f>
        <v>0</v>
      </c>
      <c r="O10749" t="s">
        <v>20039</v>
      </c>
      <c r="Q10749" t="s">
        <v>20984</v>
      </c>
      <c r="R10749" t="s">
        <v>11967</v>
      </c>
      <c r="S10749">
        <v>1070</v>
      </c>
    </row>
    <row r="10750" spans="1:19">
      <c r="A10750" t="s">
        <v>127</v>
      </c>
      <c r="B10750" t="s">
        <v>150</v>
      </c>
      <c r="C10750" t="s">
        <v>259</v>
      </c>
      <c r="D10750" t="s">
        <v>388</v>
      </c>
      <c r="F10750">
        <f>HYPERLINK("https://www.wikidata.org/wiki/Q97178405", "Q97178405")</f>
        <v>0</v>
      </c>
      <c r="G10750" t="s">
        <v>4475</v>
      </c>
      <c r="H10750" t="s">
        <v>8622</v>
      </c>
      <c r="I10750" t="s">
        <v>9455</v>
      </c>
      <c r="J10750" t="s">
        <v>14962</v>
      </c>
      <c r="K10750" t="s">
        <v>448</v>
      </c>
      <c r="M10750">
        <f>HYPERLINK("https://www.senat.fr/senateur-3eme-republique/arbel_lucien1344r3.html", "arbel_lucien1344r3")</f>
        <v>0</v>
      </c>
      <c r="N10750">
        <f>HYPERLINK("https://www.wikidata.org/wiki/Q3265342", "Q3265342")</f>
        <v>0</v>
      </c>
      <c r="O10750" t="s">
        <v>19997</v>
      </c>
      <c r="Q10750" t="s">
        <v>20984</v>
      </c>
      <c r="R10750" t="s">
        <v>11967</v>
      </c>
      <c r="S10750">
        <v>1070</v>
      </c>
    </row>
    <row r="10751" spans="1:19">
      <c r="A10751" t="s">
        <v>127</v>
      </c>
      <c r="B10751" t="s">
        <v>150</v>
      </c>
      <c r="C10751" t="s">
        <v>259</v>
      </c>
      <c r="D10751" t="s">
        <v>388</v>
      </c>
      <c r="F10751">
        <f>HYPERLINK("https://www.wikidata.org/wiki/Q97178405", "Q97178405")</f>
        <v>0</v>
      </c>
      <c r="G10751" t="s">
        <v>4476</v>
      </c>
      <c r="H10751" t="s">
        <v>5593</v>
      </c>
      <c r="I10751" t="s">
        <v>9553</v>
      </c>
      <c r="J10751" t="s">
        <v>14963</v>
      </c>
      <c r="K10751" t="s">
        <v>19290</v>
      </c>
      <c r="M10751">
        <f>HYPERLINK("https://www.senat.fr/senateur-3eme-republique/de_lavrignais_alexandre1279r3.html", "de_lavrignais_alexandre1279r3")</f>
        <v>0</v>
      </c>
      <c r="N10751">
        <f>HYPERLINK("https://www.wikidata.org/wiki/Q2834191", "Q2834191")</f>
        <v>0</v>
      </c>
      <c r="O10751" t="s">
        <v>20023</v>
      </c>
      <c r="Q10751" t="s">
        <v>20984</v>
      </c>
      <c r="R10751" t="s">
        <v>11967</v>
      </c>
      <c r="S10751">
        <v>1070</v>
      </c>
    </row>
    <row r="10752" spans="1:19">
      <c r="A10752" t="s">
        <v>127</v>
      </c>
      <c r="B10752" t="s">
        <v>150</v>
      </c>
      <c r="C10752" t="s">
        <v>259</v>
      </c>
      <c r="D10752" t="s">
        <v>388</v>
      </c>
      <c r="F10752">
        <f>HYPERLINK("https://www.wikidata.org/wiki/Q97178405", "Q97178405")</f>
        <v>0</v>
      </c>
      <c r="G10752" t="s">
        <v>4477</v>
      </c>
      <c r="H10752" t="s">
        <v>8623</v>
      </c>
      <c r="I10752" t="s">
        <v>9457</v>
      </c>
      <c r="J10752" t="s">
        <v>14964</v>
      </c>
      <c r="K10752" t="s">
        <v>19291</v>
      </c>
      <c r="M10752">
        <f>HYPERLINK("https://www.senat.fr/senateur-3eme-republique/baillardel_de_lareinty_henri1271r3.html", "baillardel_de_lareinty_henri1271r3")</f>
        <v>0</v>
      </c>
      <c r="N10752">
        <f>HYPERLINK("https://www.wikidata.org/wiki/Q3130604", "Q3130604")</f>
        <v>0</v>
      </c>
      <c r="O10752" t="s">
        <v>20023</v>
      </c>
      <c r="Q10752" t="s">
        <v>20984</v>
      </c>
      <c r="R10752" t="s">
        <v>11967</v>
      </c>
      <c r="S10752">
        <v>1070</v>
      </c>
    </row>
    <row r="10753" spans="1:19">
      <c r="A10753" t="s">
        <v>127</v>
      </c>
      <c r="B10753" t="s">
        <v>150</v>
      </c>
      <c r="C10753" t="s">
        <v>259</v>
      </c>
      <c r="D10753" t="s">
        <v>388</v>
      </c>
      <c r="F10753">
        <f>HYPERLINK("https://www.wikidata.org/wiki/Q97178405", "Q97178405")</f>
        <v>0</v>
      </c>
      <c r="G10753" t="s">
        <v>4478</v>
      </c>
      <c r="H10753" t="s">
        <v>8624</v>
      </c>
      <c r="I10753" t="s">
        <v>6478</v>
      </c>
      <c r="J10753" t="s">
        <v>14965</v>
      </c>
      <c r="K10753" t="s">
        <v>19292</v>
      </c>
      <c r="M10753">
        <f>HYPERLINK("https://www.senat.fr/senateur-3eme-republique/espivent_de_la_villeboisnet_henry1275r3.html", "espivent_de_la_villeboisnet_henry1275r3")</f>
        <v>0</v>
      </c>
      <c r="N10753">
        <f>HYPERLINK("https://www.wikidata.org/wiki/Q3131054", "Q3131054")</f>
        <v>0</v>
      </c>
      <c r="O10753" t="s">
        <v>20023</v>
      </c>
      <c r="Q10753" t="s">
        <v>20984</v>
      </c>
      <c r="R10753" t="s">
        <v>11967</v>
      </c>
      <c r="S10753">
        <v>1070</v>
      </c>
    </row>
    <row r="10754" spans="1:19">
      <c r="A10754" t="s">
        <v>127</v>
      </c>
      <c r="B10754" t="s">
        <v>150</v>
      </c>
      <c r="C10754" t="s">
        <v>259</v>
      </c>
      <c r="D10754" t="s">
        <v>388</v>
      </c>
      <c r="F10754">
        <f>HYPERLINK("https://www.wikidata.org/wiki/Q97178405", "Q97178405")</f>
        <v>0</v>
      </c>
      <c r="G10754" t="s">
        <v>4479</v>
      </c>
      <c r="H10754" t="s">
        <v>8625</v>
      </c>
      <c r="I10754" t="s">
        <v>9401</v>
      </c>
      <c r="J10754" t="s">
        <v>13539</v>
      </c>
      <c r="K10754" t="s">
        <v>19293</v>
      </c>
      <c r="M10754">
        <f>HYPERLINK("https://www.senat.fr/senateur-3eme-republique/dumesnil_antoine0497r3.html", "dumesnil_antoine0497r3")</f>
        <v>0</v>
      </c>
      <c r="N10754">
        <f>HYPERLINK("https://www.wikidata.org/wiki/Q2853900", "Q2853900")</f>
        <v>0</v>
      </c>
      <c r="O10754" t="s">
        <v>19958</v>
      </c>
      <c r="Q10754" t="s">
        <v>20984</v>
      </c>
      <c r="R10754" t="s">
        <v>11967</v>
      </c>
      <c r="S10754">
        <v>1070</v>
      </c>
    </row>
    <row r="10755" spans="1:19">
      <c r="A10755" t="s">
        <v>127</v>
      </c>
      <c r="B10755" t="s">
        <v>150</v>
      </c>
      <c r="C10755" t="s">
        <v>259</v>
      </c>
      <c r="D10755" t="s">
        <v>388</v>
      </c>
      <c r="F10755">
        <f>HYPERLINK("https://www.wikidata.org/wiki/Q97178405", "Q97178405")</f>
        <v>0</v>
      </c>
      <c r="G10755" t="s">
        <v>4480</v>
      </c>
      <c r="H10755" t="s">
        <v>8626</v>
      </c>
      <c r="I10755" t="s">
        <v>9681</v>
      </c>
      <c r="J10755" t="s">
        <v>14966</v>
      </c>
      <c r="K10755" t="s">
        <v>19294</v>
      </c>
      <c r="M10755">
        <f>HYPERLINK("https://www.senat.fr/senateur-3eme-republique/joubert_bonnaire_achille1156r3.html", "joubert_bonnaire_achille1156r3")</f>
        <v>0</v>
      </c>
      <c r="N10755">
        <f>HYPERLINK("https://www.wikidata.org/wiki/Q2823030", "Q2823030")</f>
        <v>0</v>
      </c>
      <c r="O10755" t="s">
        <v>19980</v>
      </c>
      <c r="Q10755" t="s">
        <v>20984</v>
      </c>
      <c r="R10755" t="s">
        <v>11967</v>
      </c>
      <c r="S10755">
        <v>1070</v>
      </c>
    </row>
    <row r="10756" spans="1:19">
      <c r="A10756" t="s">
        <v>127</v>
      </c>
      <c r="B10756" t="s">
        <v>150</v>
      </c>
      <c r="C10756" t="s">
        <v>259</v>
      </c>
      <c r="D10756" t="s">
        <v>388</v>
      </c>
      <c r="F10756">
        <f>HYPERLINK("https://www.wikidata.org/wiki/Q97178405", "Q97178405")</f>
        <v>0</v>
      </c>
      <c r="G10756" t="s">
        <v>4481</v>
      </c>
      <c r="H10756" t="s">
        <v>8627</v>
      </c>
      <c r="I10756" t="s">
        <v>5528</v>
      </c>
      <c r="J10756" t="s">
        <v>13228</v>
      </c>
      <c r="K10756" t="s">
        <v>19295</v>
      </c>
      <c r="M10756">
        <f>HYPERLINK("https://www.senat.fr/senateur-3eme-republique/le_guay_leon1073r3.html", "le_guay_leon1073r3")</f>
        <v>0</v>
      </c>
      <c r="N10756">
        <f>HYPERLINK("https://www.wikidata.org/wiki/Q3271139", "Q3271139")</f>
        <v>0</v>
      </c>
      <c r="O10756" t="s">
        <v>19980</v>
      </c>
      <c r="Q10756" t="s">
        <v>20984</v>
      </c>
      <c r="R10756" t="s">
        <v>11967</v>
      </c>
      <c r="S10756">
        <v>1070</v>
      </c>
    </row>
    <row r="10757" spans="1:19">
      <c r="A10757" t="s">
        <v>127</v>
      </c>
      <c r="B10757" t="s">
        <v>150</v>
      </c>
      <c r="C10757" t="s">
        <v>259</v>
      </c>
      <c r="D10757" t="s">
        <v>388</v>
      </c>
      <c r="F10757">
        <f>HYPERLINK("https://www.wikidata.org/wiki/Q97178405", "Q97178405")</f>
        <v>0</v>
      </c>
      <c r="G10757" t="s">
        <v>4482</v>
      </c>
      <c r="H10757" t="s">
        <v>8628</v>
      </c>
      <c r="I10757" t="s">
        <v>6200</v>
      </c>
      <c r="J10757" t="s">
        <v>14967</v>
      </c>
      <c r="K10757" t="s">
        <v>17797</v>
      </c>
      <c r="M10757">
        <f>HYPERLINK("https://www.senat.fr/senateur-3eme-republique/dauphinot_jean0637r3.html", "dauphinot_jean0637r3")</f>
        <v>0</v>
      </c>
      <c r="N10757">
        <f>HYPERLINK("https://www.wikidata.org/wiki/Q3484248", "Q3484248")</f>
        <v>0</v>
      </c>
      <c r="O10757" t="s">
        <v>20025</v>
      </c>
      <c r="Q10757" t="s">
        <v>20984</v>
      </c>
      <c r="R10757" t="s">
        <v>11967</v>
      </c>
      <c r="S10757">
        <v>1070</v>
      </c>
    </row>
    <row r="10758" spans="1:19">
      <c r="A10758" t="s">
        <v>127</v>
      </c>
      <c r="B10758" t="s">
        <v>150</v>
      </c>
      <c r="C10758" t="s">
        <v>259</v>
      </c>
      <c r="D10758" t="s">
        <v>388</v>
      </c>
      <c r="F10758">
        <f>HYPERLINK("https://www.wikidata.org/wiki/Q97178405", "Q97178405")</f>
        <v>0</v>
      </c>
      <c r="G10758" t="s">
        <v>4483</v>
      </c>
      <c r="H10758" t="s">
        <v>8629</v>
      </c>
      <c r="I10758" t="s">
        <v>9516</v>
      </c>
      <c r="J10758" t="s">
        <v>14968</v>
      </c>
      <c r="K10758" t="s">
        <v>19296</v>
      </c>
      <c r="M10758">
        <f>HYPERLINK("https://www.senat.fr/senateur-3eme-republique/duboys_fresney_etienne0952r3.html", "duboys_fresney_etienne0952r3")</f>
        <v>0</v>
      </c>
      <c r="N10758">
        <f>HYPERLINK("https://www.wikidata.org/wiki/Q3592145", "Q3592145")</f>
        <v>0</v>
      </c>
      <c r="O10758" t="s">
        <v>19984</v>
      </c>
      <c r="Q10758" t="s">
        <v>20984</v>
      </c>
      <c r="R10758" t="s">
        <v>11967</v>
      </c>
      <c r="S10758">
        <v>1070</v>
      </c>
    </row>
    <row r="10759" spans="1:19">
      <c r="A10759" t="s">
        <v>127</v>
      </c>
      <c r="B10759" t="s">
        <v>150</v>
      </c>
      <c r="C10759" t="s">
        <v>259</v>
      </c>
      <c r="D10759" t="s">
        <v>388</v>
      </c>
      <c r="F10759">
        <f>HYPERLINK("https://www.wikidata.org/wiki/Q97178405", "Q97178405")</f>
        <v>0</v>
      </c>
      <c r="G10759" t="s">
        <v>4289</v>
      </c>
      <c r="H10759" t="s">
        <v>8448</v>
      </c>
      <c r="I10759" t="s">
        <v>9457</v>
      </c>
      <c r="J10759" t="s">
        <v>14788</v>
      </c>
      <c r="K10759" t="s">
        <v>19132</v>
      </c>
      <c r="M10759">
        <f>HYPERLINK("https://www.senat.fr/senateur-3eme-republique/varroy_henry0928r3.html", "varroy_henry0928r3")</f>
        <v>0</v>
      </c>
      <c r="N10759">
        <f>HYPERLINK("https://www.wikidata.org/wiki/Q3132133", "Q3132133")</f>
        <v>0</v>
      </c>
      <c r="O10759" t="s">
        <v>20007</v>
      </c>
      <c r="Q10759" t="s">
        <v>20984</v>
      </c>
      <c r="R10759" t="s">
        <v>11967</v>
      </c>
      <c r="S10759">
        <v>1070</v>
      </c>
    </row>
    <row r="10760" spans="1:19">
      <c r="A10760" t="s">
        <v>127</v>
      </c>
      <c r="B10760" t="s">
        <v>150</v>
      </c>
      <c r="C10760" t="s">
        <v>259</v>
      </c>
      <c r="D10760" t="s">
        <v>388</v>
      </c>
      <c r="F10760">
        <f>HYPERLINK("https://www.wikidata.org/wiki/Q97178405", "Q97178405")</f>
        <v>0</v>
      </c>
      <c r="G10760" t="s">
        <v>4484</v>
      </c>
      <c r="H10760" t="s">
        <v>8630</v>
      </c>
      <c r="I10760" t="s">
        <v>5812</v>
      </c>
      <c r="J10760" t="s">
        <v>14969</v>
      </c>
      <c r="K10760" t="s">
        <v>19297</v>
      </c>
      <c r="M10760">
        <f>HYPERLINK("https://www.senat.fr/senateur-3eme-republique/audren_de_kerdrel_vincent0893r3.html", "audren_de_kerdrel_vincent0893r3")</f>
        <v>0</v>
      </c>
      <c r="N10760">
        <f>HYPERLINK("https://www.wikidata.org/wiki/Q3559457", "Q3559457")</f>
        <v>0</v>
      </c>
      <c r="O10760" t="s">
        <v>19961</v>
      </c>
      <c r="Q10760" t="s">
        <v>20984</v>
      </c>
      <c r="R10760" t="s">
        <v>11967</v>
      </c>
      <c r="S10760">
        <v>1070</v>
      </c>
    </row>
    <row r="10761" spans="1:19">
      <c r="A10761" t="s">
        <v>127</v>
      </c>
      <c r="B10761" t="s">
        <v>150</v>
      </c>
      <c r="C10761" t="s">
        <v>259</v>
      </c>
      <c r="D10761" t="s">
        <v>388</v>
      </c>
      <c r="F10761">
        <f>HYPERLINK("https://www.wikidata.org/wiki/Q97178405", "Q97178405")</f>
        <v>0</v>
      </c>
      <c r="G10761" t="s">
        <v>4485</v>
      </c>
      <c r="H10761" t="s">
        <v>8631</v>
      </c>
      <c r="I10761" t="s">
        <v>9385</v>
      </c>
      <c r="J10761" t="s">
        <v>14970</v>
      </c>
      <c r="K10761" t="s">
        <v>19298</v>
      </c>
      <c r="M10761">
        <f>HYPERLINK("https://www.senat.fr/senateur-3eme-republique/de_la_monneraye_charles0900r3.html", "de_la_monneraye_charles0900r3")</f>
        <v>0</v>
      </c>
      <c r="N10761">
        <f>HYPERLINK("https://www.wikidata.org/wiki/Q2960602", "Q2960602")</f>
        <v>0</v>
      </c>
      <c r="O10761" t="s">
        <v>19961</v>
      </c>
      <c r="Q10761" t="s">
        <v>20984</v>
      </c>
      <c r="R10761" t="s">
        <v>11967</v>
      </c>
      <c r="S10761">
        <v>1070</v>
      </c>
    </row>
    <row r="10762" spans="1:19">
      <c r="A10762" t="s">
        <v>127</v>
      </c>
      <c r="B10762" t="s">
        <v>150</v>
      </c>
      <c r="C10762" t="s">
        <v>259</v>
      </c>
      <c r="D10762" t="s">
        <v>388</v>
      </c>
      <c r="F10762">
        <f>HYPERLINK("https://www.wikidata.org/wiki/Q97178405", "Q97178405")</f>
        <v>0</v>
      </c>
      <c r="G10762" t="s">
        <v>4486</v>
      </c>
      <c r="H10762" t="s">
        <v>8632</v>
      </c>
      <c r="I10762" t="s">
        <v>9407</v>
      </c>
      <c r="J10762" t="s">
        <v>14883</v>
      </c>
      <c r="K10762" t="s">
        <v>19299</v>
      </c>
      <c r="M10762">
        <f>HYPERLINK("https://www.senat.fr/senateur-3eme-republique/d_andlau_joseph0888r3.html", "d_andlau_joseph0888r3")</f>
        <v>0</v>
      </c>
      <c r="N10762">
        <f>HYPERLINK("https://www.wikidata.org/wiki/Q1495572", "Q1495572")</f>
        <v>0</v>
      </c>
      <c r="O10762" t="s">
        <v>19989</v>
      </c>
      <c r="Q10762" t="s">
        <v>20984</v>
      </c>
      <c r="R10762" t="s">
        <v>11967</v>
      </c>
      <c r="S10762">
        <v>1070</v>
      </c>
    </row>
    <row r="10763" spans="1:19">
      <c r="A10763" t="s">
        <v>127</v>
      </c>
      <c r="B10763" t="s">
        <v>150</v>
      </c>
      <c r="C10763" t="s">
        <v>259</v>
      </c>
      <c r="D10763" t="s">
        <v>388</v>
      </c>
      <c r="F10763">
        <f>HYPERLINK("https://www.wikidata.org/wiki/Q97178405", "Q97178405")</f>
        <v>0</v>
      </c>
      <c r="G10763" t="s">
        <v>4487</v>
      </c>
      <c r="H10763" t="s">
        <v>8633</v>
      </c>
      <c r="I10763" t="s">
        <v>9458</v>
      </c>
      <c r="J10763" t="s">
        <v>14971</v>
      </c>
      <c r="K10763" t="s">
        <v>19300</v>
      </c>
      <c r="M10763">
        <f>HYPERLINK("https://www.senat.fr/senateur-3eme-republique/de_flers_alfred0914r3.html", "de_flers_alfred0914r3")</f>
        <v>0</v>
      </c>
      <c r="N10763">
        <f>HYPERLINK("https://www.wikidata.org/wiki/Q2835535", "Q2835535")</f>
        <v>0</v>
      </c>
      <c r="O10763" t="s">
        <v>19957</v>
      </c>
      <c r="Q10763" t="s">
        <v>20984</v>
      </c>
      <c r="R10763" t="s">
        <v>21645</v>
      </c>
      <c r="S10763">
        <v>2169</v>
      </c>
    </row>
    <row r="10764" spans="1:19">
      <c r="A10764" t="s">
        <v>127</v>
      </c>
      <c r="B10764" t="s">
        <v>150</v>
      </c>
      <c r="C10764" t="s">
        <v>259</v>
      </c>
      <c r="D10764" t="s">
        <v>388</v>
      </c>
      <c r="F10764">
        <f>HYPERLINK("https://www.wikidata.org/wiki/Q97178405", "Q97178405")</f>
        <v>0</v>
      </c>
      <c r="G10764" t="s">
        <v>4488</v>
      </c>
      <c r="H10764" t="s">
        <v>8634</v>
      </c>
      <c r="I10764" t="s">
        <v>9385</v>
      </c>
      <c r="J10764" t="s">
        <v>14972</v>
      </c>
      <c r="K10764" t="s">
        <v>19301</v>
      </c>
      <c r="M10764">
        <f>HYPERLINK("https://www.senat.fr/senateur-3eme-republique/poriquet_charles0901r3.html", "poriquet_charles0901r3")</f>
        <v>0</v>
      </c>
      <c r="N10764">
        <f>HYPERLINK("https://www.wikidata.org/wiki/Q2958272", "Q2958272")</f>
        <v>0</v>
      </c>
      <c r="O10764" t="s">
        <v>19957</v>
      </c>
      <c r="Q10764" t="s">
        <v>20984</v>
      </c>
      <c r="R10764" t="s">
        <v>21645</v>
      </c>
      <c r="S10764">
        <v>2169</v>
      </c>
    </row>
    <row r="10765" spans="1:19">
      <c r="A10765" t="s">
        <v>127</v>
      </c>
      <c r="B10765" t="s">
        <v>150</v>
      </c>
      <c r="C10765" t="s">
        <v>259</v>
      </c>
      <c r="D10765" t="s">
        <v>388</v>
      </c>
      <c r="F10765">
        <f>HYPERLINK("https://www.wikidata.org/wiki/Q97178405", "Q97178405")</f>
        <v>0</v>
      </c>
      <c r="G10765" t="s">
        <v>4489</v>
      </c>
      <c r="H10765" t="s">
        <v>8635</v>
      </c>
      <c r="I10765" t="s">
        <v>6495</v>
      </c>
      <c r="J10765" t="s">
        <v>14973</v>
      </c>
      <c r="K10765" t="s">
        <v>19302</v>
      </c>
      <c r="M10765">
        <f>HYPERLINK("https://www.senat.fr/senateur-3eme-republique/dubrulle_louis0937r3.html", "dubrulle_louis0937r3")</f>
        <v>0</v>
      </c>
      <c r="N10765">
        <f>HYPERLINK("https://www.wikidata.org/wiki/Q3261776", "Q3261776")</f>
        <v>0</v>
      </c>
      <c r="O10765" t="s">
        <v>19968</v>
      </c>
      <c r="Q10765" t="s">
        <v>20984</v>
      </c>
      <c r="R10765" t="s">
        <v>21645</v>
      </c>
      <c r="S10765">
        <v>2169</v>
      </c>
    </row>
    <row r="10766" spans="1:19">
      <c r="A10766" t="s">
        <v>127</v>
      </c>
      <c r="B10766" t="s">
        <v>150</v>
      </c>
      <c r="C10766" t="s">
        <v>259</v>
      </c>
      <c r="D10766" t="s">
        <v>388</v>
      </c>
      <c r="F10766">
        <f>HYPERLINK("https://www.wikidata.org/wiki/Q97178405", "Q97178405")</f>
        <v>0</v>
      </c>
      <c r="G10766" t="s">
        <v>4490</v>
      </c>
      <c r="H10766" t="s">
        <v>8636</v>
      </c>
      <c r="I10766" t="s">
        <v>9552</v>
      </c>
      <c r="J10766" t="s">
        <v>14974</v>
      </c>
      <c r="K10766" t="s">
        <v>19303</v>
      </c>
      <c r="M10766">
        <f>HYPERLINK("https://www.senat.fr/senateur-3eme-republique/paris_auguste0921r3.html", "paris_auguste0921r3")</f>
        <v>0</v>
      </c>
      <c r="N10766">
        <f>HYPERLINK("https://www.wikidata.org/wiki/Q766851", "Q766851")</f>
        <v>0</v>
      </c>
      <c r="O10766" t="s">
        <v>19968</v>
      </c>
      <c r="Q10766" t="s">
        <v>20984</v>
      </c>
      <c r="R10766" t="s">
        <v>21644</v>
      </c>
      <c r="S10766">
        <v>3282</v>
      </c>
    </row>
    <row r="10767" spans="1:19">
      <c r="A10767" t="s">
        <v>127</v>
      </c>
      <c r="B10767" t="s">
        <v>150</v>
      </c>
      <c r="C10767" t="s">
        <v>259</v>
      </c>
      <c r="D10767" t="s">
        <v>388</v>
      </c>
      <c r="F10767">
        <f>HYPERLINK("https://www.wikidata.org/wiki/Q97178405", "Q97178405")</f>
        <v>0</v>
      </c>
      <c r="G10767" t="s">
        <v>4491</v>
      </c>
      <c r="H10767" t="s">
        <v>8637</v>
      </c>
      <c r="I10767" t="s">
        <v>9552</v>
      </c>
      <c r="J10767" t="s">
        <v>14975</v>
      </c>
      <c r="K10767" t="s">
        <v>19304</v>
      </c>
      <c r="M10767">
        <f>HYPERLINK("https://www.senat.fr/senateur-3eme-republique/huguet_auguste0972r3.html", "huguet_auguste0972r3")</f>
        <v>0</v>
      </c>
      <c r="N10767">
        <f>HYPERLINK("https://www.wikidata.org/wiki/Q2871223", "Q2871223")</f>
        <v>0</v>
      </c>
      <c r="O10767" t="s">
        <v>19968</v>
      </c>
      <c r="Q10767" t="s">
        <v>20984</v>
      </c>
      <c r="R10767" t="s">
        <v>21645</v>
      </c>
      <c r="S10767">
        <v>2169</v>
      </c>
    </row>
    <row r="10768" spans="1:19">
      <c r="A10768" t="s">
        <v>127</v>
      </c>
      <c r="B10768" t="s">
        <v>150</v>
      </c>
      <c r="C10768" t="s">
        <v>259</v>
      </c>
      <c r="D10768" t="s">
        <v>388</v>
      </c>
      <c r="F10768">
        <f>HYPERLINK("https://www.wikidata.org/wiki/Q97178405", "Q97178405")</f>
        <v>0</v>
      </c>
      <c r="G10768" t="s">
        <v>4492</v>
      </c>
      <c r="H10768" t="s">
        <v>8638</v>
      </c>
      <c r="I10768" t="s">
        <v>9507</v>
      </c>
      <c r="J10768" t="s">
        <v>14976</v>
      </c>
      <c r="K10768" t="s">
        <v>19305</v>
      </c>
      <c r="M10768">
        <f>HYPERLINK("https://www.senat.fr/senateur-3eme-republique/de_barante_prosper0983r3.html", "de_barante_prosper0983r3")</f>
        <v>0</v>
      </c>
      <c r="N10768">
        <f>HYPERLINK("https://www.wikidata.org/wiki/Q3407743", "Q3407743")</f>
        <v>0</v>
      </c>
      <c r="O10768" t="s">
        <v>20005</v>
      </c>
      <c r="Q10768" t="s">
        <v>20984</v>
      </c>
      <c r="R10768" t="s">
        <v>21645</v>
      </c>
      <c r="S10768">
        <v>2169</v>
      </c>
    </row>
    <row r="10769" spans="1:19">
      <c r="A10769" t="s">
        <v>127</v>
      </c>
      <c r="B10769" t="s">
        <v>150</v>
      </c>
      <c r="C10769" t="s">
        <v>259</v>
      </c>
      <c r="D10769" t="s">
        <v>388</v>
      </c>
      <c r="F10769">
        <f>HYPERLINK("https://www.wikidata.org/wiki/Q97178405", "Q97178405")</f>
        <v>0</v>
      </c>
      <c r="G10769" t="s">
        <v>4493</v>
      </c>
      <c r="H10769" t="s">
        <v>8639</v>
      </c>
      <c r="I10769" t="s">
        <v>6736</v>
      </c>
      <c r="J10769" t="s">
        <v>14977</v>
      </c>
      <c r="K10769" t="s">
        <v>19306</v>
      </c>
      <c r="M10769">
        <f>HYPERLINK("https://www.senat.fr/senateur-3eme-republique/salneuve_mathieu0996r3.html", "salneuve_mathieu0996r3")</f>
        <v>0</v>
      </c>
      <c r="N10769">
        <f>HYPERLINK("https://www.wikidata.org/wiki/Q3298858", "Q3298858")</f>
        <v>0</v>
      </c>
      <c r="O10769" t="s">
        <v>20005</v>
      </c>
      <c r="Q10769" t="s">
        <v>20984</v>
      </c>
      <c r="R10769" t="s">
        <v>21645</v>
      </c>
      <c r="S10769">
        <v>2169</v>
      </c>
    </row>
    <row r="10770" spans="1:19">
      <c r="A10770" t="s">
        <v>127</v>
      </c>
      <c r="B10770" t="s">
        <v>150</v>
      </c>
      <c r="C10770" t="s">
        <v>259</v>
      </c>
      <c r="D10770" t="s">
        <v>388</v>
      </c>
      <c r="F10770">
        <f>HYPERLINK("https://www.wikidata.org/wiki/Q97178405", "Q97178405")</f>
        <v>0</v>
      </c>
      <c r="G10770" t="s">
        <v>4494</v>
      </c>
      <c r="H10770" t="s">
        <v>8640</v>
      </c>
      <c r="I10770" t="s">
        <v>9414</v>
      </c>
      <c r="J10770" t="s">
        <v>14978</v>
      </c>
      <c r="K10770" t="s">
        <v>19307</v>
      </c>
      <c r="M10770">
        <f>HYPERLINK("https://www.senat.fr/senateur-3eme-republique/arago_emmanuel1087r3.html", "arago_emmanuel1087r3")</f>
        <v>0</v>
      </c>
      <c r="N10770">
        <f>HYPERLINK("https://www.wikidata.org/wiki/Q2658508", "Q2658508")</f>
        <v>0</v>
      </c>
      <c r="O10770" t="s">
        <v>20001</v>
      </c>
      <c r="Q10770" t="s">
        <v>20984</v>
      </c>
      <c r="R10770" t="s">
        <v>21645</v>
      </c>
      <c r="S10770">
        <v>2169</v>
      </c>
    </row>
    <row r="10771" spans="1:19">
      <c r="A10771" t="s">
        <v>127</v>
      </c>
      <c r="B10771" t="s">
        <v>150</v>
      </c>
      <c r="C10771" t="s">
        <v>259</v>
      </c>
      <c r="D10771" t="s">
        <v>388</v>
      </c>
      <c r="F10771">
        <f>HYPERLINK("https://www.wikidata.org/wiki/Q97178405", "Q97178405")</f>
        <v>0</v>
      </c>
      <c r="G10771" t="s">
        <v>4495</v>
      </c>
      <c r="H10771" t="s">
        <v>8641</v>
      </c>
      <c r="I10771" t="s">
        <v>9474</v>
      </c>
      <c r="J10771" t="s">
        <v>14979</v>
      </c>
      <c r="K10771" t="s">
        <v>19308</v>
      </c>
      <c r="M10771">
        <f>HYPERLINK("https://www.senat.fr/senateur-3eme-republique/perret_jean_baptiste1132r3.html", "perret_jean_baptiste1132r3")</f>
        <v>0</v>
      </c>
      <c r="N10771">
        <f>HYPERLINK("https://www.wikidata.org/wiki/Q3164344", "Q3164344")</f>
        <v>0</v>
      </c>
      <c r="O10771" t="s">
        <v>19965</v>
      </c>
      <c r="Q10771" t="s">
        <v>20984</v>
      </c>
      <c r="R10771" t="s">
        <v>21645</v>
      </c>
      <c r="S10771">
        <v>2169</v>
      </c>
    </row>
    <row r="10772" spans="1:19">
      <c r="A10772" t="s">
        <v>127</v>
      </c>
      <c r="B10772" t="s">
        <v>150</v>
      </c>
      <c r="C10772" t="s">
        <v>259</v>
      </c>
      <c r="D10772" t="s">
        <v>388</v>
      </c>
      <c r="F10772">
        <f>HYPERLINK("https://www.wikidata.org/wiki/Q97178405", "Q97178405")</f>
        <v>0</v>
      </c>
      <c r="G10772" t="s">
        <v>4496</v>
      </c>
      <c r="H10772" t="s">
        <v>8642</v>
      </c>
      <c r="I10772" t="s">
        <v>6495</v>
      </c>
      <c r="J10772" t="s">
        <v>14980</v>
      </c>
      <c r="K10772" t="s">
        <v>19309</v>
      </c>
      <c r="M10772">
        <f>HYPERLINK("https://www.senat.fr/senateur-3eme-republique/mangini_louis1126r3.html", "mangini_louis1126r3")</f>
        <v>0</v>
      </c>
      <c r="N10772">
        <f>HYPERLINK("https://www.wikidata.org/wiki/Q3265625", "Q3265625")</f>
        <v>0</v>
      </c>
      <c r="O10772" t="s">
        <v>19965</v>
      </c>
      <c r="Q10772" t="s">
        <v>20984</v>
      </c>
      <c r="R10772" t="s">
        <v>21645</v>
      </c>
      <c r="S10772">
        <v>2169</v>
      </c>
    </row>
    <row r="10773" spans="1:19">
      <c r="A10773" t="s">
        <v>127</v>
      </c>
      <c r="B10773" t="s">
        <v>150</v>
      </c>
      <c r="C10773" t="s">
        <v>259</v>
      </c>
      <c r="D10773" t="s">
        <v>388</v>
      </c>
      <c r="F10773">
        <f>HYPERLINK("https://www.wikidata.org/wiki/Q97178405", "Q97178405")</f>
        <v>0</v>
      </c>
      <c r="G10773" t="s">
        <v>4497</v>
      </c>
      <c r="H10773" t="s">
        <v>8643</v>
      </c>
      <c r="I10773" t="s">
        <v>9385</v>
      </c>
      <c r="J10773" t="s">
        <v>14981</v>
      </c>
      <c r="K10773" t="s">
        <v>19310</v>
      </c>
      <c r="M10773">
        <f>HYPERLINK("https://www.senat.fr/senateur-3eme-republique/guillemaut_charles1213r3.html", "guillemaut_charles1213r3")</f>
        <v>0</v>
      </c>
      <c r="N10773">
        <f>HYPERLINK("https://www.wikidata.org/wiki/Q2959273", "Q2959273")</f>
        <v>0</v>
      </c>
      <c r="O10773" t="s">
        <v>19994</v>
      </c>
      <c r="Q10773" t="s">
        <v>20984</v>
      </c>
      <c r="R10773" t="s">
        <v>21645</v>
      </c>
      <c r="S10773">
        <v>2169</v>
      </c>
    </row>
    <row r="10774" spans="1:19">
      <c r="A10774" t="s">
        <v>127</v>
      </c>
      <c r="B10774" t="s">
        <v>150</v>
      </c>
      <c r="C10774" t="s">
        <v>259</v>
      </c>
      <c r="D10774" t="s">
        <v>388</v>
      </c>
      <c r="F10774">
        <f>HYPERLINK("https://www.wikidata.org/wiki/Q97178405", "Q97178405")</f>
        <v>0</v>
      </c>
      <c r="G10774" t="s">
        <v>4498</v>
      </c>
      <c r="H10774" t="s">
        <v>8644</v>
      </c>
      <c r="I10774" t="s">
        <v>9552</v>
      </c>
      <c r="J10774" t="s">
        <v>14982</v>
      </c>
      <c r="K10774" t="s">
        <v>19311</v>
      </c>
      <c r="M10774">
        <f>HYPERLINK("https://www.senat.fr/senateur-3eme-republique/de_talhouet_auguste1238r3.html", "de_talhouet_auguste1238r3")</f>
        <v>0</v>
      </c>
      <c r="N10774">
        <f>HYPERLINK("https://www.wikidata.org/wiki/Q2871488", "Q2871488")</f>
        <v>0</v>
      </c>
      <c r="O10774" t="s">
        <v>19956</v>
      </c>
      <c r="Q10774" t="s">
        <v>20984</v>
      </c>
      <c r="R10774" t="s">
        <v>21645</v>
      </c>
      <c r="S10774">
        <v>2169</v>
      </c>
    </row>
    <row r="10775" spans="1:19">
      <c r="A10775" t="s">
        <v>127</v>
      </c>
      <c r="B10775" t="s">
        <v>150</v>
      </c>
      <c r="C10775" t="s">
        <v>259</v>
      </c>
      <c r="D10775" t="s">
        <v>388</v>
      </c>
      <c r="F10775">
        <f>HYPERLINK("https://www.wikidata.org/wiki/Q97178405", "Q97178405")</f>
        <v>0</v>
      </c>
      <c r="G10775" t="s">
        <v>4499</v>
      </c>
      <c r="H10775" t="s">
        <v>8645</v>
      </c>
      <c r="I10775" t="s">
        <v>6941</v>
      </c>
      <c r="J10775" t="s">
        <v>14983</v>
      </c>
      <c r="K10775" t="s">
        <v>19312</v>
      </c>
      <c r="M10775">
        <f>HYPERLINK("https://www.senat.fr/senateur-3eme-republique/vetillart_michel1244r3.html", "vetillart_michel1244r3")</f>
        <v>0</v>
      </c>
      <c r="N10775">
        <f>HYPERLINK("https://www.wikidata.org/wiki/Q3311101", "Q3311101")</f>
        <v>0</v>
      </c>
      <c r="O10775" t="s">
        <v>19956</v>
      </c>
      <c r="Q10775" t="s">
        <v>20984</v>
      </c>
      <c r="R10775" t="s">
        <v>21645</v>
      </c>
      <c r="S10775">
        <v>2169</v>
      </c>
    </row>
    <row r="10776" spans="1:19">
      <c r="A10776" t="s">
        <v>127</v>
      </c>
      <c r="B10776" t="s">
        <v>150</v>
      </c>
      <c r="C10776" t="s">
        <v>259</v>
      </c>
      <c r="D10776" t="s">
        <v>388</v>
      </c>
      <c r="F10776">
        <f>HYPERLINK("https://www.wikidata.org/wiki/Q97178405", "Q97178405")</f>
        <v>0</v>
      </c>
      <c r="G10776" t="s">
        <v>4500</v>
      </c>
      <c r="H10776" t="s">
        <v>8646</v>
      </c>
      <c r="I10776" t="s">
        <v>9465</v>
      </c>
      <c r="J10776" t="s">
        <v>14984</v>
      </c>
      <c r="K10776" t="s">
        <v>19313</v>
      </c>
      <c r="M10776">
        <f>HYPERLINK("https://www.senat.fr/senateur-3eme-republique/caillaux_eugene1249r3.html", "caillaux_eugene1249r3")</f>
        <v>0</v>
      </c>
      <c r="N10776">
        <f>HYPERLINK("https://www.wikidata.org/wiki/Q521963", "Q521963")</f>
        <v>0</v>
      </c>
      <c r="O10776" t="s">
        <v>19956</v>
      </c>
      <c r="Q10776" t="s">
        <v>20984</v>
      </c>
      <c r="R10776" t="s">
        <v>21645</v>
      </c>
      <c r="S10776">
        <v>2169</v>
      </c>
    </row>
    <row r="10777" spans="1:19">
      <c r="A10777" t="s">
        <v>127</v>
      </c>
      <c r="B10777" t="s">
        <v>150</v>
      </c>
      <c r="C10777" t="s">
        <v>259</v>
      </c>
      <c r="D10777" t="s">
        <v>388</v>
      </c>
      <c r="F10777">
        <f>HYPERLINK("https://www.wikidata.org/wiki/Q97178405", "Q97178405")</f>
        <v>0</v>
      </c>
      <c r="G10777" t="s">
        <v>4501</v>
      </c>
      <c r="H10777" t="s">
        <v>8647</v>
      </c>
      <c r="I10777" t="s">
        <v>9612</v>
      </c>
      <c r="J10777" t="s">
        <v>14985</v>
      </c>
      <c r="K10777" t="s">
        <v>19314</v>
      </c>
      <c r="M10777">
        <f>HYPERLINK("https://www.senat.fr/senateur-3eme-republique/d_alexandry_frederic1270r3.html", "d_alexandry_frederic1270r3")</f>
        <v>0</v>
      </c>
      <c r="N10777">
        <f>HYPERLINK("https://www.wikidata.org/wiki/Q3090293", "Q3090293")</f>
        <v>0</v>
      </c>
      <c r="O10777" t="s">
        <v>19988</v>
      </c>
      <c r="Q10777" t="s">
        <v>20984</v>
      </c>
      <c r="R10777" t="s">
        <v>21645</v>
      </c>
      <c r="S10777">
        <v>2169</v>
      </c>
    </row>
    <row r="10778" spans="1:19">
      <c r="A10778" t="s">
        <v>127</v>
      </c>
      <c r="B10778" t="s">
        <v>150</v>
      </c>
      <c r="C10778" t="s">
        <v>259</v>
      </c>
      <c r="D10778" t="s">
        <v>388</v>
      </c>
      <c r="F10778">
        <f>HYPERLINK("https://www.wikidata.org/wiki/Q97178405", "Q97178405")</f>
        <v>0</v>
      </c>
      <c r="G10778" t="s">
        <v>4502</v>
      </c>
      <c r="H10778" t="s">
        <v>8648</v>
      </c>
      <c r="I10778" t="s">
        <v>9376</v>
      </c>
      <c r="J10778" t="s">
        <v>14986</v>
      </c>
      <c r="K10778" t="s">
        <v>19315</v>
      </c>
      <c r="M10778">
        <f>HYPERLINK("https://www.senat.fr/senateur-3eme-republique/herold_ferdinand1339r3.html", "herold_ferdinand1339r3")</f>
        <v>0</v>
      </c>
      <c r="N10778">
        <f>HYPERLINK("https://www.wikidata.org/wiki/Q3068586", "Q3068586")</f>
        <v>0</v>
      </c>
      <c r="O10778" t="s">
        <v>19969</v>
      </c>
      <c r="Q10778" t="s">
        <v>20984</v>
      </c>
      <c r="R10778" t="s">
        <v>19315</v>
      </c>
      <c r="S10778">
        <v>2163</v>
      </c>
    </row>
    <row r="10779" spans="1:19">
      <c r="A10779" t="s">
        <v>127</v>
      </c>
      <c r="B10779" t="s">
        <v>150</v>
      </c>
      <c r="C10779" t="s">
        <v>259</v>
      </c>
      <c r="D10779" t="s">
        <v>388</v>
      </c>
      <c r="F10779">
        <f>HYPERLINK("https://www.wikidata.org/wiki/Q97178405", "Q97178405")</f>
        <v>0</v>
      </c>
      <c r="G10779" t="s">
        <v>4503</v>
      </c>
      <c r="H10779" t="s">
        <v>8649</v>
      </c>
      <c r="I10779" t="s">
        <v>9483</v>
      </c>
      <c r="J10779" t="s">
        <v>14987</v>
      </c>
      <c r="K10779" t="s">
        <v>19316</v>
      </c>
      <c r="M10779">
        <f>HYPERLINK("https://www.senat.fr/senateur-3eme-republique/hugo_victor1354r3.html", "hugo_victor1354r3")</f>
        <v>0</v>
      </c>
      <c r="N10779">
        <f>HYPERLINK("https://www.wikidata.org/wiki/Q535", "Q535")</f>
        <v>0</v>
      </c>
      <c r="O10779" t="s">
        <v>19969</v>
      </c>
      <c r="Q10779" t="s">
        <v>20984</v>
      </c>
      <c r="R10779" t="s">
        <v>21645</v>
      </c>
      <c r="S10779">
        <v>2169</v>
      </c>
    </row>
    <row r="10780" spans="1:19">
      <c r="A10780" t="s">
        <v>127</v>
      </c>
      <c r="B10780" t="s">
        <v>150</v>
      </c>
      <c r="C10780" t="s">
        <v>259</v>
      </c>
      <c r="D10780" t="s">
        <v>388</v>
      </c>
      <c r="F10780">
        <f>HYPERLINK("https://www.wikidata.org/wiki/Q97178405", "Q97178405")</f>
        <v>0</v>
      </c>
      <c r="G10780" t="s">
        <v>4504</v>
      </c>
      <c r="H10780" t="s">
        <v>8650</v>
      </c>
      <c r="I10780" t="s">
        <v>9426</v>
      </c>
      <c r="J10780" t="s">
        <v>14988</v>
      </c>
      <c r="K10780" t="s">
        <v>19133</v>
      </c>
      <c r="M10780">
        <f>HYPERLINK("https://www.senat.fr/senateur-3eme-republique/peyrat_alphonse1369r3.html", "peyrat_alphonse1369r3")</f>
        <v>0</v>
      </c>
      <c r="N10780">
        <f>HYPERLINK("https://www.wikidata.org/wiki/Q2839934", "Q2839934")</f>
        <v>0</v>
      </c>
      <c r="O10780" t="s">
        <v>19969</v>
      </c>
      <c r="Q10780" t="s">
        <v>20984</v>
      </c>
      <c r="R10780" t="s">
        <v>21645</v>
      </c>
      <c r="S10780">
        <v>2169</v>
      </c>
    </row>
    <row r="10781" spans="1:19">
      <c r="A10781" t="s">
        <v>127</v>
      </c>
      <c r="B10781" t="s">
        <v>150</v>
      </c>
      <c r="C10781" t="s">
        <v>259</v>
      </c>
      <c r="D10781" t="s">
        <v>388</v>
      </c>
      <c r="F10781">
        <f>HYPERLINK("https://www.wikidata.org/wiki/Q97178405", "Q97178405")</f>
        <v>0</v>
      </c>
      <c r="G10781" t="s">
        <v>4245</v>
      </c>
      <c r="H10781" t="s">
        <v>8418</v>
      </c>
      <c r="I10781" t="s">
        <v>9385</v>
      </c>
      <c r="J10781" t="s">
        <v>14751</v>
      </c>
      <c r="K10781" t="s">
        <v>19097</v>
      </c>
      <c r="M10781">
        <f>HYPERLINK("https://www.senat.fr/senateur-3eme-republique/de_saulces_de_freycinet_louis1713r3.html", "de_saulces_de_freycinet_louis1713r3")</f>
        <v>0</v>
      </c>
      <c r="N10781">
        <f>HYPERLINK("https://www.wikidata.org/wiki/Q317957", "Q317957")</f>
        <v>0</v>
      </c>
      <c r="O10781" t="s">
        <v>19969</v>
      </c>
      <c r="Q10781" t="s">
        <v>20984</v>
      </c>
      <c r="R10781" t="s">
        <v>21645</v>
      </c>
      <c r="S10781">
        <v>2169</v>
      </c>
    </row>
    <row r="10782" spans="1:19">
      <c r="A10782" t="s">
        <v>127</v>
      </c>
      <c r="B10782" t="s">
        <v>150</v>
      </c>
      <c r="C10782" t="s">
        <v>259</v>
      </c>
      <c r="D10782" t="s">
        <v>388</v>
      </c>
      <c r="F10782">
        <f>HYPERLINK("https://www.wikidata.org/wiki/Q97178405", "Q97178405")</f>
        <v>0</v>
      </c>
      <c r="G10782" t="s">
        <v>4505</v>
      </c>
      <c r="H10782" t="s">
        <v>8651</v>
      </c>
      <c r="I10782" t="s">
        <v>7911</v>
      </c>
      <c r="J10782" t="s">
        <v>14989</v>
      </c>
      <c r="K10782" t="s">
        <v>12271</v>
      </c>
      <c r="M10782">
        <f>HYPERLINK("https://www.senat.fr/senateur-3eme-republique/adam_gabriel1595r3.html", "adam_gabriel1595r3")</f>
        <v>0</v>
      </c>
      <c r="N10782">
        <f>HYPERLINK("https://www.wikidata.org/wiki/Q3093575", "Q3093575")</f>
        <v>0</v>
      </c>
      <c r="O10782" t="s">
        <v>20026</v>
      </c>
      <c r="Q10782" t="s">
        <v>20984</v>
      </c>
      <c r="R10782" t="s">
        <v>21645</v>
      </c>
      <c r="S10782">
        <v>2169</v>
      </c>
    </row>
    <row r="10783" spans="1:19">
      <c r="A10783" t="s">
        <v>127</v>
      </c>
      <c r="B10783" t="s">
        <v>150</v>
      </c>
      <c r="C10783" t="s">
        <v>259</v>
      </c>
      <c r="D10783" t="s">
        <v>388</v>
      </c>
      <c r="F10783">
        <f>HYPERLINK("https://www.wikidata.org/wiki/Q97178405", "Q97178405")</f>
        <v>0</v>
      </c>
      <c r="G10783" t="s">
        <v>4506</v>
      </c>
      <c r="H10783" t="s">
        <v>8652</v>
      </c>
      <c r="I10783" t="s">
        <v>6495</v>
      </c>
      <c r="J10783" t="s">
        <v>14990</v>
      </c>
      <c r="K10783" t="s">
        <v>19317</v>
      </c>
      <c r="M10783">
        <f>HYPERLINK("https://www.senat.fr/senateur-3eme-republique/foucher_de_careil_louis1576r3.html", "foucher_de_careil_louis1576r3")</f>
        <v>0</v>
      </c>
      <c r="N10783">
        <f>HYPERLINK("https://www.wikidata.org/wiki/Q3260296", "Q3260296")</f>
        <v>0</v>
      </c>
      <c r="O10783" t="s">
        <v>20026</v>
      </c>
      <c r="Q10783" t="s">
        <v>20984</v>
      </c>
      <c r="R10783" t="s">
        <v>21645</v>
      </c>
      <c r="S10783">
        <v>2169</v>
      </c>
    </row>
    <row r="10784" spans="1:19">
      <c r="A10784" t="s">
        <v>127</v>
      </c>
      <c r="B10784" t="s">
        <v>150</v>
      </c>
      <c r="C10784" t="s">
        <v>259</v>
      </c>
      <c r="D10784" t="s">
        <v>388</v>
      </c>
      <c r="F10784">
        <f>HYPERLINK("https://www.wikidata.org/wiki/Q97178405", "Q97178405")</f>
        <v>0</v>
      </c>
      <c r="G10784" t="s">
        <v>4507</v>
      </c>
      <c r="H10784" t="s">
        <v>8653</v>
      </c>
      <c r="I10784" t="s">
        <v>9385</v>
      </c>
      <c r="J10784" t="s">
        <v>14991</v>
      </c>
      <c r="K10784" t="s">
        <v>19318</v>
      </c>
      <c r="M10784">
        <f>HYPERLINK("https://www.senat.fr/senateur-3eme-republique/gilbert_boucher_charles1651r3.html", "gilbert_boucher_charles1651r3")</f>
        <v>0</v>
      </c>
      <c r="N10784">
        <f>HYPERLINK("https://www.wikidata.org/wiki/Q2959203", "Q2959203")</f>
        <v>0</v>
      </c>
      <c r="O10784" t="s">
        <v>19976</v>
      </c>
      <c r="Q10784" t="s">
        <v>20984</v>
      </c>
      <c r="R10784" t="s">
        <v>21645</v>
      </c>
      <c r="S10784">
        <v>2169</v>
      </c>
    </row>
    <row r="10785" spans="1:19">
      <c r="A10785" t="s">
        <v>127</v>
      </c>
      <c r="B10785" t="s">
        <v>150</v>
      </c>
      <c r="C10785" t="s">
        <v>259</v>
      </c>
      <c r="D10785" t="s">
        <v>388</v>
      </c>
      <c r="F10785">
        <f>HYPERLINK("https://www.wikidata.org/wiki/Q97178405", "Q97178405")</f>
        <v>0</v>
      </c>
      <c r="G10785" t="s">
        <v>4508</v>
      </c>
      <c r="H10785" t="s">
        <v>8654</v>
      </c>
      <c r="I10785" t="s">
        <v>9442</v>
      </c>
      <c r="J10785" t="s">
        <v>14992</v>
      </c>
      <c r="K10785" t="s">
        <v>19319</v>
      </c>
      <c r="M10785">
        <f>HYPERLINK("https://www.senat.fr/senateur-3eme-republique/feray_ernest1643r3.html", "feray_ernest1643r3")</f>
        <v>0</v>
      </c>
      <c r="N10785">
        <f>HYPERLINK("https://www.wikidata.org/wiki/Q3056949", "Q3056949")</f>
        <v>0</v>
      </c>
      <c r="O10785" t="s">
        <v>19976</v>
      </c>
      <c r="Q10785" t="s">
        <v>20984</v>
      </c>
      <c r="R10785" t="s">
        <v>21645</v>
      </c>
      <c r="S10785">
        <v>2169</v>
      </c>
    </row>
    <row r="10786" spans="1:19">
      <c r="A10786" t="s">
        <v>127</v>
      </c>
      <c r="B10786" t="s">
        <v>150</v>
      </c>
      <c r="C10786" t="s">
        <v>259</v>
      </c>
      <c r="D10786" t="s">
        <v>388</v>
      </c>
      <c r="F10786">
        <f>HYPERLINK("https://www.wikidata.org/wiki/Q97178405", "Q97178405")</f>
        <v>0</v>
      </c>
      <c r="G10786" t="s">
        <v>4509</v>
      </c>
      <c r="H10786" t="s">
        <v>8655</v>
      </c>
      <c r="I10786" t="s">
        <v>9950</v>
      </c>
      <c r="J10786" t="s">
        <v>14993</v>
      </c>
      <c r="K10786" t="s">
        <v>19320</v>
      </c>
      <c r="M10786">
        <f>HYPERLINK("https://www.senat.fr/senateur-3eme-republique/pouyer_quertier_augustin1571r3.html", "pouyer_quertier_augustin1571r3")</f>
        <v>0</v>
      </c>
      <c r="N10786">
        <f>HYPERLINK("https://www.wikidata.org/wiki/Q2871640", "Q2871640")</f>
        <v>0</v>
      </c>
      <c r="O10786" t="s">
        <v>19978</v>
      </c>
      <c r="Q10786" t="s">
        <v>20984</v>
      </c>
      <c r="R10786" t="s">
        <v>21645</v>
      </c>
      <c r="S10786">
        <v>2169</v>
      </c>
    </row>
    <row r="10787" spans="1:19">
      <c r="A10787" t="s">
        <v>127</v>
      </c>
      <c r="B10787" t="s">
        <v>150</v>
      </c>
      <c r="C10787" t="s">
        <v>259</v>
      </c>
      <c r="D10787" t="s">
        <v>388</v>
      </c>
      <c r="F10787">
        <f>HYPERLINK("https://www.wikidata.org/wiki/Q97178405", "Q97178405")</f>
        <v>0</v>
      </c>
      <c r="G10787" t="s">
        <v>4314</v>
      </c>
      <c r="H10787" t="s">
        <v>8656</v>
      </c>
      <c r="I10787" t="s">
        <v>6860</v>
      </c>
      <c r="J10787" t="s">
        <v>14811</v>
      </c>
      <c r="K10787" t="s">
        <v>19153</v>
      </c>
      <c r="M10787">
        <f>HYPERLINK("https://www.senat.fr/senateur-3eme-republique/robert_pierre1590r3.html", "robert_pierre1590r3")</f>
        <v>0</v>
      </c>
      <c r="N10787">
        <f>HYPERLINK("https://www.wikidata.org/wiki/Q3386817", "Q3386817")</f>
        <v>0</v>
      </c>
      <c r="O10787" t="s">
        <v>19978</v>
      </c>
      <c r="Q10787" t="s">
        <v>20984</v>
      </c>
      <c r="R10787" t="s">
        <v>21645</v>
      </c>
      <c r="S10787">
        <v>2169</v>
      </c>
    </row>
    <row r="10788" spans="1:19">
      <c r="A10788" t="s">
        <v>127</v>
      </c>
      <c r="B10788" t="s">
        <v>150</v>
      </c>
      <c r="C10788" t="s">
        <v>259</v>
      </c>
      <c r="D10788" t="s">
        <v>388</v>
      </c>
      <c r="F10788">
        <f>HYPERLINK("https://www.wikidata.org/wiki/Q97178405", "Q97178405")</f>
        <v>0</v>
      </c>
      <c r="G10788" t="s">
        <v>4510</v>
      </c>
      <c r="H10788" t="s">
        <v>8657</v>
      </c>
      <c r="I10788" t="s">
        <v>9488</v>
      </c>
      <c r="J10788" t="s">
        <v>14994</v>
      </c>
      <c r="K10788" t="s">
        <v>19321</v>
      </c>
      <c r="M10788">
        <f>HYPERLINK("https://www.senat.fr/senateur-3eme-republique/ancel_daniel1580r3.html", "ancel_daniel1580r3")</f>
        <v>0</v>
      </c>
      <c r="N10788">
        <f>HYPERLINK("https://www.wikidata.org/wiki/Q3188397", "Q3188397")</f>
        <v>0</v>
      </c>
      <c r="O10788" t="s">
        <v>19978</v>
      </c>
      <c r="Q10788" t="s">
        <v>20984</v>
      </c>
      <c r="R10788" t="s">
        <v>21645</v>
      </c>
      <c r="S10788">
        <v>2169</v>
      </c>
    </row>
    <row r="10789" spans="1:19">
      <c r="A10789" t="s">
        <v>127</v>
      </c>
      <c r="B10789" t="s">
        <v>150</v>
      </c>
      <c r="C10789" t="s">
        <v>259</v>
      </c>
      <c r="D10789" t="s">
        <v>388</v>
      </c>
      <c r="F10789">
        <f>HYPERLINK("https://www.wikidata.org/wiki/Q97178405", "Q97178405")</f>
        <v>0</v>
      </c>
      <c r="G10789" t="s">
        <v>4511</v>
      </c>
      <c r="H10789" t="s">
        <v>8658</v>
      </c>
      <c r="I10789" t="s">
        <v>6731</v>
      </c>
      <c r="J10789" t="s">
        <v>14995</v>
      </c>
      <c r="K10789" t="s">
        <v>19322</v>
      </c>
      <c r="M10789">
        <f>HYPERLINK("https://www.senat.fr/senateur-3eme-republique/vaysse_de_rainneville_marie1662r3.html", "vaysse_de_rainneville_marie1662r3")</f>
        <v>0</v>
      </c>
      <c r="N10789">
        <f>HYPERLINK("https://www.wikidata.org/wiki/Q3291953", "Q3291953")</f>
        <v>0</v>
      </c>
      <c r="O10789" t="s">
        <v>20012</v>
      </c>
      <c r="Q10789" t="s">
        <v>20984</v>
      </c>
      <c r="R10789" t="s">
        <v>21645</v>
      </c>
      <c r="S10789">
        <v>2169</v>
      </c>
    </row>
    <row r="10790" spans="1:19">
      <c r="A10790" t="s">
        <v>127</v>
      </c>
      <c r="B10790" t="s">
        <v>150</v>
      </c>
      <c r="C10790" t="s">
        <v>259</v>
      </c>
      <c r="D10790" t="s">
        <v>388</v>
      </c>
      <c r="F10790">
        <f>HYPERLINK("https://www.wikidata.org/wiki/Q97178405", "Q97178405")</f>
        <v>0</v>
      </c>
      <c r="G10790" t="s">
        <v>4312</v>
      </c>
      <c r="H10790" t="s">
        <v>8468</v>
      </c>
      <c r="I10790" t="s">
        <v>6584</v>
      </c>
      <c r="J10790" t="s">
        <v>14810</v>
      </c>
      <c r="K10790" t="s">
        <v>19151</v>
      </c>
      <c r="M10790">
        <f>HYPERLINK("https://www.senat.fr/senateur-3eme-republique/dauphin_albert1648r3.html", "dauphin_albert1648r3")</f>
        <v>0</v>
      </c>
      <c r="N10790">
        <f>HYPERLINK("https://www.wikidata.org/wiki/Q2831085", "Q2831085")</f>
        <v>0</v>
      </c>
      <c r="O10790" t="s">
        <v>20012</v>
      </c>
      <c r="Q10790" t="s">
        <v>20984</v>
      </c>
      <c r="R10790" t="s">
        <v>21645</v>
      </c>
      <c r="S10790">
        <v>2169</v>
      </c>
    </row>
    <row r="10791" spans="1:19">
      <c r="A10791" t="s">
        <v>127</v>
      </c>
      <c r="B10791" t="s">
        <v>150</v>
      </c>
      <c r="C10791" t="s">
        <v>259</v>
      </c>
      <c r="D10791" t="s">
        <v>388</v>
      </c>
      <c r="F10791">
        <f>HYPERLINK("https://www.wikidata.org/wiki/Q97178405", "Q97178405")</f>
        <v>0</v>
      </c>
      <c r="G10791" t="s">
        <v>4512</v>
      </c>
      <c r="H10791" t="s">
        <v>8659</v>
      </c>
      <c r="I10791" t="s">
        <v>11197</v>
      </c>
      <c r="J10791" t="s">
        <v>14996</v>
      </c>
      <c r="K10791" t="s">
        <v>19323</v>
      </c>
      <c r="M10791">
        <f>HYPERLINK("https://www.senat.fr/senateur-3eme-republique/espinasse_sylvain1679r3.html", "espinasse_sylvain1679r3")</f>
        <v>0</v>
      </c>
      <c r="N10791">
        <f>HYPERLINK("https://www.wikidata.org/wiki/Q3506989", "Q3506989")</f>
        <v>0</v>
      </c>
      <c r="O10791" t="s">
        <v>19962</v>
      </c>
      <c r="Q10791" t="s">
        <v>20984</v>
      </c>
      <c r="R10791" t="s">
        <v>21645</v>
      </c>
      <c r="S10791">
        <v>2169</v>
      </c>
    </row>
    <row r="10792" spans="1:19">
      <c r="A10792" t="s">
        <v>127</v>
      </c>
      <c r="B10792" t="s">
        <v>150</v>
      </c>
      <c r="C10792" t="s">
        <v>259</v>
      </c>
      <c r="D10792" t="s">
        <v>388</v>
      </c>
      <c r="F10792">
        <f>HYPERLINK("https://www.wikidata.org/wiki/Q97178405", "Q97178405")</f>
        <v>0</v>
      </c>
      <c r="G10792" t="s">
        <v>4513</v>
      </c>
      <c r="H10792" t="s">
        <v>8660</v>
      </c>
      <c r="I10792" t="s">
        <v>9388</v>
      </c>
      <c r="J10792" t="s">
        <v>14997</v>
      </c>
      <c r="K10792" t="s">
        <v>12460</v>
      </c>
      <c r="M10792">
        <f>HYPERLINK("https://www.senat.fr/senateur-3eme-republique/de_preissac_paul1712r3.html", "de_preissac_paul1712r3")</f>
        <v>0</v>
      </c>
      <c r="N10792">
        <f>HYPERLINK("https://www.wikidata.org/wiki/Q3372496", "Q3372496")</f>
        <v>0</v>
      </c>
      <c r="O10792" t="s">
        <v>20045</v>
      </c>
      <c r="Q10792" t="s">
        <v>20984</v>
      </c>
      <c r="R10792" t="s">
        <v>21645</v>
      </c>
      <c r="S10792">
        <v>2169</v>
      </c>
    </row>
    <row r="10793" spans="1:19">
      <c r="A10793" t="s">
        <v>127</v>
      </c>
      <c r="B10793" t="s">
        <v>150</v>
      </c>
      <c r="C10793" t="s">
        <v>259</v>
      </c>
      <c r="D10793" t="s">
        <v>388</v>
      </c>
      <c r="F10793">
        <f>HYPERLINK("https://www.wikidata.org/wiki/Q97178405", "Q97178405")</f>
        <v>0</v>
      </c>
      <c r="G10793" t="s">
        <v>4302</v>
      </c>
      <c r="H10793" t="s">
        <v>5649</v>
      </c>
      <c r="I10793" t="s">
        <v>9385</v>
      </c>
      <c r="J10793" t="s">
        <v>14800</v>
      </c>
      <c r="K10793" t="s">
        <v>19143</v>
      </c>
      <c r="M10793">
        <f>HYPERLINK("https://www.senat.fr/senateur-3eme-republique/brun_charles1729r3.html", "brun_charles1729r3")</f>
        <v>0</v>
      </c>
      <c r="N10793">
        <f>HYPERLINK("https://www.wikidata.org/wiki/Q2958626", "Q2958626")</f>
        <v>0</v>
      </c>
      <c r="O10793" t="s">
        <v>20042</v>
      </c>
      <c r="Q10793" t="s">
        <v>20984</v>
      </c>
      <c r="R10793" t="s">
        <v>21645</v>
      </c>
      <c r="S10793">
        <v>2169</v>
      </c>
    </row>
    <row r="10794" spans="1:19">
      <c r="A10794" t="s">
        <v>127</v>
      </c>
      <c r="B10794" t="s">
        <v>150</v>
      </c>
      <c r="C10794" t="s">
        <v>259</v>
      </c>
      <c r="D10794" t="s">
        <v>388</v>
      </c>
      <c r="F10794">
        <f>HYPERLINK("https://www.wikidata.org/wiki/Q97178405", "Q97178405")</f>
        <v>0</v>
      </c>
      <c r="G10794" t="s">
        <v>4306</v>
      </c>
      <c r="H10794" t="s">
        <v>8462</v>
      </c>
      <c r="I10794" t="s">
        <v>11180</v>
      </c>
      <c r="J10794" t="s">
        <v>14804</v>
      </c>
      <c r="K10794" t="s">
        <v>19147</v>
      </c>
      <c r="M10794">
        <f>HYPERLINK("https://www.senat.fr/senateur-3eme-republique/ferrouillat_jean_baptiste1735r3.html", "ferrouillat_jean_baptiste1735r3")</f>
        <v>0</v>
      </c>
      <c r="N10794">
        <f>HYPERLINK("https://www.wikidata.org/wiki/Q3179696", "Q3179696")</f>
        <v>0</v>
      </c>
      <c r="O10794" t="s">
        <v>20042</v>
      </c>
      <c r="Q10794" t="s">
        <v>20984</v>
      </c>
      <c r="R10794" t="s">
        <v>21645</v>
      </c>
      <c r="S10794">
        <v>2169</v>
      </c>
    </row>
    <row r="10795" spans="1:19">
      <c r="A10795" t="s">
        <v>127</v>
      </c>
      <c r="B10795" t="s">
        <v>150</v>
      </c>
      <c r="C10795" t="s">
        <v>259</v>
      </c>
      <c r="D10795" t="s">
        <v>388</v>
      </c>
      <c r="F10795">
        <f>HYPERLINK("https://www.wikidata.org/wiki/Q97178405", "Q97178405")</f>
        <v>0</v>
      </c>
      <c r="G10795" t="s">
        <v>4514</v>
      </c>
      <c r="H10795" t="s">
        <v>8661</v>
      </c>
      <c r="I10795" t="s">
        <v>9407</v>
      </c>
      <c r="J10795" t="s">
        <v>14998</v>
      </c>
      <c r="K10795" t="s">
        <v>19324</v>
      </c>
      <c r="M10795">
        <f>HYPERLINK("https://www.senat.fr/senateur-3eme-republique/pin_joseph1707r3.html", "pin_joseph1707r3")</f>
        <v>0</v>
      </c>
      <c r="N10795">
        <f>HYPERLINK("https://www.wikidata.org/wiki/Q3051912", "Q3051912")</f>
        <v>0</v>
      </c>
      <c r="O10795" t="s">
        <v>20047</v>
      </c>
      <c r="Q10795" t="s">
        <v>20984</v>
      </c>
      <c r="R10795" t="s">
        <v>21645</v>
      </c>
      <c r="S10795">
        <v>2169</v>
      </c>
    </row>
    <row r="10796" spans="1:19">
      <c r="A10796" t="s">
        <v>127</v>
      </c>
      <c r="B10796" t="s">
        <v>150</v>
      </c>
      <c r="C10796" t="s">
        <v>259</v>
      </c>
      <c r="D10796" t="s">
        <v>388</v>
      </c>
      <c r="F10796">
        <f>HYPERLINK("https://www.wikidata.org/wiki/Q97178405", "Q97178405")</f>
        <v>0</v>
      </c>
      <c r="G10796" t="s">
        <v>4515</v>
      </c>
      <c r="H10796" t="s">
        <v>8662</v>
      </c>
      <c r="I10796" t="s">
        <v>6542</v>
      </c>
      <c r="J10796" t="s">
        <v>14999</v>
      </c>
      <c r="K10796" t="s">
        <v>19325</v>
      </c>
      <c r="M10796">
        <f>HYPERLINK("https://www.senat.fr/senateur-3eme-republique/granier_regis1700r3.html", "granier_regis1700r3")</f>
        <v>0</v>
      </c>
      <c r="N10796">
        <f>HYPERLINK("https://www.wikidata.org/wiki/Q3089851", "Q3089851")</f>
        <v>0</v>
      </c>
      <c r="O10796" t="s">
        <v>20047</v>
      </c>
      <c r="Q10796" t="s">
        <v>20984</v>
      </c>
      <c r="R10796" t="s">
        <v>21645</v>
      </c>
      <c r="S10796">
        <v>2169</v>
      </c>
    </row>
    <row r="10797" spans="1:19">
      <c r="A10797" t="s">
        <v>127</v>
      </c>
      <c r="B10797" t="s">
        <v>150</v>
      </c>
      <c r="C10797" t="s">
        <v>259</v>
      </c>
      <c r="D10797" t="s">
        <v>388</v>
      </c>
      <c r="F10797">
        <f>HYPERLINK("https://www.wikidata.org/wiki/Q97178405", "Q97178405")</f>
        <v>0</v>
      </c>
      <c r="G10797" t="s">
        <v>4516</v>
      </c>
      <c r="H10797" t="s">
        <v>8663</v>
      </c>
      <c r="I10797" t="s">
        <v>9552</v>
      </c>
      <c r="J10797" t="s">
        <v>15000</v>
      </c>
      <c r="K10797" t="s">
        <v>19326</v>
      </c>
      <c r="M10797">
        <f>HYPERLINK("https://www.senat.fr/senateur-3eme-republique/de_cornulier_de_la_lande_auguste1747r3.html", "de_cornulier_de_la_lande_auguste1747r3")</f>
        <v>0</v>
      </c>
      <c r="N10797">
        <f>HYPERLINK("https://www.wikidata.org/wiki/Q2871474", "Q2871474")</f>
        <v>0</v>
      </c>
      <c r="O10797" t="s">
        <v>19972</v>
      </c>
      <c r="Q10797" t="s">
        <v>20984</v>
      </c>
      <c r="R10797" t="s">
        <v>21645</v>
      </c>
      <c r="S10797">
        <v>2169</v>
      </c>
    </row>
    <row r="10798" spans="1:19">
      <c r="A10798" t="s">
        <v>127</v>
      </c>
      <c r="B10798" t="s">
        <v>150</v>
      </c>
      <c r="C10798" t="s">
        <v>259</v>
      </c>
      <c r="D10798" t="s">
        <v>388</v>
      </c>
      <c r="F10798">
        <f>HYPERLINK("https://www.wikidata.org/wiki/Q97178405", "Q97178405")</f>
        <v>0</v>
      </c>
      <c r="G10798" t="s">
        <v>4517</v>
      </c>
      <c r="H10798" t="s">
        <v>8664</v>
      </c>
      <c r="I10798" t="s">
        <v>9497</v>
      </c>
      <c r="J10798" t="s">
        <v>15001</v>
      </c>
      <c r="K10798" t="s">
        <v>17969</v>
      </c>
      <c r="M10798">
        <f>HYPERLINK("https://www.senat.fr/senateur-3eme-republique/gaudineau_baptiste1743r3.html", "gaudineau_baptiste1743r3")</f>
        <v>0</v>
      </c>
      <c r="N10798">
        <f>HYPERLINK("https://www.wikidata.org/wiki/Q2883661", "Q2883661")</f>
        <v>0</v>
      </c>
      <c r="O10798" t="s">
        <v>19972</v>
      </c>
      <c r="Q10798" t="s">
        <v>20984</v>
      </c>
      <c r="R10798" t="s">
        <v>21645</v>
      </c>
      <c r="S10798">
        <v>2169</v>
      </c>
    </row>
    <row r="10799" spans="1:19">
      <c r="A10799" t="s">
        <v>127</v>
      </c>
      <c r="B10799" t="s">
        <v>150</v>
      </c>
      <c r="C10799" t="s">
        <v>259</v>
      </c>
      <c r="D10799" t="s">
        <v>388</v>
      </c>
      <c r="F10799">
        <f>HYPERLINK("https://www.wikidata.org/wiki/Q97178405", "Q97178405")</f>
        <v>0</v>
      </c>
      <c r="G10799" t="s">
        <v>4518</v>
      </c>
      <c r="H10799" t="s">
        <v>8665</v>
      </c>
      <c r="I10799" t="s">
        <v>6495</v>
      </c>
      <c r="J10799" t="s">
        <v>15002</v>
      </c>
      <c r="K10799" t="s">
        <v>19327</v>
      </c>
      <c r="M10799">
        <f>HYPERLINK("https://www.senat.fr/senateur-3eme-republique/de_ladmirault_louis1763r3.html", "de_ladmirault_louis1763r3")</f>
        <v>0</v>
      </c>
      <c r="N10799">
        <f>HYPERLINK("https://www.wikidata.org/wiki/Q318038", "Q318038")</f>
        <v>0</v>
      </c>
      <c r="O10799" t="s">
        <v>19982</v>
      </c>
      <c r="Q10799" t="s">
        <v>20984</v>
      </c>
      <c r="R10799" t="s">
        <v>21645</v>
      </c>
      <c r="S10799">
        <v>2169</v>
      </c>
    </row>
    <row r="10800" spans="1:19">
      <c r="A10800" t="s">
        <v>127</v>
      </c>
      <c r="B10800" t="s">
        <v>150</v>
      </c>
      <c r="C10800" t="s">
        <v>259</v>
      </c>
      <c r="D10800" t="s">
        <v>388</v>
      </c>
      <c r="F10800">
        <f>HYPERLINK("https://www.wikidata.org/wiki/Q97178405", "Q97178405")</f>
        <v>0</v>
      </c>
      <c r="G10800" t="s">
        <v>4519</v>
      </c>
      <c r="H10800" t="s">
        <v>8666</v>
      </c>
      <c r="I10800" t="s">
        <v>5765</v>
      </c>
      <c r="J10800" t="s">
        <v>15003</v>
      </c>
      <c r="K10800" t="s">
        <v>19328</v>
      </c>
      <c r="M10800">
        <f>HYPERLINK("https://www.senat.fr/senateur-3eme-republique/claude_nicolas1796r3.html", "claude_nicolas1796r3")</f>
        <v>0</v>
      </c>
      <c r="N10800">
        <f>HYPERLINK("https://www.wikidata.org/wiki/Q3340201", "Q3340201")</f>
        <v>0</v>
      </c>
      <c r="O10800" t="s">
        <v>20017</v>
      </c>
      <c r="Q10800" t="s">
        <v>20984</v>
      </c>
      <c r="R10800" t="s">
        <v>21645</v>
      </c>
      <c r="S10800">
        <v>2169</v>
      </c>
    </row>
    <row r="10801" spans="1:19">
      <c r="A10801" t="s">
        <v>127</v>
      </c>
      <c r="B10801" t="s">
        <v>150</v>
      </c>
      <c r="C10801" t="s">
        <v>259</v>
      </c>
      <c r="D10801" t="s">
        <v>388</v>
      </c>
      <c r="F10801">
        <f>HYPERLINK("https://www.wikidata.org/wiki/Q97178405", "Q97178405")</f>
        <v>0</v>
      </c>
      <c r="G10801" t="s">
        <v>4520</v>
      </c>
      <c r="H10801" t="s">
        <v>8667</v>
      </c>
      <c r="I10801" t="s">
        <v>11198</v>
      </c>
      <c r="J10801" t="s">
        <v>15004</v>
      </c>
      <c r="K10801" t="s">
        <v>19329</v>
      </c>
      <c r="M10801">
        <f>HYPERLINK("https://www.senat.fr/senateur-3eme-republique/george_eustache1808r3.html", "george_eustache1808r3")</f>
        <v>0</v>
      </c>
      <c r="N10801">
        <f>HYPERLINK("https://www.wikidata.org/wiki/Q3588533", "Q3588533")</f>
        <v>0</v>
      </c>
      <c r="O10801" t="s">
        <v>20017</v>
      </c>
      <c r="Q10801" t="s">
        <v>20984</v>
      </c>
      <c r="R10801" t="s">
        <v>21645</v>
      </c>
      <c r="S10801">
        <v>2169</v>
      </c>
    </row>
    <row r="10802" spans="1:19">
      <c r="A10802" t="s">
        <v>127</v>
      </c>
      <c r="B10802" t="s">
        <v>150</v>
      </c>
      <c r="C10802" t="s">
        <v>259</v>
      </c>
      <c r="D10802" t="s">
        <v>388</v>
      </c>
      <c r="F10802">
        <f>HYPERLINK("https://www.wikidata.org/wiki/Q97178405", "Q97178405")</f>
        <v>0</v>
      </c>
      <c r="G10802" t="s">
        <v>4521</v>
      </c>
      <c r="H10802" t="s">
        <v>8668</v>
      </c>
      <c r="I10802" t="s">
        <v>9472</v>
      </c>
      <c r="J10802" t="s">
        <v>13598</v>
      </c>
      <c r="K10802" t="s">
        <v>19330</v>
      </c>
      <c r="M10802">
        <f>HYPERLINK("https://www.senat.fr/senateur-3eme-republique/ribiere_hippolyte1841r3.html", "ribiere_hippolyte1841r3")</f>
        <v>0</v>
      </c>
      <c r="N10802">
        <f>HYPERLINK("https://www.wikidata.org/wiki/Q3136113", "Q3136113")</f>
        <v>0</v>
      </c>
      <c r="O10802" t="s">
        <v>20034</v>
      </c>
      <c r="Q10802" t="s">
        <v>20984</v>
      </c>
      <c r="R10802" t="s">
        <v>21645</v>
      </c>
      <c r="S10802">
        <v>2169</v>
      </c>
    </row>
    <row r="10803" spans="1:19">
      <c r="A10803" t="s">
        <v>127</v>
      </c>
      <c r="B10803" t="s">
        <v>150</v>
      </c>
      <c r="C10803" t="s">
        <v>259</v>
      </c>
      <c r="D10803" t="s">
        <v>388</v>
      </c>
      <c r="F10803">
        <f>HYPERLINK("https://www.wikidata.org/wiki/Q97178405", "Q97178405")</f>
        <v>0</v>
      </c>
      <c r="G10803" t="s">
        <v>4522</v>
      </c>
      <c r="H10803" t="s">
        <v>8669</v>
      </c>
      <c r="I10803" t="s">
        <v>9375</v>
      </c>
      <c r="J10803" t="s">
        <v>15005</v>
      </c>
      <c r="K10803" t="s">
        <v>19331</v>
      </c>
      <c r="M10803">
        <f>HYPERLINK("https://www.senat.fr/senateur-3eme-republique/charton_edouard1837r3.html", "charton_edouard1837r3")</f>
        <v>0</v>
      </c>
      <c r="N10803">
        <f>HYPERLINK("https://www.wikidata.org/wiki/Q528558", "Q528558")</f>
        <v>0</v>
      </c>
      <c r="O10803" t="s">
        <v>20034</v>
      </c>
      <c r="Q10803" t="s">
        <v>20984</v>
      </c>
      <c r="R10803" t="s">
        <v>21645</v>
      </c>
      <c r="S10803">
        <v>2169</v>
      </c>
    </row>
    <row r="10804" spans="1:19">
      <c r="A10804" t="s">
        <v>127</v>
      </c>
      <c r="B10804" t="s">
        <v>150</v>
      </c>
      <c r="C10804" t="s">
        <v>259</v>
      </c>
      <c r="D10804" t="s">
        <v>388</v>
      </c>
      <c r="F10804">
        <f>HYPERLINK("https://www.wikidata.org/wiki/Q97178405", "Q97178405")</f>
        <v>0</v>
      </c>
      <c r="G10804" t="s">
        <v>4523</v>
      </c>
      <c r="H10804" t="s">
        <v>8670</v>
      </c>
      <c r="I10804" t="s">
        <v>7419</v>
      </c>
      <c r="J10804" t="s">
        <v>15006</v>
      </c>
      <c r="K10804" t="s">
        <v>19332</v>
      </c>
      <c r="M10804">
        <f>HYPERLINK("https://www.senat.fr/senateur-3eme-republique/lucet_jacques0690r3.html", "lucet_jacques0690r3")</f>
        <v>0</v>
      </c>
      <c r="N10804">
        <f>HYPERLINK("https://www.wikidata.org/wiki/Q16026017", "Q16026017")</f>
        <v>0</v>
      </c>
      <c r="Q10804" t="s">
        <v>20984</v>
      </c>
      <c r="R10804" t="s">
        <v>11967</v>
      </c>
      <c r="S10804">
        <v>1070</v>
      </c>
    </row>
    <row r="10805" spans="1:19">
      <c r="A10805" t="s">
        <v>127</v>
      </c>
      <c r="B10805" t="s">
        <v>150</v>
      </c>
      <c r="C10805" t="s">
        <v>259</v>
      </c>
      <c r="D10805" t="s">
        <v>388</v>
      </c>
      <c r="F10805">
        <f>HYPERLINK("https://www.wikidata.org/wiki/Q97178405", "Q97178405")</f>
        <v>0</v>
      </c>
      <c r="G10805" t="s">
        <v>4524</v>
      </c>
      <c r="H10805" t="s">
        <v>8671</v>
      </c>
      <c r="I10805" t="s">
        <v>9376</v>
      </c>
      <c r="J10805" t="s">
        <v>15007</v>
      </c>
      <c r="K10805" t="s">
        <v>19333</v>
      </c>
      <c r="M10805">
        <f>HYPERLINK("https://www.senat.fr/senateur-3eme-republique/lelievre_ferdinand0836r3.html", "lelievre_ferdinand0836r3")</f>
        <v>0</v>
      </c>
      <c r="N10805">
        <f>HYPERLINK("https://www.wikidata.org/wiki/Q20027668", "Q20027668")</f>
        <v>0</v>
      </c>
      <c r="Q10805" t="s">
        <v>20984</v>
      </c>
      <c r="R10805" t="s">
        <v>21644</v>
      </c>
      <c r="S10805">
        <v>3282</v>
      </c>
    </row>
    <row r="10806" spans="1:19">
      <c r="A10806" t="s">
        <v>127</v>
      </c>
      <c r="B10806" t="s">
        <v>150</v>
      </c>
      <c r="C10806" t="s">
        <v>259</v>
      </c>
      <c r="D10806" t="s">
        <v>388</v>
      </c>
      <c r="F10806">
        <f>HYPERLINK("https://www.wikidata.org/wiki/Q97178405", "Q97178405")</f>
        <v>0</v>
      </c>
      <c r="G10806" t="s">
        <v>4525</v>
      </c>
      <c r="H10806" t="s">
        <v>8672</v>
      </c>
      <c r="I10806" t="s">
        <v>9391</v>
      </c>
      <c r="J10806" t="s">
        <v>15008</v>
      </c>
      <c r="K10806" t="s">
        <v>19334</v>
      </c>
      <c r="M10806">
        <f>HYPERLINK("https://www.senat.fr/senateur-3eme-republique/lacomme_claude0530r3.html", "lacomme_claude0530r3")</f>
        <v>0</v>
      </c>
      <c r="N10806">
        <f>HYPERLINK("https://www.wikidata.org/wiki/Q2977633", "Q2977633")</f>
        <v>0</v>
      </c>
      <c r="Q10806" t="s">
        <v>20984</v>
      </c>
      <c r="R10806" t="s">
        <v>21644</v>
      </c>
      <c r="S10806">
        <v>3282</v>
      </c>
    </row>
    <row r="10807" spans="1:19">
      <c r="A10807" t="s">
        <v>127</v>
      </c>
      <c r="B10807" t="s">
        <v>150</v>
      </c>
      <c r="C10807" t="s">
        <v>259</v>
      </c>
      <c r="D10807" t="s">
        <v>388</v>
      </c>
      <c r="F10807">
        <f>HYPERLINK("https://www.wikidata.org/wiki/Q97178405", "Q97178405")</f>
        <v>0</v>
      </c>
      <c r="G10807" t="s">
        <v>4526</v>
      </c>
      <c r="H10807" t="s">
        <v>8673</v>
      </c>
      <c r="I10807" t="s">
        <v>5765</v>
      </c>
      <c r="J10807" t="s">
        <v>14941</v>
      </c>
      <c r="K10807" t="s">
        <v>19335</v>
      </c>
      <c r="M10807">
        <f>HYPERLINK("https://www.senat.fr/senateur-3eme-republique/pomel_nicolas1821r3.html", "pomel_nicolas1821r3")</f>
        <v>0</v>
      </c>
      <c r="N10807">
        <f>HYPERLINK("https://www.wikidata.org/wiki/Q766920", "Q766920")</f>
        <v>0</v>
      </c>
      <c r="Q10807" t="s">
        <v>20984</v>
      </c>
      <c r="R10807" t="s">
        <v>21645</v>
      </c>
      <c r="S10807">
        <v>2169</v>
      </c>
    </row>
    <row r="10808" spans="1:19">
      <c r="A10808" t="s">
        <v>127</v>
      </c>
      <c r="B10808" t="s">
        <v>150</v>
      </c>
      <c r="C10808" t="s">
        <v>259</v>
      </c>
      <c r="D10808" t="s">
        <v>388</v>
      </c>
      <c r="F10808">
        <f>HYPERLINK("https://www.wikidata.org/wiki/Q97178405", "Q97178405")</f>
        <v>0</v>
      </c>
      <c r="G10808" t="s">
        <v>4345</v>
      </c>
      <c r="H10808" t="s">
        <v>8496</v>
      </c>
      <c r="I10808" t="s">
        <v>9385</v>
      </c>
      <c r="J10808" t="s">
        <v>14837</v>
      </c>
      <c r="K10808" t="s">
        <v>19179</v>
      </c>
      <c r="M10808">
        <f>HYPERLINK("https://www.senat.fr/senateur-3eme-republique/mazeau_charles0538r3.html", "mazeau_charles0538r3")</f>
        <v>0</v>
      </c>
      <c r="N10808">
        <f>HYPERLINK("https://www.wikidata.org/wiki/Q928664", "Q928664")</f>
        <v>0</v>
      </c>
      <c r="Q10808" t="s">
        <v>20984</v>
      </c>
      <c r="R10808" t="s">
        <v>21644</v>
      </c>
      <c r="S10808">
        <v>3282</v>
      </c>
    </row>
    <row r="10809" spans="1:19">
      <c r="A10809" t="s">
        <v>127</v>
      </c>
      <c r="B10809" t="s">
        <v>150</v>
      </c>
      <c r="C10809" t="s">
        <v>259</v>
      </c>
      <c r="D10809" t="s">
        <v>388</v>
      </c>
      <c r="F10809">
        <f>HYPERLINK("https://www.wikidata.org/wiki/Q97178405", "Q97178405")</f>
        <v>0</v>
      </c>
      <c r="G10809" t="s">
        <v>4527</v>
      </c>
      <c r="H10809" t="s">
        <v>8674</v>
      </c>
      <c r="I10809" t="s">
        <v>6713</v>
      </c>
      <c r="J10809" t="s">
        <v>15009</v>
      </c>
      <c r="K10809" t="s">
        <v>19336</v>
      </c>
      <c r="M10809">
        <f>HYPERLINK("https://www.senat.fr/senateur-3eme-republique/lafond_de_saint_mur_guy0455r3.html", "lafond_de_saint_mur_guy0455r3")</f>
        <v>0</v>
      </c>
      <c r="N10809">
        <f>HYPERLINK("https://www.wikidata.org/wiki/Q3121898", "Q3121898")</f>
        <v>0</v>
      </c>
      <c r="O10809" t="s">
        <v>20020</v>
      </c>
      <c r="Q10809" t="s">
        <v>20985</v>
      </c>
      <c r="R10809" t="s">
        <v>21644</v>
      </c>
      <c r="S10809">
        <v>3281</v>
      </c>
    </row>
    <row r="10810" spans="1:19">
      <c r="A10810" t="s">
        <v>127</v>
      </c>
      <c r="B10810" t="s">
        <v>150</v>
      </c>
      <c r="C10810" t="s">
        <v>259</v>
      </c>
      <c r="D10810" t="s">
        <v>388</v>
      </c>
      <c r="F10810">
        <f>HYPERLINK("https://www.wikidata.org/wiki/Q97178405", "Q97178405")</f>
        <v>0</v>
      </c>
      <c r="G10810" t="s">
        <v>4528</v>
      </c>
      <c r="H10810" t="s">
        <v>8675</v>
      </c>
      <c r="I10810" t="s">
        <v>6860</v>
      </c>
      <c r="J10810" t="s">
        <v>14970</v>
      </c>
      <c r="K10810" t="s">
        <v>19337</v>
      </c>
      <c r="M10810">
        <f>HYPERLINK("https://www.senat.fr/senateur-3eme-republique/de_la_sicotiere_pierre0895r3.html", "de_la_sicotiere_pierre0895r3")</f>
        <v>0</v>
      </c>
      <c r="N10810">
        <f>HYPERLINK("https://www.wikidata.org/wiki/Q3271439", "Q3271439")</f>
        <v>0</v>
      </c>
      <c r="O10810" t="s">
        <v>19957</v>
      </c>
      <c r="Q10810" t="s">
        <v>20985</v>
      </c>
      <c r="R10810" t="s">
        <v>21645</v>
      </c>
      <c r="S10810">
        <v>2168</v>
      </c>
    </row>
    <row r="10811" spans="1:19">
      <c r="A10811" t="s">
        <v>127</v>
      </c>
      <c r="B10811" t="s">
        <v>150</v>
      </c>
      <c r="C10811" t="s">
        <v>259</v>
      </c>
      <c r="D10811" t="s">
        <v>388</v>
      </c>
      <c r="F10811">
        <f>HYPERLINK("https://www.wikidata.org/wiki/Q97178405", "Q97178405")</f>
        <v>0</v>
      </c>
      <c r="G10811" t="s">
        <v>4529</v>
      </c>
      <c r="H10811" t="s">
        <v>8676</v>
      </c>
      <c r="I10811" t="s">
        <v>9407</v>
      </c>
      <c r="J10811" t="s">
        <v>15010</v>
      </c>
      <c r="K10811" t="s">
        <v>19338</v>
      </c>
      <c r="M10811">
        <f>HYPERLINK("https://www.senat.fr/senateur-3eme-republique/desmazes_joseph0696r3.html", "desmazes_joseph0696r3")</f>
        <v>0</v>
      </c>
      <c r="N10811">
        <f>HYPERLINK("https://www.wikidata.org/wiki/Q3184845", "Q3184845")</f>
        <v>0</v>
      </c>
      <c r="O10811" t="s">
        <v>20035</v>
      </c>
      <c r="Q10811" t="s">
        <v>20986</v>
      </c>
      <c r="R10811" t="s">
        <v>11967</v>
      </c>
      <c r="S10811">
        <v>1042</v>
      </c>
    </row>
    <row r="10812" spans="1:19">
      <c r="A10812" t="s">
        <v>127</v>
      </c>
      <c r="B10812" t="s">
        <v>150</v>
      </c>
      <c r="C10812" t="s">
        <v>259</v>
      </c>
      <c r="D10812" t="s">
        <v>388</v>
      </c>
      <c r="F10812">
        <f>HYPERLINK("https://www.wikidata.org/wiki/Q97178405", "Q97178405")</f>
        <v>0</v>
      </c>
      <c r="G10812" t="s">
        <v>4530</v>
      </c>
      <c r="H10812" t="s">
        <v>8677</v>
      </c>
      <c r="I10812" t="s">
        <v>9553</v>
      </c>
      <c r="J10812" t="s">
        <v>15011</v>
      </c>
      <c r="K10812" t="s">
        <v>19339</v>
      </c>
      <c r="M10812">
        <f>HYPERLINK("https://www.senat.fr/senateur-3eme-republique/robinet_de_la_serve_alexandre0846r3.html", "robinet_de_la_serve_alexandre0846r3")</f>
        <v>0</v>
      </c>
      <c r="N10812">
        <f>HYPERLINK("https://www.wikidata.org/wiki/Q2834000", "Q2834000")</f>
        <v>0</v>
      </c>
      <c r="O10812" t="s">
        <v>19963</v>
      </c>
      <c r="Q10812" t="s">
        <v>20987</v>
      </c>
      <c r="R10812" t="s">
        <v>19339</v>
      </c>
      <c r="S10812">
        <v>2148</v>
      </c>
    </row>
    <row r="10813" spans="1:19">
      <c r="A10813" t="s">
        <v>127</v>
      </c>
      <c r="B10813" t="s">
        <v>150</v>
      </c>
      <c r="C10813" t="s">
        <v>259</v>
      </c>
      <c r="D10813" t="s">
        <v>388</v>
      </c>
      <c r="F10813">
        <f>HYPERLINK("https://www.wikidata.org/wiki/Q97178405", "Q97178405")</f>
        <v>0</v>
      </c>
      <c r="G10813" t="s">
        <v>4531</v>
      </c>
      <c r="H10813" t="s">
        <v>8678</v>
      </c>
      <c r="I10813" t="s">
        <v>6860</v>
      </c>
      <c r="J10813" t="s">
        <v>15012</v>
      </c>
      <c r="K10813" t="s">
        <v>19340</v>
      </c>
      <c r="M10813">
        <f>HYPERLINK("https://www.senat.fr/senateur-3eme-republique/desbassyns_de_richemont_pierre1828r3.html", "desbassyns_de_richemont_pierre1828r3")</f>
        <v>0</v>
      </c>
      <c r="N10813">
        <f>HYPERLINK("https://www.wikidata.org/wiki/Q3384714", "Q3384714")</f>
        <v>0</v>
      </c>
      <c r="Q10813" t="s">
        <v>20988</v>
      </c>
      <c r="R10813" t="s">
        <v>21645</v>
      </c>
      <c r="S10813">
        <v>2113</v>
      </c>
    </row>
    <row r="10814" spans="1:19">
      <c r="A10814" t="s">
        <v>127</v>
      </c>
      <c r="B10814" t="s">
        <v>150</v>
      </c>
      <c r="C10814" t="s">
        <v>259</v>
      </c>
      <c r="D10814" t="s">
        <v>388</v>
      </c>
      <c r="F10814">
        <f>HYPERLINK("https://www.wikidata.org/wiki/Q97178405", "Q97178405")</f>
        <v>0</v>
      </c>
      <c r="G10814" t="s">
        <v>4532</v>
      </c>
      <c r="H10814" t="s">
        <v>8679</v>
      </c>
      <c r="I10814" t="s">
        <v>6166</v>
      </c>
      <c r="J10814" t="s">
        <v>15013</v>
      </c>
      <c r="K10814" t="s">
        <v>19341</v>
      </c>
      <c r="M10814">
        <f>HYPERLINK("https://www.senat.fr/senateur-3eme-republique/viellard_migeon_francois1815r3.html", "viellard_migeon_francois1815r3")</f>
        <v>0</v>
      </c>
      <c r="N10814">
        <f>HYPERLINK("https://www.wikidata.org/wiki/Q3086008", "Q3086008")</f>
        <v>0</v>
      </c>
      <c r="O10814" t="s">
        <v>20400</v>
      </c>
      <c r="Q10814" t="s">
        <v>20989</v>
      </c>
      <c r="R10814" t="s">
        <v>21645</v>
      </c>
      <c r="S10814">
        <v>2036</v>
      </c>
    </row>
    <row r="10815" spans="1:19">
      <c r="A10815" t="s">
        <v>127</v>
      </c>
      <c r="B10815" t="s">
        <v>150</v>
      </c>
      <c r="C10815" t="s">
        <v>259</v>
      </c>
      <c r="D10815" t="s">
        <v>388</v>
      </c>
      <c r="F10815">
        <f>HYPERLINK("https://www.wikidata.org/wiki/Q97178405", "Q97178405")</f>
        <v>0</v>
      </c>
      <c r="G10815" t="s">
        <v>4533</v>
      </c>
      <c r="H10815" t="s">
        <v>8680</v>
      </c>
      <c r="I10815" t="s">
        <v>6495</v>
      </c>
      <c r="J10815" t="s">
        <v>15014</v>
      </c>
      <c r="K10815" t="s">
        <v>18058</v>
      </c>
      <c r="M10815">
        <f>HYPERLINK("https://www.senat.fr/senateur-3eme-republique/buffet_louis1440r3.html", "buffet_louis1440r3")</f>
        <v>0</v>
      </c>
      <c r="N10815">
        <f>HYPERLINK("https://www.wikidata.org/wiki/Q548687", "Q548687")</f>
        <v>0</v>
      </c>
      <c r="O10815" t="s">
        <v>20399</v>
      </c>
      <c r="Q10815" t="s">
        <v>20990</v>
      </c>
      <c r="R10815" t="s">
        <v>18058</v>
      </c>
      <c r="S10815">
        <v>8056</v>
      </c>
    </row>
    <row r="10816" spans="1:19">
      <c r="A10816" t="s">
        <v>127</v>
      </c>
      <c r="B10816" t="s">
        <v>150</v>
      </c>
      <c r="C10816" t="s">
        <v>259</v>
      </c>
      <c r="D10816" t="s">
        <v>388</v>
      </c>
      <c r="F10816">
        <f>HYPERLINK("https://www.wikidata.org/wiki/Q97178405", "Q97178405")</f>
        <v>0</v>
      </c>
      <c r="G10816" t="s">
        <v>4534</v>
      </c>
      <c r="H10816" t="s">
        <v>8681</v>
      </c>
      <c r="I10816" t="s">
        <v>11199</v>
      </c>
      <c r="J10816" t="s">
        <v>15015</v>
      </c>
      <c r="K10816" t="s">
        <v>19342</v>
      </c>
      <c r="M10816">
        <f>HYPERLINK("https://www.senat.fr/senateur-3eme-republique/de_merode_werner0675r3.html", "de_merode_werner0675r3")</f>
        <v>0</v>
      </c>
      <c r="N10816">
        <f>HYPERLINK("https://www.wikidata.org/wiki/Q3567346", "Q3567346")</f>
        <v>0</v>
      </c>
      <c r="O10816" t="s">
        <v>19973</v>
      </c>
      <c r="Q10816" t="s">
        <v>20991</v>
      </c>
      <c r="R10816" t="s">
        <v>21644</v>
      </c>
      <c r="S10816">
        <v>2988</v>
      </c>
    </row>
    <row r="10817" spans="1:19">
      <c r="A10817" t="s">
        <v>127</v>
      </c>
      <c r="B10817" t="s">
        <v>150</v>
      </c>
      <c r="C10817" t="s">
        <v>259</v>
      </c>
      <c r="D10817" t="s">
        <v>388</v>
      </c>
      <c r="F10817">
        <f>HYPERLINK("https://www.wikidata.org/wiki/Q97178405", "Q97178405")</f>
        <v>0</v>
      </c>
      <c r="G10817" t="s">
        <v>4535</v>
      </c>
      <c r="H10817" t="s">
        <v>8682</v>
      </c>
      <c r="I10817" t="s">
        <v>9385</v>
      </c>
      <c r="J10817" t="s">
        <v>15016</v>
      </c>
      <c r="K10817" t="s">
        <v>19343</v>
      </c>
      <c r="M10817">
        <f>HYPERLINK("https://www.senat.fr/senateur-3eme-republique/chesnelong_charles1454r3.html", "chesnelong_charles1454r3")</f>
        <v>0</v>
      </c>
      <c r="N10817">
        <f>HYPERLINK("https://www.wikidata.org/wiki/Q2958721", "Q2958721")</f>
        <v>0</v>
      </c>
      <c r="O10817" t="s">
        <v>20399</v>
      </c>
      <c r="Q10817" t="s">
        <v>20992</v>
      </c>
      <c r="R10817" t="s">
        <v>19343</v>
      </c>
      <c r="S10817">
        <v>8275</v>
      </c>
    </row>
    <row r="10818" spans="1:19">
      <c r="A10818" t="s">
        <v>127</v>
      </c>
      <c r="B10818" t="s">
        <v>150</v>
      </c>
      <c r="C10818" t="s">
        <v>259</v>
      </c>
      <c r="D10818" t="s">
        <v>388</v>
      </c>
      <c r="F10818">
        <f>HYPERLINK("https://www.wikidata.org/wiki/Q97178405", "Q97178405")</f>
        <v>0</v>
      </c>
      <c r="G10818" t="s">
        <v>4536</v>
      </c>
      <c r="H10818" t="s">
        <v>8683</v>
      </c>
      <c r="I10818" t="s">
        <v>9736</v>
      </c>
      <c r="J10818" t="s">
        <v>15017</v>
      </c>
      <c r="K10818" t="s">
        <v>19344</v>
      </c>
      <c r="M10818">
        <f>HYPERLINK("https://www.senat.fr/senateur-3eme-republique/delbreil_isidore1722r3.html", "delbreil_isidore1722r3")</f>
        <v>0</v>
      </c>
      <c r="N10818">
        <f>HYPERLINK("https://www.wikidata.org/wiki/Q3155306", "Q3155306")</f>
        <v>0</v>
      </c>
      <c r="O10818" t="s">
        <v>20045</v>
      </c>
      <c r="Q10818" t="s">
        <v>20993</v>
      </c>
      <c r="R10818" t="s">
        <v>21645</v>
      </c>
      <c r="S10818">
        <v>1847</v>
      </c>
    </row>
    <row r="10819" spans="1:19">
      <c r="A10819" t="s">
        <v>127</v>
      </c>
      <c r="B10819" t="s">
        <v>150</v>
      </c>
      <c r="C10819" t="s">
        <v>259</v>
      </c>
      <c r="D10819" t="s">
        <v>388</v>
      </c>
      <c r="F10819">
        <f>HYPERLINK("https://www.wikidata.org/wiki/Q97178405", "Q97178405")</f>
        <v>0</v>
      </c>
      <c r="G10819" t="s">
        <v>4537</v>
      </c>
      <c r="H10819" t="s">
        <v>8684</v>
      </c>
      <c r="I10819" t="s">
        <v>6478</v>
      </c>
      <c r="J10819" t="s">
        <v>15018</v>
      </c>
      <c r="K10819" t="s">
        <v>12135</v>
      </c>
      <c r="M10819">
        <f>HYPERLINK("https://www.senat.fr/senateur-3eme-republique/dupuy_de_lome_henry1470r3.html", "dupuy_de_lome_henry1470r3")</f>
        <v>0</v>
      </c>
      <c r="N10819">
        <f>HYPERLINK("https://www.wikidata.org/wiki/Q723678", "Q723678")</f>
        <v>0</v>
      </c>
      <c r="O10819" t="s">
        <v>20399</v>
      </c>
      <c r="Q10819" t="s">
        <v>20994</v>
      </c>
      <c r="R10819" t="s">
        <v>12135</v>
      </c>
      <c r="S10819">
        <v>2885</v>
      </c>
    </row>
    <row r="10820" spans="1:19">
      <c r="A10820" t="s">
        <v>127</v>
      </c>
      <c r="B10820" t="s">
        <v>150</v>
      </c>
      <c r="C10820" t="s">
        <v>259</v>
      </c>
      <c r="D10820" t="s">
        <v>388</v>
      </c>
      <c r="F10820">
        <f>HYPERLINK("https://www.wikidata.org/wiki/Q97178405", "Q97178405")</f>
        <v>0</v>
      </c>
      <c r="G10820" t="s">
        <v>4538</v>
      </c>
      <c r="H10820" t="s">
        <v>8685</v>
      </c>
      <c r="I10820" t="s">
        <v>6166</v>
      </c>
      <c r="J10820" t="s">
        <v>15019</v>
      </c>
      <c r="K10820" t="s">
        <v>19345</v>
      </c>
      <c r="M10820">
        <f>HYPERLINK("https://www.senat.fr/senateur-3eme-republique/de_chabaud_latour_francois1448r3.html", "de_chabaud_latour_francois1448r3")</f>
        <v>0</v>
      </c>
      <c r="N10820">
        <f>HYPERLINK("https://www.wikidata.org/wiki/Q44119", "Q44119")</f>
        <v>0</v>
      </c>
      <c r="O10820" t="s">
        <v>20399</v>
      </c>
      <c r="Q10820" t="s">
        <v>20995</v>
      </c>
      <c r="R10820" t="s">
        <v>19345</v>
      </c>
      <c r="S10820">
        <v>2764</v>
      </c>
    </row>
    <row r="10821" spans="1:19">
      <c r="A10821" t="s">
        <v>127</v>
      </c>
      <c r="B10821" t="s">
        <v>150</v>
      </c>
      <c r="C10821" t="s">
        <v>259</v>
      </c>
      <c r="D10821" t="s">
        <v>388</v>
      </c>
      <c r="F10821">
        <f>HYPERLINK("https://www.wikidata.org/wiki/Q97178405", "Q97178405")</f>
        <v>0</v>
      </c>
      <c r="G10821" t="s">
        <v>4539</v>
      </c>
      <c r="H10821" t="s">
        <v>8686</v>
      </c>
      <c r="I10821" t="s">
        <v>9455</v>
      </c>
      <c r="J10821" t="s">
        <v>15020</v>
      </c>
      <c r="K10821" t="s">
        <v>18377</v>
      </c>
      <c r="M10821">
        <f>HYPERLINK("https://www.senat.fr/senateur-3eme-republique/brun_lucien1439r3.html", "brun_lucien1439r3")</f>
        <v>0</v>
      </c>
      <c r="N10821">
        <f>HYPERLINK("https://www.wikidata.org/wiki/Q3265405", "Q3265405")</f>
        <v>0</v>
      </c>
      <c r="O10821" t="s">
        <v>20399</v>
      </c>
      <c r="Q10821" t="s">
        <v>20995</v>
      </c>
      <c r="R10821" t="s">
        <v>18377</v>
      </c>
      <c r="S10821">
        <v>7683</v>
      </c>
    </row>
    <row r="10822" spans="1:19">
      <c r="A10822" t="s">
        <v>127</v>
      </c>
      <c r="B10822" t="s">
        <v>150</v>
      </c>
      <c r="C10822" t="s">
        <v>259</v>
      </c>
      <c r="D10822" t="s">
        <v>388</v>
      </c>
      <c r="F10822">
        <f>HYPERLINK("https://www.wikidata.org/wiki/Q97178405", "Q97178405")</f>
        <v>0</v>
      </c>
      <c r="G10822" t="s">
        <v>4540</v>
      </c>
      <c r="H10822" t="s">
        <v>8687</v>
      </c>
      <c r="I10822" t="s">
        <v>9533</v>
      </c>
      <c r="J10822" t="s">
        <v>15021</v>
      </c>
      <c r="K10822" t="s">
        <v>19346</v>
      </c>
      <c r="M10822">
        <f>HYPERLINK("https://www.senat.fr/senateur-3eme-republique/grandperret_theodore1479r3.html", "grandperret_theodore1479r3")</f>
        <v>0</v>
      </c>
      <c r="N10822">
        <f>HYPERLINK("https://www.wikidata.org/wiki/Q3309803", "Q3309803")</f>
        <v>0</v>
      </c>
      <c r="O10822" t="s">
        <v>20399</v>
      </c>
      <c r="Q10822" t="s">
        <v>20996</v>
      </c>
      <c r="R10822" t="s">
        <v>19346</v>
      </c>
      <c r="S10822">
        <v>4426</v>
      </c>
    </row>
    <row r="10823" spans="1:19">
      <c r="A10823" t="s">
        <v>127</v>
      </c>
      <c r="B10823" t="s">
        <v>150</v>
      </c>
      <c r="C10823" t="s">
        <v>259</v>
      </c>
      <c r="D10823" t="s">
        <v>388</v>
      </c>
      <c r="F10823">
        <f>HYPERLINK("https://www.wikidata.org/wiki/Q97178405", "Q97178405")</f>
        <v>0</v>
      </c>
      <c r="G10823" t="s">
        <v>4541</v>
      </c>
      <c r="H10823" t="s">
        <v>8688</v>
      </c>
      <c r="I10823" t="s">
        <v>9465</v>
      </c>
      <c r="J10823" t="s">
        <v>15022</v>
      </c>
      <c r="K10823" t="s">
        <v>17742</v>
      </c>
      <c r="M10823">
        <f>HYPERLINK("https://www.senat.fr/senateur-3eme-republique/arnaudeau_eugene1758r3.html", "arnaudeau_eugene1758r3")</f>
        <v>0</v>
      </c>
      <c r="N10823">
        <f>HYPERLINK("https://www.wikidata.org/wiki/Q3059698", "Q3059698")</f>
        <v>0</v>
      </c>
      <c r="O10823" t="s">
        <v>19982</v>
      </c>
      <c r="Q10823" t="s">
        <v>20997</v>
      </c>
      <c r="R10823" t="s">
        <v>21645</v>
      </c>
      <c r="S10823">
        <v>1497</v>
      </c>
    </row>
    <row r="10824" spans="1:19">
      <c r="A10824" t="s">
        <v>127</v>
      </c>
      <c r="B10824" t="s">
        <v>150</v>
      </c>
      <c r="C10824" t="s">
        <v>259</v>
      </c>
      <c r="D10824" t="s">
        <v>388</v>
      </c>
      <c r="F10824">
        <f>HYPERLINK("https://www.wikidata.org/wiki/Q97178405", "Q97178405")</f>
        <v>0</v>
      </c>
      <c r="G10824" t="s">
        <v>4542</v>
      </c>
      <c r="H10824" t="s">
        <v>8689</v>
      </c>
      <c r="I10824" t="s">
        <v>7308</v>
      </c>
      <c r="J10824" t="s">
        <v>14887</v>
      </c>
      <c r="K10824" t="s">
        <v>19347</v>
      </c>
      <c r="M10824">
        <f>HYPERLINK("https://www.senat.fr/senateur-3eme-republique/de_larcy_roger1494r3.html", "de_larcy_roger1494r3")</f>
        <v>0</v>
      </c>
      <c r="N10824">
        <f>HYPERLINK("https://www.wikidata.org/wiki/Q2960623", "Q2960623")</f>
        <v>0</v>
      </c>
      <c r="O10824" t="s">
        <v>20399</v>
      </c>
      <c r="Q10824" t="s">
        <v>13063</v>
      </c>
      <c r="R10824" t="s">
        <v>19347</v>
      </c>
      <c r="S10824">
        <v>1800</v>
      </c>
    </row>
    <row r="10825" spans="1:19">
      <c r="A10825" t="s">
        <v>127</v>
      </c>
      <c r="B10825" t="s">
        <v>150</v>
      </c>
      <c r="C10825" t="s">
        <v>259</v>
      </c>
      <c r="D10825" t="s">
        <v>388</v>
      </c>
      <c r="F10825">
        <f>HYPERLINK("https://www.wikidata.org/wiki/Q97178405", "Q97178405")</f>
        <v>0</v>
      </c>
      <c r="G10825" t="s">
        <v>4543</v>
      </c>
      <c r="H10825" t="s">
        <v>8690</v>
      </c>
      <c r="I10825" t="s">
        <v>9376</v>
      </c>
      <c r="J10825" t="s">
        <v>15023</v>
      </c>
      <c r="K10825" t="s">
        <v>19348</v>
      </c>
      <c r="M10825">
        <f>HYPERLINK("https://www.senat.fr/senateur-3eme-republique/barrot_ferdinand1431r3.html", "barrot_ferdinand1431r3")</f>
        <v>0</v>
      </c>
      <c r="N10825">
        <f>HYPERLINK("https://www.wikidata.org/wiki/Q1405105", "Q1405105")</f>
        <v>0</v>
      </c>
      <c r="O10825" t="s">
        <v>20399</v>
      </c>
      <c r="Q10825" t="s">
        <v>13063</v>
      </c>
      <c r="R10825" t="s">
        <v>19348</v>
      </c>
      <c r="S10825">
        <v>2169</v>
      </c>
    </row>
    <row r="10826" spans="1:19">
      <c r="A10826" t="s">
        <v>127</v>
      </c>
      <c r="B10826" t="s">
        <v>150</v>
      </c>
      <c r="C10826" t="s">
        <v>259</v>
      </c>
      <c r="D10826" t="s">
        <v>388</v>
      </c>
      <c r="F10826">
        <f>HYPERLINK("https://www.wikidata.org/wiki/Q97178405", "Q97178405")</f>
        <v>0</v>
      </c>
      <c r="G10826" t="s">
        <v>4544</v>
      </c>
      <c r="H10826" t="s">
        <v>8691</v>
      </c>
      <c r="I10826" t="s">
        <v>9407</v>
      </c>
      <c r="J10826" t="s">
        <v>15024</v>
      </c>
      <c r="K10826" t="s">
        <v>19349</v>
      </c>
      <c r="M10826">
        <f>HYPERLINK("https://www.senat.fr/senateur-3eme-republique/de_carayon_latour_joseph1443r3.html", "de_carayon_latour_joseph1443r3")</f>
        <v>0</v>
      </c>
      <c r="N10826">
        <f>HYPERLINK("https://www.wikidata.org/wiki/Q3185829", "Q3185829")</f>
        <v>0</v>
      </c>
      <c r="O10826" t="s">
        <v>20399</v>
      </c>
      <c r="Q10826" t="s">
        <v>20998</v>
      </c>
      <c r="R10826" t="s">
        <v>19349</v>
      </c>
      <c r="S10826">
        <v>3039</v>
      </c>
    </row>
    <row r="10827" spans="1:19">
      <c r="A10827" t="s">
        <v>127</v>
      </c>
      <c r="B10827" t="s">
        <v>150</v>
      </c>
      <c r="C10827" t="s">
        <v>259</v>
      </c>
      <c r="D10827" t="s">
        <v>388</v>
      </c>
      <c r="F10827">
        <f>HYPERLINK("https://www.wikidata.org/wiki/Q97178405", "Q97178405")</f>
        <v>0</v>
      </c>
      <c r="G10827" t="s">
        <v>4545</v>
      </c>
      <c r="H10827" t="s">
        <v>8692</v>
      </c>
      <c r="I10827" t="s">
        <v>11200</v>
      </c>
      <c r="J10827" t="s">
        <v>15025</v>
      </c>
      <c r="K10827" t="s">
        <v>19350</v>
      </c>
      <c r="M10827">
        <f>HYPERLINK("https://www.senat.fr/senateur-3eme-republique/cleron_d_haussonville_othenin1484r3.html", "cleron_d_haussonville_othenin1484r3")</f>
        <v>0</v>
      </c>
      <c r="N10827">
        <f>HYPERLINK("https://www.wikidata.org/wiki/Q345822", "Q345822")</f>
        <v>0</v>
      </c>
      <c r="O10827" t="s">
        <v>20399</v>
      </c>
      <c r="Q10827" t="s">
        <v>20999</v>
      </c>
      <c r="R10827" t="s">
        <v>19350</v>
      </c>
      <c r="S10827">
        <v>2020</v>
      </c>
    </row>
    <row r="10828" spans="1:19">
      <c r="A10828" t="s">
        <v>127</v>
      </c>
      <c r="B10828" t="s">
        <v>150</v>
      </c>
      <c r="C10828" t="s">
        <v>259</v>
      </c>
      <c r="D10828" t="s">
        <v>388</v>
      </c>
      <c r="F10828">
        <f>HYPERLINK("https://www.wikidata.org/wiki/Q97178405", "Q97178405")</f>
        <v>0</v>
      </c>
      <c r="G10828" t="s">
        <v>4546</v>
      </c>
      <c r="H10828" t="s">
        <v>8693</v>
      </c>
      <c r="I10828" t="s">
        <v>11158</v>
      </c>
      <c r="J10828" t="s">
        <v>15026</v>
      </c>
      <c r="K10828" t="s">
        <v>19351</v>
      </c>
      <c r="M10828">
        <f>HYPERLINK("https://www.senat.fr/senateur-3eme-republique/de_vallee_oscar1542r3.html", "de_vallee_oscar1542r3")</f>
        <v>0</v>
      </c>
      <c r="N10828">
        <f>HYPERLINK("https://www.wikidata.org/wiki/Q3357060", "Q3357060")</f>
        <v>0</v>
      </c>
      <c r="O10828" t="s">
        <v>20399</v>
      </c>
      <c r="Q10828" t="s">
        <v>20999</v>
      </c>
      <c r="R10828" t="s">
        <v>19351</v>
      </c>
      <c r="S10828">
        <v>4812</v>
      </c>
    </row>
    <row r="10829" spans="1:19">
      <c r="A10829" t="s">
        <v>127</v>
      </c>
      <c r="B10829" t="s">
        <v>150</v>
      </c>
      <c r="C10829" t="s">
        <v>259</v>
      </c>
      <c r="D10829" t="s">
        <v>388</v>
      </c>
      <c r="F10829">
        <f>HYPERLINK("https://www.wikidata.org/wiki/Q97178405", "Q97178405")</f>
        <v>0</v>
      </c>
      <c r="G10829" t="s">
        <v>4547</v>
      </c>
      <c r="H10829" t="s">
        <v>8694</v>
      </c>
      <c r="I10829" t="s">
        <v>6860</v>
      </c>
      <c r="J10829" t="s">
        <v>15027</v>
      </c>
      <c r="K10829" t="s">
        <v>19352</v>
      </c>
      <c r="M10829">
        <f>HYPERLINK("https://www.senat.fr/senateur-3eme-republique/baragnon_pierre1429r3.html", "baragnon_pierre1429r3")</f>
        <v>0</v>
      </c>
      <c r="N10829">
        <f>HYPERLINK("https://www.wikidata.org/wiki/Q3383853", "Q3383853")</f>
        <v>0</v>
      </c>
      <c r="O10829" t="s">
        <v>20399</v>
      </c>
      <c r="Q10829" t="s">
        <v>20999</v>
      </c>
      <c r="R10829" t="s">
        <v>19352</v>
      </c>
      <c r="S10829">
        <v>4933</v>
      </c>
    </row>
    <row r="10830" spans="1:19">
      <c r="A10830" t="s">
        <v>128</v>
      </c>
      <c r="B10830" t="s">
        <v>150</v>
      </c>
      <c r="C10830" t="s">
        <v>260</v>
      </c>
      <c r="D10830" t="s">
        <v>389</v>
      </c>
      <c r="F10830">
        <f>HYPERLINK("https://www.wikidata.org/wiki/Q97183536", "Q97183536")</f>
        <v>0</v>
      </c>
      <c r="G10830" t="s">
        <v>4548</v>
      </c>
      <c r="H10830" t="s">
        <v>8695</v>
      </c>
      <c r="I10830" t="s">
        <v>6478</v>
      </c>
      <c r="J10830" t="s">
        <v>15028</v>
      </c>
      <c r="K10830" t="s">
        <v>19353</v>
      </c>
      <c r="M10830">
        <f>HYPERLINK("https://www.senat.fr/senateur-3eme-republique/barne_henry0321r3.html", "barne_henry0321r3")</f>
        <v>0</v>
      </c>
      <c r="N10830">
        <f>HYPERLINK("https://www.wikidata.org/wiki/Q1606494", "Q1606494")</f>
        <v>0</v>
      </c>
      <c r="O10830" t="s">
        <v>19990</v>
      </c>
      <c r="Q10830" t="s">
        <v>389</v>
      </c>
      <c r="R10830" t="s">
        <v>21644</v>
      </c>
      <c r="S10830">
        <v>2211</v>
      </c>
    </row>
    <row r="10831" spans="1:19">
      <c r="A10831" t="s">
        <v>128</v>
      </c>
      <c r="B10831" t="s">
        <v>150</v>
      </c>
      <c r="C10831" t="s">
        <v>260</v>
      </c>
      <c r="D10831" t="s">
        <v>389</v>
      </c>
      <c r="F10831">
        <f>HYPERLINK("https://www.wikidata.org/wiki/Q97183536", "Q97183536")</f>
        <v>0</v>
      </c>
      <c r="G10831" t="s">
        <v>4549</v>
      </c>
      <c r="H10831" t="s">
        <v>8696</v>
      </c>
      <c r="I10831" t="s">
        <v>9376</v>
      </c>
      <c r="J10831" t="s">
        <v>15029</v>
      </c>
      <c r="M10831">
        <f>HYPERLINK("https://www.senat.fr/senateur-3eme-republique/gazagne_ferdinand0825r3.html", "gazagne_ferdinand0825r3")</f>
        <v>0</v>
      </c>
      <c r="N10831">
        <f>HYPERLINK("https://www.wikidata.org/wiki/Q1405304", "Q1405304")</f>
        <v>0</v>
      </c>
      <c r="O10831" t="s">
        <v>20014</v>
      </c>
      <c r="Q10831" t="s">
        <v>389</v>
      </c>
      <c r="R10831" t="s">
        <v>21644</v>
      </c>
      <c r="S10831">
        <v>2211</v>
      </c>
    </row>
    <row r="10832" spans="1:19">
      <c r="A10832" t="s">
        <v>128</v>
      </c>
      <c r="B10832" t="s">
        <v>150</v>
      </c>
      <c r="C10832" t="s">
        <v>260</v>
      </c>
      <c r="D10832" t="s">
        <v>389</v>
      </c>
      <c r="F10832">
        <f>HYPERLINK("https://www.wikidata.org/wiki/Q97183536", "Q97183536")</f>
        <v>0</v>
      </c>
      <c r="G10832" t="s">
        <v>4453</v>
      </c>
      <c r="H10832" t="s">
        <v>8600</v>
      </c>
      <c r="I10832" t="s">
        <v>11196</v>
      </c>
      <c r="J10832" t="s">
        <v>14943</v>
      </c>
      <c r="K10832" t="s">
        <v>19272</v>
      </c>
      <c r="M10832">
        <f>HYPERLINK("https://www.senat.fr/senateur-3eme-republique/batbie_anselme0151r3.html", "batbie_anselme0151r3")</f>
        <v>0</v>
      </c>
      <c r="N10832">
        <f>HYPERLINK("https://www.wikidata.org/wiki/Q2852466", "Q2852466")</f>
        <v>0</v>
      </c>
      <c r="O10832" t="s">
        <v>20003</v>
      </c>
      <c r="Q10832" t="s">
        <v>389</v>
      </c>
      <c r="R10832" t="s">
        <v>21650</v>
      </c>
      <c r="S10832">
        <v>24395</v>
      </c>
    </row>
    <row r="10833" spans="1:19">
      <c r="A10833" t="s">
        <v>128</v>
      </c>
      <c r="B10833" t="s">
        <v>150</v>
      </c>
      <c r="C10833" t="s">
        <v>260</v>
      </c>
      <c r="D10833" t="s">
        <v>389</v>
      </c>
      <c r="F10833">
        <f>HYPERLINK("https://www.wikidata.org/wiki/Q97183536", "Q97183536")</f>
        <v>0</v>
      </c>
      <c r="G10833" t="s">
        <v>4454</v>
      </c>
      <c r="H10833" t="s">
        <v>8601</v>
      </c>
      <c r="I10833" t="s">
        <v>6495</v>
      </c>
      <c r="J10833" t="s">
        <v>14944</v>
      </c>
      <c r="K10833" t="s">
        <v>19273</v>
      </c>
      <c r="M10833">
        <f>HYPERLINK("https://www.senat.fr/senateur-3eme-republique/lacave_laplagne_louis0128r3.html", "lacave_laplagne_louis0128r3")</f>
        <v>0</v>
      </c>
      <c r="N10833">
        <f>HYPERLINK("https://www.wikidata.org/wiki/Q3262415", "Q3262415")</f>
        <v>0</v>
      </c>
      <c r="O10833" t="s">
        <v>20003</v>
      </c>
      <c r="Q10833" t="s">
        <v>389</v>
      </c>
      <c r="R10833" t="s">
        <v>21651</v>
      </c>
      <c r="S10833">
        <v>3286</v>
      </c>
    </row>
    <row r="10834" spans="1:19">
      <c r="A10834" t="s">
        <v>128</v>
      </c>
      <c r="B10834" t="s">
        <v>150</v>
      </c>
      <c r="C10834" t="s">
        <v>260</v>
      </c>
      <c r="D10834" t="s">
        <v>389</v>
      </c>
      <c r="F10834">
        <f>HYPERLINK("https://www.wikidata.org/wiki/Q97183536", "Q97183536")</f>
        <v>0</v>
      </c>
      <c r="G10834" t="s">
        <v>4550</v>
      </c>
      <c r="H10834" t="s">
        <v>8697</v>
      </c>
      <c r="I10834" t="s">
        <v>6860</v>
      </c>
      <c r="J10834" t="s">
        <v>15030</v>
      </c>
      <c r="K10834" t="s">
        <v>19354</v>
      </c>
      <c r="M10834">
        <f>HYPERLINK("https://www.senat.fr/senateur-3eme-republique/issartier_pierre0204r3.html", "issartier_pierre0204r3")</f>
        <v>0</v>
      </c>
      <c r="N10834">
        <f>HYPERLINK("https://www.wikidata.org/wiki/Q3385542", "Q3385542")</f>
        <v>0</v>
      </c>
      <c r="O10834" t="s">
        <v>19987</v>
      </c>
      <c r="Q10834" t="s">
        <v>389</v>
      </c>
      <c r="R10834" t="s">
        <v>19354</v>
      </c>
      <c r="S10834">
        <v>3059</v>
      </c>
    </row>
    <row r="10835" spans="1:19">
      <c r="A10835" t="s">
        <v>128</v>
      </c>
      <c r="B10835" t="s">
        <v>150</v>
      </c>
      <c r="C10835" t="s">
        <v>260</v>
      </c>
      <c r="D10835" t="s">
        <v>389</v>
      </c>
      <c r="F10835">
        <f>HYPERLINK("https://www.wikidata.org/wiki/Q97183536", "Q97183536")</f>
        <v>0</v>
      </c>
      <c r="G10835" t="s">
        <v>4551</v>
      </c>
      <c r="H10835" t="s">
        <v>8698</v>
      </c>
      <c r="I10835" t="s">
        <v>6367</v>
      </c>
      <c r="J10835" t="s">
        <v>15031</v>
      </c>
      <c r="K10835" t="s">
        <v>19355</v>
      </c>
      <c r="M10835">
        <f>HYPERLINK("https://www.senat.fr/senateur-3eme-republique/de_lur_saluces_thomas0192r3.html", "de_lur_saluces_thomas0192r3")</f>
        <v>0</v>
      </c>
      <c r="N10835">
        <f>HYPERLINK("https://www.wikidata.org/wiki/Q3132317", "Q3132317")</f>
        <v>0</v>
      </c>
      <c r="O10835" t="s">
        <v>19987</v>
      </c>
      <c r="Q10835" t="s">
        <v>389</v>
      </c>
      <c r="R10835" t="s">
        <v>21651</v>
      </c>
      <c r="S10835">
        <v>3286</v>
      </c>
    </row>
    <row r="10836" spans="1:19">
      <c r="A10836" t="s">
        <v>128</v>
      </c>
      <c r="B10836" t="s">
        <v>150</v>
      </c>
      <c r="C10836" t="s">
        <v>260</v>
      </c>
      <c r="D10836" t="s">
        <v>389</v>
      </c>
      <c r="F10836">
        <f>HYPERLINK("https://www.wikidata.org/wiki/Q97183536", "Q97183536")</f>
        <v>0</v>
      </c>
      <c r="G10836" t="s">
        <v>4552</v>
      </c>
      <c r="H10836" t="s">
        <v>8699</v>
      </c>
      <c r="I10836" t="s">
        <v>6200</v>
      </c>
      <c r="J10836" t="s">
        <v>15032</v>
      </c>
      <c r="K10836" t="s">
        <v>19356</v>
      </c>
      <c r="M10836">
        <f>HYPERLINK("https://www.senat.fr/senateur-3eme-republique/callen_jean0211r3.html", "callen_jean0211r3")</f>
        <v>0</v>
      </c>
      <c r="N10836">
        <f>HYPERLINK("https://www.wikidata.org/wiki/Q3171093", "Q3171093")</f>
        <v>0</v>
      </c>
      <c r="O10836" t="s">
        <v>19987</v>
      </c>
      <c r="Q10836" t="s">
        <v>389</v>
      </c>
      <c r="R10836" t="s">
        <v>21651</v>
      </c>
      <c r="S10836">
        <v>3286</v>
      </c>
    </row>
    <row r="10837" spans="1:19">
      <c r="A10837" t="s">
        <v>128</v>
      </c>
      <c r="B10837" t="s">
        <v>150</v>
      </c>
      <c r="C10837" t="s">
        <v>260</v>
      </c>
      <c r="D10837" t="s">
        <v>389</v>
      </c>
      <c r="F10837">
        <f>HYPERLINK("https://www.wikidata.org/wiki/Q97183536", "Q97183536")</f>
        <v>0</v>
      </c>
      <c r="G10837" t="s">
        <v>4553</v>
      </c>
      <c r="H10837" t="s">
        <v>8700</v>
      </c>
      <c r="I10837" t="s">
        <v>5948</v>
      </c>
      <c r="J10837" t="s">
        <v>15033</v>
      </c>
      <c r="K10837" t="s">
        <v>19357</v>
      </c>
      <c r="M10837">
        <f>HYPERLINK("https://www.senat.fr/senateur-3eme-republique/dupouy_bernard0198r3.html", "dupouy_bernard0198r3")</f>
        <v>0</v>
      </c>
      <c r="N10837">
        <f>HYPERLINK("https://www.wikidata.org/wiki/Q2897836", "Q2897836")</f>
        <v>0</v>
      </c>
      <c r="O10837" t="s">
        <v>19987</v>
      </c>
      <c r="Q10837" t="s">
        <v>389</v>
      </c>
      <c r="R10837" t="s">
        <v>21651</v>
      </c>
      <c r="S10837">
        <v>3286</v>
      </c>
    </row>
    <row r="10838" spans="1:19">
      <c r="A10838" t="s">
        <v>128</v>
      </c>
      <c r="B10838" t="s">
        <v>150</v>
      </c>
      <c r="C10838" t="s">
        <v>260</v>
      </c>
      <c r="D10838" t="s">
        <v>389</v>
      </c>
      <c r="F10838">
        <f>HYPERLINK("https://www.wikidata.org/wiki/Q97183536", "Q97183536")</f>
        <v>0</v>
      </c>
      <c r="G10838" t="s">
        <v>4554</v>
      </c>
      <c r="H10838" t="s">
        <v>8701</v>
      </c>
      <c r="I10838" t="s">
        <v>9388</v>
      </c>
      <c r="J10838" t="s">
        <v>15034</v>
      </c>
      <c r="K10838" t="s">
        <v>19358</v>
      </c>
      <c r="M10838">
        <f>HYPERLINK("https://www.senat.fr/senateur-3eme-republique/de_remusat_paul0078r3.html", "de_remusat_paul0078r3")</f>
        <v>0</v>
      </c>
      <c r="N10838">
        <f>HYPERLINK("https://www.wikidata.org/wiki/Q2063330", "Q2063330")</f>
        <v>0</v>
      </c>
      <c r="O10838" t="s">
        <v>20016</v>
      </c>
      <c r="Q10838" t="s">
        <v>389</v>
      </c>
      <c r="R10838" t="s">
        <v>21651</v>
      </c>
      <c r="S10838">
        <v>3286</v>
      </c>
    </row>
    <row r="10839" spans="1:19">
      <c r="A10839" t="s">
        <v>128</v>
      </c>
      <c r="B10839" t="s">
        <v>150</v>
      </c>
      <c r="C10839" t="s">
        <v>260</v>
      </c>
      <c r="D10839" t="s">
        <v>389</v>
      </c>
      <c r="F10839">
        <f>HYPERLINK("https://www.wikidata.org/wiki/Q97183536", "Q97183536")</f>
        <v>0</v>
      </c>
      <c r="G10839" t="s">
        <v>4555</v>
      </c>
      <c r="H10839" t="s">
        <v>8702</v>
      </c>
      <c r="I10839" t="s">
        <v>9483</v>
      </c>
      <c r="J10839" t="s">
        <v>11465</v>
      </c>
      <c r="K10839" t="s">
        <v>19359</v>
      </c>
      <c r="M10839">
        <f>HYPERLINK("https://www.senat.fr/senateur-3eme-republique/camparan_victor0101r3.html", "camparan_victor0101r3")</f>
        <v>0</v>
      </c>
      <c r="N10839">
        <f>HYPERLINK("https://www.wikidata.org/wiki/Q3557203", "Q3557203")</f>
        <v>0</v>
      </c>
      <c r="O10839" t="s">
        <v>20016</v>
      </c>
      <c r="Q10839" t="s">
        <v>389</v>
      </c>
      <c r="R10839" t="s">
        <v>21651</v>
      </c>
      <c r="S10839">
        <v>3286</v>
      </c>
    </row>
    <row r="10840" spans="1:19">
      <c r="A10840" t="s">
        <v>128</v>
      </c>
      <c r="B10840" t="s">
        <v>150</v>
      </c>
      <c r="C10840" t="s">
        <v>260</v>
      </c>
      <c r="D10840" t="s">
        <v>389</v>
      </c>
      <c r="F10840">
        <f>HYPERLINK("https://www.wikidata.org/wiki/Q97183536", "Q97183536")</f>
        <v>0</v>
      </c>
      <c r="G10840" t="s">
        <v>4556</v>
      </c>
      <c r="H10840" t="s">
        <v>8703</v>
      </c>
      <c r="I10840" t="s">
        <v>9445</v>
      </c>
      <c r="J10840" t="s">
        <v>15035</v>
      </c>
      <c r="K10840" t="s">
        <v>19360</v>
      </c>
      <c r="M10840">
        <f>HYPERLINK("https://www.senat.fr/senateur-3eme-republique/hebrard_adrien0092r3.html", "hebrard_adrien0092r3")</f>
        <v>0</v>
      </c>
      <c r="N10840">
        <f>HYPERLINK("https://www.wikidata.org/wiki/Q2825190", "Q2825190")</f>
        <v>0</v>
      </c>
      <c r="O10840" t="s">
        <v>20016</v>
      </c>
      <c r="Q10840" t="s">
        <v>389</v>
      </c>
      <c r="R10840" t="s">
        <v>21651</v>
      </c>
      <c r="S10840">
        <v>3286</v>
      </c>
    </row>
    <row r="10841" spans="1:19">
      <c r="A10841" t="s">
        <v>128</v>
      </c>
      <c r="B10841" t="s">
        <v>150</v>
      </c>
      <c r="C10841" t="s">
        <v>260</v>
      </c>
      <c r="D10841" t="s">
        <v>389</v>
      </c>
      <c r="F10841">
        <f>HYPERLINK("https://www.wikidata.org/wiki/Q97183536", "Q97183536")</f>
        <v>0</v>
      </c>
      <c r="G10841" t="s">
        <v>4455</v>
      </c>
      <c r="H10841" t="s">
        <v>8602</v>
      </c>
      <c r="I10841" t="s">
        <v>9602</v>
      </c>
      <c r="J10841" t="s">
        <v>13371</v>
      </c>
      <c r="K10841" t="s">
        <v>19274</v>
      </c>
      <c r="M10841">
        <f>HYPERLINK("https://www.senat.fr/senateur-3eme-republique/du_motier_de_la_fayette_edmond0511r3.html", "du_motier_de_la_fayette_edmond0511r3")</f>
        <v>0</v>
      </c>
      <c r="N10841">
        <f>HYPERLINK("https://www.wikidata.org/wiki/Q3048033", "Q3048033")</f>
        <v>0</v>
      </c>
      <c r="O10841" t="s">
        <v>19993</v>
      </c>
      <c r="Q10841" t="s">
        <v>389</v>
      </c>
      <c r="R10841" t="s">
        <v>21651</v>
      </c>
      <c r="S10841">
        <v>3286</v>
      </c>
    </row>
    <row r="10842" spans="1:19">
      <c r="A10842" t="s">
        <v>128</v>
      </c>
      <c r="B10842" t="s">
        <v>150</v>
      </c>
      <c r="C10842" t="s">
        <v>260</v>
      </c>
      <c r="D10842" t="s">
        <v>389</v>
      </c>
      <c r="F10842">
        <f>HYPERLINK("https://www.wikidata.org/wiki/Q97183536", "Q97183536")</f>
        <v>0</v>
      </c>
      <c r="G10842" t="s">
        <v>4557</v>
      </c>
      <c r="H10842" t="s">
        <v>8704</v>
      </c>
      <c r="I10842" t="s">
        <v>9442</v>
      </c>
      <c r="J10842" t="s">
        <v>15036</v>
      </c>
      <c r="K10842" t="s">
        <v>19361</v>
      </c>
      <c r="M10842">
        <f>HYPERLINK("https://www.senat.fr/senateur-3eme-republique/vissaguet_ernest0517r3.html", "vissaguet_ernest0517r3")</f>
        <v>0</v>
      </c>
      <c r="N10842">
        <f>HYPERLINK("https://www.wikidata.org/wiki/Q3057205", "Q3057205")</f>
        <v>0</v>
      </c>
      <c r="O10842" t="s">
        <v>19993</v>
      </c>
      <c r="Q10842" t="s">
        <v>389</v>
      </c>
      <c r="R10842" t="s">
        <v>21651</v>
      </c>
      <c r="S10842">
        <v>3286</v>
      </c>
    </row>
    <row r="10843" spans="1:19">
      <c r="A10843" t="s">
        <v>128</v>
      </c>
      <c r="B10843" t="s">
        <v>150</v>
      </c>
      <c r="C10843" t="s">
        <v>260</v>
      </c>
      <c r="D10843" t="s">
        <v>389</v>
      </c>
      <c r="F10843">
        <f>HYPERLINK("https://www.wikidata.org/wiki/Q97183536", "Q97183536")</f>
        <v>0</v>
      </c>
      <c r="G10843" t="s">
        <v>4558</v>
      </c>
      <c r="H10843" t="s">
        <v>8705</v>
      </c>
      <c r="I10843" t="s">
        <v>6495</v>
      </c>
      <c r="J10843" t="s">
        <v>15037</v>
      </c>
      <c r="K10843" t="s">
        <v>19362</v>
      </c>
      <c r="M10843">
        <f>HYPERLINK("https://www.senat.fr/senateur-3eme-republique/robert_dehault_louis0868r3.html", "robert_dehault_louis0868r3")</f>
        <v>0</v>
      </c>
      <c r="N10843">
        <f>HYPERLINK("https://www.wikidata.org/wiki/Q3263026", "Q3263026")</f>
        <v>0</v>
      </c>
      <c r="O10843" t="s">
        <v>20022</v>
      </c>
      <c r="Q10843" t="s">
        <v>389</v>
      </c>
      <c r="R10843" t="s">
        <v>21650</v>
      </c>
      <c r="S10843">
        <v>24395</v>
      </c>
    </row>
    <row r="10844" spans="1:19">
      <c r="A10844" t="s">
        <v>128</v>
      </c>
      <c r="B10844" t="s">
        <v>150</v>
      </c>
      <c r="C10844" t="s">
        <v>260</v>
      </c>
      <c r="D10844" t="s">
        <v>389</v>
      </c>
      <c r="F10844">
        <f>HYPERLINK("https://www.wikidata.org/wiki/Q97183536", "Q97183536")</f>
        <v>0</v>
      </c>
      <c r="G10844" t="s">
        <v>4456</v>
      </c>
      <c r="H10844" t="s">
        <v>8603</v>
      </c>
      <c r="I10844" t="s">
        <v>6158</v>
      </c>
      <c r="J10844" t="s">
        <v>14945</v>
      </c>
      <c r="K10844" t="s">
        <v>12889</v>
      </c>
      <c r="M10844">
        <f>HYPERLINK("https://www.senat.fr/senateur-3eme-republique/pelissier_felix0863r3.html", "pelissier_felix0863r3")</f>
        <v>0</v>
      </c>
      <c r="N10844">
        <f>HYPERLINK("https://www.wikidata.org/wiki/Q3092583", "Q3092583")</f>
        <v>0</v>
      </c>
      <c r="O10844" t="s">
        <v>20022</v>
      </c>
      <c r="Q10844" t="s">
        <v>389</v>
      </c>
      <c r="R10844" t="s">
        <v>21650</v>
      </c>
      <c r="S10844">
        <v>24395</v>
      </c>
    </row>
    <row r="10845" spans="1:19">
      <c r="A10845" t="s">
        <v>128</v>
      </c>
      <c r="B10845" t="s">
        <v>150</v>
      </c>
      <c r="C10845" t="s">
        <v>260</v>
      </c>
      <c r="D10845" t="s">
        <v>389</v>
      </c>
      <c r="F10845">
        <f>HYPERLINK("https://www.wikidata.org/wiki/Q97183536", "Q97183536")</f>
        <v>0</v>
      </c>
      <c r="G10845" t="s">
        <v>4559</v>
      </c>
      <c r="H10845" t="s">
        <v>8706</v>
      </c>
      <c r="I10845" t="s">
        <v>6200</v>
      </c>
      <c r="J10845" t="s">
        <v>15038</v>
      </c>
      <c r="K10845" t="s">
        <v>19363</v>
      </c>
      <c r="M10845">
        <f>HYPERLINK("https://www.senat.fr/senateur-3eme-republique/bazille_jean0236r3.html", "bazille_jean0236r3")</f>
        <v>0</v>
      </c>
      <c r="N10845">
        <f>HYPERLINK("https://www.wikidata.org/wiki/Q3170658", "Q3170658")</f>
        <v>0</v>
      </c>
      <c r="O10845" t="s">
        <v>7411</v>
      </c>
      <c r="Q10845" t="s">
        <v>389</v>
      </c>
      <c r="R10845" t="s">
        <v>21651</v>
      </c>
      <c r="S10845">
        <v>3286</v>
      </c>
    </row>
    <row r="10846" spans="1:19">
      <c r="A10846" t="s">
        <v>128</v>
      </c>
      <c r="B10846" t="s">
        <v>150</v>
      </c>
      <c r="C10846" t="s">
        <v>260</v>
      </c>
      <c r="D10846" t="s">
        <v>389</v>
      </c>
      <c r="F10846">
        <f>HYPERLINK("https://www.wikidata.org/wiki/Q97183536", "Q97183536")</f>
        <v>0</v>
      </c>
      <c r="G10846" t="s">
        <v>4560</v>
      </c>
      <c r="H10846" t="s">
        <v>8707</v>
      </c>
      <c r="I10846" t="s">
        <v>9385</v>
      </c>
      <c r="J10846" t="s">
        <v>15039</v>
      </c>
      <c r="K10846" t="s">
        <v>19364</v>
      </c>
      <c r="M10846">
        <f>HYPERLINK("https://www.senat.fr/senateur-3eme-republique/griffe_charles0248r3.html", "griffe_charles0248r3")</f>
        <v>0</v>
      </c>
      <c r="N10846">
        <f>HYPERLINK("https://www.wikidata.org/wiki/Q2959258", "Q2959258")</f>
        <v>0</v>
      </c>
      <c r="O10846" t="s">
        <v>7411</v>
      </c>
      <c r="Q10846" t="s">
        <v>389</v>
      </c>
      <c r="R10846" t="s">
        <v>21651</v>
      </c>
      <c r="S10846">
        <v>3286</v>
      </c>
    </row>
    <row r="10847" spans="1:19">
      <c r="A10847" t="s">
        <v>128</v>
      </c>
      <c r="B10847" t="s">
        <v>150</v>
      </c>
      <c r="C10847" t="s">
        <v>260</v>
      </c>
      <c r="D10847" t="s">
        <v>389</v>
      </c>
      <c r="F10847">
        <f>HYPERLINK("https://www.wikidata.org/wiki/Q97183536", "Q97183536")</f>
        <v>0</v>
      </c>
      <c r="G10847" t="s">
        <v>4561</v>
      </c>
      <c r="H10847" t="s">
        <v>8708</v>
      </c>
      <c r="I10847" t="s">
        <v>6200</v>
      </c>
      <c r="J10847" t="s">
        <v>15040</v>
      </c>
      <c r="K10847" t="s">
        <v>19365</v>
      </c>
      <c r="M10847">
        <f>HYPERLINK("https://www.senat.fr/senateur-3eme-republique/combescure_jean0243r3.html", "combescure_jean0243r3")</f>
        <v>0</v>
      </c>
      <c r="N10847">
        <f>HYPERLINK("https://www.wikidata.org/wiki/Q3171398", "Q3171398")</f>
        <v>0</v>
      </c>
      <c r="O10847" t="s">
        <v>7411</v>
      </c>
      <c r="Q10847" t="s">
        <v>389</v>
      </c>
      <c r="R10847" t="s">
        <v>21651</v>
      </c>
      <c r="S10847">
        <v>3286</v>
      </c>
    </row>
    <row r="10848" spans="1:19">
      <c r="A10848" t="s">
        <v>128</v>
      </c>
      <c r="B10848" t="s">
        <v>150</v>
      </c>
      <c r="C10848" t="s">
        <v>260</v>
      </c>
      <c r="D10848" t="s">
        <v>389</v>
      </c>
      <c r="F10848">
        <f>HYPERLINK("https://www.wikidata.org/wiki/Q97183536", "Q97183536")</f>
        <v>0</v>
      </c>
      <c r="G10848" t="s">
        <v>4562</v>
      </c>
      <c r="H10848" t="s">
        <v>8709</v>
      </c>
      <c r="I10848" t="s">
        <v>6860</v>
      </c>
      <c r="J10848" t="s">
        <v>15041</v>
      </c>
      <c r="K10848" t="s">
        <v>19366</v>
      </c>
      <c r="M10848">
        <f>HYPERLINK("https://www.senat.fr/senateur-3eme-republique/jouin_pierre0526r3.html", "jouin_pierre0526r3")</f>
        <v>0</v>
      </c>
      <c r="N10848">
        <f>HYPERLINK("https://www.wikidata.org/wiki/Q3385632", "Q3385632")</f>
        <v>0</v>
      </c>
      <c r="O10848" t="s">
        <v>19998</v>
      </c>
      <c r="Q10848" t="s">
        <v>389</v>
      </c>
      <c r="R10848" t="s">
        <v>19366</v>
      </c>
      <c r="S10848">
        <v>2271</v>
      </c>
    </row>
    <row r="10849" spans="1:19">
      <c r="A10849" t="s">
        <v>128</v>
      </c>
      <c r="B10849" t="s">
        <v>150</v>
      </c>
      <c r="C10849" t="s">
        <v>260</v>
      </c>
      <c r="D10849" t="s">
        <v>389</v>
      </c>
      <c r="F10849">
        <f>HYPERLINK("https://www.wikidata.org/wiki/Q97183536", "Q97183536")</f>
        <v>0</v>
      </c>
      <c r="G10849" t="s">
        <v>4563</v>
      </c>
      <c r="H10849" t="s">
        <v>8710</v>
      </c>
      <c r="I10849" t="s">
        <v>11201</v>
      </c>
      <c r="J10849" t="s">
        <v>15042</v>
      </c>
      <c r="K10849" t="s">
        <v>19367</v>
      </c>
      <c r="M10849">
        <f>HYPERLINK("https://www.senat.fr/senateur-3eme-republique/le_bastard_edgar0551r3.html", "le_bastard_edgar0551r3")</f>
        <v>0</v>
      </c>
      <c r="N10849">
        <f>HYPERLINK("https://www.wikidata.org/wiki/Q3047459", "Q3047459")</f>
        <v>0</v>
      </c>
      <c r="O10849" t="s">
        <v>19998</v>
      </c>
      <c r="Q10849" t="s">
        <v>389</v>
      </c>
      <c r="R10849" t="s">
        <v>21651</v>
      </c>
      <c r="S10849">
        <v>3286</v>
      </c>
    </row>
    <row r="10850" spans="1:19">
      <c r="A10850" t="s">
        <v>128</v>
      </c>
      <c r="B10850" t="s">
        <v>150</v>
      </c>
      <c r="C10850" t="s">
        <v>260</v>
      </c>
      <c r="D10850" t="s">
        <v>389</v>
      </c>
      <c r="F10850">
        <f>HYPERLINK("https://www.wikidata.org/wiki/Q97183536", "Q97183536")</f>
        <v>0</v>
      </c>
      <c r="G10850" t="s">
        <v>4564</v>
      </c>
      <c r="H10850" t="s">
        <v>8711</v>
      </c>
      <c r="I10850" t="s">
        <v>9451</v>
      </c>
      <c r="J10850" t="s">
        <v>15043</v>
      </c>
      <c r="K10850" t="s">
        <v>19368</v>
      </c>
      <c r="M10850">
        <f>HYPERLINK("https://www.senat.fr/senateur-3eme-republique/roger_marvaise_theophile0537r3.html", "roger_marvaise_theophile0537r3")</f>
        <v>0</v>
      </c>
      <c r="N10850">
        <f>HYPERLINK("https://www.wikidata.org/wiki/Q3526689", "Q3526689")</f>
        <v>0</v>
      </c>
      <c r="O10850" t="s">
        <v>19998</v>
      </c>
      <c r="Q10850" t="s">
        <v>389</v>
      </c>
      <c r="R10850" t="s">
        <v>21651</v>
      </c>
      <c r="S10850">
        <v>3286</v>
      </c>
    </row>
    <row r="10851" spans="1:19">
      <c r="A10851" t="s">
        <v>128</v>
      </c>
      <c r="B10851" t="s">
        <v>150</v>
      </c>
      <c r="C10851" t="s">
        <v>260</v>
      </c>
      <c r="D10851" t="s">
        <v>389</v>
      </c>
      <c r="F10851">
        <f>HYPERLINK("https://www.wikidata.org/wiki/Q97183536", "Q97183536")</f>
        <v>0</v>
      </c>
      <c r="G10851" t="s">
        <v>4467</v>
      </c>
      <c r="H10851" t="s">
        <v>8614</v>
      </c>
      <c r="I10851" t="s">
        <v>6166</v>
      </c>
      <c r="J10851" t="s">
        <v>14955</v>
      </c>
      <c r="K10851" t="s">
        <v>19282</v>
      </c>
      <c r="M10851">
        <f>HYPERLINK("https://www.senat.fr/senateur-3eme-republique/de_bondy_francois0261r3.html", "de_bondy_francois0261r3")</f>
        <v>0</v>
      </c>
      <c r="N10851">
        <f>HYPERLINK("https://www.wikidata.org/wiki/Q3083560", "Q3083560")</f>
        <v>0</v>
      </c>
      <c r="O10851" t="s">
        <v>19975</v>
      </c>
      <c r="Q10851" t="s">
        <v>389</v>
      </c>
      <c r="R10851" t="s">
        <v>21651</v>
      </c>
      <c r="S10851">
        <v>3286</v>
      </c>
    </row>
    <row r="10852" spans="1:19">
      <c r="A10852" t="s">
        <v>128</v>
      </c>
      <c r="B10852" t="s">
        <v>150</v>
      </c>
      <c r="C10852" t="s">
        <v>260</v>
      </c>
      <c r="D10852" t="s">
        <v>389</v>
      </c>
      <c r="F10852">
        <f>HYPERLINK("https://www.wikidata.org/wiki/Q97183536", "Q97183536")</f>
        <v>0</v>
      </c>
      <c r="G10852" t="s">
        <v>4468</v>
      </c>
      <c r="H10852" t="s">
        <v>8615</v>
      </c>
      <c r="I10852" t="s">
        <v>5528</v>
      </c>
      <c r="J10852" t="s">
        <v>14956</v>
      </c>
      <c r="K10852" t="s">
        <v>19283</v>
      </c>
      <c r="M10852">
        <f>HYPERLINK("https://www.senat.fr/senateur-3eme-republique/clement_leon0258r3.html", "clement_leon0258r3")</f>
        <v>0</v>
      </c>
      <c r="N10852">
        <f>HYPERLINK("https://www.wikidata.org/wiki/Q3270832", "Q3270832")</f>
        <v>0</v>
      </c>
      <c r="O10852" t="s">
        <v>19975</v>
      </c>
      <c r="Q10852" t="s">
        <v>389</v>
      </c>
      <c r="R10852" t="s">
        <v>21651</v>
      </c>
      <c r="S10852">
        <v>3286</v>
      </c>
    </row>
    <row r="10853" spans="1:19">
      <c r="A10853" t="s">
        <v>128</v>
      </c>
      <c r="B10853" t="s">
        <v>150</v>
      </c>
      <c r="C10853" t="s">
        <v>260</v>
      </c>
      <c r="D10853" t="s">
        <v>389</v>
      </c>
      <c r="F10853">
        <f>HYPERLINK("https://www.wikidata.org/wiki/Q97183536", "Q97183536")</f>
        <v>0</v>
      </c>
      <c r="G10853" t="s">
        <v>4565</v>
      </c>
      <c r="H10853" t="s">
        <v>8712</v>
      </c>
      <c r="I10853" t="s">
        <v>9385</v>
      </c>
      <c r="J10853" t="s">
        <v>15044</v>
      </c>
      <c r="K10853" t="s">
        <v>19369</v>
      </c>
      <c r="M10853">
        <f>HYPERLINK("https://www.senat.fr/senateur-3eme-republique/guinot_charles0298r3.html", "guinot_charles0298r3")</f>
        <v>0</v>
      </c>
      <c r="N10853">
        <f>HYPERLINK("https://www.wikidata.org/wiki/Q2959276", "Q2959276")</f>
        <v>0</v>
      </c>
      <c r="O10853" t="s">
        <v>20008</v>
      </c>
      <c r="Q10853" t="s">
        <v>389</v>
      </c>
      <c r="R10853" t="s">
        <v>21651</v>
      </c>
      <c r="S10853">
        <v>3286</v>
      </c>
    </row>
    <row r="10854" spans="1:19">
      <c r="A10854" t="s">
        <v>128</v>
      </c>
      <c r="B10854" t="s">
        <v>150</v>
      </c>
      <c r="C10854" t="s">
        <v>260</v>
      </c>
      <c r="D10854" t="s">
        <v>389</v>
      </c>
      <c r="F10854">
        <f>HYPERLINK("https://www.wikidata.org/wiki/Q97183536", "Q97183536")</f>
        <v>0</v>
      </c>
      <c r="G10854" t="s">
        <v>4566</v>
      </c>
      <c r="H10854" t="s">
        <v>8579</v>
      </c>
      <c r="I10854" t="s">
        <v>11202</v>
      </c>
      <c r="J10854" t="s">
        <v>15045</v>
      </c>
      <c r="K10854" t="s">
        <v>19370</v>
      </c>
      <c r="M10854">
        <f>HYPERLINK("https://www.senat.fr/senateur-3eme-republique/fournier_hughes0303r3.html", "fournier_hughes0303r3")</f>
        <v>0</v>
      </c>
      <c r="N10854">
        <f>HYPERLINK("https://www.wikidata.org/wiki/Q3142344", "Q3142344")</f>
        <v>0</v>
      </c>
      <c r="O10854" t="s">
        <v>20008</v>
      </c>
      <c r="Q10854" t="s">
        <v>389</v>
      </c>
      <c r="R10854" t="s">
        <v>21651</v>
      </c>
      <c r="S10854">
        <v>3286</v>
      </c>
    </row>
    <row r="10855" spans="1:19">
      <c r="A10855" t="s">
        <v>128</v>
      </c>
      <c r="B10855" t="s">
        <v>150</v>
      </c>
      <c r="C10855" t="s">
        <v>260</v>
      </c>
      <c r="D10855" t="s">
        <v>389</v>
      </c>
      <c r="F10855">
        <f>HYPERLINK("https://www.wikidata.org/wiki/Q97183536", "Q97183536")</f>
        <v>0</v>
      </c>
      <c r="G10855" t="s">
        <v>4469</v>
      </c>
      <c r="H10855" t="s">
        <v>8616</v>
      </c>
      <c r="I10855" t="s">
        <v>6166</v>
      </c>
      <c r="J10855" t="s">
        <v>14957</v>
      </c>
      <c r="K10855" t="s">
        <v>19284</v>
      </c>
      <c r="M10855">
        <f>HYPERLINK("https://www.senat.fr/senateur-3eme-republique/michal_ladichere_francois1183r3.html", "michal_ladichere_francois1183r3")</f>
        <v>0</v>
      </c>
      <c r="N10855">
        <f>HYPERLINK("https://www.wikidata.org/wiki/Q3085355", "Q3085355")</f>
        <v>0</v>
      </c>
      <c r="O10855" t="s">
        <v>20006</v>
      </c>
      <c r="Q10855" t="s">
        <v>389</v>
      </c>
      <c r="R10855" t="s">
        <v>21650</v>
      </c>
      <c r="S10855">
        <v>24395</v>
      </c>
    </row>
    <row r="10856" spans="1:19">
      <c r="A10856" t="s">
        <v>128</v>
      </c>
      <c r="B10856" t="s">
        <v>150</v>
      </c>
      <c r="C10856" t="s">
        <v>260</v>
      </c>
      <c r="D10856" t="s">
        <v>389</v>
      </c>
      <c r="F10856">
        <f>HYPERLINK("https://www.wikidata.org/wiki/Q97183536", "Q97183536")</f>
        <v>0</v>
      </c>
      <c r="G10856" t="s">
        <v>4470</v>
      </c>
      <c r="H10856" t="s">
        <v>8617</v>
      </c>
      <c r="I10856" t="s">
        <v>9407</v>
      </c>
      <c r="J10856" t="s">
        <v>14958</v>
      </c>
      <c r="K10856" t="s">
        <v>19285</v>
      </c>
      <c r="M10856">
        <f>HYPERLINK("https://www.senat.fr/senateur-3eme-republique/eymard_duvernay_joseph1190r3.html", "eymard_duvernay_joseph1190r3")</f>
        <v>0</v>
      </c>
      <c r="N10856">
        <f>HYPERLINK("https://www.wikidata.org/wiki/Q3184918", "Q3184918")</f>
        <v>0</v>
      </c>
      <c r="O10856" t="s">
        <v>20006</v>
      </c>
      <c r="Q10856" t="s">
        <v>389</v>
      </c>
      <c r="R10856" t="s">
        <v>21650</v>
      </c>
      <c r="S10856">
        <v>24395</v>
      </c>
    </row>
    <row r="10857" spans="1:19">
      <c r="A10857" t="s">
        <v>128</v>
      </c>
      <c r="B10857" t="s">
        <v>150</v>
      </c>
      <c r="C10857" t="s">
        <v>260</v>
      </c>
      <c r="D10857" t="s">
        <v>389</v>
      </c>
      <c r="F10857">
        <f>HYPERLINK("https://www.wikidata.org/wiki/Q97183536", "Q97183536")</f>
        <v>0</v>
      </c>
      <c r="G10857" t="s">
        <v>4567</v>
      </c>
      <c r="H10857" t="s">
        <v>8713</v>
      </c>
      <c r="I10857" t="s">
        <v>8494</v>
      </c>
      <c r="J10857" t="s">
        <v>15046</v>
      </c>
      <c r="K10857" t="s">
        <v>19371</v>
      </c>
      <c r="M10857">
        <f>HYPERLINK("https://www.senat.fr/senateur-3eme-republique/ronjat_abel1195r3.html", "ronjat_abel1195r3")</f>
        <v>0</v>
      </c>
      <c r="N10857">
        <f>HYPERLINK("https://www.wikidata.org/wiki/Q2821481", "Q2821481")</f>
        <v>0</v>
      </c>
      <c r="O10857" t="s">
        <v>20006</v>
      </c>
      <c r="Q10857" t="s">
        <v>389</v>
      </c>
      <c r="R10857" t="s">
        <v>21652</v>
      </c>
      <c r="S10857">
        <v>2151</v>
      </c>
    </row>
    <row r="10858" spans="1:19">
      <c r="A10858" t="s">
        <v>128</v>
      </c>
      <c r="B10858" t="s">
        <v>150</v>
      </c>
      <c r="C10858" t="s">
        <v>260</v>
      </c>
      <c r="D10858" t="s">
        <v>389</v>
      </c>
      <c r="F10858">
        <f>HYPERLINK("https://www.wikidata.org/wiki/Q97183536", "Q97183536")</f>
        <v>0</v>
      </c>
      <c r="G10858" t="s">
        <v>4568</v>
      </c>
      <c r="H10858" t="s">
        <v>8714</v>
      </c>
      <c r="I10858" t="s">
        <v>6166</v>
      </c>
      <c r="J10858" t="s">
        <v>15047</v>
      </c>
      <c r="K10858" t="s">
        <v>19372</v>
      </c>
      <c r="M10858">
        <f>HYPERLINK("https://www.senat.fr/senateur-3eme-republique/tamisier_francois0425r3.html", "tamisier_francois0425r3")</f>
        <v>0</v>
      </c>
      <c r="N10858">
        <f>HYPERLINK("https://www.wikidata.org/wiki/Q1986768", "Q1986768")</f>
        <v>0</v>
      </c>
      <c r="O10858" t="s">
        <v>20041</v>
      </c>
      <c r="Q10858" t="s">
        <v>389</v>
      </c>
      <c r="R10858" t="s">
        <v>21650</v>
      </c>
      <c r="S10858">
        <v>24395</v>
      </c>
    </row>
    <row r="10859" spans="1:19">
      <c r="A10859" t="s">
        <v>128</v>
      </c>
      <c r="B10859" t="s">
        <v>150</v>
      </c>
      <c r="C10859" t="s">
        <v>260</v>
      </c>
      <c r="D10859" t="s">
        <v>389</v>
      </c>
      <c r="F10859">
        <f>HYPERLINK("https://www.wikidata.org/wiki/Q97183536", "Q97183536")</f>
        <v>0</v>
      </c>
      <c r="G10859" t="s">
        <v>4471</v>
      </c>
      <c r="H10859" t="s">
        <v>8618</v>
      </c>
      <c r="I10859" t="s">
        <v>9449</v>
      </c>
      <c r="J10859" t="s">
        <v>13406</v>
      </c>
      <c r="K10859" t="s">
        <v>19286</v>
      </c>
      <c r="M10859">
        <f>HYPERLINK("https://www.senat.fr/senateur-3eme-republique/thurel_jules0437r3.html", "thurel_jules0437r3")</f>
        <v>0</v>
      </c>
      <c r="N10859">
        <f>HYPERLINK("https://www.wikidata.org/wiki/Q3188938", "Q3188938")</f>
        <v>0</v>
      </c>
      <c r="O10859" t="s">
        <v>20041</v>
      </c>
      <c r="Q10859" t="s">
        <v>389</v>
      </c>
      <c r="R10859" t="s">
        <v>21651</v>
      </c>
      <c r="S10859">
        <v>3286</v>
      </c>
    </row>
    <row r="10860" spans="1:19">
      <c r="A10860" t="s">
        <v>128</v>
      </c>
      <c r="B10860" t="s">
        <v>150</v>
      </c>
      <c r="C10860" t="s">
        <v>260</v>
      </c>
      <c r="D10860" t="s">
        <v>389</v>
      </c>
      <c r="F10860">
        <f>HYPERLINK("https://www.wikidata.org/wiki/Q97183536", "Q97183536")</f>
        <v>0</v>
      </c>
      <c r="G10860" t="s">
        <v>4472</v>
      </c>
      <c r="H10860" t="s">
        <v>8619</v>
      </c>
      <c r="I10860" t="s">
        <v>6731</v>
      </c>
      <c r="J10860" t="s">
        <v>14959</v>
      </c>
      <c r="K10860" t="s">
        <v>19287</v>
      </c>
      <c r="M10860">
        <f>HYPERLINK("https://www.senat.fr/senateur-3eme-republique/de_lacroix_de_ravignan_marie0335r3.html", "de_lacroix_de_ravignan_marie0335r3")</f>
        <v>0</v>
      </c>
      <c r="N10860">
        <f>HYPERLINK("https://www.wikidata.org/wiki/Q3292225", "Q3292225")</f>
        <v>0</v>
      </c>
      <c r="O10860" t="s">
        <v>19995</v>
      </c>
      <c r="Q10860" t="s">
        <v>389</v>
      </c>
      <c r="R10860" t="s">
        <v>21650</v>
      </c>
      <c r="S10860">
        <v>24395</v>
      </c>
    </row>
    <row r="10861" spans="1:19">
      <c r="A10861" t="s">
        <v>128</v>
      </c>
      <c r="B10861" t="s">
        <v>150</v>
      </c>
      <c r="C10861" t="s">
        <v>260</v>
      </c>
      <c r="D10861" t="s">
        <v>389</v>
      </c>
      <c r="F10861">
        <f>HYPERLINK("https://www.wikidata.org/wiki/Q97183536", "Q97183536")</f>
        <v>0</v>
      </c>
      <c r="G10861" t="s">
        <v>4473</v>
      </c>
      <c r="H10861" t="s">
        <v>8620</v>
      </c>
      <c r="I10861" t="s">
        <v>9457</v>
      </c>
      <c r="J10861" t="s">
        <v>14960</v>
      </c>
      <c r="K10861" t="s">
        <v>19288</v>
      </c>
      <c r="M10861">
        <f>HYPERLINK("https://www.senat.fr/senateur-3eme-republique/de_gavardie_henri0342r3.html", "de_gavardie_henri0342r3")</f>
        <v>0</v>
      </c>
      <c r="N10861">
        <f>HYPERLINK("https://www.wikidata.org/wiki/Q3132275", "Q3132275")</f>
        <v>0</v>
      </c>
      <c r="O10861" t="s">
        <v>19995</v>
      </c>
      <c r="Q10861" t="s">
        <v>389</v>
      </c>
      <c r="R10861" t="s">
        <v>21650</v>
      </c>
      <c r="S10861">
        <v>24395</v>
      </c>
    </row>
    <row r="10862" spans="1:19">
      <c r="A10862" t="s">
        <v>128</v>
      </c>
      <c r="B10862" t="s">
        <v>150</v>
      </c>
      <c r="C10862" t="s">
        <v>260</v>
      </c>
      <c r="D10862" t="s">
        <v>389</v>
      </c>
      <c r="F10862">
        <f>HYPERLINK("https://www.wikidata.org/wiki/Q97183536", "Q97183536")</f>
        <v>0</v>
      </c>
      <c r="G10862" t="s">
        <v>4474</v>
      </c>
      <c r="H10862" t="s">
        <v>8621</v>
      </c>
      <c r="I10862" t="s">
        <v>9449</v>
      </c>
      <c r="J10862" t="s">
        <v>14961</v>
      </c>
      <c r="K10862" t="s">
        <v>19289</v>
      </c>
      <c r="M10862">
        <f>HYPERLINK("https://www.senat.fr/senateur-3eme-republique/bozerian_jules0374r3.html", "bozerian_jules0374r3")</f>
        <v>0</v>
      </c>
      <c r="N10862">
        <f>HYPERLINK("https://www.wikidata.org/wiki/Q3170973", "Q3170973")</f>
        <v>0</v>
      </c>
      <c r="O10862" t="s">
        <v>20039</v>
      </c>
      <c r="Q10862" t="s">
        <v>389</v>
      </c>
      <c r="R10862" t="s">
        <v>21651</v>
      </c>
      <c r="S10862">
        <v>3286</v>
      </c>
    </row>
    <row r="10863" spans="1:19">
      <c r="A10863" t="s">
        <v>128</v>
      </c>
      <c r="B10863" t="s">
        <v>150</v>
      </c>
      <c r="C10863" t="s">
        <v>260</v>
      </c>
      <c r="D10863" t="s">
        <v>389</v>
      </c>
      <c r="F10863">
        <f>HYPERLINK("https://www.wikidata.org/wiki/Q97183536", "Q97183536")</f>
        <v>0</v>
      </c>
      <c r="G10863" t="s">
        <v>4569</v>
      </c>
      <c r="H10863" t="s">
        <v>8715</v>
      </c>
      <c r="I10863" t="s">
        <v>6200</v>
      </c>
      <c r="J10863" t="s">
        <v>15048</v>
      </c>
      <c r="K10863" t="s">
        <v>19373</v>
      </c>
      <c r="M10863">
        <f>HYPERLINK("https://www.senat.fr/senateur-3eme-republique/dufay_jean0382r3.html", "dufay_jean0382r3")</f>
        <v>0</v>
      </c>
      <c r="N10863">
        <f>HYPERLINK("https://www.wikidata.org/wiki/Q8302436", "Q8302436")</f>
        <v>0</v>
      </c>
      <c r="O10863" t="s">
        <v>20039</v>
      </c>
      <c r="Q10863" t="s">
        <v>389</v>
      </c>
      <c r="R10863" t="s">
        <v>21651</v>
      </c>
      <c r="S10863">
        <v>3286</v>
      </c>
    </row>
    <row r="10864" spans="1:19">
      <c r="A10864" t="s">
        <v>128</v>
      </c>
      <c r="B10864" t="s">
        <v>150</v>
      </c>
      <c r="C10864" t="s">
        <v>260</v>
      </c>
      <c r="D10864" t="s">
        <v>389</v>
      </c>
      <c r="F10864">
        <f>HYPERLINK("https://www.wikidata.org/wiki/Q97183536", "Q97183536")</f>
        <v>0</v>
      </c>
      <c r="G10864" t="s">
        <v>4570</v>
      </c>
      <c r="H10864" t="s">
        <v>8716</v>
      </c>
      <c r="I10864" t="s">
        <v>9385</v>
      </c>
      <c r="J10864" t="s">
        <v>15049</v>
      </c>
      <c r="K10864" t="s">
        <v>19374</v>
      </c>
      <c r="M10864">
        <f>HYPERLINK("https://www.senat.fr/senateur-3eme-republique/cherpin_charles1317r3.html", "cherpin_charles1317r3")</f>
        <v>0</v>
      </c>
      <c r="N10864">
        <f>HYPERLINK("https://www.wikidata.org/wiki/Q2958720", "Q2958720")</f>
        <v>0</v>
      </c>
      <c r="O10864" t="s">
        <v>19997</v>
      </c>
      <c r="Q10864" t="s">
        <v>389</v>
      </c>
      <c r="R10864" t="s">
        <v>19374</v>
      </c>
      <c r="S10864">
        <v>2139</v>
      </c>
    </row>
    <row r="10865" spans="1:19">
      <c r="A10865" t="s">
        <v>128</v>
      </c>
      <c r="B10865" t="s">
        <v>150</v>
      </c>
      <c r="C10865" t="s">
        <v>260</v>
      </c>
      <c r="D10865" t="s">
        <v>389</v>
      </c>
      <c r="F10865">
        <f>HYPERLINK("https://www.wikidata.org/wiki/Q97183536", "Q97183536")</f>
        <v>0</v>
      </c>
      <c r="G10865" t="s">
        <v>4571</v>
      </c>
      <c r="H10865" t="s">
        <v>8717</v>
      </c>
      <c r="I10865" t="s">
        <v>9474</v>
      </c>
      <c r="J10865" t="s">
        <v>15050</v>
      </c>
      <c r="K10865" t="s">
        <v>18019</v>
      </c>
      <c r="M10865">
        <f>HYPERLINK("https://www.senat.fr/senateur-3eme-republique/chavassieu_jean_baptiste1335r3.html", "chavassieu_jean_baptiste1335r3")</f>
        <v>0</v>
      </c>
      <c r="N10865">
        <f>HYPERLINK("https://www.wikidata.org/wiki/Q3163952", "Q3163952")</f>
        <v>0</v>
      </c>
      <c r="O10865" t="s">
        <v>19997</v>
      </c>
      <c r="Q10865" t="s">
        <v>389</v>
      </c>
      <c r="R10865" t="s">
        <v>21651</v>
      </c>
      <c r="S10865">
        <v>3286</v>
      </c>
    </row>
    <row r="10866" spans="1:19">
      <c r="A10866" t="s">
        <v>128</v>
      </c>
      <c r="B10866" t="s">
        <v>150</v>
      </c>
      <c r="C10866" t="s">
        <v>260</v>
      </c>
      <c r="D10866" t="s">
        <v>389</v>
      </c>
      <c r="F10866">
        <f>HYPERLINK("https://www.wikidata.org/wiki/Q97183536", "Q97183536")</f>
        <v>0</v>
      </c>
      <c r="G10866" t="s">
        <v>4475</v>
      </c>
      <c r="H10866" t="s">
        <v>8622</v>
      </c>
      <c r="I10866" t="s">
        <v>9455</v>
      </c>
      <c r="J10866" t="s">
        <v>14962</v>
      </c>
      <c r="K10866" t="s">
        <v>448</v>
      </c>
      <c r="M10866">
        <f>HYPERLINK("https://www.senat.fr/senateur-3eme-republique/arbel_lucien1344r3.html", "arbel_lucien1344r3")</f>
        <v>0</v>
      </c>
      <c r="N10866">
        <f>HYPERLINK("https://www.wikidata.org/wiki/Q3265342", "Q3265342")</f>
        <v>0</v>
      </c>
      <c r="O10866" t="s">
        <v>19997</v>
      </c>
      <c r="Q10866" t="s">
        <v>389</v>
      </c>
      <c r="R10866" t="s">
        <v>21650</v>
      </c>
      <c r="S10866">
        <v>24395</v>
      </c>
    </row>
    <row r="10867" spans="1:19">
      <c r="A10867" t="s">
        <v>128</v>
      </c>
      <c r="B10867" t="s">
        <v>150</v>
      </c>
      <c r="C10867" t="s">
        <v>260</v>
      </c>
      <c r="D10867" t="s">
        <v>389</v>
      </c>
      <c r="F10867">
        <f>HYPERLINK("https://www.wikidata.org/wiki/Q97183536", "Q97183536")</f>
        <v>0</v>
      </c>
      <c r="G10867" t="s">
        <v>4476</v>
      </c>
      <c r="H10867" t="s">
        <v>5593</v>
      </c>
      <c r="I10867" t="s">
        <v>9553</v>
      </c>
      <c r="J10867" t="s">
        <v>14963</v>
      </c>
      <c r="K10867" t="s">
        <v>19290</v>
      </c>
      <c r="M10867">
        <f>HYPERLINK("https://www.senat.fr/senateur-3eme-republique/de_lavrignais_alexandre1279r3.html", "de_lavrignais_alexandre1279r3")</f>
        <v>0</v>
      </c>
      <c r="N10867">
        <f>HYPERLINK("https://www.wikidata.org/wiki/Q2834191", "Q2834191")</f>
        <v>0</v>
      </c>
      <c r="O10867" t="s">
        <v>20023</v>
      </c>
      <c r="Q10867" t="s">
        <v>389</v>
      </c>
      <c r="R10867" t="s">
        <v>21650</v>
      </c>
      <c r="S10867">
        <v>24395</v>
      </c>
    </row>
    <row r="10868" spans="1:19">
      <c r="A10868" t="s">
        <v>128</v>
      </c>
      <c r="B10868" t="s">
        <v>150</v>
      </c>
      <c r="C10868" t="s">
        <v>260</v>
      </c>
      <c r="D10868" t="s">
        <v>389</v>
      </c>
      <c r="F10868">
        <f>HYPERLINK("https://www.wikidata.org/wiki/Q97183536", "Q97183536")</f>
        <v>0</v>
      </c>
      <c r="G10868" t="s">
        <v>4477</v>
      </c>
      <c r="H10868" t="s">
        <v>8623</v>
      </c>
      <c r="I10868" t="s">
        <v>9457</v>
      </c>
      <c r="J10868" t="s">
        <v>14964</v>
      </c>
      <c r="K10868" t="s">
        <v>19291</v>
      </c>
      <c r="M10868">
        <f>HYPERLINK("https://www.senat.fr/senateur-3eme-republique/baillardel_de_lareinty_henri1271r3.html", "baillardel_de_lareinty_henri1271r3")</f>
        <v>0</v>
      </c>
      <c r="N10868">
        <f>HYPERLINK("https://www.wikidata.org/wiki/Q3130604", "Q3130604")</f>
        <v>0</v>
      </c>
      <c r="O10868" t="s">
        <v>20023</v>
      </c>
      <c r="Q10868" t="s">
        <v>389</v>
      </c>
      <c r="R10868" t="s">
        <v>21651</v>
      </c>
      <c r="S10868">
        <v>3286</v>
      </c>
    </row>
    <row r="10869" spans="1:19">
      <c r="A10869" t="s">
        <v>128</v>
      </c>
      <c r="B10869" t="s">
        <v>150</v>
      </c>
      <c r="C10869" t="s">
        <v>260</v>
      </c>
      <c r="D10869" t="s">
        <v>389</v>
      </c>
      <c r="F10869">
        <f>HYPERLINK("https://www.wikidata.org/wiki/Q97183536", "Q97183536")</f>
        <v>0</v>
      </c>
      <c r="G10869" t="s">
        <v>4478</v>
      </c>
      <c r="H10869" t="s">
        <v>8624</v>
      </c>
      <c r="I10869" t="s">
        <v>6478</v>
      </c>
      <c r="J10869" t="s">
        <v>14965</v>
      </c>
      <c r="K10869" t="s">
        <v>19292</v>
      </c>
      <c r="M10869">
        <f>HYPERLINK("https://www.senat.fr/senateur-3eme-republique/espivent_de_la_villeboisnet_henry1275r3.html", "espivent_de_la_villeboisnet_henry1275r3")</f>
        <v>0</v>
      </c>
      <c r="N10869">
        <f>HYPERLINK("https://www.wikidata.org/wiki/Q3131054", "Q3131054")</f>
        <v>0</v>
      </c>
      <c r="O10869" t="s">
        <v>20023</v>
      </c>
      <c r="Q10869" t="s">
        <v>389</v>
      </c>
      <c r="R10869" t="s">
        <v>21651</v>
      </c>
      <c r="S10869">
        <v>3286</v>
      </c>
    </row>
    <row r="10870" spans="1:19">
      <c r="A10870" t="s">
        <v>128</v>
      </c>
      <c r="B10870" t="s">
        <v>150</v>
      </c>
      <c r="C10870" t="s">
        <v>260</v>
      </c>
      <c r="D10870" t="s">
        <v>389</v>
      </c>
      <c r="F10870">
        <f>HYPERLINK("https://www.wikidata.org/wiki/Q97183536", "Q97183536")</f>
        <v>0</v>
      </c>
      <c r="G10870" t="s">
        <v>4572</v>
      </c>
      <c r="H10870" t="s">
        <v>8718</v>
      </c>
      <c r="I10870" t="s">
        <v>11203</v>
      </c>
      <c r="J10870" t="s">
        <v>15051</v>
      </c>
      <c r="K10870" t="s">
        <v>491</v>
      </c>
      <c r="M10870">
        <f>HYPERLINK("https://www.senat.fr/senateur-3eme-republique/robert_de_massy_paul_alexandre0504r3.html", "robert_de_massy_paul_alexandre0504r3")</f>
        <v>0</v>
      </c>
      <c r="N10870">
        <f>HYPERLINK("https://www.wikidata.org/wiki/Q3370447", "Q3370447")</f>
        <v>0</v>
      </c>
      <c r="O10870" t="s">
        <v>19958</v>
      </c>
      <c r="Q10870" t="s">
        <v>389</v>
      </c>
      <c r="R10870" t="s">
        <v>21651</v>
      </c>
      <c r="S10870">
        <v>3286</v>
      </c>
    </row>
    <row r="10871" spans="1:19">
      <c r="A10871" t="s">
        <v>128</v>
      </c>
      <c r="B10871" t="s">
        <v>150</v>
      </c>
      <c r="C10871" t="s">
        <v>260</v>
      </c>
      <c r="D10871" t="s">
        <v>389</v>
      </c>
      <c r="F10871">
        <f>HYPERLINK("https://www.wikidata.org/wiki/Q97183536", "Q97183536")</f>
        <v>0</v>
      </c>
      <c r="G10871" t="s">
        <v>4479</v>
      </c>
      <c r="H10871" t="s">
        <v>8625</v>
      </c>
      <c r="I10871" t="s">
        <v>9401</v>
      </c>
      <c r="J10871" t="s">
        <v>13539</v>
      </c>
      <c r="K10871" t="s">
        <v>19293</v>
      </c>
      <c r="M10871">
        <f>HYPERLINK("https://www.senat.fr/senateur-3eme-republique/dumesnil_antoine0497r3.html", "dumesnil_antoine0497r3")</f>
        <v>0</v>
      </c>
      <c r="N10871">
        <f>HYPERLINK("https://www.wikidata.org/wiki/Q2853900", "Q2853900")</f>
        <v>0</v>
      </c>
      <c r="O10871" t="s">
        <v>19958</v>
      </c>
      <c r="Q10871" t="s">
        <v>389</v>
      </c>
      <c r="R10871" t="s">
        <v>21650</v>
      </c>
      <c r="S10871">
        <v>24395</v>
      </c>
    </row>
    <row r="10872" spans="1:19">
      <c r="A10872" t="s">
        <v>128</v>
      </c>
      <c r="B10872" t="s">
        <v>150</v>
      </c>
      <c r="C10872" t="s">
        <v>260</v>
      </c>
      <c r="D10872" t="s">
        <v>389</v>
      </c>
      <c r="F10872">
        <f>HYPERLINK("https://www.wikidata.org/wiki/Q97183536", "Q97183536")</f>
        <v>0</v>
      </c>
      <c r="G10872" t="s">
        <v>4573</v>
      </c>
      <c r="H10872" t="s">
        <v>8719</v>
      </c>
      <c r="I10872" t="s">
        <v>6166</v>
      </c>
      <c r="J10872" t="s">
        <v>15052</v>
      </c>
      <c r="K10872" t="s">
        <v>19375</v>
      </c>
      <c r="M10872">
        <f>HYPERLINK("https://www.senat.fr/senateur-3eme-republique/roques_francois0602r3.html", "roques_francois0602r3")</f>
        <v>0</v>
      </c>
      <c r="N10872">
        <f>HYPERLINK("https://www.wikidata.org/wiki/Q3085732", "Q3085732")</f>
        <v>0</v>
      </c>
      <c r="O10872" t="s">
        <v>19974</v>
      </c>
      <c r="Q10872" t="s">
        <v>389</v>
      </c>
      <c r="R10872" t="s">
        <v>19375</v>
      </c>
      <c r="S10872">
        <v>1401</v>
      </c>
    </row>
    <row r="10873" spans="1:19">
      <c r="A10873" t="s">
        <v>128</v>
      </c>
      <c r="B10873" t="s">
        <v>150</v>
      </c>
      <c r="C10873" t="s">
        <v>260</v>
      </c>
      <c r="D10873" t="s">
        <v>389</v>
      </c>
      <c r="F10873">
        <f>HYPERLINK("https://www.wikidata.org/wiki/Q97183536", "Q97183536")</f>
        <v>0</v>
      </c>
      <c r="G10873" t="s">
        <v>4574</v>
      </c>
      <c r="H10873" t="s">
        <v>8720</v>
      </c>
      <c r="I10873" t="s">
        <v>9388</v>
      </c>
      <c r="J10873" t="s">
        <v>15053</v>
      </c>
      <c r="K10873" t="s">
        <v>19376</v>
      </c>
      <c r="M10873">
        <f>HYPERLINK("https://www.senat.fr/senateur-3eme-republique/delord_paul0608r3.html", "delord_paul0608r3")</f>
        <v>0</v>
      </c>
      <c r="N10873">
        <f>HYPERLINK("https://www.wikidata.org/wiki/Q3371026", "Q3371026")</f>
        <v>0</v>
      </c>
      <c r="O10873" t="s">
        <v>19974</v>
      </c>
      <c r="Q10873" t="s">
        <v>389</v>
      </c>
      <c r="R10873" t="s">
        <v>19376</v>
      </c>
      <c r="S10873">
        <v>1543</v>
      </c>
    </row>
    <row r="10874" spans="1:19">
      <c r="A10874" t="s">
        <v>128</v>
      </c>
      <c r="B10874" t="s">
        <v>150</v>
      </c>
      <c r="C10874" t="s">
        <v>260</v>
      </c>
      <c r="D10874" t="s">
        <v>389</v>
      </c>
      <c r="F10874">
        <f>HYPERLINK("https://www.wikidata.org/wiki/Q97183536", "Q97183536")</f>
        <v>0</v>
      </c>
      <c r="G10874" t="s">
        <v>4575</v>
      </c>
      <c r="H10874" t="s">
        <v>8721</v>
      </c>
      <c r="I10874" t="s">
        <v>6495</v>
      </c>
      <c r="J10874" t="s">
        <v>15054</v>
      </c>
      <c r="K10874" t="s">
        <v>19377</v>
      </c>
      <c r="M10874">
        <f>HYPERLINK("https://www.senat.fr/senateur-3eme-republique/pons_louis0744r3.html", "pons_louis0744r3")</f>
        <v>0</v>
      </c>
      <c r="N10874">
        <f>HYPERLINK("https://www.wikidata.org/wiki/Q3262944", "Q3262944")</f>
        <v>0</v>
      </c>
      <c r="O10874" t="s">
        <v>20043</v>
      </c>
      <c r="Q10874" t="s">
        <v>389</v>
      </c>
      <c r="R10874" t="s">
        <v>21651</v>
      </c>
      <c r="S10874">
        <v>3286</v>
      </c>
    </row>
    <row r="10875" spans="1:19">
      <c r="A10875" t="s">
        <v>128</v>
      </c>
      <c r="B10875" t="s">
        <v>150</v>
      </c>
      <c r="C10875" t="s">
        <v>260</v>
      </c>
      <c r="D10875" t="s">
        <v>389</v>
      </c>
      <c r="F10875">
        <f>HYPERLINK("https://www.wikidata.org/wiki/Q97183536", "Q97183536")</f>
        <v>0</v>
      </c>
      <c r="G10875" t="s">
        <v>4348</v>
      </c>
      <c r="H10875" t="s">
        <v>8498</v>
      </c>
      <c r="I10875" t="s">
        <v>10037</v>
      </c>
      <c r="J10875" t="s">
        <v>14840</v>
      </c>
      <c r="K10875" t="s">
        <v>19182</v>
      </c>
      <c r="M10875">
        <f>HYPERLINK("https://www.senat.fr/senateur-3eme-republique/faye_etienne0733r3.html", "faye_etienne0733r3")</f>
        <v>0</v>
      </c>
      <c r="N10875">
        <f>HYPERLINK("https://www.wikidata.org/wiki/Q3271801", "Q3271801")</f>
        <v>0</v>
      </c>
      <c r="O10875" t="s">
        <v>20043</v>
      </c>
      <c r="Q10875" t="s">
        <v>389</v>
      </c>
      <c r="R10875" t="s">
        <v>21651</v>
      </c>
      <c r="S10875">
        <v>3286</v>
      </c>
    </row>
    <row r="10876" spans="1:19">
      <c r="A10876" t="s">
        <v>128</v>
      </c>
      <c r="B10876" t="s">
        <v>150</v>
      </c>
      <c r="C10876" t="s">
        <v>260</v>
      </c>
      <c r="D10876" t="s">
        <v>389</v>
      </c>
      <c r="F10876">
        <f>HYPERLINK("https://www.wikidata.org/wiki/Q97183536", "Q97183536")</f>
        <v>0</v>
      </c>
      <c r="G10876" t="s">
        <v>4576</v>
      </c>
      <c r="H10876" t="s">
        <v>8722</v>
      </c>
      <c r="I10876" t="s">
        <v>9465</v>
      </c>
      <c r="J10876" t="s">
        <v>15055</v>
      </c>
      <c r="K10876" t="s">
        <v>19378</v>
      </c>
      <c r="M10876">
        <f>HYPERLINK("https://www.senat.fr/senateur-3eme-republique/de_roziere_eugene0858r3.html", "de_roziere_eugene0858r3")</f>
        <v>0</v>
      </c>
      <c r="N10876">
        <f>HYPERLINK("https://www.wikidata.org/wiki/Q3060246", "Q3060246")</f>
        <v>0</v>
      </c>
      <c r="O10876" t="s">
        <v>20004</v>
      </c>
      <c r="Q10876" t="s">
        <v>389</v>
      </c>
      <c r="R10876" t="s">
        <v>21651</v>
      </c>
      <c r="S10876">
        <v>3286</v>
      </c>
    </row>
    <row r="10877" spans="1:19">
      <c r="A10877" t="s">
        <v>128</v>
      </c>
      <c r="B10877" t="s">
        <v>150</v>
      </c>
      <c r="C10877" t="s">
        <v>260</v>
      </c>
      <c r="D10877" t="s">
        <v>389</v>
      </c>
      <c r="F10877">
        <f>HYPERLINK("https://www.wikidata.org/wiki/Q97183536", "Q97183536")</f>
        <v>0</v>
      </c>
      <c r="G10877" t="s">
        <v>4577</v>
      </c>
      <c r="H10877" t="s">
        <v>8723</v>
      </c>
      <c r="I10877" t="s">
        <v>9451</v>
      </c>
      <c r="J10877" t="s">
        <v>15056</v>
      </c>
      <c r="K10877" t="s">
        <v>19379</v>
      </c>
      <c r="M10877">
        <f>HYPERLINK("https://www.senat.fr/senateur-3eme-republique/roussel_theophile0853r3.html", "roussel_theophile0853r3")</f>
        <v>0</v>
      </c>
      <c r="N10877">
        <f>HYPERLINK("https://www.wikidata.org/wiki/Q3526694", "Q3526694")</f>
        <v>0</v>
      </c>
      <c r="O10877" t="s">
        <v>20004</v>
      </c>
      <c r="Q10877" t="s">
        <v>389</v>
      </c>
      <c r="R10877" t="s">
        <v>21651</v>
      </c>
      <c r="S10877">
        <v>3286</v>
      </c>
    </row>
    <row r="10878" spans="1:19">
      <c r="A10878" t="s">
        <v>128</v>
      </c>
      <c r="B10878" t="s">
        <v>150</v>
      </c>
      <c r="C10878" t="s">
        <v>260</v>
      </c>
      <c r="D10878" t="s">
        <v>389</v>
      </c>
      <c r="F10878">
        <f>HYPERLINK("https://www.wikidata.org/wiki/Q97183536", "Q97183536")</f>
        <v>0</v>
      </c>
      <c r="G10878" t="s">
        <v>4480</v>
      </c>
      <c r="H10878" t="s">
        <v>8626</v>
      </c>
      <c r="I10878" t="s">
        <v>9681</v>
      </c>
      <c r="J10878" t="s">
        <v>14966</v>
      </c>
      <c r="K10878" t="s">
        <v>19294</v>
      </c>
      <c r="M10878">
        <f>HYPERLINK("https://www.senat.fr/senateur-3eme-republique/joubert_bonnaire_achille1156r3.html", "joubert_bonnaire_achille1156r3")</f>
        <v>0</v>
      </c>
      <c r="N10878">
        <f>HYPERLINK("https://www.wikidata.org/wiki/Q2823030", "Q2823030")</f>
        <v>0</v>
      </c>
      <c r="O10878" t="s">
        <v>19980</v>
      </c>
      <c r="Q10878" t="s">
        <v>389</v>
      </c>
      <c r="R10878" t="s">
        <v>21650</v>
      </c>
      <c r="S10878">
        <v>24395</v>
      </c>
    </row>
    <row r="10879" spans="1:19">
      <c r="A10879" t="s">
        <v>128</v>
      </c>
      <c r="B10879" t="s">
        <v>150</v>
      </c>
      <c r="C10879" t="s">
        <v>260</v>
      </c>
      <c r="D10879" t="s">
        <v>389</v>
      </c>
      <c r="F10879">
        <f>HYPERLINK("https://www.wikidata.org/wiki/Q97183536", "Q97183536")</f>
        <v>0</v>
      </c>
      <c r="G10879" t="s">
        <v>4481</v>
      </c>
      <c r="H10879" t="s">
        <v>8627</v>
      </c>
      <c r="I10879" t="s">
        <v>5528</v>
      </c>
      <c r="J10879" t="s">
        <v>13228</v>
      </c>
      <c r="K10879" t="s">
        <v>19295</v>
      </c>
      <c r="M10879">
        <f>HYPERLINK("https://www.senat.fr/senateur-3eme-republique/le_guay_leon1073r3.html", "le_guay_leon1073r3")</f>
        <v>0</v>
      </c>
      <c r="N10879">
        <f>HYPERLINK("https://www.wikidata.org/wiki/Q3271139", "Q3271139")</f>
        <v>0</v>
      </c>
      <c r="O10879" t="s">
        <v>19980</v>
      </c>
      <c r="Q10879" t="s">
        <v>389</v>
      </c>
      <c r="R10879" t="s">
        <v>21651</v>
      </c>
      <c r="S10879">
        <v>3286</v>
      </c>
    </row>
    <row r="10880" spans="1:19">
      <c r="A10880" t="s">
        <v>128</v>
      </c>
      <c r="B10880" t="s">
        <v>150</v>
      </c>
      <c r="C10880" t="s">
        <v>260</v>
      </c>
      <c r="D10880" t="s">
        <v>389</v>
      </c>
      <c r="F10880">
        <f>HYPERLINK("https://www.wikidata.org/wiki/Q97183536", "Q97183536")</f>
        <v>0</v>
      </c>
      <c r="G10880" t="s">
        <v>4578</v>
      </c>
      <c r="H10880" t="s">
        <v>8724</v>
      </c>
      <c r="I10880" t="s">
        <v>9457</v>
      </c>
      <c r="J10880" t="s">
        <v>15057</v>
      </c>
      <c r="K10880" t="s">
        <v>19380</v>
      </c>
      <c r="M10880">
        <f>HYPERLINK("https://www.senat.fr/senateur-3eme-republique/d_andigne_henri1058r3.html", "d_andigne_henri1058r3")</f>
        <v>0</v>
      </c>
      <c r="N10880">
        <f>HYPERLINK("https://www.wikidata.org/wiki/Q3132200", "Q3132200")</f>
        <v>0</v>
      </c>
      <c r="O10880" t="s">
        <v>19980</v>
      </c>
      <c r="Q10880" t="s">
        <v>389</v>
      </c>
      <c r="R10880" t="s">
        <v>21651</v>
      </c>
      <c r="S10880">
        <v>3286</v>
      </c>
    </row>
    <row r="10881" spans="1:19">
      <c r="A10881" t="s">
        <v>128</v>
      </c>
      <c r="B10881" t="s">
        <v>150</v>
      </c>
      <c r="C10881" t="s">
        <v>260</v>
      </c>
      <c r="D10881" t="s">
        <v>389</v>
      </c>
      <c r="F10881">
        <f>HYPERLINK("https://www.wikidata.org/wiki/Q97183536", "Q97183536")</f>
        <v>0</v>
      </c>
      <c r="G10881" t="s">
        <v>4579</v>
      </c>
      <c r="H10881" t="s">
        <v>8725</v>
      </c>
      <c r="I10881" t="s">
        <v>9449</v>
      </c>
      <c r="J10881" t="s">
        <v>15058</v>
      </c>
      <c r="K10881" t="s">
        <v>19381</v>
      </c>
      <c r="M10881">
        <f>HYPERLINK("https://www.senat.fr/senateur-3eme-republique/dufresne_jules1034r3.html", "dufresne_jules1034r3")</f>
        <v>0</v>
      </c>
      <c r="N10881">
        <f>HYPERLINK("https://www.wikidata.org/wiki/Q3188556", "Q3188556")</f>
        <v>0</v>
      </c>
      <c r="O10881" t="s">
        <v>19985</v>
      </c>
      <c r="Q10881" t="s">
        <v>389</v>
      </c>
      <c r="R10881" t="s">
        <v>19381</v>
      </c>
      <c r="S10881">
        <v>2278</v>
      </c>
    </row>
    <row r="10882" spans="1:19">
      <c r="A10882" t="s">
        <v>128</v>
      </c>
      <c r="B10882" t="s">
        <v>150</v>
      </c>
      <c r="C10882" t="s">
        <v>260</v>
      </c>
      <c r="D10882" t="s">
        <v>389</v>
      </c>
      <c r="F10882">
        <f>HYPERLINK("https://www.wikidata.org/wiki/Q97183536", "Q97183536")</f>
        <v>0</v>
      </c>
      <c r="G10882" t="s">
        <v>4580</v>
      </c>
      <c r="H10882" t="s">
        <v>8726</v>
      </c>
      <c r="I10882" t="s">
        <v>9389</v>
      </c>
      <c r="J10882" t="s">
        <v>15059</v>
      </c>
      <c r="K10882" t="s">
        <v>12674</v>
      </c>
      <c r="M10882">
        <f>HYPERLINK("https://www.senat.fr/senateur-3eme-republique/lenoel_emile1029r3.html", "lenoel_emile1029r3")</f>
        <v>0</v>
      </c>
      <c r="N10882">
        <f>HYPERLINK("https://www.wikidata.org/wiki/Q3588616", "Q3588616")</f>
        <v>0</v>
      </c>
      <c r="O10882" t="s">
        <v>19985</v>
      </c>
      <c r="Q10882" t="s">
        <v>389</v>
      </c>
      <c r="R10882" t="s">
        <v>21651</v>
      </c>
      <c r="S10882">
        <v>3286</v>
      </c>
    </row>
    <row r="10883" spans="1:19">
      <c r="A10883" t="s">
        <v>128</v>
      </c>
      <c r="B10883" t="s">
        <v>150</v>
      </c>
      <c r="C10883" t="s">
        <v>260</v>
      </c>
      <c r="D10883" t="s">
        <v>389</v>
      </c>
      <c r="F10883">
        <f>HYPERLINK("https://www.wikidata.org/wiki/Q97183536", "Q97183536")</f>
        <v>0</v>
      </c>
      <c r="G10883" t="s">
        <v>4581</v>
      </c>
      <c r="H10883" t="s">
        <v>8593</v>
      </c>
      <c r="I10883" t="s">
        <v>9449</v>
      </c>
      <c r="J10883" t="s">
        <v>15060</v>
      </c>
      <c r="K10883" t="s">
        <v>19382</v>
      </c>
      <c r="M10883">
        <f>HYPERLINK("https://www.senat.fr/senateur-3eme-republique/labiche_jules1040r3.html", "labiche_jules1040r3")</f>
        <v>0</v>
      </c>
      <c r="N10883">
        <f>HYPERLINK("https://www.wikidata.org/wiki/Q3188700", "Q3188700")</f>
        <v>0</v>
      </c>
      <c r="O10883" t="s">
        <v>19985</v>
      </c>
      <c r="Q10883" t="s">
        <v>389</v>
      </c>
      <c r="R10883" t="s">
        <v>21651</v>
      </c>
      <c r="S10883">
        <v>3286</v>
      </c>
    </row>
    <row r="10884" spans="1:19">
      <c r="A10884" t="s">
        <v>128</v>
      </c>
      <c r="B10884" t="s">
        <v>150</v>
      </c>
      <c r="C10884" t="s">
        <v>260</v>
      </c>
      <c r="D10884" t="s">
        <v>389</v>
      </c>
      <c r="F10884">
        <f>HYPERLINK("https://www.wikidata.org/wiki/Q97183536", "Q97183536")</f>
        <v>0</v>
      </c>
      <c r="G10884" t="s">
        <v>4582</v>
      </c>
      <c r="H10884" t="s">
        <v>8727</v>
      </c>
      <c r="I10884" t="s">
        <v>9818</v>
      </c>
      <c r="J10884" t="s">
        <v>15061</v>
      </c>
      <c r="K10884" t="s">
        <v>19383</v>
      </c>
      <c r="M10884">
        <f>HYPERLINK("https://www.senat.fr/senateur-3eme-republique/le_blond_desire0633r3.html", "le_blond_desire0633r3")</f>
        <v>0</v>
      </c>
      <c r="N10884">
        <f>HYPERLINK("https://www.wikidata.org/wiki/Q2370469", "Q2370469")</f>
        <v>0</v>
      </c>
      <c r="O10884" t="s">
        <v>20025</v>
      </c>
      <c r="Q10884" t="s">
        <v>389</v>
      </c>
      <c r="R10884" t="s">
        <v>19383</v>
      </c>
      <c r="S10884">
        <v>2754</v>
      </c>
    </row>
    <row r="10885" spans="1:19">
      <c r="A10885" t="s">
        <v>128</v>
      </c>
      <c r="B10885" t="s">
        <v>150</v>
      </c>
      <c r="C10885" t="s">
        <v>260</v>
      </c>
      <c r="D10885" t="s">
        <v>389</v>
      </c>
      <c r="F10885">
        <f>HYPERLINK("https://www.wikidata.org/wiki/Q97183536", "Q97183536")</f>
        <v>0</v>
      </c>
      <c r="G10885" t="s">
        <v>4482</v>
      </c>
      <c r="H10885" t="s">
        <v>8628</v>
      </c>
      <c r="I10885" t="s">
        <v>6200</v>
      </c>
      <c r="J10885" t="s">
        <v>14967</v>
      </c>
      <c r="K10885" t="s">
        <v>17797</v>
      </c>
      <c r="M10885">
        <f>HYPERLINK("https://www.senat.fr/senateur-3eme-republique/dauphinot_jean0637r3.html", "dauphinot_jean0637r3")</f>
        <v>0</v>
      </c>
      <c r="N10885">
        <f>HYPERLINK("https://www.wikidata.org/wiki/Q3484248", "Q3484248")</f>
        <v>0</v>
      </c>
      <c r="O10885" t="s">
        <v>20025</v>
      </c>
      <c r="Q10885" t="s">
        <v>389</v>
      </c>
      <c r="R10885" t="s">
        <v>21650</v>
      </c>
      <c r="S10885">
        <v>24395</v>
      </c>
    </row>
    <row r="10886" spans="1:19">
      <c r="A10886" t="s">
        <v>128</v>
      </c>
      <c r="B10886" t="s">
        <v>150</v>
      </c>
      <c r="C10886" t="s">
        <v>260</v>
      </c>
      <c r="D10886" t="s">
        <v>389</v>
      </c>
      <c r="F10886">
        <f>HYPERLINK("https://www.wikidata.org/wiki/Q97183536", "Q97183536")</f>
        <v>0</v>
      </c>
      <c r="G10886" t="s">
        <v>4529</v>
      </c>
      <c r="H10886" t="s">
        <v>8676</v>
      </c>
      <c r="I10886" t="s">
        <v>9407</v>
      </c>
      <c r="J10886" t="s">
        <v>15010</v>
      </c>
      <c r="K10886" t="s">
        <v>19338</v>
      </c>
      <c r="M10886">
        <f>HYPERLINK("https://www.senat.fr/senateur-3eme-republique/desmazes_joseph0696r3.html", "desmazes_joseph0696r3")</f>
        <v>0</v>
      </c>
      <c r="N10886">
        <f>HYPERLINK("https://www.wikidata.org/wiki/Q3184845", "Q3184845")</f>
        <v>0</v>
      </c>
      <c r="O10886" t="s">
        <v>20035</v>
      </c>
      <c r="Q10886" t="s">
        <v>389</v>
      </c>
      <c r="R10886" t="s">
        <v>21650</v>
      </c>
      <c r="S10886">
        <v>24395</v>
      </c>
    </row>
    <row r="10887" spans="1:19">
      <c r="A10887" t="s">
        <v>128</v>
      </c>
      <c r="B10887" t="s">
        <v>150</v>
      </c>
      <c r="C10887" t="s">
        <v>260</v>
      </c>
      <c r="D10887" t="s">
        <v>389</v>
      </c>
      <c r="F10887">
        <f>HYPERLINK("https://www.wikidata.org/wiki/Q97183536", "Q97183536")</f>
        <v>0</v>
      </c>
      <c r="G10887" t="s">
        <v>4483</v>
      </c>
      <c r="H10887" t="s">
        <v>8629</v>
      </c>
      <c r="I10887" t="s">
        <v>9516</v>
      </c>
      <c r="J10887" t="s">
        <v>14968</v>
      </c>
      <c r="K10887" t="s">
        <v>19296</v>
      </c>
      <c r="M10887">
        <f>HYPERLINK("https://www.senat.fr/senateur-3eme-republique/duboys_fresney_etienne0952r3.html", "duboys_fresney_etienne0952r3")</f>
        <v>0</v>
      </c>
      <c r="N10887">
        <f>HYPERLINK("https://www.wikidata.org/wiki/Q3592145", "Q3592145")</f>
        <v>0</v>
      </c>
      <c r="O10887" t="s">
        <v>19984</v>
      </c>
      <c r="Q10887" t="s">
        <v>389</v>
      </c>
      <c r="R10887" t="s">
        <v>21650</v>
      </c>
      <c r="S10887">
        <v>24395</v>
      </c>
    </row>
    <row r="10888" spans="1:19">
      <c r="A10888" t="s">
        <v>128</v>
      </c>
      <c r="B10888" t="s">
        <v>150</v>
      </c>
      <c r="C10888" t="s">
        <v>260</v>
      </c>
      <c r="D10888" t="s">
        <v>389</v>
      </c>
      <c r="F10888">
        <f>HYPERLINK("https://www.wikidata.org/wiki/Q97183536", "Q97183536")</f>
        <v>0</v>
      </c>
      <c r="G10888" t="s">
        <v>4583</v>
      </c>
      <c r="H10888" t="s">
        <v>8728</v>
      </c>
      <c r="I10888" t="s">
        <v>9421</v>
      </c>
      <c r="J10888" t="s">
        <v>15062</v>
      </c>
      <c r="K10888" t="s">
        <v>19384</v>
      </c>
      <c r="M10888">
        <f>HYPERLINK("https://www.senat.fr/senateur-3eme-republique/denis_gustave0956r3.html", "denis_gustave0956r3")</f>
        <v>0</v>
      </c>
      <c r="N10888">
        <f>HYPERLINK("https://www.wikidata.org/wiki/Q3121167", "Q3121167")</f>
        <v>0</v>
      </c>
      <c r="O10888" t="s">
        <v>19984</v>
      </c>
      <c r="Q10888" t="s">
        <v>389</v>
      </c>
      <c r="R10888" t="s">
        <v>13013</v>
      </c>
      <c r="S10888">
        <v>6572</v>
      </c>
    </row>
    <row r="10889" spans="1:19">
      <c r="A10889" t="s">
        <v>128</v>
      </c>
      <c r="B10889" t="s">
        <v>150</v>
      </c>
      <c r="C10889" t="s">
        <v>260</v>
      </c>
      <c r="D10889" t="s">
        <v>389</v>
      </c>
      <c r="F10889">
        <f>HYPERLINK("https://www.wikidata.org/wiki/Q97183536", "Q97183536")</f>
        <v>0</v>
      </c>
      <c r="G10889" t="s">
        <v>4289</v>
      </c>
      <c r="H10889" t="s">
        <v>8448</v>
      </c>
      <c r="I10889" t="s">
        <v>9457</v>
      </c>
      <c r="J10889" t="s">
        <v>14788</v>
      </c>
      <c r="K10889" t="s">
        <v>19132</v>
      </c>
      <c r="M10889">
        <f>HYPERLINK("https://www.senat.fr/senateur-3eme-republique/varroy_henry0928r3.html", "varroy_henry0928r3")</f>
        <v>0</v>
      </c>
      <c r="N10889">
        <f>HYPERLINK("https://www.wikidata.org/wiki/Q3132133", "Q3132133")</f>
        <v>0</v>
      </c>
      <c r="O10889" t="s">
        <v>20007</v>
      </c>
      <c r="Q10889" t="s">
        <v>389</v>
      </c>
      <c r="R10889" t="s">
        <v>21650</v>
      </c>
      <c r="S10889">
        <v>24395</v>
      </c>
    </row>
    <row r="10890" spans="1:19">
      <c r="A10890" t="s">
        <v>128</v>
      </c>
      <c r="B10890" t="s">
        <v>150</v>
      </c>
      <c r="C10890" t="s">
        <v>260</v>
      </c>
      <c r="D10890" t="s">
        <v>389</v>
      </c>
      <c r="F10890">
        <f>HYPERLINK("https://www.wikidata.org/wiki/Q97183536", "Q97183536")</f>
        <v>0</v>
      </c>
      <c r="G10890" t="s">
        <v>4584</v>
      </c>
      <c r="H10890" t="s">
        <v>8729</v>
      </c>
      <c r="I10890" t="s">
        <v>9552</v>
      </c>
      <c r="J10890" t="s">
        <v>15063</v>
      </c>
      <c r="K10890" t="s">
        <v>12774</v>
      </c>
      <c r="M10890">
        <f>HYPERLINK("https://www.senat.fr/senateur-3eme-republique/bernard_auguste0936r3.html", "bernard_auguste0936r3")</f>
        <v>0</v>
      </c>
      <c r="N10890">
        <f>HYPERLINK("https://www.wikidata.org/wiki/Q2871056", "Q2871056")</f>
        <v>0</v>
      </c>
      <c r="O10890" t="s">
        <v>20007</v>
      </c>
      <c r="Q10890" t="s">
        <v>389</v>
      </c>
      <c r="R10890" t="s">
        <v>12774</v>
      </c>
      <c r="S10890">
        <v>1687</v>
      </c>
    </row>
    <row r="10891" spans="1:19">
      <c r="A10891" t="s">
        <v>128</v>
      </c>
      <c r="B10891" t="s">
        <v>150</v>
      </c>
      <c r="C10891" t="s">
        <v>260</v>
      </c>
      <c r="D10891" t="s">
        <v>389</v>
      </c>
      <c r="F10891">
        <f>HYPERLINK("https://www.wikidata.org/wiki/Q97183536", "Q97183536")</f>
        <v>0</v>
      </c>
      <c r="G10891" t="s">
        <v>4585</v>
      </c>
      <c r="H10891" t="s">
        <v>8730</v>
      </c>
      <c r="I10891" t="s">
        <v>9552</v>
      </c>
      <c r="J10891" t="s">
        <v>15064</v>
      </c>
      <c r="K10891" t="s">
        <v>19385</v>
      </c>
      <c r="M10891">
        <f>HYPERLINK("https://www.senat.fr/senateur-3eme-republique/vivenot_auguste1011r3.html", "vivenot_auguste1011r3")</f>
        <v>0</v>
      </c>
      <c r="N10891">
        <f>HYPERLINK("https://www.wikidata.org/wiki/Q2871457", "Q2871457")</f>
        <v>0</v>
      </c>
      <c r="O10891" t="s">
        <v>20030</v>
      </c>
      <c r="Q10891" t="s">
        <v>389</v>
      </c>
      <c r="R10891" t="s">
        <v>19385</v>
      </c>
      <c r="S10891">
        <v>2140</v>
      </c>
    </row>
    <row r="10892" spans="1:19">
      <c r="A10892" t="s">
        <v>128</v>
      </c>
      <c r="B10892" t="s">
        <v>150</v>
      </c>
      <c r="C10892" t="s">
        <v>260</v>
      </c>
      <c r="D10892" t="s">
        <v>389</v>
      </c>
      <c r="F10892">
        <f>HYPERLINK("https://www.wikidata.org/wiki/Q97183536", "Q97183536")</f>
        <v>0</v>
      </c>
      <c r="G10892" t="s">
        <v>4586</v>
      </c>
      <c r="H10892" t="s">
        <v>8731</v>
      </c>
      <c r="I10892" t="s">
        <v>9552</v>
      </c>
      <c r="J10892" t="s">
        <v>15065</v>
      </c>
      <c r="K10892" t="s">
        <v>19386</v>
      </c>
      <c r="M10892">
        <f>HYPERLINK("https://www.senat.fr/senateur-3eme-republique/honnore_auguste1018r3.html", "honnore_auguste1018r3")</f>
        <v>0</v>
      </c>
      <c r="N10892">
        <f>HYPERLINK("https://www.wikidata.org/wiki/Q2871222", "Q2871222")</f>
        <v>0</v>
      </c>
      <c r="O10892" t="s">
        <v>20030</v>
      </c>
      <c r="Q10892" t="s">
        <v>389</v>
      </c>
      <c r="R10892" t="s">
        <v>19386</v>
      </c>
      <c r="S10892">
        <v>2676</v>
      </c>
    </row>
    <row r="10893" spans="1:19">
      <c r="A10893" t="s">
        <v>128</v>
      </c>
      <c r="B10893" t="s">
        <v>150</v>
      </c>
      <c r="C10893" t="s">
        <v>260</v>
      </c>
      <c r="D10893" t="s">
        <v>389</v>
      </c>
      <c r="F10893">
        <f>HYPERLINK("https://www.wikidata.org/wiki/Q97183536", "Q97183536")</f>
        <v>0</v>
      </c>
      <c r="G10893" t="s">
        <v>4484</v>
      </c>
      <c r="H10893" t="s">
        <v>8630</v>
      </c>
      <c r="I10893" t="s">
        <v>5812</v>
      </c>
      <c r="J10893" t="s">
        <v>14969</v>
      </c>
      <c r="K10893" t="s">
        <v>19297</v>
      </c>
      <c r="M10893">
        <f>HYPERLINK("https://www.senat.fr/senateur-3eme-republique/audren_de_kerdrel_vincent0893r3.html", "audren_de_kerdrel_vincent0893r3")</f>
        <v>0</v>
      </c>
      <c r="N10893">
        <f>HYPERLINK("https://www.wikidata.org/wiki/Q3559457", "Q3559457")</f>
        <v>0</v>
      </c>
      <c r="O10893" t="s">
        <v>19961</v>
      </c>
      <c r="Q10893" t="s">
        <v>389</v>
      </c>
      <c r="R10893" t="s">
        <v>21651</v>
      </c>
      <c r="S10893">
        <v>3286</v>
      </c>
    </row>
    <row r="10894" spans="1:19">
      <c r="A10894" t="s">
        <v>128</v>
      </c>
      <c r="B10894" t="s">
        <v>150</v>
      </c>
      <c r="C10894" t="s">
        <v>260</v>
      </c>
      <c r="D10894" t="s">
        <v>389</v>
      </c>
      <c r="F10894">
        <f>HYPERLINK("https://www.wikidata.org/wiki/Q97183536", "Q97183536")</f>
        <v>0</v>
      </c>
      <c r="G10894" t="s">
        <v>4587</v>
      </c>
      <c r="H10894" t="s">
        <v>8732</v>
      </c>
      <c r="I10894" t="s">
        <v>7790</v>
      </c>
      <c r="J10894" t="s">
        <v>15066</v>
      </c>
      <c r="K10894" t="s">
        <v>19387</v>
      </c>
      <c r="M10894">
        <f>HYPERLINK("https://www.senat.fr/senateur-3eme-republique/fresneau_armand0905r3.html", "fresneau_armand0905r3")</f>
        <v>0</v>
      </c>
      <c r="N10894">
        <f>HYPERLINK("https://www.wikidata.org/wiki/Q2861845", "Q2861845")</f>
        <v>0</v>
      </c>
      <c r="O10894" t="s">
        <v>19961</v>
      </c>
      <c r="Q10894" t="s">
        <v>389</v>
      </c>
      <c r="R10894" t="s">
        <v>21651</v>
      </c>
      <c r="S10894">
        <v>3286</v>
      </c>
    </row>
    <row r="10895" spans="1:19">
      <c r="A10895" t="s">
        <v>128</v>
      </c>
      <c r="B10895" t="s">
        <v>150</v>
      </c>
      <c r="C10895" t="s">
        <v>260</v>
      </c>
      <c r="D10895" t="s">
        <v>389</v>
      </c>
      <c r="F10895">
        <f>HYPERLINK("https://www.wikidata.org/wiki/Q97183536", "Q97183536")</f>
        <v>0</v>
      </c>
      <c r="G10895" t="s">
        <v>4485</v>
      </c>
      <c r="H10895" t="s">
        <v>8631</v>
      </c>
      <c r="I10895" t="s">
        <v>9385</v>
      </c>
      <c r="J10895" t="s">
        <v>14970</v>
      </c>
      <c r="K10895" t="s">
        <v>19298</v>
      </c>
      <c r="M10895">
        <f>HYPERLINK("https://www.senat.fr/senateur-3eme-republique/de_la_monneraye_charles0900r3.html", "de_la_monneraye_charles0900r3")</f>
        <v>0</v>
      </c>
      <c r="N10895">
        <f>HYPERLINK("https://www.wikidata.org/wiki/Q2960602", "Q2960602")</f>
        <v>0</v>
      </c>
      <c r="O10895" t="s">
        <v>19961</v>
      </c>
      <c r="Q10895" t="s">
        <v>389</v>
      </c>
      <c r="R10895" t="s">
        <v>21651</v>
      </c>
      <c r="S10895">
        <v>3286</v>
      </c>
    </row>
    <row r="10896" spans="1:19">
      <c r="A10896" t="s">
        <v>128</v>
      </c>
      <c r="B10896" t="s">
        <v>150</v>
      </c>
      <c r="C10896" t="s">
        <v>260</v>
      </c>
      <c r="D10896" t="s">
        <v>389</v>
      </c>
      <c r="F10896">
        <f>HYPERLINK("https://www.wikidata.org/wiki/Q97183536", "Q97183536")</f>
        <v>0</v>
      </c>
      <c r="G10896" t="s">
        <v>4588</v>
      </c>
      <c r="H10896" t="s">
        <v>8733</v>
      </c>
      <c r="I10896" t="s">
        <v>9516</v>
      </c>
      <c r="J10896" t="s">
        <v>15067</v>
      </c>
      <c r="K10896" t="s">
        <v>19388</v>
      </c>
      <c r="M10896">
        <f>HYPERLINK("https://www.senat.fr/senateur-3eme-republique/tenaille_saligny_etienne1234r3.html", "tenaille_saligny_etienne1234r3")</f>
        <v>0</v>
      </c>
      <c r="N10896">
        <f>HYPERLINK("https://www.wikidata.org/wiki/Q3592372", "Q3592372")</f>
        <v>0</v>
      </c>
      <c r="O10896" t="s">
        <v>20032</v>
      </c>
      <c r="Q10896" t="s">
        <v>389</v>
      </c>
      <c r="R10896" t="s">
        <v>21651</v>
      </c>
      <c r="S10896">
        <v>3286</v>
      </c>
    </row>
    <row r="10897" spans="1:19">
      <c r="A10897" t="s">
        <v>128</v>
      </c>
      <c r="B10897" t="s">
        <v>150</v>
      </c>
      <c r="C10897" t="s">
        <v>260</v>
      </c>
      <c r="D10897" t="s">
        <v>389</v>
      </c>
      <c r="F10897">
        <f>HYPERLINK("https://www.wikidata.org/wiki/Q97183536", "Q97183536")</f>
        <v>0</v>
      </c>
      <c r="G10897" t="s">
        <v>4589</v>
      </c>
      <c r="H10897" t="s">
        <v>8734</v>
      </c>
      <c r="I10897" t="s">
        <v>6200</v>
      </c>
      <c r="J10897" t="s">
        <v>15068</v>
      </c>
      <c r="K10897" t="s">
        <v>19389</v>
      </c>
      <c r="M10897">
        <f>HYPERLINK("https://www.senat.fr/senateur-3eme-republique/masse_jean1259r3.html", "masse_jean1259r3")</f>
        <v>0</v>
      </c>
      <c r="N10897">
        <f>HYPERLINK("https://www.wikidata.org/wiki/Q3173453", "Q3173453")</f>
        <v>0</v>
      </c>
      <c r="O10897" t="s">
        <v>20032</v>
      </c>
      <c r="Q10897" t="s">
        <v>389</v>
      </c>
      <c r="R10897" t="s">
        <v>21651</v>
      </c>
      <c r="S10897">
        <v>3286</v>
      </c>
    </row>
    <row r="10898" spans="1:19">
      <c r="A10898" t="s">
        <v>128</v>
      </c>
      <c r="B10898" t="s">
        <v>150</v>
      </c>
      <c r="C10898" t="s">
        <v>260</v>
      </c>
      <c r="D10898" t="s">
        <v>389</v>
      </c>
      <c r="F10898">
        <f>HYPERLINK("https://www.wikidata.org/wiki/Q97183536", "Q97183536")</f>
        <v>0</v>
      </c>
      <c r="G10898" t="s">
        <v>4590</v>
      </c>
      <c r="H10898" t="s">
        <v>8735</v>
      </c>
      <c r="I10898" t="s">
        <v>9449</v>
      </c>
      <c r="J10898" t="s">
        <v>15069</v>
      </c>
      <c r="K10898" t="s">
        <v>19390</v>
      </c>
      <c r="M10898">
        <f>HYPERLINK("https://www.senat.fr/senateur-3eme-republique/dutilleul_jules1376r3.html", "dutilleul_jules1376r3")</f>
        <v>0</v>
      </c>
      <c r="N10898">
        <f>HYPERLINK("https://www.wikidata.org/wiki/Q3188563", "Q3188563")</f>
        <v>0</v>
      </c>
      <c r="O10898" t="s">
        <v>20013</v>
      </c>
      <c r="Q10898" t="s">
        <v>389</v>
      </c>
      <c r="R10898" t="s">
        <v>19390</v>
      </c>
      <c r="S10898">
        <v>1685</v>
      </c>
    </row>
    <row r="10899" spans="1:19">
      <c r="A10899" t="s">
        <v>128</v>
      </c>
      <c r="B10899" t="s">
        <v>150</v>
      </c>
      <c r="C10899" t="s">
        <v>260</v>
      </c>
      <c r="D10899" t="s">
        <v>389</v>
      </c>
      <c r="F10899">
        <f>HYPERLINK("https://www.wikidata.org/wiki/Q97183536", "Q97183536")</f>
        <v>0</v>
      </c>
      <c r="G10899" t="s">
        <v>4591</v>
      </c>
      <c r="H10899" t="s">
        <v>8579</v>
      </c>
      <c r="I10899" t="s">
        <v>10485</v>
      </c>
      <c r="J10899" t="s">
        <v>15070</v>
      </c>
      <c r="K10899" t="s">
        <v>19391</v>
      </c>
      <c r="M10899">
        <f>HYPERLINK("https://www.senat.fr/senateur-3eme-republique/fournier_casimir1402r3.html", "fournier_casimir1402r3")</f>
        <v>0</v>
      </c>
      <c r="N10899">
        <f>HYPERLINK("https://www.wikidata.org/wiki/Q2941042", "Q2941042")</f>
        <v>0</v>
      </c>
      <c r="O10899" t="s">
        <v>20013</v>
      </c>
      <c r="Q10899" t="s">
        <v>389</v>
      </c>
      <c r="R10899" t="s">
        <v>19391</v>
      </c>
      <c r="S10899">
        <v>2996</v>
      </c>
    </row>
    <row r="10900" spans="1:19">
      <c r="A10900" t="s">
        <v>128</v>
      </c>
      <c r="B10900" t="s">
        <v>150</v>
      </c>
      <c r="C10900" t="s">
        <v>260</v>
      </c>
      <c r="D10900" t="s">
        <v>389</v>
      </c>
      <c r="F10900">
        <f>HYPERLINK("https://www.wikidata.org/wiki/Q97183536", "Q97183536")</f>
        <v>0</v>
      </c>
      <c r="G10900" t="s">
        <v>4592</v>
      </c>
      <c r="H10900" t="s">
        <v>8736</v>
      </c>
      <c r="I10900" t="s">
        <v>9389</v>
      </c>
      <c r="J10900" t="s">
        <v>15071</v>
      </c>
      <c r="K10900" t="s">
        <v>19392</v>
      </c>
      <c r="M10900">
        <f>HYPERLINK("https://www.senat.fr/senateur-3eme-republique/massiet_du_biest_emile1384r3.html", "massiet_du_biest_emile1384r3")</f>
        <v>0</v>
      </c>
      <c r="N10900">
        <f>HYPERLINK("https://www.wikidata.org/wiki/Q3588649", "Q3588649")</f>
        <v>0</v>
      </c>
      <c r="O10900" t="s">
        <v>20013</v>
      </c>
      <c r="Q10900" t="s">
        <v>389</v>
      </c>
      <c r="R10900" t="s">
        <v>21651</v>
      </c>
      <c r="S10900">
        <v>3286</v>
      </c>
    </row>
    <row r="10901" spans="1:19">
      <c r="A10901" t="s">
        <v>128</v>
      </c>
      <c r="B10901" t="s">
        <v>150</v>
      </c>
      <c r="C10901" t="s">
        <v>260</v>
      </c>
      <c r="D10901" t="s">
        <v>389</v>
      </c>
      <c r="F10901">
        <f>HYPERLINK("https://www.wikidata.org/wiki/Q97183536", "Q97183536")</f>
        <v>0</v>
      </c>
      <c r="G10901" t="s">
        <v>4593</v>
      </c>
      <c r="H10901" t="s">
        <v>8737</v>
      </c>
      <c r="I10901" t="s">
        <v>6495</v>
      </c>
      <c r="J10901" t="s">
        <v>15072</v>
      </c>
      <c r="K10901" t="s">
        <v>19393</v>
      </c>
      <c r="M10901">
        <f>HYPERLINK("https://www.senat.fr/senateur-3eme-republique/faidherbe_louis1391r3.html", "faidherbe_louis1391r3")</f>
        <v>0</v>
      </c>
      <c r="N10901">
        <f>HYPERLINK("https://www.wikidata.org/wiki/Q545751", "Q545751")</f>
        <v>0</v>
      </c>
      <c r="O10901" t="s">
        <v>20013</v>
      </c>
      <c r="Q10901" t="s">
        <v>389</v>
      </c>
      <c r="R10901" t="s">
        <v>21651</v>
      </c>
      <c r="S10901">
        <v>3286</v>
      </c>
    </row>
    <row r="10902" spans="1:19">
      <c r="A10902" t="s">
        <v>128</v>
      </c>
      <c r="B10902" t="s">
        <v>150</v>
      </c>
      <c r="C10902" t="s">
        <v>260</v>
      </c>
      <c r="D10902" t="s">
        <v>389</v>
      </c>
      <c r="F10902">
        <f>HYPERLINK("https://www.wikidata.org/wiki/Q97183536", "Q97183536")</f>
        <v>0</v>
      </c>
      <c r="G10902" t="s">
        <v>4594</v>
      </c>
      <c r="H10902" t="s">
        <v>8738</v>
      </c>
      <c r="I10902" t="s">
        <v>9385</v>
      </c>
      <c r="J10902" t="s">
        <v>15073</v>
      </c>
      <c r="K10902" t="s">
        <v>19394</v>
      </c>
      <c r="M10902">
        <f>HYPERLINK("https://www.senat.fr/senateur-3eme-republique/merlin_charles1398r3.html", "merlin_charles1398r3")</f>
        <v>0</v>
      </c>
      <c r="N10902">
        <f>HYPERLINK("https://www.wikidata.org/wiki/Q2959800", "Q2959800")</f>
        <v>0</v>
      </c>
      <c r="O10902" t="s">
        <v>20013</v>
      </c>
      <c r="Q10902" t="s">
        <v>389</v>
      </c>
      <c r="R10902" t="s">
        <v>21651</v>
      </c>
      <c r="S10902">
        <v>3286</v>
      </c>
    </row>
    <row r="10903" spans="1:19">
      <c r="A10903" t="s">
        <v>128</v>
      </c>
      <c r="B10903" t="s">
        <v>150</v>
      </c>
      <c r="C10903" t="s">
        <v>260</v>
      </c>
      <c r="D10903" t="s">
        <v>389</v>
      </c>
      <c r="F10903">
        <f>HYPERLINK("https://www.wikidata.org/wiki/Q97183536", "Q97183536")</f>
        <v>0</v>
      </c>
      <c r="G10903" t="s">
        <v>4486</v>
      </c>
      <c r="H10903" t="s">
        <v>8632</v>
      </c>
      <c r="I10903" t="s">
        <v>9407</v>
      </c>
      <c r="J10903" t="s">
        <v>14883</v>
      </c>
      <c r="K10903" t="s">
        <v>19299</v>
      </c>
      <c r="M10903">
        <f>HYPERLINK("https://www.senat.fr/senateur-3eme-republique/d_andlau_joseph0888r3.html", "d_andlau_joseph0888r3")</f>
        <v>0</v>
      </c>
      <c r="N10903">
        <f>HYPERLINK("https://www.wikidata.org/wiki/Q1495572", "Q1495572")</f>
        <v>0</v>
      </c>
      <c r="O10903" t="s">
        <v>19989</v>
      </c>
      <c r="Q10903" t="s">
        <v>389</v>
      </c>
      <c r="R10903" t="s">
        <v>21650</v>
      </c>
      <c r="S10903">
        <v>24395</v>
      </c>
    </row>
    <row r="10904" spans="1:19">
      <c r="A10904" t="s">
        <v>128</v>
      </c>
      <c r="B10904" t="s">
        <v>150</v>
      </c>
      <c r="C10904" t="s">
        <v>260</v>
      </c>
      <c r="D10904" t="s">
        <v>389</v>
      </c>
      <c r="F10904">
        <f>HYPERLINK("https://www.wikidata.org/wiki/Q97183536", "Q97183536")</f>
        <v>0</v>
      </c>
      <c r="G10904" t="s">
        <v>4595</v>
      </c>
      <c r="H10904" t="s">
        <v>8739</v>
      </c>
      <c r="I10904" t="s">
        <v>11204</v>
      </c>
      <c r="J10904" t="s">
        <v>15074</v>
      </c>
      <c r="K10904" t="s">
        <v>18724</v>
      </c>
      <c r="M10904">
        <f>HYPERLINK("https://www.senat.fr/senateur-3eme-republique/lagache_celestin0883r3.html", "lagache_celestin0883r3")</f>
        <v>0</v>
      </c>
      <c r="N10904">
        <f>HYPERLINK("https://www.wikidata.org/wiki/Q3010078", "Q3010078")</f>
        <v>0</v>
      </c>
      <c r="O10904" t="s">
        <v>19989</v>
      </c>
      <c r="Q10904" t="s">
        <v>389</v>
      </c>
      <c r="R10904" t="s">
        <v>21651</v>
      </c>
      <c r="S10904">
        <v>3286</v>
      </c>
    </row>
    <row r="10905" spans="1:19">
      <c r="A10905" t="s">
        <v>128</v>
      </c>
      <c r="B10905" t="s">
        <v>150</v>
      </c>
      <c r="C10905" t="s">
        <v>260</v>
      </c>
      <c r="D10905" t="s">
        <v>389</v>
      </c>
      <c r="F10905">
        <f>HYPERLINK("https://www.wikidata.org/wiki/Q97183536", "Q97183536")</f>
        <v>0</v>
      </c>
      <c r="G10905" t="s">
        <v>4596</v>
      </c>
      <c r="H10905" t="s">
        <v>8740</v>
      </c>
      <c r="I10905" t="s">
        <v>9388</v>
      </c>
      <c r="J10905" t="s">
        <v>15075</v>
      </c>
      <c r="K10905" t="s">
        <v>19395</v>
      </c>
      <c r="M10905">
        <f>HYPERLINK("https://www.senat.fr/senateur-3eme-republique/cuvinot_paul0878r3.html", "cuvinot_paul0878r3")</f>
        <v>0</v>
      </c>
      <c r="N10905">
        <f>HYPERLINK("https://www.wikidata.org/wiki/Q2415176", "Q2415176")</f>
        <v>0</v>
      </c>
      <c r="O10905" t="s">
        <v>19989</v>
      </c>
      <c r="Q10905" t="s">
        <v>389</v>
      </c>
      <c r="R10905" t="s">
        <v>21651</v>
      </c>
      <c r="S10905">
        <v>3286</v>
      </c>
    </row>
    <row r="10906" spans="1:19">
      <c r="A10906" t="s">
        <v>128</v>
      </c>
      <c r="B10906" t="s">
        <v>150</v>
      </c>
      <c r="C10906" t="s">
        <v>260</v>
      </c>
      <c r="D10906" t="s">
        <v>389</v>
      </c>
      <c r="F10906">
        <f>HYPERLINK("https://www.wikidata.org/wiki/Q97183536", "Q97183536")</f>
        <v>0</v>
      </c>
      <c r="G10906" t="s">
        <v>4597</v>
      </c>
      <c r="H10906" t="s">
        <v>8741</v>
      </c>
      <c r="I10906" t="s">
        <v>9474</v>
      </c>
      <c r="J10906" t="s">
        <v>15076</v>
      </c>
      <c r="K10906" t="s">
        <v>19396</v>
      </c>
      <c r="M10906">
        <f>HYPERLINK("https://www.senat.fr/senateur-3eme-republique/guyot_lavaline_jean_baptiste0992r3.html", "guyot_lavaline_jean_baptiste0992r3")</f>
        <v>0</v>
      </c>
      <c r="N10906">
        <f>HYPERLINK("https://www.wikidata.org/wiki/Q3164136", "Q3164136")</f>
        <v>0</v>
      </c>
      <c r="O10906" t="s">
        <v>20005</v>
      </c>
      <c r="Q10906" t="s">
        <v>389</v>
      </c>
      <c r="R10906" t="s">
        <v>21645</v>
      </c>
      <c r="S10906">
        <v>1098</v>
      </c>
    </row>
    <row r="10907" spans="1:19">
      <c r="A10907" t="s">
        <v>128</v>
      </c>
      <c r="B10907" t="s">
        <v>150</v>
      </c>
      <c r="C10907" t="s">
        <v>260</v>
      </c>
      <c r="D10907" t="s">
        <v>389</v>
      </c>
      <c r="F10907">
        <f>HYPERLINK("https://www.wikidata.org/wiki/Q97183536", "Q97183536")</f>
        <v>0</v>
      </c>
      <c r="G10907" t="s">
        <v>4598</v>
      </c>
      <c r="H10907" t="s">
        <v>8742</v>
      </c>
      <c r="I10907" t="s">
        <v>9458</v>
      </c>
      <c r="J10907" t="s">
        <v>15077</v>
      </c>
      <c r="K10907" t="s">
        <v>19397</v>
      </c>
      <c r="M10907">
        <f>HYPERLINK("https://www.senat.fr/senateur-3eme-republique/mathey_alfred1208r3.html", "mathey_alfred1208r3")</f>
        <v>0</v>
      </c>
      <c r="N10907">
        <f>HYPERLINK("https://www.wikidata.org/wiki/Q2835316", "Q2835316")</f>
        <v>0</v>
      </c>
      <c r="O10907" t="s">
        <v>19994</v>
      </c>
      <c r="Q10907" t="s">
        <v>389</v>
      </c>
      <c r="R10907" t="s">
        <v>21645</v>
      </c>
      <c r="S10907">
        <v>1098</v>
      </c>
    </row>
    <row r="10908" spans="1:19">
      <c r="A10908" t="s">
        <v>128</v>
      </c>
      <c r="B10908" t="s">
        <v>150</v>
      </c>
      <c r="C10908" t="s">
        <v>260</v>
      </c>
      <c r="D10908" t="s">
        <v>389</v>
      </c>
      <c r="F10908">
        <f>HYPERLINK("https://www.wikidata.org/wiki/Q97183536", "Q97183536")</f>
        <v>0</v>
      </c>
      <c r="G10908" t="s">
        <v>4257</v>
      </c>
      <c r="H10908" t="s">
        <v>8426</v>
      </c>
      <c r="I10908" t="s">
        <v>9385</v>
      </c>
      <c r="J10908" t="s">
        <v>14761</v>
      </c>
      <c r="K10908" t="s">
        <v>19106</v>
      </c>
      <c r="M10908">
        <f>HYPERLINK("https://www.senat.fr/senateur-3eme-republique/demole_charles1218r3.html", "demole_charles1218r3")</f>
        <v>0</v>
      </c>
      <c r="N10908">
        <f>HYPERLINK("https://www.wikidata.org/wiki/Q2958875", "Q2958875")</f>
        <v>0</v>
      </c>
      <c r="O10908" t="s">
        <v>19994</v>
      </c>
      <c r="Q10908" t="s">
        <v>389</v>
      </c>
      <c r="R10908" t="s">
        <v>21645</v>
      </c>
      <c r="S10908">
        <v>1098</v>
      </c>
    </row>
    <row r="10909" spans="1:19">
      <c r="A10909" t="s">
        <v>128</v>
      </c>
      <c r="B10909" t="s">
        <v>150</v>
      </c>
      <c r="C10909" t="s">
        <v>260</v>
      </c>
      <c r="D10909" t="s">
        <v>389</v>
      </c>
      <c r="F10909">
        <f>HYPERLINK("https://www.wikidata.org/wiki/Q97183536", "Q97183536")</f>
        <v>0</v>
      </c>
      <c r="G10909" t="s">
        <v>4599</v>
      </c>
      <c r="H10909" t="s">
        <v>8743</v>
      </c>
      <c r="I10909" t="s">
        <v>11205</v>
      </c>
      <c r="J10909" t="s">
        <v>15078</v>
      </c>
      <c r="K10909" t="s">
        <v>19398</v>
      </c>
      <c r="M10909">
        <f>HYPERLINK("https://www.senat.fr/senateur-3eme-republique/halgan_stephane1752r3.html", "halgan_stephane1752r3")</f>
        <v>0</v>
      </c>
      <c r="N10909">
        <f>HYPERLINK("https://www.wikidata.org/wiki/Q3501816", "Q3501816")</f>
        <v>0</v>
      </c>
      <c r="O10909" t="s">
        <v>19972</v>
      </c>
      <c r="Q10909" t="s">
        <v>389</v>
      </c>
      <c r="R10909" t="s">
        <v>21645</v>
      </c>
      <c r="S10909">
        <v>1098</v>
      </c>
    </row>
    <row r="10910" spans="1:19">
      <c r="A10910" t="s">
        <v>128</v>
      </c>
      <c r="B10910" t="s">
        <v>150</v>
      </c>
      <c r="C10910" t="s">
        <v>260</v>
      </c>
      <c r="D10910" t="s">
        <v>389</v>
      </c>
      <c r="F10910">
        <f>HYPERLINK("https://www.wikidata.org/wiki/Q97183536", "Q97183536")</f>
        <v>0</v>
      </c>
      <c r="G10910" t="s">
        <v>4523</v>
      </c>
      <c r="H10910" t="s">
        <v>8670</v>
      </c>
      <c r="I10910" t="s">
        <v>7419</v>
      </c>
      <c r="J10910" t="s">
        <v>15006</v>
      </c>
      <c r="K10910" t="s">
        <v>19332</v>
      </c>
      <c r="M10910">
        <f>HYPERLINK("https://www.senat.fr/senateur-3eme-republique/lucet_jacques0690r3.html", "lucet_jacques0690r3")</f>
        <v>0</v>
      </c>
      <c r="N10910">
        <f>HYPERLINK("https://www.wikidata.org/wiki/Q16026017", "Q16026017")</f>
        <v>0</v>
      </c>
      <c r="Q10910" t="s">
        <v>389</v>
      </c>
      <c r="R10910" t="s">
        <v>21650</v>
      </c>
      <c r="S10910">
        <v>24395</v>
      </c>
    </row>
    <row r="10911" spans="1:19">
      <c r="A10911" t="s">
        <v>128</v>
      </c>
      <c r="B10911" t="s">
        <v>150</v>
      </c>
      <c r="C10911" t="s">
        <v>260</v>
      </c>
      <c r="D10911" t="s">
        <v>389</v>
      </c>
      <c r="F10911">
        <f>HYPERLINK("https://www.wikidata.org/wiki/Q97183536", "Q97183536")</f>
        <v>0</v>
      </c>
      <c r="G10911" t="s">
        <v>4600</v>
      </c>
      <c r="H10911" t="s">
        <v>8744</v>
      </c>
      <c r="I10911" t="s">
        <v>9423</v>
      </c>
      <c r="J10911" t="s">
        <v>15079</v>
      </c>
      <c r="K10911" t="s">
        <v>19399</v>
      </c>
      <c r="M10911">
        <f>HYPERLINK("https://www.senat.fr/senateur-3eme-republique/de_bremond_d_ars_guillaume0388r3.html", "de_bremond_d_ars_guillaume0388r3")</f>
        <v>0</v>
      </c>
      <c r="N10911">
        <f>HYPERLINK("https://www.wikidata.org/wiki/Q3120288", "Q3120288")</f>
        <v>0</v>
      </c>
      <c r="O10911" t="s">
        <v>20031</v>
      </c>
      <c r="Q10911" t="s">
        <v>21000</v>
      </c>
      <c r="R10911" t="s">
        <v>21644</v>
      </c>
      <c r="S10911">
        <v>2169</v>
      </c>
    </row>
    <row r="10912" spans="1:19">
      <c r="A10912" t="s">
        <v>128</v>
      </c>
      <c r="B10912" t="s">
        <v>150</v>
      </c>
      <c r="C10912" t="s">
        <v>260</v>
      </c>
      <c r="D10912" t="s">
        <v>389</v>
      </c>
      <c r="F10912">
        <f>HYPERLINK("https://www.wikidata.org/wiki/Q97183536", "Q97183536")</f>
        <v>0</v>
      </c>
      <c r="G10912" t="s">
        <v>4288</v>
      </c>
      <c r="H10912" t="s">
        <v>8447</v>
      </c>
      <c r="I10912" t="s">
        <v>5948</v>
      </c>
      <c r="J10912" t="s">
        <v>14787</v>
      </c>
      <c r="K10912" t="s">
        <v>11881</v>
      </c>
      <c r="M10912">
        <f>HYPERLINK("https://www.senat.fr/senateur-3eme-republique/jaureguiberry_bernard1486r3.html", "jaureguiberry_bernard1486r3")</f>
        <v>0</v>
      </c>
      <c r="N10912">
        <f>HYPERLINK("https://www.wikidata.org/wiki/Q259435", "Q259435")</f>
        <v>0</v>
      </c>
      <c r="O10912" t="s">
        <v>20399</v>
      </c>
      <c r="Q10912" t="s">
        <v>21001</v>
      </c>
      <c r="R10912" t="s">
        <v>11881</v>
      </c>
      <c r="S10912">
        <v>3069</v>
      </c>
    </row>
    <row r="10913" spans="1:19">
      <c r="A10913" t="s">
        <v>128</v>
      </c>
      <c r="B10913" t="s">
        <v>150</v>
      </c>
      <c r="C10913" t="s">
        <v>260</v>
      </c>
      <c r="D10913" t="s">
        <v>389</v>
      </c>
      <c r="F10913">
        <f>HYPERLINK("https://www.wikidata.org/wiki/Q97183536", "Q97183536")</f>
        <v>0</v>
      </c>
      <c r="G10913" t="s">
        <v>4601</v>
      </c>
      <c r="H10913" t="s">
        <v>8745</v>
      </c>
      <c r="I10913" t="s">
        <v>9457</v>
      </c>
      <c r="J10913" t="s">
        <v>15080</v>
      </c>
      <c r="K10913" t="s">
        <v>19400</v>
      </c>
      <c r="M10913">
        <f>HYPERLINK("https://www.senat.fr/senateur-3eme-republique/gresley_henri1482r3.html", "gresley_henri1482r3")</f>
        <v>0</v>
      </c>
      <c r="N10913">
        <f>HYPERLINK("https://www.wikidata.org/wiki/Q1605837", "Q1605837")</f>
        <v>0</v>
      </c>
      <c r="O10913" t="s">
        <v>20399</v>
      </c>
      <c r="Q10913" t="s">
        <v>21001</v>
      </c>
      <c r="R10913" t="s">
        <v>19400</v>
      </c>
      <c r="S10913">
        <v>3993</v>
      </c>
    </row>
    <row r="10914" spans="1:19">
      <c r="A10914" t="s">
        <v>128</v>
      </c>
      <c r="B10914" t="s">
        <v>150</v>
      </c>
      <c r="C10914" t="s">
        <v>260</v>
      </c>
      <c r="D10914" t="s">
        <v>389</v>
      </c>
      <c r="F10914">
        <f>HYPERLINK("https://www.wikidata.org/wiki/Q97183536", "Q97183536")</f>
        <v>0</v>
      </c>
      <c r="G10914" t="s">
        <v>4602</v>
      </c>
      <c r="H10914" t="s">
        <v>8746</v>
      </c>
      <c r="I10914" t="s">
        <v>9407</v>
      </c>
      <c r="J10914" t="s">
        <v>15081</v>
      </c>
      <c r="K10914" t="s">
        <v>18015</v>
      </c>
      <c r="M10914">
        <f>HYPERLINK("https://www.senat.fr/senateur-3eme-republique/pietri_joseph0471r3.html", "pietri_joseph0471r3")</f>
        <v>0</v>
      </c>
      <c r="N10914">
        <f>HYPERLINK("https://www.wikidata.org/wiki/Q3185309", "Q3185309")</f>
        <v>0</v>
      </c>
      <c r="O10914" t="s">
        <v>19955</v>
      </c>
      <c r="Q10914" t="s">
        <v>21002</v>
      </c>
      <c r="R10914" t="s">
        <v>21644</v>
      </c>
      <c r="S10914">
        <v>2043</v>
      </c>
    </row>
    <row r="10915" spans="1:19">
      <c r="A10915" t="s">
        <v>128</v>
      </c>
      <c r="B10915" t="s">
        <v>150</v>
      </c>
      <c r="C10915" t="s">
        <v>260</v>
      </c>
      <c r="D10915" t="s">
        <v>389</v>
      </c>
      <c r="F10915">
        <f>HYPERLINK("https://www.wikidata.org/wiki/Q97183536", "Q97183536")</f>
        <v>0</v>
      </c>
      <c r="G10915" t="s">
        <v>4603</v>
      </c>
      <c r="H10915" t="s">
        <v>8747</v>
      </c>
      <c r="I10915" t="s">
        <v>6166</v>
      </c>
      <c r="J10915" t="s">
        <v>15082</v>
      </c>
      <c r="K10915" t="s">
        <v>19401</v>
      </c>
      <c r="M10915">
        <f>HYPERLINK("https://www.senat.fr/senateur-3eme-republique/canrobert_francois0394r3.html", "canrobert_francois0394r3")</f>
        <v>0</v>
      </c>
      <c r="N10915">
        <f>HYPERLINK("https://www.wikidata.org/wiki/Q551525", "Q551525")</f>
        <v>0</v>
      </c>
      <c r="O10915" t="s">
        <v>20031</v>
      </c>
      <c r="Q10915" t="s">
        <v>21003</v>
      </c>
      <c r="R10915" t="s">
        <v>21644</v>
      </c>
      <c r="S10915">
        <v>1903</v>
      </c>
    </row>
    <row r="10916" spans="1:19">
      <c r="A10916" t="s">
        <v>128</v>
      </c>
      <c r="B10916" t="s">
        <v>150</v>
      </c>
      <c r="C10916" t="s">
        <v>260</v>
      </c>
      <c r="D10916" t="s">
        <v>389</v>
      </c>
      <c r="F10916">
        <f>HYPERLINK("https://www.wikidata.org/wiki/Q97183536", "Q97183536")</f>
        <v>0</v>
      </c>
      <c r="G10916" t="s">
        <v>4604</v>
      </c>
      <c r="H10916" t="s">
        <v>8748</v>
      </c>
      <c r="I10916" t="s">
        <v>6175</v>
      </c>
      <c r="J10916" t="s">
        <v>13548</v>
      </c>
      <c r="K10916" t="s">
        <v>19402</v>
      </c>
      <c r="M10916">
        <f>HYPERLINK("https://www.senat.fr/senateur-3eme-republique/guiffrey_georges0073r3.html", "guiffrey_georges0073r3")</f>
        <v>0</v>
      </c>
      <c r="N10916">
        <f>HYPERLINK("https://www.wikidata.org/wiki/Q3102821", "Q3102821")</f>
        <v>0</v>
      </c>
      <c r="O10916" t="s">
        <v>19981</v>
      </c>
      <c r="Q10916" t="s">
        <v>21003</v>
      </c>
      <c r="R10916" t="s">
        <v>21644</v>
      </c>
      <c r="S10916">
        <v>1903</v>
      </c>
    </row>
    <row r="10917" spans="1:19">
      <c r="A10917" t="s">
        <v>128</v>
      </c>
      <c r="B10917" t="s">
        <v>150</v>
      </c>
      <c r="C10917" t="s">
        <v>260</v>
      </c>
      <c r="D10917" t="s">
        <v>389</v>
      </c>
      <c r="F10917">
        <f>HYPERLINK("https://www.wikidata.org/wiki/Q97183536", "Q97183536")</f>
        <v>0</v>
      </c>
      <c r="G10917" t="s">
        <v>4605</v>
      </c>
      <c r="H10917" t="s">
        <v>8749</v>
      </c>
      <c r="I10917" t="s">
        <v>9474</v>
      </c>
      <c r="J10917" t="s">
        <v>15083</v>
      </c>
      <c r="K10917" t="s">
        <v>19403</v>
      </c>
      <c r="M10917">
        <f>HYPERLINK("https://www.senat.fr/senateur-3eme-republique/ninard_jean_baptiste1783r3.html", "ninard_jean_baptiste1783r3")</f>
        <v>0</v>
      </c>
      <c r="N10917">
        <f>HYPERLINK("https://www.wikidata.org/wiki/Q3164315", "Q3164315")</f>
        <v>0</v>
      </c>
      <c r="O10917" t="s">
        <v>19977</v>
      </c>
      <c r="Q10917" t="s">
        <v>12134</v>
      </c>
      <c r="R10917" t="s">
        <v>21645</v>
      </c>
      <c r="S10917">
        <v>720</v>
      </c>
    </row>
    <row r="10918" spans="1:19">
      <c r="A10918" t="s">
        <v>128</v>
      </c>
      <c r="B10918" t="s">
        <v>150</v>
      </c>
      <c r="C10918" t="s">
        <v>260</v>
      </c>
      <c r="D10918" t="s">
        <v>389</v>
      </c>
      <c r="F10918">
        <f>HYPERLINK("https://www.wikidata.org/wiki/Q97183536", "Q97183536")</f>
        <v>0</v>
      </c>
      <c r="G10918" t="s">
        <v>4606</v>
      </c>
      <c r="H10918" t="s">
        <v>8750</v>
      </c>
      <c r="I10918" t="s">
        <v>11206</v>
      </c>
      <c r="J10918" t="s">
        <v>15084</v>
      </c>
      <c r="K10918" t="s">
        <v>19404</v>
      </c>
      <c r="M10918">
        <f>HYPERLINK("https://www.senat.fr/senateur-3eme-republique/lemoinne_john1500r3.html", "lemoinne_john1500r3")</f>
        <v>0</v>
      </c>
      <c r="N10918">
        <f>HYPERLINK("https://www.wikidata.org/wiki/Q354382", "Q354382")</f>
        <v>0</v>
      </c>
      <c r="O10918" t="s">
        <v>20399</v>
      </c>
      <c r="Q10918" t="s">
        <v>12876</v>
      </c>
      <c r="R10918" t="s">
        <v>19404</v>
      </c>
      <c r="S10918">
        <v>4677</v>
      </c>
    </row>
    <row r="10919" spans="1:19">
      <c r="A10919" t="s">
        <v>128</v>
      </c>
      <c r="B10919" t="s">
        <v>150</v>
      </c>
      <c r="C10919" t="s">
        <v>260</v>
      </c>
      <c r="D10919" t="s">
        <v>389</v>
      </c>
      <c r="F10919">
        <f>HYPERLINK("https://www.wikidata.org/wiki/Q97183536", "Q97183536")</f>
        <v>0</v>
      </c>
      <c r="G10919" t="s">
        <v>4607</v>
      </c>
      <c r="H10919" t="s">
        <v>8751</v>
      </c>
      <c r="I10919" t="s">
        <v>6584</v>
      </c>
      <c r="J10919" t="s">
        <v>15085</v>
      </c>
      <c r="K10919" t="s">
        <v>19405</v>
      </c>
      <c r="M10919">
        <f>HYPERLINK("https://www.senat.fr/senateur-3eme-republique/grevy_albert1483r3.html", "grevy_albert1483r3")</f>
        <v>0</v>
      </c>
      <c r="N10919">
        <f>HYPERLINK("https://www.wikidata.org/wiki/Q2831215", "Q2831215")</f>
        <v>0</v>
      </c>
      <c r="O10919" t="s">
        <v>20399</v>
      </c>
      <c r="Q10919" t="s">
        <v>21004</v>
      </c>
      <c r="R10919" t="s">
        <v>19405</v>
      </c>
      <c r="S10919">
        <v>7065</v>
      </c>
    </row>
    <row r="10920" spans="1:19">
      <c r="A10920" t="s">
        <v>128</v>
      </c>
      <c r="B10920" t="s">
        <v>150</v>
      </c>
      <c r="C10920" t="s">
        <v>260</v>
      </c>
      <c r="D10920" t="s">
        <v>389</v>
      </c>
      <c r="F10920">
        <f>HYPERLINK("https://www.wikidata.org/wiki/Q97183536", "Q97183536")</f>
        <v>0</v>
      </c>
      <c r="G10920" t="s">
        <v>3442</v>
      </c>
      <c r="H10920" t="s">
        <v>7819</v>
      </c>
      <c r="I10920" t="s">
        <v>6731</v>
      </c>
      <c r="J10920" t="s">
        <v>14046</v>
      </c>
      <c r="K10920" t="s">
        <v>18414</v>
      </c>
      <c r="L10920">
        <f>HYPERLINK("https://www2.assemblee-nationale.fr/sycomore/fiche/(num_dept)/3104", "3104")</f>
        <v>0</v>
      </c>
      <c r="M10920">
        <f>HYPERLINK("https://www.senat.fr/senateur-3eme-republique/de_fourtou_marie0654r3.html", "de_fourtou_marie0654r3")</f>
        <v>0</v>
      </c>
      <c r="N10920">
        <f>HYPERLINK("https://www.wikidata.org/wiki/Q330554", "Q330554")</f>
        <v>0</v>
      </c>
      <c r="O10920" t="s">
        <v>20010</v>
      </c>
      <c r="Q10920" t="s">
        <v>21005</v>
      </c>
      <c r="R10920" t="s">
        <v>21644</v>
      </c>
      <c r="S10920">
        <v>1784</v>
      </c>
    </row>
    <row r="10921" spans="1:19">
      <c r="A10921" t="s">
        <v>128</v>
      </c>
      <c r="B10921" t="s">
        <v>150</v>
      </c>
      <c r="C10921" t="s">
        <v>260</v>
      </c>
      <c r="D10921" t="s">
        <v>389</v>
      </c>
      <c r="F10921">
        <f>HYPERLINK("https://www.wikidata.org/wiki/Q97183536", "Q97183536")</f>
        <v>0</v>
      </c>
      <c r="G10921" t="s">
        <v>4608</v>
      </c>
      <c r="H10921" t="s">
        <v>8752</v>
      </c>
      <c r="I10921" t="s">
        <v>9474</v>
      </c>
      <c r="J10921" t="s">
        <v>15086</v>
      </c>
      <c r="K10921" t="s">
        <v>19406</v>
      </c>
      <c r="M10921">
        <f>HYPERLINK("https://www.senat.fr/senateur-3eme-republique/de_bosredon_jean_baptiste0666r3.html", "de_bosredon_jean_baptiste0666r3")</f>
        <v>0</v>
      </c>
      <c r="N10921">
        <f>HYPERLINK("https://www.wikidata.org/wiki/Q2834163", "Q2834163")</f>
        <v>0</v>
      </c>
      <c r="O10921" t="s">
        <v>20010</v>
      </c>
      <c r="Q10921" t="s">
        <v>21005</v>
      </c>
      <c r="R10921" t="s">
        <v>21644</v>
      </c>
      <c r="S10921">
        <v>1784</v>
      </c>
    </row>
    <row r="10922" spans="1:19">
      <c r="A10922" t="s">
        <v>128</v>
      </c>
      <c r="B10922" t="s">
        <v>150</v>
      </c>
      <c r="C10922" t="s">
        <v>260</v>
      </c>
      <c r="D10922" t="s">
        <v>389</v>
      </c>
      <c r="F10922">
        <f>HYPERLINK("https://www.wikidata.org/wiki/Q97183536", "Q97183536")</f>
        <v>0</v>
      </c>
      <c r="G10922" t="s">
        <v>4609</v>
      </c>
      <c r="H10922" t="s">
        <v>8753</v>
      </c>
      <c r="I10922" t="s">
        <v>7140</v>
      </c>
      <c r="J10922" t="s">
        <v>15087</v>
      </c>
      <c r="K10922" t="s">
        <v>19407</v>
      </c>
      <c r="M10922">
        <f>HYPERLINK("https://www.senat.fr/senateur-3eme-republique/vallier_germain1140r3.html", "vallier_germain1140r3")</f>
        <v>0</v>
      </c>
      <c r="N10922">
        <f>HYPERLINK("https://www.wikidata.org/wiki/Q3104146", "Q3104146")</f>
        <v>0</v>
      </c>
      <c r="O10922" t="s">
        <v>19965</v>
      </c>
      <c r="Q10922" t="s">
        <v>21006</v>
      </c>
      <c r="R10922" t="s">
        <v>21645</v>
      </c>
      <c r="S10922">
        <v>664</v>
      </c>
    </row>
    <row r="10923" spans="1:19">
      <c r="A10923" t="s">
        <v>128</v>
      </c>
      <c r="B10923" t="s">
        <v>150</v>
      </c>
      <c r="C10923" t="s">
        <v>260</v>
      </c>
      <c r="D10923" t="s">
        <v>389</v>
      </c>
      <c r="F10923">
        <f>HYPERLINK("https://www.wikidata.org/wiki/Q97183536", "Q97183536")</f>
        <v>0</v>
      </c>
      <c r="G10923" t="s">
        <v>4291</v>
      </c>
      <c r="H10923" t="s">
        <v>8450</v>
      </c>
      <c r="I10923" t="s">
        <v>9728</v>
      </c>
      <c r="J10923" t="s">
        <v>14790</v>
      </c>
      <c r="K10923" t="s">
        <v>19134</v>
      </c>
      <c r="M10923">
        <f>HYPERLINK("https://www.senat.fr/senateur-3eme-republique/millaud_edouard1120r3.html", "millaud_edouard1120r3")</f>
        <v>0</v>
      </c>
      <c r="N10923">
        <f>HYPERLINK("https://www.wikidata.org/wiki/Q3579963", "Q3579963")</f>
        <v>0</v>
      </c>
      <c r="O10923" t="s">
        <v>19965</v>
      </c>
      <c r="Q10923" t="s">
        <v>21006</v>
      </c>
      <c r="R10923" t="s">
        <v>21645</v>
      </c>
      <c r="S10923">
        <v>664</v>
      </c>
    </row>
    <row r="10924" spans="1:19">
      <c r="A10924" t="s">
        <v>128</v>
      </c>
      <c r="B10924" t="s">
        <v>150</v>
      </c>
      <c r="C10924" t="s">
        <v>260</v>
      </c>
      <c r="D10924" t="s">
        <v>389</v>
      </c>
      <c r="F10924">
        <f>HYPERLINK("https://www.wikidata.org/wiki/Q97183536", "Q97183536")</f>
        <v>0</v>
      </c>
      <c r="G10924" t="s">
        <v>4610</v>
      </c>
      <c r="H10924" t="s">
        <v>8754</v>
      </c>
      <c r="I10924" t="s">
        <v>9421</v>
      </c>
      <c r="J10924" t="s">
        <v>14013</v>
      </c>
      <c r="K10924" t="s">
        <v>19408</v>
      </c>
      <c r="M10924">
        <f>HYPERLINK("https://www.senat.fr/senateur-3eme-republique/gailly_gustave0167r3.html", "gailly_gustave0167r3")</f>
        <v>0</v>
      </c>
      <c r="N10924">
        <f>HYPERLINK("https://www.wikidata.org/wiki/Q3121193", "Q3121193")</f>
        <v>0</v>
      </c>
      <c r="O10924" t="s">
        <v>19959</v>
      </c>
      <c r="Q10924" t="s">
        <v>21007</v>
      </c>
      <c r="R10924" t="s">
        <v>21644</v>
      </c>
      <c r="S10924">
        <v>1721</v>
      </c>
    </row>
    <row r="10925" spans="1:19">
      <c r="A10925" t="s">
        <v>128</v>
      </c>
      <c r="B10925" t="s">
        <v>150</v>
      </c>
      <c r="C10925" t="s">
        <v>260</v>
      </c>
      <c r="D10925" t="s">
        <v>389</v>
      </c>
      <c r="F10925">
        <f>HYPERLINK("https://www.wikidata.org/wiki/Q97183536", "Q97183536")</f>
        <v>0</v>
      </c>
      <c r="G10925" t="s">
        <v>4611</v>
      </c>
      <c r="H10925" t="s">
        <v>8755</v>
      </c>
      <c r="I10925" t="s">
        <v>5765</v>
      </c>
      <c r="J10925" t="s">
        <v>15088</v>
      </c>
      <c r="K10925" t="s">
        <v>19409</v>
      </c>
      <c r="M10925">
        <f>HYPERLINK("https://www.senat.fr/senateur-3eme-republique/parent_nicolas1299r3.html", "parent_nicolas1299r3")</f>
        <v>0</v>
      </c>
      <c r="N10925">
        <f>HYPERLINK("https://www.wikidata.org/wiki/Q3340651", "Q3340651")</f>
        <v>0</v>
      </c>
      <c r="O10925" t="s">
        <v>19988</v>
      </c>
      <c r="Q10925" t="s">
        <v>21008</v>
      </c>
      <c r="R10925" t="s">
        <v>21645</v>
      </c>
      <c r="S10925">
        <v>573</v>
      </c>
    </row>
    <row r="10926" spans="1:19">
      <c r="A10926" t="s">
        <v>128</v>
      </c>
      <c r="B10926" t="s">
        <v>150</v>
      </c>
      <c r="C10926" t="s">
        <v>260</v>
      </c>
      <c r="D10926" t="s">
        <v>389</v>
      </c>
      <c r="F10926">
        <f>HYPERLINK("https://www.wikidata.org/wiki/Q97183536", "Q97183536")</f>
        <v>0</v>
      </c>
      <c r="G10926" t="s">
        <v>4612</v>
      </c>
      <c r="H10926" t="s">
        <v>8751</v>
      </c>
      <c r="I10926" t="s">
        <v>9388</v>
      </c>
      <c r="J10926" t="s">
        <v>13813</v>
      </c>
      <c r="K10926" t="s">
        <v>19410</v>
      </c>
      <c r="M10926">
        <f>HYPERLINK("https://www.senat.fr/senateur-3eme-republique/grevy_paul0427r3.html", "grevy_paul0427r3")</f>
        <v>0</v>
      </c>
      <c r="N10926">
        <f>HYPERLINK("https://www.wikidata.org/wiki/Q3371376", "Q3371376")</f>
        <v>0</v>
      </c>
      <c r="O10926" t="s">
        <v>20041</v>
      </c>
      <c r="Q10926" t="s">
        <v>21009</v>
      </c>
      <c r="R10926" t="s">
        <v>21651</v>
      </c>
      <c r="S10926">
        <v>2698</v>
      </c>
    </row>
    <row r="10927" spans="1:19">
      <c r="A10927" t="s">
        <v>128</v>
      </c>
      <c r="B10927" t="s">
        <v>150</v>
      </c>
      <c r="C10927" t="s">
        <v>260</v>
      </c>
      <c r="D10927" t="s">
        <v>389</v>
      </c>
      <c r="F10927">
        <f>HYPERLINK("https://www.wikidata.org/wiki/Q97183536", "Q97183536")</f>
        <v>0</v>
      </c>
      <c r="G10927" t="s">
        <v>4613</v>
      </c>
      <c r="H10927" t="s">
        <v>8756</v>
      </c>
      <c r="I10927" t="s">
        <v>11207</v>
      </c>
      <c r="J10927" t="s">
        <v>15089</v>
      </c>
      <c r="K10927" t="s">
        <v>19411</v>
      </c>
      <c r="M10927">
        <f>HYPERLINK("https://www.senat.fr/senateur-3eme-republique/duval_silvain0582r3.html", "duval_silvain0582r3")</f>
        <v>0</v>
      </c>
      <c r="N10927">
        <f>HYPERLINK("https://www.wikidata.org/wiki/Q3483947", "Q3483947")</f>
        <v>0</v>
      </c>
      <c r="O10927" t="s">
        <v>19964</v>
      </c>
      <c r="Q10927" t="s">
        <v>21010</v>
      </c>
      <c r="R10927" t="s">
        <v>19411</v>
      </c>
      <c r="S10927">
        <v>1047</v>
      </c>
    </row>
    <row r="10928" spans="1:19">
      <c r="A10928" t="s">
        <v>128</v>
      </c>
      <c r="B10928" t="s">
        <v>150</v>
      </c>
      <c r="C10928" t="s">
        <v>260</v>
      </c>
      <c r="D10928" t="s">
        <v>389</v>
      </c>
      <c r="F10928">
        <f>HYPERLINK("https://www.wikidata.org/wiki/Q97183536", "Q97183536")</f>
        <v>0</v>
      </c>
      <c r="G10928" t="s">
        <v>4614</v>
      </c>
      <c r="H10928" t="s">
        <v>8757</v>
      </c>
      <c r="I10928" t="s">
        <v>9457</v>
      </c>
      <c r="J10928" t="s">
        <v>15090</v>
      </c>
      <c r="K10928" t="s">
        <v>19412</v>
      </c>
      <c r="M10928">
        <f>HYPERLINK("https://www.senat.fr/senateur-3eme-republique/de_carne_henri0565r3.html", "de_carne_henri0565r3")</f>
        <v>0</v>
      </c>
      <c r="N10928">
        <f>HYPERLINK("https://www.wikidata.org/wiki/Q3132234", "Q3132234")</f>
        <v>0</v>
      </c>
      <c r="O10928" t="s">
        <v>19964</v>
      </c>
      <c r="Q10928" t="s">
        <v>21010</v>
      </c>
      <c r="R10928" t="s">
        <v>21644</v>
      </c>
      <c r="S10928">
        <v>1567</v>
      </c>
    </row>
    <row r="10929" spans="1:19">
      <c r="A10929" t="s">
        <v>128</v>
      </c>
      <c r="B10929" t="s">
        <v>150</v>
      </c>
      <c r="C10929" t="s">
        <v>260</v>
      </c>
      <c r="D10929" t="s">
        <v>389</v>
      </c>
      <c r="F10929">
        <f>HYPERLINK("https://www.wikidata.org/wiki/Q97183536", "Q97183536")</f>
        <v>0</v>
      </c>
      <c r="G10929" t="s">
        <v>4615</v>
      </c>
      <c r="H10929" t="s">
        <v>8758</v>
      </c>
      <c r="I10929" t="s">
        <v>9907</v>
      </c>
      <c r="J10929" t="s">
        <v>15091</v>
      </c>
      <c r="K10929" t="s">
        <v>19413</v>
      </c>
      <c r="M10929">
        <f>HYPERLINK("https://www.senat.fr/senateur-3eme-republique/farre_jean_joseph1471r3.html", "farre_jean_joseph1471r3")</f>
        <v>0</v>
      </c>
      <c r="N10929">
        <f>HYPERLINK("https://www.wikidata.org/wiki/Q459513", "Q459513")</f>
        <v>0</v>
      </c>
      <c r="O10929" t="s">
        <v>20399</v>
      </c>
      <c r="Q10929" t="s">
        <v>21011</v>
      </c>
      <c r="R10929" t="s">
        <v>19413</v>
      </c>
      <c r="S10929">
        <v>2310</v>
      </c>
    </row>
    <row r="10930" spans="1:19">
      <c r="A10930" t="s">
        <v>128</v>
      </c>
      <c r="B10930" t="s">
        <v>150</v>
      </c>
      <c r="C10930" t="s">
        <v>260</v>
      </c>
      <c r="D10930" t="s">
        <v>389</v>
      </c>
      <c r="F10930">
        <f>HYPERLINK("https://www.wikidata.org/wiki/Q97183536", "Q97183536")</f>
        <v>0</v>
      </c>
      <c r="G10930" t="s">
        <v>4616</v>
      </c>
      <c r="H10930" t="s">
        <v>8759</v>
      </c>
      <c r="I10930" t="s">
        <v>9389</v>
      </c>
      <c r="J10930" t="s">
        <v>13833</v>
      </c>
      <c r="K10930" t="s">
        <v>19414</v>
      </c>
      <c r="M10930">
        <f>HYPERLINK("https://www.senat.fr/senateur-3eme-republique/gayot_emile0221r3.html", "gayot_emile0221r3")</f>
        <v>0</v>
      </c>
      <c r="N10930">
        <f>HYPERLINK("https://www.wikidata.org/wiki/Q3588530", "Q3588530")</f>
        <v>0</v>
      </c>
      <c r="O10930" t="s">
        <v>8449</v>
      </c>
      <c r="Q10930" t="s">
        <v>21012</v>
      </c>
      <c r="R10930" t="s">
        <v>21644</v>
      </c>
      <c r="S10930">
        <v>1490</v>
      </c>
    </row>
    <row r="10931" spans="1:19">
      <c r="A10931" t="s">
        <v>128</v>
      </c>
      <c r="B10931" t="s">
        <v>150</v>
      </c>
      <c r="C10931" t="s">
        <v>260</v>
      </c>
      <c r="D10931" t="s">
        <v>389</v>
      </c>
      <c r="F10931">
        <f>HYPERLINK("https://www.wikidata.org/wiki/Q97183536", "Q97183536")</f>
        <v>0</v>
      </c>
      <c r="G10931" t="s">
        <v>4617</v>
      </c>
      <c r="H10931" t="s">
        <v>8760</v>
      </c>
      <c r="I10931" t="s">
        <v>9483</v>
      </c>
      <c r="J10931" t="s">
        <v>15092</v>
      </c>
      <c r="K10931" t="s">
        <v>19415</v>
      </c>
      <c r="M10931">
        <f>HYPERLINK("https://www.senat.fr/senateur-3eme-republique/lefranc_victor1499r3.html", "lefranc_victor1499r3")</f>
        <v>0</v>
      </c>
      <c r="N10931">
        <f>HYPERLINK("https://www.wikidata.org/wiki/Q287131", "Q287131")</f>
        <v>0</v>
      </c>
      <c r="O10931" t="s">
        <v>20399</v>
      </c>
      <c r="Q10931" t="s">
        <v>21013</v>
      </c>
      <c r="R10931" t="s">
        <v>19415</v>
      </c>
      <c r="S10931">
        <v>845</v>
      </c>
    </row>
    <row r="10932" spans="1:19">
      <c r="A10932" t="s">
        <v>128</v>
      </c>
      <c r="B10932" t="s">
        <v>150</v>
      </c>
      <c r="C10932" t="s">
        <v>260</v>
      </c>
      <c r="D10932" t="s">
        <v>389</v>
      </c>
      <c r="F10932">
        <f>HYPERLINK("https://www.wikidata.org/wiki/Q97183536", "Q97183536")</f>
        <v>0</v>
      </c>
      <c r="G10932" t="s">
        <v>4618</v>
      </c>
      <c r="H10932" t="s">
        <v>8761</v>
      </c>
      <c r="I10932" t="s">
        <v>6478</v>
      </c>
      <c r="J10932" t="s">
        <v>15093</v>
      </c>
      <c r="K10932" t="s">
        <v>12348</v>
      </c>
      <c r="M10932">
        <f>HYPERLINK("https://www.senat.fr/senateur-3eme-republique/didier_henry1463r3.html", "didier_henry1463r3")</f>
        <v>0</v>
      </c>
      <c r="N10932">
        <f>HYPERLINK("https://www.wikidata.org/wiki/Q3132555", "Q3132555")</f>
        <v>0</v>
      </c>
      <c r="O10932" t="s">
        <v>20399</v>
      </c>
      <c r="Q10932" t="s">
        <v>21013</v>
      </c>
      <c r="R10932" t="s">
        <v>12348</v>
      </c>
      <c r="S10932">
        <v>3868</v>
      </c>
    </row>
    <row r="10933" spans="1:19">
      <c r="A10933" t="s">
        <v>128</v>
      </c>
      <c r="B10933" t="s">
        <v>150</v>
      </c>
      <c r="C10933" t="s">
        <v>260</v>
      </c>
      <c r="D10933" t="s">
        <v>389</v>
      </c>
      <c r="F10933">
        <f>HYPERLINK("https://www.wikidata.org/wiki/Q97183536", "Q97183536")</f>
        <v>0</v>
      </c>
      <c r="G10933" t="s">
        <v>4619</v>
      </c>
      <c r="H10933" t="s">
        <v>8762</v>
      </c>
      <c r="I10933" t="s">
        <v>9389</v>
      </c>
      <c r="J10933" t="s">
        <v>15094</v>
      </c>
      <c r="K10933" t="s">
        <v>19416</v>
      </c>
      <c r="M10933">
        <f>HYPERLINK("https://www.senat.fr/senateur-3eme-republique/deschanel_emile1462r3.html", "deschanel_emile1462r3")</f>
        <v>0</v>
      </c>
      <c r="N10933">
        <f>HYPERLINK("https://www.wikidata.org/wiki/Q712756", "Q712756")</f>
        <v>0</v>
      </c>
      <c r="O10933" t="s">
        <v>20399</v>
      </c>
      <c r="Q10933" t="s">
        <v>21014</v>
      </c>
      <c r="R10933" t="s">
        <v>19416</v>
      </c>
      <c r="S10933">
        <v>8251</v>
      </c>
    </row>
    <row r="10934" spans="1:19">
      <c r="A10934" t="s">
        <v>128</v>
      </c>
      <c r="B10934" t="s">
        <v>150</v>
      </c>
      <c r="C10934" t="s">
        <v>260</v>
      </c>
      <c r="D10934" t="s">
        <v>389</v>
      </c>
      <c r="F10934">
        <f>HYPERLINK("https://www.wikidata.org/wiki/Q97183536", "Q97183536")</f>
        <v>0</v>
      </c>
      <c r="G10934" t="s">
        <v>4620</v>
      </c>
      <c r="H10934" t="s">
        <v>8763</v>
      </c>
      <c r="I10934" t="s">
        <v>11208</v>
      </c>
      <c r="J10934" t="s">
        <v>15095</v>
      </c>
      <c r="K10934" t="s">
        <v>19417</v>
      </c>
      <c r="M10934">
        <f>HYPERLINK("https://www.senat.fr/senateur-3eme-republique/wurtz_charles_adolphe1546r3.html", "wurtz_charles_adolphe1546r3")</f>
        <v>0</v>
      </c>
      <c r="N10934">
        <f>HYPERLINK("https://www.wikidata.org/wiki/Q366051", "Q366051")</f>
        <v>0</v>
      </c>
      <c r="O10934" t="s">
        <v>20399</v>
      </c>
      <c r="Q10934" t="s">
        <v>21015</v>
      </c>
      <c r="R10934" t="s">
        <v>19417</v>
      </c>
      <c r="S10934">
        <v>1040</v>
      </c>
    </row>
    <row r="10935" spans="1:19">
      <c r="A10935" t="s">
        <v>128</v>
      </c>
      <c r="B10935" t="s">
        <v>150</v>
      </c>
      <c r="C10935" t="s">
        <v>260</v>
      </c>
      <c r="D10935" t="s">
        <v>389</v>
      </c>
      <c r="F10935">
        <f>HYPERLINK("https://www.wikidata.org/wiki/Q97183536", "Q97183536")</f>
        <v>0</v>
      </c>
      <c r="G10935" t="s">
        <v>4237</v>
      </c>
      <c r="H10935" t="s">
        <v>8205</v>
      </c>
      <c r="I10935" t="s">
        <v>10900</v>
      </c>
      <c r="J10935" t="s">
        <v>14744</v>
      </c>
      <c r="K10935" t="s">
        <v>19089</v>
      </c>
      <c r="M10935">
        <f>HYPERLINK("https://www.senat.fr/senateur-3eme-republique/berthelot_marcellin1436r3.html", "berthelot_marcellin1436r3")</f>
        <v>0</v>
      </c>
      <c r="N10935">
        <f>HYPERLINK("https://www.wikidata.org/wiki/Q18425", "Q18425")</f>
        <v>0</v>
      </c>
      <c r="O10935" t="s">
        <v>20399</v>
      </c>
      <c r="Q10935" t="s">
        <v>21016</v>
      </c>
      <c r="R10935" t="s">
        <v>19089</v>
      </c>
      <c r="S10935">
        <v>9375</v>
      </c>
    </row>
    <row r="10936" spans="1:19">
      <c r="A10936" t="s">
        <v>128</v>
      </c>
      <c r="B10936" t="s">
        <v>150</v>
      </c>
      <c r="C10936" t="s">
        <v>260</v>
      </c>
      <c r="D10936" t="s">
        <v>389</v>
      </c>
      <c r="F10936">
        <f>HYPERLINK("https://www.wikidata.org/wiki/Q97183536", "Q97183536")</f>
        <v>0</v>
      </c>
      <c r="G10936" t="s">
        <v>4621</v>
      </c>
      <c r="H10936" t="s">
        <v>8764</v>
      </c>
      <c r="I10936" t="s">
        <v>9516</v>
      </c>
      <c r="J10936" t="s">
        <v>15096</v>
      </c>
      <c r="K10936" t="s">
        <v>19418</v>
      </c>
      <c r="M10936">
        <f>HYPERLINK("https://www.senat.fr/senateur-3eme-republique/de_voisins_laverniere_etienne1690r3.html", "de_voisins_laverniere_etienne1690r3")</f>
        <v>0</v>
      </c>
      <c r="N10936">
        <f>HYPERLINK("https://www.wikidata.org/wiki/Q2365473", "Q2365473")</f>
        <v>0</v>
      </c>
      <c r="O10936" t="s">
        <v>20399</v>
      </c>
      <c r="Q10936" t="s">
        <v>21017</v>
      </c>
      <c r="R10936" t="s">
        <v>19418</v>
      </c>
      <c r="S10936">
        <v>5896</v>
      </c>
    </row>
    <row r="10937" spans="1:19">
      <c r="A10937" t="s">
        <v>129</v>
      </c>
      <c r="B10937" t="s">
        <v>150</v>
      </c>
      <c r="C10937" t="s">
        <v>261</v>
      </c>
      <c r="D10937" t="s">
        <v>390</v>
      </c>
      <c r="F10937">
        <f>HYPERLINK("https://www.wikidata.org/wiki/Q111103097", "Q111103097")</f>
        <v>0</v>
      </c>
      <c r="G10937" t="s">
        <v>4622</v>
      </c>
      <c r="H10937" t="s">
        <v>8765</v>
      </c>
      <c r="I10937" t="s">
        <v>9457</v>
      </c>
      <c r="J10937" t="s">
        <v>15097</v>
      </c>
      <c r="K10937" t="s">
        <v>19419</v>
      </c>
      <c r="M10937">
        <f>HYPERLINK("https://www.senat.fr/senateur-3eme-republique/tolain_henri1332r3.html", "tolain_henri1332r3")</f>
        <v>0</v>
      </c>
      <c r="N10937">
        <f>HYPERLINK("https://www.wikidata.org/wiki/Q637206", "Q637206")</f>
        <v>0</v>
      </c>
      <c r="O10937" t="s">
        <v>19969</v>
      </c>
      <c r="Q10937" t="s">
        <v>20984</v>
      </c>
      <c r="R10937" t="s">
        <v>11909</v>
      </c>
      <c r="S10937">
        <v>2165</v>
      </c>
    </row>
    <row r="10938" spans="1:19">
      <c r="A10938" t="s">
        <v>129</v>
      </c>
      <c r="B10938" t="s">
        <v>150</v>
      </c>
      <c r="C10938" t="s">
        <v>261</v>
      </c>
      <c r="D10938" t="s">
        <v>390</v>
      </c>
      <c r="F10938">
        <f>HYPERLINK("https://www.wikidata.org/wiki/Q111103097", "Q111103097")</f>
        <v>0</v>
      </c>
      <c r="G10938" t="s">
        <v>4622</v>
      </c>
      <c r="H10938" t="s">
        <v>8765</v>
      </c>
      <c r="I10938" t="s">
        <v>9457</v>
      </c>
      <c r="J10938" t="s">
        <v>15097</v>
      </c>
      <c r="K10938" t="s">
        <v>19419</v>
      </c>
      <c r="M10938">
        <f>HYPERLINK("https://www.senat.fr/senateur-3eme-republique/tolain_henri1332r3.html", "tolain_henri1332r3")</f>
        <v>0</v>
      </c>
      <c r="N10938">
        <f>HYPERLINK("https://www.wikidata.org/wiki/Q637206", "Q637206")</f>
        <v>0</v>
      </c>
      <c r="O10938" t="s">
        <v>19969</v>
      </c>
      <c r="Q10938" t="s">
        <v>21018</v>
      </c>
      <c r="R10938" t="s">
        <v>21653</v>
      </c>
      <c r="S10938">
        <v>3286</v>
      </c>
    </row>
    <row r="10939" spans="1:19">
      <c r="A10939" t="s">
        <v>129</v>
      </c>
      <c r="B10939" t="s">
        <v>150</v>
      </c>
      <c r="C10939" t="s">
        <v>261</v>
      </c>
      <c r="D10939" t="s">
        <v>390</v>
      </c>
      <c r="F10939">
        <f>HYPERLINK("https://www.wikidata.org/wiki/Q111103097", "Q111103097")</f>
        <v>0</v>
      </c>
      <c r="G10939" t="s">
        <v>2946</v>
      </c>
      <c r="H10939" t="s">
        <v>5276</v>
      </c>
      <c r="I10939" t="s">
        <v>10540</v>
      </c>
      <c r="J10939" t="s">
        <v>13579</v>
      </c>
      <c r="K10939" t="s">
        <v>17964</v>
      </c>
      <c r="L10939">
        <f>HYPERLINK("https://www2.assemblee-nationale.fr/sycomore/fiche/(num_dept)/444", "444")</f>
        <v>0</v>
      </c>
      <c r="M10939">
        <f>HYPERLINK("https://www.senat.fr/senateur-3eme-republique/barthe_marcel1046r3.html", "barthe_marcel1046r3")</f>
        <v>0</v>
      </c>
      <c r="N10939">
        <f>HYPERLINK("https://www.wikidata.org/wiki/Q3288644", "Q3288644")</f>
        <v>0</v>
      </c>
      <c r="O10939" t="s">
        <v>19970</v>
      </c>
      <c r="Q10939" t="s">
        <v>390</v>
      </c>
      <c r="R10939" t="s">
        <v>21653</v>
      </c>
      <c r="S10939">
        <v>3282</v>
      </c>
    </row>
    <row r="10940" spans="1:19">
      <c r="A10940" t="s">
        <v>129</v>
      </c>
      <c r="B10940" t="s">
        <v>150</v>
      </c>
      <c r="C10940" t="s">
        <v>261</v>
      </c>
      <c r="D10940" t="s">
        <v>390</v>
      </c>
      <c r="F10940">
        <f>HYPERLINK("https://www.wikidata.org/wiki/Q111103097", "Q111103097")</f>
        <v>0</v>
      </c>
      <c r="G10940" t="s">
        <v>2536</v>
      </c>
      <c r="H10940" t="s">
        <v>7096</v>
      </c>
      <c r="I10940" t="s">
        <v>10273</v>
      </c>
      <c r="J10940" t="s">
        <v>13180</v>
      </c>
      <c r="K10940" t="s">
        <v>17585</v>
      </c>
      <c r="L10940">
        <f>HYPERLINK("https://www2.assemblee-nationale.fr/sycomore/fiche/(num_dept)/1799", "1799")</f>
        <v>0</v>
      </c>
      <c r="M10940">
        <f>HYPERLINK("https://www.senat.fr/senateur-3eme-republique/chiris_francois0121r3.html", "chiris_francois0121r3")</f>
        <v>0</v>
      </c>
      <c r="N10940">
        <f>HYPERLINK("https://www.wikidata.org/wiki/Q3270821", "Q3270821")</f>
        <v>0</v>
      </c>
      <c r="O10940" t="s">
        <v>20024</v>
      </c>
      <c r="Q10940" t="s">
        <v>390</v>
      </c>
      <c r="R10940" t="s">
        <v>21644</v>
      </c>
      <c r="S10940">
        <v>1112</v>
      </c>
    </row>
    <row r="10941" spans="1:19">
      <c r="A10941" t="s">
        <v>129</v>
      </c>
      <c r="B10941" t="s">
        <v>150</v>
      </c>
      <c r="C10941" t="s">
        <v>261</v>
      </c>
      <c r="D10941" t="s">
        <v>390</v>
      </c>
      <c r="F10941">
        <f>HYPERLINK("https://www.wikidata.org/wiki/Q111103097", "Q111103097")</f>
        <v>0</v>
      </c>
      <c r="G10941" t="s">
        <v>2654</v>
      </c>
      <c r="H10941" t="s">
        <v>7194</v>
      </c>
      <c r="I10941" t="s">
        <v>10342</v>
      </c>
      <c r="J10941" t="s">
        <v>13296</v>
      </c>
      <c r="K10941" t="s">
        <v>17695</v>
      </c>
      <c r="L10941">
        <f>HYPERLINK("https://www2.assemblee-nationale.fr/sycomore/fiche/(num_dept)/6183", "6183")</f>
        <v>0</v>
      </c>
      <c r="M10941">
        <f>HYPERLINK("https://www.senat.fr/senateur-3eme-republique/rubillard_anselme1245r3.html", "rubillard_anselme1245r3")</f>
        <v>0</v>
      </c>
      <c r="N10941">
        <f>HYPERLINK("https://www.wikidata.org/wiki/Q2852487", "Q2852487")</f>
        <v>0</v>
      </c>
      <c r="O10941" t="s">
        <v>19956</v>
      </c>
      <c r="Q10941" t="s">
        <v>390</v>
      </c>
      <c r="R10941" t="s">
        <v>21653</v>
      </c>
      <c r="S10941">
        <v>3282</v>
      </c>
    </row>
    <row r="10942" spans="1:19">
      <c r="A10942" t="s">
        <v>129</v>
      </c>
      <c r="B10942" t="s">
        <v>150</v>
      </c>
      <c r="C10942" t="s">
        <v>261</v>
      </c>
      <c r="D10942" t="s">
        <v>390</v>
      </c>
      <c r="F10942">
        <f>HYPERLINK("https://www.wikidata.org/wiki/Q111103097", "Q111103097")</f>
        <v>0</v>
      </c>
      <c r="G10942" t="s">
        <v>3494</v>
      </c>
      <c r="H10942" t="s">
        <v>7864</v>
      </c>
      <c r="I10942" t="s">
        <v>5528</v>
      </c>
      <c r="J10942" t="s">
        <v>13235</v>
      </c>
      <c r="K10942" t="s">
        <v>18458</v>
      </c>
      <c r="L10942">
        <f>HYPERLINK("https://www2.assemblee-nationale.fr/sycomore/fiche/(num_dept)/6327", "6327")</f>
        <v>0</v>
      </c>
      <c r="M10942">
        <f>HYPERLINK("https://www.senat.fr/senateur-3eme-republique/say_leon1623r3.html", "say_leon1623r3")</f>
        <v>0</v>
      </c>
      <c r="N10942">
        <f>HYPERLINK("https://www.wikidata.org/wiki/Q3271322", "Q3271322")</f>
        <v>0</v>
      </c>
      <c r="O10942" t="s">
        <v>19976</v>
      </c>
      <c r="Q10942" t="s">
        <v>390</v>
      </c>
      <c r="R10942" t="s">
        <v>21650</v>
      </c>
      <c r="S10942">
        <v>23296</v>
      </c>
    </row>
    <row r="10943" spans="1:19">
      <c r="A10943" t="s">
        <v>129</v>
      </c>
      <c r="B10943" t="s">
        <v>150</v>
      </c>
      <c r="C10943" t="s">
        <v>261</v>
      </c>
      <c r="D10943" t="s">
        <v>390</v>
      </c>
      <c r="F10943">
        <f>HYPERLINK("https://www.wikidata.org/wiki/Q111103097", "Q111103097")</f>
        <v>0</v>
      </c>
      <c r="G10943" t="s">
        <v>2809</v>
      </c>
      <c r="H10943" t="s">
        <v>7311</v>
      </c>
      <c r="I10943" t="s">
        <v>9955</v>
      </c>
      <c r="J10943" t="s">
        <v>13449</v>
      </c>
      <c r="K10943" t="s">
        <v>12552</v>
      </c>
      <c r="L10943">
        <f>HYPERLINK("https://www2.assemblee-nationale.fr/sycomore/fiche/(num_dept)/8118", "8118")</f>
        <v>0</v>
      </c>
      <c r="M10943">
        <f>HYPERLINK("https://www.senat.fr/senateur-3eme-republique/lepouze_jean_louis0734r3.html", "lepouze_jean_louis0734r3")</f>
        <v>0</v>
      </c>
      <c r="N10943">
        <f>HYPERLINK("https://www.wikidata.org/wiki/Q3166857", "Q3166857")</f>
        <v>0</v>
      </c>
      <c r="O10943" t="s">
        <v>19992</v>
      </c>
      <c r="Q10943" t="s">
        <v>390</v>
      </c>
      <c r="R10943" t="s">
        <v>21654</v>
      </c>
      <c r="S10943">
        <v>19</v>
      </c>
    </row>
    <row r="10944" spans="1:19">
      <c r="A10944" t="s">
        <v>129</v>
      </c>
      <c r="B10944" t="s">
        <v>150</v>
      </c>
      <c r="C10944" t="s">
        <v>261</v>
      </c>
      <c r="D10944" t="s">
        <v>390</v>
      </c>
      <c r="F10944">
        <f>HYPERLINK("https://www.wikidata.org/wiki/Q111103097", "Q111103097")</f>
        <v>0</v>
      </c>
      <c r="G10944" t="s">
        <v>2877</v>
      </c>
      <c r="H10944" t="s">
        <v>7362</v>
      </c>
      <c r="I10944" t="s">
        <v>10495</v>
      </c>
      <c r="J10944" t="s">
        <v>13515</v>
      </c>
      <c r="K10944" t="s">
        <v>17901</v>
      </c>
      <c r="L10944">
        <f>HYPERLINK("https://www2.assemblee-nationale.fr/sycomore/fiche/(num_dept)/8208", "8208")</f>
        <v>0</v>
      </c>
      <c r="M10944">
        <f>HYPERLINK("https://www.senat.fr/senateur-3eme-republique/devaux_louis0955r3.html", "devaux_louis0955r3")</f>
        <v>0</v>
      </c>
      <c r="N10944">
        <f>HYPERLINK("https://www.wikidata.org/wiki/Q3261723", "Q3261723")</f>
        <v>0</v>
      </c>
      <c r="O10944" t="s">
        <v>19968</v>
      </c>
      <c r="Q10944" t="s">
        <v>390</v>
      </c>
      <c r="R10944" t="s">
        <v>17901</v>
      </c>
      <c r="S10944">
        <v>747</v>
      </c>
    </row>
    <row r="10945" spans="1:19">
      <c r="A10945" t="s">
        <v>129</v>
      </c>
      <c r="B10945" t="s">
        <v>150</v>
      </c>
      <c r="C10945" t="s">
        <v>261</v>
      </c>
      <c r="D10945" t="s">
        <v>390</v>
      </c>
      <c r="F10945">
        <f>HYPERLINK("https://www.wikidata.org/wiki/Q111103097", "Q111103097")</f>
        <v>0</v>
      </c>
      <c r="G10945" t="s">
        <v>2887</v>
      </c>
      <c r="H10945" t="s">
        <v>7371</v>
      </c>
      <c r="I10945" t="s">
        <v>10503</v>
      </c>
      <c r="J10945" t="s">
        <v>13522</v>
      </c>
      <c r="K10945" t="s">
        <v>17911</v>
      </c>
      <c r="L10945">
        <f>HYPERLINK("https://www2.assemblee-nationale.fr/sycomore/fiche/(num_dept)/8218", "8218")</f>
        <v>0</v>
      </c>
      <c r="M10945">
        <f>HYPERLINK("https://www.senat.fr/senateur-3eme-republique/la_caze_louis1055r3.html", "la_caze_louis1055r3")</f>
        <v>0</v>
      </c>
      <c r="N10945">
        <f>HYPERLINK("https://www.wikidata.org/wiki/Q16025909", "Q16025909")</f>
        <v>0</v>
      </c>
      <c r="O10945" t="s">
        <v>19970</v>
      </c>
      <c r="Q10945" t="s">
        <v>390</v>
      </c>
      <c r="R10945" t="s">
        <v>21653</v>
      </c>
      <c r="S10945">
        <v>3282</v>
      </c>
    </row>
    <row r="10946" spans="1:19">
      <c r="A10946" t="s">
        <v>129</v>
      </c>
      <c r="B10946" t="s">
        <v>150</v>
      </c>
      <c r="C10946" t="s">
        <v>261</v>
      </c>
      <c r="D10946" t="s">
        <v>390</v>
      </c>
      <c r="F10946">
        <f>HYPERLINK("https://www.wikidata.org/wiki/Q111103097", "Q111103097")</f>
        <v>0</v>
      </c>
      <c r="G10946" t="s">
        <v>2894</v>
      </c>
      <c r="H10946" t="s">
        <v>7378</v>
      </c>
      <c r="I10946" t="s">
        <v>9389</v>
      </c>
      <c r="J10946" t="s">
        <v>13529</v>
      </c>
      <c r="K10946" t="s">
        <v>17917</v>
      </c>
      <c r="L10946">
        <f>HYPERLINK("https://www2.assemblee-nationale.fr/sycomore/fiche/(num_dept)/8230", "8230")</f>
        <v>0</v>
      </c>
      <c r="M10946">
        <f>HYPERLINK("https://www.senat.fr/senateur-3eme-republique/guyot_emile1127r3.html", "guyot_emile1127r3")</f>
        <v>0</v>
      </c>
      <c r="N10946">
        <f>HYPERLINK("https://www.wikidata.org/wiki/Q3588551", "Q3588551")</f>
        <v>0</v>
      </c>
      <c r="O10946" t="s">
        <v>19965</v>
      </c>
      <c r="Q10946" t="s">
        <v>390</v>
      </c>
      <c r="R10946" t="s">
        <v>21653</v>
      </c>
      <c r="S10946">
        <v>3282</v>
      </c>
    </row>
    <row r="10947" spans="1:19">
      <c r="A10947" t="s">
        <v>129</v>
      </c>
      <c r="B10947" t="s">
        <v>150</v>
      </c>
      <c r="C10947" t="s">
        <v>261</v>
      </c>
      <c r="D10947" t="s">
        <v>390</v>
      </c>
      <c r="F10947">
        <f>HYPERLINK("https://www.wikidata.org/wiki/Q111103097", "Q111103097")</f>
        <v>0</v>
      </c>
      <c r="G10947" t="s">
        <v>2902</v>
      </c>
      <c r="H10947" t="s">
        <v>7385</v>
      </c>
      <c r="I10947" t="s">
        <v>10512</v>
      </c>
      <c r="J10947" t="s">
        <v>13537</v>
      </c>
      <c r="K10947" t="s">
        <v>17924</v>
      </c>
      <c r="L10947">
        <f>HYPERLINK("https://www2.assemblee-nationale.fr/sycomore/fiche/(num_dept)/8241", "8241")</f>
        <v>0</v>
      </c>
      <c r="M10947">
        <f>HYPERLINK("https://www.senat.fr/senateur-3eme-republique/le_monnier_pierre1250r3.html", "le_monnier_pierre1250r3")</f>
        <v>0</v>
      </c>
      <c r="N10947">
        <f>HYPERLINK("https://www.wikidata.org/wiki/Q3385859", "Q3385859")</f>
        <v>0</v>
      </c>
      <c r="O10947" t="s">
        <v>19956</v>
      </c>
      <c r="Q10947" t="s">
        <v>390</v>
      </c>
      <c r="R10947" t="s">
        <v>21653</v>
      </c>
      <c r="S10947">
        <v>3282</v>
      </c>
    </row>
    <row r="10948" spans="1:19">
      <c r="A10948" t="s">
        <v>129</v>
      </c>
      <c r="B10948" t="s">
        <v>150</v>
      </c>
      <c r="C10948" t="s">
        <v>261</v>
      </c>
      <c r="D10948" t="s">
        <v>390</v>
      </c>
      <c r="F10948">
        <f>HYPERLINK("https://www.wikidata.org/wiki/Q111103097", "Q111103097")</f>
        <v>0</v>
      </c>
      <c r="G10948" t="s">
        <v>2922</v>
      </c>
      <c r="H10948" t="s">
        <v>7401</v>
      </c>
      <c r="I10948" t="s">
        <v>10527</v>
      </c>
      <c r="J10948" t="s">
        <v>13533</v>
      </c>
      <c r="K10948" t="s">
        <v>17942</v>
      </c>
      <c r="L10948">
        <f>HYPERLINK("https://www2.assemblee-nationale.fr/sycomore/fiche/(num_dept)/8269", "8269")</f>
        <v>0</v>
      </c>
      <c r="M10948">
        <f>HYPERLINK("https://www.senat.fr/senateur-3eme-republique/labitte_porphyre1676r3.html", "labitte_porphyre1676r3")</f>
        <v>0</v>
      </c>
      <c r="N10948">
        <f>HYPERLINK("https://www.wikidata.org/wiki/Q3131388", "Q3131388")</f>
        <v>0</v>
      </c>
      <c r="O10948" t="s">
        <v>20012</v>
      </c>
      <c r="Q10948" t="s">
        <v>390</v>
      </c>
      <c r="R10948" t="s">
        <v>17942</v>
      </c>
      <c r="S10948">
        <v>1395</v>
      </c>
    </row>
    <row r="10949" spans="1:19">
      <c r="A10949" t="s">
        <v>129</v>
      </c>
      <c r="B10949" t="s">
        <v>150</v>
      </c>
      <c r="C10949" t="s">
        <v>261</v>
      </c>
      <c r="D10949" t="s">
        <v>390</v>
      </c>
      <c r="F10949">
        <f>HYPERLINK("https://www.wikidata.org/wiki/Q111103097", "Q111103097")</f>
        <v>0</v>
      </c>
      <c r="G10949" t="s">
        <v>2925</v>
      </c>
      <c r="H10949" t="s">
        <v>5743</v>
      </c>
      <c r="I10949" t="s">
        <v>10529</v>
      </c>
      <c r="J10949" t="s">
        <v>13558</v>
      </c>
      <c r="K10949" t="s">
        <v>17944</v>
      </c>
      <c r="L10949">
        <f>HYPERLINK("https://www2.assemblee-nationale.fr/sycomore/fiche/(num_dept)/8272", "8272")</f>
        <v>0</v>
      </c>
      <c r="M10949">
        <f>HYPERLINK("https://www.senat.fr/senateur-3eme-republique/magniez_victor1665r3.html", "magniez_victor1665r3")</f>
        <v>0</v>
      </c>
      <c r="N10949">
        <f>HYPERLINK("https://www.wikidata.org/wiki/Q3557435", "Q3557435")</f>
        <v>0</v>
      </c>
      <c r="O10949" t="s">
        <v>20012</v>
      </c>
      <c r="Q10949" t="s">
        <v>390</v>
      </c>
      <c r="R10949" t="s">
        <v>17944</v>
      </c>
      <c r="S10949">
        <v>3010</v>
      </c>
    </row>
    <row r="10950" spans="1:19">
      <c r="A10950" t="s">
        <v>129</v>
      </c>
      <c r="B10950" t="s">
        <v>150</v>
      </c>
      <c r="C10950" t="s">
        <v>261</v>
      </c>
      <c r="D10950" t="s">
        <v>390</v>
      </c>
      <c r="F10950">
        <f>HYPERLINK("https://www.wikidata.org/wiki/Q111103097", "Q111103097")</f>
        <v>0</v>
      </c>
      <c r="G10950" t="s">
        <v>2930</v>
      </c>
      <c r="H10950" t="s">
        <v>7408</v>
      </c>
      <c r="I10950" t="s">
        <v>10533</v>
      </c>
      <c r="J10950" t="s">
        <v>13563</v>
      </c>
      <c r="K10950" t="s">
        <v>17949</v>
      </c>
      <c r="L10950">
        <f>HYPERLINK("https://www2.assemblee-nationale.fr/sycomore/fiche/(num_dept)/8282", "8282")</f>
        <v>0</v>
      </c>
      <c r="M10950">
        <f>HYPERLINK("https://www.senat.fr/senateur-3eme-republique/gent_alphonse1701r3.html", "gent_alphonse1701r3")</f>
        <v>0</v>
      </c>
      <c r="N10950">
        <f>HYPERLINK("https://www.wikidata.org/wiki/Q2839812", "Q2839812")</f>
        <v>0</v>
      </c>
      <c r="O10950" t="s">
        <v>20047</v>
      </c>
      <c r="Q10950" t="s">
        <v>390</v>
      </c>
      <c r="R10950" t="s">
        <v>21653</v>
      </c>
      <c r="S10950">
        <v>3282</v>
      </c>
    </row>
    <row r="10951" spans="1:19">
      <c r="A10951" t="s">
        <v>129</v>
      </c>
      <c r="B10951" t="s">
        <v>150</v>
      </c>
      <c r="C10951" t="s">
        <v>261</v>
      </c>
      <c r="D10951" t="s">
        <v>390</v>
      </c>
      <c r="F10951">
        <f>HYPERLINK("https://www.wikidata.org/wiki/Q111103097", "Q111103097")</f>
        <v>0</v>
      </c>
      <c r="G10951" t="s">
        <v>2942</v>
      </c>
      <c r="H10951" t="s">
        <v>7419</v>
      </c>
      <c r="I10951" t="s">
        <v>9979</v>
      </c>
      <c r="J10951" t="s">
        <v>13575</v>
      </c>
      <c r="K10951" t="s">
        <v>17960</v>
      </c>
      <c r="L10951">
        <f>HYPERLINK("https://www2.assemblee-nationale.fr/sycomore/fiche/(num_dept)/8297", "8297")</f>
        <v>0</v>
      </c>
      <c r="M10951">
        <f>HYPERLINK("https://www.senat.fr/senateur-3eme-republique/jacques_remy1822r3.html", "jacques_remy1822r3")</f>
        <v>0</v>
      </c>
      <c r="N10951">
        <f>HYPERLINK("https://www.wikidata.org/wiki/Q16025864", "Q16025864")</f>
        <v>0</v>
      </c>
      <c r="Q10951" t="s">
        <v>390</v>
      </c>
      <c r="R10951" t="s">
        <v>21653</v>
      </c>
      <c r="S10951">
        <v>3282</v>
      </c>
    </row>
    <row r="10952" spans="1:19">
      <c r="A10952" t="s">
        <v>129</v>
      </c>
      <c r="B10952" t="s">
        <v>150</v>
      </c>
      <c r="C10952" t="s">
        <v>261</v>
      </c>
      <c r="D10952" t="s">
        <v>390</v>
      </c>
      <c r="F10952">
        <f>HYPERLINK("https://www.wikidata.org/wiki/Q111103097", "Q111103097")</f>
        <v>0</v>
      </c>
      <c r="G10952" t="s">
        <v>3345</v>
      </c>
      <c r="H10952" t="s">
        <v>7747</v>
      </c>
      <c r="I10952" t="s">
        <v>10781</v>
      </c>
      <c r="J10952" t="s">
        <v>13958</v>
      </c>
      <c r="K10952" t="s">
        <v>18327</v>
      </c>
      <c r="L10952">
        <f>HYPERLINK("https://www2.assemblee-nationale.fr/sycomore/fiche/(num_dept)/17859", "17859")</f>
        <v>0</v>
      </c>
      <c r="M10952">
        <f>HYPERLINK("https://www.senat.fr/senateur-3eme-republique/labordere_jean1340r3.html", "labordere_jean1340r3")</f>
        <v>0</v>
      </c>
      <c r="N10952">
        <f>HYPERLINK("https://www.wikidata.org/wiki/Q16025905", "Q16025905")</f>
        <v>0</v>
      </c>
      <c r="O10952" t="s">
        <v>19969</v>
      </c>
      <c r="Q10952" t="s">
        <v>390</v>
      </c>
      <c r="R10952" t="s">
        <v>21655</v>
      </c>
      <c r="S10952">
        <v>1067</v>
      </c>
    </row>
    <row r="10953" spans="1:19">
      <c r="A10953" t="s">
        <v>129</v>
      </c>
      <c r="B10953" t="s">
        <v>150</v>
      </c>
      <c r="C10953" t="s">
        <v>261</v>
      </c>
      <c r="D10953" t="s">
        <v>390</v>
      </c>
      <c r="F10953">
        <f>HYPERLINK("https://www.wikidata.org/wiki/Q111103097", "Q111103097")</f>
        <v>0</v>
      </c>
      <c r="G10953" t="s">
        <v>4623</v>
      </c>
      <c r="H10953" t="s">
        <v>8766</v>
      </c>
      <c r="I10953" t="s">
        <v>6941</v>
      </c>
      <c r="J10953" t="s">
        <v>15098</v>
      </c>
      <c r="K10953" t="s">
        <v>17857</v>
      </c>
      <c r="M10953">
        <f>HYPERLINK("https://www.senat.fr/senateur-3eme-republique/renaud_michel1064r3.html", "renaud_michel1064r3")</f>
        <v>0</v>
      </c>
      <c r="N10953">
        <f>HYPERLINK("https://www.wikidata.org/wiki/Q3310677", "Q3310677")</f>
        <v>0</v>
      </c>
      <c r="O10953" t="s">
        <v>19970</v>
      </c>
      <c r="Q10953" t="s">
        <v>390</v>
      </c>
      <c r="R10953" t="s">
        <v>17857</v>
      </c>
      <c r="S10953">
        <v>1117</v>
      </c>
    </row>
    <row r="10954" spans="1:19">
      <c r="A10954" t="s">
        <v>129</v>
      </c>
      <c r="B10954" t="s">
        <v>150</v>
      </c>
      <c r="C10954" t="s">
        <v>261</v>
      </c>
      <c r="D10954" t="s">
        <v>390</v>
      </c>
      <c r="F10954">
        <f>HYPERLINK("https://www.wikidata.org/wiki/Q111103097", "Q111103097")</f>
        <v>0</v>
      </c>
      <c r="G10954" t="s">
        <v>4624</v>
      </c>
      <c r="H10954" t="s">
        <v>8767</v>
      </c>
      <c r="I10954" t="s">
        <v>11209</v>
      </c>
      <c r="J10954" t="s">
        <v>15099</v>
      </c>
      <c r="K10954" t="s">
        <v>19420</v>
      </c>
      <c r="M10954">
        <f>HYPERLINK("https://www.senat.fr/senateur-3eme-republique/de_reignie_marie_clement1620r3.html", "de_reignie_marie_clement1620r3")</f>
        <v>0</v>
      </c>
      <c r="N10954">
        <f>HYPERLINK("https://www.wikidata.org/wiki/Q3291737", "Q3291737")</f>
        <v>0</v>
      </c>
      <c r="O10954" t="s">
        <v>20021</v>
      </c>
      <c r="Q10954" t="s">
        <v>390</v>
      </c>
      <c r="R10954" t="s">
        <v>19420</v>
      </c>
      <c r="S10954">
        <v>1118</v>
      </c>
    </row>
    <row r="10955" spans="1:19">
      <c r="A10955" t="s">
        <v>129</v>
      </c>
      <c r="B10955" t="s">
        <v>150</v>
      </c>
      <c r="C10955" t="s">
        <v>261</v>
      </c>
      <c r="D10955" t="s">
        <v>390</v>
      </c>
      <c r="F10955">
        <f>HYPERLINK("https://www.wikidata.org/wiki/Q111103097", "Q111103097")</f>
        <v>0</v>
      </c>
      <c r="G10955" t="s">
        <v>4625</v>
      </c>
      <c r="H10955" t="s">
        <v>8768</v>
      </c>
      <c r="I10955" t="s">
        <v>6860</v>
      </c>
      <c r="J10955" t="s">
        <v>15100</v>
      </c>
      <c r="K10955" t="s">
        <v>19421</v>
      </c>
      <c r="M10955">
        <f>HYPERLINK("https://www.senat.fr/senateur-3eme-republique/goguet_pierre1632r3.html", "goguet_pierre1632r3")</f>
        <v>0</v>
      </c>
      <c r="N10955">
        <f>HYPERLINK("https://www.wikidata.org/wiki/Q3385259", "Q3385259")</f>
        <v>0</v>
      </c>
      <c r="O10955" t="s">
        <v>20021</v>
      </c>
      <c r="Q10955" t="s">
        <v>390</v>
      </c>
      <c r="R10955" t="s">
        <v>19421</v>
      </c>
      <c r="S10955">
        <v>1478</v>
      </c>
    </row>
    <row r="10956" spans="1:19">
      <c r="A10956" t="s">
        <v>129</v>
      </c>
      <c r="B10956" t="s">
        <v>150</v>
      </c>
      <c r="C10956" t="s">
        <v>261</v>
      </c>
      <c r="D10956" t="s">
        <v>390</v>
      </c>
      <c r="F10956">
        <f>HYPERLINK("https://www.wikidata.org/wiki/Q111103097", "Q111103097")</f>
        <v>0</v>
      </c>
      <c r="G10956" t="s">
        <v>4626</v>
      </c>
      <c r="H10956" t="s">
        <v>8769</v>
      </c>
      <c r="I10956" t="s">
        <v>9553</v>
      </c>
      <c r="J10956" t="s">
        <v>15101</v>
      </c>
      <c r="K10956" t="s">
        <v>19422</v>
      </c>
      <c r="M10956">
        <f>HYPERLINK("https://www.senat.fr/senateur-3eme-republique/donnot_alexandre0869r3.html", "donnot_alexandre0869r3")</f>
        <v>0</v>
      </c>
      <c r="N10956">
        <f>HYPERLINK("https://www.wikidata.org/wiki/Q2833609", "Q2833609")</f>
        <v>0</v>
      </c>
      <c r="O10956" t="s">
        <v>20022</v>
      </c>
      <c r="Q10956" t="s">
        <v>390</v>
      </c>
      <c r="R10956" t="s">
        <v>21656</v>
      </c>
      <c r="S10956">
        <v>1803</v>
      </c>
    </row>
    <row r="10957" spans="1:19">
      <c r="A10957" t="s">
        <v>129</v>
      </c>
      <c r="B10957" t="s">
        <v>150</v>
      </c>
      <c r="C10957" t="s">
        <v>261</v>
      </c>
      <c r="D10957" t="s">
        <v>390</v>
      </c>
      <c r="F10957">
        <f>HYPERLINK("https://www.wikidata.org/wiki/Q111103097", "Q111103097")</f>
        <v>0</v>
      </c>
      <c r="G10957" t="s">
        <v>4627</v>
      </c>
      <c r="H10957" t="s">
        <v>8770</v>
      </c>
      <c r="I10957" t="s">
        <v>6200</v>
      </c>
      <c r="J10957" t="s">
        <v>15102</v>
      </c>
      <c r="K10957" t="s">
        <v>18230</v>
      </c>
      <c r="M10957">
        <f>HYPERLINK("https://www.senat.fr/senateur-3eme-republique/noblot_jean1166r3.html", "noblot_jean1166r3")</f>
        <v>0</v>
      </c>
      <c r="N10957">
        <f>HYPERLINK("https://www.wikidata.org/wiki/Q3173730", "Q3173730")</f>
        <v>0</v>
      </c>
      <c r="O10957" t="s">
        <v>20036</v>
      </c>
      <c r="Q10957" t="s">
        <v>390</v>
      </c>
      <c r="R10957" t="s">
        <v>21653</v>
      </c>
      <c r="S10957">
        <v>3282</v>
      </c>
    </row>
    <row r="10958" spans="1:19">
      <c r="A10958" t="s">
        <v>129</v>
      </c>
      <c r="B10958" t="s">
        <v>150</v>
      </c>
      <c r="C10958" t="s">
        <v>261</v>
      </c>
      <c r="D10958" t="s">
        <v>390</v>
      </c>
      <c r="F10958">
        <f>HYPERLINK("https://www.wikidata.org/wiki/Q111103097", "Q111103097")</f>
        <v>0</v>
      </c>
      <c r="G10958" t="s">
        <v>4458</v>
      </c>
      <c r="H10958" t="s">
        <v>8605</v>
      </c>
      <c r="I10958" t="s">
        <v>6495</v>
      </c>
      <c r="J10958" t="s">
        <v>14947</v>
      </c>
      <c r="K10958" t="s">
        <v>17976</v>
      </c>
      <c r="M10958">
        <f>HYPERLINK("https://www.senat.fr/senateur-3eme-republique/jobard_louis1175r3.html", "jobard_louis1175r3")</f>
        <v>0</v>
      </c>
      <c r="N10958">
        <f>HYPERLINK("https://www.wikidata.org/wiki/Q3262327", "Q3262327")</f>
        <v>0</v>
      </c>
      <c r="O10958" t="s">
        <v>20036</v>
      </c>
      <c r="Q10958" t="s">
        <v>390</v>
      </c>
      <c r="R10958" t="s">
        <v>21650</v>
      </c>
      <c r="S10958">
        <v>23296</v>
      </c>
    </row>
    <row r="10959" spans="1:19">
      <c r="A10959" t="s">
        <v>129</v>
      </c>
      <c r="B10959" t="s">
        <v>150</v>
      </c>
      <c r="C10959" t="s">
        <v>261</v>
      </c>
      <c r="D10959" t="s">
        <v>390</v>
      </c>
      <c r="F10959">
        <f>HYPERLINK("https://www.wikidata.org/wiki/Q111103097", "Q111103097")</f>
        <v>0</v>
      </c>
      <c r="G10959" t="s">
        <v>4459</v>
      </c>
      <c r="H10959" t="s">
        <v>8606</v>
      </c>
      <c r="I10959" t="s">
        <v>6495</v>
      </c>
      <c r="J10959" t="s">
        <v>13222</v>
      </c>
      <c r="K10959" t="s">
        <v>19276</v>
      </c>
      <c r="M10959">
        <f>HYPERLINK("https://www.senat.fr/senateur-3eme-republique/chaumontel_louis1306r3.html", "chaumontel_louis1306r3")</f>
        <v>0</v>
      </c>
      <c r="N10959">
        <f>HYPERLINK("https://www.wikidata.org/wiki/Q3261508", "Q3261508")</f>
        <v>0</v>
      </c>
      <c r="O10959" t="s">
        <v>20018</v>
      </c>
      <c r="Q10959" t="s">
        <v>390</v>
      </c>
      <c r="R10959" t="s">
        <v>21653</v>
      </c>
      <c r="S10959">
        <v>3282</v>
      </c>
    </row>
    <row r="10960" spans="1:19">
      <c r="A10960" t="s">
        <v>129</v>
      </c>
      <c r="B10960" t="s">
        <v>150</v>
      </c>
      <c r="C10960" t="s">
        <v>261</v>
      </c>
      <c r="D10960" t="s">
        <v>390</v>
      </c>
      <c r="F10960">
        <f>HYPERLINK("https://www.wikidata.org/wiki/Q111103097", "Q111103097")</f>
        <v>0</v>
      </c>
      <c r="G10960" t="s">
        <v>4460</v>
      </c>
      <c r="H10960" t="s">
        <v>8607</v>
      </c>
      <c r="I10960" t="s">
        <v>9458</v>
      </c>
      <c r="J10960" t="s">
        <v>14948</v>
      </c>
      <c r="K10960" t="s">
        <v>19277</v>
      </c>
      <c r="M10960">
        <f>HYPERLINK("https://www.senat.fr/senateur-3eme-republique/chardon_alfred1311r3.html", "chardon_alfred1311r3")</f>
        <v>0</v>
      </c>
      <c r="N10960">
        <f>HYPERLINK("https://www.wikidata.org/wiki/Q2835013", "Q2835013")</f>
        <v>0</v>
      </c>
      <c r="O10960" t="s">
        <v>20018</v>
      </c>
      <c r="Q10960" t="s">
        <v>390</v>
      </c>
      <c r="R10960" t="s">
        <v>21653</v>
      </c>
      <c r="S10960">
        <v>3282</v>
      </c>
    </row>
    <row r="10961" spans="1:19">
      <c r="A10961" t="s">
        <v>129</v>
      </c>
      <c r="B10961" t="s">
        <v>150</v>
      </c>
      <c r="C10961" t="s">
        <v>261</v>
      </c>
      <c r="D10961" t="s">
        <v>390</v>
      </c>
      <c r="F10961">
        <f>HYPERLINK("https://www.wikidata.org/wiki/Q111103097", "Q111103097")</f>
        <v>0</v>
      </c>
      <c r="G10961" t="s">
        <v>4605</v>
      </c>
      <c r="H10961" t="s">
        <v>8749</v>
      </c>
      <c r="I10961" t="s">
        <v>9474</v>
      </c>
      <c r="J10961" t="s">
        <v>15083</v>
      </c>
      <c r="K10961" t="s">
        <v>19403</v>
      </c>
      <c r="M10961">
        <f>HYPERLINK("https://www.senat.fr/senateur-3eme-republique/ninard_jean_baptiste1783r3.html", "ninard_jean_baptiste1783r3")</f>
        <v>0</v>
      </c>
      <c r="N10961">
        <f>HYPERLINK("https://www.wikidata.org/wiki/Q3164315", "Q3164315")</f>
        <v>0</v>
      </c>
      <c r="O10961" t="s">
        <v>19977</v>
      </c>
      <c r="Q10961" t="s">
        <v>390</v>
      </c>
      <c r="R10961" t="s">
        <v>21650</v>
      </c>
      <c r="S10961">
        <v>23296</v>
      </c>
    </row>
    <row r="10962" spans="1:19">
      <c r="A10962" t="s">
        <v>129</v>
      </c>
      <c r="B10962" t="s">
        <v>150</v>
      </c>
      <c r="C10962" t="s">
        <v>261</v>
      </c>
      <c r="D10962" t="s">
        <v>390</v>
      </c>
      <c r="F10962">
        <f>HYPERLINK("https://www.wikidata.org/wiki/Q111103097", "Q111103097")</f>
        <v>0</v>
      </c>
      <c r="G10962" t="s">
        <v>4461</v>
      </c>
      <c r="H10962" t="s">
        <v>8608</v>
      </c>
      <c r="I10962" t="s">
        <v>6860</v>
      </c>
      <c r="J10962" t="s">
        <v>14949</v>
      </c>
      <c r="K10962" t="s">
        <v>18594</v>
      </c>
      <c r="M10962">
        <f>HYPERLINK("https://www.senat.fr/senateur-3eme-republique/teisserenc_de_bort_pierre1775r3.html", "teisserenc_de_bort_pierre1775r3")</f>
        <v>0</v>
      </c>
      <c r="N10962">
        <f>HYPERLINK("https://www.wikidata.org/wiki/Q2093418", "Q2093418")</f>
        <v>0</v>
      </c>
      <c r="O10962" t="s">
        <v>19977</v>
      </c>
      <c r="Q10962" t="s">
        <v>390</v>
      </c>
      <c r="R10962" t="s">
        <v>21653</v>
      </c>
      <c r="S10962">
        <v>3282</v>
      </c>
    </row>
    <row r="10963" spans="1:19">
      <c r="A10963" t="s">
        <v>129</v>
      </c>
      <c r="B10963" t="s">
        <v>150</v>
      </c>
      <c r="C10963" t="s">
        <v>261</v>
      </c>
      <c r="D10963" t="s">
        <v>390</v>
      </c>
      <c r="F10963">
        <f>HYPERLINK("https://www.wikidata.org/wiki/Q111103097", "Q111103097")</f>
        <v>0</v>
      </c>
      <c r="G10963" t="s">
        <v>4628</v>
      </c>
      <c r="H10963" t="s">
        <v>8771</v>
      </c>
      <c r="I10963" t="s">
        <v>7790</v>
      </c>
      <c r="J10963" t="s">
        <v>15103</v>
      </c>
      <c r="K10963" t="s">
        <v>19423</v>
      </c>
      <c r="M10963">
        <f>HYPERLINK("https://www.senat.fr/senateur-3eme-republique/deffis_armand1077r3.html", "deffis_armand1077r3")</f>
        <v>0</v>
      </c>
      <c r="N10963">
        <f>HYPERLINK("https://www.wikidata.org/wiki/Q2861822", "Q2861822")</f>
        <v>0</v>
      </c>
      <c r="O10963" t="s">
        <v>20027</v>
      </c>
      <c r="Q10963" t="s">
        <v>390</v>
      </c>
      <c r="R10963" t="s">
        <v>21653</v>
      </c>
      <c r="S10963">
        <v>3282</v>
      </c>
    </row>
    <row r="10964" spans="1:19">
      <c r="A10964" t="s">
        <v>129</v>
      </c>
      <c r="B10964" t="s">
        <v>150</v>
      </c>
      <c r="C10964" t="s">
        <v>261</v>
      </c>
      <c r="D10964" t="s">
        <v>390</v>
      </c>
      <c r="F10964">
        <f>HYPERLINK("https://www.wikidata.org/wiki/Q111103097", "Q111103097")</f>
        <v>0</v>
      </c>
      <c r="G10964" t="s">
        <v>4629</v>
      </c>
      <c r="H10964" t="s">
        <v>8772</v>
      </c>
      <c r="I10964" t="s">
        <v>7140</v>
      </c>
      <c r="J10964" t="s">
        <v>15104</v>
      </c>
      <c r="K10964" t="s">
        <v>19424</v>
      </c>
      <c r="M10964">
        <f>HYPERLINK("https://www.senat.fr/senateur-3eme-republique/dupre_germain1083r3.html", "dupre_germain1083r3")</f>
        <v>0</v>
      </c>
      <c r="N10964">
        <f>HYPERLINK("https://www.wikidata.org/wiki/Q3104108", "Q3104108")</f>
        <v>0</v>
      </c>
      <c r="O10964" t="s">
        <v>20027</v>
      </c>
      <c r="Q10964" t="s">
        <v>390</v>
      </c>
      <c r="R10964" t="s">
        <v>21653</v>
      </c>
      <c r="S10964">
        <v>3282</v>
      </c>
    </row>
    <row r="10965" spans="1:19">
      <c r="A10965" t="s">
        <v>129</v>
      </c>
      <c r="B10965" t="s">
        <v>150</v>
      </c>
      <c r="C10965" t="s">
        <v>261</v>
      </c>
      <c r="D10965" t="s">
        <v>390</v>
      </c>
      <c r="F10965">
        <f>HYPERLINK("https://www.wikidata.org/wiki/Q111103097", "Q111103097")</f>
        <v>0</v>
      </c>
      <c r="G10965" t="s">
        <v>4487</v>
      </c>
      <c r="H10965" t="s">
        <v>8633</v>
      </c>
      <c r="I10965" t="s">
        <v>9458</v>
      </c>
      <c r="J10965" t="s">
        <v>14971</v>
      </c>
      <c r="K10965" t="s">
        <v>19300</v>
      </c>
      <c r="M10965">
        <f>HYPERLINK("https://www.senat.fr/senateur-3eme-republique/de_flers_alfred0914r3.html", "de_flers_alfred0914r3")</f>
        <v>0</v>
      </c>
      <c r="N10965">
        <f>HYPERLINK("https://www.wikidata.org/wiki/Q2835535", "Q2835535")</f>
        <v>0</v>
      </c>
      <c r="O10965" t="s">
        <v>19957</v>
      </c>
      <c r="Q10965" t="s">
        <v>390</v>
      </c>
      <c r="R10965" t="s">
        <v>21650</v>
      </c>
      <c r="S10965">
        <v>23296</v>
      </c>
    </row>
    <row r="10966" spans="1:19">
      <c r="A10966" t="s">
        <v>129</v>
      </c>
      <c r="B10966" t="s">
        <v>150</v>
      </c>
      <c r="C10966" t="s">
        <v>261</v>
      </c>
      <c r="D10966" t="s">
        <v>390</v>
      </c>
      <c r="F10966">
        <f>HYPERLINK("https://www.wikidata.org/wiki/Q111103097", "Q111103097")</f>
        <v>0</v>
      </c>
      <c r="G10966" t="s">
        <v>4528</v>
      </c>
      <c r="H10966" t="s">
        <v>8675</v>
      </c>
      <c r="I10966" t="s">
        <v>6860</v>
      </c>
      <c r="J10966" t="s">
        <v>14970</v>
      </c>
      <c r="K10966" t="s">
        <v>19337</v>
      </c>
      <c r="M10966">
        <f>HYPERLINK("https://www.senat.fr/senateur-3eme-republique/de_la_sicotiere_pierre0895r3.html", "de_la_sicotiere_pierre0895r3")</f>
        <v>0</v>
      </c>
      <c r="N10966">
        <f>HYPERLINK("https://www.wikidata.org/wiki/Q3271439", "Q3271439")</f>
        <v>0</v>
      </c>
      <c r="O10966" t="s">
        <v>19957</v>
      </c>
      <c r="Q10966" t="s">
        <v>390</v>
      </c>
      <c r="R10966" t="s">
        <v>21653</v>
      </c>
      <c r="S10966">
        <v>3282</v>
      </c>
    </row>
    <row r="10967" spans="1:19">
      <c r="A10967" t="s">
        <v>129</v>
      </c>
      <c r="B10967" t="s">
        <v>150</v>
      </c>
      <c r="C10967" t="s">
        <v>261</v>
      </c>
      <c r="D10967" t="s">
        <v>390</v>
      </c>
      <c r="F10967">
        <f>HYPERLINK("https://www.wikidata.org/wiki/Q111103097", "Q111103097")</f>
        <v>0</v>
      </c>
      <c r="G10967" t="s">
        <v>4488</v>
      </c>
      <c r="H10967" t="s">
        <v>8634</v>
      </c>
      <c r="I10967" t="s">
        <v>9385</v>
      </c>
      <c r="J10967" t="s">
        <v>14972</v>
      </c>
      <c r="K10967" t="s">
        <v>19301</v>
      </c>
      <c r="M10967">
        <f>HYPERLINK("https://www.senat.fr/senateur-3eme-republique/poriquet_charles0901r3.html", "poriquet_charles0901r3")</f>
        <v>0</v>
      </c>
      <c r="N10967">
        <f>HYPERLINK("https://www.wikidata.org/wiki/Q2958272", "Q2958272")</f>
        <v>0</v>
      </c>
      <c r="O10967" t="s">
        <v>19957</v>
      </c>
      <c r="Q10967" t="s">
        <v>390</v>
      </c>
      <c r="R10967" t="s">
        <v>21653</v>
      </c>
      <c r="S10967">
        <v>3282</v>
      </c>
    </row>
    <row r="10968" spans="1:19">
      <c r="A10968" t="s">
        <v>129</v>
      </c>
      <c r="B10968" t="s">
        <v>150</v>
      </c>
      <c r="C10968" t="s">
        <v>261</v>
      </c>
      <c r="D10968" t="s">
        <v>390</v>
      </c>
      <c r="F10968">
        <f>HYPERLINK("https://www.wikidata.org/wiki/Q111103097", "Q111103097")</f>
        <v>0</v>
      </c>
      <c r="G10968" t="s">
        <v>4630</v>
      </c>
      <c r="H10968" t="s">
        <v>8773</v>
      </c>
      <c r="I10968" t="s">
        <v>6495</v>
      </c>
      <c r="J10968" t="s">
        <v>15105</v>
      </c>
      <c r="K10968" t="s">
        <v>19425</v>
      </c>
      <c r="M10968">
        <f>HYPERLINK("https://www.senat.fr/senateur-3eme-republique/demiautte_louis0939r3.html", "demiautte_louis0939r3")</f>
        <v>0</v>
      </c>
      <c r="N10968">
        <f>HYPERLINK("https://www.wikidata.org/wiki/Q3261696", "Q3261696")</f>
        <v>0</v>
      </c>
      <c r="O10968" t="s">
        <v>19968</v>
      </c>
      <c r="Q10968" t="s">
        <v>390</v>
      </c>
      <c r="R10968" t="s">
        <v>21653</v>
      </c>
      <c r="S10968">
        <v>3282</v>
      </c>
    </row>
    <row r="10969" spans="1:19">
      <c r="A10969" t="s">
        <v>129</v>
      </c>
      <c r="B10969" t="s">
        <v>150</v>
      </c>
      <c r="C10969" t="s">
        <v>261</v>
      </c>
      <c r="D10969" t="s">
        <v>390</v>
      </c>
      <c r="F10969">
        <f>HYPERLINK("https://www.wikidata.org/wiki/Q111103097", "Q111103097")</f>
        <v>0</v>
      </c>
      <c r="G10969" t="s">
        <v>4631</v>
      </c>
      <c r="H10969" t="s">
        <v>8774</v>
      </c>
      <c r="I10969" t="s">
        <v>9458</v>
      </c>
      <c r="J10969" t="s">
        <v>15106</v>
      </c>
      <c r="K10969" t="s">
        <v>19426</v>
      </c>
      <c r="M10969">
        <f>HYPERLINK("https://www.senat.fr/senateur-3eme-republique/boucher_cadart_alfred0922r3.html", "boucher_cadart_alfred0922r3")</f>
        <v>0</v>
      </c>
      <c r="N10969">
        <f>HYPERLINK("https://www.wikidata.org/wiki/Q2834979", "Q2834979")</f>
        <v>0</v>
      </c>
      <c r="O10969" t="s">
        <v>19968</v>
      </c>
      <c r="Q10969" t="s">
        <v>390</v>
      </c>
      <c r="R10969" t="s">
        <v>21657</v>
      </c>
      <c r="S10969">
        <v>762</v>
      </c>
    </row>
    <row r="10970" spans="1:19">
      <c r="A10970" t="s">
        <v>129</v>
      </c>
      <c r="B10970" t="s">
        <v>150</v>
      </c>
      <c r="C10970" t="s">
        <v>261</v>
      </c>
      <c r="D10970" t="s">
        <v>390</v>
      </c>
      <c r="F10970">
        <f>HYPERLINK("https://www.wikidata.org/wiki/Q111103097", "Q111103097")</f>
        <v>0</v>
      </c>
      <c r="G10970" t="s">
        <v>4491</v>
      </c>
      <c r="H10970" t="s">
        <v>8637</v>
      </c>
      <c r="I10970" t="s">
        <v>9552</v>
      </c>
      <c r="J10970" t="s">
        <v>14975</v>
      </c>
      <c r="K10970" t="s">
        <v>19304</v>
      </c>
      <c r="M10970">
        <f>HYPERLINK("https://www.senat.fr/senateur-3eme-republique/huguet_auguste0972r3.html", "huguet_auguste0972r3")</f>
        <v>0</v>
      </c>
      <c r="N10970">
        <f>HYPERLINK("https://www.wikidata.org/wiki/Q2871223", "Q2871223")</f>
        <v>0</v>
      </c>
      <c r="O10970" t="s">
        <v>19968</v>
      </c>
      <c r="Q10970" t="s">
        <v>390</v>
      </c>
      <c r="R10970" t="s">
        <v>21653</v>
      </c>
      <c r="S10970">
        <v>3282</v>
      </c>
    </row>
    <row r="10971" spans="1:19">
      <c r="A10971" t="s">
        <v>129</v>
      </c>
      <c r="B10971" t="s">
        <v>150</v>
      </c>
      <c r="C10971" t="s">
        <v>261</v>
      </c>
      <c r="D10971" t="s">
        <v>390</v>
      </c>
      <c r="F10971">
        <f>HYPERLINK("https://www.wikidata.org/wiki/Q111103097", "Q111103097")</f>
        <v>0</v>
      </c>
      <c r="G10971" t="s">
        <v>4632</v>
      </c>
      <c r="H10971" t="s">
        <v>8775</v>
      </c>
      <c r="I10971" t="s">
        <v>6759</v>
      </c>
      <c r="J10971" t="s">
        <v>15107</v>
      </c>
      <c r="K10971" t="s">
        <v>19427</v>
      </c>
      <c r="M10971">
        <f>HYPERLINK("https://www.senat.fr/senateur-3eme-republique/goutay_robert0984r3.html", "goutay_robert0984r3")</f>
        <v>0</v>
      </c>
      <c r="N10971">
        <f>HYPERLINK("https://www.wikidata.org/wiki/Q3435264", "Q3435264")</f>
        <v>0</v>
      </c>
      <c r="O10971" t="s">
        <v>20005</v>
      </c>
      <c r="Q10971" t="s">
        <v>390</v>
      </c>
      <c r="R10971" t="s">
        <v>19427</v>
      </c>
      <c r="S10971">
        <v>2658</v>
      </c>
    </row>
    <row r="10972" spans="1:19">
      <c r="A10972" t="s">
        <v>129</v>
      </c>
      <c r="B10972" t="s">
        <v>150</v>
      </c>
      <c r="C10972" t="s">
        <v>261</v>
      </c>
      <c r="D10972" t="s">
        <v>390</v>
      </c>
      <c r="F10972">
        <f>HYPERLINK("https://www.wikidata.org/wiki/Q111103097", "Q111103097")</f>
        <v>0</v>
      </c>
      <c r="G10972" t="s">
        <v>4493</v>
      </c>
      <c r="H10972" t="s">
        <v>8639</v>
      </c>
      <c r="I10972" t="s">
        <v>6736</v>
      </c>
      <c r="J10972" t="s">
        <v>14977</v>
      </c>
      <c r="K10972" t="s">
        <v>19306</v>
      </c>
      <c r="M10972">
        <f>HYPERLINK("https://www.senat.fr/senateur-3eme-republique/salneuve_mathieu0996r3.html", "salneuve_mathieu0996r3")</f>
        <v>0</v>
      </c>
      <c r="N10972">
        <f>HYPERLINK("https://www.wikidata.org/wiki/Q3298858", "Q3298858")</f>
        <v>0</v>
      </c>
      <c r="O10972" t="s">
        <v>20005</v>
      </c>
      <c r="Q10972" t="s">
        <v>390</v>
      </c>
      <c r="R10972" t="s">
        <v>21650</v>
      </c>
      <c r="S10972">
        <v>23296</v>
      </c>
    </row>
    <row r="10973" spans="1:19">
      <c r="A10973" t="s">
        <v>129</v>
      </c>
      <c r="B10973" t="s">
        <v>150</v>
      </c>
      <c r="C10973" t="s">
        <v>261</v>
      </c>
      <c r="D10973" t="s">
        <v>390</v>
      </c>
      <c r="F10973">
        <f>HYPERLINK("https://www.wikidata.org/wiki/Q111103097", "Q111103097")</f>
        <v>0</v>
      </c>
      <c r="G10973" t="s">
        <v>4597</v>
      </c>
      <c r="H10973" t="s">
        <v>8741</v>
      </c>
      <c r="I10973" t="s">
        <v>9474</v>
      </c>
      <c r="J10973" t="s">
        <v>15076</v>
      </c>
      <c r="K10973" t="s">
        <v>19396</v>
      </c>
      <c r="M10973">
        <f>HYPERLINK("https://www.senat.fr/senateur-3eme-republique/guyot_lavaline_jean_baptiste0992r3.html", "guyot_lavaline_jean_baptiste0992r3")</f>
        <v>0</v>
      </c>
      <c r="N10973">
        <f>HYPERLINK("https://www.wikidata.org/wiki/Q3164136", "Q3164136")</f>
        <v>0</v>
      </c>
      <c r="O10973" t="s">
        <v>20005</v>
      </c>
      <c r="Q10973" t="s">
        <v>390</v>
      </c>
      <c r="R10973" t="s">
        <v>21653</v>
      </c>
      <c r="S10973">
        <v>3282</v>
      </c>
    </row>
    <row r="10974" spans="1:19">
      <c r="A10974" t="s">
        <v>129</v>
      </c>
      <c r="B10974" t="s">
        <v>150</v>
      </c>
      <c r="C10974" t="s">
        <v>261</v>
      </c>
      <c r="D10974" t="s">
        <v>390</v>
      </c>
      <c r="F10974">
        <f>HYPERLINK("https://www.wikidata.org/wiki/Q111103097", "Q111103097")</f>
        <v>0</v>
      </c>
      <c r="G10974" t="s">
        <v>4633</v>
      </c>
      <c r="H10974" t="s">
        <v>8776</v>
      </c>
      <c r="I10974" t="s">
        <v>9681</v>
      </c>
      <c r="J10974" t="s">
        <v>15108</v>
      </c>
      <c r="K10974" t="s">
        <v>19428</v>
      </c>
      <c r="M10974">
        <f>HYPERLINK("https://www.senat.fr/senateur-3eme-republique/farines_achille1095r3.html", "farines_achille1095r3")</f>
        <v>0</v>
      </c>
      <c r="N10974">
        <f>HYPERLINK("https://www.wikidata.org/wiki/Q2823059", "Q2823059")</f>
        <v>0</v>
      </c>
      <c r="O10974" t="s">
        <v>20001</v>
      </c>
      <c r="Q10974" t="s">
        <v>390</v>
      </c>
      <c r="R10974" t="s">
        <v>21658</v>
      </c>
      <c r="S10974">
        <v>48</v>
      </c>
    </row>
    <row r="10975" spans="1:19">
      <c r="A10975" t="s">
        <v>129</v>
      </c>
      <c r="B10975" t="s">
        <v>150</v>
      </c>
      <c r="C10975" t="s">
        <v>261</v>
      </c>
      <c r="D10975" t="s">
        <v>390</v>
      </c>
      <c r="F10975">
        <f>HYPERLINK("https://www.wikidata.org/wiki/Q111103097", "Q111103097")</f>
        <v>0</v>
      </c>
      <c r="G10975" t="s">
        <v>4494</v>
      </c>
      <c r="H10975" t="s">
        <v>8640</v>
      </c>
      <c r="I10975" t="s">
        <v>9414</v>
      </c>
      <c r="J10975" t="s">
        <v>14978</v>
      </c>
      <c r="K10975" t="s">
        <v>19307</v>
      </c>
      <c r="M10975">
        <f>HYPERLINK("https://www.senat.fr/senateur-3eme-republique/arago_emmanuel1087r3.html", "arago_emmanuel1087r3")</f>
        <v>0</v>
      </c>
      <c r="N10975">
        <f>HYPERLINK("https://www.wikidata.org/wiki/Q2658508", "Q2658508")</f>
        <v>0</v>
      </c>
      <c r="O10975" t="s">
        <v>20001</v>
      </c>
      <c r="Q10975" t="s">
        <v>390</v>
      </c>
      <c r="R10975" t="s">
        <v>21653</v>
      </c>
      <c r="S10975">
        <v>3282</v>
      </c>
    </row>
    <row r="10976" spans="1:19">
      <c r="A10976" t="s">
        <v>129</v>
      </c>
      <c r="B10976" t="s">
        <v>150</v>
      </c>
      <c r="C10976" t="s">
        <v>261</v>
      </c>
      <c r="D10976" t="s">
        <v>390</v>
      </c>
      <c r="F10976">
        <f>HYPERLINK("https://www.wikidata.org/wiki/Q111103097", "Q111103097")</f>
        <v>0</v>
      </c>
      <c r="G10976" t="s">
        <v>4609</v>
      </c>
      <c r="H10976" t="s">
        <v>8753</v>
      </c>
      <c r="I10976" t="s">
        <v>7140</v>
      </c>
      <c r="J10976" t="s">
        <v>15087</v>
      </c>
      <c r="K10976" t="s">
        <v>19407</v>
      </c>
      <c r="M10976">
        <f>HYPERLINK("https://www.senat.fr/senateur-3eme-republique/vallier_germain1140r3.html", "vallier_germain1140r3")</f>
        <v>0</v>
      </c>
      <c r="N10976">
        <f>HYPERLINK("https://www.wikidata.org/wiki/Q3104146", "Q3104146")</f>
        <v>0</v>
      </c>
      <c r="O10976" t="s">
        <v>19965</v>
      </c>
      <c r="Q10976" t="s">
        <v>390</v>
      </c>
      <c r="R10976" t="s">
        <v>21650</v>
      </c>
      <c r="S10976">
        <v>23296</v>
      </c>
    </row>
    <row r="10977" spans="1:19">
      <c r="A10977" t="s">
        <v>129</v>
      </c>
      <c r="B10977" t="s">
        <v>150</v>
      </c>
      <c r="C10977" t="s">
        <v>261</v>
      </c>
      <c r="D10977" t="s">
        <v>390</v>
      </c>
      <c r="F10977">
        <f>HYPERLINK("https://www.wikidata.org/wiki/Q111103097", "Q111103097")</f>
        <v>0</v>
      </c>
      <c r="G10977" t="s">
        <v>4634</v>
      </c>
      <c r="H10977" t="s">
        <v>8777</v>
      </c>
      <c r="I10977" t="s">
        <v>6495</v>
      </c>
      <c r="J10977" t="s">
        <v>15109</v>
      </c>
      <c r="K10977" t="s">
        <v>19429</v>
      </c>
      <c r="M10977">
        <f>HYPERLINK("https://www.senat.fr/senateur-3eme-republique/munier_louis1133r3.html", "munier_louis1133r3")</f>
        <v>0</v>
      </c>
      <c r="N10977">
        <f>HYPERLINK("https://www.wikidata.org/wiki/Q3262764", "Q3262764")</f>
        <v>0</v>
      </c>
      <c r="O10977" t="s">
        <v>19965</v>
      </c>
      <c r="Q10977" t="s">
        <v>390</v>
      </c>
      <c r="R10977" t="s">
        <v>21653</v>
      </c>
      <c r="S10977">
        <v>3282</v>
      </c>
    </row>
    <row r="10978" spans="1:19">
      <c r="A10978" t="s">
        <v>129</v>
      </c>
      <c r="B10978" t="s">
        <v>150</v>
      </c>
      <c r="C10978" t="s">
        <v>261</v>
      </c>
      <c r="D10978" t="s">
        <v>390</v>
      </c>
      <c r="F10978">
        <f>HYPERLINK("https://www.wikidata.org/wiki/Q111103097", "Q111103097")</f>
        <v>0</v>
      </c>
      <c r="G10978" t="s">
        <v>4291</v>
      </c>
      <c r="H10978" t="s">
        <v>8450</v>
      </c>
      <c r="I10978" t="s">
        <v>9728</v>
      </c>
      <c r="J10978" t="s">
        <v>14790</v>
      </c>
      <c r="K10978" t="s">
        <v>19134</v>
      </c>
      <c r="M10978">
        <f>HYPERLINK("https://www.senat.fr/senateur-3eme-republique/millaud_edouard1120r3.html", "millaud_edouard1120r3")</f>
        <v>0</v>
      </c>
      <c r="N10978">
        <f>HYPERLINK("https://www.wikidata.org/wiki/Q3579963", "Q3579963")</f>
        <v>0</v>
      </c>
      <c r="O10978" t="s">
        <v>19965</v>
      </c>
      <c r="Q10978" t="s">
        <v>390</v>
      </c>
      <c r="R10978" t="s">
        <v>21653</v>
      </c>
      <c r="S10978">
        <v>3282</v>
      </c>
    </row>
    <row r="10979" spans="1:19">
      <c r="A10979" t="s">
        <v>129</v>
      </c>
      <c r="B10979" t="s">
        <v>150</v>
      </c>
      <c r="C10979" t="s">
        <v>261</v>
      </c>
      <c r="D10979" t="s">
        <v>390</v>
      </c>
      <c r="F10979">
        <f>HYPERLINK("https://www.wikidata.org/wiki/Q111103097", "Q111103097")</f>
        <v>0</v>
      </c>
      <c r="G10979" t="s">
        <v>4497</v>
      </c>
      <c r="H10979" t="s">
        <v>8643</v>
      </c>
      <c r="I10979" t="s">
        <v>9385</v>
      </c>
      <c r="J10979" t="s">
        <v>14981</v>
      </c>
      <c r="K10979" t="s">
        <v>19310</v>
      </c>
      <c r="M10979">
        <f>HYPERLINK("https://www.senat.fr/senateur-3eme-republique/guillemaut_charles1213r3.html", "guillemaut_charles1213r3")</f>
        <v>0</v>
      </c>
      <c r="N10979">
        <f>HYPERLINK("https://www.wikidata.org/wiki/Q2959273", "Q2959273")</f>
        <v>0</v>
      </c>
      <c r="O10979" t="s">
        <v>19994</v>
      </c>
      <c r="Q10979" t="s">
        <v>390</v>
      </c>
      <c r="R10979" t="s">
        <v>21650</v>
      </c>
      <c r="S10979">
        <v>23296</v>
      </c>
    </row>
    <row r="10980" spans="1:19">
      <c r="A10980" t="s">
        <v>129</v>
      </c>
      <c r="B10980" t="s">
        <v>150</v>
      </c>
      <c r="C10980" t="s">
        <v>261</v>
      </c>
      <c r="D10980" t="s">
        <v>390</v>
      </c>
      <c r="F10980">
        <f>HYPERLINK("https://www.wikidata.org/wiki/Q111103097", "Q111103097")</f>
        <v>0</v>
      </c>
      <c r="G10980" t="s">
        <v>4598</v>
      </c>
      <c r="H10980" t="s">
        <v>8742</v>
      </c>
      <c r="I10980" t="s">
        <v>9458</v>
      </c>
      <c r="J10980" t="s">
        <v>15077</v>
      </c>
      <c r="K10980" t="s">
        <v>19397</v>
      </c>
      <c r="M10980">
        <f>HYPERLINK("https://www.senat.fr/senateur-3eme-republique/mathey_alfred1208r3.html", "mathey_alfred1208r3")</f>
        <v>0</v>
      </c>
      <c r="N10980">
        <f>HYPERLINK("https://www.wikidata.org/wiki/Q2835316", "Q2835316")</f>
        <v>0</v>
      </c>
      <c r="O10980" t="s">
        <v>19994</v>
      </c>
      <c r="Q10980" t="s">
        <v>390</v>
      </c>
      <c r="R10980" t="s">
        <v>21653</v>
      </c>
      <c r="S10980">
        <v>3282</v>
      </c>
    </row>
    <row r="10981" spans="1:19">
      <c r="A10981" t="s">
        <v>129</v>
      </c>
      <c r="B10981" t="s">
        <v>150</v>
      </c>
      <c r="C10981" t="s">
        <v>261</v>
      </c>
      <c r="D10981" t="s">
        <v>390</v>
      </c>
      <c r="F10981">
        <f>HYPERLINK("https://www.wikidata.org/wiki/Q111103097", "Q111103097")</f>
        <v>0</v>
      </c>
      <c r="G10981" t="s">
        <v>4257</v>
      </c>
      <c r="H10981" t="s">
        <v>8426</v>
      </c>
      <c r="I10981" t="s">
        <v>9385</v>
      </c>
      <c r="J10981" t="s">
        <v>14761</v>
      </c>
      <c r="K10981" t="s">
        <v>19106</v>
      </c>
      <c r="M10981">
        <f>HYPERLINK("https://www.senat.fr/senateur-3eme-republique/demole_charles1218r3.html", "demole_charles1218r3")</f>
        <v>0</v>
      </c>
      <c r="N10981">
        <f>HYPERLINK("https://www.wikidata.org/wiki/Q2958875", "Q2958875")</f>
        <v>0</v>
      </c>
      <c r="O10981" t="s">
        <v>19994</v>
      </c>
      <c r="Q10981" t="s">
        <v>390</v>
      </c>
      <c r="R10981" t="s">
        <v>21653</v>
      </c>
      <c r="S10981">
        <v>3282</v>
      </c>
    </row>
    <row r="10982" spans="1:19">
      <c r="A10982" t="s">
        <v>129</v>
      </c>
      <c r="B10982" t="s">
        <v>150</v>
      </c>
      <c r="C10982" t="s">
        <v>261</v>
      </c>
      <c r="D10982" t="s">
        <v>390</v>
      </c>
      <c r="F10982">
        <f>HYPERLINK("https://www.wikidata.org/wiki/Q111103097", "Q111103097")</f>
        <v>0</v>
      </c>
      <c r="G10982" t="s">
        <v>4635</v>
      </c>
      <c r="H10982" t="s">
        <v>8778</v>
      </c>
      <c r="I10982" t="s">
        <v>6495</v>
      </c>
      <c r="J10982" t="s">
        <v>15090</v>
      </c>
      <c r="K10982" t="s">
        <v>19430</v>
      </c>
      <c r="M10982">
        <f>HYPERLINK("https://www.senat.fr/senateur-3eme-republique/cordelet_louis1239r3.html", "cordelet_louis1239r3")</f>
        <v>0</v>
      </c>
      <c r="N10982">
        <f>HYPERLINK("https://www.wikidata.org/wiki/Q3261588", "Q3261588")</f>
        <v>0</v>
      </c>
      <c r="O10982" t="s">
        <v>19956</v>
      </c>
      <c r="Q10982" t="s">
        <v>390</v>
      </c>
      <c r="R10982" t="s">
        <v>21653</v>
      </c>
      <c r="S10982">
        <v>3282</v>
      </c>
    </row>
    <row r="10983" spans="1:19">
      <c r="A10983" t="s">
        <v>129</v>
      </c>
      <c r="B10983" t="s">
        <v>150</v>
      </c>
      <c r="C10983" t="s">
        <v>261</v>
      </c>
      <c r="D10983" t="s">
        <v>390</v>
      </c>
      <c r="F10983">
        <f>HYPERLINK("https://www.wikidata.org/wiki/Q111103097", "Q111103097")</f>
        <v>0</v>
      </c>
      <c r="G10983" t="s">
        <v>4611</v>
      </c>
      <c r="H10983" t="s">
        <v>8755</v>
      </c>
      <c r="I10983" t="s">
        <v>5765</v>
      </c>
      <c r="J10983" t="s">
        <v>15088</v>
      </c>
      <c r="K10983" t="s">
        <v>19409</v>
      </c>
      <c r="M10983">
        <f>HYPERLINK("https://www.senat.fr/senateur-3eme-republique/parent_nicolas1299r3.html", "parent_nicolas1299r3")</f>
        <v>0</v>
      </c>
      <c r="N10983">
        <f>HYPERLINK("https://www.wikidata.org/wiki/Q3340651", "Q3340651")</f>
        <v>0</v>
      </c>
      <c r="O10983" t="s">
        <v>19988</v>
      </c>
      <c r="Q10983" t="s">
        <v>390</v>
      </c>
      <c r="R10983" t="s">
        <v>21650</v>
      </c>
      <c r="S10983">
        <v>23296</v>
      </c>
    </row>
    <row r="10984" spans="1:19">
      <c r="A10984" t="s">
        <v>129</v>
      </c>
      <c r="B10984" t="s">
        <v>150</v>
      </c>
      <c r="C10984" t="s">
        <v>261</v>
      </c>
      <c r="D10984" t="s">
        <v>390</v>
      </c>
      <c r="F10984">
        <f>HYPERLINK("https://www.wikidata.org/wiki/Q111103097", "Q111103097")</f>
        <v>0</v>
      </c>
      <c r="G10984" t="s">
        <v>4636</v>
      </c>
      <c r="H10984" t="s">
        <v>8779</v>
      </c>
      <c r="I10984" t="s">
        <v>6166</v>
      </c>
      <c r="J10984" t="s">
        <v>15110</v>
      </c>
      <c r="K10984" t="s">
        <v>18390</v>
      </c>
      <c r="M10984">
        <f>HYPERLINK("https://www.senat.fr/senateur-3eme-republique/carquet_francois1295r3.html", "carquet_francois1295r3")</f>
        <v>0</v>
      </c>
      <c r="N10984">
        <f>HYPERLINK("https://www.wikidata.org/wiki/Q3084184", "Q3084184")</f>
        <v>0</v>
      </c>
      <c r="O10984" t="s">
        <v>19988</v>
      </c>
      <c r="Q10984" t="s">
        <v>390</v>
      </c>
      <c r="R10984" t="s">
        <v>21653</v>
      </c>
      <c r="S10984">
        <v>3282</v>
      </c>
    </row>
    <row r="10985" spans="1:19">
      <c r="A10985" t="s">
        <v>129</v>
      </c>
      <c r="B10985" t="s">
        <v>150</v>
      </c>
      <c r="C10985" t="s">
        <v>261</v>
      </c>
      <c r="D10985" t="s">
        <v>390</v>
      </c>
      <c r="F10985">
        <f>HYPERLINK("https://www.wikidata.org/wiki/Q111103097", "Q111103097")</f>
        <v>0</v>
      </c>
      <c r="G10985" t="s">
        <v>4503</v>
      </c>
      <c r="H10985" t="s">
        <v>8649</v>
      </c>
      <c r="I10985" t="s">
        <v>9483</v>
      </c>
      <c r="J10985" t="s">
        <v>14987</v>
      </c>
      <c r="K10985" t="s">
        <v>19316</v>
      </c>
      <c r="M10985">
        <f>HYPERLINK("https://www.senat.fr/senateur-3eme-republique/hugo_victor1354r3.html", "hugo_victor1354r3")</f>
        <v>0</v>
      </c>
      <c r="N10985">
        <f>HYPERLINK("https://www.wikidata.org/wiki/Q535", "Q535")</f>
        <v>0</v>
      </c>
      <c r="O10985" t="s">
        <v>19969</v>
      </c>
      <c r="Q10985" t="s">
        <v>390</v>
      </c>
      <c r="R10985" t="s">
        <v>21650</v>
      </c>
      <c r="S10985">
        <v>23296</v>
      </c>
    </row>
    <row r="10986" spans="1:19">
      <c r="A10986" t="s">
        <v>129</v>
      </c>
      <c r="B10986" t="s">
        <v>150</v>
      </c>
      <c r="C10986" t="s">
        <v>261</v>
      </c>
      <c r="D10986" t="s">
        <v>390</v>
      </c>
      <c r="F10986">
        <f>HYPERLINK("https://www.wikidata.org/wiki/Q111103097", "Q111103097")</f>
        <v>0</v>
      </c>
      <c r="G10986" t="s">
        <v>4504</v>
      </c>
      <c r="H10986" t="s">
        <v>8650</v>
      </c>
      <c r="I10986" t="s">
        <v>9426</v>
      </c>
      <c r="J10986" t="s">
        <v>14988</v>
      </c>
      <c r="K10986" t="s">
        <v>19133</v>
      </c>
      <c r="M10986">
        <f>HYPERLINK("https://www.senat.fr/senateur-3eme-republique/peyrat_alphonse1369r3.html", "peyrat_alphonse1369r3")</f>
        <v>0</v>
      </c>
      <c r="N10986">
        <f>HYPERLINK("https://www.wikidata.org/wiki/Q2839934", "Q2839934")</f>
        <v>0</v>
      </c>
      <c r="O10986" t="s">
        <v>19969</v>
      </c>
      <c r="Q10986" t="s">
        <v>390</v>
      </c>
      <c r="R10986" t="s">
        <v>21650</v>
      </c>
      <c r="S10986">
        <v>23296</v>
      </c>
    </row>
    <row r="10987" spans="1:19">
      <c r="A10987" t="s">
        <v>129</v>
      </c>
      <c r="B10987" t="s">
        <v>150</v>
      </c>
      <c r="C10987" t="s">
        <v>261</v>
      </c>
      <c r="D10987" t="s">
        <v>390</v>
      </c>
      <c r="F10987">
        <f>HYPERLINK("https://www.wikidata.org/wiki/Q111103097", "Q111103097")</f>
        <v>0</v>
      </c>
      <c r="G10987" t="s">
        <v>4245</v>
      </c>
      <c r="H10987" t="s">
        <v>8418</v>
      </c>
      <c r="I10987" t="s">
        <v>9385</v>
      </c>
      <c r="J10987" t="s">
        <v>14751</v>
      </c>
      <c r="K10987" t="s">
        <v>19097</v>
      </c>
      <c r="M10987">
        <f>HYPERLINK("https://www.senat.fr/senateur-3eme-republique/de_saulces_de_freycinet_louis1713r3.html", "de_saulces_de_freycinet_louis1713r3")</f>
        <v>0</v>
      </c>
      <c r="N10987">
        <f>HYPERLINK("https://www.wikidata.org/wiki/Q317957", "Q317957")</f>
        <v>0</v>
      </c>
      <c r="O10987" t="s">
        <v>19969</v>
      </c>
      <c r="Q10987" t="s">
        <v>390</v>
      </c>
      <c r="R10987" t="s">
        <v>21653</v>
      </c>
      <c r="S10987">
        <v>3282</v>
      </c>
    </row>
    <row r="10988" spans="1:19">
      <c r="A10988" t="s">
        <v>129</v>
      </c>
      <c r="B10988" t="s">
        <v>150</v>
      </c>
      <c r="C10988" t="s">
        <v>261</v>
      </c>
      <c r="D10988" t="s">
        <v>390</v>
      </c>
      <c r="F10988">
        <f>HYPERLINK("https://www.wikidata.org/wiki/Q111103097", "Q111103097")</f>
        <v>0</v>
      </c>
      <c r="G10988" t="s">
        <v>4505</v>
      </c>
      <c r="H10988" t="s">
        <v>8651</v>
      </c>
      <c r="I10988" t="s">
        <v>7911</v>
      </c>
      <c r="J10988" t="s">
        <v>14989</v>
      </c>
      <c r="K10988" t="s">
        <v>12271</v>
      </c>
      <c r="M10988">
        <f>HYPERLINK("https://www.senat.fr/senateur-3eme-republique/adam_gabriel1595r3.html", "adam_gabriel1595r3")</f>
        <v>0</v>
      </c>
      <c r="N10988">
        <f>HYPERLINK("https://www.wikidata.org/wiki/Q3093575", "Q3093575")</f>
        <v>0</v>
      </c>
      <c r="O10988" t="s">
        <v>20026</v>
      </c>
      <c r="Q10988" t="s">
        <v>390</v>
      </c>
      <c r="R10988" t="s">
        <v>21650</v>
      </c>
      <c r="S10988">
        <v>23296</v>
      </c>
    </row>
    <row r="10989" spans="1:19">
      <c r="A10989" t="s">
        <v>129</v>
      </c>
      <c r="B10989" t="s">
        <v>150</v>
      </c>
      <c r="C10989" t="s">
        <v>261</v>
      </c>
      <c r="D10989" t="s">
        <v>390</v>
      </c>
      <c r="F10989">
        <f>HYPERLINK("https://www.wikidata.org/wiki/Q111103097", "Q111103097")</f>
        <v>0</v>
      </c>
      <c r="G10989" t="s">
        <v>4506</v>
      </c>
      <c r="H10989" t="s">
        <v>8652</v>
      </c>
      <c r="I10989" t="s">
        <v>6495</v>
      </c>
      <c r="J10989" t="s">
        <v>14990</v>
      </c>
      <c r="K10989" t="s">
        <v>19317</v>
      </c>
      <c r="M10989">
        <f>HYPERLINK("https://www.senat.fr/senateur-3eme-republique/foucher_de_careil_louis1576r3.html", "foucher_de_careil_louis1576r3")</f>
        <v>0</v>
      </c>
      <c r="N10989">
        <f>HYPERLINK("https://www.wikidata.org/wiki/Q3260296", "Q3260296")</f>
        <v>0</v>
      </c>
      <c r="O10989" t="s">
        <v>20026</v>
      </c>
      <c r="Q10989" t="s">
        <v>390</v>
      </c>
      <c r="R10989" t="s">
        <v>21653</v>
      </c>
      <c r="S10989">
        <v>3282</v>
      </c>
    </row>
    <row r="10990" spans="1:19">
      <c r="A10990" t="s">
        <v>129</v>
      </c>
      <c r="B10990" t="s">
        <v>150</v>
      </c>
      <c r="C10990" t="s">
        <v>261</v>
      </c>
      <c r="D10990" t="s">
        <v>390</v>
      </c>
      <c r="F10990">
        <f>HYPERLINK("https://www.wikidata.org/wiki/Q111103097", "Q111103097")</f>
        <v>0</v>
      </c>
      <c r="G10990" t="s">
        <v>4507</v>
      </c>
      <c r="H10990" t="s">
        <v>8653</v>
      </c>
      <c r="I10990" t="s">
        <v>9385</v>
      </c>
      <c r="J10990" t="s">
        <v>14991</v>
      </c>
      <c r="K10990" t="s">
        <v>19318</v>
      </c>
      <c r="M10990">
        <f>HYPERLINK("https://www.senat.fr/senateur-3eme-republique/gilbert_boucher_charles1651r3.html", "gilbert_boucher_charles1651r3")</f>
        <v>0</v>
      </c>
      <c r="N10990">
        <f>HYPERLINK("https://www.wikidata.org/wiki/Q2959203", "Q2959203")</f>
        <v>0</v>
      </c>
      <c r="O10990" t="s">
        <v>19976</v>
      </c>
      <c r="Q10990" t="s">
        <v>390</v>
      </c>
      <c r="R10990" t="s">
        <v>21650</v>
      </c>
      <c r="S10990">
        <v>23296</v>
      </c>
    </row>
    <row r="10991" spans="1:19">
      <c r="A10991" t="s">
        <v>129</v>
      </c>
      <c r="B10991" t="s">
        <v>150</v>
      </c>
      <c r="C10991" t="s">
        <v>261</v>
      </c>
      <c r="D10991" t="s">
        <v>390</v>
      </c>
      <c r="F10991">
        <f>HYPERLINK("https://www.wikidata.org/wiki/Q111103097", "Q111103097")</f>
        <v>0</v>
      </c>
      <c r="G10991" t="s">
        <v>4508</v>
      </c>
      <c r="H10991" t="s">
        <v>8654</v>
      </c>
      <c r="I10991" t="s">
        <v>9442</v>
      </c>
      <c r="J10991" t="s">
        <v>14992</v>
      </c>
      <c r="K10991" t="s">
        <v>19319</v>
      </c>
      <c r="M10991">
        <f>HYPERLINK("https://www.senat.fr/senateur-3eme-republique/feray_ernest1643r3.html", "feray_ernest1643r3")</f>
        <v>0</v>
      </c>
      <c r="N10991">
        <f>HYPERLINK("https://www.wikidata.org/wiki/Q3056949", "Q3056949")</f>
        <v>0</v>
      </c>
      <c r="O10991" t="s">
        <v>19976</v>
      </c>
      <c r="Q10991" t="s">
        <v>390</v>
      </c>
      <c r="R10991" t="s">
        <v>21650</v>
      </c>
      <c r="S10991">
        <v>23296</v>
      </c>
    </row>
    <row r="10992" spans="1:19">
      <c r="A10992" t="s">
        <v>129</v>
      </c>
      <c r="B10992" t="s">
        <v>150</v>
      </c>
      <c r="C10992" t="s">
        <v>261</v>
      </c>
      <c r="D10992" t="s">
        <v>390</v>
      </c>
      <c r="F10992">
        <f>HYPERLINK("https://www.wikidata.org/wiki/Q111103097", "Q111103097")</f>
        <v>0</v>
      </c>
      <c r="G10992" t="s">
        <v>4637</v>
      </c>
      <c r="H10992" t="s">
        <v>8780</v>
      </c>
      <c r="I10992" t="s">
        <v>6860</v>
      </c>
      <c r="J10992" t="s">
        <v>15111</v>
      </c>
      <c r="K10992" t="s">
        <v>19431</v>
      </c>
      <c r="M10992">
        <f>HYPERLINK("https://www.senat.fr/senateur-3eme-republique/lizot_pierre1604r3.html", "lizot_pierre1604r3")</f>
        <v>0</v>
      </c>
      <c r="N10992">
        <f>HYPERLINK("https://www.wikidata.org/wiki/Q3385969", "Q3385969")</f>
        <v>0</v>
      </c>
      <c r="O10992" t="s">
        <v>19978</v>
      </c>
      <c r="Q10992" t="s">
        <v>390</v>
      </c>
      <c r="R10992" t="s">
        <v>21653</v>
      </c>
      <c r="S10992">
        <v>3282</v>
      </c>
    </row>
    <row r="10993" spans="1:19">
      <c r="A10993" t="s">
        <v>129</v>
      </c>
      <c r="B10993" t="s">
        <v>150</v>
      </c>
      <c r="C10993" t="s">
        <v>261</v>
      </c>
      <c r="D10993" t="s">
        <v>390</v>
      </c>
      <c r="F10993">
        <f>HYPERLINK("https://www.wikidata.org/wiki/Q111103097", "Q111103097")</f>
        <v>0</v>
      </c>
      <c r="G10993" t="s">
        <v>4314</v>
      </c>
      <c r="H10993" t="s">
        <v>8656</v>
      </c>
      <c r="I10993" t="s">
        <v>6860</v>
      </c>
      <c r="J10993" t="s">
        <v>14811</v>
      </c>
      <c r="K10993" t="s">
        <v>19153</v>
      </c>
      <c r="M10993">
        <f>HYPERLINK("https://www.senat.fr/senateur-3eme-republique/robert_pierre1590r3.html", "robert_pierre1590r3")</f>
        <v>0</v>
      </c>
      <c r="N10993">
        <f>HYPERLINK("https://www.wikidata.org/wiki/Q3386817", "Q3386817")</f>
        <v>0</v>
      </c>
      <c r="O10993" t="s">
        <v>19978</v>
      </c>
      <c r="Q10993" t="s">
        <v>390</v>
      </c>
      <c r="R10993" t="s">
        <v>21650</v>
      </c>
      <c r="S10993">
        <v>23296</v>
      </c>
    </row>
    <row r="10994" spans="1:19">
      <c r="A10994" t="s">
        <v>129</v>
      </c>
      <c r="B10994" t="s">
        <v>150</v>
      </c>
      <c r="C10994" t="s">
        <v>261</v>
      </c>
      <c r="D10994" t="s">
        <v>390</v>
      </c>
      <c r="F10994">
        <f>HYPERLINK("https://www.wikidata.org/wiki/Q111103097", "Q111103097")</f>
        <v>0</v>
      </c>
      <c r="G10994" t="s">
        <v>4510</v>
      </c>
      <c r="H10994" t="s">
        <v>8657</v>
      </c>
      <c r="I10994" t="s">
        <v>9488</v>
      </c>
      <c r="J10994" t="s">
        <v>14994</v>
      </c>
      <c r="K10994" t="s">
        <v>19321</v>
      </c>
      <c r="M10994">
        <f>HYPERLINK("https://www.senat.fr/senateur-3eme-republique/ancel_daniel1580r3.html", "ancel_daniel1580r3")</f>
        <v>0</v>
      </c>
      <c r="N10994">
        <f>HYPERLINK("https://www.wikidata.org/wiki/Q3188397", "Q3188397")</f>
        <v>0</v>
      </c>
      <c r="O10994" t="s">
        <v>19978</v>
      </c>
      <c r="Q10994" t="s">
        <v>390</v>
      </c>
      <c r="R10994" t="s">
        <v>21653</v>
      </c>
      <c r="S10994">
        <v>3282</v>
      </c>
    </row>
    <row r="10995" spans="1:19">
      <c r="A10995" t="s">
        <v>129</v>
      </c>
      <c r="B10995" t="s">
        <v>150</v>
      </c>
      <c r="C10995" t="s">
        <v>261</v>
      </c>
      <c r="D10995" t="s">
        <v>390</v>
      </c>
      <c r="F10995">
        <f>HYPERLINK("https://www.wikidata.org/wiki/Q111103097", "Q111103097")</f>
        <v>0</v>
      </c>
      <c r="G10995" t="s">
        <v>4312</v>
      </c>
      <c r="H10995" t="s">
        <v>8468</v>
      </c>
      <c r="I10995" t="s">
        <v>6584</v>
      </c>
      <c r="J10995" t="s">
        <v>14810</v>
      </c>
      <c r="K10995" t="s">
        <v>19151</v>
      </c>
      <c r="M10995">
        <f>HYPERLINK("https://www.senat.fr/senateur-3eme-republique/dauphin_albert1648r3.html", "dauphin_albert1648r3")</f>
        <v>0</v>
      </c>
      <c r="N10995">
        <f>HYPERLINK("https://www.wikidata.org/wiki/Q2831085", "Q2831085")</f>
        <v>0</v>
      </c>
      <c r="O10995" t="s">
        <v>20012</v>
      </c>
      <c r="Q10995" t="s">
        <v>390</v>
      </c>
      <c r="R10995" t="s">
        <v>21653</v>
      </c>
      <c r="S10995">
        <v>3282</v>
      </c>
    </row>
    <row r="10996" spans="1:19">
      <c r="A10996" t="s">
        <v>129</v>
      </c>
      <c r="B10996" t="s">
        <v>150</v>
      </c>
      <c r="C10996" t="s">
        <v>261</v>
      </c>
      <c r="D10996" t="s">
        <v>390</v>
      </c>
      <c r="F10996">
        <f>HYPERLINK("https://www.wikidata.org/wiki/Q111103097", "Q111103097")</f>
        <v>0</v>
      </c>
      <c r="G10996" t="s">
        <v>4638</v>
      </c>
      <c r="H10996" t="s">
        <v>8781</v>
      </c>
      <c r="I10996" t="s">
        <v>8240</v>
      </c>
      <c r="J10996" t="s">
        <v>15112</v>
      </c>
      <c r="K10996" t="s">
        <v>19432</v>
      </c>
      <c r="M10996">
        <f>HYPERLINK("https://www.senat.fr/senateur-3eme-republique/rigal_pascal1680r3.html", "rigal_pascal1680r3")</f>
        <v>0</v>
      </c>
      <c r="N10996">
        <f>HYPERLINK("https://www.wikidata.org/wiki/Q3367592", "Q3367592")</f>
        <v>0</v>
      </c>
      <c r="O10996" t="s">
        <v>19962</v>
      </c>
      <c r="Q10996" t="s">
        <v>390</v>
      </c>
      <c r="R10996" t="s">
        <v>19432</v>
      </c>
      <c r="S10996">
        <v>2701</v>
      </c>
    </row>
    <row r="10997" spans="1:19">
      <c r="A10997" t="s">
        <v>129</v>
      </c>
      <c r="B10997" t="s">
        <v>150</v>
      </c>
      <c r="C10997" t="s">
        <v>261</v>
      </c>
      <c r="D10997" t="s">
        <v>390</v>
      </c>
      <c r="F10997">
        <f>HYPERLINK("https://www.wikidata.org/wiki/Q111103097", "Q111103097")</f>
        <v>0</v>
      </c>
      <c r="G10997" t="s">
        <v>4292</v>
      </c>
      <c r="H10997" t="s">
        <v>8451</v>
      </c>
      <c r="I10997" t="s">
        <v>9728</v>
      </c>
      <c r="J10997" t="s">
        <v>14791</v>
      </c>
      <c r="K10997" t="s">
        <v>19135</v>
      </c>
      <c r="M10997">
        <f>HYPERLINK("https://www.senat.fr/senateur-3eme-republique/barbey_edouard1693r3.html", "barbey_edouard1693r3")</f>
        <v>0</v>
      </c>
      <c r="N10997">
        <f>HYPERLINK("https://www.wikidata.org/wiki/Q1857743", "Q1857743")</f>
        <v>0</v>
      </c>
      <c r="O10997" t="s">
        <v>19962</v>
      </c>
      <c r="Q10997" t="s">
        <v>390</v>
      </c>
      <c r="R10997" t="s">
        <v>21653</v>
      </c>
      <c r="S10997">
        <v>3282</v>
      </c>
    </row>
    <row r="10998" spans="1:19">
      <c r="A10998" t="s">
        <v>129</v>
      </c>
      <c r="B10998" t="s">
        <v>150</v>
      </c>
      <c r="C10998" t="s">
        <v>261</v>
      </c>
      <c r="D10998" t="s">
        <v>390</v>
      </c>
      <c r="F10998">
        <f>HYPERLINK("https://www.wikidata.org/wiki/Q111103097", "Q111103097")</f>
        <v>0</v>
      </c>
      <c r="G10998" t="s">
        <v>4639</v>
      </c>
      <c r="H10998" t="s">
        <v>8782</v>
      </c>
      <c r="I10998" t="s">
        <v>9421</v>
      </c>
      <c r="J10998" t="s">
        <v>15113</v>
      </c>
      <c r="K10998" t="s">
        <v>19433</v>
      </c>
      <c r="M10998">
        <f>HYPERLINK("https://www.senat.fr/senateur-3eme-republique/garrisson_gustave1723r3.html", "garrisson_gustave1723r3")</f>
        <v>0</v>
      </c>
      <c r="N10998">
        <f>HYPERLINK("https://www.wikidata.org/wiki/Q3121195", "Q3121195")</f>
        <v>0</v>
      </c>
      <c r="O10998" t="s">
        <v>20045</v>
      </c>
      <c r="Q10998" t="s">
        <v>390</v>
      </c>
      <c r="R10998" t="s">
        <v>21653</v>
      </c>
      <c r="S10998">
        <v>3282</v>
      </c>
    </row>
    <row r="10999" spans="1:19">
      <c r="A10999" t="s">
        <v>129</v>
      </c>
      <c r="B10999" t="s">
        <v>150</v>
      </c>
      <c r="C10999" t="s">
        <v>261</v>
      </c>
      <c r="D10999" t="s">
        <v>390</v>
      </c>
      <c r="F10999">
        <f>HYPERLINK("https://www.wikidata.org/wiki/Q111103097", "Q111103097")</f>
        <v>0</v>
      </c>
      <c r="G10999" t="s">
        <v>4532</v>
      </c>
      <c r="H10999" t="s">
        <v>8679</v>
      </c>
      <c r="I10999" t="s">
        <v>6166</v>
      </c>
      <c r="J10999" t="s">
        <v>15013</v>
      </c>
      <c r="K10999" t="s">
        <v>19341</v>
      </c>
      <c r="M10999">
        <f>HYPERLINK("https://www.senat.fr/senateur-3eme-republique/viellard_migeon_francois1815r3.html", "viellard_migeon_francois1815r3")</f>
        <v>0</v>
      </c>
      <c r="N10999">
        <f>HYPERLINK("https://www.wikidata.org/wiki/Q3086008", "Q3086008")</f>
        <v>0</v>
      </c>
      <c r="O10999" t="s">
        <v>20400</v>
      </c>
      <c r="Q10999" t="s">
        <v>390</v>
      </c>
      <c r="R10999" t="s">
        <v>21650</v>
      </c>
      <c r="S10999">
        <v>23296</v>
      </c>
    </row>
    <row r="11000" spans="1:19">
      <c r="A11000" t="s">
        <v>129</v>
      </c>
      <c r="B11000" t="s">
        <v>150</v>
      </c>
      <c r="C11000" t="s">
        <v>261</v>
      </c>
      <c r="D11000" t="s">
        <v>390</v>
      </c>
      <c r="F11000">
        <f>HYPERLINK("https://www.wikidata.org/wiki/Q111103097", "Q111103097")</f>
        <v>0</v>
      </c>
      <c r="G11000" t="s">
        <v>4302</v>
      </c>
      <c r="H11000" t="s">
        <v>5649</v>
      </c>
      <c r="I11000" t="s">
        <v>9385</v>
      </c>
      <c r="J11000" t="s">
        <v>14800</v>
      </c>
      <c r="K11000" t="s">
        <v>19143</v>
      </c>
      <c r="M11000">
        <f>HYPERLINK("https://www.senat.fr/senateur-3eme-republique/brun_charles1729r3.html", "brun_charles1729r3")</f>
        <v>0</v>
      </c>
      <c r="N11000">
        <f>HYPERLINK("https://www.wikidata.org/wiki/Q2958626", "Q2958626")</f>
        <v>0</v>
      </c>
      <c r="O11000" t="s">
        <v>20042</v>
      </c>
      <c r="Q11000" t="s">
        <v>390</v>
      </c>
      <c r="R11000" t="s">
        <v>21650</v>
      </c>
      <c r="S11000">
        <v>23296</v>
      </c>
    </row>
    <row r="11001" spans="1:19">
      <c r="A11001" t="s">
        <v>129</v>
      </c>
      <c r="B11001" t="s">
        <v>150</v>
      </c>
      <c r="C11001" t="s">
        <v>261</v>
      </c>
      <c r="D11001" t="s">
        <v>390</v>
      </c>
      <c r="F11001">
        <f>HYPERLINK("https://www.wikidata.org/wiki/Q111103097", "Q111103097")</f>
        <v>0</v>
      </c>
      <c r="G11001" t="s">
        <v>4306</v>
      </c>
      <c r="H11001" t="s">
        <v>8462</v>
      </c>
      <c r="I11001" t="s">
        <v>11180</v>
      </c>
      <c r="J11001" t="s">
        <v>14804</v>
      </c>
      <c r="K11001" t="s">
        <v>19147</v>
      </c>
      <c r="M11001">
        <f>HYPERLINK("https://www.senat.fr/senateur-3eme-republique/ferrouillat_jean_baptiste1735r3.html", "ferrouillat_jean_baptiste1735r3")</f>
        <v>0</v>
      </c>
      <c r="N11001">
        <f>HYPERLINK("https://www.wikidata.org/wiki/Q3179696", "Q3179696")</f>
        <v>0</v>
      </c>
      <c r="O11001" t="s">
        <v>20042</v>
      </c>
      <c r="Q11001" t="s">
        <v>390</v>
      </c>
      <c r="R11001" t="s">
        <v>21650</v>
      </c>
      <c r="S11001">
        <v>23296</v>
      </c>
    </row>
    <row r="11002" spans="1:19">
      <c r="A11002" t="s">
        <v>129</v>
      </c>
      <c r="B11002" t="s">
        <v>150</v>
      </c>
      <c r="C11002" t="s">
        <v>261</v>
      </c>
      <c r="D11002" t="s">
        <v>390</v>
      </c>
      <c r="F11002">
        <f>HYPERLINK("https://www.wikidata.org/wiki/Q111103097", "Q111103097")</f>
        <v>0</v>
      </c>
      <c r="G11002" t="s">
        <v>4514</v>
      </c>
      <c r="H11002" t="s">
        <v>8661</v>
      </c>
      <c r="I11002" t="s">
        <v>9407</v>
      </c>
      <c r="J11002" t="s">
        <v>14998</v>
      </c>
      <c r="K11002" t="s">
        <v>19324</v>
      </c>
      <c r="M11002">
        <f>HYPERLINK("https://www.senat.fr/senateur-3eme-republique/pin_joseph1707r3.html", "pin_joseph1707r3")</f>
        <v>0</v>
      </c>
      <c r="N11002">
        <f>HYPERLINK("https://www.wikidata.org/wiki/Q3051912", "Q3051912")</f>
        <v>0</v>
      </c>
      <c r="O11002" t="s">
        <v>20047</v>
      </c>
      <c r="Q11002" t="s">
        <v>390</v>
      </c>
      <c r="R11002" t="s">
        <v>21650</v>
      </c>
      <c r="S11002">
        <v>23296</v>
      </c>
    </row>
    <row r="11003" spans="1:19">
      <c r="A11003" t="s">
        <v>129</v>
      </c>
      <c r="B11003" t="s">
        <v>150</v>
      </c>
      <c r="C11003" t="s">
        <v>261</v>
      </c>
      <c r="D11003" t="s">
        <v>390</v>
      </c>
      <c r="F11003">
        <f>HYPERLINK("https://www.wikidata.org/wiki/Q111103097", "Q111103097")</f>
        <v>0</v>
      </c>
      <c r="G11003" t="s">
        <v>4599</v>
      </c>
      <c r="H11003" t="s">
        <v>8743</v>
      </c>
      <c r="I11003" t="s">
        <v>11205</v>
      </c>
      <c r="J11003" t="s">
        <v>15078</v>
      </c>
      <c r="K11003" t="s">
        <v>19398</v>
      </c>
      <c r="M11003">
        <f>HYPERLINK("https://www.senat.fr/senateur-3eme-republique/halgan_stephane1752r3.html", "halgan_stephane1752r3")</f>
        <v>0</v>
      </c>
      <c r="N11003">
        <f>HYPERLINK("https://www.wikidata.org/wiki/Q3501816", "Q3501816")</f>
        <v>0</v>
      </c>
      <c r="O11003" t="s">
        <v>19972</v>
      </c>
      <c r="Q11003" t="s">
        <v>390</v>
      </c>
      <c r="R11003" t="s">
        <v>21650</v>
      </c>
      <c r="S11003">
        <v>23296</v>
      </c>
    </row>
    <row r="11004" spans="1:19">
      <c r="A11004" t="s">
        <v>129</v>
      </c>
      <c r="B11004" t="s">
        <v>150</v>
      </c>
      <c r="C11004" t="s">
        <v>261</v>
      </c>
      <c r="D11004" t="s">
        <v>390</v>
      </c>
      <c r="F11004">
        <f>HYPERLINK("https://www.wikidata.org/wiki/Q111103097", "Q111103097")</f>
        <v>0</v>
      </c>
      <c r="G11004" t="s">
        <v>4516</v>
      </c>
      <c r="H11004" t="s">
        <v>8663</v>
      </c>
      <c r="I11004" t="s">
        <v>9552</v>
      </c>
      <c r="J11004" t="s">
        <v>15000</v>
      </c>
      <c r="K11004" t="s">
        <v>19326</v>
      </c>
      <c r="M11004">
        <f>HYPERLINK("https://www.senat.fr/senateur-3eme-republique/de_cornulier_de_la_lande_auguste1747r3.html", "de_cornulier_de_la_lande_auguste1747r3")</f>
        <v>0</v>
      </c>
      <c r="N11004">
        <f>HYPERLINK("https://www.wikidata.org/wiki/Q2871474", "Q2871474")</f>
        <v>0</v>
      </c>
      <c r="O11004" t="s">
        <v>19972</v>
      </c>
      <c r="Q11004" t="s">
        <v>390</v>
      </c>
      <c r="R11004" t="s">
        <v>21650</v>
      </c>
      <c r="S11004">
        <v>23296</v>
      </c>
    </row>
    <row r="11005" spans="1:19">
      <c r="A11005" t="s">
        <v>129</v>
      </c>
      <c r="B11005" t="s">
        <v>150</v>
      </c>
      <c r="C11005" t="s">
        <v>261</v>
      </c>
      <c r="D11005" t="s">
        <v>390</v>
      </c>
      <c r="F11005">
        <f>HYPERLINK("https://www.wikidata.org/wiki/Q111103097", "Q111103097")</f>
        <v>0</v>
      </c>
      <c r="G11005" t="s">
        <v>4517</v>
      </c>
      <c r="H11005" t="s">
        <v>8664</v>
      </c>
      <c r="I11005" t="s">
        <v>9497</v>
      </c>
      <c r="J11005" t="s">
        <v>15001</v>
      </c>
      <c r="K11005" t="s">
        <v>17969</v>
      </c>
      <c r="M11005">
        <f>HYPERLINK("https://www.senat.fr/senateur-3eme-republique/gaudineau_baptiste1743r3.html", "gaudineau_baptiste1743r3")</f>
        <v>0</v>
      </c>
      <c r="N11005">
        <f>HYPERLINK("https://www.wikidata.org/wiki/Q2883661", "Q2883661")</f>
        <v>0</v>
      </c>
      <c r="O11005" t="s">
        <v>19972</v>
      </c>
      <c r="Q11005" t="s">
        <v>390</v>
      </c>
      <c r="R11005" t="s">
        <v>21650</v>
      </c>
      <c r="S11005">
        <v>23296</v>
      </c>
    </row>
    <row r="11006" spans="1:19">
      <c r="A11006" t="s">
        <v>129</v>
      </c>
      <c r="B11006" t="s">
        <v>150</v>
      </c>
      <c r="C11006" t="s">
        <v>261</v>
      </c>
      <c r="D11006" t="s">
        <v>390</v>
      </c>
      <c r="F11006">
        <f>HYPERLINK("https://www.wikidata.org/wiki/Q111103097", "Q111103097")</f>
        <v>0</v>
      </c>
      <c r="G11006" t="s">
        <v>4541</v>
      </c>
      <c r="H11006" t="s">
        <v>8688</v>
      </c>
      <c r="I11006" t="s">
        <v>9465</v>
      </c>
      <c r="J11006" t="s">
        <v>15022</v>
      </c>
      <c r="K11006" t="s">
        <v>17742</v>
      </c>
      <c r="M11006">
        <f>HYPERLINK("https://www.senat.fr/senateur-3eme-republique/arnaudeau_eugene1758r3.html", "arnaudeau_eugene1758r3")</f>
        <v>0</v>
      </c>
      <c r="N11006">
        <f>HYPERLINK("https://www.wikidata.org/wiki/Q3059698", "Q3059698")</f>
        <v>0</v>
      </c>
      <c r="O11006" t="s">
        <v>19982</v>
      </c>
      <c r="Q11006" t="s">
        <v>390</v>
      </c>
      <c r="R11006" t="s">
        <v>21650</v>
      </c>
      <c r="S11006">
        <v>23296</v>
      </c>
    </row>
    <row r="11007" spans="1:19">
      <c r="A11007" t="s">
        <v>129</v>
      </c>
      <c r="B11007" t="s">
        <v>150</v>
      </c>
      <c r="C11007" t="s">
        <v>261</v>
      </c>
      <c r="D11007" t="s">
        <v>390</v>
      </c>
      <c r="F11007">
        <f>HYPERLINK("https://www.wikidata.org/wiki/Q111103097", "Q111103097")</f>
        <v>0</v>
      </c>
      <c r="G11007" t="s">
        <v>4518</v>
      </c>
      <c r="H11007" t="s">
        <v>8665</v>
      </c>
      <c r="I11007" t="s">
        <v>6495</v>
      </c>
      <c r="J11007" t="s">
        <v>15002</v>
      </c>
      <c r="K11007" t="s">
        <v>19327</v>
      </c>
      <c r="M11007">
        <f>HYPERLINK("https://www.senat.fr/senateur-3eme-republique/de_ladmirault_louis1763r3.html", "de_ladmirault_louis1763r3")</f>
        <v>0</v>
      </c>
      <c r="N11007">
        <f>HYPERLINK("https://www.wikidata.org/wiki/Q318038", "Q318038")</f>
        <v>0</v>
      </c>
      <c r="O11007" t="s">
        <v>19982</v>
      </c>
      <c r="Q11007" t="s">
        <v>390</v>
      </c>
      <c r="R11007" t="s">
        <v>21650</v>
      </c>
      <c r="S11007">
        <v>23296</v>
      </c>
    </row>
    <row r="11008" spans="1:19">
      <c r="A11008" t="s">
        <v>129</v>
      </c>
      <c r="B11008" t="s">
        <v>150</v>
      </c>
      <c r="C11008" t="s">
        <v>261</v>
      </c>
      <c r="D11008" t="s">
        <v>390</v>
      </c>
      <c r="F11008">
        <f>HYPERLINK("https://www.wikidata.org/wiki/Q111103097", "Q111103097")</f>
        <v>0</v>
      </c>
      <c r="G11008" t="s">
        <v>4519</v>
      </c>
      <c r="H11008" t="s">
        <v>8666</v>
      </c>
      <c r="I11008" t="s">
        <v>5765</v>
      </c>
      <c r="J11008" t="s">
        <v>15003</v>
      </c>
      <c r="K11008" t="s">
        <v>19328</v>
      </c>
      <c r="M11008">
        <f>HYPERLINK("https://www.senat.fr/senateur-3eme-republique/claude_nicolas1796r3.html", "claude_nicolas1796r3")</f>
        <v>0</v>
      </c>
      <c r="N11008">
        <f>HYPERLINK("https://www.wikidata.org/wiki/Q3340201", "Q3340201")</f>
        <v>0</v>
      </c>
      <c r="O11008" t="s">
        <v>20017</v>
      </c>
      <c r="Q11008" t="s">
        <v>390</v>
      </c>
      <c r="R11008" t="s">
        <v>21650</v>
      </c>
      <c r="S11008">
        <v>23296</v>
      </c>
    </row>
    <row r="11009" spans="1:19">
      <c r="A11009" t="s">
        <v>129</v>
      </c>
      <c r="B11009" t="s">
        <v>150</v>
      </c>
      <c r="C11009" t="s">
        <v>261</v>
      </c>
      <c r="D11009" t="s">
        <v>390</v>
      </c>
      <c r="F11009">
        <f>HYPERLINK("https://www.wikidata.org/wiki/Q111103097", "Q111103097")</f>
        <v>0</v>
      </c>
      <c r="G11009" t="s">
        <v>4640</v>
      </c>
      <c r="H11009" t="s">
        <v>8783</v>
      </c>
      <c r="I11009" t="s">
        <v>11210</v>
      </c>
      <c r="J11009" t="s">
        <v>15114</v>
      </c>
      <c r="K11009" t="s">
        <v>19434</v>
      </c>
      <c r="M11009">
        <f>HYPERLINK("https://www.senat.fr/senateur-3eme-republique/kiener_christian1803r3.html", "kiener_christian1803r3")</f>
        <v>0</v>
      </c>
      <c r="N11009">
        <f>HYPERLINK("https://www.wikidata.org/wiki/Q2965373", "Q2965373")</f>
        <v>0</v>
      </c>
      <c r="O11009" t="s">
        <v>20017</v>
      </c>
      <c r="Q11009" t="s">
        <v>390</v>
      </c>
      <c r="R11009" t="s">
        <v>21653</v>
      </c>
      <c r="S11009">
        <v>3282</v>
      </c>
    </row>
    <row r="11010" spans="1:19">
      <c r="A11010" t="s">
        <v>129</v>
      </c>
      <c r="B11010" t="s">
        <v>150</v>
      </c>
      <c r="C11010" t="s">
        <v>261</v>
      </c>
      <c r="D11010" t="s">
        <v>390</v>
      </c>
      <c r="F11010">
        <f>HYPERLINK("https://www.wikidata.org/wiki/Q111103097", "Q111103097")</f>
        <v>0</v>
      </c>
      <c r="G11010" t="s">
        <v>4520</v>
      </c>
      <c r="H11010" t="s">
        <v>8667</v>
      </c>
      <c r="I11010" t="s">
        <v>11198</v>
      </c>
      <c r="J11010" t="s">
        <v>15004</v>
      </c>
      <c r="K11010" t="s">
        <v>19329</v>
      </c>
      <c r="M11010">
        <f>HYPERLINK("https://www.senat.fr/senateur-3eme-republique/george_eustache1808r3.html", "george_eustache1808r3")</f>
        <v>0</v>
      </c>
      <c r="N11010">
        <f>HYPERLINK("https://www.wikidata.org/wiki/Q3588533", "Q3588533")</f>
        <v>0</v>
      </c>
      <c r="O11010" t="s">
        <v>20017</v>
      </c>
      <c r="Q11010" t="s">
        <v>390</v>
      </c>
      <c r="R11010" t="s">
        <v>21650</v>
      </c>
      <c r="S11010">
        <v>23296</v>
      </c>
    </row>
    <row r="11011" spans="1:19">
      <c r="A11011" t="s">
        <v>129</v>
      </c>
      <c r="B11011" t="s">
        <v>150</v>
      </c>
      <c r="C11011" t="s">
        <v>261</v>
      </c>
      <c r="D11011" t="s">
        <v>390</v>
      </c>
      <c r="F11011">
        <f>HYPERLINK("https://www.wikidata.org/wiki/Q111103097", "Q111103097")</f>
        <v>0</v>
      </c>
      <c r="G11011" t="s">
        <v>4521</v>
      </c>
      <c r="H11011" t="s">
        <v>8668</v>
      </c>
      <c r="I11011" t="s">
        <v>9472</v>
      </c>
      <c r="J11011" t="s">
        <v>13598</v>
      </c>
      <c r="K11011" t="s">
        <v>19330</v>
      </c>
      <c r="M11011">
        <f>HYPERLINK("https://www.senat.fr/senateur-3eme-republique/ribiere_hippolyte1841r3.html", "ribiere_hippolyte1841r3")</f>
        <v>0</v>
      </c>
      <c r="N11011">
        <f>HYPERLINK("https://www.wikidata.org/wiki/Q3136113", "Q3136113")</f>
        <v>0</v>
      </c>
      <c r="O11011" t="s">
        <v>20034</v>
      </c>
      <c r="Q11011" t="s">
        <v>390</v>
      </c>
      <c r="R11011" t="s">
        <v>21650</v>
      </c>
      <c r="S11011">
        <v>23296</v>
      </c>
    </row>
    <row r="11012" spans="1:19">
      <c r="A11012" t="s">
        <v>129</v>
      </c>
      <c r="B11012" t="s">
        <v>150</v>
      </c>
      <c r="C11012" t="s">
        <v>261</v>
      </c>
      <c r="D11012" t="s">
        <v>390</v>
      </c>
      <c r="F11012">
        <f>HYPERLINK("https://www.wikidata.org/wiki/Q111103097", "Q111103097")</f>
        <v>0</v>
      </c>
      <c r="G11012" t="s">
        <v>4522</v>
      </c>
      <c r="H11012" t="s">
        <v>8669</v>
      </c>
      <c r="I11012" t="s">
        <v>9375</v>
      </c>
      <c r="J11012" t="s">
        <v>15005</v>
      </c>
      <c r="K11012" t="s">
        <v>19331</v>
      </c>
      <c r="M11012">
        <f>HYPERLINK("https://www.senat.fr/senateur-3eme-republique/charton_edouard1837r3.html", "charton_edouard1837r3")</f>
        <v>0</v>
      </c>
      <c r="N11012">
        <f>HYPERLINK("https://www.wikidata.org/wiki/Q528558", "Q528558")</f>
        <v>0</v>
      </c>
      <c r="O11012" t="s">
        <v>20034</v>
      </c>
      <c r="Q11012" t="s">
        <v>390</v>
      </c>
      <c r="R11012" t="s">
        <v>21650</v>
      </c>
      <c r="S11012">
        <v>23296</v>
      </c>
    </row>
    <row r="11013" spans="1:19">
      <c r="A11013" t="s">
        <v>129</v>
      </c>
      <c r="B11013" t="s">
        <v>150</v>
      </c>
      <c r="C11013" t="s">
        <v>261</v>
      </c>
      <c r="D11013" t="s">
        <v>390</v>
      </c>
      <c r="F11013">
        <f>HYPERLINK("https://www.wikidata.org/wiki/Q111103097", "Q111103097")</f>
        <v>0</v>
      </c>
      <c r="G11013" t="s">
        <v>2889</v>
      </c>
      <c r="H11013" t="s">
        <v>7373</v>
      </c>
      <c r="I11013" t="s">
        <v>10505</v>
      </c>
      <c r="J11013" t="s">
        <v>13524</v>
      </c>
      <c r="K11013" t="s">
        <v>17913</v>
      </c>
      <c r="L11013">
        <f>HYPERLINK("https://www2.assemblee-nationale.fr/sycomore/fiche/(num_dept)/8222", "8222")</f>
        <v>0</v>
      </c>
      <c r="M11013">
        <f>HYPERLINK("https://www.senat.fr/senateur-3eme-republique/escarguel_lazare1096r3.html", "escarguel_lazare1096r3")</f>
        <v>0</v>
      </c>
      <c r="N11013">
        <f>HYPERLINK("https://www.wikidata.org/wiki/Q3220004", "Q3220004")</f>
        <v>0</v>
      </c>
      <c r="O11013" t="s">
        <v>20001</v>
      </c>
      <c r="Q11013" t="s">
        <v>21019</v>
      </c>
      <c r="R11013" t="s">
        <v>21653</v>
      </c>
      <c r="S11013">
        <v>3274</v>
      </c>
    </row>
    <row r="11014" spans="1:19">
      <c r="A11014" t="s">
        <v>129</v>
      </c>
      <c r="B11014" t="s">
        <v>150</v>
      </c>
      <c r="C11014" t="s">
        <v>261</v>
      </c>
      <c r="D11014" t="s">
        <v>390</v>
      </c>
      <c r="F11014">
        <f>HYPERLINK("https://www.wikidata.org/wiki/Q111103097", "Q111103097")</f>
        <v>0</v>
      </c>
      <c r="G11014" t="s">
        <v>4641</v>
      </c>
      <c r="H11014" t="s">
        <v>8784</v>
      </c>
      <c r="I11014" t="s">
        <v>9426</v>
      </c>
      <c r="J11014" t="s">
        <v>15115</v>
      </c>
      <c r="K11014" t="s">
        <v>19435</v>
      </c>
      <c r="M11014">
        <f>HYPERLINK("https://www.senat.fr/senateur-3eme-republique/lecointe_alphonse0735r3.html", "lecointe_alphonse0735r3")</f>
        <v>0</v>
      </c>
      <c r="N11014">
        <f>HYPERLINK("https://www.wikidata.org/wiki/Q2839872", "Q2839872")</f>
        <v>0</v>
      </c>
      <c r="O11014" t="s">
        <v>19992</v>
      </c>
      <c r="Q11014" t="s">
        <v>20661</v>
      </c>
      <c r="R11014" t="s">
        <v>21644</v>
      </c>
      <c r="S11014">
        <v>1063</v>
      </c>
    </row>
    <row r="11015" spans="1:19">
      <c r="A11015" t="s">
        <v>129</v>
      </c>
      <c r="B11015" t="s">
        <v>150</v>
      </c>
      <c r="C11015" t="s">
        <v>261</v>
      </c>
      <c r="D11015" t="s">
        <v>390</v>
      </c>
      <c r="F11015">
        <f>HYPERLINK("https://www.wikidata.org/wiki/Q111103097", "Q111103097")</f>
        <v>0</v>
      </c>
      <c r="G11015" t="s">
        <v>4633</v>
      </c>
      <c r="H11015" t="s">
        <v>8776</v>
      </c>
      <c r="I11015" t="s">
        <v>9681</v>
      </c>
      <c r="J11015" t="s">
        <v>15108</v>
      </c>
      <c r="K11015" t="s">
        <v>19428</v>
      </c>
      <c r="M11015">
        <f>HYPERLINK("https://www.senat.fr/senateur-3eme-republique/farines_achille1095r3.html", "farines_achille1095r3")</f>
        <v>0</v>
      </c>
      <c r="N11015">
        <f>HYPERLINK("https://www.wikidata.org/wiki/Q2823059", "Q2823059")</f>
        <v>0</v>
      </c>
      <c r="O11015" t="s">
        <v>20001</v>
      </c>
      <c r="Q11015" t="s">
        <v>20661</v>
      </c>
      <c r="R11015" t="s">
        <v>21650</v>
      </c>
      <c r="S11015">
        <v>23247</v>
      </c>
    </row>
    <row r="11016" spans="1:19">
      <c r="A11016" t="s">
        <v>129</v>
      </c>
      <c r="B11016" t="s">
        <v>150</v>
      </c>
      <c r="C11016" t="s">
        <v>261</v>
      </c>
      <c r="D11016" t="s">
        <v>390</v>
      </c>
      <c r="F11016">
        <f>HYPERLINK("https://www.wikidata.org/wiki/Q111103097", "Q111103097")</f>
        <v>0</v>
      </c>
      <c r="G11016" t="s">
        <v>4642</v>
      </c>
      <c r="H11016" t="s">
        <v>8785</v>
      </c>
      <c r="I11016" t="s">
        <v>9388</v>
      </c>
      <c r="J11016" t="s">
        <v>15116</v>
      </c>
      <c r="K11016" t="s">
        <v>18281</v>
      </c>
      <c r="M11016">
        <f>HYPERLINK("https://www.senat.fr/senateur-3eme-republique/frezoul_paul0182r3.html", "frezoul_paul0182r3")</f>
        <v>0</v>
      </c>
      <c r="N11016">
        <f>HYPERLINK("https://www.wikidata.org/wiki/Q3371247", "Q3371247")</f>
        <v>0</v>
      </c>
      <c r="O11016" t="s">
        <v>20019</v>
      </c>
      <c r="Q11016" t="s">
        <v>21020</v>
      </c>
      <c r="R11016" t="s">
        <v>21644</v>
      </c>
      <c r="S11016">
        <v>1035</v>
      </c>
    </row>
    <row r="11017" spans="1:19">
      <c r="A11017" t="s">
        <v>129</v>
      </c>
      <c r="B11017" t="s">
        <v>150</v>
      </c>
      <c r="C11017" t="s">
        <v>261</v>
      </c>
      <c r="D11017" t="s">
        <v>390</v>
      </c>
      <c r="F11017">
        <f>HYPERLINK("https://www.wikidata.org/wiki/Q111103097", "Q111103097")</f>
        <v>0</v>
      </c>
      <c r="G11017" t="s">
        <v>4643</v>
      </c>
      <c r="H11017" t="s">
        <v>8683</v>
      </c>
      <c r="I11017" t="s">
        <v>9457</v>
      </c>
      <c r="J11017" t="s">
        <v>14271</v>
      </c>
      <c r="K11017" t="s">
        <v>19436</v>
      </c>
      <c r="M11017">
        <f>HYPERLINK("https://www.senat.fr/senateur-3eme-republique/delbreil_henri1714r3.html", "delbreil_henri1714r3")</f>
        <v>0</v>
      </c>
      <c r="N11017">
        <f>HYPERLINK("https://www.wikidata.org/wiki/Q3130940", "Q3130940")</f>
        <v>0</v>
      </c>
      <c r="O11017" t="s">
        <v>20045</v>
      </c>
      <c r="Q11017" t="s">
        <v>21020</v>
      </c>
      <c r="R11017" t="s">
        <v>21653</v>
      </c>
      <c r="S11017">
        <v>3205</v>
      </c>
    </row>
    <row r="11018" spans="1:19">
      <c r="A11018" t="s">
        <v>129</v>
      </c>
      <c r="B11018" t="s">
        <v>150</v>
      </c>
      <c r="C11018" t="s">
        <v>261</v>
      </c>
      <c r="D11018" t="s">
        <v>390</v>
      </c>
      <c r="F11018">
        <f>HYPERLINK("https://www.wikidata.org/wiki/Q111103097", "Q111103097")</f>
        <v>0</v>
      </c>
      <c r="G11018" t="s">
        <v>4644</v>
      </c>
      <c r="H11018" t="s">
        <v>8703</v>
      </c>
      <c r="I11018" t="s">
        <v>7419</v>
      </c>
      <c r="J11018" t="s">
        <v>15117</v>
      </c>
      <c r="K11018" t="s">
        <v>19437</v>
      </c>
      <c r="M11018">
        <f>HYPERLINK("https://www.senat.fr/senateur-3eme-republique/hebrard_jacques1830r3.html", "hebrard_jacques1830r3")</f>
        <v>0</v>
      </c>
      <c r="N11018">
        <f>HYPERLINK("https://www.wikidata.org/wiki/Q3159135", "Q3159135")</f>
        <v>0</v>
      </c>
      <c r="O11018" t="s">
        <v>19955</v>
      </c>
      <c r="Q11018" t="s">
        <v>20663</v>
      </c>
      <c r="R11018" t="s">
        <v>21659</v>
      </c>
      <c r="S11018">
        <v>4416</v>
      </c>
    </row>
    <row r="11019" spans="1:19">
      <c r="A11019" t="s">
        <v>129</v>
      </c>
      <c r="B11019" t="s">
        <v>150</v>
      </c>
      <c r="C11019" t="s">
        <v>261</v>
      </c>
      <c r="D11019" t="s">
        <v>390</v>
      </c>
      <c r="F11019">
        <f>HYPERLINK("https://www.wikidata.org/wiki/Q111103097", "Q111103097")</f>
        <v>0</v>
      </c>
      <c r="G11019" t="s">
        <v>4645</v>
      </c>
      <c r="H11019" t="s">
        <v>8786</v>
      </c>
      <c r="I11019" t="s">
        <v>9385</v>
      </c>
      <c r="J11019" t="s">
        <v>15118</v>
      </c>
      <c r="K11019" t="s">
        <v>19438</v>
      </c>
      <c r="M11019">
        <f>HYPERLINK("https://www.senat.fr/senateur-3eme-republique/dietz_monnin_charles1464r3.html", "dietz_monnin_charles1464r3")</f>
        <v>0</v>
      </c>
      <c r="N11019">
        <f>HYPERLINK("https://www.wikidata.org/wiki/Q2398644", "Q2398644")</f>
        <v>0</v>
      </c>
      <c r="O11019" t="s">
        <v>20399</v>
      </c>
      <c r="Q11019" t="s">
        <v>21021</v>
      </c>
      <c r="R11019" t="s">
        <v>19438</v>
      </c>
      <c r="S11019">
        <v>4979</v>
      </c>
    </row>
    <row r="11020" spans="1:19">
      <c r="A11020" t="s">
        <v>129</v>
      </c>
      <c r="B11020" t="s">
        <v>150</v>
      </c>
      <c r="C11020" t="s">
        <v>261</v>
      </c>
      <c r="D11020" t="s">
        <v>390</v>
      </c>
      <c r="F11020">
        <f>HYPERLINK("https://www.wikidata.org/wiki/Q111103097", "Q111103097")</f>
        <v>0</v>
      </c>
      <c r="G11020" t="s">
        <v>4646</v>
      </c>
      <c r="H11020" t="s">
        <v>8787</v>
      </c>
      <c r="I11020" t="s">
        <v>6200</v>
      </c>
      <c r="J11020" t="s">
        <v>15119</v>
      </c>
      <c r="K11020" t="s">
        <v>19312</v>
      </c>
      <c r="M11020">
        <f>HYPERLINK("https://www.senat.fr/senateur-3eme-republique/brugerolle_jean0365r3.html", "brugerolle_jean0365r3")</f>
        <v>0</v>
      </c>
      <c r="N11020">
        <f>HYPERLINK("https://www.wikidata.org/wiki/Q3171008", "Q3171008")</f>
        <v>0</v>
      </c>
      <c r="O11020" t="s">
        <v>19966</v>
      </c>
      <c r="Q11020" t="s">
        <v>20666</v>
      </c>
      <c r="R11020" t="s">
        <v>19312</v>
      </c>
      <c r="S11020">
        <v>841</v>
      </c>
    </row>
    <row r="11021" spans="1:19">
      <c r="A11021" t="s">
        <v>129</v>
      </c>
      <c r="B11021" t="s">
        <v>150</v>
      </c>
      <c r="C11021" t="s">
        <v>261</v>
      </c>
      <c r="D11021" t="s">
        <v>390</v>
      </c>
      <c r="F11021">
        <f>HYPERLINK("https://www.wikidata.org/wiki/Q111103097", "Q111103097")</f>
        <v>0</v>
      </c>
      <c r="G11021" t="s">
        <v>4647</v>
      </c>
      <c r="H11021" t="s">
        <v>8788</v>
      </c>
      <c r="I11021" t="s">
        <v>6200</v>
      </c>
      <c r="J11021" t="s">
        <v>15120</v>
      </c>
      <c r="K11021" t="s">
        <v>19439</v>
      </c>
      <c r="M11021">
        <f>HYPERLINK("https://www.senat.fr/senateur-3eme-republique/milhet_fontarabie_jean0847r3.html", "milhet_fontarabie_jean0847r3")</f>
        <v>0</v>
      </c>
      <c r="N11021">
        <f>HYPERLINK("https://www.wikidata.org/wiki/Q3173533", "Q3173533")</f>
        <v>0</v>
      </c>
      <c r="O11021" t="s">
        <v>19963</v>
      </c>
      <c r="Q11021" t="s">
        <v>21022</v>
      </c>
      <c r="R11021" t="s">
        <v>21470</v>
      </c>
      <c r="S11021">
        <v>965</v>
      </c>
    </row>
    <row r="11022" spans="1:19">
      <c r="A11022" t="s">
        <v>129</v>
      </c>
      <c r="B11022" t="s">
        <v>150</v>
      </c>
      <c r="C11022" t="s">
        <v>261</v>
      </c>
      <c r="D11022" t="s">
        <v>390</v>
      </c>
      <c r="F11022">
        <f>HYPERLINK("https://www.wikidata.org/wiki/Q111103097", "Q111103097")</f>
        <v>0</v>
      </c>
      <c r="G11022" t="s">
        <v>4648</v>
      </c>
      <c r="H11022" t="s">
        <v>8789</v>
      </c>
      <c r="I11022" t="s">
        <v>9375</v>
      </c>
      <c r="J11022" t="s">
        <v>15121</v>
      </c>
      <c r="K11022" t="s">
        <v>19440</v>
      </c>
      <c r="M11022">
        <f>HYPERLINK("https://www.senat.fr/senateur-3eme-republique/allou_edouard1426r3.html", "allou_edouard1426r3")</f>
        <v>0</v>
      </c>
      <c r="N11022">
        <f>HYPERLINK("https://www.wikidata.org/wiki/Q3579723", "Q3579723")</f>
        <v>0</v>
      </c>
      <c r="O11022" t="s">
        <v>20399</v>
      </c>
      <c r="Q11022" t="s">
        <v>21023</v>
      </c>
      <c r="R11022" t="s">
        <v>19440</v>
      </c>
      <c r="S11022">
        <v>2194</v>
      </c>
    </row>
    <row r="11023" spans="1:19">
      <c r="A11023" t="s">
        <v>129</v>
      </c>
      <c r="B11023" t="s">
        <v>150</v>
      </c>
      <c r="C11023" t="s">
        <v>261</v>
      </c>
      <c r="D11023" t="s">
        <v>390</v>
      </c>
      <c r="F11023">
        <f>HYPERLINK("https://www.wikidata.org/wiki/Q111103097", "Q111103097")</f>
        <v>0</v>
      </c>
      <c r="G11023" t="s">
        <v>4649</v>
      </c>
      <c r="H11023" t="s">
        <v>8790</v>
      </c>
      <c r="I11023" t="s">
        <v>6495</v>
      </c>
      <c r="J11023" t="s">
        <v>15122</v>
      </c>
      <c r="K11023" t="s">
        <v>19441</v>
      </c>
      <c r="M11023">
        <f>HYPERLINK("https://www.senat.fr/senateur-3eme-republique/peronne_louis0160r3.html", "peronne_louis0160r3")</f>
        <v>0</v>
      </c>
      <c r="N11023">
        <f>HYPERLINK("https://www.wikidata.org/wiki/Q3261856", "Q3261856")</f>
        <v>0</v>
      </c>
      <c r="O11023" t="s">
        <v>19959</v>
      </c>
      <c r="Q11023" t="s">
        <v>21024</v>
      </c>
      <c r="R11023" t="s">
        <v>21644</v>
      </c>
      <c r="S11023">
        <v>870</v>
      </c>
    </row>
    <row r="11024" spans="1:19">
      <c r="A11024" t="s">
        <v>129</v>
      </c>
      <c r="B11024" t="s">
        <v>150</v>
      </c>
      <c r="C11024" t="s">
        <v>261</v>
      </c>
      <c r="D11024" t="s">
        <v>390</v>
      </c>
      <c r="F11024">
        <f>HYPERLINK("https://www.wikidata.org/wiki/Q111103097", "Q111103097")</f>
        <v>0</v>
      </c>
      <c r="G11024" t="s">
        <v>4650</v>
      </c>
      <c r="H11024" t="s">
        <v>8791</v>
      </c>
      <c r="I11024" t="s">
        <v>11211</v>
      </c>
      <c r="J11024" t="s">
        <v>15123</v>
      </c>
      <c r="K11024" t="s">
        <v>19442</v>
      </c>
      <c r="M11024">
        <f>HYPERLINK("https://www.senat.fr/senateur-3eme-republique/halna_du_fretay_hyppolite0783r3.html", "halna_du_fretay_hyppolite0783r3")</f>
        <v>0</v>
      </c>
      <c r="N11024">
        <f>HYPERLINK("https://www.wikidata.org/wiki/Q3136067", "Q3136067")</f>
        <v>0</v>
      </c>
      <c r="O11024" t="s">
        <v>20011</v>
      </c>
      <c r="Q11024" t="s">
        <v>21025</v>
      </c>
      <c r="R11024" t="s">
        <v>21644</v>
      </c>
      <c r="S11024">
        <v>811</v>
      </c>
    </row>
    <row r="11025" spans="1:19">
      <c r="A11025" t="s">
        <v>129</v>
      </c>
      <c r="B11025" t="s">
        <v>150</v>
      </c>
      <c r="C11025" t="s">
        <v>261</v>
      </c>
      <c r="D11025" t="s">
        <v>390</v>
      </c>
      <c r="F11025">
        <f>HYPERLINK("https://www.wikidata.org/wiki/Q111103097", "Q111103097")</f>
        <v>0</v>
      </c>
      <c r="G11025" t="s">
        <v>4651</v>
      </c>
      <c r="H11025" t="s">
        <v>8792</v>
      </c>
      <c r="I11025" t="s">
        <v>9375</v>
      </c>
      <c r="J11025" t="s">
        <v>15124</v>
      </c>
      <c r="K11025" t="s">
        <v>19443</v>
      </c>
      <c r="M11025">
        <f>HYPERLINK("https://www.senat.fr/senateur-3eme-republique/le_guen_edouard0796r3.html", "le_guen_edouard0796r3")</f>
        <v>0</v>
      </c>
      <c r="N11025">
        <f>HYPERLINK("https://www.wikidata.org/wiki/Q3579931", "Q3579931")</f>
        <v>0</v>
      </c>
      <c r="O11025" t="s">
        <v>20011</v>
      </c>
      <c r="Q11025" t="s">
        <v>21025</v>
      </c>
      <c r="R11025" t="s">
        <v>21644</v>
      </c>
      <c r="S11025">
        <v>811</v>
      </c>
    </row>
    <row r="11026" spans="1:19">
      <c r="A11026" t="s">
        <v>129</v>
      </c>
      <c r="B11026" t="s">
        <v>150</v>
      </c>
      <c r="C11026" t="s">
        <v>261</v>
      </c>
      <c r="D11026" t="s">
        <v>390</v>
      </c>
      <c r="F11026">
        <f>HYPERLINK("https://www.wikidata.org/wiki/Q111103097", "Q111103097")</f>
        <v>0</v>
      </c>
      <c r="G11026" t="s">
        <v>4652</v>
      </c>
      <c r="H11026" t="s">
        <v>8793</v>
      </c>
      <c r="I11026" t="s">
        <v>11212</v>
      </c>
      <c r="J11026" t="s">
        <v>15125</v>
      </c>
      <c r="K11026" t="s">
        <v>19444</v>
      </c>
      <c r="M11026">
        <f>HYPERLINK("https://www.senat.fr/senateur-3eme-republique/bardoux_agenor1430r3.html", "bardoux_agenor1430r3")</f>
        <v>0</v>
      </c>
      <c r="N11026">
        <f>HYPERLINK("https://www.wikidata.org/wiki/Q2827377", "Q2827377")</f>
        <v>0</v>
      </c>
      <c r="O11026" t="s">
        <v>20399</v>
      </c>
      <c r="Q11026" t="s">
        <v>21026</v>
      </c>
      <c r="R11026" t="s">
        <v>19444</v>
      </c>
      <c r="S11026">
        <v>5465</v>
      </c>
    </row>
    <row r="11027" spans="1:19">
      <c r="A11027" t="s">
        <v>129</v>
      </c>
      <c r="B11027" t="s">
        <v>150</v>
      </c>
      <c r="C11027" t="s">
        <v>261</v>
      </c>
      <c r="D11027" t="s">
        <v>390</v>
      </c>
      <c r="F11027">
        <f>HYPERLINK("https://www.wikidata.org/wiki/Q111103097", "Q111103097")</f>
        <v>0</v>
      </c>
      <c r="G11027" t="s">
        <v>4256</v>
      </c>
      <c r="H11027" t="s">
        <v>8425</v>
      </c>
      <c r="I11027" t="s">
        <v>11178</v>
      </c>
      <c r="J11027" t="s">
        <v>14760</v>
      </c>
      <c r="K11027" t="s">
        <v>18796</v>
      </c>
      <c r="M11027">
        <f>HYPERLINK("https://www.senat.fr/senateur-3eme-republique/clamageran_jean_jules1455r3.html", "clamageran_jean_jules1455r3")</f>
        <v>0</v>
      </c>
      <c r="N11027">
        <f>HYPERLINK("https://www.wikidata.org/wiki/Q3166560", "Q3166560")</f>
        <v>0</v>
      </c>
      <c r="O11027" t="s">
        <v>20399</v>
      </c>
      <c r="Q11027" t="s">
        <v>21026</v>
      </c>
      <c r="R11027" t="s">
        <v>21660</v>
      </c>
      <c r="S11027">
        <v>7483</v>
      </c>
    </row>
    <row r="11028" spans="1:19">
      <c r="A11028" t="s">
        <v>129</v>
      </c>
      <c r="B11028" t="s">
        <v>150</v>
      </c>
      <c r="C11028" t="s">
        <v>261</v>
      </c>
      <c r="D11028" t="s">
        <v>390</v>
      </c>
      <c r="F11028">
        <f>HYPERLINK("https://www.wikidata.org/wiki/Q111103097", "Q111103097")</f>
        <v>0</v>
      </c>
      <c r="G11028" t="s">
        <v>4653</v>
      </c>
      <c r="H11028" t="s">
        <v>8794</v>
      </c>
      <c r="I11028" t="s">
        <v>5812</v>
      </c>
      <c r="J11028" t="s">
        <v>14549</v>
      </c>
      <c r="K11028" t="s">
        <v>19445</v>
      </c>
      <c r="M11028">
        <f>HYPERLINK("https://www.senat.fr/senateur-3eme-republique/allegre_vincent0697r3.html", "allegre_vincent0697r3")</f>
        <v>0</v>
      </c>
      <c r="N11028">
        <f>HYPERLINK("https://www.wikidata.org/wiki/Q3559455", "Q3559455")</f>
        <v>0</v>
      </c>
      <c r="O11028" t="s">
        <v>20035</v>
      </c>
      <c r="Q11028" t="s">
        <v>20672</v>
      </c>
      <c r="R11028" t="s">
        <v>12619</v>
      </c>
      <c r="S11028">
        <v>2134</v>
      </c>
    </row>
    <row r="11029" spans="1:19">
      <c r="A11029" t="s">
        <v>129</v>
      </c>
      <c r="B11029" t="s">
        <v>150</v>
      </c>
      <c r="C11029" t="s">
        <v>261</v>
      </c>
      <c r="D11029" t="s">
        <v>390</v>
      </c>
      <c r="F11029">
        <f>HYPERLINK("https://www.wikidata.org/wiki/Q111103097", "Q111103097")</f>
        <v>0</v>
      </c>
      <c r="G11029" t="s">
        <v>4654</v>
      </c>
      <c r="H11029" t="s">
        <v>8795</v>
      </c>
      <c r="I11029" t="s">
        <v>9457</v>
      </c>
      <c r="J11029" t="s">
        <v>15126</v>
      </c>
      <c r="K11029" t="s">
        <v>19446</v>
      </c>
      <c r="M11029">
        <f>HYPERLINK("https://www.senat.fr/senateur-3eme-republique/de_verninac_saint_maur_henri0603r3.html", "de_verninac_saint_maur_henri0603r3")</f>
        <v>0</v>
      </c>
      <c r="N11029">
        <f>HYPERLINK("https://www.wikidata.org/wiki/Q3132393", "Q3132393")</f>
        <v>0</v>
      </c>
      <c r="O11029" t="s">
        <v>19974</v>
      </c>
      <c r="Q11029" t="s">
        <v>21027</v>
      </c>
      <c r="R11029" t="s">
        <v>21651</v>
      </c>
      <c r="S11029">
        <v>1826</v>
      </c>
    </row>
    <row r="11030" spans="1:19">
      <c r="A11030" t="s">
        <v>129</v>
      </c>
      <c r="B11030" t="s">
        <v>150</v>
      </c>
      <c r="C11030" t="s">
        <v>261</v>
      </c>
      <c r="D11030" t="s">
        <v>390</v>
      </c>
      <c r="F11030">
        <f>HYPERLINK("https://www.wikidata.org/wiki/Q111103097", "Q111103097")</f>
        <v>0</v>
      </c>
      <c r="G11030" t="s">
        <v>3439</v>
      </c>
      <c r="H11030" t="s">
        <v>7817</v>
      </c>
      <c r="I11030" t="s">
        <v>9636</v>
      </c>
      <c r="J11030" t="s">
        <v>14043</v>
      </c>
      <c r="K11030" t="s">
        <v>18411</v>
      </c>
      <c r="L11030">
        <f>HYPERLINK("https://www2.assemblee-nationale.fr/sycomore/fiche/(num_dept)/3052", "3052")</f>
        <v>0</v>
      </c>
      <c r="M11030">
        <f>HYPERLINK("https://www.senat.fr/senateur-3eme-republique/forcioli_dominique0691r3.html", "forcioli_dominique0691r3")</f>
        <v>0</v>
      </c>
      <c r="N11030">
        <f>HYPERLINK("https://www.wikidata.org/wiki/Q16025715", "Q16025715")</f>
        <v>0</v>
      </c>
      <c r="Q11030" t="s">
        <v>21028</v>
      </c>
      <c r="R11030" t="s">
        <v>21651</v>
      </c>
      <c r="S11030">
        <v>1823</v>
      </c>
    </row>
    <row r="11031" spans="1:19">
      <c r="A11031" t="s">
        <v>129</v>
      </c>
      <c r="B11031" t="s">
        <v>150</v>
      </c>
      <c r="C11031" t="s">
        <v>261</v>
      </c>
      <c r="D11031" t="s">
        <v>390</v>
      </c>
      <c r="F11031">
        <f>HYPERLINK("https://www.wikidata.org/wiki/Q111103097", "Q111103097")</f>
        <v>0</v>
      </c>
      <c r="G11031" t="s">
        <v>4655</v>
      </c>
      <c r="H11031" t="s">
        <v>8796</v>
      </c>
      <c r="I11031" t="s">
        <v>5528</v>
      </c>
      <c r="J11031" t="s">
        <v>15127</v>
      </c>
      <c r="K11031" t="s">
        <v>19447</v>
      </c>
      <c r="M11031">
        <f>HYPERLINK("https://www.senat.fr/senateur-3eme-republique/lalanne_leon1492r3.html", "lalanne_leon1492r3")</f>
        <v>0</v>
      </c>
      <c r="N11031">
        <f>HYPERLINK("https://www.wikidata.org/wiki/Q3271116", "Q3271116")</f>
        <v>0</v>
      </c>
      <c r="O11031" t="s">
        <v>20399</v>
      </c>
      <c r="Q11031" t="s">
        <v>21029</v>
      </c>
      <c r="R11031" t="s">
        <v>19447</v>
      </c>
      <c r="S11031">
        <v>3292</v>
      </c>
    </row>
    <row r="11032" spans="1:19">
      <c r="A11032" t="s">
        <v>129</v>
      </c>
      <c r="B11032" t="s">
        <v>150</v>
      </c>
      <c r="C11032" t="s">
        <v>261</v>
      </c>
      <c r="D11032" t="s">
        <v>390</v>
      </c>
      <c r="F11032">
        <f>HYPERLINK("https://www.wikidata.org/wiki/Q111103097", "Q111103097")</f>
        <v>0</v>
      </c>
      <c r="G11032" t="s">
        <v>4311</v>
      </c>
      <c r="H11032" t="s">
        <v>8467</v>
      </c>
      <c r="I11032" t="s">
        <v>9453</v>
      </c>
      <c r="J11032" t="s">
        <v>14809</v>
      </c>
      <c r="K11032" t="s">
        <v>19150</v>
      </c>
      <c r="M11032">
        <f>HYPERLINK("https://www.senat.fr/senateur-3eme-republique/chalamet_jean0131r3.html", "chalamet_jean0131r3")</f>
        <v>0</v>
      </c>
      <c r="N11032">
        <f>HYPERLINK("https://www.wikidata.org/wiki/Q2865033", "Q2865033")</f>
        <v>0</v>
      </c>
      <c r="O11032" t="s">
        <v>19991</v>
      </c>
      <c r="Q11032" t="s">
        <v>19344</v>
      </c>
      <c r="R11032" t="s">
        <v>21644</v>
      </c>
      <c r="S11032">
        <v>664</v>
      </c>
    </row>
    <row r="11033" spans="1:19">
      <c r="A11033" t="s">
        <v>129</v>
      </c>
      <c r="B11033" t="s">
        <v>150</v>
      </c>
      <c r="C11033" t="s">
        <v>261</v>
      </c>
      <c r="D11033" t="s">
        <v>390</v>
      </c>
      <c r="F11033">
        <f>HYPERLINK("https://www.wikidata.org/wiki/Q111103097", "Q111103097")</f>
        <v>0</v>
      </c>
      <c r="G11033" t="s">
        <v>4656</v>
      </c>
      <c r="H11033" t="s">
        <v>8797</v>
      </c>
      <c r="I11033" t="s">
        <v>5445</v>
      </c>
      <c r="J11033" t="s">
        <v>15128</v>
      </c>
      <c r="K11033" t="s">
        <v>19448</v>
      </c>
      <c r="M11033">
        <f>HYPERLINK("https://www.senat.fr/senateur-3eme-republique/michaux_hubert0698r3.html", "michaux_hubert0698r3")</f>
        <v>0</v>
      </c>
      <c r="N11033">
        <f>HYPERLINK("https://www.wikidata.org/wiki/Q20027694", "Q20027694")</f>
        <v>0</v>
      </c>
      <c r="O11033" t="s">
        <v>20035</v>
      </c>
      <c r="Q11033" t="s">
        <v>19344</v>
      </c>
      <c r="R11033" t="s">
        <v>21504</v>
      </c>
      <c r="S11033">
        <v>1754</v>
      </c>
    </row>
    <row r="11034" spans="1:19">
      <c r="A11034" t="s">
        <v>129</v>
      </c>
      <c r="B11034" t="s">
        <v>150</v>
      </c>
      <c r="C11034" t="s">
        <v>261</v>
      </c>
      <c r="D11034" t="s">
        <v>390</v>
      </c>
      <c r="F11034">
        <f>HYPERLINK("https://www.wikidata.org/wiki/Q111103097", "Q111103097")</f>
        <v>0</v>
      </c>
      <c r="G11034" t="s">
        <v>2497</v>
      </c>
      <c r="H11034" t="s">
        <v>7068</v>
      </c>
      <c r="I11034" t="s">
        <v>6584</v>
      </c>
      <c r="J11034" t="s">
        <v>13141</v>
      </c>
      <c r="K11034" t="s">
        <v>17549</v>
      </c>
      <c r="L11034">
        <f>HYPERLINK("https://www2.assemblee-nationale.fr/sycomore/fiche/(num_dept)/674", "674")</f>
        <v>0</v>
      </c>
      <c r="M11034">
        <f>HYPERLINK("https://www.senat.fr/senateur-3eme-republique/berlet_albert0929r3.html", "berlet_albert0929r3")</f>
        <v>0</v>
      </c>
      <c r="N11034">
        <f>HYPERLINK("https://www.wikidata.org/wiki/Q2384848", "Q2384848")</f>
        <v>0</v>
      </c>
      <c r="O11034" t="s">
        <v>20007</v>
      </c>
      <c r="Q11034" t="s">
        <v>21030</v>
      </c>
      <c r="R11034" t="s">
        <v>17549</v>
      </c>
      <c r="S11034">
        <v>1144</v>
      </c>
    </row>
    <row r="11035" spans="1:19">
      <c r="A11035" t="s">
        <v>129</v>
      </c>
      <c r="B11035" t="s">
        <v>150</v>
      </c>
      <c r="C11035" t="s">
        <v>261</v>
      </c>
      <c r="D11035" t="s">
        <v>390</v>
      </c>
      <c r="F11035">
        <f>HYPERLINK("https://www.wikidata.org/wiki/Q111103097", "Q111103097")</f>
        <v>0</v>
      </c>
      <c r="G11035" t="s">
        <v>4657</v>
      </c>
      <c r="H11035" t="s">
        <v>8798</v>
      </c>
      <c r="I11035" t="s">
        <v>10150</v>
      </c>
      <c r="J11035" t="s">
        <v>15129</v>
      </c>
      <c r="K11035" t="s">
        <v>19449</v>
      </c>
      <c r="M11035">
        <f>HYPERLINK("https://www.senat.fr/senateur-3eme-republique/beral_eloi0609r3.html", "beral_eloi0609r3")</f>
        <v>0</v>
      </c>
      <c r="N11035">
        <f>HYPERLINK("https://www.wikidata.org/wiki/Q3051624", "Q3051624")</f>
        <v>0</v>
      </c>
      <c r="O11035" t="s">
        <v>19974</v>
      </c>
      <c r="Q11035" t="s">
        <v>21030</v>
      </c>
      <c r="R11035" t="s">
        <v>21651</v>
      </c>
      <c r="S11035">
        <v>1669</v>
      </c>
    </row>
    <row r="11036" spans="1:19">
      <c r="A11036" t="s">
        <v>129</v>
      </c>
      <c r="B11036" t="s">
        <v>150</v>
      </c>
      <c r="C11036" t="s">
        <v>261</v>
      </c>
      <c r="D11036" t="s">
        <v>390</v>
      </c>
      <c r="F11036">
        <f>HYPERLINK("https://www.wikidata.org/wiki/Q111103097", "Q111103097")</f>
        <v>0</v>
      </c>
      <c r="G11036" t="s">
        <v>2907</v>
      </c>
      <c r="H11036" t="s">
        <v>7389</v>
      </c>
      <c r="I11036" t="s">
        <v>6860</v>
      </c>
      <c r="J11036" t="s">
        <v>13542</v>
      </c>
      <c r="K11036" t="s">
        <v>17928</v>
      </c>
      <c r="L11036">
        <f>HYPERLINK("https://www2.assemblee-nationale.fr/sycomore/fiche/(num_dept)/8246", "8246")</f>
        <v>0</v>
      </c>
      <c r="M11036">
        <f>HYPERLINK("https://www.senat.fr/senateur-3eme-republique/tirard_pierre1538r3.html", "tirard_pierre1538r3")</f>
        <v>0</v>
      </c>
      <c r="N11036">
        <f>HYPERLINK("https://www.wikidata.org/wiki/Q708359", "Q708359")</f>
        <v>0</v>
      </c>
      <c r="O11036" t="s">
        <v>20399</v>
      </c>
      <c r="Q11036" t="s">
        <v>19300</v>
      </c>
      <c r="R11036" t="s">
        <v>17928</v>
      </c>
      <c r="S11036">
        <v>3787</v>
      </c>
    </row>
    <row r="11037" spans="1:19">
      <c r="A11037" t="s">
        <v>129</v>
      </c>
      <c r="B11037" t="s">
        <v>150</v>
      </c>
      <c r="C11037" t="s">
        <v>261</v>
      </c>
      <c r="D11037" t="s">
        <v>390</v>
      </c>
      <c r="F11037">
        <f>HYPERLINK("https://www.wikidata.org/wiki/Q111103097", "Q111103097")</f>
        <v>0</v>
      </c>
      <c r="G11037" t="s">
        <v>2636</v>
      </c>
      <c r="H11037" t="s">
        <v>7181</v>
      </c>
      <c r="I11037" t="s">
        <v>10329</v>
      </c>
      <c r="J11037" t="s">
        <v>13278</v>
      </c>
      <c r="K11037" t="s">
        <v>17680</v>
      </c>
      <c r="L11037">
        <f>HYPERLINK("https://www2.assemblee-nationale.fr/sycomore/fiche/(num_dept)/5506", "5506")</f>
        <v>0</v>
      </c>
      <c r="M11037">
        <f>HYPERLINK("https://www.senat.fr/senateur-3eme-republique/naquet_alfred1708r3.html", "naquet_alfred1708r3")</f>
        <v>0</v>
      </c>
      <c r="N11037">
        <f>HYPERLINK("https://www.wikidata.org/wiki/Q2340682", "Q2340682")</f>
        <v>0</v>
      </c>
      <c r="O11037" t="s">
        <v>20047</v>
      </c>
      <c r="Q11037" t="s">
        <v>12711</v>
      </c>
      <c r="R11037" t="s">
        <v>21661</v>
      </c>
      <c r="S11037">
        <v>2495</v>
      </c>
    </row>
    <row r="11038" spans="1:19">
      <c r="A11038" t="s">
        <v>129</v>
      </c>
      <c r="B11038" t="s">
        <v>150</v>
      </c>
      <c r="C11038" t="s">
        <v>261</v>
      </c>
      <c r="D11038" t="s">
        <v>390</v>
      </c>
      <c r="F11038">
        <f>HYPERLINK("https://www.wikidata.org/wiki/Q111103097", "Q111103097")</f>
        <v>0</v>
      </c>
      <c r="G11038" t="s">
        <v>4658</v>
      </c>
      <c r="H11038" t="s">
        <v>8799</v>
      </c>
      <c r="I11038" t="s">
        <v>9602</v>
      </c>
      <c r="J11038" t="s">
        <v>14799</v>
      </c>
      <c r="K11038" t="s">
        <v>19450</v>
      </c>
      <c r="M11038">
        <f>HYPERLINK("https://www.senat.fr/senateur-3eme-republique/dehault_de_pressense_edmond1524r3.html", "dehault_de_pressense_edmond1524r3")</f>
        <v>0</v>
      </c>
      <c r="N11038">
        <f>HYPERLINK("https://www.wikidata.org/wiki/Q2370847", "Q2370847")</f>
        <v>0</v>
      </c>
      <c r="O11038" t="s">
        <v>20399</v>
      </c>
      <c r="Q11038" t="s">
        <v>11893</v>
      </c>
      <c r="R11038" t="s">
        <v>19450</v>
      </c>
      <c r="S11038">
        <v>2699</v>
      </c>
    </row>
    <row r="11039" spans="1:19">
      <c r="A11039" t="s">
        <v>129</v>
      </c>
      <c r="B11039" t="s">
        <v>150</v>
      </c>
      <c r="C11039" t="s">
        <v>261</v>
      </c>
      <c r="D11039" t="s">
        <v>390</v>
      </c>
      <c r="F11039">
        <f>HYPERLINK("https://www.wikidata.org/wiki/Q111103097", "Q111103097")</f>
        <v>0</v>
      </c>
      <c r="G11039" t="s">
        <v>4659</v>
      </c>
      <c r="H11039" t="s">
        <v>8800</v>
      </c>
      <c r="I11039" t="s">
        <v>9457</v>
      </c>
      <c r="J11039" t="s">
        <v>15130</v>
      </c>
      <c r="K11039" t="s">
        <v>19451</v>
      </c>
      <c r="M11039">
        <f>HYPERLINK("https://www.senat.fr/senateur-3eme-republique/marquis_henri0938r3.html", "marquis_henri0938r3")</f>
        <v>0</v>
      </c>
      <c r="N11039">
        <f>HYPERLINK("https://www.wikidata.org/wiki/Q3131576", "Q3131576")</f>
        <v>0</v>
      </c>
      <c r="O11039" t="s">
        <v>20007</v>
      </c>
      <c r="Q11039" t="s">
        <v>21031</v>
      </c>
      <c r="R11039" t="s">
        <v>21651</v>
      </c>
      <c r="S11039">
        <v>1508</v>
      </c>
    </row>
    <row r="11040" spans="1:19">
      <c r="A11040" t="s">
        <v>129</v>
      </c>
      <c r="B11040" t="s">
        <v>150</v>
      </c>
      <c r="C11040" t="s">
        <v>261</v>
      </c>
      <c r="D11040" t="s">
        <v>390</v>
      </c>
      <c r="F11040">
        <f>HYPERLINK("https://www.wikidata.org/wiki/Q111103097", "Q111103097")</f>
        <v>0</v>
      </c>
      <c r="G11040" t="s">
        <v>4254</v>
      </c>
      <c r="H11040" t="s">
        <v>8423</v>
      </c>
      <c r="I11040" t="s">
        <v>11175</v>
      </c>
      <c r="J11040" t="s">
        <v>14758</v>
      </c>
      <c r="K11040" t="s">
        <v>17866</v>
      </c>
      <c r="M11040">
        <f>HYPERLINK("https://www.senat.fr/senateur-3eme-republique/campenon_jean_baptiste1442r3.html", "campenon_jean_baptiste1442r3")</f>
        <v>0</v>
      </c>
      <c r="N11040">
        <f>HYPERLINK("https://www.wikidata.org/wiki/Q704909", "Q704909")</f>
        <v>0</v>
      </c>
      <c r="O11040" t="s">
        <v>20399</v>
      </c>
      <c r="Q11040" t="s">
        <v>12960</v>
      </c>
      <c r="R11040" t="s">
        <v>17866</v>
      </c>
      <c r="S11040">
        <v>2655</v>
      </c>
    </row>
    <row r="11041" spans="1:19">
      <c r="A11041" t="s">
        <v>129</v>
      </c>
      <c r="B11041" t="s">
        <v>150</v>
      </c>
      <c r="C11041" t="s">
        <v>261</v>
      </c>
      <c r="D11041" t="s">
        <v>390</v>
      </c>
      <c r="F11041">
        <f>HYPERLINK("https://www.wikidata.org/wiki/Q111103097", "Q111103097")</f>
        <v>0</v>
      </c>
      <c r="G11041" t="s">
        <v>4660</v>
      </c>
      <c r="H11041" t="s">
        <v>8801</v>
      </c>
      <c r="I11041" t="s">
        <v>6200</v>
      </c>
      <c r="J11041" t="s">
        <v>15131</v>
      </c>
      <c r="K11041" t="s">
        <v>19452</v>
      </c>
      <c r="M11041">
        <f>HYPERLINK("https://www.senat.fr/senateur-3eme-republique/mace_jean1508r3.html", "mace_jean1508r3")</f>
        <v>0</v>
      </c>
      <c r="N11041">
        <f>HYPERLINK("https://www.wikidata.org/wiki/Q3173305", "Q3173305")</f>
        <v>0</v>
      </c>
      <c r="O11041" t="s">
        <v>20399</v>
      </c>
      <c r="Q11041" t="s">
        <v>12960</v>
      </c>
      <c r="R11041" t="s">
        <v>19452</v>
      </c>
      <c r="S11041">
        <v>4023</v>
      </c>
    </row>
    <row r="11042" spans="1:19">
      <c r="A11042" t="s">
        <v>129</v>
      </c>
      <c r="B11042" t="s">
        <v>150</v>
      </c>
      <c r="C11042" t="s">
        <v>261</v>
      </c>
      <c r="D11042" t="s">
        <v>390</v>
      </c>
      <c r="F11042">
        <f>HYPERLINK("https://www.wikidata.org/wiki/Q111103097", "Q111103097")</f>
        <v>0</v>
      </c>
      <c r="G11042" t="s">
        <v>4661</v>
      </c>
      <c r="H11042" t="s">
        <v>8802</v>
      </c>
      <c r="I11042" t="s">
        <v>9867</v>
      </c>
      <c r="J11042" t="s">
        <v>15132</v>
      </c>
      <c r="K11042" t="s">
        <v>19453</v>
      </c>
      <c r="M11042">
        <f>HYPERLINK("https://www.senat.fr/senateur-3eme-republique/blavier_aime1157r3.html", "blavier_aime1157r3")</f>
        <v>0</v>
      </c>
      <c r="N11042">
        <f>HYPERLINK("https://www.wikidata.org/wiki/Q2828036", "Q2828036")</f>
        <v>0</v>
      </c>
      <c r="O11042" t="s">
        <v>19980</v>
      </c>
      <c r="Q11042" t="s">
        <v>17901</v>
      </c>
      <c r="R11042" t="s">
        <v>21651</v>
      </c>
      <c r="S11042">
        <v>1440</v>
      </c>
    </row>
    <row r="11043" spans="1:19">
      <c r="A11043" t="s">
        <v>129</v>
      </c>
      <c r="B11043" t="s">
        <v>150</v>
      </c>
      <c r="C11043" t="s">
        <v>261</v>
      </c>
      <c r="D11043" t="s">
        <v>390</v>
      </c>
      <c r="F11043">
        <f>HYPERLINK("https://www.wikidata.org/wiki/Q111103097", "Q111103097")</f>
        <v>0</v>
      </c>
      <c r="G11043" t="s">
        <v>2860</v>
      </c>
      <c r="H11043" t="s">
        <v>7350</v>
      </c>
      <c r="I11043" t="s">
        <v>9389</v>
      </c>
      <c r="J11043" t="s">
        <v>13499</v>
      </c>
      <c r="K11043" t="s">
        <v>17886</v>
      </c>
      <c r="L11043">
        <f>HYPERLINK("https://www2.assemblee-nationale.fr/sycomore/fiche/(num_dept)/8188", "8188")</f>
        <v>0</v>
      </c>
      <c r="M11043">
        <f>HYPERLINK("https://www.senat.fr/senateur-3eme-republique/deshayes_de_marcere_emile1513r3.html", "deshayes_de_marcere_emile1513r3")</f>
        <v>0</v>
      </c>
      <c r="N11043">
        <f>HYPERLINK("https://www.wikidata.org/wiki/Q2793541", "Q2793541")</f>
        <v>0</v>
      </c>
      <c r="O11043" t="s">
        <v>20399</v>
      </c>
      <c r="Q11043" t="s">
        <v>21032</v>
      </c>
      <c r="R11043" t="s">
        <v>17886</v>
      </c>
      <c r="S11043">
        <v>12475</v>
      </c>
    </row>
    <row r="11044" spans="1:19">
      <c r="A11044" t="s">
        <v>129</v>
      </c>
      <c r="B11044" t="s">
        <v>150</v>
      </c>
      <c r="C11044" t="s">
        <v>261</v>
      </c>
      <c r="D11044" t="s">
        <v>390</v>
      </c>
      <c r="F11044">
        <f>HYPERLINK("https://www.wikidata.org/wiki/Q111103097", "Q111103097")</f>
        <v>0</v>
      </c>
      <c r="G11044" t="s">
        <v>4466</v>
      </c>
      <c r="H11044" t="s">
        <v>8613</v>
      </c>
      <c r="I11044" t="s">
        <v>9465</v>
      </c>
      <c r="J11044" t="s">
        <v>14954</v>
      </c>
      <c r="K11044" t="s">
        <v>19281</v>
      </c>
      <c r="M11044">
        <f>HYPERLINK("https://www.senat.fr/senateur-3eme-republique/pelletan_eugene1519r3.html", "pelletan_eugene1519r3")</f>
        <v>0</v>
      </c>
      <c r="N11044">
        <f>HYPERLINK("https://www.wikidata.org/wiki/Q764156", "Q764156")</f>
        <v>0</v>
      </c>
      <c r="O11044" t="s">
        <v>20399</v>
      </c>
      <c r="Q11044" t="s">
        <v>21033</v>
      </c>
      <c r="R11044" t="s">
        <v>19281</v>
      </c>
      <c r="S11044">
        <v>172</v>
      </c>
    </row>
    <row r="11045" spans="1:19">
      <c r="A11045" t="s">
        <v>129</v>
      </c>
      <c r="B11045" t="s">
        <v>150</v>
      </c>
      <c r="C11045" t="s">
        <v>261</v>
      </c>
      <c r="D11045" t="s">
        <v>390</v>
      </c>
      <c r="F11045">
        <f>HYPERLINK("https://www.wikidata.org/wiki/Q111103097", "Q111103097")</f>
        <v>0</v>
      </c>
      <c r="G11045" t="s">
        <v>4301</v>
      </c>
      <c r="H11045" t="s">
        <v>8459</v>
      </c>
      <c r="I11045" t="s">
        <v>9553</v>
      </c>
      <c r="J11045" t="s">
        <v>14799</v>
      </c>
      <c r="K11045" t="s">
        <v>19142</v>
      </c>
      <c r="M11045">
        <f>HYPERLINK("https://www.senat.fr/senateur-3eme-republique/peyron_alexandre1521r3.html", "peyron_alexandre1521r3")</f>
        <v>0</v>
      </c>
      <c r="N11045">
        <f>HYPERLINK("https://www.wikidata.org/wiki/Q2833962", "Q2833962")</f>
        <v>0</v>
      </c>
      <c r="O11045" t="s">
        <v>20399</v>
      </c>
      <c r="Q11045" t="s">
        <v>21033</v>
      </c>
      <c r="R11045" t="s">
        <v>19142</v>
      </c>
      <c r="S11045">
        <v>2755</v>
      </c>
    </row>
    <row r="11046" spans="1:19">
      <c r="A11046" t="s">
        <v>129</v>
      </c>
      <c r="B11046" t="s">
        <v>150</v>
      </c>
      <c r="C11046" t="s">
        <v>261</v>
      </c>
      <c r="D11046" t="s">
        <v>390</v>
      </c>
      <c r="F11046">
        <f>HYPERLINK("https://www.wikidata.org/wiki/Q111103097", "Q111103097")</f>
        <v>0</v>
      </c>
      <c r="G11046" t="s">
        <v>4425</v>
      </c>
      <c r="H11046" t="s">
        <v>8573</v>
      </c>
      <c r="I11046" t="s">
        <v>6860</v>
      </c>
      <c r="J11046" t="s">
        <v>14915</v>
      </c>
      <c r="K11046" t="s">
        <v>19249</v>
      </c>
      <c r="M11046">
        <f>HYPERLINK("https://www.senat.fr/senateur-3eme-republique/bocher_pierre0344r3.html", "bocher_pierre0344r3")</f>
        <v>0</v>
      </c>
      <c r="N11046">
        <f>HYPERLINK("https://www.wikidata.org/wiki/Q3579743", "Q3579743")</f>
        <v>0</v>
      </c>
      <c r="O11046" t="s">
        <v>20009</v>
      </c>
      <c r="Q11046" t="s">
        <v>21034</v>
      </c>
      <c r="R11046" t="s">
        <v>21650</v>
      </c>
      <c r="S11046">
        <v>22188</v>
      </c>
    </row>
    <row r="11047" spans="1:19">
      <c r="A11047" t="s">
        <v>130</v>
      </c>
      <c r="B11047" t="s">
        <v>150</v>
      </c>
      <c r="C11047" t="s">
        <v>262</v>
      </c>
      <c r="D11047" t="s">
        <v>391</v>
      </c>
      <c r="F11047">
        <f>HYPERLINK("https://www.wikidata.org/wiki/Q56306075", "Q56306075")</f>
        <v>0</v>
      </c>
      <c r="G11047" t="s">
        <v>2517</v>
      </c>
      <c r="H11047" t="s">
        <v>6097</v>
      </c>
      <c r="I11047" t="s">
        <v>10260</v>
      </c>
      <c r="J11047" t="s">
        <v>13161</v>
      </c>
      <c r="K11047" t="s">
        <v>17568</v>
      </c>
      <c r="L11047">
        <f>HYPERLINK("https://www2.assemblee-nationale.fr/sycomore/fiche/(num_dept)/1127", "1127")</f>
        <v>0</v>
      </c>
      <c r="M11047">
        <f>HYPERLINK("https://www.senat.fr/senateur-3eme-republique/bouteille_jean_baptiste0065r3.html", "bouteille_jean_baptiste0065r3")</f>
        <v>0</v>
      </c>
      <c r="N11047">
        <f>HYPERLINK("https://www.wikidata.org/wiki/Q3163904", "Q3163904")</f>
        <v>0</v>
      </c>
      <c r="O11047" t="s">
        <v>20033</v>
      </c>
      <c r="Q11047" t="s">
        <v>391</v>
      </c>
      <c r="R11047" t="s">
        <v>17568</v>
      </c>
      <c r="S11047">
        <v>3099</v>
      </c>
    </row>
    <row r="11048" spans="1:19">
      <c r="A11048" t="s">
        <v>130</v>
      </c>
      <c r="B11048" t="s">
        <v>150</v>
      </c>
      <c r="C11048" t="s">
        <v>262</v>
      </c>
      <c r="D11048" t="s">
        <v>391</v>
      </c>
      <c r="F11048">
        <f>HYPERLINK("https://www.wikidata.org/wiki/Q56306075", "Q56306075")</f>
        <v>0</v>
      </c>
      <c r="G11048" t="s">
        <v>2534</v>
      </c>
      <c r="H11048" t="s">
        <v>7094</v>
      </c>
      <c r="I11048" t="s">
        <v>9407</v>
      </c>
      <c r="J11048" t="s">
        <v>13178</v>
      </c>
      <c r="K11048" t="s">
        <v>17584</v>
      </c>
      <c r="L11048">
        <f>HYPERLINK("https://www2.assemblee-nationale.fr/sycomore/fiche/(num_dept)/1645", "1645")</f>
        <v>0</v>
      </c>
      <c r="M11048">
        <f>HYPERLINK("https://www.senat.fr/senateur-3eme-republique/chantemille_joseph0047r3.html", "chantemille_joseph0047r3")</f>
        <v>0</v>
      </c>
      <c r="N11048">
        <f>HYPERLINK("https://www.wikidata.org/wiki/Q3184731", "Q3184731")</f>
        <v>0</v>
      </c>
      <c r="O11048" t="s">
        <v>19999</v>
      </c>
      <c r="Q11048" t="s">
        <v>391</v>
      </c>
      <c r="R11048" t="s">
        <v>21662</v>
      </c>
      <c r="S11048">
        <v>3268</v>
      </c>
    </row>
    <row r="11049" spans="1:19">
      <c r="A11049" t="s">
        <v>130</v>
      </c>
      <c r="B11049" t="s">
        <v>150</v>
      </c>
      <c r="C11049" t="s">
        <v>262</v>
      </c>
      <c r="D11049" t="s">
        <v>391</v>
      </c>
      <c r="F11049">
        <f>HYPERLINK("https://www.wikidata.org/wiki/Q56306075", "Q56306075")</f>
        <v>0</v>
      </c>
      <c r="G11049" t="s">
        <v>2536</v>
      </c>
      <c r="H11049" t="s">
        <v>7096</v>
      </c>
      <c r="I11049" t="s">
        <v>10273</v>
      </c>
      <c r="J11049" t="s">
        <v>13180</v>
      </c>
      <c r="K11049" t="s">
        <v>17585</v>
      </c>
      <c r="L11049">
        <f>HYPERLINK("https://www2.assemblee-nationale.fr/sycomore/fiche/(num_dept)/1799", "1799")</f>
        <v>0</v>
      </c>
      <c r="M11049">
        <f>HYPERLINK("https://www.senat.fr/senateur-3eme-republique/chiris_francois0121r3.html", "chiris_francois0121r3")</f>
        <v>0</v>
      </c>
      <c r="N11049">
        <f>HYPERLINK("https://www.wikidata.org/wiki/Q3270821", "Q3270821")</f>
        <v>0</v>
      </c>
      <c r="O11049" t="s">
        <v>20024</v>
      </c>
      <c r="Q11049" t="s">
        <v>391</v>
      </c>
      <c r="R11049" t="s">
        <v>21662</v>
      </c>
      <c r="S11049">
        <v>3268</v>
      </c>
    </row>
    <row r="11050" spans="1:19">
      <c r="A11050" t="s">
        <v>130</v>
      </c>
      <c r="B11050" t="s">
        <v>150</v>
      </c>
      <c r="C11050" t="s">
        <v>262</v>
      </c>
      <c r="D11050" t="s">
        <v>391</v>
      </c>
      <c r="F11050">
        <f>HYPERLINK("https://www.wikidata.org/wiki/Q56306075", "Q56306075")</f>
        <v>0</v>
      </c>
      <c r="G11050" t="s">
        <v>2544</v>
      </c>
      <c r="H11050" t="s">
        <v>7103</v>
      </c>
      <c r="I11050" t="s">
        <v>10278</v>
      </c>
      <c r="J11050" t="s">
        <v>13188</v>
      </c>
      <c r="K11050" t="s">
        <v>17593</v>
      </c>
      <c r="L11050">
        <f>HYPERLINK("https://www2.assemblee-nationale.fr/sycomore/fiche/(num_dept)/1974", "1974")</f>
        <v>0</v>
      </c>
      <c r="M11050">
        <f>HYPERLINK("https://www.senat.fr/senateur-3eme-republique/cornil_andre0053r3.html", "cornil_andre0053r3")</f>
        <v>0</v>
      </c>
      <c r="N11050">
        <f>HYPERLINK("https://www.wikidata.org/wiki/Q1388300", "Q1388300")</f>
        <v>0</v>
      </c>
      <c r="O11050" t="s">
        <v>19999</v>
      </c>
      <c r="Q11050" t="s">
        <v>391</v>
      </c>
      <c r="R11050" t="s">
        <v>21662</v>
      </c>
      <c r="S11050">
        <v>3268</v>
      </c>
    </row>
    <row r="11051" spans="1:19">
      <c r="A11051" t="s">
        <v>130</v>
      </c>
      <c r="B11051" t="s">
        <v>150</v>
      </c>
      <c r="C11051" t="s">
        <v>262</v>
      </c>
      <c r="D11051" t="s">
        <v>391</v>
      </c>
      <c r="F11051">
        <f>HYPERLINK("https://www.wikidata.org/wiki/Q56306075", "Q56306075")</f>
        <v>0</v>
      </c>
      <c r="G11051" t="s">
        <v>2622</v>
      </c>
      <c r="H11051" t="s">
        <v>7169</v>
      </c>
      <c r="I11051" t="s">
        <v>10319</v>
      </c>
      <c r="J11051" t="s">
        <v>13265</v>
      </c>
      <c r="K11051" t="s">
        <v>17666</v>
      </c>
      <c r="L11051">
        <f>HYPERLINK("https://www2.assemblee-nationale.fr/sycomore/fiche/(num_dept)/4926", "4926")</f>
        <v>0</v>
      </c>
      <c r="M11051">
        <f>HYPERLINK("https://www.senat.fr/senateur-3eme-republique/malezieux_francois0025r3.html", "malezieux_francois0025r3")</f>
        <v>0</v>
      </c>
      <c r="N11051">
        <f>HYPERLINK("https://www.wikidata.org/wiki/Q3085262", "Q3085262")</f>
        <v>0</v>
      </c>
      <c r="O11051" t="s">
        <v>20015</v>
      </c>
      <c r="Q11051" t="s">
        <v>391</v>
      </c>
      <c r="R11051" t="s">
        <v>21662</v>
      </c>
      <c r="S11051">
        <v>3268</v>
      </c>
    </row>
    <row r="11052" spans="1:19">
      <c r="A11052" t="s">
        <v>130</v>
      </c>
      <c r="B11052" t="s">
        <v>150</v>
      </c>
      <c r="C11052" t="s">
        <v>262</v>
      </c>
      <c r="D11052" t="s">
        <v>391</v>
      </c>
      <c r="F11052">
        <f>HYPERLINK("https://www.wikidata.org/wiki/Q56306075", "Q56306075")</f>
        <v>0</v>
      </c>
      <c r="G11052" t="s">
        <v>2623</v>
      </c>
      <c r="H11052" t="s">
        <v>7170</v>
      </c>
      <c r="I11052" t="s">
        <v>10320</v>
      </c>
      <c r="J11052" t="s">
        <v>13266</v>
      </c>
      <c r="K11052" t="s">
        <v>17667</v>
      </c>
      <c r="L11052">
        <f>HYPERLINK("https://www2.assemblee-nationale.fr/sycomore/fiche/(num_dept)/4983", "4983")</f>
        <v>0</v>
      </c>
      <c r="M11052">
        <f>HYPERLINK("https://www.senat.fr/senateur-3eme-republique/marcou_theophile0257r3.html", "marcou_theophile0257r3")</f>
        <v>0</v>
      </c>
      <c r="N11052">
        <f>HYPERLINK("https://www.wikidata.org/wiki/Q3526673", "Q3526673")</f>
        <v>0</v>
      </c>
      <c r="O11052" t="s">
        <v>19960</v>
      </c>
      <c r="Q11052" t="s">
        <v>391</v>
      </c>
      <c r="R11052" t="s">
        <v>17667</v>
      </c>
      <c r="S11052">
        <v>3085</v>
      </c>
    </row>
    <row r="11053" spans="1:19">
      <c r="A11053" t="s">
        <v>130</v>
      </c>
      <c r="B11053" t="s">
        <v>150</v>
      </c>
      <c r="C11053" t="s">
        <v>262</v>
      </c>
      <c r="D11053" t="s">
        <v>391</v>
      </c>
      <c r="F11053">
        <f>HYPERLINK("https://www.wikidata.org/wiki/Q56306075", "Q56306075")</f>
        <v>0</v>
      </c>
      <c r="G11053" t="s">
        <v>2685</v>
      </c>
      <c r="H11053" t="s">
        <v>7218</v>
      </c>
      <c r="I11053" t="s">
        <v>10363</v>
      </c>
      <c r="J11053" t="s">
        <v>13326</v>
      </c>
      <c r="K11053" t="s">
        <v>17726</v>
      </c>
      <c r="L11053">
        <f>HYPERLINK("https://www2.assemblee-nationale.fr/sycomore/fiche/(num_dept)/7005", "7005")</f>
        <v>0</v>
      </c>
      <c r="M11053">
        <f>HYPERLINK("https://www.senat.fr/senateur-3eme-republique/tezenas_antoine0228r3.html", "tezenas_antoine0228r3")</f>
        <v>0</v>
      </c>
      <c r="N11053">
        <f>HYPERLINK("https://www.wikidata.org/wiki/Q2856758", "Q2856758")</f>
        <v>0</v>
      </c>
      <c r="O11053" t="s">
        <v>8449</v>
      </c>
      <c r="Q11053" t="s">
        <v>391</v>
      </c>
      <c r="R11053" t="s">
        <v>21662</v>
      </c>
      <c r="S11053">
        <v>3268</v>
      </c>
    </row>
    <row r="11054" spans="1:19">
      <c r="A11054" t="s">
        <v>130</v>
      </c>
      <c r="B11054" t="s">
        <v>150</v>
      </c>
      <c r="C11054" t="s">
        <v>262</v>
      </c>
      <c r="D11054" t="s">
        <v>391</v>
      </c>
      <c r="F11054">
        <f>HYPERLINK("https://www.wikidata.org/wiki/Q56306075", "Q56306075")</f>
        <v>0</v>
      </c>
      <c r="G11054" t="s">
        <v>3073</v>
      </c>
      <c r="H11054" t="s">
        <v>7523</v>
      </c>
      <c r="I11054" t="s">
        <v>10611</v>
      </c>
      <c r="J11054" t="s">
        <v>13697</v>
      </c>
      <c r="K11054" t="s">
        <v>18080</v>
      </c>
      <c r="L11054">
        <f>HYPERLINK("https://www2.assemblee-nationale.fr/sycomore/fiche/(num_dept)/8066", "8066")</f>
        <v>0</v>
      </c>
      <c r="M11054">
        <f>HYPERLINK("https://www.senat.fr/senateur-3eme-republique/bruel_eugene0042r3.html", "bruel_eugene0042r3")</f>
        <v>0</v>
      </c>
      <c r="N11054">
        <f>HYPERLINK("https://www.wikidata.org/wiki/Q3059749", "Q3059749")</f>
        <v>0</v>
      </c>
      <c r="O11054" t="s">
        <v>19999</v>
      </c>
      <c r="Q11054" t="s">
        <v>391</v>
      </c>
      <c r="R11054" t="s">
        <v>21662</v>
      </c>
      <c r="S11054">
        <v>3268</v>
      </c>
    </row>
    <row r="11055" spans="1:19">
      <c r="A11055" t="s">
        <v>130</v>
      </c>
      <c r="B11055" t="s">
        <v>150</v>
      </c>
      <c r="C11055" t="s">
        <v>262</v>
      </c>
      <c r="D11055" t="s">
        <v>391</v>
      </c>
      <c r="F11055">
        <f>HYPERLINK("https://www.wikidata.org/wiki/Q56306075", "Q56306075")</f>
        <v>0</v>
      </c>
      <c r="G11055" t="s">
        <v>2772</v>
      </c>
      <c r="H11055" t="s">
        <v>7284</v>
      </c>
      <c r="I11055" t="s">
        <v>10425</v>
      </c>
      <c r="J11055" t="s">
        <v>13413</v>
      </c>
      <c r="K11055" t="s">
        <v>17811</v>
      </c>
      <c r="L11055">
        <f>HYPERLINK("https://www2.assemblee-nationale.fr/sycomore/fiche/(num_dept)/8067", "8067")</f>
        <v>0</v>
      </c>
      <c r="M11055">
        <f>HYPERLINK("https://www.senat.fr/senateur-3eme-republique/soustre_marius0057r3.html", "soustre_marius0057r3")</f>
        <v>0</v>
      </c>
      <c r="N11055">
        <f>HYPERLINK("https://www.wikidata.org/wiki/Q3293858", "Q3293858")</f>
        <v>0</v>
      </c>
      <c r="O11055" t="s">
        <v>20033</v>
      </c>
      <c r="Q11055" t="s">
        <v>391</v>
      </c>
      <c r="R11055" t="s">
        <v>21662</v>
      </c>
      <c r="S11055">
        <v>3268</v>
      </c>
    </row>
    <row r="11056" spans="1:19">
      <c r="A11056" t="s">
        <v>130</v>
      </c>
      <c r="B11056" t="s">
        <v>150</v>
      </c>
      <c r="C11056" t="s">
        <v>262</v>
      </c>
      <c r="D11056" t="s">
        <v>391</v>
      </c>
      <c r="F11056">
        <f>HYPERLINK("https://www.wikidata.org/wiki/Q56306075", "Q56306075")</f>
        <v>0</v>
      </c>
      <c r="G11056" t="s">
        <v>3022</v>
      </c>
      <c r="H11056" t="s">
        <v>7479</v>
      </c>
      <c r="I11056" t="s">
        <v>9626</v>
      </c>
      <c r="J11056" t="s">
        <v>13650</v>
      </c>
      <c r="K11056" t="s">
        <v>18034</v>
      </c>
      <c r="L11056">
        <f>HYPERLINK("https://www2.assemblee-nationale.fr/sycomore/fiche/(num_dept)/8068", "8068")</f>
        <v>0</v>
      </c>
      <c r="M11056">
        <f>HYPERLINK("https://www.senat.fr/senateur-3eme-republique/renault_leon0113r3.html", "renault_leon0113r3")</f>
        <v>0</v>
      </c>
      <c r="N11056">
        <f>HYPERLINK("https://www.wikidata.org/wiki/Q3271290", "Q3271290")</f>
        <v>0</v>
      </c>
      <c r="O11056" t="s">
        <v>20024</v>
      </c>
      <c r="Q11056" t="s">
        <v>391</v>
      </c>
      <c r="R11056" t="s">
        <v>21662</v>
      </c>
      <c r="S11056">
        <v>3268</v>
      </c>
    </row>
    <row r="11057" spans="1:19">
      <c r="A11057" t="s">
        <v>130</v>
      </c>
      <c r="B11057" t="s">
        <v>150</v>
      </c>
      <c r="C11057" t="s">
        <v>262</v>
      </c>
      <c r="D11057" t="s">
        <v>391</v>
      </c>
      <c r="F11057">
        <f>HYPERLINK("https://www.wikidata.org/wiki/Q56306075", "Q56306075")</f>
        <v>0</v>
      </c>
      <c r="G11057" t="s">
        <v>2773</v>
      </c>
      <c r="H11057" t="s">
        <v>7285</v>
      </c>
      <c r="I11057" t="s">
        <v>10426</v>
      </c>
      <c r="J11057" t="s">
        <v>11653</v>
      </c>
      <c r="K11057" t="s">
        <v>17812</v>
      </c>
      <c r="L11057">
        <f>HYPERLINK("https://www2.assemblee-nationale.fr/sycomore/fiche/(num_dept)/8069", "8069")</f>
        <v>0</v>
      </c>
      <c r="M11057">
        <f>HYPERLINK("https://www.senat.fr/senateur-3eme-republique/pradal_victor0138r3.html", "pradal_victor0138r3")</f>
        <v>0</v>
      </c>
      <c r="N11057">
        <f>HYPERLINK("https://www.wikidata.org/wiki/Q3557514", "Q3557514")</f>
        <v>0</v>
      </c>
      <c r="O11057" t="s">
        <v>19991</v>
      </c>
      <c r="Q11057" t="s">
        <v>391</v>
      </c>
      <c r="R11057" t="s">
        <v>21662</v>
      </c>
      <c r="S11057">
        <v>3268</v>
      </c>
    </row>
    <row r="11058" spans="1:19">
      <c r="A11058" t="s">
        <v>130</v>
      </c>
      <c r="B11058" t="s">
        <v>150</v>
      </c>
      <c r="C11058" t="s">
        <v>262</v>
      </c>
      <c r="D11058" t="s">
        <v>391</v>
      </c>
      <c r="F11058">
        <f>HYPERLINK("https://www.wikidata.org/wiki/Q56306075", "Q56306075")</f>
        <v>0</v>
      </c>
      <c r="G11058" t="s">
        <v>2786</v>
      </c>
      <c r="H11058" t="s">
        <v>7292</v>
      </c>
      <c r="I11058" t="s">
        <v>9612</v>
      </c>
      <c r="J11058" t="s">
        <v>13426</v>
      </c>
      <c r="K11058" t="s">
        <v>17802</v>
      </c>
      <c r="L11058">
        <f>HYPERLINK("https://www2.assemblee-nationale.fr/sycomore/fiche/(num_dept)/8085", "8085")</f>
        <v>0</v>
      </c>
      <c r="M11058">
        <f>HYPERLINK("https://www.senat.fr/senateur-3eme-republique/mestreau_frederic0404r3.html", "mestreau_frederic0404r3")</f>
        <v>0</v>
      </c>
      <c r="N11058">
        <f>HYPERLINK("https://www.wikidata.org/wiki/Q3090039", "Q3090039")</f>
        <v>0</v>
      </c>
      <c r="O11058" t="s">
        <v>20037</v>
      </c>
      <c r="Q11058" t="s">
        <v>391</v>
      </c>
      <c r="R11058" t="s">
        <v>17802</v>
      </c>
      <c r="S11058">
        <v>2428</v>
      </c>
    </row>
    <row r="11059" spans="1:19">
      <c r="A11059" t="s">
        <v>130</v>
      </c>
      <c r="B11059" t="s">
        <v>150</v>
      </c>
      <c r="C11059" t="s">
        <v>262</v>
      </c>
      <c r="D11059" t="s">
        <v>391</v>
      </c>
      <c r="F11059">
        <f>HYPERLINK("https://www.wikidata.org/wiki/Q56306075", "Q56306075")</f>
        <v>0</v>
      </c>
      <c r="G11059" t="s">
        <v>2787</v>
      </c>
      <c r="H11059" t="s">
        <v>7293</v>
      </c>
      <c r="I11059" t="s">
        <v>10435</v>
      </c>
      <c r="J11059" t="s">
        <v>13427</v>
      </c>
      <c r="K11059" t="s">
        <v>17822</v>
      </c>
      <c r="L11059">
        <f>HYPERLINK("https://www2.assemblee-nationale.fr/sycomore/fiche/(num_dept)/8086", "8086")</f>
        <v>0</v>
      </c>
      <c r="M11059">
        <f>HYPERLINK("https://www.senat.fr/senateur-3eme-republique/barbedette_pierre0411r3.html", "barbedette_pierre0411r3")</f>
        <v>0</v>
      </c>
      <c r="N11059">
        <f>HYPERLINK("https://www.wikidata.org/wiki/Q3383857", "Q3383857")</f>
        <v>0</v>
      </c>
      <c r="O11059" t="s">
        <v>20037</v>
      </c>
      <c r="Q11059" t="s">
        <v>391</v>
      </c>
      <c r="R11059" t="s">
        <v>21662</v>
      </c>
      <c r="S11059">
        <v>3268</v>
      </c>
    </row>
    <row r="11060" spans="1:19">
      <c r="A11060" t="s">
        <v>130</v>
      </c>
      <c r="B11060" t="s">
        <v>150</v>
      </c>
      <c r="C11060" t="s">
        <v>262</v>
      </c>
      <c r="D11060" t="s">
        <v>391</v>
      </c>
      <c r="F11060">
        <f>HYPERLINK("https://www.wikidata.org/wiki/Q56306075", "Q56306075")</f>
        <v>0</v>
      </c>
      <c r="G11060" t="s">
        <v>2789</v>
      </c>
      <c r="H11060" t="s">
        <v>7295</v>
      </c>
      <c r="I11060" t="s">
        <v>6200</v>
      </c>
      <c r="J11060" t="s">
        <v>13429</v>
      </c>
      <c r="K11060" t="s">
        <v>17824</v>
      </c>
      <c r="L11060">
        <f>HYPERLINK("https://www2.assemblee-nationale.fr/sycomore/fiche/(num_dept)/8090", "8090")</f>
        <v>0</v>
      </c>
      <c r="M11060">
        <f>HYPERLINK("https://www.senat.fr/senateur-3eme-republique/girault_jean0426r3.html", "girault_jean0426r3")</f>
        <v>0</v>
      </c>
      <c r="N11060">
        <f>HYPERLINK("https://www.wikidata.org/wiki/Q3172313", "Q3172313")</f>
        <v>0</v>
      </c>
      <c r="O11060" t="s">
        <v>19996</v>
      </c>
      <c r="Q11060" t="s">
        <v>391</v>
      </c>
      <c r="R11060" t="s">
        <v>21662</v>
      </c>
      <c r="S11060">
        <v>3268</v>
      </c>
    </row>
    <row r="11061" spans="1:19">
      <c r="A11061" t="s">
        <v>130</v>
      </c>
      <c r="B11061" t="s">
        <v>150</v>
      </c>
      <c r="C11061" t="s">
        <v>262</v>
      </c>
      <c r="D11061" t="s">
        <v>391</v>
      </c>
      <c r="F11061">
        <f>HYPERLINK("https://www.wikidata.org/wiki/Q56306075", "Q56306075")</f>
        <v>0</v>
      </c>
      <c r="G11061" t="s">
        <v>2793</v>
      </c>
      <c r="H11061" t="s">
        <v>7299</v>
      </c>
      <c r="I11061" t="s">
        <v>10440</v>
      </c>
      <c r="J11061" t="s">
        <v>13433</v>
      </c>
      <c r="K11061" t="s">
        <v>17828</v>
      </c>
      <c r="L11061">
        <f>HYPERLINK("https://www2.assemblee-nationale.fr/sycomore/fiche/(num_dept)/8096", "8096")</f>
        <v>0</v>
      </c>
      <c r="M11061">
        <f>HYPERLINK("https://www.senat.fr/senateur-3eme-republique/le_cherbonnier_auguste0461r3.html", "le_cherbonnier_auguste0461r3")</f>
        <v>0</v>
      </c>
      <c r="N11061">
        <f>HYPERLINK("https://www.wikidata.org/wiki/Q2871272", "Q2871272")</f>
        <v>0</v>
      </c>
      <c r="O11061" t="s">
        <v>20020</v>
      </c>
      <c r="Q11061" t="s">
        <v>391</v>
      </c>
      <c r="R11061" t="s">
        <v>21662</v>
      </c>
      <c r="S11061">
        <v>3268</v>
      </c>
    </row>
    <row r="11062" spans="1:19">
      <c r="A11062" t="s">
        <v>130</v>
      </c>
      <c r="B11062" t="s">
        <v>150</v>
      </c>
      <c r="C11062" t="s">
        <v>262</v>
      </c>
      <c r="D11062" t="s">
        <v>391</v>
      </c>
      <c r="F11062">
        <f>HYPERLINK("https://www.wikidata.org/wiki/Q56306075", "Q56306075")</f>
        <v>0</v>
      </c>
      <c r="G11062" t="s">
        <v>2984</v>
      </c>
      <c r="H11062" t="s">
        <v>7448</v>
      </c>
      <c r="I11062" t="s">
        <v>10557</v>
      </c>
      <c r="J11062" t="s">
        <v>13616</v>
      </c>
      <c r="K11062" t="s">
        <v>18000</v>
      </c>
      <c r="L11062">
        <f>HYPERLINK("https://www2.assemblee-nationale.fr/sycomore/fiche/(num_dept)/8097", "8097")</f>
        <v>0</v>
      </c>
      <c r="M11062">
        <f>HYPERLINK("https://www.senat.fr/senateur-3eme-republique/peraldi_nicolas0476r3.html", "peraldi_nicolas0476r3")</f>
        <v>0</v>
      </c>
      <c r="N11062">
        <f>HYPERLINK("https://www.wikidata.org/wiki/Q3340709", "Q3340709")</f>
        <v>0</v>
      </c>
      <c r="O11062" t="s">
        <v>19955</v>
      </c>
      <c r="Q11062" t="s">
        <v>391</v>
      </c>
      <c r="R11062" t="s">
        <v>21663</v>
      </c>
      <c r="S11062">
        <v>8742</v>
      </c>
    </row>
    <row r="11063" spans="1:19">
      <c r="A11063" t="s">
        <v>130</v>
      </c>
      <c r="B11063" t="s">
        <v>150</v>
      </c>
      <c r="C11063" t="s">
        <v>262</v>
      </c>
      <c r="D11063" t="s">
        <v>391</v>
      </c>
      <c r="F11063">
        <f>HYPERLINK("https://www.wikidata.org/wiki/Q56306075", "Q56306075")</f>
        <v>0</v>
      </c>
      <c r="G11063" t="s">
        <v>2795</v>
      </c>
      <c r="H11063" t="s">
        <v>7300</v>
      </c>
      <c r="I11063" t="s">
        <v>10442</v>
      </c>
      <c r="J11063" t="s">
        <v>13435</v>
      </c>
      <c r="K11063" t="s">
        <v>17830</v>
      </c>
      <c r="L11063">
        <f>HYPERLINK("https://www2.assemblee-nationale.fr/sycomore/fiche/(num_dept)/8101", "8101")</f>
        <v>0</v>
      </c>
      <c r="M11063">
        <f>HYPERLINK("https://www.senat.fr/senateur-3eme-republique/hugot_louis0531r3.html", "hugot_louis0531r3")</f>
        <v>0</v>
      </c>
      <c r="N11063">
        <f>HYPERLINK("https://www.wikidata.org/wiki/Q3262207", "Q3262207")</f>
        <v>0</v>
      </c>
      <c r="Q11063" t="s">
        <v>391</v>
      </c>
      <c r="R11063" t="s">
        <v>21662</v>
      </c>
      <c r="S11063">
        <v>3268</v>
      </c>
    </row>
    <row r="11064" spans="1:19">
      <c r="A11064" t="s">
        <v>130</v>
      </c>
      <c r="B11064" t="s">
        <v>150</v>
      </c>
      <c r="C11064" t="s">
        <v>262</v>
      </c>
      <c r="D11064" t="s">
        <v>391</v>
      </c>
      <c r="F11064">
        <f>HYPERLINK("https://www.wikidata.org/wiki/Q56306075", "Q56306075")</f>
        <v>0</v>
      </c>
      <c r="G11064" t="s">
        <v>2802</v>
      </c>
      <c r="H11064" t="s">
        <v>7305</v>
      </c>
      <c r="I11064" t="s">
        <v>10449</v>
      </c>
      <c r="J11064" t="s">
        <v>13442</v>
      </c>
      <c r="K11064" t="s">
        <v>17836</v>
      </c>
      <c r="L11064">
        <f>HYPERLINK("https://www2.assemblee-nationale.fr/sycomore/fiche/(num_dept)/8110", "8110")</f>
        <v>0</v>
      </c>
      <c r="M11064">
        <f>HYPERLINK("https://www.senat.fr/senateur-3eme-republique/parry_eugene0623r3.html", "parry_eugene0623r3")</f>
        <v>0</v>
      </c>
      <c r="N11064">
        <f>HYPERLINK("https://www.wikidata.org/wiki/Q3060079", "Q3060079")</f>
        <v>0</v>
      </c>
      <c r="O11064" t="s">
        <v>19979</v>
      </c>
      <c r="Q11064" t="s">
        <v>391</v>
      </c>
      <c r="R11064" t="s">
        <v>21662</v>
      </c>
      <c r="S11064">
        <v>3268</v>
      </c>
    </row>
    <row r="11065" spans="1:19">
      <c r="A11065" t="s">
        <v>130</v>
      </c>
      <c r="B11065" t="s">
        <v>150</v>
      </c>
      <c r="C11065" t="s">
        <v>262</v>
      </c>
      <c r="D11065" t="s">
        <v>391</v>
      </c>
      <c r="F11065">
        <f>HYPERLINK("https://www.wikidata.org/wiki/Q56306075", "Q56306075")</f>
        <v>0</v>
      </c>
      <c r="G11065" t="s">
        <v>2803</v>
      </c>
      <c r="H11065" t="s">
        <v>7306</v>
      </c>
      <c r="I11065" t="s">
        <v>6200</v>
      </c>
      <c r="J11065" t="s">
        <v>13443</v>
      </c>
      <c r="K11065" t="s">
        <v>17837</v>
      </c>
      <c r="L11065">
        <f>HYPERLINK("https://www2.assemblee-nationale.fr/sycomore/fiche/(num_dept)/8112", "8112")</f>
        <v>0</v>
      </c>
      <c r="M11065">
        <f>HYPERLINK("https://www.senat.fr/senateur-3eme-republique/garrigat_jean0659r3.html", "garrigat_jean0659r3")</f>
        <v>0</v>
      </c>
      <c r="N11065">
        <f>HYPERLINK("https://www.wikidata.org/wiki/Q3172227", "Q3172227")</f>
        <v>0</v>
      </c>
      <c r="O11065" t="s">
        <v>20010</v>
      </c>
      <c r="Q11065" t="s">
        <v>391</v>
      </c>
      <c r="R11065" t="s">
        <v>17837</v>
      </c>
      <c r="S11065">
        <v>2186</v>
      </c>
    </row>
    <row r="11066" spans="1:19">
      <c r="A11066" t="s">
        <v>130</v>
      </c>
      <c r="B11066" t="s">
        <v>150</v>
      </c>
      <c r="C11066" t="s">
        <v>262</v>
      </c>
      <c r="D11066" t="s">
        <v>391</v>
      </c>
      <c r="F11066">
        <f>HYPERLINK("https://www.wikidata.org/wiki/Q56306075", "Q56306075")</f>
        <v>0</v>
      </c>
      <c r="G11066" t="s">
        <v>2804</v>
      </c>
      <c r="H11066" t="s">
        <v>7307</v>
      </c>
      <c r="I11066" t="s">
        <v>10450</v>
      </c>
      <c r="J11066" t="s">
        <v>13444</v>
      </c>
      <c r="K11066" t="s">
        <v>17838</v>
      </c>
      <c r="L11066">
        <f>HYPERLINK("https://www2.assemblee-nationale.fr/sycomore/fiche/(num_dept)/8113", "8113")</f>
        <v>0</v>
      </c>
      <c r="M11066">
        <f>HYPERLINK("https://www.senat.fr/senateur-3eme-republique/dusolier_alcide0667r3.html", "dusolier_alcide0667r3")</f>
        <v>0</v>
      </c>
      <c r="N11066">
        <f>HYPERLINK("https://www.wikidata.org/wiki/Q765905", "Q765905")</f>
        <v>0</v>
      </c>
      <c r="O11066" t="s">
        <v>20010</v>
      </c>
      <c r="Q11066" t="s">
        <v>391</v>
      </c>
      <c r="R11066" t="s">
        <v>21662</v>
      </c>
      <c r="S11066">
        <v>3268</v>
      </c>
    </row>
    <row r="11067" spans="1:19">
      <c r="A11067" t="s">
        <v>130</v>
      </c>
      <c r="B11067" t="s">
        <v>150</v>
      </c>
      <c r="C11067" t="s">
        <v>262</v>
      </c>
      <c r="D11067" t="s">
        <v>391</v>
      </c>
      <c r="F11067">
        <f>HYPERLINK("https://www.wikidata.org/wiki/Q56306075", "Q56306075")</f>
        <v>0</v>
      </c>
      <c r="G11067" t="s">
        <v>2807</v>
      </c>
      <c r="H11067" t="s">
        <v>7309</v>
      </c>
      <c r="I11067" t="s">
        <v>10451</v>
      </c>
      <c r="J11067" t="s">
        <v>13447</v>
      </c>
      <c r="K11067" t="s">
        <v>13041</v>
      </c>
      <c r="L11067">
        <f>HYPERLINK("https://www2.assemblee-nationale.fr/sycomore/fiche/(num_dept)/8116", "8116")</f>
        <v>0</v>
      </c>
      <c r="M11067">
        <f>HYPERLINK("https://www.senat.fr/senateur-3eme-republique/gaudy_felix0676r3.html", "gaudy_felix0676r3")</f>
        <v>0</v>
      </c>
      <c r="N11067">
        <f>HYPERLINK("https://www.wikidata.org/wiki/Q3092448", "Q3092448")</f>
        <v>0</v>
      </c>
      <c r="O11067" t="s">
        <v>19973</v>
      </c>
      <c r="Q11067" t="s">
        <v>391</v>
      </c>
      <c r="R11067" t="s">
        <v>21662</v>
      </c>
      <c r="S11067">
        <v>3268</v>
      </c>
    </row>
    <row r="11068" spans="1:19">
      <c r="A11068" t="s">
        <v>130</v>
      </c>
      <c r="B11068" t="s">
        <v>150</v>
      </c>
      <c r="C11068" t="s">
        <v>262</v>
      </c>
      <c r="D11068" t="s">
        <v>391</v>
      </c>
      <c r="F11068">
        <f>HYPERLINK("https://www.wikidata.org/wiki/Q56306075", "Q56306075")</f>
        <v>0</v>
      </c>
      <c r="G11068" t="s">
        <v>2808</v>
      </c>
      <c r="H11068" t="s">
        <v>7310</v>
      </c>
      <c r="I11068" t="s">
        <v>9437</v>
      </c>
      <c r="J11068" t="s">
        <v>13448</v>
      </c>
      <c r="K11068" t="s">
        <v>17840</v>
      </c>
      <c r="L11068">
        <f>HYPERLINK("https://www2.assemblee-nationale.fr/sycomore/fiche/(num_dept)/8117", "8117")</f>
        <v>0</v>
      </c>
      <c r="M11068">
        <f>HYPERLINK("https://www.senat.fr/senateur-3eme-republique/loubet_emile0714r3.html", "loubet_emile0714r3")</f>
        <v>0</v>
      </c>
      <c r="N11068">
        <f>HYPERLINK("https://www.wikidata.org/wiki/Q169502", "Q169502")</f>
        <v>0</v>
      </c>
      <c r="O11068" t="s">
        <v>20044</v>
      </c>
      <c r="Q11068" t="s">
        <v>391</v>
      </c>
      <c r="R11068" t="s">
        <v>21662</v>
      </c>
      <c r="S11068">
        <v>3268</v>
      </c>
    </row>
    <row r="11069" spans="1:19">
      <c r="A11069" t="s">
        <v>130</v>
      </c>
      <c r="B11069" t="s">
        <v>150</v>
      </c>
      <c r="C11069" t="s">
        <v>262</v>
      </c>
      <c r="D11069" t="s">
        <v>391</v>
      </c>
      <c r="F11069">
        <f>HYPERLINK("https://www.wikidata.org/wiki/Q56306075", "Q56306075")</f>
        <v>0</v>
      </c>
      <c r="G11069" t="s">
        <v>2811</v>
      </c>
      <c r="H11069" t="s">
        <v>7313</v>
      </c>
      <c r="I11069" t="s">
        <v>9385</v>
      </c>
      <c r="J11069" t="s">
        <v>13451</v>
      </c>
      <c r="K11069" t="s">
        <v>17842</v>
      </c>
      <c r="L11069">
        <f>HYPERLINK("https://www2.assemblee-nationale.fr/sycomore/fiche/(num_dept)/8120", "8120")</f>
        <v>0</v>
      </c>
      <c r="M11069">
        <f>HYPERLINK("https://www.senat.fr/senateur-3eme-republique/d_osmoy_charles0755r3.html", "d_osmoy_charles0755r3")</f>
        <v>0</v>
      </c>
      <c r="N11069">
        <f>HYPERLINK("https://www.wikidata.org/wiki/Q2960511", "Q2960511")</f>
        <v>0</v>
      </c>
      <c r="O11069" t="s">
        <v>19992</v>
      </c>
      <c r="Q11069" t="s">
        <v>391</v>
      </c>
      <c r="R11069" t="s">
        <v>21662</v>
      </c>
      <c r="S11069">
        <v>3268</v>
      </c>
    </row>
    <row r="11070" spans="1:19">
      <c r="A11070" t="s">
        <v>130</v>
      </c>
      <c r="B11070" t="s">
        <v>150</v>
      </c>
      <c r="C11070" t="s">
        <v>262</v>
      </c>
      <c r="D11070" t="s">
        <v>391</v>
      </c>
      <c r="F11070">
        <f>HYPERLINK("https://www.wikidata.org/wiki/Q56306075", "Q56306075")</f>
        <v>0</v>
      </c>
      <c r="G11070" t="s">
        <v>2832</v>
      </c>
      <c r="H11070" t="s">
        <v>7326</v>
      </c>
      <c r="I11070" t="s">
        <v>10464</v>
      </c>
      <c r="J11070" t="s">
        <v>13472</v>
      </c>
      <c r="K11070" t="s">
        <v>17861</v>
      </c>
      <c r="L11070">
        <f>HYPERLINK("https://www2.assemblee-nationale.fr/sycomore/fiche/(num_dept)/8149", "8149")</f>
        <v>0</v>
      </c>
      <c r="M11070">
        <f>HYPERLINK("https://www.senat.fr/senateur-3eme-republique/marion_de_faverges_joseph1196r3.html", "marion_de_faverges_joseph1196r3")</f>
        <v>0</v>
      </c>
      <c r="N11070">
        <f>HYPERLINK("https://www.wikidata.org/wiki/Q2385779", "Q2385779")</f>
        <v>0</v>
      </c>
      <c r="O11070" t="s">
        <v>20006</v>
      </c>
      <c r="Q11070" t="s">
        <v>391</v>
      </c>
      <c r="R11070" t="s">
        <v>21651</v>
      </c>
      <c r="S11070">
        <v>1074</v>
      </c>
    </row>
    <row r="11071" spans="1:19">
      <c r="A11071" t="s">
        <v>130</v>
      </c>
      <c r="B11071" t="s">
        <v>150</v>
      </c>
      <c r="C11071" t="s">
        <v>262</v>
      </c>
      <c r="D11071" t="s">
        <v>391</v>
      </c>
      <c r="F11071">
        <f>HYPERLINK("https://www.wikidata.org/wiki/Q56306075", "Q56306075")</f>
        <v>0</v>
      </c>
      <c r="G11071" t="s">
        <v>2833</v>
      </c>
      <c r="H11071" t="s">
        <v>7327</v>
      </c>
      <c r="I11071" t="s">
        <v>10465</v>
      </c>
      <c r="J11071" t="s">
        <v>13473</v>
      </c>
      <c r="K11071" t="s">
        <v>17862</v>
      </c>
      <c r="L11071">
        <f>HYPERLINK("https://www2.assemblee-nationale.fr/sycomore/fiche/(num_dept)/8150", "8150")</f>
        <v>0</v>
      </c>
      <c r="M11071">
        <f>HYPERLINK("https://www.senat.fr/senateur-3eme-republique/couturier_jean1185r3.html", "couturier_jean1185r3")</f>
        <v>0</v>
      </c>
      <c r="N11071">
        <f>HYPERLINK("https://www.wikidata.org/wiki/Q3171477", "Q3171477")</f>
        <v>0</v>
      </c>
      <c r="O11071" t="s">
        <v>20006</v>
      </c>
      <c r="Q11071" t="s">
        <v>391</v>
      </c>
      <c r="R11071" t="s">
        <v>21651</v>
      </c>
      <c r="S11071">
        <v>1074</v>
      </c>
    </row>
    <row r="11072" spans="1:19">
      <c r="A11072" t="s">
        <v>130</v>
      </c>
      <c r="B11072" t="s">
        <v>150</v>
      </c>
      <c r="C11072" t="s">
        <v>262</v>
      </c>
      <c r="D11072" t="s">
        <v>391</v>
      </c>
      <c r="F11072">
        <f>HYPERLINK("https://www.wikidata.org/wiki/Q56306075", "Q56306075")</f>
        <v>0</v>
      </c>
      <c r="G11072" t="s">
        <v>2835</v>
      </c>
      <c r="H11072" t="s">
        <v>7329</v>
      </c>
      <c r="I11072" t="s">
        <v>9516</v>
      </c>
      <c r="J11072" t="s">
        <v>13474</v>
      </c>
      <c r="K11072" t="s">
        <v>17864</v>
      </c>
      <c r="L11072">
        <f>HYPERLINK("https://www2.assemblee-nationale.fr/sycomore/fiche/(num_dept)/8154", "8154")</f>
        <v>0</v>
      </c>
      <c r="M11072">
        <f>HYPERLINK("https://www.senat.fr/senateur-3eme-republique/brossard_etienne1319r3.html", "brossard_etienne1319r3")</f>
        <v>0</v>
      </c>
      <c r="N11072">
        <f>HYPERLINK("https://www.wikidata.org/wiki/Q3592085", "Q3592085")</f>
        <v>0</v>
      </c>
      <c r="O11072" t="s">
        <v>19997</v>
      </c>
      <c r="Q11072" t="s">
        <v>391</v>
      </c>
      <c r="R11072" t="s">
        <v>21651</v>
      </c>
      <c r="S11072">
        <v>1074</v>
      </c>
    </row>
    <row r="11073" spans="1:19">
      <c r="A11073" t="s">
        <v>130</v>
      </c>
      <c r="B11073" t="s">
        <v>150</v>
      </c>
      <c r="C11073" t="s">
        <v>262</v>
      </c>
      <c r="D11073" t="s">
        <v>391</v>
      </c>
      <c r="F11073">
        <f>HYPERLINK("https://www.wikidata.org/wiki/Q56306075", "Q56306075")</f>
        <v>0</v>
      </c>
      <c r="G11073" t="s">
        <v>2856</v>
      </c>
      <c r="H11073" t="s">
        <v>7113</v>
      </c>
      <c r="I11073" t="s">
        <v>10480</v>
      </c>
      <c r="J11073" t="s">
        <v>13495</v>
      </c>
      <c r="K11073" t="s">
        <v>17883</v>
      </c>
      <c r="L11073">
        <f>HYPERLINK("https://www2.assemblee-nationale.fr/sycomore/fiche/(num_dept)/8181", "8181")</f>
        <v>0</v>
      </c>
      <c r="M11073">
        <f>HYPERLINK("https://www.senat.fr/senateur-3eme-republique/develle_edmond1012r3.html", "develle_edmond1012r3")</f>
        <v>0</v>
      </c>
      <c r="N11073">
        <f>HYPERLINK("https://www.wikidata.org/wiki/Q3047803", "Q3047803")</f>
        <v>0</v>
      </c>
      <c r="O11073" t="s">
        <v>20030</v>
      </c>
      <c r="Q11073" t="s">
        <v>391</v>
      </c>
      <c r="R11073" t="s">
        <v>21651</v>
      </c>
      <c r="S11073">
        <v>1074</v>
      </c>
    </row>
    <row r="11074" spans="1:19">
      <c r="A11074" t="s">
        <v>130</v>
      </c>
      <c r="B11074" t="s">
        <v>150</v>
      </c>
      <c r="C11074" t="s">
        <v>262</v>
      </c>
      <c r="D11074" t="s">
        <v>391</v>
      </c>
      <c r="F11074">
        <f>HYPERLINK("https://www.wikidata.org/wiki/Q56306075", "Q56306075")</f>
        <v>0</v>
      </c>
      <c r="G11074" t="s">
        <v>2880</v>
      </c>
      <c r="H11074" t="s">
        <v>7365</v>
      </c>
      <c r="I11074" t="s">
        <v>10498</v>
      </c>
      <c r="J11074" t="s">
        <v>13517</v>
      </c>
      <c r="K11074" t="s">
        <v>17904</v>
      </c>
      <c r="L11074">
        <f>HYPERLINK("https://www2.assemblee-nationale.fr/sycomore/fiche/(num_dept)/8211", "8211")</f>
        <v>0</v>
      </c>
      <c r="M11074">
        <f>HYPERLINK("https://www.senat.fr/senateur-3eme-republique/hamille_francois0923r3.html", "hamille_francois0923r3")</f>
        <v>0</v>
      </c>
      <c r="N11074">
        <f>HYPERLINK("https://www.wikidata.org/wiki/Q3084825", "Q3084825")</f>
        <v>0</v>
      </c>
      <c r="O11074" t="s">
        <v>19968</v>
      </c>
      <c r="Q11074" t="s">
        <v>391</v>
      </c>
      <c r="R11074" t="s">
        <v>17904</v>
      </c>
      <c r="S11074">
        <v>299</v>
      </c>
    </row>
    <row r="11075" spans="1:19">
      <c r="A11075" t="s">
        <v>130</v>
      </c>
      <c r="B11075" t="s">
        <v>150</v>
      </c>
      <c r="C11075" t="s">
        <v>262</v>
      </c>
      <c r="D11075" t="s">
        <v>391</v>
      </c>
      <c r="F11075">
        <f>HYPERLINK("https://www.wikidata.org/wiki/Q56306075", "Q56306075")</f>
        <v>0</v>
      </c>
      <c r="G11075" t="s">
        <v>2893</v>
      </c>
      <c r="H11075" t="s">
        <v>7377</v>
      </c>
      <c r="I11075" t="s">
        <v>10507</v>
      </c>
      <c r="J11075" t="s">
        <v>13528</v>
      </c>
      <c r="K11075" t="s">
        <v>17916</v>
      </c>
      <c r="L11075">
        <f>HYPERLINK("https://www2.assemblee-nationale.fr/sycomore/fiche/(num_dept)/8227", "8227")</f>
        <v>0</v>
      </c>
      <c r="M11075">
        <f>HYPERLINK("https://www.senat.fr/senateur-3eme-republique/perras_jean_claude1141r3.html", "perras_jean_claude1141r3")</f>
        <v>0</v>
      </c>
      <c r="N11075">
        <f>HYPERLINK("https://www.wikidata.org/wiki/Q3165165", "Q3165165")</f>
        <v>0</v>
      </c>
      <c r="O11075" t="s">
        <v>19965</v>
      </c>
      <c r="Q11075" t="s">
        <v>391</v>
      </c>
      <c r="R11075" t="s">
        <v>21653</v>
      </c>
      <c r="S11075">
        <v>2169</v>
      </c>
    </row>
    <row r="11076" spans="1:19">
      <c r="A11076" t="s">
        <v>130</v>
      </c>
      <c r="B11076" t="s">
        <v>150</v>
      </c>
      <c r="C11076" t="s">
        <v>262</v>
      </c>
      <c r="D11076" t="s">
        <v>391</v>
      </c>
      <c r="F11076">
        <f>HYPERLINK("https://www.wikidata.org/wiki/Q56306075", "Q56306075")</f>
        <v>0</v>
      </c>
      <c r="G11076" t="s">
        <v>2941</v>
      </c>
      <c r="H11076" t="s">
        <v>7418</v>
      </c>
      <c r="I11076" t="s">
        <v>9553</v>
      </c>
      <c r="J11076" t="s">
        <v>13574</v>
      </c>
      <c r="K11076" t="s">
        <v>17959</v>
      </c>
      <c r="L11076">
        <f>HYPERLINK("https://www2.assemblee-nationale.fr/sycomore/fiche/(num_dept)/8295", "8295")</f>
        <v>0</v>
      </c>
      <c r="M11076">
        <f>HYPERLINK("https://www.senat.fr/senateur-3eme-republique/mauguin_alexandre0837r3.html", "mauguin_alexandre0837r3")</f>
        <v>0</v>
      </c>
      <c r="N11076">
        <f>HYPERLINK("https://www.wikidata.org/wiki/Q16798518", "Q16798518")</f>
        <v>0</v>
      </c>
      <c r="Q11076" t="s">
        <v>391</v>
      </c>
      <c r="R11076" t="s">
        <v>21662</v>
      </c>
      <c r="S11076">
        <v>3268</v>
      </c>
    </row>
    <row r="11077" spans="1:19">
      <c r="A11077" t="s">
        <v>130</v>
      </c>
      <c r="B11077" t="s">
        <v>150</v>
      </c>
      <c r="C11077" t="s">
        <v>262</v>
      </c>
      <c r="D11077" t="s">
        <v>391</v>
      </c>
      <c r="F11077">
        <f>HYPERLINK("https://www.wikidata.org/wiki/Q56306075", "Q56306075")</f>
        <v>0</v>
      </c>
      <c r="G11077" t="s">
        <v>4400</v>
      </c>
      <c r="H11077" t="s">
        <v>8549</v>
      </c>
      <c r="I11077" t="s">
        <v>9385</v>
      </c>
      <c r="J11077" t="s">
        <v>14890</v>
      </c>
      <c r="K11077" t="s">
        <v>19228</v>
      </c>
      <c r="M11077">
        <f>HYPERLINK("https://www.senat.fr/senateur-3eme-republique/robin_charles0011r3.html", "robin_charles0011r3")</f>
        <v>0</v>
      </c>
      <c r="N11077">
        <f>HYPERLINK("https://www.wikidata.org/wiki/Q716201", "Q716201")</f>
        <v>0</v>
      </c>
      <c r="O11077" t="s">
        <v>19986</v>
      </c>
      <c r="Q11077" t="s">
        <v>391</v>
      </c>
      <c r="R11077" t="s">
        <v>21650</v>
      </c>
      <c r="S11077">
        <v>22183</v>
      </c>
    </row>
    <row r="11078" spans="1:19">
      <c r="A11078" t="s">
        <v>130</v>
      </c>
      <c r="B11078" t="s">
        <v>150</v>
      </c>
      <c r="C11078" t="s">
        <v>262</v>
      </c>
      <c r="D11078" t="s">
        <v>391</v>
      </c>
      <c r="F11078">
        <f>HYPERLINK("https://www.wikidata.org/wiki/Q56306075", "Q56306075")</f>
        <v>0</v>
      </c>
      <c r="G11078" t="s">
        <v>4662</v>
      </c>
      <c r="H11078" t="s">
        <v>8803</v>
      </c>
      <c r="I11078" t="s">
        <v>9516</v>
      </c>
      <c r="J11078" t="s">
        <v>15133</v>
      </c>
      <c r="K11078" t="s">
        <v>19454</v>
      </c>
      <c r="M11078">
        <f>HYPERLINK("https://www.senat.fr/senateur-3eme-republique/goujon_etienne0018r3.html", "goujon_etienne0018r3")</f>
        <v>0</v>
      </c>
      <c r="N11078">
        <f>HYPERLINK("https://www.wikidata.org/wiki/Q3592185", "Q3592185")</f>
        <v>0</v>
      </c>
      <c r="O11078" t="s">
        <v>19986</v>
      </c>
      <c r="Q11078" t="s">
        <v>391</v>
      </c>
      <c r="R11078" t="s">
        <v>21662</v>
      </c>
      <c r="S11078">
        <v>3268</v>
      </c>
    </row>
    <row r="11079" spans="1:19">
      <c r="A11079" t="s">
        <v>130</v>
      </c>
      <c r="B11079" t="s">
        <v>150</v>
      </c>
      <c r="C11079" t="s">
        <v>262</v>
      </c>
      <c r="D11079" t="s">
        <v>391</v>
      </c>
      <c r="F11079">
        <f>HYPERLINK("https://www.wikidata.org/wiki/Q56306075", "Q56306075")</f>
        <v>0</v>
      </c>
      <c r="G11079" t="s">
        <v>2631</v>
      </c>
      <c r="H11079" t="s">
        <v>8804</v>
      </c>
      <c r="I11079" t="s">
        <v>6200</v>
      </c>
      <c r="J11079" t="s">
        <v>13273</v>
      </c>
      <c r="K11079" t="s">
        <v>19455</v>
      </c>
      <c r="M11079">
        <f>HYPERLINK("https://www.senat.fr/senateur-3eme-republique/mercier_jean0006r3.html", "mercier_jean0006r3")</f>
        <v>0</v>
      </c>
      <c r="N11079">
        <f>HYPERLINK("https://www.wikidata.org/wiki/Q3173489", "Q3173489")</f>
        <v>0</v>
      </c>
      <c r="O11079" t="s">
        <v>19986</v>
      </c>
      <c r="Q11079" t="s">
        <v>391</v>
      </c>
      <c r="R11079" t="s">
        <v>21662</v>
      </c>
      <c r="S11079">
        <v>3268</v>
      </c>
    </row>
    <row r="11080" spans="1:19">
      <c r="A11080" t="s">
        <v>130</v>
      </c>
      <c r="B11080" t="s">
        <v>150</v>
      </c>
      <c r="C11080" t="s">
        <v>262</v>
      </c>
      <c r="D11080" t="s">
        <v>391</v>
      </c>
      <c r="F11080">
        <f>HYPERLINK("https://www.wikidata.org/wiki/Q56306075", "Q56306075")</f>
        <v>0</v>
      </c>
      <c r="G11080" t="s">
        <v>4403</v>
      </c>
      <c r="H11080" t="s">
        <v>8552</v>
      </c>
      <c r="I11080" t="s">
        <v>9385</v>
      </c>
      <c r="J11080" t="s">
        <v>14893</v>
      </c>
      <c r="K11080" t="s">
        <v>19231</v>
      </c>
      <c r="M11080">
        <f>HYPERLINK("https://www.senat.fr/senateur-3eme-republique/de_saint_vallier_charles0032r3.html", "de_saint_vallier_charles0032r3")</f>
        <v>0</v>
      </c>
      <c r="N11080">
        <f>HYPERLINK("https://www.wikidata.org/wiki/Q834576", "Q834576")</f>
        <v>0</v>
      </c>
      <c r="O11080" t="s">
        <v>20015</v>
      </c>
      <c r="Q11080" t="s">
        <v>391</v>
      </c>
      <c r="R11080" t="s">
        <v>21650</v>
      </c>
      <c r="S11080">
        <v>22183</v>
      </c>
    </row>
    <row r="11081" spans="1:19">
      <c r="A11081" t="s">
        <v>130</v>
      </c>
      <c r="B11081" t="s">
        <v>150</v>
      </c>
      <c r="C11081" t="s">
        <v>262</v>
      </c>
      <c r="D11081" t="s">
        <v>391</v>
      </c>
      <c r="F11081">
        <f>HYPERLINK("https://www.wikidata.org/wiki/Q56306075", "Q56306075")</f>
        <v>0</v>
      </c>
      <c r="G11081" t="s">
        <v>4404</v>
      </c>
      <c r="H11081" t="s">
        <v>8553</v>
      </c>
      <c r="I11081" t="s">
        <v>9712</v>
      </c>
      <c r="J11081" t="s">
        <v>14894</v>
      </c>
      <c r="K11081" t="s">
        <v>19232</v>
      </c>
      <c r="M11081">
        <f>HYPERLINK("https://www.senat.fr/senateur-3eme-republique/waddington_william0028r3.html", "waddington_william0028r3")</f>
        <v>0</v>
      </c>
      <c r="N11081">
        <f>HYPERLINK("https://www.wikidata.org/wiki/Q548696", "Q548696")</f>
        <v>0</v>
      </c>
      <c r="O11081" t="s">
        <v>20015</v>
      </c>
      <c r="Q11081" t="s">
        <v>391</v>
      </c>
      <c r="R11081" t="s">
        <v>21650</v>
      </c>
      <c r="S11081">
        <v>22183</v>
      </c>
    </row>
    <row r="11082" spans="1:19">
      <c r="A11082" t="s">
        <v>130</v>
      </c>
      <c r="B11082" t="s">
        <v>150</v>
      </c>
      <c r="C11082" t="s">
        <v>262</v>
      </c>
      <c r="D11082" t="s">
        <v>391</v>
      </c>
      <c r="F11082">
        <f>HYPERLINK("https://www.wikidata.org/wiki/Q56306075", "Q56306075")</f>
        <v>0</v>
      </c>
      <c r="G11082" t="s">
        <v>4311</v>
      </c>
      <c r="H11082" t="s">
        <v>8467</v>
      </c>
      <c r="I11082" t="s">
        <v>9453</v>
      </c>
      <c r="J11082" t="s">
        <v>14809</v>
      </c>
      <c r="K11082" t="s">
        <v>19150</v>
      </c>
      <c r="M11082">
        <f>HYPERLINK("https://www.senat.fr/senateur-3eme-republique/chalamet_jean0131r3.html", "chalamet_jean0131r3")</f>
        <v>0</v>
      </c>
      <c r="N11082">
        <f>HYPERLINK("https://www.wikidata.org/wiki/Q2865033", "Q2865033")</f>
        <v>0</v>
      </c>
      <c r="O11082" t="s">
        <v>19991</v>
      </c>
      <c r="Q11082" t="s">
        <v>391</v>
      </c>
      <c r="R11082" t="s">
        <v>21662</v>
      </c>
      <c r="S11082">
        <v>3268</v>
      </c>
    </row>
    <row r="11083" spans="1:19">
      <c r="A11083" t="s">
        <v>130</v>
      </c>
      <c r="B11083" t="s">
        <v>150</v>
      </c>
      <c r="C11083" t="s">
        <v>262</v>
      </c>
      <c r="D11083" t="s">
        <v>391</v>
      </c>
      <c r="F11083">
        <f>HYPERLINK("https://www.wikidata.org/wiki/Q56306075", "Q56306075")</f>
        <v>0</v>
      </c>
      <c r="G11083" t="s">
        <v>4649</v>
      </c>
      <c r="H11083" t="s">
        <v>8790</v>
      </c>
      <c r="I11083" t="s">
        <v>6495</v>
      </c>
      <c r="J11083" t="s">
        <v>15122</v>
      </c>
      <c r="K11083" t="s">
        <v>19441</v>
      </c>
      <c r="M11083">
        <f>HYPERLINK("https://www.senat.fr/senateur-3eme-republique/peronne_louis0160r3.html", "peronne_louis0160r3")</f>
        <v>0</v>
      </c>
      <c r="N11083">
        <f>HYPERLINK("https://www.wikidata.org/wiki/Q3261856", "Q3261856")</f>
        <v>0</v>
      </c>
      <c r="O11083" t="s">
        <v>19959</v>
      </c>
      <c r="Q11083" t="s">
        <v>391</v>
      </c>
      <c r="R11083" t="s">
        <v>21650</v>
      </c>
      <c r="S11083">
        <v>22183</v>
      </c>
    </row>
    <row r="11084" spans="1:19">
      <c r="A11084" t="s">
        <v>130</v>
      </c>
      <c r="B11084" t="s">
        <v>150</v>
      </c>
      <c r="C11084" t="s">
        <v>262</v>
      </c>
      <c r="D11084" t="s">
        <v>391</v>
      </c>
      <c r="F11084">
        <f>HYPERLINK("https://www.wikidata.org/wiki/Q56306075", "Q56306075")</f>
        <v>0</v>
      </c>
      <c r="G11084" t="s">
        <v>4610</v>
      </c>
      <c r="H11084" t="s">
        <v>8754</v>
      </c>
      <c r="I11084" t="s">
        <v>9421</v>
      </c>
      <c r="J11084" t="s">
        <v>14013</v>
      </c>
      <c r="K11084" t="s">
        <v>19408</v>
      </c>
      <c r="M11084">
        <f>HYPERLINK("https://www.senat.fr/senateur-3eme-republique/gailly_gustave0167r3.html", "gailly_gustave0167r3")</f>
        <v>0</v>
      </c>
      <c r="N11084">
        <f>HYPERLINK("https://www.wikidata.org/wiki/Q3121193", "Q3121193")</f>
        <v>0</v>
      </c>
      <c r="O11084" t="s">
        <v>19959</v>
      </c>
      <c r="Q11084" t="s">
        <v>391</v>
      </c>
      <c r="R11084" t="s">
        <v>21662</v>
      </c>
      <c r="S11084">
        <v>3268</v>
      </c>
    </row>
    <row r="11085" spans="1:19">
      <c r="A11085" t="s">
        <v>130</v>
      </c>
      <c r="B11085" t="s">
        <v>150</v>
      </c>
      <c r="C11085" t="s">
        <v>262</v>
      </c>
      <c r="D11085" t="s">
        <v>391</v>
      </c>
      <c r="F11085">
        <f>HYPERLINK("https://www.wikidata.org/wiki/Q56306075", "Q56306075")</f>
        <v>0</v>
      </c>
      <c r="G11085" t="s">
        <v>4412</v>
      </c>
      <c r="H11085" t="s">
        <v>8561</v>
      </c>
      <c r="I11085" t="s">
        <v>9474</v>
      </c>
      <c r="J11085" t="s">
        <v>14902</v>
      </c>
      <c r="K11085" t="s">
        <v>19238</v>
      </c>
      <c r="M11085">
        <f>HYPERLINK("https://www.senat.fr/senateur-3eme-republique/vigarosy_jean_baptiste0185r3.html", "vigarosy_jean_baptiste0185r3")</f>
        <v>0</v>
      </c>
      <c r="N11085">
        <f>HYPERLINK("https://www.wikidata.org/wiki/Q3164480", "Q3164480")</f>
        <v>0</v>
      </c>
      <c r="O11085" t="s">
        <v>20019</v>
      </c>
      <c r="Q11085" t="s">
        <v>391</v>
      </c>
      <c r="R11085" t="s">
        <v>21650</v>
      </c>
      <c r="S11085">
        <v>22183</v>
      </c>
    </row>
    <row r="11086" spans="1:19">
      <c r="A11086" t="s">
        <v>130</v>
      </c>
      <c r="B11086" t="s">
        <v>150</v>
      </c>
      <c r="C11086" t="s">
        <v>262</v>
      </c>
      <c r="D11086" t="s">
        <v>391</v>
      </c>
      <c r="F11086">
        <f>HYPERLINK("https://www.wikidata.org/wiki/Q56306075", "Q56306075")</f>
        <v>0</v>
      </c>
      <c r="G11086" t="s">
        <v>4642</v>
      </c>
      <c r="H11086" t="s">
        <v>8785</v>
      </c>
      <c r="I11086" t="s">
        <v>9388</v>
      </c>
      <c r="J11086" t="s">
        <v>15116</v>
      </c>
      <c r="K11086" t="s">
        <v>18281</v>
      </c>
      <c r="M11086">
        <f>HYPERLINK("https://www.senat.fr/senateur-3eme-republique/frezoul_paul0182r3.html", "frezoul_paul0182r3")</f>
        <v>0</v>
      </c>
      <c r="N11086">
        <f>HYPERLINK("https://www.wikidata.org/wiki/Q3371247", "Q3371247")</f>
        <v>0</v>
      </c>
      <c r="O11086" t="s">
        <v>20019</v>
      </c>
      <c r="Q11086" t="s">
        <v>391</v>
      </c>
      <c r="R11086" t="s">
        <v>21662</v>
      </c>
      <c r="S11086">
        <v>3268</v>
      </c>
    </row>
    <row r="11087" spans="1:19">
      <c r="A11087" t="s">
        <v>130</v>
      </c>
      <c r="B11087" t="s">
        <v>150</v>
      </c>
      <c r="C11087" t="s">
        <v>262</v>
      </c>
      <c r="D11087" t="s">
        <v>391</v>
      </c>
      <c r="F11087">
        <f>HYPERLINK("https://www.wikidata.org/wiki/Q56306075", "Q56306075")</f>
        <v>0</v>
      </c>
      <c r="G11087" t="s">
        <v>4616</v>
      </c>
      <c r="H11087" t="s">
        <v>8759</v>
      </c>
      <c r="I11087" t="s">
        <v>9389</v>
      </c>
      <c r="J11087" t="s">
        <v>13833</v>
      </c>
      <c r="K11087" t="s">
        <v>19414</v>
      </c>
      <c r="M11087">
        <f>HYPERLINK("https://www.senat.fr/senateur-3eme-republique/gayot_emile0221r3.html", "gayot_emile0221r3")</f>
        <v>0</v>
      </c>
      <c r="N11087">
        <f>HYPERLINK("https://www.wikidata.org/wiki/Q3588530", "Q3588530")</f>
        <v>0</v>
      </c>
      <c r="O11087" t="s">
        <v>8449</v>
      </c>
      <c r="Q11087" t="s">
        <v>391</v>
      </c>
      <c r="R11087" t="s">
        <v>21662</v>
      </c>
      <c r="S11087">
        <v>3268</v>
      </c>
    </row>
    <row r="11088" spans="1:19">
      <c r="A11088" t="s">
        <v>130</v>
      </c>
      <c r="B11088" t="s">
        <v>150</v>
      </c>
      <c r="C11088" t="s">
        <v>262</v>
      </c>
      <c r="D11088" t="s">
        <v>391</v>
      </c>
      <c r="F11088">
        <f>HYPERLINK("https://www.wikidata.org/wiki/Q56306075", "Q56306075")</f>
        <v>0</v>
      </c>
      <c r="G11088" t="s">
        <v>4663</v>
      </c>
      <c r="H11088" t="s">
        <v>8805</v>
      </c>
      <c r="I11088" t="s">
        <v>9389</v>
      </c>
      <c r="J11088" t="s">
        <v>15134</v>
      </c>
      <c r="K11088" t="s">
        <v>19456</v>
      </c>
      <c r="M11088">
        <f>HYPERLINK("https://www.senat.fr/senateur-3eme-republique/lades_gout_emile0267r3.html", "lades_gout_emile0267r3")</f>
        <v>0</v>
      </c>
      <c r="N11088">
        <f>HYPERLINK("https://www.wikidata.org/wiki/Q3588595", "Q3588595")</f>
        <v>0</v>
      </c>
      <c r="O11088" t="s">
        <v>19960</v>
      </c>
      <c r="Q11088" t="s">
        <v>391</v>
      </c>
      <c r="R11088" t="s">
        <v>19456</v>
      </c>
      <c r="S11088">
        <v>3245</v>
      </c>
    </row>
    <row r="11089" spans="1:19">
      <c r="A11089" t="s">
        <v>130</v>
      </c>
      <c r="B11089" t="s">
        <v>150</v>
      </c>
      <c r="C11089" t="s">
        <v>262</v>
      </c>
      <c r="D11089" t="s">
        <v>391</v>
      </c>
      <c r="F11089">
        <f>HYPERLINK("https://www.wikidata.org/wiki/Q56306075", "Q56306075")</f>
        <v>0</v>
      </c>
      <c r="G11089" t="s">
        <v>4415</v>
      </c>
      <c r="H11089" t="s">
        <v>8564</v>
      </c>
      <c r="I11089" t="s">
        <v>10485</v>
      </c>
      <c r="J11089" t="s">
        <v>14905</v>
      </c>
      <c r="K11089" t="s">
        <v>19241</v>
      </c>
      <c r="M11089">
        <f>HYPERLINK("https://www.senat.fr/senateur-3eme-republique/mayran_casimir0282r3.html", "mayran_casimir0282r3")</f>
        <v>0</v>
      </c>
      <c r="N11089">
        <f>HYPERLINK("https://www.wikidata.org/wiki/Q20027647", "Q20027647")</f>
        <v>0</v>
      </c>
      <c r="O11089" t="s">
        <v>19967</v>
      </c>
      <c r="Q11089" t="s">
        <v>391</v>
      </c>
      <c r="R11089" t="s">
        <v>21650</v>
      </c>
      <c r="S11089">
        <v>22183</v>
      </c>
    </row>
    <row r="11090" spans="1:19">
      <c r="A11090" t="s">
        <v>130</v>
      </c>
      <c r="B11090" t="s">
        <v>150</v>
      </c>
      <c r="C11090" t="s">
        <v>262</v>
      </c>
      <c r="D11090" t="s">
        <v>391</v>
      </c>
      <c r="F11090">
        <f>HYPERLINK("https://www.wikidata.org/wiki/Q56306075", "Q56306075")</f>
        <v>0</v>
      </c>
      <c r="G11090" t="s">
        <v>4417</v>
      </c>
      <c r="H11090" t="s">
        <v>8566</v>
      </c>
      <c r="I11090" t="s">
        <v>6200</v>
      </c>
      <c r="J11090" t="s">
        <v>14907</v>
      </c>
      <c r="K11090" t="s">
        <v>19242</v>
      </c>
      <c r="M11090">
        <f>HYPERLINK("https://www.senat.fr/senateur-3eme-republique/delsol_jean0292r3.html", "delsol_jean0292r3")</f>
        <v>0</v>
      </c>
      <c r="N11090">
        <f>HYPERLINK("https://www.wikidata.org/wiki/Q3171653", "Q3171653")</f>
        <v>0</v>
      </c>
      <c r="O11090" t="s">
        <v>19967</v>
      </c>
      <c r="Q11090" t="s">
        <v>391</v>
      </c>
      <c r="R11090" t="s">
        <v>21650</v>
      </c>
      <c r="S11090">
        <v>22183</v>
      </c>
    </row>
    <row r="11091" spans="1:19">
      <c r="A11091" t="s">
        <v>130</v>
      </c>
      <c r="B11091" t="s">
        <v>150</v>
      </c>
      <c r="C11091" t="s">
        <v>262</v>
      </c>
      <c r="D11091" t="s">
        <v>391</v>
      </c>
      <c r="F11091">
        <f>HYPERLINK("https://www.wikidata.org/wiki/Q56306075", "Q56306075")</f>
        <v>0</v>
      </c>
      <c r="G11091" t="s">
        <v>4664</v>
      </c>
      <c r="H11091" t="s">
        <v>8806</v>
      </c>
      <c r="I11091" t="s">
        <v>6860</v>
      </c>
      <c r="J11091" t="s">
        <v>15135</v>
      </c>
      <c r="K11091" t="s">
        <v>15793</v>
      </c>
      <c r="M11091">
        <f>HYPERLINK("https://www.senat.fr/senateur-3eme-republique/lacombe_pierre0286r3.html", "lacombe_pierre0286r3")</f>
        <v>0</v>
      </c>
      <c r="N11091">
        <f>HYPERLINK("https://www.wikidata.org/wiki/Q3385710", "Q3385710")</f>
        <v>0</v>
      </c>
      <c r="O11091" t="s">
        <v>19967</v>
      </c>
      <c r="Q11091" t="s">
        <v>391</v>
      </c>
      <c r="R11091" t="s">
        <v>21662</v>
      </c>
      <c r="S11091">
        <v>3268</v>
      </c>
    </row>
    <row r="11092" spans="1:19">
      <c r="A11092" t="s">
        <v>130</v>
      </c>
      <c r="B11092" t="s">
        <v>150</v>
      </c>
      <c r="C11092" t="s">
        <v>262</v>
      </c>
      <c r="D11092" t="s">
        <v>391</v>
      </c>
      <c r="F11092">
        <f>HYPERLINK("https://www.wikidata.org/wiki/Q56306075", "Q56306075")</f>
        <v>0</v>
      </c>
      <c r="G11092" t="s">
        <v>4548</v>
      </c>
      <c r="H11092" t="s">
        <v>8695</v>
      </c>
      <c r="I11092" t="s">
        <v>6478</v>
      </c>
      <c r="J11092" t="s">
        <v>15028</v>
      </c>
      <c r="K11092" t="s">
        <v>19353</v>
      </c>
      <c r="M11092">
        <f>HYPERLINK("https://www.senat.fr/senateur-3eme-republique/barne_henry0321r3.html", "barne_henry0321r3")</f>
        <v>0</v>
      </c>
      <c r="N11092">
        <f>HYPERLINK("https://www.wikidata.org/wiki/Q1606494", "Q1606494")</f>
        <v>0</v>
      </c>
      <c r="O11092" t="s">
        <v>19990</v>
      </c>
      <c r="Q11092" t="s">
        <v>391</v>
      </c>
      <c r="R11092" t="s">
        <v>21650</v>
      </c>
      <c r="S11092">
        <v>22183</v>
      </c>
    </row>
    <row r="11093" spans="1:19">
      <c r="A11093" t="s">
        <v>130</v>
      </c>
      <c r="B11093" t="s">
        <v>150</v>
      </c>
      <c r="C11093" t="s">
        <v>262</v>
      </c>
      <c r="D11093" t="s">
        <v>391</v>
      </c>
      <c r="F11093">
        <f>HYPERLINK("https://www.wikidata.org/wiki/Q56306075", "Q56306075")</f>
        <v>0</v>
      </c>
      <c r="G11093" t="s">
        <v>4303</v>
      </c>
      <c r="H11093" t="s">
        <v>8460</v>
      </c>
      <c r="I11093" t="s">
        <v>11179</v>
      </c>
      <c r="J11093" t="s">
        <v>14801</v>
      </c>
      <c r="K11093" t="s">
        <v>19144</v>
      </c>
      <c r="M11093">
        <f>HYPERLINK("https://www.senat.fr/senateur-3eme-republique/challemel_lacour_paul0315r3.html", "challemel_lacour_paul0315r3")</f>
        <v>0</v>
      </c>
      <c r="N11093">
        <f>HYPERLINK("https://www.wikidata.org/wiki/Q674393", "Q674393")</f>
        <v>0</v>
      </c>
      <c r="O11093" t="s">
        <v>19990</v>
      </c>
      <c r="Q11093" t="s">
        <v>391</v>
      </c>
      <c r="R11093" t="s">
        <v>21662</v>
      </c>
      <c r="S11093">
        <v>3268</v>
      </c>
    </row>
    <row r="11094" spans="1:19">
      <c r="A11094" t="s">
        <v>130</v>
      </c>
      <c r="B11094" t="s">
        <v>150</v>
      </c>
      <c r="C11094" t="s">
        <v>262</v>
      </c>
      <c r="D11094" t="s">
        <v>391</v>
      </c>
      <c r="F11094">
        <f>HYPERLINK("https://www.wikidata.org/wiki/Q56306075", "Q56306075")</f>
        <v>0</v>
      </c>
      <c r="G11094" t="s">
        <v>4665</v>
      </c>
      <c r="H11094" t="s">
        <v>8807</v>
      </c>
      <c r="I11094" t="s">
        <v>11213</v>
      </c>
      <c r="J11094" t="s">
        <v>15136</v>
      </c>
      <c r="K11094" t="s">
        <v>19457</v>
      </c>
      <c r="M11094">
        <f>HYPERLINK("https://www.senat.fr/senateur-3eme-republique/velten_geoffroy0311r3.html", "velten_geoffroy0311r3")</f>
        <v>0</v>
      </c>
      <c r="N11094">
        <f>HYPERLINK("https://www.wikidata.org/wiki/Q1503086", "Q1503086")</f>
        <v>0</v>
      </c>
      <c r="O11094" t="s">
        <v>19990</v>
      </c>
      <c r="Q11094" t="s">
        <v>391</v>
      </c>
      <c r="R11094" t="s">
        <v>21662</v>
      </c>
      <c r="S11094">
        <v>3268</v>
      </c>
    </row>
    <row r="11095" spans="1:19">
      <c r="A11095" t="s">
        <v>130</v>
      </c>
      <c r="B11095" t="s">
        <v>150</v>
      </c>
      <c r="C11095" t="s">
        <v>262</v>
      </c>
      <c r="D11095" t="s">
        <v>391</v>
      </c>
      <c r="F11095">
        <f>HYPERLINK("https://www.wikidata.org/wiki/Q56306075", "Q56306075")</f>
        <v>0</v>
      </c>
      <c r="G11095" t="s">
        <v>4424</v>
      </c>
      <c r="H11095" t="s">
        <v>8572</v>
      </c>
      <c r="I11095" t="s">
        <v>6495</v>
      </c>
      <c r="J11095" t="s">
        <v>14914</v>
      </c>
      <c r="K11095" t="s">
        <v>19248</v>
      </c>
      <c r="M11095">
        <f>HYPERLINK("https://www.senat.fr/senateur-3eme-republique/de_saint_pierre_louis0352r3.html", "de_saint_pierre_louis0352r3")</f>
        <v>0</v>
      </c>
      <c r="N11095">
        <f>HYPERLINK("https://www.wikidata.org/wiki/Q3263556", "Q3263556")</f>
        <v>0</v>
      </c>
      <c r="O11095" t="s">
        <v>20009</v>
      </c>
      <c r="Q11095" t="s">
        <v>391</v>
      </c>
      <c r="R11095" t="s">
        <v>21650</v>
      </c>
      <c r="S11095">
        <v>22183</v>
      </c>
    </row>
    <row r="11096" spans="1:19">
      <c r="A11096" t="s">
        <v>130</v>
      </c>
      <c r="B11096" t="s">
        <v>150</v>
      </c>
      <c r="C11096" t="s">
        <v>262</v>
      </c>
      <c r="D11096" t="s">
        <v>391</v>
      </c>
      <c r="F11096">
        <f>HYPERLINK("https://www.wikidata.org/wiki/Q56306075", "Q56306075")</f>
        <v>0</v>
      </c>
      <c r="G11096" t="s">
        <v>4666</v>
      </c>
      <c r="H11096" t="s">
        <v>8808</v>
      </c>
      <c r="I11096" t="s">
        <v>9553</v>
      </c>
      <c r="J11096" t="s">
        <v>15137</v>
      </c>
      <c r="K11096" t="s">
        <v>19458</v>
      </c>
      <c r="M11096">
        <f>HYPERLINK("https://www.senat.fr/senateur-3eme-republique/lavalley_alexandre0333r3.html", "lavalley_alexandre0333r3")</f>
        <v>0</v>
      </c>
      <c r="N11096">
        <f>HYPERLINK("https://www.wikidata.org/wiki/Q576841", "Q576841")</f>
        <v>0</v>
      </c>
      <c r="O11096" t="s">
        <v>20009</v>
      </c>
      <c r="Q11096" t="s">
        <v>391</v>
      </c>
      <c r="R11096" t="s">
        <v>19458</v>
      </c>
      <c r="S11096">
        <v>2733</v>
      </c>
    </row>
    <row r="11097" spans="1:19">
      <c r="A11097" t="s">
        <v>130</v>
      </c>
      <c r="B11097" t="s">
        <v>150</v>
      </c>
      <c r="C11097" t="s">
        <v>262</v>
      </c>
      <c r="D11097" t="s">
        <v>391</v>
      </c>
      <c r="F11097">
        <f>HYPERLINK("https://www.wikidata.org/wiki/Q56306075", "Q56306075")</f>
        <v>0</v>
      </c>
      <c r="G11097" t="s">
        <v>4667</v>
      </c>
      <c r="H11097" t="s">
        <v>8809</v>
      </c>
      <c r="I11097" t="s">
        <v>5528</v>
      </c>
      <c r="J11097" t="s">
        <v>15138</v>
      </c>
      <c r="K11097" t="s">
        <v>19290</v>
      </c>
      <c r="M11097">
        <f>HYPERLINK("https://www.senat.fr/senateur-3eme-republique/cabanes_leon0366r3.html", "cabanes_leon0366r3")</f>
        <v>0</v>
      </c>
      <c r="N11097">
        <f>HYPERLINK("https://www.wikidata.org/wiki/Q3270786", "Q3270786")</f>
        <v>0</v>
      </c>
      <c r="O11097" t="s">
        <v>19966</v>
      </c>
      <c r="Q11097" t="s">
        <v>391</v>
      </c>
      <c r="R11097" t="s">
        <v>19290</v>
      </c>
      <c r="S11097">
        <v>502</v>
      </c>
    </row>
    <row r="11098" spans="1:19">
      <c r="A11098" t="s">
        <v>130</v>
      </c>
      <c r="B11098" t="s">
        <v>150</v>
      </c>
      <c r="C11098" t="s">
        <v>262</v>
      </c>
      <c r="D11098" t="s">
        <v>391</v>
      </c>
      <c r="F11098">
        <f>HYPERLINK("https://www.wikidata.org/wiki/Q56306075", "Q56306075")</f>
        <v>0</v>
      </c>
      <c r="G11098" t="s">
        <v>4668</v>
      </c>
      <c r="H11098" t="s">
        <v>8809</v>
      </c>
      <c r="I11098" t="s">
        <v>9407</v>
      </c>
      <c r="J11098" t="s">
        <v>15139</v>
      </c>
      <c r="K11098" t="s">
        <v>19459</v>
      </c>
      <c r="M11098">
        <f>HYPERLINK("https://www.senat.fr/senateur-3eme-republique/cabanes_joseph0359r3.html", "cabanes_joseph0359r3")</f>
        <v>0</v>
      </c>
      <c r="N11098">
        <f>HYPERLINK("https://www.wikidata.org/wiki/Q3184689", "Q3184689")</f>
        <v>0</v>
      </c>
      <c r="O11098" t="s">
        <v>19966</v>
      </c>
      <c r="Q11098" t="s">
        <v>391</v>
      </c>
      <c r="R11098" t="s">
        <v>19459</v>
      </c>
      <c r="S11098">
        <v>2185</v>
      </c>
    </row>
    <row r="11099" spans="1:19">
      <c r="A11099" t="s">
        <v>130</v>
      </c>
      <c r="B11099" t="s">
        <v>150</v>
      </c>
      <c r="C11099" t="s">
        <v>262</v>
      </c>
      <c r="D11099" t="s">
        <v>391</v>
      </c>
      <c r="F11099">
        <f>HYPERLINK("https://www.wikidata.org/wiki/Q56306075", "Q56306075")</f>
        <v>0</v>
      </c>
      <c r="G11099" t="s">
        <v>4600</v>
      </c>
      <c r="H11099" t="s">
        <v>8744</v>
      </c>
      <c r="I11099" t="s">
        <v>9423</v>
      </c>
      <c r="J11099" t="s">
        <v>15079</v>
      </c>
      <c r="K11099" t="s">
        <v>19399</v>
      </c>
      <c r="M11099">
        <f>HYPERLINK("https://www.senat.fr/senateur-3eme-republique/de_bremond_d_ars_guillaume0388r3.html", "de_bremond_d_ars_guillaume0388r3")</f>
        <v>0</v>
      </c>
      <c r="N11099">
        <f>HYPERLINK("https://www.wikidata.org/wiki/Q3120288", "Q3120288")</f>
        <v>0</v>
      </c>
      <c r="O11099" t="s">
        <v>20031</v>
      </c>
      <c r="Q11099" t="s">
        <v>391</v>
      </c>
      <c r="R11099" t="s">
        <v>21650</v>
      </c>
      <c r="S11099">
        <v>22183</v>
      </c>
    </row>
    <row r="11100" spans="1:19">
      <c r="A11100" t="s">
        <v>130</v>
      </c>
      <c r="B11100" t="s">
        <v>150</v>
      </c>
      <c r="C11100" t="s">
        <v>262</v>
      </c>
      <c r="D11100" t="s">
        <v>391</v>
      </c>
      <c r="F11100">
        <f>HYPERLINK("https://www.wikidata.org/wiki/Q56306075", "Q56306075")</f>
        <v>0</v>
      </c>
      <c r="G11100" t="s">
        <v>4603</v>
      </c>
      <c r="H11100" t="s">
        <v>8747</v>
      </c>
      <c r="I11100" t="s">
        <v>6166</v>
      </c>
      <c r="J11100" t="s">
        <v>15082</v>
      </c>
      <c r="K11100" t="s">
        <v>19401</v>
      </c>
      <c r="M11100">
        <f>HYPERLINK("https://www.senat.fr/senateur-3eme-republique/canrobert_francois0394r3.html", "canrobert_francois0394r3")</f>
        <v>0</v>
      </c>
      <c r="N11100">
        <f>HYPERLINK("https://www.wikidata.org/wiki/Q551525", "Q551525")</f>
        <v>0</v>
      </c>
      <c r="O11100" t="s">
        <v>20031</v>
      </c>
      <c r="Q11100" t="s">
        <v>391</v>
      </c>
      <c r="R11100" t="s">
        <v>21650</v>
      </c>
      <c r="S11100">
        <v>22183</v>
      </c>
    </row>
    <row r="11101" spans="1:19">
      <c r="A11101" t="s">
        <v>130</v>
      </c>
      <c r="B11101" t="s">
        <v>150</v>
      </c>
      <c r="C11101" t="s">
        <v>262</v>
      </c>
      <c r="D11101" t="s">
        <v>391</v>
      </c>
      <c r="F11101">
        <f>HYPERLINK("https://www.wikidata.org/wiki/Q56306075", "Q56306075")</f>
        <v>0</v>
      </c>
      <c r="G11101" t="s">
        <v>4236</v>
      </c>
      <c r="H11101" t="s">
        <v>8413</v>
      </c>
      <c r="I11101" t="s">
        <v>9437</v>
      </c>
      <c r="J11101" t="s">
        <v>14743</v>
      </c>
      <c r="K11101" t="s">
        <v>19088</v>
      </c>
      <c r="M11101">
        <f>HYPERLINK("https://www.senat.fr/senateur-3eme-republique/combes_emile0416r3.html", "combes_emile0416r3")</f>
        <v>0</v>
      </c>
      <c r="N11101">
        <f>HYPERLINK("https://www.wikidata.org/wiki/Q275020", "Q275020")</f>
        <v>0</v>
      </c>
      <c r="O11101" t="s">
        <v>20037</v>
      </c>
      <c r="Q11101" t="s">
        <v>391</v>
      </c>
      <c r="R11101" t="s">
        <v>21662</v>
      </c>
      <c r="S11101">
        <v>3268</v>
      </c>
    </row>
    <row r="11102" spans="1:19">
      <c r="A11102" t="s">
        <v>130</v>
      </c>
      <c r="B11102" t="s">
        <v>150</v>
      </c>
      <c r="C11102" t="s">
        <v>262</v>
      </c>
      <c r="D11102" t="s">
        <v>391</v>
      </c>
      <c r="F11102">
        <f>HYPERLINK("https://www.wikidata.org/wiki/Q56306075", "Q56306075")</f>
        <v>0</v>
      </c>
      <c r="G11102" t="s">
        <v>4669</v>
      </c>
      <c r="H11102" t="s">
        <v>8810</v>
      </c>
      <c r="I11102" t="s">
        <v>7763</v>
      </c>
      <c r="J11102" t="s">
        <v>15140</v>
      </c>
      <c r="K11102" t="s">
        <v>19460</v>
      </c>
      <c r="M11102">
        <f>HYPERLINK("https://www.senat.fr/senateur-3eme-republique/peaudecerf_valentin0434r3.html", "peaudecerf_valentin0434r3")</f>
        <v>0</v>
      </c>
      <c r="N11102">
        <f>HYPERLINK("https://www.wikidata.org/wiki/Q3553599", "Q3553599")</f>
        <v>0</v>
      </c>
      <c r="O11102" t="s">
        <v>19996</v>
      </c>
      <c r="Q11102" t="s">
        <v>391</v>
      </c>
      <c r="R11102" t="s">
        <v>21662</v>
      </c>
      <c r="S11102">
        <v>3268</v>
      </c>
    </row>
    <row r="11103" spans="1:19">
      <c r="A11103" t="s">
        <v>130</v>
      </c>
      <c r="B11103" t="s">
        <v>150</v>
      </c>
      <c r="C11103" t="s">
        <v>262</v>
      </c>
      <c r="D11103" t="s">
        <v>391</v>
      </c>
      <c r="F11103">
        <f>HYPERLINK("https://www.wikidata.org/wiki/Q56306075", "Q56306075")</f>
        <v>0</v>
      </c>
      <c r="G11103" t="s">
        <v>4527</v>
      </c>
      <c r="H11103" t="s">
        <v>8674</v>
      </c>
      <c r="I11103" t="s">
        <v>6713</v>
      </c>
      <c r="J11103" t="s">
        <v>15009</v>
      </c>
      <c r="K11103" t="s">
        <v>19336</v>
      </c>
      <c r="M11103">
        <f>HYPERLINK("https://www.senat.fr/senateur-3eme-republique/lafond_de_saint_mur_guy0455r3.html", "lafond_de_saint_mur_guy0455r3")</f>
        <v>0</v>
      </c>
      <c r="N11103">
        <f>HYPERLINK("https://www.wikidata.org/wiki/Q3121898", "Q3121898")</f>
        <v>0</v>
      </c>
      <c r="O11103" t="s">
        <v>20020</v>
      </c>
      <c r="Q11103" t="s">
        <v>391</v>
      </c>
      <c r="R11103" t="s">
        <v>21650</v>
      </c>
      <c r="S11103">
        <v>22183</v>
      </c>
    </row>
    <row r="11104" spans="1:19">
      <c r="A11104" t="s">
        <v>130</v>
      </c>
      <c r="B11104" t="s">
        <v>150</v>
      </c>
      <c r="C11104" t="s">
        <v>262</v>
      </c>
      <c r="D11104" t="s">
        <v>391</v>
      </c>
      <c r="F11104">
        <f>HYPERLINK("https://www.wikidata.org/wiki/Q56306075", "Q56306075")</f>
        <v>0</v>
      </c>
      <c r="G11104" t="s">
        <v>4670</v>
      </c>
      <c r="H11104" t="s">
        <v>8811</v>
      </c>
      <c r="I11104" t="s">
        <v>9388</v>
      </c>
      <c r="J11104" t="s">
        <v>15141</v>
      </c>
      <c r="K11104" t="s">
        <v>19461</v>
      </c>
      <c r="M11104">
        <f>HYPERLINK("https://www.senat.fr/senateur-3eme-republique/casabianca_de_paul1854r3.html", "casabianca_de_paul1854r3")</f>
        <v>0</v>
      </c>
      <c r="N11104">
        <f>HYPERLINK("https://www.wikidata.org/wiki/Q3372460", "Q3372460")</f>
        <v>0</v>
      </c>
      <c r="O11104" t="s">
        <v>19955</v>
      </c>
      <c r="Q11104" t="s">
        <v>391</v>
      </c>
      <c r="R11104" t="s">
        <v>21662</v>
      </c>
      <c r="S11104">
        <v>3268</v>
      </c>
    </row>
    <row r="11105" spans="1:19">
      <c r="A11105" t="s">
        <v>130</v>
      </c>
      <c r="B11105" t="s">
        <v>150</v>
      </c>
      <c r="C11105" t="s">
        <v>262</v>
      </c>
      <c r="D11105" t="s">
        <v>391</v>
      </c>
      <c r="F11105">
        <f>HYPERLINK("https://www.wikidata.org/wiki/Q56306075", "Q56306075")</f>
        <v>0</v>
      </c>
      <c r="G11105" t="s">
        <v>4434</v>
      </c>
      <c r="H11105" t="s">
        <v>8582</v>
      </c>
      <c r="I11105" t="s">
        <v>9457</v>
      </c>
      <c r="J11105" t="s">
        <v>14924</v>
      </c>
      <c r="K11105" t="s">
        <v>19257</v>
      </c>
      <c r="M11105">
        <f>HYPERLINK("https://www.senat.fr/senateur-3eme-republique/de_champagny_henri0569r3.html", "de_champagny_henri0569r3")</f>
        <v>0</v>
      </c>
      <c r="N11105">
        <f>HYPERLINK("https://www.wikidata.org/wiki/Q2364407", "Q2364407")</f>
        <v>0</v>
      </c>
      <c r="O11105" t="s">
        <v>19964</v>
      </c>
      <c r="Q11105" t="s">
        <v>391</v>
      </c>
      <c r="R11105" t="s">
        <v>21650</v>
      </c>
      <c r="S11105">
        <v>22183</v>
      </c>
    </row>
    <row r="11106" spans="1:19">
      <c r="A11106" t="s">
        <v>130</v>
      </c>
      <c r="B11106" t="s">
        <v>150</v>
      </c>
      <c r="C11106" t="s">
        <v>262</v>
      </c>
      <c r="D11106" t="s">
        <v>391</v>
      </c>
      <c r="F11106">
        <f>HYPERLINK("https://www.wikidata.org/wiki/Q56306075", "Q56306075")</f>
        <v>0</v>
      </c>
      <c r="G11106" t="s">
        <v>4435</v>
      </c>
      <c r="H11106" t="s">
        <v>8040</v>
      </c>
      <c r="I11106" t="s">
        <v>9457</v>
      </c>
      <c r="J11106" t="s">
        <v>14925</v>
      </c>
      <c r="K11106" t="s">
        <v>19258</v>
      </c>
      <c r="M11106">
        <f>HYPERLINK("https://www.senat.fr/senateur-3eme-republique/de_treveneuc_henri0575r3.html", "de_treveneuc_henri0575r3")</f>
        <v>0</v>
      </c>
      <c r="N11106">
        <f>HYPERLINK("https://www.wikidata.org/wiki/Q3132385", "Q3132385")</f>
        <v>0</v>
      </c>
      <c r="O11106" t="s">
        <v>19964</v>
      </c>
      <c r="Q11106" t="s">
        <v>391</v>
      </c>
      <c r="R11106" t="s">
        <v>21650</v>
      </c>
      <c r="S11106">
        <v>22183</v>
      </c>
    </row>
    <row r="11107" spans="1:19">
      <c r="A11107" t="s">
        <v>130</v>
      </c>
      <c r="B11107" t="s">
        <v>150</v>
      </c>
      <c r="C11107" t="s">
        <v>262</v>
      </c>
      <c r="D11107" t="s">
        <v>391</v>
      </c>
      <c r="F11107">
        <f>HYPERLINK("https://www.wikidata.org/wiki/Q56306075", "Q56306075")</f>
        <v>0</v>
      </c>
      <c r="G11107" t="s">
        <v>4671</v>
      </c>
      <c r="H11107" t="s">
        <v>8812</v>
      </c>
      <c r="I11107" t="s">
        <v>7006</v>
      </c>
      <c r="J11107" t="s">
        <v>15142</v>
      </c>
      <c r="K11107" t="s">
        <v>19462</v>
      </c>
      <c r="M11107">
        <f>HYPERLINK("https://www.senat.fr/senateur-3eme-republique/de_l_angle_beaumanoir_tristan0583r3.html", "de_l_angle_beaumanoir_tristan0583r3")</f>
        <v>0</v>
      </c>
      <c r="N11107">
        <f>HYPERLINK("https://www.wikidata.org/wiki/Q3539657", "Q3539657")</f>
        <v>0</v>
      </c>
      <c r="O11107" t="s">
        <v>19964</v>
      </c>
      <c r="Q11107" t="s">
        <v>391</v>
      </c>
      <c r="R11107" t="s">
        <v>21662</v>
      </c>
      <c r="S11107">
        <v>3268</v>
      </c>
    </row>
    <row r="11108" spans="1:19">
      <c r="A11108" t="s">
        <v>130</v>
      </c>
      <c r="B11108" t="s">
        <v>150</v>
      </c>
      <c r="C11108" t="s">
        <v>262</v>
      </c>
      <c r="D11108" t="s">
        <v>391</v>
      </c>
      <c r="F11108">
        <f>HYPERLINK("https://www.wikidata.org/wiki/Q56306075", "Q56306075")</f>
        <v>0</v>
      </c>
      <c r="G11108" t="s">
        <v>4614</v>
      </c>
      <c r="H11108" t="s">
        <v>8757</v>
      </c>
      <c r="I11108" t="s">
        <v>9457</v>
      </c>
      <c r="J11108" t="s">
        <v>15090</v>
      </c>
      <c r="K11108" t="s">
        <v>19412</v>
      </c>
      <c r="M11108">
        <f>HYPERLINK("https://www.senat.fr/senateur-3eme-republique/de_carne_henri0565r3.html", "de_carne_henri0565r3")</f>
        <v>0</v>
      </c>
      <c r="N11108">
        <f>HYPERLINK("https://www.wikidata.org/wiki/Q3132234", "Q3132234")</f>
        <v>0</v>
      </c>
      <c r="O11108" t="s">
        <v>19964</v>
      </c>
      <c r="Q11108" t="s">
        <v>391</v>
      </c>
      <c r="R11108" t="s">
        <v>21662</v>
      </c>
      <c r="S11108">
        <v>3268</v>
      </c>
    </row>
    <row r="11109" spans="1:19">
      <c r="A11109" t="s">
        <v>130</v>
      </c>
      <c r="B11109" t="s">
        <v>150</v>
      </c>
      <c r="C11109" t="s">
        <v>262</v>
      </c>
      <c r="D11109" t="s">
        <v>391</v>
      </c>
      <c r="F11109">
        <f>HYPERLINK("https://www.wikidata.org/wiki/Q56306075", "Q56306075")</f>
        <v>0</v>
      </c>
      <c r="G11109" t="s">
        <v>4437</v>
      </c>
      <c r="H11109" t="s">
        <v>8584</v>
      </c>
      <c r="I11109" t="s">
        <v>9407</v>
      </c>
      <c r="J11109" t="s">
        <v>14927</v>
      </c>
      <c r="K11109" t="s">
        <v>19259</v>
      </c>
      <c r="M11109">
        <f>HYPERLINK("https://www.senat.fr/senateur-3eme-republique/fayolle_joseph0598r3.html", "fayolle_joseph0598r3")</f>
        <v>0</v>
      </c>
      <c r="N11109">
        <f>HYPERLINK("https://www.wikidata.org/wiki/Q3184230", "Q3184230")</f>
        <v>0</v>
      </c>
      <c r="O11109" t="s">
        <v>19979</v>
      </c>
      <c r="Q11109" t="s">
        <v>391</v>
      </c>
      <c r="R11109" t="s">
        <v>21650</v>
      </c>
      <c r="S11109">
        <v>22183</v>
      </c>
    </row>
    <row r="11110" spans="1:19">
      <c r="A11110" t="s">
        <v>130</v>
      </c>
      <c r="B11110" t="s">
        <v>150</v>
      </c>
      <c r="C11110" t="s">
        <v>262</v>
      </c>
      <c r="D11110" t="s">
        <v>391</v>
      </c>
      <c r="F11110">
        <f>HYPERLINK("https://www.wikidata.org/wiki/Q56306075", "Q56306075")</f>
        <v>0</v>
      </c>
      <c r="G11110" t="s">
        <v>2806</v>
      </c>
      <c r="H11110" t="s">
        <v>8813</v>
      </c>
      <c r="I11110" t="s">
        <v>6200</v>
      </c>
      <c r="J11110" t="s">
        <v>13446</v>
      </c>
      <c r="K11110" t="s">
        <v>17839</v>
      </c>
      <c r="M11110">
        <f>HYPERLINK("https://www.senat.fr/senateur-3eme-republique/roger_jean0655r3.html", "roger_jean0655r3")</f>
        <v>0</v>
      </c>
      <c r="N11110">
        <f>HYPERLINK("https://www.wikidata.org/wiki/Q3174388", "Q3174388")</f>
        <v>0</v>
      </c>
      <c r="O11110" t="s">
        <v>20010</v>
      </c>
      <c r="Q11110" t="s">
        <v>391</v>
      </c>
      <c r="R11110" t="s">
        <v>21662</v>
      </c>
      <c r="S11110">
        <v>3268</v>
      </c>
    </row>
    <row r="11111" spans="1:19">
      <c r="A11111" t="s">
        <v>130</v>
      </c>
      <c r="B11111" t="s">
        <v>150</v>
      </c>
      <c r="C11111" t="s">
        <v>262</v>
      </c>
      <c r="D11111" t="s">
        <v>391</v>
      </c>
      <c r="F11111">
        <f>HYPERLINK("https://www.wikidata.org/wiki/Q56306075", "Q56306075")</f>
        <v>0</v>
      </c>
      <c r="G11111" t="s">
        <v>4441</v>
      </c>
      <c r="H11111" t="s">
        <v>8588</v>
      </c>
      <c r="I11111" t="s">
        <v>9553</v>
      </c>
      <c r="J11111" t="s">
        <v>14931</v>
      </c>
      <c r="K11111" t="s">
        <v>19263</v>
      </c>
      <c r="M11111">
        <f>HYPERLINK("https://www.senat.fr/senateur-3eme-republique/oudet_alexandre0681r3.html", "oudet_alexandre0681r3")</f>
        <v>0</v>
      </c>
      <c r="N11111">
        <f>HYPERLINK("https://www.wikidata.org/wiki/Q3121281", "Q3121281")</f>
        <v>0</v>
      </c>
      <c r="O11111" t="s">
        <v>19973</v>
      </c>
      <c r="Q11111" t="s">
        <v>391</v>
      </c>
      <c r="R11111" t="s">
        <v>21662</v>
      </c>
      <c r="S11111">
        <v>3268</v>
      </c>
    </row>
    <row r="11112" spans="1:19">
      <c r="A11112" t="s">
        <v>130</v>
      </c>
      <c r="B11112" t="s">
        <v>150</v>
      </c>
      <c r="C11112" t="s">
        <v>262</v>
      </c>
      <c r="D11112" t="s">
        <v>391</v>
      </c>
      <c r="F11112">
        <f>HYPERLINK("https://www.wikidata.org/wiki/Q56306075", "Q56306075")</f>
        <v>0</v>
      </c>
      <c r="G11112" t="s">
        <v>4672</v>
      </c>
      <c r="H11112" t="s">
        <v>8814</v>
      </c>
      <c r="I11112" t="s">
        <v>9407</v>
      </c>
      <c r="J11112" t="s">
        <v>15143</v>
      </c>
      <c r="K11112" t="s">
        <v>19463</v>
      </c>
      <c r="M11112">
        <f>HYPERLINK("https://www.senat.fr/senateur-3eme-republique/fayard_joseph0721r3.html", "fayard_joseph0721r3")</f>
        <v>0</v>
      </c>
      <c r="N11112">
        <f>HYPERLINK("https://www.wikidata.org/wiki/Q3184937", "Q3184937")</f>
        <v>0</v>
      </c>
      <c r="O11112" t="s">
        <v>20044</v>
      </c>
      <c r="Q11112" t="s">
        <v>391</v>
      </c>
      <c r="R11112" t="s">
        <v>21662</v>
      </c>
      <c r="S11112">
        <v>3268</v>
      </c>
    </row>
    <row r="11113" spans="1:19">
      <c r="A11113" t="s">
        <v>130</v>
      </c>
      <c r="B11113" t="s">
        <v>150</v>
      </c>
      <c r="C11113" t="s">
        <v>262</v>
      </c>
      <c r="D11113" t="s">
        <v>391</v>
      </c>
      <c r="F11113">
        <f>HYPERLINK("https://www.wikidata.org/wiki/Q56306075", "Q56306075")</f>
        <v>0</v>
      </c>
      <c r="G11113" t="s">
        <v>4641</v>
      </c>
      <c r="H11113" t="s">
        <v>8784</v>
      </c>
      <c r="I11113" t="s">
        <v>9426</v>
      </c>
      <c r="J11113" t="s">
        <v>15115</v>
      </c>
      <c r="K11113" t="s">
        <v>19435</v>
      </c>
      <c r="M11113">
        <f>HYPERLINK("https://www.senat.fr/senateur-3eme-republique/lecointe_alphonse0735r3.html", "lecointe_alphonse0735r3")</f>
        <v>0</v>
      </c>
      <c r="N11113">
        <f>HYPERLINK("https://www.wikidata.org/wiki/Q2839872", "Q2839872")</f>
        <v>0</v>
      </c>
      <c r="O11113" t="s">
        <v>19992</v>
      </c>
      <c r="Q11113" t="s">
        <v>391</v>
      </c>
      <c r="R11113" t="s">
        <v>21650</v>
      </c>
      <c r="S11113">
        <v>22183</v>
      </c>
    </row>
    <row r="11114" spans="1:19">
      <c r="A11114" t="s">
        <v>130</v>
      </c>
      <c r="B11114" t="s">
        <v>150</v>
      </c>
      <c r="C11114" t="s">
        <v>262</v>
      </c>
      <c r="D11114" t="s">
        <v>391</v>
      </c>
      <c r="F11114">
        <f>HYPERLINK("https://www.wikidata.org/wiki/Q56306075", "Q56306075")</f>
        <v>0</v>
      </c>
      <c r="G11114" t="s">
        <v>4673</v>
      </c>
      <c r="H11114" t="s">
        <v>8815</v>
      </c>
      <c r="I11114" t="s">
        <v>9376</v>
      </c>
      <c r="J11114" t="s">
        <v>15144</v>
      </c>
      <c r="K11114" t="s">
        <v>17951</v>
      </c>
      <c r="M11114">
        <f>HYPERLINK("https://www.senat.fr/senateur-3eme-republique/jumeau_ferdinand0765r3.html", "jumeau_ferdinand0765r3")</f>
        <v>0</v>
      </c>
      <c r="N11114">
        <f>HYPERLINK("https://www.wikidata.org/wiki/Q3068594", "Q3068594")</f>
        <v>0</v>
      </c>
      <c r="O11114" t="s">
        <v>19971</v>
      </c>
      <c r="Q11114" t="s">
        <v>391</v>
      </c>
      <c r="R11114" t="s">
        <v>17951</v>
      </c>
      <c r="S11114">
        <v>271</v>
      </c>
    </row>
    <row r="11115" spans="1:19">
      <c r="A11115" t="s">
        <v>130</v>
      </c>
      <c r="B11115" t="s">
        <v>150</v>
      </c>
      <c r="C11115" t="s">
        <v>262</v>
      </c>
      <c r="D11115" t="s">
        <v>391</v>
      </c>
      <c r="F11115">
        <f>HYPERLINK("https://www.wikidata.org/wiki/Q56306075", "Q56306075")</f>
        <v>0</v>
      </c>
      <c r="G11115" t="s">
        <v>4446</v>
      </c>
      <c r="H11115" t="s">
        <v>8593</v>
      </c>
      <c r="I11115" t="s">
        <v>9389</v>
      </c>
      <c r="J11115" t="s">
        <v>14936</v>
      </c>
      <c r="K11115" t="s">
        <v>19267</v>
      </c>
      <c r="M11115">
        <f>HYPERLINK("https://www.senat.fr/senateur-3eme-republique/labiche_emile0771r3.html", "labiche_emile0771r3")</f>
        <v>0</v>
      </c>
      <c r="N11115">
        <f>HYPERLINK("https://www.wikidata.org/wiki/Q3588592", "Q3588592")</f>
        <v>0</v>
      </c>
      <c r="O11115" t="s">
        <v>19971</v>
      </c>
      <c r="Q11115" t="s">
        <v>391</v>
      </c>
      <c r="R11115" t="s">
        <v>21662</v>
      </c>
      <c r="S11115">
        <v>3268</v>
      </c>
    </row>
    <row r="11116" spans="1:19">
      <c r="A11116" t="s">
        <v>130</v>
      </c>
      <c r="B11116" t="s">
        <v>150</v>
      </c>
      <c r="C11116" t="s">
        <v>262</v>
      </c>
      <c r="D11116" t="s">
        <v>391</v>
      </c>
      <c r="F11116">
        <f>HYPERLINK("https://www.wikidata.org/wiki/Q56306075", "Q56306075")</f>
        <v>0</v>
      </c>
      <c r="G11116" t="s">
        <v>4650</v>
      </c>
      <c r="H11116" t="s">
        <v>8791</v>
      </c>
      <c r="I11116" t="s">
        <v>11211</v>
      </c>
      <c r="J11116" t="s">
        <v>15123</v>
      </c>
      <c r="K11116" t="s">
        <v>19442</v>
      </c>
      <c r="M11116">
        <f>HYPERLINK("https://www.senat.fr/senateur-3eme-republique/halna_du_fretay_hyppolite0783r3.html", "halna_du_fretay_hyppolite0783r3")</f>
        <v>0</v>
      </c>
      <c r="N11116">
        <f>HYPERLINK("https://www.wikidata.org/wiki/Q3136067", "Q3136067")</f>
        <v>0</v>
      </c>
      <c r="O11116" t="s">
        <v>20011</v>
      </c>
      <c r="Q11116" t="s">
        <v>391</v>
      </c>
      <c r="R11116" t="s">
        <v>21650</v>
      </c>
      <c r="S11116">
        <v>22183</v>
      </c>
    </row>
    <row r="11117" spans="1:19">
      <c r="A11117" t="s">
        <v>130</v>
      </c>
      <c r="B11117" t="s">
        <v>150</v>
      </c>
      <c r="C11117" t="s">
        <v>262</v>
      </c>
      <c r="D11117" t="s">
        <v>391</v>
      </c>
      <c r="F11117">
        <f>HYPERLINK("https://www.wikidata.org/wiki/Q56306075", "Q56306075")</f>
        <v>0</v>
      </c>
      <c r="G11117" t="s">
        <v>4449</v>
      </c>
      <c r="H11117" t="s">
        <v>8596</v>
      </c>
      <c r="I11117" t="s">
        <v>11195</v>
      </c>
      <c r="J11117" t="s">
        <v>14939</v>
      </c>
      <c r="K11117" t="s">
        <v>18465</v>
      </c>
      <c r="M11117">
        <f>HYPERLINK("https://www.senat.fr/senateur-3eme-republique/de_raismes_arnold0804r3.html", "de_raismes_arnold0804r3")</f>
        <v>0</v>
      </c>
      <c r="N11117">
        <f>HYPERLINK("https://www.wikidata.org/wiki/Q2863387", "Q2863387")</f>
        <v>0</v>
      </c>
      <c r="O11117" t="s">
        <v>20011</v>
      </c>
      <c r="Q11117" t="s">
        <v>391</v>
      </c>
      <c r="R11117" t="s">
        <v>21650</v>
      </c>
      <c r="S11117">
        <v>22183</v>
      </c>
    </row>
    <row r="11118" spans="1:19">
      <c r="A11118" t="s">
        <v>130</v>
      </c>
      <c r="B11118" t="s">
        <v>150</v>
      </c>
      <c r="C11118" t="s">
        <v>262</v>
      </c>
      <c r="D11118" t="s">
        <v>391</v>
      </c>
      <c r="F11118">
        <f>HYPERLINK("https://www.wikidata.org/wiki/Q56306075", "Q56306075")</f>
        <v>0</v>
      </c>
      <c r="G11118" t="s">
        <v>4450</v>
      </c>
      <c r="H11118" t="s">
        <v>8597</v>
      </c>
      <c r="I11118" t="s">
        <v>6166</v>
      </c>
      <c r="J11118" t="s">
        <v>14940</v>
      </c>
      <c r="K11118" t="s">
        <v>19269</v>
      </c>
      <c r="M11118">
        <f>HYPERLINK("https://www.senat.fr/senateur-3eme-republique/soubigou_francois0789r3.html", "soubigou_francois0789r3")</f>
        <v>0</v>
      </c>
      <c r="N11118">
        <f>HYPERLINK("https://www.wikidata.org/wiki/Q3085847", "Q3085847")</f>
        <v>0</v>
      </c>
      <c r="O11118" t="s">
        <v>20011</v>
      </c>
      <c r="Q11118" t="s">
        <v>391</v>
      </c>
      <c r="R11118" t="s">
        <v>21650</v>
      </c>
      <c r="S11118">
        <v>22183</v>
      </c>
    </row>
    <row r="11119" spans="1:19">
      <c r="A11119" t="s">
        <v>130</v>
      </c>
      <c r="B11119" t="s">
        <v>150</v>
      </c>
      <c r="C11119" t="s">
        <v>262</v>
      </c>
      <c r="D11119" t="s">
        <v>391</v>
      </c>
      <c r="F11119">
        <f>HYPERLINK("https://www.wikidata.org/wiki/Q56306075", "Q56306075")</f>
        <v>0</v>
      </c>
      <c r="G11119" t="s">
        <v>4651</v>
      </c>
      <c r="H11119" t="s">
        <v>8792</v>
      </c>
      <c r="I11119" t="s">
        <v>9375</v>
      </c>
      <c r="J11119" t="s">
        <v>15124</v>
      </c>
      <c r="K11119" t="s">
        <v>19443</v>
      </c>
      <c r="M11119">
        <f>HYPERLINK("https://www.senat.fr/senateur-3eme-republique/le_guen_edouard0796r3.html", "le_guen_edouard0796r3")</f>
        <v>0</v>
      </c>
      <c r="N11119">
        <f>HYPERLINK("https://www.wikidata.org/wiki/Q3579931", "Q3579931")</f>
        <v>0</v>
      </c>
      <c r="O11119" t="s">
        <v>20011</v>
      </c>
      <c r="Q11119" t="s">
        <v>391</v>
      </c>
      <c r="R11119" t="s">
        <v>21650</v>
      </c>
      <c r="S11119">
        <v>22183</v>
      </c>
    </row>
    <row r="11120" spans="1:19">
      <c r="A11120" t="s">
        <v>130</v>
      </c>
      <c r="B11120" t="s">
        <v>150</v>
      </c>
      <c r="C11120" t="s">
        <v>262</v>
      </c>
      <c r="D11120" t="s">
        <v>391</v>
      </c>
      <c r="F11120">
        <f>HYPERLINK("https://www.wikidata.org/wiki/Q56306075", "Q56306075")</f>
        <v>0</v>
      </c>
      <c r="G11120" t="s">
        <v>4452</v>
      </c>
      <c r="H11120" t="s">
        <v>8599</v>
      </c>
      <c r="I11120" t="s">
        <v>6860</v>
      </c>
      <c r="J11120" t="s">
        <v>14942</v>
      </c>
      <c r="K11120" t="s">
        <v>19271</v>
      </c>
      <c r="M11120">
        <f>HYPERLINK("https://www.senat.fr/senateur-3eme-republique/meinadier_pierre0819r3.html", "meinadier_pierre0819r3")</f>
        <v>0</v>
      </c>
      <c r="N11120">
        <f>HYPERLINK("https://www.wikidata.org/wiki/Q2093687", "Q2093687")</f>
        <v>0</v>
      </c>
      <c r="O11120" t="s">
        <v>20014</v>
      </c>
      <c r="Q11120" t="s">
        <v>391</v>
      </c>
      <c r="R11120" t="s">
        <v>21650</v>
      </c>
      <c r="S11120">
        <v>22183</v>
      </c>
    </row>
    <row r="11121" spans="1:19">
      <c r="A11121" t="s">
        <v>130</v>
      </c>
      <c r="B11121" t="s">
        <v>150</v>
      </c>
      <c r="C11121" t="s">
        <v>262</v>
      </c>
      <c r="D11121" t="s">
        <v>391</v>
      </c>
      <c r="F11121">
        <f>HYPERLINK("https://www.wikidata.org/wiki/Q56306075", "Q56306075")</f>
        <v>0</v>
      </c>
      <c r="G11121" t="s">
        <v>4674</v>
      </c>
      <c r="H11121" t="s">
        <v>8816</v>
      </c>
      <c r="I11121" t="s">
        <v>11214</v>
      </c>
      <c r="J11121" t="s">
        <v>15145</v>
      </c>
      <c r="K11121" t="s">
        <v>19464</v>
      </c>
      <c r="M11121">
        <f>HYPERLINK("https://www.senat.fr/senateur-3eme-republique/claris_louis_edmond0826r3.html", "claris_louis_edmond0826r3")</f>
        <v>0</v>
      </c>
      <c r="N11121">
        <f>HYPERLINK("https://www.wikidata.org/wiki/Q1871393", "Q1871393")</f>
        <v>0</v>
      </c>
      <c r="O11121" t="s">
        <v>20014</v>
      </c>
      <c r="Q11121" t="s">
        <v>391</v>
      </c>
      <c r="R11121" t="s">
        <v>21662</v>
      </c>
      <c r="S11121">
        <v>3268</v>
      </c>
    </row>
    <row r="11122" spans="1:19">
      <c r="A11122" t="s">
        <v>130</v>
      </c>
      <c r="B11122" t="s">
        <v>150</v>
      </c>
      <c r="C11122" t="s">
        <v>262</v>
      </c>
      <c r="D11122" t="s">
        <v>391</v>
      </c>
      <c r="F11122">
        <f>HYPERLINK("https://www.wikidata.org/wiki/Q56306075", "Q56306075")</f>
        <v>0</v>
      </c>
      <c r="G11122" t="s">
        <v>4675</v>
      </c>
      <c r="H11122" t="s">
        <v>8817</v>
      </c>
      <c r="I11122" t="s">
        <v>9552</v>
      </c>
      <c r="J11122" t="s">
        <v>15146</v>
      </c>
      <c r="K11122" t="s">
        <v>19465</v>
      </c>
      <c r="M11122">
        <f>HYPERLINK("https://www.senat.fr/senateur-3eme-republique/dide_auguste0831r3.html", "dide_auguste0831r3")</f>
        <v>0</v>
      </c>
      <c r="N11122">
        <f>HYPERLINK("https://www.wikidata.org/wiki/Q766368", "Q766368")</f>
        <v>0</v>
      </c>
      <c r="O11122" t="s">
        <v>20014</v>
      </c>
      <c r="Q11122" t="s">
        <v>391</v>
      </c>
      <c r="R11122" t="s">
        <v>21662</v>
      </c>
      <c r="S11122">
        <v>3268</v>
      </c>
    </row>
    <row r="11123" spans="1:19">
      <c r="A11123" t="s">
        <v>130</v>
      </c>
      <c r="B11123" t="s">
        <v>150</v>
      </c>
      <c r="C11123" t="s">
        <v>262</v>
      </c>
      <c r="D11123" t="s">
        <v>391</v>
      </c>
      <c r="F11123">
        <f>HYPERLINK("https://www.wikidata.org/wiki/Q56306075", "Q56306075")</f>
        <v>0</v>
      </c>
      <c r="G11123" t="s">
        <v>4604</v>
      </c>
      <c r="H11123" t="s">
        <v>8748</v>
      </c>
      <c r="I11123" t="s">
        <v>6175</v>
      </c>
      <c r="J11123" t="s">
        <v>13548</v>
      </c>
      <c r="K11123" t="s">
        <v>19402</v>
      </c>
      <c r="M11123">
        <f>HYPERLINK("https://www.senat.fr/senateur-3eme-republique/guiffrey_georges0073r3.html", "guiffrey_georges0073r3")</f>
        <v>0</v>
      </c>
      <c r="N11123">
        <f>HYPERLINK("https://www.wikidata.org/wiki/Q3102821", "Q3102821")</f>
        <v>0</v>
      </c>
      <c r="O11123" t="s">
        <v>19981</v>
      </c>
      <c r="Q11123" t="s">
        <v>391</v>
      </c>
      <c r="R11123" t="s">
        <v>21650</v>
      </c>
      <c r="S11123">
        <v>22183</v>
      </c>
    </row>
    <row r="11124" spans="1:19">
      <c r="A11124" t="s">
        <v>130</v>
      </c>
      <c r="B11124" t="s">
        <v>150</v>
      </c>
      <c r="C11124" t="s">
        <v>262</v>
      </c>
      <c r="D11124" t="s">
        <v>391</v>
      </c>
      <c r="F11124">
        <f>HYPERLINK("https://www.wikidata.org/wiki/Q56306075", "Q56306075")</f>
        <v>0</v>
      </c>
      <c r="G11124" t="s">
        <v>4462</v>
      </c>
      <c r="H11124" t="s">
        <v>8609</v>
      </c>
      <c r="I11124" t="s">
        <v>9868</v>
      </c>
      <c r="J11124" t="s">
        <v>14950</v>
      </c>
      <c r="K11124" t="s">
        <v>19278</v>
      </c>
      <c r="M11124">
        <f>HYPERLINK("https://www.senat.fr/senateur-3eme-republique/blanc_xavier0082r3.html", "blanc_xavier0082r3")</f>
        <v>0</v>
      </c>
      <c r="N11124">
        <f>HYPERLINK("https://www.wikidata.org/wiki/Q3570605", "Q3570605")</f>
        <v>0</v>
      </c>
      <c r="O11124" t="s">
        <v>19981</v>
      </c>
      <c r="Q11124" t="s">
        <v>391</v>
      </c>
      <c r="R11124" t="s">
        <v>21662</v>
      </c>
      <c r="S11124">
        <v>3268</v>
      </c>
    </row>
    <row r="11125" spans="1:19">
      <c r="A11125" t="s">
        <v>130</v>
      </c>
      <c r="B11125" t="s">
        <v>150</v>
      </c>
      <c r="C11125" t="s">
        <v>262</v>
      </c>
      <c r="D11125" t="s">
        <v>391</v>
      </c>
      <c r="F11125">
        <f>HYPERLINK("https://www.wikidata.org/wiki/Q56306075", "Q56306075")</f>
        <v>0</v>
      </c>
      <c r="G11125" t="s">
        <v>4676</v>
      </c>
      <c r="H11125" t="s">
        <v>8818</v>
      </c>
      <c r="I11125" t="s">
        <v>9375</v>
      </c>
      <c r="J11125" t="s">
        <v>15147</v>
      </c>
      <c r="K11125" t="s">
        <v>19466</v>
      </c>
      <c r="M11125">
        <f>HYPERLINK("https://www.senat.fr/senateur-3eme-republique/laporte_edouard0750r3.html", "laporte_edouard0750r3")</f>
        <v>0</v>
      </c>
      <c r="N11125">
        <f>HYPERLINK("https://www.wikidata.org/wiki/Q2309830", "Q2309830")</f>
        <v>0</v>
      </c>
      <c r="O11125" t="s">
        <v>20043</v>
      </c>
      <c r="Q11125" t="s">
        <v>391</v>
      </c>
      <c r="R11125" t="s">
        <v>21651</v>
      </c>
      <c r="S11125">
        <v>1074</v>
      </c>
    </row>
    <row r="11126" spans="1:19">
      <c r="A11126" t="s">
        <v>130</v>
      </c>
      <c r="B11126" t="s">
        <v>150</v>
      </c>
      <c r="C11126" t="s">
        <v>262</v>
      </c>
      <c r="D11126" t="s">
        <v>391</v>
      </c>
      <c r="F11126">
        <f>HYPERLINK("https://www.wikidata.org/wiki/Q56306075", "Q56306075")</f>
        <v>0</v>
      </c>
      <c r="G11126" t="s">
        <v>4677</v>
      </c>
      <c r="H11126" t="s">
        <v>8819</v>
      </c>
      <c r="I11126" t="s">
        <v>9375</v>
      </c>
      <c r="J11126" t="s">
        <v>15148</v>
      </c>
      <c r="K11126" t="s">
        <v>19467</v>
      </c>
      <c r="M11126">
        <f>HYPERLINK("https://www.senat.fr/senateur-3eme-republique/fievet_edouard1377r3.html", "fievet_edouard1377r3")</f>
        <v>0</v>
      </c>
      <c r="N11126">
        <f>HYPERLINK("https://www.wikidata.org/wiki/Q3579836", "Q3579836")</f>
        <v>0</v>
      </c>
      <c r="O11126" t="s">
        <v>20013</v>
      </c>
      <c r="Q11126" t="s">
        <v>391</v>
      </c>
      <c r="R11126" t="s">
        <v>21651</v>
      </c>
      <c r="S11126">
        <v>1074</v>
      </c>
    </row>
    <row r="11127" spans="1:19">
      <c r="A11127" t="s">
        <v>130</v>
      </c>
      <c r="B11127" t="s">
        <v>150</v>
      </c>
      <c r="C11127" t="s">
        <v>262</v>
      </c>
      <c r="D11127" t="s">
        <v>391</v>
      </c>
      <c r="F11127">
        <f>HYPERLINK("https://www.wikidata.org/wiki/Q56306075", "Q56306075")</f>
        <v>0</v>
      </c>
      <c r="G11127" t="s">
        <v>4678</v>
      </c>
      <c r="H11127" t="s">
        <v>8820</v>
      </c>
      <c r="I11127" t="s">
        <v>9523</v>
      </c>
      <c r="J11127" t="s">
        <v>13932</v>
      </c>
      <c r="K11127" t="s">
        <v>19468</v>
      </c>
      <c r="M11127">
        <f>HYPERLINK("https://www.senat.fr/senateur-3eme-republique/libert_marcel0916r3.html", "libert_marcel0916r3")</f>
        <v>0</v>
      </c>
      <c r="N11127">
        <f>HYPERLINK("https://www.wikidata.org/wiki/Q3289154", "Q3289154")</f>
        <v>0</v>
      </c>
      <c r="O11127" t="s">
        <v>19957</v>
      </c>
      <c r="Q11127" t="s">
        <v>391</v>
      </c>
      <c r="R11127" t="s">
        <v>21653</v>
      </c>
      <c r="S11127">
        <v>2169</v>
      </c>
    </row>
    <row r="11128" spans="1:19">
      <c r="A11128" t="s">
        <v>130</v>
      </c>
      <c r="B11128" t="s">
        <v>150</v>
      </c>
      <c r="C11128" t="s">
        <v>262</v>
      </c>
      <c r="D11128" t="s">
        <v>391</v>
      </c>
      <c r="F11128">
        <f>HYPERLINK("https://www.wikidata.org/wiki/Q56306075", "Q56306075")</f>
        <v>0</v>
      </c>
      <c r="G11128" t="s">
        <v>4490</v>
      </c>
      <c r="H11128" t="s">
        <v>8636</v>
      </c>
      <c r="I11128" t="s">
        <v>9552</v>
      </c>
      <c r="J11128" t="s">
        <v>14974</v>
      </c>
      <c r="K11128" t="s">
        <v>19303</v>
      </c>
      <c r="M11128">
        <f>HYPERLINK("https://www.senat.fr/senateur-3eme-republique/paris_auguste0921r3.html", "paris_auguste0921r3")</f>
        <v>0</v>
      </c>
      <c r="N11128">
        <f>HYPERLINK("https://www.wikidata.org/wiki/Q766851", "Q766851")</f>
        <v>0</v>
      </c>
      <c r="O11128" t="s">
        <v>19968</v>
      </c>
      <c r="Q11128" t="s">
        <v>391</v>
      </c>
      <c r="R11128" t="s">
        <v>21650</v>
      </c>
      <c r="S11128">
        <v>22183</v>
      </c>
    </row>
    <row r="11129" spans="1:19">
      <c r="A11129" t="s">
        <v>130</v>
      </c>
      <c r="B11129" t="s">
        <v>150</v>
      </c>
      <c r="C11129" t="s">
        <v>262</v>
      </c>
      <c r="D11129" t="s">
        <v>391</v>
      </c>
      <c r="F11129">
        <f>HYPERLINK("https://www.wikidata.org/wiki/Q56306075", "Q56306075")</f>
        <v>0</v>
      </c>
      <c r="G11129" t="s">
        <v>4679</v>
      </c>
      <c r="H11129" t="s">
        <v>8551</v>
      </c>
      <c r="I11129" t="s">
        <v>6175</v>
      </c>
      <c r="J11129" t="s">
        <v>15149</v>
      </c>
      <c r="K11129" t="s">
        <v>19469</v>
      </c>
      <c r="M11129">
        <f>HYPERLINK("https://www.senat.fr/senateur-3eme-republique/martin_georges1345r3.html", "martin_georges1345r3")</f>
        <v>0</v>
      </c>
      <c r="N11129">
        <f>HYPERLINK("https://www.wikidata.org/wiki/Q1509018", "Q1509018")</f>
        <v>0</v>
      </c>
      <c r="O11129" t="s">
        <v>19969</v>
      </c>
      <c r="Q11129" t="s">
        <v>391</v>
      </c>
      <c r="R11129" t="s">
        <v>21653</v>
      </c>
      <c r="S11129">
        <v>2169</v>
      </c>
    </row>
    <row r="11130" spans="1:19">
      <c r="A11130" t="s">
        <v>130</v>
      </c>
      <c r="B11130" t="s">
        <v>150</v>
      </c>
      <c r="C11130" t="s">
        <v>262</v>
      </c>
      <c r="D11130" t="s">
        <v>391</v>
      </c>
      <c r="F11130">
        <f>HYPERLINK("https://www.wikidata.org/wiki/Q56306075", "Q56306075")</f>
        <v>0</v>
      </c>
      <c r="G11130" t="s">
        <v>4680</v>
      </c>
      <c r="H11130" t="s">
        <v>8743</v>
      </c>
      <c r="I11130" t="s">
        <v>9414</v>
      </c>
      <c r="J11130" t="s">
        <v>15150</v>
      </c>
      <c r="K11130" t="s">
        <v>19470</v>
      </c>
      <c r="M11130">
        <f>HYPERLINK("https://www.senat.fr/senateur-3eme-republique/halgan_emmanuel1753r3.html", "halgan_emmanuel1753r3")</f>
        <v>0</v>
      </c>
      <c r="N11130">
        <f>HYPERLINK("https://www.wikidata.org/wiki/Q3052727", "Q3052727")</f>
        <v>0</v>
      </c>
      <c r="O11130" t="s">
        <v>19972</v>
      </c>
      <c r="Q11130" t="s">
        <v>391</v>
      </c>
      <c r="R11130" t="s">
        <v>21653</v>
      </c>
      <c r="S11130">
        <v>2169</v>
      </c>
    </row>
    <row r="11131" spans="1:19">
      <c r="A11131" t="s">
        <v>130</v>
      </c>
      <c r="B11131" t="s">
        <v>150</v>
      </c>
      <c r="C11131" t="s">
        <v>262</v>
      </c>
      <c r="D11131" t="s">
        <v>391</v>
      </c>
      <c r="F11131">
        <f>HYPERLINK("https://www.wikidata.org/wiki/Q56306075", "Q56306075")</f>
        <v>0</v>
      </c>
      <c r="G11131" t="s">
        <v>4345</v>
      </c>
      <c r="H11131" t="s">
        <v>8496</v>
      </c>
      <c r="I11131" t="s">
        <v>9385</v>
      </c>
      <c r="J11131" t="s">
        <v>14837</v>
      </c>
      <c r="K11131" t="s">
        <v>19179</v>
      </c>
      <c r="M11131">
        <f>HYPERLINK("https://www.senat.fr/senateur-3eme-republique/mazeau_charles0538r3.html", "mazeau_charles0538r3")</f>
        <v>0</v>
      </c>
      <c r="N11131">
        <f>HYPERLINK("https://www.wikidata.org/wiki/Q928664", "Q928664")</f>
        <v>0</v>
      </c>
      <c r="Q11131" t="s">
        <v>391</v>
      </c>
      <c r="R11131" t="s">
        <v>21662</v>
      </c>
      <c r="S11131">
        <v>3268</v>
      </c>
    </row>
    <row r="11132" spans="1:19">
      <c r="A11132" t="s">
        <v>130</v>
      </c>
      <c r="B11132" t="s">
        <v>150</v>
      </c>
      <c r="C11132" t="s">
        <v>262</v>
      </c>
      <c r="D11132" t="s">
        <v>391</v>
      </c>
      <c r="F11132">
        <f>HYPERLINK("https://www.wikidata.org/wiki/Q56306075", "Q56306075")</f>
        <v>0</v>
      </c>
      <c r="G11132" t="s">
        <v>4681</v>
      </c>
      <c r="H11132" t="s">
        <v>8821</v>
      </c>
      <c r="I11132" t="s">
        <v>6495</v>
      </c>
      <c r="J11132" t="s">
        <v>15151</v>
      </c>
      <c r="K11132" t="s">
        <v>19471</v>
      </c>
      <c r="M11132">
        <f>HYPERLINK("https://www.senat.fr/senateur-3eme-republique/de_beauchamp_louis1768r3.html", "de_beauchamp_louis1768r3")</f>
        <v>0</v>
      </c>
      <c r="N11132">
        <f>HYPERLINK("https://www.wikidata.org/wiki/Q2409514", "Q2409514")</f>
        <v>0</v>
      </c>
      <c r="O11132" t="s">
        <v>19982</v>
      </c>
      <c r="Q11132" t="s">
        <v>14414</v>
      </c>
      <c r="R11132" t="s">
        <v>21653</v>
      </c>
      <c r="S11132">
        <v>2148</v>
      </c>
    </row>
    <row r="11133" spans="1:19">
      <c r="A11133" t="s">
        <v>130</v>
      </c>
      <c r="B11133" t="s">
        <v>150</v>
      </c>
      <c r="C11133" t="s">
        <v>262</v>
      </c>
      <c r="D11133" t="s">
        <v>391</v>
      </c>
      <c r="F11133">
        <f>HYPERLINK("https://www.wikidata.org/wiki/Q56306075", "Q56306075")</f>
        <v>0</v>
      </c>
      <c r="G11133" t="s">
        <v>4682</v>
      </c>
      <c r="H11133" t="s">
        <v>8822</v>
      </c>
      <c r="I11133" t="s">
        <v>6860</v>
      </c>
      <c r="J11133" t="s">
        <v>15152</v>
      </c>
      <c r="K11133" t="s">
        <v>19472</v>
      </c>
      <c r="M11133">
        <f>HYPERLINK("https://www.senat.fr/senateur-3eme-republique/isaac_pierre0843r3.html", "isaac_pierre0843r3")</f>
        <v>0</v>
      </c>
      <c r="N11133">
        <f>HYPERLINK("https://www.wikidata.org/wiki/Q3262281", "Q3262281")</f>
        <v>0</v>
      </c>
      <c r="O11133" t="s">
        <v>20028</v>
      </c>
      <c r="Q11133" t="s">
        <v>21035</v>
      </c>
      <c r="R11133" t="s">
        <v>21664</v>
      </c>
      <c r="S11133">
        <v>3261</v>
      </c>
    </row>
    <row r="11134" spans="1:19">
      <c r="A11134" t="s">
        <v>130</v>
      </c>
      <c r="B11134" t="s">
        <v>150</v>
      </c>
      <c r="C11134" t="s">
        <v>262</v>
      </c>
      <c r="D11134" t="s">
        <v>391</v>
      </c>
      <c r="F11134">
        <f>HYPERLINK("https://www.wikidata.org/wiki/Q56306075", "Q56306075")</f>
        <v>0</v>
      </c>
      <c r="G11134" t="s">
        <v>4647</v>
      </c>
      <c r="H11134" t="s">
        <v>8788</v>
      </c>
      <c r="I11134" t="s">
        <v>6200</v>
      </c>
      <c r="J11134" t="s">
        <v>15120</v>
      </c>
      <c r="K11134" t="s">
        <v>19439</v>
      </c>
      <c r="M11134">
        <f>HYPERLINK("https://www.senat.fr/senateur-3eme-republique/milhet_fontarabie_jean0847r3.html", "milhet_fontarabie_jean0847r3")</f>
        <v>0</v>
      </c>
      <c r="N11134">
        <f>HYPERLINK("https://www.wikidata.org/wiki/Q3173533", "Q3173533")</f>
        <v>0</v>
      </c>
      <c r="O11134" t="s">
        <v>19963</v>
      </c>
      <c r="Q11134" t="s">
        <v>21035</v>
      </c>
      <c r="R11134" t="s">
        <v>21650</v>
      </c>
      <c r="S11134">
        <v>22148</v>
      </c>
    </row>
    <row r="11135" spans="1:19">
      <c r="A11135" t="s">
        <v>130</v>
      </c>
      <c r="B11135" t="s">
        <v>150</v>
      </c>
      <c r="C11135" t="s">
        <v>262</v>
      </c>
      <c r="D11135" t="s">
        <v>391</v>
      </c>
      <c r="F11135">
        <f>HYPERLINK("https://www.wikidata.org/wiki/Q56306075", "Q56306075")</f>
        <v>0</v>
      </c>
      <c r="G11135" t="s">
        <v>2527</v>
      </c>
      <c r="H11135" t="s">
        <v>7089</v>
      </c>
      <c r="I11135" t="s">
        <v>7790</v>
      </c>
      <c r="J11135" t="s">
        <v>13171</v>
      </c>
      <c r="K11135" t="s">
        <v>17577</v>
      </c>
      <c r="L11135">
        <f>HYPERLINK("https://www2.assemblee-nationale.fr/sycomore/fiche/(num_dept)/1354", "1354")</f>
        <v>0</v>
      </c>
      <c r="M11135">
        <f>HYPERLINK("https://www.senat.fr/senateur-3eme-republique/caduc_armand0216r3.html", "caduc_armand0216r3")</f>
        <v>0</v>
      </c>
      <c r="N11135">
        <f>HYPERLINK("https://www.wikidata.org/wiki/Q2861789", "Q2861789")</f>
        <v>0</v>
      </c>
      <c r="O11135" t="s">
        <v>19987</v>
      </c>
      <c r="Q11135" t="s">
        <v>15603</v>
      </c>
      <c r="R11135" t="s">
        <v>21651</v>
      </c>
      <c r="S11135">
        <v>983</v>
      </c>
    </row>
    <row r="11136" spans="1:19">
      <c r="A11136" t="s">
        <v>130</v>
      </c>
      <c r="B11136" t="s">
        <v>150</v>
      </c>
      <c r="C11136" t="s">
        <v>262</v>
      </c>
      <c r="D11136" t="s">
        <v>391</v>
      </c>
      <c r="F11136">
        <f>HYPERLINK("https://www.wikidata.org/wiki/Q56306075", "Q56306075")</f>
        <v>0</v>
      </c>
      <c r="G11136" t="s">
        <v>2885</v>
      </c>
      <c r="H11136" t="s">
        <v>7370</v>
      </c>
      <c r="I11136" t="s">
        <v>10501</v>
      </c>
      <c r="J11136" t="s">
        <v>13521</v>
      </c>
      <c r="K11136" t="s">
        <v>17909</v>
      </c>
      <c r="L11136">
        <f>HYPERLINK("https://www2.assemblee-nationale.fr/sycomore/fiche/(num_dept)/8216", "8216")</f>
        <v>0</v>
      </c>
      <c r="M11136">
        <f>HYPERLINK("https://www.senat.fr/senateur-3eme-republique/plantie_jean_baptiste1066r3.html", "plantie_jean_baptiste1066r3")</f>
        <v>0</v>
      </c>
      <c r="N11136">
        <f>HYPERLINK("https://www.wikidata.org/wiki/Q3164364", "Q3164364")</f>
        <v>0</v>
      </c>
      <c r="O11136" t="s">
        <v>19970</v>
      </c>
      <c r="Q11136" t="s">
        <v>15603</v>
      </c>
      <c r="R11136" t="s">
        <v>17909</v>
      </c>
      <c r="S11136">
        <v>1690</v>
      </c>
    </row>
    <row r="11137" spans="1:19">
      <c r="A11137" t="s">
        <v>130</v>
      </c>
      <c r="B11137" t="s">
        <v>150</v>
      </c>
      <c r="C11137" t="s">
        <v>262</v>
      </c>
      <c r="D11137" t="s">
        <v>391</v>
      </c>
      <c r="F11137">
        <f>HYPERLINK("https://www.wikidata.org/wiki/Q56306075", "Q56306075")</f>
        <v>0</v>
      </c>
      <c r="G11137" t="s">
        <v>4683</v>
      </c>
      <c r="H11137" t="s">
        <v>8823</v>
      </c>
      <c r="I11137" t="s">
        <v>9389</v>
      </c>
      <c r="J11137" t="s">
        <v>15153</v>
      </c>
      <c r="K11137" t="s">
        <v>19473</v>
      </c>
      <c r="M11137">
        <f>HYPERLINK("https://www.senat.fr/senateur-3eme-republique/bergeon_emile1621r3.html", "bergeon_emile1621r3")</f>
        <v>0</v>
      </c>
      <c r="N11137">
        <f>HYPERLINK("https://www.wikidata.org/wiki/Q3588338", "Q3588338")</f>
        <v>0</v>
      </c>
      <c r="O11137" t="s">
        <v>20021</v>
      </c>
      <c r="Q11137" t="s">
        <v>15603</v>
      </c>
      <c r="R11137" t="s">
        <v>21653</v>
      </c>
      <c r="S11137">
        <v>2078</v>
      </c>
    </row>
    <row r="11138" spans="1:19">
      <c r="A11138" t="s">
        <v>130</v>
      </c>
      <c r="B11138" t="s">
        <v>150</v>
      </c>
      <c r="C11138" t="s">
        <v>262</v>
      </c>
      <c r="D11138" t="s">
        <v>391</v>
      </c>
      <c r="F11138">
        <f>HYPERLINK("https://www.wikidata.org/wiki/Q56306075", "Q56306075")</f>
        <v>0</v>
      </c>
      <c r="G11138" t="s">
        <v>4684</v>
      </c>
      <c r="H11138" t="s">
        <v>8824</v>
      </c>
      <c r="I11138" t="s">
        <v>9552</v>
      </c>
      <c r="J11138" t="s">
        <v>15154</v>
      </c>
      <c r="K11138" t="s">
        <v>19474</v>
      </c>
      <c r="M11138">
        <f>HYPERLINK("https://www.senat.fr/senateur-3eme-republique/sebire_auguste1035r3.html", "sebire_auguste1035r3")</f>
        <v>0</v>
      </c>
      <c r="N11138">
        <f>HYPERLINK("https://www.wikidata.org/wiki/Q2871408", "Q2871408")</f>
        <v>0</v>
      </c>
      <c r="O11138" t="s">
        <v>19985</v>
      </c>
      <c r="Q11138" t="s">
        <v>12678</v>
      </c>
      <c r="R11138" t="s">
        <v>21651</v>
      </c>
      <c r="S11138">
        <v>941</v>
      </c>
    </row>
    <row r="11139" spans="1:19">
      <c r="A11139" t="s">
        <v>130</v>
      </c>
      <c r="B11139" t="s">
        <v>150</v>
      </c>
      <c r="C11139" t="s">
        <v>262</v>
      </c>
      <c r="D11139" t="s">
        <v>391</v>
      </c>
      <c r="F11139">
        <f>HYPERLINK("https://www.wikidata.org/wiki/Q56306075", "Q56306075")</f>
        <v>0</v>
      </c>
      <c r="G11139" t="s">
        <v>4685</v>
      </c>
      <c r="H11139" t="s">
        <v>8825</v>
      </c>
      <c r="I11139" t="s">
        <v>9552</v>
      </c>
      <c r="J11139" t="s">
        <v>15155</v>
      </c>
      <c r="K11139" t="s">
        <v>19475</v>
      </c>
      <c r="M11139">
        <f>HYPERLINK("https://www.senat.fr/senateur-3eme-republique/veron_auguste0527r3.html", "veron_auguste0527r3")</f>
        <v>0</v>
      </c>
      <c r="N11139">
        <f>HYPERLINK("https://www.wikidata.org/wiki/Q2871462", "Q2871462")</f>
        <v>0</v>
      </c>
      <c r="O11139" t="s">
        <v>19998</v>
      </c>
      <c r="Q11139" t="s">
        <v>21036</v>
      </c>
      <c r="R11139" t="s">
        <v>21651</v>
      </c>
      <c r="S11139">
        <v>927</v>
      </c>
    </row>
    <row r="11140" spans="1:19">
      <c r="A11140" t="s">
        <v>130</v>
      </c>
      <c r="B11140" t="s">
        <v>150</v>
      </c>
      <c r="C11140" t="s">
        <v>262</v>
      </c>
      <c r="D11140" t="s">
        <v>391</v>
      </c>
      <c r="F11140">
        <f>HYPERLINK("https://www.wikidata.org/wiki/Q56306075", "Q56306075")</f>
        <v>0</v>
      </c>
      <c r="G11140" t="s">
        <v>4686</v>
      </c>
      <c r="H11140" t="s">
        <v>8826</v>
      </c>
      <c r="I11140" t="s">
        <v>6860</v>
      </c>
      <c r="J11140" t="s">
        <v>15156</v>
      </c>
      <c r="K11140" t="s">
        <v>19476</v>
      </c>
      <c r="M11140">
        <f>HYPERLINK("https://www.senat.fr/senateur-3eme-republique/le_provost_de_launay_pierre0570r3.html", "le_provost_de_launay_pierre0570r3")</f>
        <v>0</v>
      </c>
      <c r="N11140">
        <f>HYPERLINK("https://www.wikidata.org/wiki/Q2871276", "Q2871276")</f>
        <v>0</v>
      </c>
      <c r="O11140" t="s">
        <v>19964</v>
      </c>
      <c r="Q11140" t="s">
        <v>11850</v>
      </c>
      <c r="R11140" t="s">
        <v>19476</v>
      </c>
      <c r="S11140">
        <v>268</v>
      </c>
    </row>
    <row r="11141" spans="1:19">
      <c r="A11141" t="s">
        <v>130</v>
      </c>
      <c r="B11141" t="s">
        <v>150</v>
      </c>
      <c r="C11141" t="s">
        <v>262</v>
      </c>
      <c r="D11141" t="s">
        <v>391</v>
      </c>
      <c r="F11141">
        <f>HYPERLINK("https://www.wikidata.org/wiki/Q56306075", "Q56306075")</f>
        <v>0</v>
      </c>
      <c r="G11141" t="s">
        <v>4687</v>
      </c>
      <c r="H11141" t="s">
        <v>8827</v>
      </c>
      <c r="I11141" t="s">
        <v>7419</v>
      </c>
      <c r="J11141" t="s">
        <v>15157</v>
      </c>
      <c r="K11141" t="s">
        <v>19477</v>
      </c>
      <c r="M11141">
        <f>HYPERLINK("https://www.senat.fr/senateur-3eme-republique/songeon_jacques1356r3.html", "songeon_jacques1356r3")</f>
        <v>0</v>
      </c>
      <c r="N11141">
        <f>HYPERLINK("https://www.wikidata.org/wiki/Q13080899", "Q13080899")</f>
        <v>0</v>
      </c>
      <c r="O11141" t="s">
        <v>19969</v>
      </c>
      <c r="Q11141" t="s">
        <v>21037</v>
      </c>
      <c r="R11141" t="s">
        <v>19477</v>
      </c>
      <c r="S11141">
        <v>1288</v>
      </c>
    </row>
    <row r="11142" spans="1:19">
      <c r="A11142" t="s">
        <v>130</v>
      </c>
      <c r="B11142" t="s">
        <v>150</v>
      </c>
      <c r="C11142" t="s">
        <v>262</v>
      </c>
      <c r="D11142" t="s">
        <v>391</v>
      </c>
      <c r="F11142">
        <f>HYPERLINK("https://www.wikidata.org/wiki/Q56306075", "Q56306075")</f>
        <v>0</v>
      </c>
      <c r="G11142" t="s">
        <v>2884</v>
      </c>
      <c r="H11142" t="s">
        <v>7369</v>
      </c>
      <c r="I11142" t="s">
        <v>10500</v>
      </c>
      <c r="J11142" t="s">
        <v>13520</v>
      </c>
      <c r="K11142" t="s">
        <v>17908</v>
      </c>
      <c r="L11142">
        <f>HYPERLINK("https://www2.assemblee-nationale.fr/sycomore/fiche/(num_dept)/8215", "8215")</f>
        <v>0</v>
      </c>
      <c r="M11142">
        <f>HYPERLINK("https://www.senat.fr/senateur-3eme-republique/girot_pouzol_francois1003r3.html", "girot_pouzol_francois1003r3")</f>
        <v>0</v>
      </c>
      <c r="N11142">
        <f>HYPERLINK("https://www.wikidata.org/wiki/Q3084738", "Q3084738")</f>
        <v>0</v>
      </c>
      <c r="O11142" t="s">
        <v>20005</v>
      </c>
      <c r="Q11142" t="s">
        <v>21038</v>
      </c>
      <c r="R11142" t="s">
        <v>21653</v>
      </c>
      <c r="S11142">
        <v>1959</v>
      </c>
    </row>
    <row r="11143" spans="1:19">
      <c r="A11143" t="s">
        <v>130</v>
      </c>
      <c r="B11143" t="s">
        <v>150</v>
      </c>
      <c r="C11143" t="s">
        <v>262</v>
      </c>
      <c r="D11143" t="s">
        <v>391</v>
      </c>
      <c r="F11143">
        <f>HYPERLINK("https://www.wikidata.org/wiki/Q56306075", "Q56306075")</f>
        <v>0</v>
      </c>
      <c r="G11143" t="s">
        <v>4688</v>
      </c>
      <c r="H11143" t="s">
        <v>8828</v>
      </c>
      <c r="I11143" t="s">
        <v>9449</v>
      </c>
      <c r="J11143" t="s">
        <v>15158</v>
      </c>
      <c r="K11143" t="s">
        <v>19478</v>
      </c>
      <c r="M11143">
        <f>HYPERLINK("https://www.senat.fr/senateur-3eme-republique/guichard_jules1842r3.html", "guichard_jules1842r3")</f>
        <v>0</v>
      </c>
      <c r="N11143">
        <f>HYPERLINK("https://www.wikidata.org/wiki/Q3188637", "Q3188637")</f>
        <v>0</v>
      </c>
      <c r="O11143" t="s">
        <v>20034</v>
      </c>
      <c r="Q11143" t="s">
        <v>21038</v>
      </c>
      <c r="R11143" t="s">
        <v>21653</v>
      </c>
      <c r="S11143">
        <v>1959</v>
      </c>
    </row>
    <row r="11144" spans="1:19">
      <c r="A11144" t="s">
        <v>130</v>
      </c>
      <c r="B11144" t="s">
        <v>150</v>
      </c>
      <c r="C11144" t="s">
        <v>262</v>
      </c>
      <c r="D11144" t="s">
        <v>391</v>
      </c>
      <c r="F11144">
        <f>HYPERLINK("https://www.wikidata.org/wiki/Q56306075", "Q56306075")</f>
        <v>0</v>
      </c>
      <c r="G11144" t="s">
        <v>4689</v>
      </c>
      <c r="H11144" t="s">
        <v>8829</v>
      </c>
      <c r="I11144" t="s">
        <v>6166</v>
      </c>
      <c r="J11144" t="s">
        <v>15159</v>
      </c>
      <c r="K11144" t="s">
        <v>19479</v>
      </c>
      <c r="M11144">
        <f>HYPERLINK("https://www.senat.fr/senateur-3eme-republique/dufraigne_francois1597r3.html", "dufraigne_francois1597r3")</f>
        <v>0</v>
      </c>
      <c r="N11144">
        <f>HYPERLINK("https://www.wikidata.org/wiki/Q3084509", "Q3084509")</f>
        <v>0</v>
      </c>
      <c r="O11144" t="s">
        <v>20026</v>
      </c>
      <c r="Q11144" t="s">
        <v>21039</v>
      </c>
      <c r="R11144" t="s">
        <v>21653</v>
      </c>
      <c r="S11144">
        <v>1924</v>
      </c>
    </row>
    <row r="11145" spans="1:19">
      <c r="A11145" t="s">
        <v>130</v>
      </c>
      <c r="B11145" t="s">
        <v>150</v>
      </c>
      <c r="C11145" t="s">
        <v>262</v>
      </c>
      <c r="D11145" t="s">
        <v>391</v>
      </c>
      <c r="F11145">
        <f>HYPERLINK("https://www.wikidata.org/wiki/Q56306075", "Q56306075")</f>
        <v>0</v>
      </c>
      <c r="G11145" t="s">
        <v>4690</v>
      </c>
      <c r="H11145" t="s">
        <v>8830</v>
      </c>
      <c r="I11145" t="s">
        <v>9388</v>
      </c>
      <c r="J11145" t="s">
        <v>15160</v>
      </c>
      <c r="K11145" t="s">
        <v>19480</v>
      </c>
      <c r="M11145">
        <f>HYPERLINK("https://www.senat.fr/senateur-3eme-republique/laroche_paul0599r3.html", "laroche_paul0599r3")</f>
        <v>0</v>
      </c>
      <c r="N11145">
        <f>HYPERLINK("https://www.wikidata.org/wiki/Q3371636", "Q3371636")</f>
        <v>0</v>
      </c>
      <c r="O11145" t="s">
        <v>19979</v>
      </c>
      <c r="Q11145" t="s">
        <v>21040</v>
      </c>
      <c r="R11145" t="s">
        <v>21662</v>
      </c>
      <c r="S11145">
        <v>2960</v>
      </c>
    </row>
    <row r="11146" spans="1:19">
      <c r="A11146" t="s">
        <v>130</v>
      </c>
      <c r="B11146" t="s">
        <v>150</v>
      </c>
      <c r="C11146" t="s">
        <v>262</v>
      </c>
      <c r="D11146" t="s">
        <v>391</v>
      </c>
      <c r="F11146">
        <f>HYPERLINK("https://www.wikidata.org/wiki/Q56306075", "Q56306075")</f>
        <v>0</v>
      </c>
      <c r="G11146" t="s">
        <v>2812</v>
      </c>
      <c r="H11146" t="s">
        <v>7314</v>
      </c>
      <c r="I11146" t="s">
        <v>10453</v>
      </c>
      <c r="J11146" t="s">
        <v>13452</v>
      </c>
      <c r="K11146" t="s">
        <v>17843</v>
      </c>
      <c r="L11146">
        <f>HYPERLINK("https://www2.assemblee-nationale.fr/sycomore/fiche/(num_dept)/8121", "8121")</f>
        <v>0</v>
      </c>
      <c r="M11146">
        <f>HYPERLINK("https://www.senat.fr/senateur-3eme-republique/dreux_pierre0766r3.html", "dreux_pierre0766r3")</f>
        <v>0</v>
      </c>
      <c r="N11146">
        <f>HYPERLINK("https://www.wikidata.org/wiki/Q16025612", "Q16025612")</f>
        <v>0</v>
      </c>
      <c r="O11146" t="s">
        <v>19971</v>
      </c>
      <c r="Q11146" t="s">
        <v>20704</v>
      </c>
      <c r="R11146" t="s">
        <v>17996</v>
      </c>
      <c r="S11146">
        <v>947</v>
      </c>
    </row>
    <row r="11147" spans="1:19">
      <c r="A11147" t="s">
        <v>130</v>
      </c>
      <c r="B11147" t="s">
        <v>150</v>
      </c>
      <c r="C11147" t="s">
        <v>262</v>
      </c>
      <c r="D11147" t="s">
        <v>391</v>
      </c>
      <c r="F11147">
        <f>HYPERLINK("https://www.wikidata.org/wiki/Q56306075", "Q56306075")</f>
        <v>0</v>
      </c>
      <c r="G11147" t="s">
        <v>4691</v>
      </c>
      <c r="H11147" t="s">
        <v>8831</v>
      </c>
      <c r="I11147" t="s">
        <v>9472</v>
      </c>
      <c r="J11147" t="s">
        <v>15161</v>
      </c>
      <c r="K11147" t="s">
        <v>19481</v>
      </c>
      <c r="M11147">
        <f>HYPERLINK("https://www.senat.fr/senateur-3eme-republique/morellet_hippolyte0012r3.html", "morellet_hippolyte0012r3")</f>
        <v>0</v>
      </c>
      <c r="N11147">
        <f>HYPERLINK("https://www.wikidata.org/wiki/Q3136098", "Q3136098")</f>
        <v>0</v>
      </c>
      <c r="O11147" t="s">
        <v>19986</v>
      </c>
      <c r="Q11147" t="s">
        <v>20704</v>
      </c>
      <c r="R11147" t="s">
        <v>21662</v>
      </c>
      <c r="S11147">
        <v>2946</v>
      </c>
    </row>
    <row r="11148" spans="1:19">
      <c r="A11148" t="s">
        <v>130</v>
      </c>
      <c r="B11148" t="s">
        <v>150</v>
      </c>
      <c r="C11148" t="s">
        <v>262</v>
      </c>
      <c r="D11148" t="s">
        <v>391</v>
      </c>
      <c r="F11148">
        <f>HYPERLINK("https://www.wikidata.org/wiki/Q56306075", "Q56306075")</f>
        <v>0</v>
      </c>
      <c r="G11148" t="s">
        <v>4692</v>
      </c>
      <c r="H11148" t="s">
        <v>8832</v>
      </c>
      <c r="I11148" t="s">
        <v>9612</v>
      </c>
      <c r="J11148" t="s">
        <v>15162</v>
      </c>
      <c r="K11148" t="s">
        <v>19482</v>
      </c>
      <c r="M11148">
        <f>HYPERLINK("https://www.senat.fr/senateur-3eme-republique/petit_frederic1677r3.html", "petit_frederic1677r3")</f>
        <v>0</v>
      </c>
      <c r="N11148">
        <f>HYPERLINK("https://www.wikidata.org/wiki/Q3090122", "Q3090122")</f>
        <v>0</v>
      </c>
      <c r="O11148" t="s">
        <v>20012</v>
      </c>
      <c r="Q11148" t="s">
        <v>21041</v>
      </c>
      <c r="R11148" t="s">
        <v>21653</v>
      </c>
      <c r="S11148">
        <v>1798</v>
      </c>
    </row>
    <row r="11149" spans="1:19">
      <c r="A11149" t="s">
        <v>130</v>
      </c>
      <c r="B11149" t="s">
        <v>150</v>
      </c>
      <c r="C11149" t="s">
        <v>262</v>
      </c>
      <c r="D11149" t="s">
        <v>391</v>
      </c>
      <c r="F11149">
        <f>HYPERLINK("https://www.wikidata.org/wiki/Q56306075", "Q56306075")</f>
        <v>0</v>
      </c>
      <c r="G11149" t="s">
        <v>4693</v>
      </c>
      <c r="H11149" t="s">
        <v>8833</v>
      </c>
      <c r="I11149" t="s">
        <v>11215</v>
      </c>
      <c r="J11149" t="s">
        <v>15163</v>
      </c>
      <c r="K11149" t="s">
        <v>19483</v>
      </c>
      <c r="M11149">
        <f>HYPERLINK("https://www.senat.fr/senateur-3eme-republique/de_cardevac_d_havrincourt_alfonse0924r3.html", "de_cardevac_d_havrincourt_alfonse0924r3")</f>
        <v>0</v>
      </c>
      <c r="N11149">
        <f>HYPERLINK("https://www.wikidata.org/wiki/Q2840011", "Q2840011")</f>
        <v>0</v>
      </c>
      <c r="O11149" t="s">
        <v>19968</v>
      </c>
      <c r="Q11149" t="s">
        <v>20707</v>
      </c>
      <c r="R11149" t="s">
        <v>21653</v>
      </c>
      <c r="S11149">
        <v>1784</v>
      </c>
    </row>
    <row r="11150" spans="1:19">
      <c r="A11150" t="s">
        <v>130</v>
      </c>
      <c r="B11150" t="s">
        <v>150</v>
      </c>
      <c r="C11150" t="s">
        <v>262</v>
      </c>
      <c r="D11150" t="s">
        <v>391</v>
      </c>
      <c r="F11150">
        <f>HYPERLINK("https://www.wikidata.org/wiki/Q56306075", "Q56306075")</f>
        <v>0</v>
      </c>
      <c r="G11150" t="s">
        <v>4694</v>
      </c>
      <c r="H11150" t="s">
        <v>8834</v>
      </c>
      <c r="I11150" t="s">
        <v>6166</v>
      </c>
      <c r="J11150" t="s">
        <v>13574</v>
      </c>
      <c r="K11150" t="s">
        <v>18580</v>
      </c>
      <c r="M11150">
        <f>HYPERLINK("https://www.senat.fr/senateur-3eme-republique/garran_de_balzan_francois1634r3.html", "garran_de_balzan_francois1634r3")</f>
        <v>0</v>
      </c>
      <c r="N11150">
        <f>HYPERLINK("https://www.wikidata.org/wiki/Q3084690", "Q3084690")</f>
        <v>0</v>
      </c>
      <c r="O11150" t="s">
        <v>20021</v>
      </c>
      <c r="Q11150" t="s">
        <v>21042</v>
      </c>
      <c r="R11150" t="s">
        <v>21653</v>
      </c>
      <c r="S11150">
        <v>1742</v>
      </c>
    </row>
    <row r="11151" spans="1:19">
      <c r="A11151" t="s">
        <v>130</v>
      </c>
      <c r="B11151" t="s">
        <v>150</v>
      </c>
      <c r="C11151" t="s">
        <v>262</v>
      </c>
      <c r="D11151" t="s">
        <v>391</v>
      </c>
      <c r="F11151">
        <f>HYPERLINK("https://www.wikidata.org/wiki/Q56306075", "Q56306075")</f>
        <v>0</v>
      </c>
      <c r="G11151" t="s">
        <v>2916</v>
      </c>
      <c r="H11151" t="s">
        <v>7396</v>
      </c>
      <c r="I11151" t="s">
        <v>9472</v>
      </c>
      <c r="J11151" t="s">
        <v>13550</v>
      </c>
      <c r="K11151" t="s">
        <v>17936</v>
      </c>
      <c r="L11151">
        <f>HYPERLINK("https://www2.assemblee-nationale.fr/sycomore/fiche/(num_dept)/8263", "8263")</f>
        <v>0</v>
      </c>
      <c r="M11151">
        <f>HYPERLINK("https://www.senat.fr/senateur-3eme-republique/maze_hippolyte1652r3.html", "maze_hippolyte1652r3")</f>
        <v>0</v>
      </c>
      <c r="N11151">
        <f>HYPERLINK("https://www.wikidata.org/wiki/Q3136091", "Q3136091")</f>
        <v>0</v>
      </c>
      <c r="O11151" t="s">
        <v>19976</v>
      </c>
      <c r="Q11151" t="s">
        <v>21043</v>
      </c>
      <c r="R11151" t="s">
        <v>21653</v>
      </c>
      <c r="S11151">
        <v>1735</v>
      </c>
    </row>
    <row r="11152" spans="1:19">
      <c r="A11152" t="s">
        <v>130</v>
      </c>
      <c r="B11152" t="s">
        <v>150</v>
      </c>
      <c r="C11152" t="s">
        <v>262</v>
      </c>
      <c r="D11152" t="s">
        <v>391</v>
      </c>
      <c r="F11152">
        <f>HYPERLINK("https://www.wikidata.org/wiki/Q56306075", "Q56306075")</f>
        <v>0</v>
      </c>
      <c r="G11152" t="s">
        <v>2919</v>
      </c>
      <c r="H11152" t="s">
        <v>7399</v>
      </c>
      <c r="I11152" t="s">
        <v>10524</v>
      </c>
      <c r="J11152" t="s">
        <v>13553</v>
      </c>
      <c r="K11152" t="s">
        <v>17939</v>
      </c>
      <c r="L11152">
        <f>HYPERLINK("https://www2.assemblee-nationale.fr/sycomore/fiche/(num_dept)/8266", "8266")</f>
        <v>0</v>
      </c>
      <c r="M11152">
        <f>HYPERLINK("https://www.senat.fr/senateur-3eme-republique/journault_louis1660r3.html", "journault_louis1660r3")</f>
        <v>0</v>
      </c>
      <c r="N11152">
        <f>HYPERLINK("https://www.wikidata.org/wiki/Q3262381", "Q3262381")</f>
        <v>0</v>
      </c>
      <c r="O11152" t="s">
        <v>19976</v>
      </c>
      <c r="Q11152" t="s">
        <v>20711</v>
      </c>
      <c r="R11152" t="s">
        <v>21653</v>
      </c>
      <c r="S11152">
        <v>1721</v>
      </c>
    </row>
    <row r="11153" spans="1:19">
      <c r="A11153" t="s">
        <v>130</v>
      </c>
      <c r="B11153" t="s">
        <v>150</v>
      </c>
      <c r="C11153" t="s">
        <v>262</v>
      </c>
      <c r="D11153" t="s">
        <v>391</v>
      </c>
      <c r="F11153">
        <f>HYPERLINK("https://www.wikidata.org/wiki/Q56306075", "Q56306075")</f>
        <v>0</v>
      </c>
      <c r="G11153" t="s">
        <v>4695</v>
      </c>
      <c r="H11153" t="s">
        <v>8835</v>
      </c>
      <c r="I11153" t="s">
        <v>9534</v>
      </c>
      <c r="J11153" t="s">
        <v>15164</v>
      </c>
      <c r="K11153" t="s">
        <v>19484</v>
      </c>
      <c r="M11153">
        <f>HYPERLINK("https://www.senat.fr/senateur-3eme-republique/decroix_adolphe1287r3.html", "decroix_adolphe1287r3")</f>
        <v>0</v>
      </c>
      <c r="N11153">
        <f>HYPERLINK("https://www.wikidata.org/wiki/Q2824799", "Q2824799")</f>
        <v>0</v>
      </c>
      <c r="O11153" t="s">
        <v>20023</v>
      </c>
      <c r="Q11153" t="s">
        <v>20711</v>
      </c>
      <c r="R11153" t="s">
        <v>21651</v>
      </c>
      <c r="S11153">
        <v>626</v>
      </c>
    </row>
    <row r="11154" spans="1:19">
      <c r="A11154" t="s">
        <v>130</v>
      </c>
      <c r="B11154" t="s">
        <v>150</v>
      </c>
      <c r="C11154" t="s">
        <v>262</v>
      </c>
      <c r="D11154" t="s">
        <v>391</v>
      </c>
      <c r="F11154">
        <f>HYPERLINK("https://www.wikidata.org/wiki/Q56306075", "Q56306075")</f>
        <v>0</v>
      </c>
      <c r="G11154" t="s">
        <v>4696</v>
      </c>
      <c r="H11154" t="s">
        <v>8836</v>
      </c>
      <c r="I11154" t="s">
        <v>9440</v>
      </c>
      <c r="J11154" t="s">
        <v>15165</v>
      </c>
      <c r="K11154" t="s">
        <v>19469</v>
      </c>
      <c r="M11154">
        <f>HYPERLINK("https://www.senat.fr/senateur-3eme-republique/de_bejarry_amedee1748r3.html", "de_bejarry_amedee1748r3")</f>
        <v>0</v>
      </c>
      <c r="N11154">
        <f>HYPERLINK("https://www.wikidata.org/wiki/Q2844725", "Q2844725")</f>
        <v>0</v>
      </c>
      <c r="O11154" t="s">
        <v>19972</v>
      </c>
      <c r="Q11154" t="s">
        <v>20712</v>
      </c>
      <c r="R11154" t="s">
        <v>21653</v>
      </c>
      <c r="S11154">
        <v>1707</v>
      </c>
    </row>
    <row r="11155" spans="1:19">
      <c r="A11155" t="s">
        <v>130</v>
      </c>
      <c r="B11155" t="s">
        <v>150</v>
      </c>
      <c r="C11155" t="s">
        <v>262</v>
      </c>
      <c r="D11155" t="s">
        <v>391</v>
      </c>
      <c r="F11155">
        <f>HYPERLINK("https://www.wikidata.org/wiki/Q56306075", "Q56306075")</f>
        <v>0</v>
      </c>
      <c r="G11155" t="s">
        <v>4697</v>
      </c>
      <c r="H11155" t="s">
        <v>8837</v>
      </c>
      <c r="I11155" t="s">
        <v>11216</v>
      </c>
      <c r="J11155" t="s">
        <v>15166</v>
      </c>
      <c r="K11155" t="s">
        <v>19485</v>
      </c>
      <c r="M11155">
        <f>HYPERLINK("https://www.senat.fr/senateur-3eme-republique/chaver_biere_leonce0466r3.html", "chaver_biere_leonce0466r3")</f>
        <v>0</v>
      </c>
      <c r="N11155">
        <f>HYPERLINK("https://www.wikidata.org/wiki/Q3271636", "Q3271636")</f>
        <v>0</v>
      </c>
      <c r="O11155" t="s">
        <v>20020</v>
      </c>
      <c r="Q11155" t="s">
        <v>21044</v>
      </c>
      <c r="R11155" t="s">
        <v>21662</v>
      </c>
      <c r="S11155">
        <v>2750</v>
      </c>
    </row>
    <row r="11156" spans="1:19">
      <c r="A11156" t="s">
        <v>130</v>
      </c>
      <c r="B11156" t="s">
        <v>150</v>
      </c>
      <c r="C11156" t="s">
        <v>262</v>
      </c>
      <c r="D11156" t="s">
        <v>391</v>
      </c>
      <c r="F11156">
        <f>HYPERLINK("https://www.wikidata.org/wiki/Q56306075", "Q56306075")</f>
        <v>0</v>
      </c>
      <c r="G11156" t="s">
        <v>4698</v>
      </c>
      <c r="H11156" t="s">
        <v>8838</v>
      </c>
      <c r="I11156" t="s">
        <v>9385</v>
      </c>
      <c r="J11156" t="s">
        <v>15167</v>
      </c>
      <c r="K11156" t="s">
        <v>19486</v>
      </c>
      <c r="M11156">
        <f>HYPERLINK("https://www.senat.fr/senateur-3eme-republique/huon_de_penanster_charles0571r3.html", "huon_de_penanster_charles0571r3")</f>
        <v>0</v>
      </c>
      <c r="N11156">
        <f>HYPERLINK("https://www.wikidata.org/wiki/Q2959385", "Q2959385")</f>
        <v>0</v>
      </c>
      <c r="O11156" t="s">
        <v>19964</v>
      </c>
      <c r="Q11156" t="s">
        <v>21044</v>
      </c>
      <c r="R11156" t="s">
        <v>21662</v>
      </c>
      <c r="S11156">
        <v>2750</v>
      </c>
    </row>
    <row r="11157" spans="1:19">
      <c r="A11157" t="s">
        <v>130</v>
      </c>
      <c r="B11157" t="s">
        <v>150</v>
      </c>
      <c r="C11157" t="s">
        <v>262</v>
      </c>
      <c r="D11157" t="s">
        <v>391</v>
      </c>
      <c r="F11157">
        <f>HYPERLINK("https://www.wikidata.org/wiki/Q56306075", "Q56306075")</f>
        <v>0</v>
      </c>
      <c r="G11157" t="s">
        <v>4699</v>
      </c>
      <c r="H11157" t="s">
        <v>8839</v>
      </c>
      <c r="I11157" t="s">
        <v>9385</v>
      </c>
      <c r="J11157" t="s">
        <v>15168</v>
      </c>
      <c r="K11157" t="s">
        <v>19487</v>
      </c>
      <c r="M11157">
        <f>HYPERLINK("https://www.senat.fr/senateur-3eme-republique/sebline_charles0033r3.html", "sebline_charles0033r3")</f>
        <v>0</v>
      </c>
      <c r="N11157">
        <f>HYPERLINK("https://www.wikidata.org/wiki/Q2960281", "Q2960281")</f>
        <v>0</v>
      </c>
      <c r="O11157" t="s">
        <v>20015</v>
      </c>
      <c r="Q11157" t="s">
        <v>21045</v>
      </c>
      <c r="R11157" t="s">
        <v>21662</v>
      </c>
      <c r="S11157">
        <v>2736</v>
      </c>
    </row>
    <row r="11158" spans="1:19">
      <c r="A11158" t="s">
        <v>130</v>
      </c>
      <c r="B11158" t="s">
        <v>150</v>
      </c>
      <c r="C11158" t="s">
        <v>262</v>
      </c>
      <c r="D11158" t="s">
        <v>391</v>
      </c>
      <c r="F11158">
        <f>HYPERLINK("https://www.wikidata.org/wiki/Q56306075", "Q56306075")</f>
        <v>0</v>
      </c>
      <c r="G11158" t="s">
        <v>2937</v>
      </c>
      <c r="H11158" t="s">
        <v>7415</v>
      </c>
      <c r="I11158" t="s">
        <v>10536</v>
      </c>
      <c r="J11158" t="s">
        <v>13570</v>
      </c>
      <c r="K11158" t="s">
        <v>17956</v>
      </c>
      <c r="L11158">
        <f>HYPERLINK("https://www2.assemblee-nationale.fr/sycomore/fiche/(num_dept)/8291", "8291")</f>
        <v>0</v>
      </c>
      <c r="M11158">
        <f>HYPERLINK("https://www.senat.fr/senateur-3eme-republique/penicaud_rene1784r3.html", "penicaud_rene1784r3")</f>
        <v>0</v>
      </c>
      <c r="N11158">
        <f>HYPERLINK("https://www.wikidata.org/wiki/Q3426787", "Q3426787")</f>
        <v>0</v>
      </c>
      <c r="O11158" t="s">
        <v>19977</v>
      </c>
      <c r="Q11158" t="s">
        <v>21046</v>
      </c>
      <c r="R11158" t="s">
        <v>21653</v>
      </c>
      <c r="S11158">
        <v>1623</v>
      </c>
    </row>
    <row r="11159" spans="1:19">
      <c r="A11159" t="s">
        <v>130</v>
      </c>
      <c r="B11159" t="s">
        <v>150</v>
      </c>
      <c r="C11159" t="s">
        <v>262</v>
      </c>
      <c r="D11159" t="s">
        <v>391</v>
      </c>
      <c r="F11159">
        <f>HYPERLINK("https://www.wikidata.org/wiki/Q56306075", "Q56306075")</f>
        <v>0</v>
      </c>
      <c r="G11159" t="s">
        <v>4265</v>
      </c>
      <c r="H11159" t="s">
        <v>8840</v>
      </c>
      <c r="I11159" t="s">
        <v>9442</v>
      </c>
      <c r="J11159" t="s">
        <v>13544</v>
      </c>
      <c r="K11159" t="s">
        <v>19113</v>
      </c>
      <c r="M11159">
        <f>HYPERLINK("https://www.senat.fr/senateur-3eme-republique/boulanger_ernest1019r3.html", "boulanger_ernest1019r3")</f>
        <v>0</v>
      </c>
      <c r="N11159">
        <f>HYPERLINK("https://www.wikidata.org/wiki/Q3056860", "Q3056860")</f>
        <v>0</v>
      </c>
      <c r="O11159" t="s">
        <v>20030</v>
      </c>
      <c r="Q11159" t="s">
        <v>21046</v>
      </c>
      <c r="R11159" t="s">
        <v>21651</v>
      </c>
      <c r="S11159">
        <v>528</v>
      </c>
    </row>
    <row r="11160" spans="1:19">
      <c r="A11160" t="s">
        <v>130</v>
      </c>
      <c r="B11160" t="s">
        <v>150</v>
      </c>
      <c r="C11160" t="s">
        <v>262</v>
      </c>
      <c r="D11160" t="s">
        <v>391</v>
      </c>
      <c r="F11160">
        <f>HYPERLINK("https://www.wikidata.org/wiki/Q56306075", "Q56306075")</f>
        <v>0</v>
      </c>
      <c r="G11160" t="s">
        <v>2989</v>
      </c>
      <c r="H11160" t="s">
        <v>7453</v>
      </c>
      <c r="I11160" t="s">
        <v>9388</v>
      </c>
      <c r="J11160" t="s">
        <v>13621</v>
      </c>
      <c r="K11160" t="s">
        <v>18004</v>
      </c>
      <c r="L11160">
        <f>HYPERLINK("https://www2.assemblee-nationale.fr/sycomore/fiche/(num_dept)/8141", "8141")</f>
        <v>0</v>
      </c>
      <c r="M11160">
        <f>HYPERLINK("https://www.senat.fr/senateur-3eme-republique/deves_paul0369r3.html", "deves_paul0369r3")</f>
        <v>0</v>
      </c>
      <c r="N11160">
        <f>HYPERLINK("https://www.wikidata.org/wiki/Q572361", "Q572361")</f>
        <v>0</v>
      </c>
      <c r="O11160" t="s">
        <v>19966</v>
      </c>
      <c r="Q11160" t="s">
        <v>21047</v>
      </c>
      <c r="R11160" t="s">
        <v>21662</v>
      </c>
      <c r="S11160">
        <v>2687</v>
      </c>
    </row>
    <row r="11161" spans="1:19">
      <c r="A11161" t="s">
        <v>130</v>
      </c>
      <c r="B11161" t="s">
        <v>150</v>
      </c>
      <c r="C11161" t="s">
        <v>262</v>
      </c>
      <c r="D11161" t="s">
        <v>391</v>
      </c>
      <c r="F11161">
        <f>HYPERLINK("https://www.wikidata.org/wiki/Q56306075", "Q56306075")</f>
        <v>0</v>
      </c>
      <c r="G11161" t="s">
        <v>4700</v>
      </c>
      <c r="H11161" t="s">
        <v>8841</v>
      </c>
      <c r="I11161" t="s">
        <v>6495</v>
      </c>
      <c r="J11161" t="s">
        <v>15169</v>
      </c>
      <c r="K11161" t="s">
        <v>19488</v>
      </c>
      <c r="M11161">
        <f>HYPERLINK("https://www.senat.fr/senateur-3eme-republique/feral_louis0106r3.html", "feral_louis0106r3")</f>
        <v>0</v>
      </c>
      <c r="N11161">
        <f>HYPERLINK("https://www.wikidata.org/wiki/Q3261977", "Q3261977")</f>
        <v>0</v>
      </c>
      <c r="O11161" t="s">
        <v>20016</v>
      </c>
      <c r="Q11161" t="s">
        <v>21047</v>
      </c>
      <c r="R11161" t="s">
        <v>21651</v>
      </c>
      <c r="S11161">
        <v>493</v>
      </c>
    </row>
    <row r="11162" spans="1:19">
      <c r="A11162" t="s">
        <v>130</v>
      </c>
      <c r="B11162" t="s">
        <v>150</v>
      </c>
      <c r="C11162" t="s">
        <v>262</v>
      </c>
      <c r="D11162" t="s">
        <v>391</v>
      </c>
      <c r="F11162">
        <f>HYPERLINK("https://www.wikidata.org/wiki/Q56306075", "Q56306075")</f>
        <v>0</v>
      </c>
      <c r="G11162" t="s">
        <v>4701</v>
      </c>
      <c r="H11162" t="s">
        <v>8842</v>
      </c>
      <c r="I11162" t="s">
        <v>9442</v>
      </c>
      <c r="J11162" t="s">
        <v>15170</v>
      </c>
      <c r="K11162" t="s">
        <v>19489</v>
      </c>
      <c r="M11162">
        <f>HYPERLINK("https://www.senat.fr/senateur-3eme-republique/de_guibourg_de_luzinais_ernest1282r3.html", "de_guibourg_de_luzinais_ernest1282r3")</f>
        <v>0</v>
      </c>
      <c r="N11162">
        <f>HYPERLINK("https://www.wikidata.org/wiki/Q3056991", "Q3056991")</f>
        <v>0</v>
      </c>
      <c r="O11162" t="s">
        <v>20023</v>
      </c>
      <c r="Q11162" t="s">
        <v>21047</v>
      </c>
      <c r="R11162" t="s">
        <v>21651</v>
      </c>
      <c r="S11162">
        <v>493</v>
      </c>
    </row>
    <row r="11163" spans="1:19">
      <c r="A11163" t="s">
        <v>130</v>
      </c>
      <c r="B11163" t="s">
        <v>150</v>
      </c>
      <c r="C11163" t="s">
        <v>262</v>
      </c>
      <c r="D11163" t="s">
        <v>391</v>
      </c>
      <c r="F11163">
        <f>HYPERLINK("https://www.wikidata.org/wiki/Q56306075", "Q56306075")</f>
        <v>0</v>
      </c>
      <c r="G11163" t="s">
        <v>4702</v>
      </c>
      <c r="H11163" t="s">
        <v>8843</v>
      </c>
      <c r="I11163" t="s">
        <v>6495</v>
      </c>
      <c r="J11163" t="s">
        <v>15171</v>
      </c>
      <c r="K11163" t="s">
        <v>19490</v>
      </c>
      <c r="M11163">
        <f>HYPERLINK("https://www.senat.fr/senateur-3eme-republique/diancourt_louis0634r3.html", "diancourt_louis0634r3")</f>
        <v>0</v>
      </c>
      <c r="N11163">
        <f>HYPERLINK("https://www.wikidata.org/wiki/Q3557266", "Q3557266")</f>
        <v>0</v>
      </c>
      <c r="O11163" t="s">
        <v>20025</v>
      </c>
      <c r="Q11163" t="s">
        <v>21048</v>
      </c>
      <c r="R11163" t="s">
        <v>21651</v>
      </c>
      <c r="S11163">
        <v>444</v>
      </c>
    </row>
    <row r="11164" spans="1:19">
      <c r="A11164" t="s">
        <v>130</v>
      </c>
      <c r="B11164" t="s">
        <v>150</v>
      </c>
      <c r="C11164" t="s">
        <v>262</v>
      </c>
      <c r="D11164" t="s">
        <v>391</v>
      </c>
      <c r="F11164">
        <f>HYPERLINK("https://www.wikidata.org/wiki/Q56306075", "Q56306075")</f>
        <v>0</v>
      </c>
      <c r="G11164" t="s">
        <v>4703</v>
      </c>
      <c r="H11164" t="s">
        <v>8844</v>
      </c>
      <c r="I11164" t="s">
        <v>6166</v>
      </c>
      <c r="J11164" t="s">
        <v>15129</v>
      </c>
      <c r="K11164" t="s">
        <v>19491</v>
      </c>
      <c r="M11164">
        <f>HYPERLINK("https://www.senat.fr/senateur-3eme-republique/volland_francois0931r3.html", "volland_francois0931r3")</f>
        <v>0</v>
      </c>
      <c r="N11164">
        <f>HYPERLINK("https://www.wikidata.org/wiki/Q3086029", "Q3086029")</f>
        <v>0</v>
      </c>
      <c r="O11164" t="s">
        <v>20007</v>
      </c>
      <c r="Q11164" t="s">
        <v>18186</v>
      </c>
      <c r="R11164" t="s">
        <v>21651</v>
      </c>
      <c r="S11164">
        <v>437</v>
      </c>
    </row>
    <row r="11165" spans="1:19">
      <c r="A11165" t="s">
        <v>130</v>
      </c>
      <c r="B11165" t="s">
        <v>150</v>
      </c>
      <c r="C11165" t="s">
        <v>262</v>
      </c>
      <c r="D11165" t="s">
        <v>391</v>
      </c>
      <c r="F11165">
        <f>HYPERLINK("https://www.wikidata.org/wiki/Q56306075", "Q56306075")</f>
        <v>0</v>
      </c>
      <c r="G11165" t="s">
        <v>2891</v>
      </c>
      <c r="H11165" t="s">
        <v>7375</v>
      </c>
      <c r="I11165" t="s">
        <v>9958</v>
      </c>
      <c r="J11165" t="s">
        <v>13526</v>
      </c>
      <c r="K11165" t="s">
        <v>17914</v>
      </c>
      <c r="L11165">
        <f>HYPERLINK("https://www2.assemblee-nationale.fr/sycomore/fiche/(num_dept)/8224", "8224")</f>
        <v>0</v>
      </c>
      <c r="M11165">
        <f>HYPERLINK("https://www.senat.fr/senateur-3eme-republique/frery_charles1816r3.html", "frery_charles1816r3")</f>
        <v>0</v>
      </c>
      <c r="N11165">
        <f>HYPERLINK("https://www.wikidata.org/wiki/Q2959142", "Q2959142")</f>
        <v>0</v>
      </c>
      <c r="O11165" t="s">
        <v>20400</v>
      </c>
      <c r="Q11165" t="s">
        <v>21049</v>
      </c>
      <c r="R11165" t="s">
        <v>21653</v>
      </c>
      <c r="S11165">
        <v>1462</v>
      </c>
    </row>
    <row r="11166" spans="1:19">
      <c r="A11166" t="s">
        <v>130</v>
      </c>
      <c r="B11166" t="s">
        <v>150</v>
      </c>
      <c r="C11166" t="s">
        <v>262</v>
      </c>
      <c r="D11166" t="s">
        <v>391</v>
      </c>
      <c r="F11166">
        <f>HYPERLINK("https://www.wikidata.org/wiki/Q56306075", "Q56306075")</f>
        <v>0</v>
      </c>
      <c r="G11166" t="s">
        <v>4704</v>
      </c>
      <c r="H11166" t="s">
        <v>8845</v>
      </c>
      <c r="I11166" t="s">
        <v>6860</v>
      </c>
      <c r="J11166" t="s">
        <v>15172</v>
      </c>
      <c r="K11166" t="s">
        <v>19492</v>
      </c>
      <c r="M11166">
        <f>HYPERLINK("https://www.senat.fr/senateur-3eme-republique/madignier_pierre1359r3.html", "madignier_pierre1359r3")</f>
        <v>0</v>
      </c>
      <c r="N11166">
        <f>HYPERLINK("https://www.wikidata.org/wiki/Q3386060", "Q3386060")</f>
        <v>0</v>
      </c>
      <c r="O11166" t="s">
        <v>19997</v>
      </c>
      <c r="Q11166" t="s">
        <v>21049</v>
      </c>
      <c r="R11166" t="s">
        <v>21651</v>
      </c>
      <c r="S11166">
        <v>367</v>
      </c>
    </row>
    <row r="11167" spans="1:19">
      <c r="A11167" t="s">
        <v>130</v>
      </c>
      <c r="B11167" t="s">
        <v>150</v>
      </c>
      <c r="C11167" t="s">
        <v>262</v>
      </c>
      <c r="D11167" t="s">
        <v>391</v>
      </c>
      <c r="F11167">
        <f>HYPERLINK("https://www.wikidata.org/wiki/Q56306075", "Q56306075")</f>
        <v>0</v>
      </c>
      <c r="G11167" t="s">
        <v>2545</v>
      </c>
      <c r="H11167" t="s">
        <v>7104</v>
      </c>
      <c r="I11167" t="s">
        <v>10279</v>
      </c>
      <c r="J11167" t="s">
        <v>13189</v>
      </c>
      <c r="K11167" t="s">
        <v>17594</v>
      </c>
      <c r="L11167">
        <f>HYPERLINK("https://www2.assemblee-nationale.fr/sycomore/fiche/(num_dept)/2120", "2120")</f>
        <v>0</v>
      </c>
      <c r="M11167">
        <f>HYPERLINK("https://www.senat.fr/senateur-3eme-republique/danelle_bernardin_jean0870r3.html", "danelle_bernardin_jean0870r3")</f>
        <v>0</v>
      </c>
      <c r="N11167">
        <f>HYPERLINK("https://www.wikidata.org/wiki/Q3171537", "Q3171537")</f>
        <v>0</v>
      </c>
      <c r="O11167" t="s">
        <v>20022</v>
      </c>
      <c r="Q11167" t="s">
        <v>21050</v>
      </c>
      <c r="R11167" t="s">
        <v>21651</v>
      </c>
      <c r="S11167">
        <v>297</v>
      </c>
    </row>
    <row r="11168" spans="1:19">
      <c r="A11168" t="s">
        <v>130</v>
      </c>
      <c r="B11168" t="s">
        <v>150</v>
      </c>
      <c r="C11168" t="s">
        <v>262</v>
      </c>
      <c r="D11168" t="s">
        <v>391</v>
      </c>
      <c r="F11168">
        <f>HYPERLINK("https://www.wikidata.org/wiki/Q56306075", "Q56306075")</f>
        <v>0</v>
      </c>
      <c r="G11168" t="s">
        <v>3076</v>
      </c>
      <c r="H11168" t="s">
        <v>7526</v>
      </c>
      <c r="I11168" t="s">
        <v>10613</v>
      </c>
      <c r="J11168" t="s">
        <v>13700</v>
      </c>
      <c r="K11168" t="s">
        <v>18083</v>
      </c>
      <c r="L11168">
        <f>HYPERLINK("https://www2.assemblee-nationale.fr/sycomore/fiche/(num_dept)/8235", "8235")</f>
        <v>0</v>
      </c>
      <c r="M11168">
        <f>HYPERLINK("https://www.senat.fr/senateur-3eme-republique/martin_felix1214r3.html", "martin_felix1214r3")</f>
        <v>0</v>
      </c>
      <c r="N11168">
        <f>HYPERLINK("https://www.wikidata.org/wiki/Q3092530", "Q3092530")</f>
        <v>0</v>
      </c>
      <c r="O11168" t="s">
        <v>19994</v>
      </c>
      <c r="Q11168" t="s">
        <v>21050</v>
      </c>
      <c r="R11168" t="s">
        <v>21653</v>
      </c>
      <c r="S11168">
        <v>1392</v>
      </c>
    </row>
    <row r="11169" spans="1:19">
      <c r="A11169" t="s">
        <v>130</v>
      </c>
      <c r="B11169" t="s">
        <v>150</v>
      </c>
      <c r="C11169" t="s">
        <v>262</v>
      </c>
      <c r="D11169" t="s">
        <v>391</v>
      </c>
      <c r="F11169">
        <f>HYPERLINK("https://www.wikidata.org/wiki/Q56306075", "Q56306075")</f>
        <v>0</v>
      </c>
      <c r="G11169" t="s">
        <v>4705</v>
      </c>
      <c r="H11169" t="s">
        <v>8846</v>
      </c>
      <c r="I11169" t="s">
        <v>9458</v>
      </c>
      <c r="J11169" t="s">
        <v>15173</v>
      </c>
      <c r="K11169" t="s">
        <v>19493</v>
      </c>
      <c r="M11169">
        <f>HYPERLINK("https://www.senat.fr/senateur-3eme-republique/bire_alfred1744r3.html", "bire_alfred1744r3")</f>
        <v>0</v>
      </c>
      <c r="N11169">
        <f>HYPERLINK("https://www.wikidata.org/wiki/Q2834972", "Q2834972")</f>
        <v>0</v>
      </c>
      <c r="O11169" t="s">
        <v>19972</v>
      </c>
      <c r="Q11169" t="s">
        <v>21051</v>
      </c>
      <c r="R11169" t="s">
        <v>21653</v>
      </c>
      <c r="S11169">
        <v>1343</v>
      </c>
    </row>
    <row r="11170" spans="1:19">
      <c r="A11170" t="s">
        <v>130</v>
      </c>
      <c r="B11170" t="s">
        <v>150</v>
      </c>
      <c r="C11170" t="s">
        <v>262</v>
      </c>
      <c r="D11170" t="s">
        <v>391</v>
      </c>
      <c r="F11170">
        <f>HYPERLINK("https://www.wikidata.org/wiki/Q56306075", "Q56306075")</f>
        <v>0</v>
      </c>
      <c r="G11170" t="s">
        <v>4706</v>
      </c>
      <c r="H11170" t="s">
        <v>8847</v>
      </c>
      <c r="I11170" t="s">
        <v>6495</v>
      </c>
      <c r="J11170" t="s">
        <v>15174</v>
      </c>
      <c r="K11170" t="s">
        <v>19494</v>
      </c>
      <c r="M11170">
        <f>HYPERLINK("https://www.senat.fr/senateur-3eme-republique/pauliat_louis0443r3.html", "pauliat_louis0443r3")</f>
        <v>0</v>
      </c>
      <c r="N11170">
        <f>HYPERLINK("https://www.wikidata.org/wiki/Q3262853", "Q3262853")</f>
        <v>0</v>
      </c>
      <c r="O11170" t="s">
        <v>19996</v>
      </c>
      <c r="Q11170" t="s">
        <v>20719</v>
      </c>
      <c r="R11170" t="s">
        <v>21662</v>
      </c>
      <c r="S11170">
        <v>2428</v>
      </c>
    </row>
    <row r="11171" spans="1:19">
      <c r="A11171" t="s">
        <v>130</v>
      </c>
      <c r="B11171" t="s">
        <v>150</v>
      </c>
      <c r="C11171" t="s">
        <v>262</v>
      </c>
      <c r="D11171" t="s">
        <v>391</v>
      </c>
      <c r="F11171">
        <f>HYPERLINK("https://www.wikidata.org/wiki/Q56306075", "Q56306075")</f>
        <v>0</v>
      </c>
      <c r="G11171" t="s">
        <v>2871</v>
      </c>
      <c r="H11171" t="s">
        <v>5856</v>
      </c>
      <c r="I11171" t="s">
        <v>10490</v>
      </c>
      <c r="J11171" t="s">
        <v>13172</v>
      </c>
      <c r="K11171" t="s">
        <v>17896</v>
      </c>
      <c r="L11171">
        <f>HYPERLINK("https://www2.assemblee-nationale.fr/sycomore/fiche/(num_dept)/8201", "8201")</f>
        <v>0</v>
      </c>
      <c r="M11171">
        <f>HYPERLINK("https://www.senat.fr/senateur-3eme-republique/girard_alfred1403r3.html", "girard_alfred1403r3")</f>
        <v>0</v>
      </c>
      <c r="N11171">
        <f>HYPERLINK("https://www.wikidata.org/wiki/Q2835150", "Q2835150")</f>
        <v>0</v>
      </c>
      <c r="O11171" t="s">
        <v>20013</v>
      </c>
      <c r="Q11171" t="s">
        <v>12897</v>
      </c>
      <c r="R11171" t="s">
        <v>21651</v>
      </c>
      <c r="S11171">
        <v>199</v>
      </c>
    </row>
    <row r="11172" spans="1:19">
      <c r="A11172" t="s">
        <v>130</v>
      </c>
      <c r="B11172" t="s">
        <v>150</v>
      </c>
      <c r="C11172" t="s">
        <v>262</v>
      </c>
      <c r="D11172" t="s">
        <v>391</v>
      </c>
      <c r="F11172">
        <f>HYPERLINK("https://www.wikidata.org/wiki/Q56306075", "Q56306075")</f>
        <v>0</v>
      </c>
      <c r="G11172" t="s">
        <v>4707</v>
      </c>
      <c r="H11172" t="s">
        <v>8848</v>
      </c>
      <c r="I11172" t="s">
        <v>6495</v>
      </c>
      <c r="J11172" t="s">
        <v>15175</v>
      </c>
      <c r="K11172" t="s">
        <v>19495</v>
      </c>
      <c r="M11172">
        <f>HYPERLINK("https://www.senat.fr/senateur-3eme-republique/de_ces_caupenne_louis0349r3.html", "de_ces_caupenne_louis0349r3")</f>
        <v>0</v>
      </c>
      <c r="N11172">
        <f>HYPERLINK("https://www.wikidata.org/wiki/Q3263437", "Q3263437")</f>
        <v>0</v>
      </c>
      <c r="O11172" t="s">
        <v>19995</v>
      </c>
      <c r="Q11172" t="s">
        <v>21052</v>
      </c>
      <c r="R11172" t="s">
        <v>21651</v>
      </c>
      <c r="S11172">
        <v>192</v>
      </c>
    </row>
    <row r="11173" spans="1:19">
      <c r="A11173" t="s">
        <v>130</v>
      </c>
      <c r="B11173" t="s">
        <v>150</v>
      </c>
      <c r="C11173" t="s">
        <v>262</v>
      </c>
      <c r="D11173" t="s">
        <v>391</v>
      </c>
      <c r="F11173">
        <f>HYPERLINK("https://www.wikidata.org/wiki/Q56306075", "Q56306075")</f>
        <v>0</v>
      </c>
      <c r="G11173" t="s">
        <v>4708</v>
      </c>
      <c r="H11173" t="s">
        <v>8849</v>
      </c>
      <c r="I11173" t="s">
        <v>6585</v>
      </c>
      <c r="J11173" t="s">
        <v>14191</v>
      </c>
      <c r="K11173" t="s">
        <v>19464</v>
      </c>
      <c r="M11173">
        <f>HYPERLINK("https://www.senat.fr/senateur-3eme-republique/lavertujon_andre0205r3.html", "lavertujon_andre0205r3")</f>
        <v>0</v>
      </c>
      <c r="N11173">
        <f>HYPERLINK("https://www.wikidata.org/wiki/Q2848112", "Q2848112")</f>
        <v>0</v>
      </c>
      <c r="O11173" t="s">
        <v>19987</v>
      </c>
      <c r="Q11173" t="s">
        <v>20722</v>
      </c>
      <c r="R11173" t="s">
        <v>21651</v>
      </c>
      <c r="S11173">
        <v>157</v>
      </c>
    </row>
    <row r="11174" spans="1:19">
      <c r="A11174" t="s">
        <v>130</v>
      </c>
      <c r="B11174" t="s">
        <v>150</v>
      </c>
      <c r="C11174" t="s">
        <v>262</v>
      </c>
      <c r="D11174" t="s">
        <v>391</v>
      </c>
      <c r="F11174">
        <f>HYPERLINK("https://www.wikidata.org/wiki/Q56306075", "Q56306075")</f>
        <v>0</v>
      </c>
      <c r="G11174" t="s">
        <v>4709</v>
      </c>
      <c r="H11174" t="s">
        <v>8850</v>
      </c>
      <c r="I11174" t="s">
        <v>7265</v>
      </c>
      <c r="J11174" t="s">
        <v>15176</v>
      </c>
      <c r="K11174" t="s">
        <v>19496</v>
      </c>
      <c r="M11174">
        <f>HYPERLINK("https://www.senat.fr/senateur-3eme-republique/montesquiou_fezensac_philippe0152r3.html", "montesquiou_fezensac_philippe0152r3")</f>
        <v>0</v>
      </c>
      <c r="N11174">
        <f>HYPERLINK("https://www.wikidata.org/wiki/Q3380973", "Q3380973")</f>
        <v>0</v>
      </c>
      <c r="O11174" t="s">
        <v>20003</v>
      </c>
      <c r="Q11174" t="s">
        <v>21053</v>
      </c>
      <c r="R11174" t="s">
        <v>21651</v>
      </c>
      <c r="S11174">
        <v>143</v>
      </c>
    </row>
    <row r="11175" spans="1:19">
      <c r="A11175" t="s">
        <v>131</v>
      </c>
      <c r="B11175" t="s">
        <v>150</v>
      </c>
      <c r="C11175" t="s">
        <v>263</v>
      </c>
      <c r="D11175" t="s">
        <v>392</v>
      </c>
      <c r="F11175">
        <f>HYPERLINK("https://www.wikidata.org/wiki/Q111103098", "Q111103098")</f>
        <v>0</v>
      </c>
      <c r="G11175" t="s">
        <v>2527</v>
      </c>
      <c r="H11175" t="s">
        <v>7089</v>
      </c>
      <c r="I11175" t="s">
        <v>7790</v>
      </c>
      <c r="J11175" t="s">
        <v>13171</v>
      </c>
      <c r="K11175" t="s">
        <v>17577</v>
      </c>
      <c r="L11175">
        <f>HYPERLINK("https://www2.assemblee-nationale.fr/sycomore/fiche/(num_dept)/1354", "1354")</f>
        <v>0</v>
      </c>
      <c r="M11175">
        <f>HYPERLINK("https://www.senat.fr/senateur-3eme-republique/caduc_armand0216r3.html", "caduc_armand0216r3")</f>
        <v>0</v>
      </c>
      <c r="N11175">
        <f>HYPERLINK("https://www.wikidata.org/wiki/Q2861789", "Q2861789")</f>
        <v>0</v>
      </c>
      <c r="O11175" t="s">
        <v>19987</v>
      </c>
      <c r="Q11175" t="s">
        <v>392</v>
      </c>
      <c r="R11175" t="s">
        <v>13013</v>
      </c>
      <c r="S11175">
        <v>3285</v>
      </c>
    </row>
    <row r="11176" spans="1:19">
      <c r="A11176" t="s">
        <v>131</v>
      </c>
      <c r="B11176" t="s">
        <v>150</v>
      </c>
      <c r="C11176" t="s">
        <v>263</v>
      </c>
      <c r="D11176" t="s">
        <v>392</v>
      </c>
      <c r="F11176">
        <f>HYPERLINK("https://www.wikidata.org/wiki/Q111103098", "Q111103098")</f>
        <v>0</v>
      </c>
      <c r="G11176" t="s">
        <v>2545</v>
      </c>
      <c r="H11176" t="s">
        <v>7104</v>
      </c>
      <c r="I11176" t="s">
        <v>10279</v>
      </c>
      <c r="J11176" t="s">
        <v>13189</v>
      </c>
      <c r="K11176" t="s">
        <v>17594</v>
      </c>
      <c r="L11176">
        <f>HYPERLINK("https://www2.assemblee-nationale.fr/sycomore/fiche/(num_dept)/2120", "2120")</f>
        <v>0</v>
      </c>
      <c r="M11176">
        <f>HYPERLINK("https://www.senat.fr/senateur-3eme-republique/danelle_bernardin_jean0870r3.html", "danelle_bernardin_jean0870r3")</f>
        <v>0</v>
      </c>
      <c r="N11176">
        <f>HYPERLINK("https://www.wikidata.org/wiki/Q3171537", "Q3171537")</f>
        <v>0</v>
      </c>
      <c r="O11176" t="s">
        <v>20022</v>
      </c>
      <c r="Q11176" t="s">
        <v>392</v>
      </c>
      <c r="R11176" t="s">
        <v>13013</v>
      </c>
      <c r="S11176">
        <v>3285</v>
      </c>
    </row>
    <row r="11177" spans="1:19">
      <c r="A11177" t="s">
        <v>131</v>
      </c>
      <c r="B11177" t="s">
        <v>150</v>
      </c>
      <c r="C11177" t="s">
        <v>263</v>
      </c>
      <c r="D11177" t="s">
        <v>392</v>
      </c>
      <c r="F11177">
        <f>HYPERLINK("https://www.wikidata.org/wiki/Q111103098", "Q111103098")</f>
        <v>0</v>
      </c>
      <c r="G11177" t="s">
        <v>2971</v>
      </c>
      <c r="H11177" t="s">
        <v>7439</v>
      </c>
      <c r="I11177" t="s">
        <v>6860</v>
      </c>
      <c r="J11177" t="s">
        <v>13603</v>
      </c>
      <c r="K11177" t="s">
        <v>17989</v>
      </c>
      <c r="L11177">
        <f>HYPERLINK("https://www2.assemblee-nationale.fr/sycomore/fiche/(num_dept)/7901", "7901")</f>
        <v>0</v>
      </c>
      <c r="M11177">
        <f>HYPERLINK("https://www.senat.fr/senateur-3eme-republique/bizot_de_fonteny_pierre0864r3.html", "bizot_de_fonteny_pierre0864r3")</f>
        <v>0</v>
      </c>
      <c r="N11177">
        <f>HYPERLINK("https://www.wikidata.org/wiki/Q3384017", "Q3384017")</f>
        <v>0</v>
      </c>
      <c r="O11177" t="s">
        <v>20022</v>
      </c>
      <c r="Q11177" t="s">
        <v>392</v>
      </c>
      <c r="R11177" t="s">
        <v>13013</v>
      </c>
      <c r="S11177">
        <v>3285</v>
      </c>
    </row>
    <row r="11178" spans="1:19">
      <c r="A11178" t="s">
        <v>131</v>
      </c>
      <c r="B11178" t="s">
        <v>150</v>
      </c>
      <c r="C11178" t="s">
        <v>263</v>
      </c>
      <c r="D11178" t="s">
        <v>392</v>
      </c>
      <c r="F11178">
        <f>HYPERLINK("https://www.wikidata.org/wiki/Q111103098", "Q111103098")</f>
        <v>0</v>
      </c>
      <c r="G11178" t="s">
        <v>2728</v>
      </c>
      <c r="H11178" t="s">
        <v>5344</v>
      </c>
      <c r="I11178" t="s">
        <v>9534</v>
      </c>
      <c r="J11178" t="s">
        <v>13369</v>
      </c>
      <c r="K11178" t="s">
        <v>17649</v>
      </c>
      <c r="L11178">
        <f>HYPERLINK("https://www2.assemblee-nationale.fr/sycomore/fiche/(num_dept)/7924", "7924")</f>
        <v>0</v>
      </c>
      <c r="M11178">
        <f>HYPERLINK("https://www.senat.fr/senateur-3eme-republique/cochery_adolphe0505r3.html", "cochery_adolphe0505r3")</f>
        <v>0</v>
      </c>
      <c r="N11178">
        <f>HYPERLINK("https://www.wikidata.org/wiki/Q960751", "Q960751")</f>
        <v>0</v>
      </c>
      <c r="O11178" t="s">
        <v>19958</v>
      </c>
      <c r="Q11178" t="s">
        <v>392</v>
      </c>
      <c r="R11178" t="s">
        <v>13013</v>
      </c>
      <c r="S11178">
        <v>3285</v>
      </c>
    </row>
    <row r="11179" spans="1:19">
      <c r="A11179" t="s">
        <v>131</v>
      </c>
      <c r="B11179" t="s">
        <v>150</v>
      </c>
      <c r="C11179" t="s">
        <v>263</v>
      </c>
      <c r="D11179" t="s">
        <v>392</v>
      </c>
      <c r="F11179">
        <f>HYPERLINK("https://www.wikidata.org/wiki/Q111103098", "Q111103098")</f>
        <v>0</v>
      </c>
      <c r="G11179" t="s">
        <v>2735</v>
      </c>
      <c r="H11179" t="s">
        <v>7255</v>
      </c>
      <c r="I11179" t="s">
        <v>10393</v>
      </c>
      <c r="J11179" t="s">
        <v>13376</v>
      </c>
      <c r="K11179" t="s">
        <v>12649</v>
      </c>
      <c r="L11179">
        <f>HYPERLINK("https://www2.assemblee-nationale.fr/sycomore/fiche/(num_dept)/7948", "7948")</f>
        <v>0</v>
      </c>
      <c r="M11179">
        <f>HYPERLINK("https://www.senat.fr/senateur-3eme-republique/fousset_ernest0498r3.html", "fousset_ernest0498r3")</f>
        <v>0</v>
      </c>
      <c r="N11179">
        <f>HYPERLINK("https://www.wikidata.org/wiki/Q3056963", "Q3056963")</f>
        <v>0</v>
      </c>
      <c r="O11179" t="s">
        <v>19958</v>
      </c>
      <c r="Q11179" t="s">
        <v>392</v>
      </c>
      <c r="R11179" t="s">
        <v>13013</v>
      </c>
      <c r="S11179">
        <v>3285</v>
      </c>
    </row>
    <row r="11180" spans="1:19">
      <c r="A11180" t="s">
        <v>131</v>
      </c>
      <c r="B11180" t="s">
        <v>150</v>
      </c>
      <c r="C11180" t="s">
        <v>263</v>
      </c>
      <c r="D11180" t="s">
        <v>392</v>
      </c>
      <c r="F11180">
        <f>HYPERLINK("https://www.wikidata.org/wiki/Q111103098", "Q111103098")</f>
        <v>0</v>
      </c>
      <c r="G11180" t="s">
        <v>2744</v>
      </c>
      <c r="H11180" t="s">
        <v>5481</v>
      </c>
      <c r="I11180" t="s">
        <v>10399</v>
      </c>
      <c r="J11180" t="s">
        <v>13385</v>
      </c>
      <c r="K11180" t="s">
        <v>17783</v>
      </c>
      <c r="L11180">
        <f>HYPERLINK("https://www2.assemblee-nationale.fr/sycomore/fiche/(num_dept)/7999", "7999")</f>
        <v>0</v>
      </c>
      <c r="M11180">
        <f>HYPERLINK("https://www.senat.fr/senateur-3eme-republique/margaine_henri0639r3.html", "margaine_henri0639r3")</f>
        <v>0</v>
      </c>
      <c r="N11180">
        <f>HYPERLINK("https://www.wikidata.org/wiki/Q2935008", "Q2935008")</f>
        <v>0</v>
      </c>
      <c r="O11180" t="s">
        <v>20025</v>
      </c>
      <c r="Q11180" t="s">
        <v>392</v>
      </c>
      <c r="R11180" t="s">
        <v>17783</v>
      </c>
      <c r="S11180">
        <v>2108</v>
      </c>
    </row>
    <row r="11181" spans="1:19">
      <c r="A11181" t="s">
        <v>131</v>
      </c>
      <c r="B11181" t="s">
        <v>150</v>
      </c>
      <c r="C11181" t="s">
        <v>263</v>
      </c>
      <c r="D11181" t="s">
        <v>392</v>
      </c>
      <c r="F11181">
        <f>HYPERLINK("https://www.wikidata.org/wiki/Q111103098", "Q111103098")</f>
        <v>0</v>
      </c>
      <c r="G11181" t="s">
        <v>2756</v>
      </c>
      <c r="H11181" t="s">
        <v>7268</v>
      </c>
      <c r="I11181" t="s">
        <v>10410</v>
      </c>
      <c r="J11181" t="s">
        <v>13397</v>
      </c>
      <c r="K11181" t="s">
        <v>17795</v>
      </c>
      <c r="L11181">
        <f>HYPERLINK("https://www2.assemblee-nationale.fr/sycomore/fiche/(num_dept)/8032", "8032")</f>
        <v>0</v>
      </c>
      <c r="M11181">
        <f>HYPERLINK("https://www.senat.fr/senateur-3eme-republique/reymond_francisque1336r3.html", "reymond_francisque1336r3")</f>
        <v>0</v>
      </c>
      <c r="N11181">
        <f>HYPERLINK("https://www.wikidata.org/wiki/Q3082014", "Q3082014")</f>
        <v>0</v>
      </c>
      <c r="O11181" t="s">
        <v>19997</v>
      </c>
      <c r="Q11181" t="s">
        <v>392</v>
      </c>
      <c r="R11181" t="s">
        <v>13013</v>
      </c>
      <c r="S11181">
        <v>3285</v>
      </c>
    </row>
    <row r="11182" spans="1:19">
      <c r="A11182" t="s">
        <v>131</v>
      </c>
      <c r="B11182" t="s">
        <v>150</v>
      </c>
      <c r="C11182" t="s">
        <v>263</v>
      </c>
      <c r="D11182" t="s">
        <v>392</v>
      </c>
      <c r="F11182">
        <f>HYPERLINK("https://www.wikidata.org/wiki/Q111103098", "Q111103098")</f>
        <v>0</v>
      </c>
      <c r="G11182" t="s">
        <v>2828</v>
      </c>
      <c r="H11182" t="s">
        <v>7324</v>
      </c>
      <c r="I11182" t="s">
        <v>6860</v>
      </c>
      <c r="J11182" t="s">
        <v>13468</v>
      </c>
      <c r="K11182" t="s">
        <v>17858</v>
      </c>
      <c r="L11182">
        <f>HYPERLINK("https://www2.assemblee-nationale.fr/sycomore/fiche/(num_dept)/8143", "8143")</f>
        <v>0</v>
      </c>
      <c r="M11182">
        <f>HYPERLINK("https://www.senat.fr/senateur-3eme-republique/frain_de_la_villegontier_pierre0553r3.html", "frain_de_la_villegontier_pierre0553r3")</f>
        <v>0</v>
      </c>
      <c r="N11182">
        <f>HYPERLINK("https://www.wikidata.org/wiki/Q3383345", "Q3383345")</f>
        <v>0</v>
      </c>
      <c r="O11182" t="s">
        <v>19998</v>
      </c>
      <c r="Q11182" t="s">
        <v>392</v>
      </c>
      <c r="R11182" t="s">
        <v>13013</v>
      </c>
      <c r="S11182">
        <v>3285</v>
      </c>
    </row>
    <row r="11183" spans="1:19">
      <c r="A11183" t="s">
        <v>131</v>
      </c>
      <c r="B11183" t="s">
        <v>150</v>
      </c>
      <c r="C11183" t="s">
        <v>263</v>
      </c>
      <c r="D11183" t="s">
        <v>392</v>
      </c>
      <c r="F11183">
        <f>HYPERLINK("https://www.wikidata.org/wiki/Q111103098", "Q111103098")</f>
        <v>0</v>
      </c>
      <c r="G11183" t="s">
        <v>2832</v>
      </c>
      <c r="H11183" t="s">
        <v>7326</v>
      </c>
      <c r="I11183" t="s">
        <v>10464</v>
      </c>
      <c r="J11183" t="s">
        <v>13472</v>
      </c>
      <c r="K11183" t="s">
        <v>17861</v>
      </c>
      <c r="L11183">
        <f>HYPERLINK("https://www2.assemblee-nationale.fr/sycomore/fiche/(num_dept)/8149", "8149")</f>
        <v>0</v>
      </c>
      <c r="M11183">
        <f>HYPERLINK("https://www.senat.fr/senateur-3eme-republique/marion_de_faverges_joseph1196r3.html", "marion_de_faverges_joseph1196r3")</f>
        <v>0</v>
      </c>
      <c r="N11183">
        <f>HYPERLINK("https://www.wikidata.org/wiki/Q2385779", "Q2385779")</f>
        <v>0</v>
      </c>
      <c r="O11183" t="s">
        <v>20006</v>
      </c>
      <c r="Q11183" t="s">
        <v>392</v>
      </c>
      <c r="R11183" t="s">
        <v>21650</v>
      </c>
      <c r="S11183">
        <v>21108</v>
      </c>
    </row>
    <row r="11184" spans="1:19">
      <c r="A11184" t="s">
        <v>131</v>
      </c>
      <c r="B11184" t="s">
        <v>150</v>
      </c>
      <c r="C11184" t="s">
        <v>263</v>
      </c>
      <c r="D11184" t="s">
        <v>392</v>
      </c>
      <c r="F11184">
        <f>HYPERLINK("https://www.wikidata.org/wiki/Q111103098", "Q111103098")</f>
        <v>0</v>
      </c>
      <c r="G11184" t="s">
        <v>2833</v>
      </c>
      <c r="H11184" t="s">
        <v>7327</v>
      </c>
      <c r="I11184" t="s">
        <v>10465</v>
      </c>
      <c r="J11184" t="s">
        <v>13473</v>
      </c>
      <c r="K11184" t="s">
        <v>17862</v>
      </c>
      <c r="L11184">
        <f>HYPERLINK("https://www2.assemblee-nationale.fr/sycomore/fiche/(num_dept)/8150", "8150")</f>
        <v>0</v>
      </c>
      <c r="M11184">
        <f>HYPERLINK("https://www.senat.fr/senateur-3eme-republique/couturier_jean1185r3.html", "couturier_jean1185r3")</f>
        <v>0</v>
      </c>
      <c r="N11184">
        <f>HYPERLINK("https://www.wikidata.org/wiki/Q3171477", "Q3171477")</f>
        <v>0</v>
      </c>
      <c r="O11184" t="s">
        <v>20006</v>
      </c>
      <c r="Q11184" t="s">
        <v>392</v>
      </c>
      <c r="R11184" t="s">
        <v>21650</v>
      </c>
      <c r="S11184">
        <v>21108</v>
      </c>
    </row>
    <row r="11185" spans="1:19">
      <c r="A11185" t="s">
        <v>131</v>
      </c>
      <c r="B11185" t="s">
        <v>150</v>
      </c>
      <c r="C11185" t="s">
        <v>263</v>
      </c>
      <c r="D11185" t="s">
        <v>392</v>
      </c>
      <c r="F11185">
        <f>HYPERLINK("https://www.wikidata.org/wiki/Q111103098", "Q111103098")</f>
        <v>0</v>
      </c>
      <c r="G11185" t="s">
        <v>2834</v>
      </c>
      <c r="H11185" t="s">
        <v>7328</v>
      </c>
      <c r="I11185" t="s">
        <v>9534</v>
      </c>
      <c r="J11185" t="s">
        <v>13147</v>
      </c>
      <c r="K11185" t="s">
        <v>17863</v>
      </c>
      <c r="L11185">
        <f>HYPERLINK("https://www2.assemblee-nationale.fr/sycomore/fiche/(num_dept)/8153", "8153")</f>
        <v>0</v>
      </c>
      <c r="M11185">
        <f>HYPERLINK("https://www.senat.fr/senateur-3eme-republique/lelievre_adolphe0450r3.html", "lelievre_adolphe0450r3")</f>
        <v>0</v>
      </c>
      <c r="N11185">
        <f>HYPERLINK("https://www.wikidata.org/wiki/Q2824861", "Q2824861")</f>
        <v>0</v>
      </c>
      <c r="O11185" t="s">
        <v>20041</v>
      </c>
      <c r="Q11185" t="s">
        <v>392</v>
      </c>
      <c r="R11185" t="s">
        <v>13013</v>
      </c>
      <c r="S11185">
        <v>3285</v>
      </c>
    </row>
    <row r="11186" spans="1:19">
      <c r="A11186" t="s">
        <v>131</v>
      </c>
      <c r="B11186" t="s">
        <v>150</v>
      </c>
      <c r="C11186" t="s">
        <v>263</v>
      </c>
      <c r="D11186" t="s">
        <v>392</v>
      </c>
      <c r="F11186">
        <f>HYPERLINK("https://www.wikidata.org/wiki/Q111103098", "Q111103098")</f>
        <v>0</v>
      </c>
      <c r="G11186" t="s">
        <v>2835</v>
      </c>
      <c r="H11186" t="s">
        <v>7329</v>
      </c>
      <c r="I11186" t="s">
        <v>9516</v>
      </c>
      <c r="J11186" t="s">
        <v>13474</v>
      </c>
      <c r="K11186" t="s">
        <v>17864</v>
      </c>
      <c r="L11186">
        <f>HYPERLINK("https://www2.assemblee-nationale.fr/sycomore/fiche/(num_dept)/8154", "8154")</f>
        <v>0</v>
      </c>
      <c r="M11186">
        <f>HYPERLINK("https://www.senat.fr/senateur-3eme-republique/brossard_etienne1319r3.html", "brossard_etienne1319r3")</f>
        <v>0</v>
      </c>
      <c r="N11186">
        <f>HYPERLINK("https://www.wikidata.org/wiki/Q3592085", "Q3592085")</f>
        <v>0</v>
      </c>
      <c r="O11186" t="s">
        <v>19997</v>
      </c>
      <c r="Q11186" t="s">
        <v>392</v>
      </c>
      <c r="R11186" t="s">
        <v>21650</v>
      </c>
      <c r="S11186">
        <v>21108</v>
      </c>
    </row>
    <row r="11187" spans="1:19">
      <c r="A11187" t="s">
        <v>131</v>
      </c>
      <c r="B11187" t="s">
        <v>150</v>
      </c>
      <c r="C11187" t="s">
        <v>263</v>
      </c>
      <c r="D11187" t="s">
        <v>392</v>
      </c>
      <c r="F11187">
        <f>HYPERLINK("https://www.wikidata.org/wiki/Q111103098", "Q111103098")</f>
        <v>0</v>
      </c>
      <c r="G11187" t="s">
        <v>2856</v>
      </c>
      <c r="H11187" t="s">
        <v>7113</v>
      </c>
      <c r="I11187" t="s">
        <v>10480</v>
      </c>
      <c r="J11187" t="s">
        <v>13495</v>
      </c>
      <c r="K11187" t="s">
        <v>17883</v>
      </c>
      <c r="L11187">
        <f>HYPERLINK("https://www2.assemblee-nationale.fr/sycomore/fiche/(num_dept)/8181", "8181")</f>
        <v>0</v>
      </c>
      <c r="M11187">
        <f>HYPERLINK("https://www.senat.fr/senateur-3eme-republique/develle_edmond1012r3.html", "develle_edmond1012r3")</f>
        <v>0</v>
      </c>
      <c r="N11187">
        <f>HYPERLINK("https://www.wikidata.org/wiki/Q3047803", "Q3047803")</f>
        <v>0</v>
      </c>
      <c r="O11187" t="s">
        <v>20030</v>
      </c>
      <c r="Q11187" t="s">
        <v>392</v>
      </c>
      <c r="R11187" t="s">
        <v>13013</v>
      </c>
      <c r="S11187">
        <v>3285</v>
      </c>
    </row>
    <row r="11188" spans="1:19">
      <c r="A11188" t="s">
        <v>131</v>
      </c>
      <c r="B11188" t="s">
        <v>150</v>
      </c>
      <c r="C11188" t="s">
        <v>263</v>
      </c>
      <c r="D11188" t="s">
        <v>392</v>
      </c>
      <c r="F11188">
        <f>HYPERLINK("https://www.wikidata.org/wiki/Q111103098", "Q111103098")</f>
        <v>0</v>
      </c>
      <c r="G11188" t="s">
        <v>2862</v>
      </c>
      <c r="H11188" t="s">
        <v>7351</v>
      </c>
      <c r="I11188" t="s">
        <v>10484</v>
      </c>
      <c r="J11188" t="s">
        <v>13501</v>
      </c>
      <c r="K11188" t="s">
        <v>17888</v>
      </c>
      <c r="L11188">
        <f>HYPERLINK("https://www2.assemblee-nationale.fr/sycomore/fiche/(num_dept)/8190", "8190")</f>
        <v>0</v>
      </c>
      <c r="M11188">
        <f>HYPERLINK("https://www.senat.fr/senateur-3eme-republique/cirier_victor1378r3.html", "cirier_victor1378r3")</f>
        <v>0</v>
      </c>
      <c r="N11188">
        <f>HYPERLINK("https://www.wikidata.org/wiki/Q3557222", "Q3557222")</f>
        <v>0</v>
      </c>
      <c r="O11188" t="s">
        <v>20013</v>
      </c>
      <c r="Q11188" t="s">
        <v>392</v>
      </c>
      <c r="R11188" t="s">
        <v>17888</v>
      </c>
      <c r="S11188">
        <v>1019</v>
      </c>
    </row>
    <row r="11189" spans="1:19">
      <c r="A11189" t="s">
        <v>131</v>
      </c>
      <c r="B11189" t="s">
        <v>150</v>
      </c>
      <c r="C11189" t="s">
        <v>263</v>
      </c>
      <c r="D11189" t="s">
        <v>392</v>
      </c>
      <c r="F11189">
        <f>HYPERLINK("https://www.wikidata.org/wiki/Q111103098", "Q111103098")</f>
        <v>0</v>
      </c>
      <c r="G11189" t="s">
        <v>2868</v>
      </c>
      <c r="H11189" t="s">
        <v>7357</v>
      </c>
      <c r="I11189" t="s">
        <v>9681</v>
      </c>
      <c r="J11189" t="s">
        <v>13507</v>
      </c>
      <c r="K11189" t="s">
        <v>17894</v>
      </c>
      <c r="L11189">
        <f>HYPERLINK("https://www2.assemblee-nationale.fr/sycomore/fiche/(num_dept)/8196", "8196")</f>
        <v>0</v>
      </c>
      <c r="M11189">
        <f>HYPERLINK("https://www.senat.fr/senateur-3eme-republique/screpel_achille1392r3.html", "screpel_achille1392r3")</f>
        <v>0</v>
      </c>
      <c r="N11189">
        <f>HYPERLINK("https://www.wikidata.org/wiki/Q2823098", "Q2823098")</f>
        <v>0</v>
      </c>
      <c r="O11189" t="s">
        <v>20013</v>
      </c>
      <c r="Q11189" t="s">
        <v>392</v>
      </c>
      <c r="R11189" t="s">
        <v>395</v>
      </c>
      <c r="S11189">
        <v>3286</v>
      </c>
    </row>
    <row r="11190" spans="1:19">
      <c r="A11190" t="s">
        <v>131</v>
      </c>
      <c r="B11190" t="s">
        <v>150</v>
      </c>
      <c r="C11190" t="s">
        <v>263</v>
      </c>
      <c r="D11190" t="s">
        <v>392</v>
      </c>
      <c r="F11190">
        <f>HYPERLINK("https://www.wikidata.org/wiki/Q111103098", "Q111103098")</f>
        <v>0</v>
      </c>
      <c r="G11190" t="s">
        <v>2871</v>
      </c>
      <c r="H11190" t="s">
        <v>5856</v>
      </c>
      <c r="I11190" t="s">
        <v>10490</v>
      </c>
      <c r="J11190" t="s">
        <v>13172</v>
      </c>
      <c r="K11190" t="s">
        <v>17896</v>
      </c>
      <c r="L11190">
        <f>HYPERLINK("https://www2.assemblee-nationale.fr/sycomore/fiche/(num_dept)/8201", "8201")</f>
        <v>0</v>
      </c>
      <c r="M11190">
        <f>HYPERLINK("https://www.senat.fr/senateur-3eme-republique/girard_alfred1403r3.html", "girard_alfred1403r3")</f>
        <v>0</v>
      </c>
      <c r="N11190">
        <f>HYPERLINK("https://www.wikidata.org/wiki/Q2835150", "Q2835150")</f>
        <v>0</v>
      </c>
      <c r="O11190" t="s">
        <v>20013</v>
      </c>
      <c r="Q11190" t="s">
        <v>392</v>
      </c>
      <c r="R11190" t="s">
        <v>13013</v>
      </c>
      <c r="S11190">
        <v>3285</v>
      </c>
    </row>
    <row r="11191" spans="1:19">
      <c r="A11191" t="s">
        <v>131</v>
      </c>
      <c r="B11191" t="s">
        <v>150</v>
      </c>
      <c r="C11191" t="s">
        <v>263</v>
      </c>
      <c r="D11191" t="s">
        <v>392</v>
      </c>
      <c r="F11191">
        <f>HYPERLINK("https://www.wikidata.org/wiki/Q111103098", "Q111103098")</f>
        <v>0</v>
      </c>
      <c r="G11191" t="s">
        <v>2873</v>
      </c>
      <c r="H11191" t="s">
        <v>7359</v>
      </c>
      <c r="I11191" t="s">
        <v>10492</v>
      </c>
      <c r="J11191" t="s">
        <v>13511</v>
      </c>
      <c r="K11191" t="s">
        <v>17898</v>
      </c>
      <c r="L11191">
        <f>HYPERLINK("https://www2.assemblee-nationale.fr/sycomore/fiche/(num_dept)/8204", "8204")</f>
        <v>0</v>
      </c>
      <c r="M11191">
        <f>HYPERLINK("https://www.senat.fr/senateur-3eme-republique/chauveau_franck0884r3.html", "chauveau_franck0884r3")</f>
        <v>0</v>
      </c>
      <c r="N11191">
        <f>HYPERLINK("https://www.wikidata.org/wiki/Q3082109", "Q3082109")</f>
        <v>0</v>
      </c>
      <c r="O11191" t="s">
        <v>19989</v>
      </c>
      <c r="Q11191" t="s">
        <v>392</v>
      </c>
      <c r="R11191" t="s">
        <v>13013</v>
      </c>
      <c r="S11191">
        <v>3285</v>
      </c>
    </row>
    <row r="11192" spans="1:19">
      <c r="A11192" t="s">
        <v>131</v>
      </c>
      <c r="B11192" t="s">
        <v>150</v>
      </c>
      <c r="C11192" t="s">
        <v>263</v>
      </c>
      <c r="D11192" t="s">
        <v>392</v>
      </c>
      <c r="F11192">
        <f>HYPERLINK("https://www.wikidata.org/wiki/Q111103098", "Q111103098")</f>
        <v>0</v>
      </c>
      <c r="G11192" t="s">
        <v>4454</v>
      </c>
      <c r="H11192" t="s">
        <v>8601</v>
      </c>
      <c r="I11192" t="s">
        <v>6495</v>
      </c>
      <c r="J11192" t="s">
        <v>14944</v>
      </c>
      <c r="K11192" t="s">
        <v>19273</v>
      </c>
      <c r="M11192">
        <f>HYPERLINK("https://www.senat.fr/senateur-3eme-republique/lacave_laplagne_louis0128r3.html", "lacave_laplagne_louis0128r3")</f>
        <v>0</v>
      </c>
      <c r="N11192">
        <f>HYPERLINK("https://www.wikidata.org/wiki/Q3262415", "Q3262415")</f>
        <v>0</v>
      </c>
      <c r="O11192" t="s">
        <v>20003</v>
      </c>
      <c r="Q11192" t="s">
        <v>392</v>
      </c>
      <c r="R11192" t="s">
        <v>21650</v>
      </c>
      <c r="S11192">
        <v>21108</v>
      </c>
    </row>
    <row r="11193" spans="1:19">
      <c r="A11193" t="s">
        <v>131</v>
      </c>
      <c r="B11193" t="s">
        <v>150</v>
      </c>
      <c r="C11193" t="s">
        <v>263</v>
      </c>
      <c r="D11193" t="s">
        <v>392</v>
      </c>
      <c r="F11193">
        <f>HYPERLINK("https://www.wikidata.org/wiki/Q111103098", "Q111103098")</f>
        <v>0</v>
      </c>
      <c r="G11193" t="s">
        <v>4709</v>
      </c>
      <c r="H11193" t="s">
        <v>8850</v>
      </c>
      <c r="I11193" t="s">
        <v>7265</v>
      </c>
      <c r="J11193" t="s">
        <v>15176</v>
      </c>
      <c r="K11193" t="s">
        <v>19496</v>
      </c>
      <c r="M11193">
        <f>HYPERLINK("https://www.senat.fr/senateur-3eme-republique/montesquiou_fezensac_philippe0152r3.html", "montesquiou_fezensac_philippe0152r3")</f>
        <v>0</v>
      </c>
      <c r="N11193">
        <f>HYPERLINK("https://www.wikidata.org/wiki/Q3380973", "Q3380973")</f>
        <v>0</v>
      </c>
      <c r="O11193" t="s">
        <v>20003</v>
      </c>
      <c r="Q11193" t="s">
        <v>392</v>
      </c>
      <c r="R11193" t="s">
        <v>21650</v>
      </c>
      <c r="S11193">
        <v>21108</v>
      </c>
    </row>
    <row r="11194" spans="1:19">
      <c r="A11194" t="s">
        <v>131</v>
      </c>
      <c r="B11194" t="s">
        <v>150</v>
      </c>
      <c r="C11194" t="s">
        <v>263</v>
      </c>
      <c r="D11194" t="s">
        <v>392</v>
      </c>
      <c r="F11194">
        <f>HYPERLINK("https://www.wikidata.org/wiki/Q111103098", "Q111103098")</f>
        <v>0</v>
      </c>
      <c r="G11194" t="s">
        <v>4551</v>
      </c>
      <c r="H11194" t="s">
        <v>8698</v>
      </c>
      <c r="I11194" t="s">
        <v>6367</v>
      </c>
      <c r="J11194" t="s">
        <v>15031</v>
      </c>
      <c r="K11194" t="s">
        <v>19355</v>
      </c>
      <c r="M11194">
        <f>HYPERLINK("https://www.senat.fr/senateur-3eme-republique/de_lur_saluces_thomas0192r3.html", "de_lur_saluces_thomas0192r3")</f>
        <v>0</v>
      </c>
      <c r="N11194">
        <f>HYPERLINK("https://www.wikidata.org/wiki/Q3132317", "Q3132317")</f>
        <v>0</v>
      </c>
      <c r="O11194" t="s">
        <v>19987</v>
      </c>
      <c r="Q11194" t="s">
        <v>392</v>
      </c>
      <c r="R11194" t="s">
        <v>21650</v>
      </c>
      <c r="S11194">
        <v>21108</v>
      </c>
    </row>
    <row r="11195" spans="1:19">
      <c r="A11195" t="s">
        <v>131</v>
      </c>
      <c r="B11195" t="s">
        <v>150</v>
      </c>
      <c r="C11195" t="s">
        <v>263</v>
      </c>
      <c r="D11195" t="s">
        <v>392</v>
      </c>
      <c r="F11195">
        <f>HYPERLINK("https://www.wikidata.org/wiki/Q111103098", "Q111103098")</f>
        <v>0</v>
      </c>
      <c r="G11195" t="s">
        <v>4553</v>
      </c>
      <c r="H11195" t="s">
        <v>8700</v>
      </c>
      <c r="I11195" t="s">
        <v>5948</v>
      </c>
      <c r="J11195" t="s">
        <v>15033</v>
      </c>
      <c r="K11195" t="s">
        <v>19357</v>
      </c>
      <c r="M11195">
        <f>HYPERLINK("https://www.senat.fr/senateur-3eme-republique/dupouy_bernard0198r3.html", "dupouy_bernard0198r3")</f>
        <v>0</v>
      </c>
      <c r="N11195">
        <f>HYPERLINK("https://www.wikidata.org/wiki/Q2897836", "Q2897836")</f>
        <v>0</v>
      </c>
      <c r="O11195" t="s">
        <v>19987</v>
      </c>
      <c r="Q11195" t="s">
        <v>392</v>
      </c>
      <c r="R11195" t="s">
        <v>21650</v>
      </c>
      <c r="S11195">
        <v>21108</v>
      </c>
    </row>
    <row r="11196" spans="1:19">
      <c r="A11196" t="s">
        <v>131</v>
      </c>
      <c r="B11196" t="s">
        <v>150</v>
      </c>
      <c r="C11196" t="s">
        <v>263</v>
      </c>
      <c r="D11196" t="s">
        <v>392</v>
      </c>
      <c r="F11196">
        <f>HYPERLINK("https://www.wikidata.org/wiki/Q111103098", "Q111103098")</f>
        <v>0</v>
      </c>
      <c r="G11196" t="s">
        <v>4342</v>
      </c>
      <c r="H11196" t="s">
        <v>8493</v>
      </c>
      <c r="I11196" t="s">
        <v>10879</v>
      </c>
      <c r="J11196" t="s">
        <v>14834</v>
      </c>
      <c r="K11196" t="s">
        <v>17963</v>
      </c>
      <c r="M11196">
        <f>HYPERLINK("https://www.senat.fr/senateur-3eme-republique/trarieux_ludovic0212r3.html", "trarieux_ludovic0212r3")</f>
        <v>0</v>
      </c>
      <c r="N11196">
        <f>HYPERLINK("https://www.wikidata.org/wiki/Q1654098", "Q1654098")</f>
        <v>0</v>
      </c>
      <c r="O11196" t="s">
        <v>19987</v>
      </c>
      <c r="Q11196" t="s">
        <v>392</v>
      </c>
      <c r="R11196" t="s">
        <v>13013</v>
      </c>
      <c r="S11196">
        <v>3285</v>
      </c>
    </row>
    <row r="11197" spans="1:19">
      <c r="A11197" t="s">
        <v>131</v>
      </c>
      <c r="B11197" t="s">
        <v>150</v>
      </c>
      <c r="C11197" t="s">
        <v>263</v>
      </c>
      <c r="D11197" t="s">
        <v>392</v>
      </c>
      <c r="F11197">
        <f>HYPERLINK("https://www.wikidata.org/wiki/Q111103098", "Q111103098")</f>
        <v>0</v>
      </c>
      <c r="G11197" t="s">
        <v>4708</v>
      </c>
      <c r="H11197" t="s">
        <v>8849</v>
      </c>
      <c r="I11197" t="s">
        <v>6585</v>
      </c>
      <c r="J11197" t="s">
        <v>14191</v>
      </c>
      <c r="K11197" t="s">
        <v>19464</v>
      </c>
      <c r="M11197">
        <f>HYPERLINK("https://www.senat.fr/senateur-3eme-republique/lavertujon_andre0205r3.html", "lavertujon_andre0205r3")</f>
        <v>0</v>
      </c>
      <c r="N11197">
        <f>HYPERLINK("https://www.wikidata.org/wiki/Q2848112", "Q2848112")</f>
        <v>0</v>
      </c>
      <c r="O11197" t="s">
        <v>19987</v>
      </c>
      <c r="Q11197" t="s">
        <v>392</v>
      </c>
      <c r="R11197" t="s">
        <v>21650</v>
      </c>
      <c r="S11197">
        <v>21108</v>
      </c>
    </row>
    <row r="11198" spans="1:19">
      <c r="A11198" t="s">
        <v>131</v>
      </c>
      <c r="B11198" t="s">
        <v>150</v>
      </c>
      <c r="C11198" t="s">
        <v>263</v>
      </c>
      <c r="D11198" t="s">
        <v>392</v>
      </c>
      <c r="F11198">
        <f>HYPERLINK("https://www.wikidata.org/wiki/Q111103098", "Q111103098")</f>
        <v>0</v>
      </c>
      <c r="G11198" t="s">
        <v>4700</v>
      </c>
      <c r="H11198" t="s">
        <v>8841</v>
      </c>
      <c r="I11198" t="s">
        <v>6495</v>
      </c>
      <c r="J11198" t="s">
        <v>15169</v>
      </c>
      <c r="K11198" t="s">
        <v>19488</v>
      </c>
      <c r="M11198">
        <f>HYPERLINK("https://www.senat.fr/senateur-3eme-republique/feral_louis0106r3.html", "feral_louis0106r3")</f>
        <v>0</v>
      </c>
      <c r="N11198">
        <f>HYPERLINK("https://www.wikidata.org/wiki/Q3261977", "Q3261977")</f>
        <v>0</v>
      </c>
      <c r="O11198" t="s">
        <v>20016</v>
      </c>
      <c r="Q11198" t="s">
        <v>392</v>
      </c>
      <c r="R11198" t="s">
        <v>21650</v>
      </c>
      <c r="S11198">
        <v>21108</v>
      </c>
    </row>
    <row r="11199" spans="1:19">
      <c r="A11199" t="s">
        <v>131</v>
      </c>
      <c r="B11199" t="s">
        <v>150</v>
      </c>
      <c r="C11199" t="s">
        <v>263</v>
      </c>
      <c r="D11199" t="s">
        <v>392</v>
      </c>
      <c r="F11199">
        <f>HYPERLINK("https://www.wikidata.org/wiki/Q111103098", "Q111103098")</f>
        <v>0</v>
      </c>
      <c r="G11199" t="s">
        <v>4554</v>
      </c>
      <c r="H11199" t="s">
        <v>8701</v>
      </c>
      <c r="I11199" t="s">
        <v>9388</v>
      </c>
      <c r="J11199" t="s">
        <v>15034</v>
      </c>
      <c r="K11199" t="s">
        <v>19358</v>
      </c>
      <c r="M11199">
        <f>HYPERLINK("https://www.senat.fr/senateur-3eme-republique/de_remusat_paul0078r3.html", "de_remusat_paul0078r3")</f>
        <v>0</v>
      </c>
      <c r="N11199">
        <f>HYPERLINK("https://www.wikidata.org/wiki/Q2063330", "Q2063330")</f>
        <v>0</v>
      </c>
      <c r="O11199" t="s">
        <v>20016</v>
      </c>
      <c r="Q11199" t="s">
        <v>392</v>
      </c>
      <c r="R11199" t="s">
        <v>21650</v>
      </c>
      <c r="S11199">
        <v>21108</v>
      </c>
    </row>
    <row r="11200" spans="1:19">
      <c r="A11200" t="s">
        <v>131</v>
      </c>
      <c r="B11200" t="s">
        <v>150</v>
      </c>
      <c r="C11200" t="s">
        <v>263</v>
      </c>
      <c r="D11200" t="s">
        <v>392</v>
      </c>
      <c r="F11200">
        <f>HYPERLINK("https://www.wikidata.org/wiki/Q111103098", "Q111103098")</f>
        <v>0</v>
      </c>
      <c r="G11200" t="s">
        <v>4555</v>
      </c>
      <c r="H11200" t="s">
        <v>8702</v>
      </c>
      <c r="I11200" t="s">
        <v>9483</v>
      </c>
      <c r="J11200" t="s">
        <v>11465</v>
      </c>
      <c r="K11200" t="s">
        <v>19359</v>
      </c>
      <c r="M11200">
        <f>HYPERLINK("https://www.senat.fr/senateur-3eme-republique/camparan_victor0101r3.html", "camparan_victor0101r3")</f>
        <v>0</v>
      </c>
      <c r="N11200">
        <f>HYPERLINK("https://www.wikidata.org/wiki/Q3557203", "Q3557203")</f>
        <v>0</v>
      </c>
      <c r="O11200" t="s">
        <v>20016</v>
      </c>
      <c r="Q11200" t="s">
        <v>392</v>
      </c>
      <c r="R11200" t="s">
        <v>13013</v>
      </c>
      <c r="S11200">
        <v>3285</v>
      </c>
    </row>
    <row r="11201" spans="1:19">
      <c r="A11201" t="s">
        <v>131</v>
      </c>
      <c r="B11201" t="s">
        <v>150</v>
      </c>
      <c r="C11201" t="s">
        <v>263</v>
      </c>
      <c r="D11201" t="s">
        <v>392</v>
      </c>
      <c r="F11201">
        <f>HYPERLINK("https://www.wikidata.org/wiki/Q111103098", "Q111103098")</f>
        <v>0</v>
      </c>
      <c r="G11201" t="s">
        <v>4556</v>
      </c>
      <c r="H11201" t="s">
        <v>8703</v>
      </c>
      <c r="I11201" t="s">
        <v>9445</v>
      </c>
      <c r="J11201" t="s">
        <v>15035</v>
      </c>
      <c r="K11201" t="s">
        <v>19360</v>
      </c>
      <c r="M11201">
        <f>HYPERLINK("https://www.senat.fr/senateur-3eme-republique/hebrard_adrien0092r3.html", "hebrard_adrien0092r3")</f>
        <v>0</v>
      </c>
      <c r="N11201">
        <f>HYPERLINK("https://www.wikidata.org/wiki/Q2825190", "Q2825190")</f>
        <v>0</v>
      </c>
      <c r="O11201" t="s">
        <v>20016</v>
      </c>
      <c r="Q11201" t="s">
        <v>392</v>
      </c>
      <c r="R11201" t="s">
        <v>21650</v>
      </c>
      <c r="S11201">
        <v>21108</v>
      </c>
    </row>
    <row r="11202" spans="1:19">
      <c r="A11202" t="s">
        <v>131</v>
      </c>
      <c r="B11202" t="s">
        <v>150</v>
      </c>
      <c r="C11202" t="s">
        <v>263</v>
      </c>
      <c r="D11202" t="s">
        <v>392</v>
      </c>
      <c r="F11202">
        <f>HYPERLINK("https://www.wikidata.org/wiki/Q111103098", "Q111103098")</f>
        <v>0</v>
      </c>
      <c r="G11202" t="s">
        <v>4455</v>
      </c>
      <c r="H11202" t="s">
        <v>8602</v>
      </c>
      <c r="I11202" t="s">
        <v>9602</v>
      </c>
      <c r="J11202" t="s">
        <v>13371</v>
      </c>
      <c r="K11202" t="s">
        <v>19274</v>
      </c>
      <c r="M11202">
        <f>HYPERLINK("https://www.senat.fr/senateur-3eme-republique/du_motier_de_la_fayette_edmond0511r3.html", "du_motier_de_la_fayette_edmond0511r3")</f>
        <v>0</v>
      </c>
      <c r="N11202">
        <f>HYPERLINK("https://www.wikidata.org/wiki/Q3048033", "Q3048033")</f>
        <v>0</v>
      </c>
      <c r="O11202" t="s">
        <v>19993</v>
      </c>
      <c r="Q11202" t="s">
        <v>392</v>
      </c>
      <c r="R11202" t="s">
        <v>21650</v>
      </c>
      <c r="S11202">
        <v>21108</v>
      </c>
    </row>
    <row r="11203" spans="1:19">
      <c r="A11203" t="s">
        <v>131</v>
      </c>
      <c r="B11203" t="s">
        <v>150</v>
      </c>
      <c r="C11203" t="s">
        <v>263</v>
      </c>
      <c r="D11203" t="s">
        <v>392</v>
      </c>
      <c r="F11203">
        <f>HYPERLINK("https://www.wikidata.org/wiki/Q111103098", "Q111103098")</f>
        <v>0</v>
      </c>
      <c r="G11203" t="s">
        <v>4557</v>
      </c>
      <c r="H11203" t="s">
        <v>8704</v>
      </c>
      <c r="I11203" t="s">
        <v>9442</v>
      </c>
      <c r="J11203" t="s">
        <v>15036</v>
      </c>
      <c r="K11203" t="s">
        <v>19361</v>
      </c>
      <c r="M11203">
        <f>HYPERLINK("https://www.senat.fr/senateur-3eme-republique/vissaguet_ernest0517r3.html", "vissaguet_ernest0517r3")</f>
        <v>0</v>
      </c>
      <c r="N11203">
        <f>HYPERLINK("https://www.wikidata.org/wiki/Q3057205", "Q3057205")</f>
        <v>0</v>
      </c>
      <c r="O11203" t="s">
        <v>19993</v>
      </c>
      <c r="Q11203" t="s">
        <v>392</v>
      </c>
      <c r="R11203" t="s">
        <v>13013</v>
      </c>
      <c r="S11203">
        <v>3285</v>
      </c>
    </row>
    <row r="11204" spans="1:19">
      <c r="A11204" t="s">
        <v>131</v>
      </c>
      <c r="B11204" t="s">
        <v>150</v>
      </c>
      <c r="C11204" t="s">
        <v>263</v>
      </c>
      <c r="D11204" t="s">
        <v>392</v>
      </c>
      <c r="F11204">
        <f>HYPERLINK("https://www.wikidata.org/wiki/Q111103098", "Q111103098")</f>
        <v>0</v>
      </c>
      <c r="G11204" t="s">
        <v>4710</v>
      </c>
      <c r="H11204" t="s">
        <v>8851</v>
      </c>
      <c r="I11204" t="s">
        <v>9465</v>
      </c>
      <c r="J11204" t="s">
        <v>15177</v>
      </c>
      <c r="K11204" t="s">
        <v>19497</v>
      </c>
      <c r="M11204">
        <f>HYPERLINK("https://www.senat.fr/senateur-3eme-republique/lisbonne_eugene0237r3.html", "lisbonne_eugene0237r3")</f>
        <v>0</v>
      </c>
      <c r="N11204">
        <f>HYPERLINK("https://www.wikidata.org/wiki/Q3059999", "Q3059999")</f>
        <v>0</v>
      </c>
      <c r="O11204" t="s">
        <v>7411</v>
      </c>
      <c r="Q11204" t="s">
        <v>392</v>
      </c>
      <c r="R11204" t="s">
        <v>19497</v>
      </c>
      <c r="S11204">
        <v>1129</v>
      </c>
    </row>
    <row r="11205" spans="1:19">
      <c r="A11205" t="s">
        <v>131</v>
      </c>
      <c r="B11205" t="s">
        <v>150</v>
      </c>
      <c r="C11205" t="s">
        <v>263</v>
      </c>
      <c r="D11205" t="s">
        <v>392</v>
      </c>
      <c r="F11205">
        <f>HYPERLINK("https://www.wikidata.org/wiki/Q111103098", "Q111103098")</f>
        <v>0</v>
      </c>
      <c r="G11205" t="s">
        <v>4560</v>
      </c>
      <c r="H11205" t="s">
        <v>8707</v>
      </c>
      <c r="I11205" t="s">
        <v>9385</v>
      </c>
      <c r="J11205" t="s">
        <v>15039</v>
      </c>
      <c r="K11205" t="s">
        <v>19364</v>
      </c>
      <c r="M11205">
        <f>HYPERLINK("https://www.senat.fr/senateur-3eme-republique/griffe_charles0248r3.html", "griffe_charles0248r3")</f>
        <v>0</v>
      </c>
      <c r="N11205">
        <f>HYPERLINK("https://www.wikidata.org/wiki/Q2959258", "Q2959258")</f>
        <v>0</v>
      </c>
      <c r="O11205" t="s">
        <v>7411</v>
      </c>
      <c r="Q11205" t="s">
        <v>392</v>
      </c>
      <c r="R11205" t="s">
        <v>21650</v>
      </c>
      <c r="S11205">
        <v>21108</v>
      </c>
    </row>
    <row r="11206" spans="1:19">
      <c r="A11206" t="s">
        <v>131</v>
      </c>
      <c r="B11206" t="s">
        <v>150</v>
      </c>
      <c r="C11206" t="s">
        <v>263</v>
      </c>
      <c r="D11206" t="s">
        <v>392</v>
      </c>
      <c r="F11206">
        <f>HYPERLINK("https://www.wikidata.org/wiki/Q111103098", "Q111103098")</f>
        <v>0</v>
      </c>
      <c r="G11206" t="s">
        <v>4561</v>
      </c>
      <c r="H11206" t="s">
        <v>8708</v>
      </c>
      <c r="I11206" t="s">
        <v>6200</v>
      </c>
      <c r="J11206" t="s">
        <v>15040</v>
      </c>
      <c r="K11206" t="s">
        <v>19365</v>
      </c>
      <c r="M11206">
        <f>HYPERLINK("https://www.senat.fr/senateur-3eme-republique/combescure_jean0243r3.html", "combescure_jean0243r3")</f>
        <v>0</v>
      </c>
      <c r="N11206">
        <f>HYPERLINK("https://www.wikidata.org/wiki/Q3171398", "Q3171398")</f>
        <v>0</v>
      </c>
      <c r="O11206" t="s">
        <v>7411</v>
      </c>
      <c r="Q11206" t="s">
        <v>392</v>
      </c>
      <c r="R11206" t="s">
        <v>21650</v>
      </c>
      <c r="S11206">
        <v>21108</v>
      </c>
    </row>
    <row r="11207" spans="1:19">
      <c r="A11207" t="s">
        <v>131</v>
      </c>
      <c r="B11207" t="s">
        <v>150</v>
      </c>
      <c r="C11207" t="s">
        <v>263</v>
      </c>
      <c r="D11207" t="s">
        <v>392</v>
      </c>
      <c r="F11207">
        <f>HYPERLINK("https://www.wikidata.org/wiki/Q111103098", "Q111103098")</f>
        <v>0</v>
      </c>
      <c r="G11207" t="s">
        <v>4711</v>
      </c>
      <c r="H11207" t="s">
        <v>8852</v>
      </c>
      <c r="I11207" t="s">
        <v>9426</v>
      </c>
      <c r="J11207" t="s">
        <v>15178</v>
      </c>
      <c r="K11207" t="s">
        <v>19498</v>
      </c>
      <c r="M11207">
        <f>HYPERLINK("https://www.senat.fr/senateur-3eme-republique/de_callac_alphonse0539r3.html", "de_callac_alphonse0539r3")</f>
        <v>0</v>
      </c>
      <c r="N11207">
        <f>HYPERLINK("https://www.wikidata.org/wiki/Q2840010", "Q2840010")</f>
        <v>0</v>
      </c>
      <c r="O11207" t="s">
        <v>19998</v>
      </c>
      <c r="Q11207" t="s">
        <v>392</v>
      </c>
      <c r="R11207" t="s">
        <v>19498</v>
      </c>
      <c r="S11207">
        <v>1923</v>
      </c>
    </row>
    <row r="11208" spans="1:19">
      <c r="A11208" t="s">
        <v>131</v>
      </c>
      <c r="B11208" t="s">
        <v>150</v>
      </c>
      <c r="C11208" t="s">
        <v>263</v>
      </c>
      <c r="D11208" t="s">
        <v>392</v>
      </c>
      <c r="F11208">
        <f>HYPERLINK("https://www.wikidata.org/wiki/Q111103098", "Q111103098")</f>
        <v>0</v>
      </c>
      <c r="G11208" t="s">
        <v>4685</v>
      </c>
      <c r="H11208" t="s">
        <v>8825</v>
      </c>
      <c r="I11208" t="s">
        <v>9552</v>
      </c>
      <c r="J11208" t="s">
        <v>15155</v>
      </c>
      <c r="K11208" t="s">
        <v>19475</v>
      </c>
      <c r="M11208">
        <f>HYPERLINK("https://www.senat.fr/senateur-3eme-republique/veron_auguste0527r3.html", "veron_auguste0527r3")</f>
        <v>0</v>
      </c>
      <c r="N11208">
        <f>HYPERLINK("https://www.wikidata.org/wiki/Q2871462", "Q2871462")</f>
        <v>0</v>
      </c>
      <c r="O11208" t="s">
        <v>19998</v>
      </c>
      <c r="Q11208" t="s">
        <v>392</v>
      </c>
      <c r="R11208" t="s">
        <v>21650</v>
      </c>
      <c r="S11208">
        <v>21108</v>
      </c>
    </row>
    <row r="11209" spans="1:19">
      <c r="A11209" t="s">
        <v>131</v>
      </c>
      <c r="B11209" t="s">
        <v>150</v>
      </c>
      <c r="C11209" t="s">
        <v>263</v>
      </c>
      <c r="D11209" t="s">
        <v>392</v>
      </c>
      <c r="F11209">
        <f>HYPERLINK("https://www.wikidata.org/wiki/Q111103098", "Q111103098")</f>
        <v>0</v>
      </c>
      <c r="G11209" t="s">
        <v>4467</v>
      </c>
      <c r="H11209" t="s">
        <v>8614</v>
      </c>
      <c r="I11209" t="s">
        <v>6166</v>
      </c>
      <c r="J11209" t="s">
        <v>14955</v>
      </c>
      <c r="K11209" t="s">
        <v>19282</v>
      </c>
      <c r="M11209">
        <f>HYPERLINK("https://www.senat.fr/senateur-3eme-republique/de_bondy_francois0261r3.html", "de_bondy_francois0261r3")</f>
        <v>0</v>
      </c>
      <c r="N11209">
        <f>HYPERLINK("https://www.wikidata.org/wiki/Q3083560", "Q3083560")</f>
        <v>0</v>
      </c>
      <c r="O11209" t="s">
        <v>19975</v>
      </c>
      <c r="Q11209" t="s">
        <v>392</v>
      </c>
      <c r="R11209" t="s">
        <v>21650</v>
      </c>
      <c r="S11209">
        <v>21108</v>
      </c>
    </row>
    <row r="11210" spans="1:19">
      <c r="A11210" t="s">
        <v>131</v>
      </c>
      <c r="B11210" t="s">
        <v>150</v>
      </c>
      <c r="C11210" t="s">
        <v>263</v>
      </c>
      <c r="D11210" t="s">
        <v>392</v>
      </c>
      <c r="F11210">
        <f>HYPERLINK("https://www.wikidata.org/wiki/Q111103098", "Q111103098")</f>
        <v>0</v>
      </c>
      <c r="G11210" t="s">
        <v>4468</v>
      </c>
      <c r="H11210" t="s">
        <v>8615</v>
      </c>
      <c r="I11210" t="s">
        <v>5528</v>
      </c>
      <c r="J11210" t="s">
        <v>14956</v>
      </c>
      <c r="K11210" t="s">
        <v>19283</v>
      </c>
      <c r="M11210">
        <f>HYPERLINK("https://www.senat.fr/senateur-3eme-republique/clement_leon0258r3.html", "clement_leon0258r3")</f>
        <v>0</v>
      </c>
      <c r="N11210">
        <f>HYPERLINK("https://www.wikidata.org/wiki/Q3270832", "Q3270832")</f>
        <v>0</v>
      </c>
      <c r="O11210" t="s">
        <v>19975</v>
      </c>
      <c r="Q11210" t="s">
        <v>392</v>
      </c>
      <c r="R11210" t="s">
        <v>21650</v>
      </c>
      <c r="S11210">
        <v>21108</v>
      </c>
    </row>
    <row r="11211" spans="1:19">
      <c r="A11211" t="s">
        <v>131</v>
      </c>
      <c r="B11211" t="s">
        <v>150</v>
      </c>
      <c r="C11211" t="s">
        <v>263</v>
      </c>
      <c r="D11211" t="s">
        <v>392</v>
      </c>
      <c r="F11211">
        <f>HYPERLINK("https://www.wikidata.org/wiki/Q111103098", "Q111103098")</f>
        <v>0</v>
      </c>
      <c r="G11211" t="s">
        <v>4565</v>
      </c>
      <c r="H11211" t="s">
        <v>8712</v>
      </c>
      <c r="I11211" t="s">
        <v>9385</v>
      </c>
      <c r="J11211" t="s">
        <v>15044</v>
      </c>
      <c r="K11211" t="s">
        <v>19369</v>
      </c>
      <c r="M11211">
        <f>HYPERLINK("https://www.senat.fr/senateur-3eme-republique/guinot_charles0298r3.html", "guinot_charles0298r3")</f>
        <v>0</v>
      </c>
      <c r="N11211">
        <f>HYPERLINK("https://www.wikidata.org/wiki/Q2959276", "Q2959276")</f>
        <v>0</v>
      </c>
      <c r="O11211" t="s">
        <v>20008</v>
      </c>
      <c r="Q11211" t="s">
        <v>392</v>
      </c>
      <c r="R11211" t="s">
        <v>21650</v>
      </c>
      <c r="S11211">
        <v>21108</v>
      </c>
    </row>
    <row r="11212" spans="1:19">
      <c r="A11212" t="s">
        <v>131</v>
      </c>
      <c r="B11212" t="s">
        <v>150</v>
      </c>
      <c r="C11212" t="s">
        <v>263</v>
      </c>
      <c r="D11212" t="s">
        <v>392</v>
      </c>
      <c r="F11212">
        <f>HYPERLINK("https://www.wikidata.org/wiki/Q111103098", "Q111103098")</f>
        <v>0</v>
      </c>
      <c r="G11212" t="s">
        <v>4712</v>
      </c>
      <c r="H11212" t="s">
        <v>8853</v>
      </c>
      <c r="I11212" t="s">
        <v>6860</v>
      </c>
      <c r="J11212" t="s">
        <v>15179</v>
      </c>
      <c r="K11212" t="s">
        <v>19499</v>
      </c>
      <c r="M11212">
        <f>HYPERLINK("https://www.senat.fr/senateur-3eme-republique/nioche_pierre0304r3.html", "nioche_pierre0304r3")</f>
        <v>0</v>
      </c>
      <c r="N11212">
        <f>HYPERLINK("https://www.wikidata.org/wiki/Q3386446", "Q3386446")</f>
        <v>0</v>
      </c>
      <c r="O11212" t="s">
        <v>20008</v>
      </c>
      <c r="Q11212" t="s">
        <v>392</v>
      </c>
      <c r="R11212" t="s">
        <v>13013</v>
      </c>
      <c r="S11212">
        <v>3285</v>
      </c>
    </row>
    <row r="11213" spans="1:19">
      <c r="A11213" t="s">
        <v>131</v>
      </c>
      <c r="B11213" t="s">
        <v>150</v>
      </c>
      <c r="C11213" t="s">
        <v>263</v>
      </c>
      <c r="D11213" t="s">
        <v>392</v>
      </c>
      <c r="F11213">
        <f>HYPERLINK("https://www.wikidata.org/wiki/Q111103098", "Q111103098")</f>
        <v>0</v>
      </c>
      <c r="G11213" t="s">
        <v>4713</v>
      </c>
      <c r="H11213" t="s">
        <v>8854</v>
      </c>
      <c r="I11213" t="s">
        <v>9375</v>
      </c>
      <c r="J11213" t="s">
        <v>15180</v>
      </c>
      <c r="K11213" t="s">
        <v>19500</v>
      </c>
      <c r="M11213">
        <f>HYPERLINK("https://www.senat.fr/senateur-3eme-republique/rey_edouard1191r3.html", "rey_edouard1191r3")</f>
        <v>0</v>
      </c>
      <c r="N11213">
        <f>HYPERLINK("https://www.wikidata.org/wiki/Q3580011", "Q3580011")</f>
        <v>0</v>
      </c>
      <c r="O11213" t="s">
        <v>20006</v>
      </c>
      <c r="Q11213" t="s">
        <v>392</v>
      </c>
      <c r="R11213" t="s">
        <v>13013</v>
      </c>
      <c r="S11213">
        <v>3285</v>
      </c>
    </row>
    <row r="11214" spans="1:19">
      <c r="A11214" t="s">
        <v>131</v>
      </c>
      <c r="B11214" t="s">
        <v>150</v>
      </c>
      <c r="C11214" t="s">
        <v>263</v>
      </c>
      <c r="D11214" t="s">
        <v>392</v>
      </c>
      <c r="F11214">
        <f>HYPERLINK("https://www.wikidata.org/wiki/Q111103098", "Q111103098")</f>
        <v>0</v>
      </c>
      <c r="G11214" t="s">
        <v>4471</v>
      </c>
      <c r="H11214" t="s">
        <v>8618</v>
      </c>
      <c r="I11214" t="s">
        <v>9449</v>
      </c>
      <c r="J11214" t="s">
        <v>13406</v>
      </c>
      <c r="K11214" t="s">
        <v>19286</v>
      </c>
      <c r="M11214">
        <f>HYPERLINK("https://www.senat.fr/senateur-3eme-republique/thurel_jules0437r3.html", "thurel_jules0437r3")</f>
        <v>0</v>
      </c>
      <c r="N11214">
        <f>HYPERLINK("https://www.wikidata.org/wiki/Q3188938", "Q3188938")</f>
        <v>0</v>
      </c>
      <c r="O11214" t="s">
        <v>20041</v>
      </c>
      <c r="Q11214" t="s">
        <v>392</v>
      </c>
      <c r="R11214" t="s">
        <v>21650</v>
      </c>
      <c r="S11214">
        <v>21108</v>
      </c>
    </row>
    <row r="11215" spans="1:19">
      <c r="A11215" t="s">
        <v>131</v>
      </c>
      <c r="B11215" t="s">
        <v>150</v>
      </c>
      <c r="C11215" t="s">
        <v>263</v>
      </c>
      <c r="D11215" t="s">
        <v>392</v>
      </c>
      <c r="F11215">
        <f>HYPERLINK("https://www.wikidata.org/wiki/Q111103098", "Q111103098")</f>
        <v>0</v>
      </c>
      <c r="G11215" t="s">
        <v>4612</v>
      </c>
      <c r="H11215" t="s">
        <v>8751</v>
      </c>
      <c r="I11215" t="s">
        <v>9388</v>
      </c>
      <c r="J11215" t="s">
        <v>13813</v>
      </c>
      <c r="K11215" t="s">
        <v>19410</v>
      </c>
      <c r="M11215">
        <f>HYPERLINK("https://www.senat.fr/senateur-3eme-republique/grevy_paul0427r3.html", "grevy_paul0427r3")</f>
        <v>0</v>
      </c>
      <c r="N11215">
        <f>HYPERLINK("https://www.wikidata.org/wiki/Q3371376", "Q3371376")</f>
        <v>0</v>
      </c>
      <c r="O11215" t="s">
        <v>20041</v>
      </c>
      <c r="Q11215" t="s">
        <v>392</v>
      </c>
      <c r="R11215" t="s">
        <v>13013</v>
      </c>
      <c r="S11215">
        <v>3285</v>
      </c>
    </row>
    <row r="11216" spans="1:19">
      <c r="A11216" t="s">
        <v>131</v>
      </c>
      <c r="B11216" t="s">
        <v>150</v>
      </c>
      <c r="C11216" t="s">
        <v>263</v>
      </c>
      <c r="D11216" t="s">
        <v>392</v>
      </c>
      <c r="F11216">
        <f>HYPERLINK("https://www.wikidata.org/wiki/Q111103098", "Q111103098")</f>
        <v>0</v>
      </c>
      <c r="G11216" t="s">
        <v>4707</v>
      </c>
      <c r="H11216" t="s">
        <v>8848</v>
      </c>
      <c r="I11216" t="s">
        <v>6495</v>
      </c>
      <c r="J11216" t="s">
        <v>15175</v>
      </c>
      <c r="K11216" t="s">
        <v>19495</v>
      </c>
      <c r="M11216">
        <f>HYPERLINK("https://www.senat.fr/senateur-3eme-republique/de_ces_caupenne_louis0349r3.html", "de_ces_caupenne_louis0349r3")</f>
        <v>0</v>
      </c>
      <c r="N11216">
        <f>HYPERLINK("https://www.wikidata.org/wiki/Q3263437", "Q3263437")</f>
        <v>0</v>
      </c>
      <c r="O11216" t="s">
        <v>19995</v>
      </c>
      <c r="Q11216" t="s">
        <v>392</v>
      </c>
      <c r="R11216" t="s">
        <v>21650</v>
      </c>
      <c r="S11216">
        <v>21108</v>
      </c>
    </row>
    <row r="11217" spans="1:19">
      <c r="A11217" t="s">
        <v>131</v>
      </c>
      <c r="B11217" t="s">
        <v>150</v>
      </c>
      <c r="C11217" t="s">
        <v>263</v>
      </c>
      <c r="D11217" t="s">
        <v>392</v>
      </c>
      <c r="F11217">
        <f>HYPERLINK("https://www.wikidata.org/wiki/Q111103098", "Q111103098")</f>
        <v>0</v>
      </c>
      <c r="G11217" t="s">
        <v>4714</v>
      </c>
      <c r="H11217" t="s">
        <v>8855</v>
      </c>
      <c r="I11217" t="s">
        <v>6495</v>
      </c>
      <c r="J11217" t="s">
        <v>15181</v>
      </c>
      <c r="K11217" t="s">
        <v>19501</v>
      </c>
      <c r="M11217">
        <f>HYPERLINK("https://www.senat.fr/senateur-3eme-republique/pazat_louis0338r3.html", "pazat_louis0338r3")</f>
        <v>0</v>
      </c>
      <c r="N11217">
        <f>HYPERLINK("https://www.wikidata.org/wiki/Q3262859", "Q3262859")</f>
        <v>0</v>
      </c>
      <c r="O11217" t="s">
        <v>19995</v>
      </c>
      <c r="Q11217" t="s">
        <v>392</v>
      </c>
      <c r="R11217" t="s">
        <v>13013</v>
      </c>
      <c r="S11217">
        <v>3285</v>
      </c>
    </row>
    <row r="11218" spans="1:19">
      <c r="A11218" t="s">
        <v>131</v>
      </c>
      <c r="B11218" t="s">
        <v>150</v>
      </c>
      <c r="C11218" t="s">
        <v>263</v>
      </c>
      <c r="D11218" t="s">
        <v>392</v>
      </c>
      <c r="F11218">
        <f>HYPERLINK("https://www.wikidata.org/wiki/Q111103098", "Q111103098")</f>
        <v>0</v>
      </c>
      <c r="G11218" t="s">
        <v>4298</v>
      </c>
      <c r="H11218" t="s">
        <v>8856</v>
      </c>
      <c r="I11218" t="s">
        <v>9483</v>
      </c>
      <c r="J11218" t="s">
        <v>14363</v>
      </c>
      <c r="K11218" t="s">
        <v>17827</v>
      </c>
      <c r="M11218">
        <f>HYPERLINK("https://www.senat.fr/senateur-3eme-republique/lourties_victor0343r3.html", "lourties_victor0343r3")</f>
        <v>0</v>
      </c>
      <c r="N11218">
        <f>HYPERLINK("https://www.wikidata.org/wiki/Q3557428", "Q3557428")</f>
        <v>0</v>
      </c>
      <c r="O11218" t="s">
        <v>19995</v>
      </c>
      <c r="Q11218" t="s">
        <v>392</v>
      </c>
      <c r="R11218" t="s">
        <v>13013</v>
      </c>
      <c r="S11218">
        <v>3285</v>
      </c>
    </row>
    <row r="11219" spans="1:19">
      <c r="A11219" t="s">
        <v>131</v>
      </c>
      <c r="B11219" t="s">
        <v>150</v>
      </c>
      <c r="C11219" t="s">
        <v>263</v>
      </c>
      <c r="D11219" t="s">
        <v>392</v>
      </c>
      <c r="F11219">
        <f>HYPERLINK("https://www.wikidata.org/wiki/Q111103098", "Q111103098")</f>
        <v>0</v>
      </c>
      <c r="G11219" t="s">
        <v>4474</v>
      </c>
      <c r="H11219" t="s">
        <v>8621</v>
      </c>
      <c r="I11219" t="s">
        <v>9449</v>
      </c>
      <c r="J11219" t="s">
        <v>14961</v>
      </c>
      <c r="K11219" t="s">
        <v>19289</v>
      </c>
      <c r="M11219">
        <f>HYPERLINK("https://www.senat.fr/senateur-3eme-republique/bozerian_jules0374r3.html", "bozerian_jules0374r3")</f>
        <v>0</v>
      </c>
      <c r="N11219">
        <f>HYPERLINK("https://www.wikidata.org/wiki/Q3170973", "Q3170973")</f>
        <v>0</v>
      </c>
      <c r="O11219" t="s">
        <v>20039</v>
      </c>
      <c r="Q11219" t="s">
        <v>392</v>
      </c>
      <c r="R11219" t="s">
        <v>21650</v>
      </c>
      <c r="S11219">
        <v>21108</v>
      </c>
    </row>
    <row r="11220" spans="1:19">
      <c r="A11220" t="s">
        <v>131</v>
      </c>
      <c r="B11220" t="s">
        <v>150</v>
      </c>
      <c r="C11220" t="s">
        <v>263</v>
      </c>
      <c r="D11220" t="s">
        <v>392</v>
      </c>
      <c r="F11220">
        <f>HYPERLINK("https://www.wikidata.org/wiki/Q111103098", "Q111103098")</f>
        <v>0</v>
      </c>
      <c r="G11220" t="s">
        <v>4569</v>
      </c>
      <c r="H11220" t="s">
        <v>8715</v>
      </c>
      <c r="I11220" t="s">
        <v>6200</v>
      </c>
      <c r="J11220" t="s">
        <v>15048</v>
      </c>
      <c r="K11220" t="s">
        <v>19373</v>
      </c>
      <c r="M11220">
        <f>HYPERLINK("https://www.senat.fr/senateur-3eme-republique/dufay_jean0382r3.html", "dufay_jean0382r3")</f>
        <v>0</v>
      </c>
      <c r="N11220">
        <f>HYPERLINK("https://www.wikidata.org/wiki/Q8302436", "Q8302436")</f>
        <v>0</v>
      </c>
      <c r="O11220" t="s">
        <v>20039</v>
      </c>
      <c r="Q11220" t="s">
        <v>392</v>
      </c>
      <c r="R11220" t="s">
        <v>21650</v>
      </c>
      <c r="S11220">
        <v>21108</v>
      </c>
    </row>
    <row r="11221" spans="1:19">
      <c r="A11221" t="s">
        <v>131</v>
      </c>
      <c r="B11221" t="s">
        <v>150</v>
      </c>
      <c r="C11221" t="s">
        <v>263</v>
      </c>
      <c r="D11221" t="s">
        <v>392</v>
      </c>
      <c r="F11221">
        <f>HYPERLINK("https://www.wikidata.org/wiki/Q111103098", "Q111103098")</f>
        <v>0</v>
      </c>
      <c r="G11221" t="s">
        <v>4704</v>
      </c>
      <c r="H11221" t="s">
        <v>8845</v>
      </c>
      <c r="I11221" t="s">
        <v>6860</v>
      </c>
      <c r="J11221" t="s">
        <v>15172</v>
      </c>
      <c r="K11221" t="s">
        <v>19492</v>
      </c>
      <c r="M11221">
        <f>HYPERLINK("https://www.senat.fr/senateur-3eme-republique/madignier_pierre1359r3.html", "madignier_pierre1359r3")</f>
        <v>0</v>
      </c>
      <c r="N11221">
        <f>HYPERLINK("https://www.wikidata.org/wiki/Q3386060", "Q3386060")</f>
        <v>0</v>
      </c>
      <c r="O11221" t="s">
        <v>19997</v>
      </c>
      <c r="Q11221" t="s">
        <v>392</v>
      </c>
      <c r="R11221" t="s">
        <v>21650</v>
      </c>
      <c r="S11221">
        <v>21108</v>
      </c>
    </row>
    <row r="11222" spans="1:19">
      <c r="A11222" t="s">
        <v>131</v>
      </c>
      <c r="B11222" t="s">
        <v>150</v>
      </c>
      <c r="C11222" t="s">
        <v>263</v>
      </c>
      <c r="D11222" t="s">
        <v>392</v>
      </c>
      <c r="F11222">
        <f>HYPERLINK("https://www.wikidata.org/wiki/Q111103098", "Q111103098")</f>
        <v>0</v>
      </c>
      <c r="G11222" t="s">
        <v>4715</v>
      </c>
      <c r="H11222" t="s">
        <v>8857</v>
      </c>
      <c r="I11222" t="s">
        <v>9731</v>
      </c>
      <c r="J11222" t="s">
        <v>15182</v>
      </c>
      <c r="K11222" t="s">
        <v>19502</v>
      </c>
      <c r="M11222">
        <f>HYPERLINK("https://www.senat.fr/senateur-3eme-republique/brunon_barthelemy1346r3.html", "brunon_barthelemy1346r3")</f>
        <v>0</v>
      </c>
      <c r="N11222">
        <f>HYPERLINK("https://www.wikidata.org/wiki/Q2886025", "Q2886025")</f>
        <v>0</v>
      </c>
      <c r="O11222" t="s">
        <v>19997</v>
      </c>
      <c r="Q11222" t="s">
        <v>392</v>
      </c>
      <c r="R11222" t="s">
        <v>19502</v>
      </c>
      <c r="S11222">
        <v>3107</v>
      </c>
    </row>
    <row r="11223" spans="1:19">
      <c r="A11223" t="s">
        <v>131</v>
      </c>
      <c r="B11223" t="s">
        <v>150</v>
      </c>
      <c r="C11223" t="s">
        <v>263</v>
      </c>
      <c r="D11223" t="s">
        <v>392</v>
      </c>
      <c r="F11223">
        <f>HYPERLINK("https://www.wikidata.org/wiki/Q111103098", "Q111103098")</f>
        <v>0</v>
      </c>
      <c r="G11223" t="s">
        <v>4695</v>
      </c>
      <c r="H11223" t="s">
        <v>8835</v>
      </c>
      <c r="I11223" t="s">
        <v>9534</v>
      </c>
      <c r="J11223" t="s">
        <v>15164</v>
      </c>
      <c r="K11223" t="s">
        <v>19484</v>
      </c>
      <c r="M11223">
        <f>HYPERLINK("https://www.senat.fr/senateur-3eme-republique/decroix_adolphe1287r3.html", "decroix_adolphe1287r3")</f>
        <v>0</v>
      </c>
      <c r="N11223">
        <f>HYPERLINK("https://www.wikidata.org/wiki/Q2824799", "Q2824799")</f>
        <v>0</v>
      </c>
      <c r="O11223" t="s">
        <v>20023</v>
      </c>
      <c r="Q11223" t="s">
        <v>392</v>
      </c>
      <c r="R11223" t="s">
        <v>21650</v>
      </c>
      <c r="S11223">
        <v>21108</v>
      </c>
    </row>
    <row r="11224" spans="1:19">
      <c r="A11224" t="s">
        <v>131</v>
      </c>
      <c r="B11224" t="s">
        <v>150</v>
      </c>
      <c r="C11224" t="s">
        <v>263</v>
      </c>
      <c r="D11224" t="s">
        <v>392</v>
      </c>
      <c r="F11224">
        <f>HYPERLINK("https://www.wikidata.org/wiki/Q111103098", "Q111103098")</f>
        <v>0</v>
      </c>
      <c r="G11224" t="s">
        <v>4701</v>
      </c>
      <c r="H11224" t="s">
        <v>8842</v>
      </c>
      <c r="I11224" t="s">
        <v>9442</v>
      </c>
      <c r="J11224" t="s">
        <v>15170</v>
      </c>
      <c r="K11224" t="s">
        <v>19489</v>
      </c>
      <c r="M11224">
        <f>HYPERLINK("https://www.senat.fr/senateur-3eme-republique/de_guibourg_de_luzinais_ernest1282r3.html", "de_guibourg_de_luzinais_ernest1282r3")</f>
        <v>0</v>
      </c>
      <c r="N11224">
        <f>HYPERLINK("https://www.wikidata.org/wiki/Q3056991", "Q3056991")</f>
        <v>0</v>
      </c>
      <c r="O11224" t="s">
        <v>20023</v>
      </c>
      <c r="Q11224" t="s">
        <v>392</v>
      </c>
      <c r="R11224" t="s">
        <v>13013</v>
      </c>
      <c r="S11224">
        <v>3285</v>
      </c>
    </row>
    <row r="11225" spans="1:19">
      <c r="A11225" t="s">
        <v>131</v>
      </c>
      <c r="B11225" t="s">
        <v>150</v>
      </c>
      <c r="C11225" t="s">
        <v>263</v>
      </c>
      <c r="D11225" t="s">
        <v>392</v>
      </c>
      <c r="F11225">
        <f>HYPERLINK("https://www.wikidata.org/wiki/Q111103098", "Q111103098")</f>
        <v>0</v>
      </c>
      <c r="G11225" t="s">
        <v>4477</v>
      </c>
      <c r="H11225" t="s">
        <v>8623</v>
      </c>
      <c r="I11225" t="s">
        <v>9457</v>
      </c>
      <c r="J11225" t="s">
        <v>14964</v>
      </c>
      <c r="K11225" t="s">
        <v>19291</v>
      </c>
      <c r="M11225">
        <f>HYPERLINK("https://www.senat.fr/senateur-3eme-republique/baillardel_de_lareinty_henri1271r3.html", "baillardel_de_lareinty_henri1271r3")</f>
        <v>0</v>
      </c>
      <c r="N11225">
        <f>HYPERLINK("https://www.wikidata.org/wiki/Q3130604", "Q3130604")</f>
        <v>0</v>
      </c>
      <c r="O11225" t="s">
        <v>20023</v>
      </c>
      <c r="Q11225" t="s">
        <v>392</v>
      </c>
      <c r="R11225" t="s">
        <v>13013</v>
      </c>
      <c r="S11225">
        <v>3285</v>
      </c>
    </row>
    <row r="11226" spans="1:19">
      <c r="A11226" t="s">
        <v>131</v>
      </c>
      <c r="B11226" t="s">
        <v>150</v>
      </c>
      <c r="C11226" t="s">
        <v>263</v>
      </c>
      <c r="D11226" t="s">
        <v>392</v>
      </c>
      <c r="F11226">
        <f>HYPERLINK("https://www.wikidata.org/wiki/Q111103098", "Q111103098")</f>
        <v>0</v>
      </c>
      <c r="G11226" t="s">
        <v>4478</v>
      </c>
      <c r="H11226" t="s">
        <v>8624</v>
      </c>
      <c r="I11226" t="s">
        <v>6478</v>
      </c>
      <c r="J11226" t="s">
        <v>14965</v>
      </c>
      <c r="K11226" t="s">
        <v>19292</v>
      </c>
      <c r="M11226">
        <f>HYPERLINK("https://www.senat.fr/senateur-3eme-republique/espivent_de_la_villeboisnet_henry1275r3.html", "espivent_de_la_villeboisnet_henry1275r3")</f>
        <v>0</v>
      </c>
      <c r="N11226">
        <f>HYPERLINK("https://www.wikidata.org/wiki/Q3131054", "Q3131054")</f>
        <v>0</v>
      </c>
      <c r="O11226" t="s">
        <v>20023</v>
      </c>
      <c r="Q11226" t="s">
        <v>392</v>
      </c>
      <c r="R11226" t="s">
        <v>21650</v>
      </c>
      <c r="S11226">
        <v>21108</v>
      </c>
    </row>
    <row r="11227" spans="1:19">
      <c r="A11227" t="s">
        <v>131</v>
      </c>
      <c r="B11227" t="s">
        <v>150</v>
      </c>
      <c r="C11227" t="s">
        <v>263</v>
      </c>
      <c r="D11227" t="s">
        <v>392</v>
      </c>
      <c r="F11227">
        <f>HYPERLINK("https://www.wikidata.org/wiki/Q111103098", "Q111103098")</f>
        <v>0</v>
      </c>
      <c r="G11227" t="s">
        <v>4654</v>
      </c>
      <c r="H11227" t="s">
        <v>8795</v>
      </c>
      <c r="I11227" t="s">
        <v>9457</v>
      </c>
      <c r="J11227" t="s">
        <v>15126</v>
      </c>
      <c r="K11227" t="s">
        <v>19446</v>
      </c>
      <c r="M11227">
        <f>HYPERLINK("https://www.senat.fr/senateur-3eme-republique/de_verninac_saint_maur_henri0603r3.html", "de_verninac_saint_maur_henri0603r3")</f>
        <v>0</v>
      </c>
      <c r="N11227">
        <f>HYPERLINK("https://www.wikidata.org/wiki/Q3132393", "Q3132393")</f>
        <v>0</v>
      </c>
      <c r="O11227" t="s">
        <v>19974</v>
      </c>
      <c r="Q11227" t="s">
        <v>392</v>
      </c>
      <c r="R11227" t="s">
        <v>13013</v>
      </c>
      <c r="S11227">
        <v>3285</v>
      </c>
    </row>
    <row r="11228" spans="1:19">
      <c r="A11228" t="s">
        <v>131</v>
      </c>
      <c r="B11228" t="s">
        <v>150</v>
      </c>
      <c r="C11228" t="s">
        <v>263</v>
      </c>
      <c r="D11228" t="s">
        <v>392</v>
      </c>
      <c r="F11228">
        <f>HYPERLINK("https://www.wikidata.org/wiki/Q111103098", "Q111103098")</f>
        <v>0</v>
      </c>
      <c r="G11228" t="s">
        <v>4657</v>
      </c>
      <c r="H11228" t="s">
        <v>8798</v>
      </c>
      <c r="I11228" t="s">
        <v>10150</v>
      </c>
      <c r="J11228" t="s">
        <v>15129</v>
      </c>
      <c r="K11228" t="s">
        <v>19449</v>
      </c>
      <c r="M11228">
        <f>HYPERLINK("https://www.senat.fr/senateur-3eme-republique/beral_eloi0609r3.html", "beral_eloi0609r3")</f>
        <v>0</v>
      </c>
      <c r="N11228">
        <f>HYPERLINK("https://www.wikidata.org/wiki/Q3051624", "Q3051624")</f>
        <v>0</v>
      </c>
      <c r="O11228" t="s">
        <v>19974</v>
      </c>
      <c r="Q11228" t="s">
        <v>392</v>
      </c>
      <c r="R11228" t="s">
        <v>21665</v>
      </c>
      <c r="S11228">
        <v>6575</v>
      </c>
    </row>
    <row r="11229" spans="1:19">
      <c r="A11229" t="s">
        <v>131</v>
      </c>
      <c r="B11229" t="s">
        <v>150</v>
      </c>
      <c r="C11229" t="s">
        <v>263</v>
      </c>
      <c r="D11229" t="s">
        <v>392</v>
      </c>
      <c r="F11229">
        <f>HYPERLINK("https://www.wikidata.org/wiki/Q111103098", "Q111103098")</f>
        <v>0</v>
      </c>
      <c r="G11229" t="s">
        <v>4676</v>
      </c>
      <c r="H11229" t="s">
        <v>8818</v>
      </c>
      <c r="I11229" t="s">
        <v>9375</v>
      </c>
      <c r="J11229" t="s">
        <v>15147</v>
      </c>
      <c r="K11229" t="s">
        <v>19466</v>
      </c>
      <c r="M11229">
        <f>HYPERLINK("https://www.senat.fr/senateur-3eme-republique/laporte_edouard0750r3.html", "laporte_edouard0750r3")</f>
        <v>0</v>
      </c>
      <c r="N11229">
        <f>HYPERLINK("https://www.wikidata.org/wiki/Q2309830", "Q2309830")</f>
        <v>0</v>
      </c>
      <c r="O11229" t="s">
        <v>20043</v>
      </c>
      <c r="Q11229" t="s">
        <v>392</v>
      </c>
      <c r="R11229" t="s">
        <v>21650</v>
      </c>
      <c r="S11229">
        <v>21108</v>
      </c>
    </row>
    <row r="11230" spans="1:19">
      <c r="A11230" t="s">
        <v>131</v>
      </c>
      <c r="B11230" t="s">
        <v>150</v>
      </c>
      <c r="C11230" t="s">
        <v>263</v>
      </c>
      <c r="D11230" t="s">
        <v>392</v>
      </c>
      <c r="F11230">
        <f>HYPERLINK("https://www.wikidata.org/wiki/Q111103098", "Q111103098")</f>
        <v>0</v>
      </c>
      <c r="G11230" t="s">
        <v>4348</v>
      </c>
      <c r="H11230" t="s">
        <v>8498</v>
      </c>
      <c r="I11230" t="s">
        <v>10037</v>
      </c>
      <c r="J11230" t="s">
        <v>14840</v>
      </c>
      <c r="K11230" t="s">
        <v>19182</v>
      </c>
      <c r="M11230">
        <f>HYPERLINK("https://www.senat.fr/senateur-3eme-republique/faye_etienne0733r3.html", "faye_etienne0733r3")</f>
        <v>0</v>
      </c>
      <c r="N11230">
        <f>HYPERLINK("https://www.wikidata.org/wiki/Q3271801", "Q3271801")</f>
        <v>0</v>
      </c>
      <c r="O11230" t="s">
        <v>20043</v>
      </c>
      <c r="Q11230" t="s">
        <v>392</v>
      </c>
      <c r="R11230" t="s">
        <v>13013</v>
      </c>
      <c r="S11230">
        <v>3285</v>
      </c>
    </row>
    <row r="11231" spans="1:19">
      <c r="A11231" t="s">
        <v>131</v>
      </c>
      <c r="B11231" t="s">
        <v>150</v>
      </c>
      <c r="C11231" t="s">
        <v>263</v>
      </c>
      <c r="D11231" t="s">
        <v>392</v>
      </c>
      <c r="F11231">
        <f>HYPERLINK("https://www.wikidata.org/wiki/Q111103098", "Q111103098")</f>
        <v>0</v>
      </c>
      <c r="G11231" t="s">
        <v>4716</v>
      </c>
      <c r="H11231" t="s">
        <v>8858</v>
      </c>
      <c r="I11231" t="s">
        <v>9474</v>
      </c>
      <c r="J11231" t="s">
        <v>14544</v>
      </c>
      <c r="K11231" t="s">
        <v>19503</v>
      </c>
      <c r="M11231">
        <f>HYPERLINK("https://www.senat.fr/senateur-3eme-republique/durand_jean_baptiste0746r3.html", "durand_jean_baptiste0746r3")</f>
        <v>0</v>
      </c>
      <c r="N11231">
        <f>HYPERLINK("https://www.wikidata.org/wiki/Q3164056", "Q3164056")</f>
        <v>0</v>
      </c>
      <c r="O11231" t="s">
        <v>20043</v>
      </c>
      <c r="Q11231" t="s">
        <v>392</v>
      </c>
      <c r="R11231" t="s">
        <v>13013</v>
      </c>
      <c r="S11231">
        <v>3285</v>
      </c>
    </row>
    <row r="11232" spans="1:19">
      <c r="A11232" t="s">
        <v>131</v>
      </c>
      <c r="B11232" t="s">
        <v>150</v>
      </c>
      <c r="C11232" t="s">
        <v>263</v>
      </c>
      <c r="D11232" t="s">
        <v>392</v>
      </c>
      <c r="F11232">
        <f>HYPERLINK("https://www.wikidata.org/wiki/Q111103098", "Q111103098")</f>
        <v>0</v>
      </c>
      <c r="G11232" t="s">
        <v>4576</v>
      </c>
      <c r="H11232" t="s">
        <v>8722</v>
      </c>
      <c r="I11232" t="s">
        <v>9465</v>
      </c>
      <c r="J11232" t="s">
        <v>15055</v>
      </c>
      <c r="K11232" t="s">
        <v>19378</v>
      </c>
      <c r="M11232">
        <f>HYPERLINK("https://www.senat.fr/senateur-3eme-republique/de_roziere_eugene0858r3.html", "de_roziere_eugene0858r3")</f>
        <v>0</v>
      </c>
      <c r="N11232">
        <f>HYPERLINK("https://www.wikidata.org/wiki/Q3060246", "Q3060246")</f>
        <v>0</v>
      </c>
      <c r="O11232" t="s">
        <v>20004</v>
      </c>
      <c r="Q11232" t="s">
        <v>392</v>
      </c>
      <c r="R11232" t="s">
        <v>21650</v>
      </c>
      <c r="S11232">
        <v>21108</v>
      </c>
    </row>
    <row r="11233" spans="1:19">
      <c r="A11233" t="s">
        <v>131</v>
      </c>
      <c r="B11233" t="s">
        <v>150</v>
      </c>
      <c r="C11233" t="s">
        <v>263</v>
      </c>
      <c r="D11233" t="s">
        <v>392</v>
      </c>
      <c r="F11233">
        <f>HYPERLINK("https://www.wikidata.org/wiki/Q111103098", "Q111103098")</f>
        <v>0</v>
      </c>
      <c r="G11233" t="s">
        <v>4577</v>
      </c>
      <c r="H11233" t="s">
        <v>8723</v>
      </c>
      <c r="I11233" t="s">
        <v>9451</v>
      </c>
      <c r="J11233" t="s">
        <v>15056</v>
      </c>
      <c r="K11233" t="s">
        <v>19379</v>
      </c>
      <c r="M11233">
        <f>HYPERLINK("https://www.senat.fr/senateur-3eme-republique/roussel_theophile0853r3.html", "roussel_theophile0853r3")</f>
        <v>0</v>
      </c>
      <c r="N11233">
        <f>HYPERLINK("https://www.wikidata.org/wiki/Q3526694", "Q3526694")</f>
        <v>0</v>
      </c>
      <c r="O11233" t="s">
        <v>20004</v>
      </c>
      <c r="Q11233" t="s">
        <v>392</v>
      </c>
      <c r="R11233" t="s">
        <v>13013</v>
      </c>
      <c r="S11233">
        <v>3285</v>
      </c>
    </row>
    <row r="11234" spans="1:19">
      <c r="A11234" t="s">
        <v>131</v>
      </c>
      <c r="B11234" t="s">
        <v>150</v>
      </c>
      <c r="C11234" t="s">
        <v>263</v>
      </c>
      <c r="D11234" t="s">
        <v>392</v>
      </c>
      <c r="F11234">
        <f>HYPERLINK("https://www.wikidata.org/wiki/Q111103098", "Q111103098")</f>
        <v>0</v>
      </c>
      <c r="G11234" t="s">
        <v>4481</v>
      </c>
      <c r="H11234" t="s">
        <v>8627</v>
      </c>
      <c r="I11234" t="s">
        <v>5528</v>
      </c>
      <c r="J11234" t="s">
        <v>13228</v>
      </c>
      <c r="K11234" t="s">
        <v>19295</v>
      </c>
      <c r="M11234">
        <f>HYPERLINK("https://www.senat.fr/senateur-3eme-republique/le_guay_leon1073r3.html", "le_guay_leon1073r3")</f>
        <v>0</v>
      </c>
      <c r="N11234">
        <f>HYPERLINK("https://www.wikidata.org/wiki/Q3271139", "Q3271139")</f>
        <v>0</v>
      </c>
      <c r="O11234" t="s">
        <v>19980</v>
      </c>
      <c r="Q11234" t="s">
        <v>392</v>
      </c>
      <c r="R11234" t="s">
        <v>21650</v>
      </c>
      <c r="S11234">
        <v>21108</v>
      </c>
    </row>
    <row r="11235" spans="1:19">
      <c r="A11235" t="s">
        <v>131</v>
      </c>
      <c r="B11235" t="s">
        <v>150</v>
      </c>
      <c r="C11235" t="s">
        <v>263</v>
      </c>
      <c r="D11235" t="s">
        <v>392</v>
      </c>
      <c r="F11235">
        <f>HYPERLINK("https://www.wikidata.org/wiki/Q111103098", "Q111103098")</f>
        <v>0</v>
      </c>
      <c r="G11235" t="s">
        <v>4578</v>
      </c>
      <c r="H11235" t="s">
        <v>8724</v>
      </c>
      <c r="I11235" t="s">
        <v>9457</v>
      </c>
      <c r="J11235" t="s">
        <v>15057</v>
      </c>
      <c r="K11235" t="s">
        <v>19380</v>
      </c>
      <c r="M11235">
        <f>HYPERLINK("https://www.senat.fr/senateur-3eme-republique/d_andigne_henri1058r3.html", "d_andigne_henri1058r3")</f>
        <v>0</v>
      </c>
      <c r="N11235">
        <f>HYPERLINK("https://www.wikidata.org/wiki/Q3132200", "Q3132200")</f>
        <v>0</v>
      </c>
      <c r="O11235" t="s">
        <v>19980</v>
      </c>
      <c r="Q11235" t="s">
        <v>392</v>
      </c>
      <c r="R11235" t="s">
        <v>19380</v>
      </c>
      <c r="S11235">
        <v>2649</v>
      </c>
    </row>
    <row r="11236" spans="1:19">
      <c r="A11236" t="s">
        <v>131</v>
      </c>
      <c r="B11236" t="s">
        <v>150</v>
      </c>
      <c r="C11236" t="s">
        <v>263</v>
      </c>
      <c r="D11236" t="s">
        <v>392</v>
      </c>
      <c r="F11236">
        <f>HYPERLINK("https://www.wikidata.org/wiki/Q111103098", "Q111103098")</f>
        <v>0</v>
      </c>
      <c r="G11236" t="s">
        <v>4661</v>
      </c>
      <c r="H11236" t="s">
        <v>8802</v>
      </c>
      <c r="I11236" t="s">
        <v>9867</v>
      </c>
      <c r="J11236" t="s">
        <v>15132</v>
      </c>
      <c r="K11236" t="s">
        <v>19453</v>
      </c>
      <c r="M11236">
        <f>HYPERLINK("https://www.senat.fr/senateur-3eme-republique/blavier_aime1157r3.html", "blavier_aime1157r3")</f>
        <v>0</v>
      </c>
      <c r="N11236">
        <f>HYPERLINK("https://www.wikidata.org/wiki/Q2828036", "Q2828036")</f>
        <v>0</v>
      </c>
      <c r="O11236" t="s">
        <v>19980</v>
      </c>
      <c r="Q11236" t="s">
        <v>392</v>
      </c>
      <c r="R11236" t="s">
        <v>19453</v>
      </c>
      <c r="S11236">
        <v>3214</v>
      </c>
    </row>
    <row r="11237" spans="1:19">
      <c r="A11237" t="s">
        <v>131</v>
      </c>
      <c r="B11237" t="s">
        <v>150</v>
      </c>
      <c r="C11237" t="s">
        <v>263</v>
      </c>
      <c r="D11237" t="s">
        <v>392</v>
      </c>
      <c r="F11237">
        <f>HYPERLINK("https://www.wikidata.org/wiki/Q111103098", "Q111103098")</f>
        <v>0</v>
      </c>
      <c r="G11237" t="s">
        <v>4580</v>
      </c>
      <c r="H11237" t="s">
        <v>8726</v>
      </c>
      <c r="I11237" t="s">
        <v>9389</v>
      </c>
      <c r="J11237" t="s">
        <v>15059</v>
      </c>
      <c r="K11237" t="s">
        <v>12674</v>
      </c>
      <c r="M11237">
        <f>HYPERLINK("https://www.senat.fr/senateur-3eme-republique/lenoel_emile1029r3.html", "lenoel_emile1029r3")</f>
        <v>0</v>
      </c>
      <c r="N11237">
        <f>HYPERLINK("https://www.wikidata.org/wiki/Q3588616", "Q3588616")</f>
        <v>0</v>
      </c>
      <c r="O11237" t="s">
        <v>19985</v>
      </c>
      <c r="Q11237" t="s">
        <v>392</v>
      </c>
      <c r="R11237" t="s">
        <v>21650</v>
      </c>
      <c r="S11237">
        <v>21108</v>
      </c>
    </row>
    <row r="11238" spans="1:19">
      <c r="A11238" t="s">
        <v>131</v>
      </c>
      <c r="B11238" t="s">
        <v>150</v>
      </c>
      <c r="C11238" t="s">
        <v>263</v>
      </c>
      <c r="D11238" t="s">
        <v>392</v>
      </c>
      <c r="F11238">
        <f>HYPERLINK("https://www.wikidata.org/wiki/Q111103098", "Q111103098")</f>
        <v>0</v>
      </c>
      <c r="G11238" t="s">
        <v>4684</v>
      </c>
      <c r="H11238" t="s">
        <v>8824</v>
      </c>
      <c r="I11238" t="s">
        <v>9552</v>
      </c>
      <c r="J11238" t="s">
        <v>15154</v>
      </c>
      <c r="K11238" t="s">
        <v>19474</v>
      </c>
      <c r="M11238">
        <f>HYPERLINK("https://www.senat.fr/senateur-3eme-republique/sebire_auguste1035r3.html", "sebire_auguste1035r3")</f>
        <v>0</v>
      </c>
      <c r="N11238">
        <f>HYPERLINK("https://www.wikidata.org/wiki/Q2871408", "Q2871408")</f>
        <v>0</v>
      </c>
      <c r="O11238" t="s">
        <v>19985</v>
      </c>
      <c r="Q11238" t="s">
        <v>392</v>
      </c>
      <c r="R11238" t="s">
        <v>21650</v>
      </c>
      <c r="S11238">
        <v>21108</v>
      </c>
    </row>
    <row r="11239" spans="1:19">
      <c r="A11239" t="s">
        <v>131</v>
      </c>
      <c r="B11239" t="s">
        <v>150</v>
      </c>
      <c r="C11239" t="s">
        <v>263</v>
      </c>
      <c r="D11239" t="s">
        <v>392</v>
      </c>
      <c r="F11239">
        <f>HYPERLINK("https://www.wikidata.org/wiki/Q111103098", "Q111103098")</f>
        <v>0</v>
      </c>
      <c r="G11239" t="s">
        <v>4581</v>
      </c>
      <c r="H11239" t="s">
        <v>8593</v>
      </c>
      <c r="I11239" t="s">
        <v>9449</v>
      </c>
      <c r="J11239" t="s">
        <v>15060</v>
      </c>
      <c r="K11239" t="s">
        <v>19382</v>
      </c>
      <c r="M11239">
        <f>HYPERLINK("https://www.senat.fr/senateur-3eme-republique/labiche_jules1040r3.html", "labiche_jules1040r3")</f>
        <v>0</v>
      </c>
      <c r="N11239">
        <f>HYPERLINK("https://www.wikidata.org/wiki/Q3188700", "Q3188700")</f>
        <v>0</v>
      </c>
      <c r="O11239" t="s">
        <v>19985</v>
      </c>
      <c r="Q11239" t="s">
        <v>392</v>
      </c>
      <c r="R11239" t="s">
        <v>13013</v>
      </c>
      <c r="S11239">
        <v>3285</v>
      </c>
    </row>
    <row r="11240" spans="1:19">
      <c r="A11240" t="s">
        <v>131</v>
      </c>
      <c r="B11240" t="s">
        <v>150</v>
      </c>
      <c r="C11240" t="s">
        <v>263</v>
      </c>
      <c r="D11240" t="s">
        <v>392</v>
      </c>
      <c r="F11240">
        <f>HYPERLINK("https://www.wikidata.org/wiki/Q111103098", "Q111103098")</f>
        <v>0</v>
      </c>
      <c r="G11240" t="s">
        <v>4702</v>
      </c>
      <c r="H11240" t="s">
        <v>8843</v>
      </c>
      <c r="I11240" t="s">
        <v>6495</v>
      </c>
      <c r="J11240" t="s">
        <v>15171</v>
      </c>
      <c r="K11240" t="s">
        <v>19490</v>
      </c>
      <c r="M11240">
        <f>HYPERLINK("https://www.senat.fr/senateur-3eme-republique/diancourt_louis0634r3.html", "diancourt_louis0634r3")</f>
        <v>0</v>
      </c>
      <c r="N11240">
        <f>HYPERLINK("https://www.wikidata.org/wiki/Q3557266", "Q3557266")</f>
        <v>0</v>
      </c>
      <c r="O11240" t="s">
        <v>20025</v>
      </c>
      <c r="Q11240" t="s">
        <v>392</v>
      </c>
      <c r="R11240" t="s">
        <v>13013</v>
      </c>
      <c r="S11240">
        <v>3285</v>
      </c>
    </row>
    <row r="11241" spans="1:19">
      <c r="A11241" t="s">
        <v>131</v>
      </c>
      <c r="B11241" t="s">
        <v>150</v>
      </c>
      <c r="C11241" t="s">
        <v>263</v>
      </c>
      <c r="D11241" t="s">
        <v>392</v>
      </c>
      <c r="F11241">
        <f>HYPERLINK("https://www.wikidata.org/wiki/Q111103098", "Q111103098")</f>
        <v>0</v>
      </c>
      <c r="G11241" t="s">
        <v>4717</v>
      </c>
      <c r="H11241" t="s">
        <v>8859</v>
      </c>
      <c r="I11241" t="s">
        <v>9388</v>
      </c>
      <c r="J11241" t="s">
        <v>15183</v>
      </c>
      <c r="K11241" t="s">
        <v>19504</v>
      </c>
      <c r="M11241">
        <f>HYPERLINK("https://www.senat.fr/senateur-3eme-republique/bernard_dutreil_paul0962r3.html", "bernard_dutreil_paul0962r3")</f>
        <v>0</v>
      </c>
      <c r="N11241">
        <f>HYPERLINK("https://www.wikidata.org/wiki/Q3370616", "Q3370616")</f>
        <v>0</v>
      </c>
      <c r="O11241" t="s">
        <v>19984</v>
      </c>
      <c r="Q11241" t="s">
        <v>392</v>
      </c>
      <c r="R11241" t="s">
        <v>13013</v>
      </c>
      <c r="S11241">
        <v>3285</v>
      </c>
    </row>
    <row r="11242" spans="1:19">
      <c r="A11242" t="s">
        <v>131</v>
      </c>
      <c r="B11242" t="s">
        <v>150</v>
      </c>
      <c r="C11242" t="s">
        <v>263</v>
      </c>
      <c r="D11242" t="s">
        <v>392</v>
      </c>
      <c r="F11242">
        <f>HYPERLINK("https://www.wikidata.org/wiki/Q111103098", "Q111103098")</f>
        <v>0</v>
      </c>
      <c r="G11242" t="s">
        <v>4718</v>
      </c>
      <c r="H11242" t="s">
        <v>8860</v>
      </c>
      <c r="I11242" t="s">
        <v>9388</v>
      </c>
      <c r="J11242" t="s">
        <v>14893</v>
      </c>
      <c r="K11242" t="s">
        <v>19505</v>
      </c>
      <c r="M11242">
        <f>HYPERLINK("https://www.senat.fr/senateur-3eme-republique/le_breton_paul0954r3.html", "le_breton_paul0954r3")</f>
        <v>0</v>
      </c>
      <c r="N11242">
        <f>HYPERLINK("https://www.wikidata.org/wiki/Q3371642", "Q3371642")</f>
        <v>0</v>
      </c>
      <c r="O11242" t="s">
        <v>19984</v>
      </c>
      <c r="Q11242" t="s">
        <v>392</v>
      </c>
      <c r="R11242" t="s">
        <v>19113</v>
      </c>
      <c r="S11242">
        <v>7226</v>
      </c>
    </row>
    <row r="11243" spans="1:19">
      <c r="A11243" t="s">
        <v>131</v>
      </c>
      <c r="B11243" t="s">
        <v>150</v>
      </c>
      <c r="C11243" t="s">
        <v>263</v>
      </c>
      <c r="D11243" t="s">
        <v>392</v>
      </c>
      <c r="F11243">
        <f>HYPERLINK("https://www.wikidata.org/wiki/Q111103098", "Q111103098")</f>
        <v>0</v>
      </c>
      <c r="G11243" t="s">
        <v>4703</v>
      </c>
      <c r="H11243" t="s">
        <v>8844</v>
      </c>
      <c r="I11243" t="s">
        <v>6166</v>
      </c>
      <c r="J11243" t="s">
        <v>15129</v>
      </c>
      <c r="K11243" t="s">
        <v>19491</v>
      </c>
      <c r="M11243">
        <f>HYPERLINK("https://www.senat.fr/senateur-3eme-republique/volland_francois0931r3.html", "volland_francois0931r3")</f>
        <v>0</v>
      </c>
      <c r="N11243">
        <f>HYPERLINK("https://www.wikidata.org/wiki/Q3086029", "Q3086029")</f>
        <v>0</v>
      </c>
      <c r="O11243" t="s">
        <v>20007</v>
      </c>
      <c r="Q11243" t="s">
        <v>392</v>
      </c>
      <c r="R11243" t="s">
        <v>13013</v>
      </c>
      <c r="S11243">
        <v>3285</v>
      </c>
    </row>
    <row r="11244" spans="1:19">
      <c r="A11244" t="s">
        <v>131</v>
      </c>
      <c r="B11244" t="s">
        <v>150</v>
      </c>
      <c r="C11244" t="s">
        <v>263</v>
      </c>
      <c r="D11244" t="s">
        <v>392</v>
      </c>
      <c r="F11244">
        <f>HYPERLINK("https://www.wikidata.org/wiki/Q111103098", "Q111103098")</f>
        <v>0</v>
      </c>
      <c r="G11244" t="s">
        <v>4659</v>
      </c>
      <c r="H11244" t="s">
        <v>8800</v>
      </c>
      <c r="I11244" t="s">
        <v>9457</v>
      </c>
      <c r="J11244" t="s">
        <v>15130</v>
      </c>
      <c r="K11244" t="s">
        <v>19451</v>
      </c>
      <c r="M11244">
        <f>HYPERLINK("https://www.senat.fr/senateur-3eme-republique/marquis_henri0938r3.html", "marquis_henri0938r3")</f>
        <v>0</v>
      </c>
      <c r="N11244">
        <f>HYPERLINK("https://www.wikidata.org/wiki/Q3131576", "Q3131576")</f>
        <v>0</v>
      </c>
      <c r="O11244" t="s">
        <v>20007</v>
      </c>
      <c r="Q11244" t="s">
        <v>392</v>
      </c>
      <c r="R11244" t="s">
        <v>13013</v>
      </c>
      <c r="S11244">
        <v>3285</v>
      </c>
    </row>
    <row r="11245" spans="1:19">
      <c r="A11245" t="s">
        <v>131</v>
      </c>
      <c r="B11245" t="s">
        <v>150</v>
      </c>
      <c r="C11245" t="s">
        <v>263</v>
      </c>
      <c r="D11245" t="s">
        <v>392</v>
      </c>
      <c r="F11245">
        <f>HYPERLINK("https://www.wikidata.org/wiki/Q111103098", "Q111103098")</f>
        <v>0</v>
      </c>
      <c r="G11245" t="s">
        <v>4265</v>
      </c>
      <c r="H11245" t="s">
        <v>8840</v>
      </c>
      <c r="I11245" t="s">
        <v>9442</v>
      </c>
      <c r="J11245" t="s">
        <v>13544</v>
      </c>
      <c r="K11245" t="s">
        <v>19113</v>
      </c>
      <c r="M11245">
        <f>HYPERLINK("https://www.senat.fr/senateur-3eme-republique/boulanger_ernest1019r3.html", "boulanger_ernest1019r3")</f>
        <v>0</v>
      </c>
      <c r="N11245">
        <f>HYPERLINK("https://www.wikidata.org/wiki/Q3056860", "Q3056860")</f>
        <v>0</v>
      </c>
      <c r="O11245" t="s">
        <v>20030</v>
      </c>
      <c r="Q11245" t="s">
        <v>392</v>
      </c>
      <c r="R11245" t="s">
        <v>13013</v>
      </c>
      <c r="S11245">
        <v>3285</v>
      </c>
    </row>
    <row r="11246" spans="1:19">
      <c r="A11246" t="s">
        <v>131</v>
      </c>
      <c r="B11246" t="s">
        <v>150</v>
      </c>
      <c r="C11246" t="s">
        <v>263</v>
      </c>
      <c r="D11246" t="s">
        <v>392</v>
      </c>
      <c r="F11246">
        <f>HYPERLINK("https://www.wikidata.org/wiki/Q111103098", "Q111103098")</f>
        <v>0</v>
      </c>
      <c r="G11246" t="s">
        <v>4484</v>
      </c>
      <c r="H11246" t="s">
        <v>8630</v>
      </c>
      <c r="I11246" t="s">
        <v>5812</v>
      </c>
      <c r="J11246" t="s">
        <v>14969</v>
      </c>
      <c r="K11246" t="s">
        <v>19297</v>
      </c>
      <c r="M11246">
        <f>HYPERLINK("https://www.senat.fr/senateur-3eme-republique/audren_de_kerdrel_vincent0893r3.html", "audren_de_kerdrel_vincent0893r3")</f>
        <v>0</v>
      </c>
      <c r="N11246">
        <f>HYPERLINK("https://www.wikidata.org/wiki/Q3559457", "Q3559457")</f>
        <v>0</v>
      </c>
      <c r="O11246" t="s">
        <v>19961</v>
      </c>
      <c r="Q11246" t="s">
        <v>392</v>
      </c>
      <c r="R11246" t="s">
        <v>13013</v>
      </c>
      <c r="S11246">
        <v>3285</v>
      </c>
    </row>
    <row r="11247" spans="1:19">
      <c r="A11247" t="s">
        <v>131</v>
      </c>
      <c r="B11247" t="s">
        <v>150</v>
      </c>
      <c r="C11247" t="s">
        <v>263</v>
      </c>
      <c r="D11247" t="s">
        <v>392</v>
      </c>
      <c r="F11247">
        <f>HYPERLINK("https://www.wikidata.org/wiki/Q111103098", "Q111103098")</f>
        <v>0</v>
      </c>
      <c r="G11247" t="s">
        <v>4587</v>
      </c>
      <c r="H11247" t="s">
        <v>8732</v>
      </c>
      <c r="I11247" t="s">
        <v>7790</v>
      </c>
      <c r="J11247" t="s">
        <v>15066</v>
      </c>
      <c r="K11247" t="s">
        <v>19387</v>
      </c>
      <c r="M11247">
        <f>HYPERLINK("https://www.senat.fr/senateur-3eme-republique/fresneau_armand0905r3.html", "fresneau_armand0905r3")</f>
        <v>0</v>
      </c>
      <c r="N11247">
        <f>HYPERLINK("https://www.wikidata.org/wiki/Q2861845", "Q2861845")</f>
        <v>0</v>
      </c>
      <c r="O11247" t="s">
        <v>19961</v>
      </c>
      <c r="Q11247" t="s">
        <v>392</v>
      </c>
      <c r="R11247" t="s">
        <v>13013</v>
      </c>
      <c r="S11247">
        <v>3285</v>
      </c>
    </row>
    <row r="11248" spans="1:19">
      <c r="A11248" t="s">
        <v>131</v>
      </c>
      <c r="B11248" t="s">
        <v>150</v>
      </c>
      <c r="C11248" t="s">
        <v>263</v>
      </c>
      <c r="D11248" t="s">
        <v>392</v>
      </c>
      <c r="F11248">
        <f>HYPERLINK("https://www.wikidata.org/wiki/Q111103098", "Q111103098")</f>
        <v>0</v>
      </c>
      <c r="G11248" t="s">
        <v>4485</v>
      </c>
      <c r="H11248" t="s">
        <v>8631</v>
      </c>
      <c r="I11248" t="s">
        <v>9385</v>
      </c>
      <c r="J11248" t="s">
        <v>14970</v>
      </c>
      <c r="K11248" t="s">
        <v>19298</v>
      </c>
      <c r="M11248">
        <f>HYPERLINK("https://www.senat.fr/senateur-3eme-republique/de_la_monneraye_charles0900r3.html", "de_la_monneraye_charles0900r3")</f>
        <v>0</v>
      </c>
      <c r="N11248">
        <f>HYPERLINK("https://www.wikidata.org/wiki/Q2960602", "Q2960602")</f>
        <v>0</v>
      </c>
      <c r="O11248" t="s">
        <v>19961</v>
      </c>
      <c r="Q11248" t="s">
        <v>392</v>
      </c>
      <c r="R11248" t="s">
        <v>21650</v>
      </c>
      <c r="S11248">
        <v>21108</v>
      </c>
    </row>
    <row r="11249" spans="1:19">
      <c r="A11249" t="s">
        <v>131</v>
      </c>
      <c r="B11249" t="s">
        <v>150</v>
      </c>
      <c r="C11249" t="s">
        <v>263</v>
      </c>
      <c r="D11249" t="s">
        <v>392</v>
      </c>
      <c r="F11249">
        <f>HYPERLINK("https://www.wikidata.org/wiki/Q111103098", "Q111103098")</f>
        <v>0</v>
      </c>
      <c r="G11249" t="s">
        <v>4719</v>
      </c>
      <c r="H11249" t="s">
        <v>8861</v>
      </c>
      <c r="I11249" t="s">
        <v>11217</v>
      </c>
      <c r="J11249" t="s">
        <v>15184</v>
      </c>
      <c r="K11249" t="s">
        <v>19506</v>
      </c>
      <c r="M11249">
        <f>HYPERLINK("https://www.senat.fr/senateur-3eme-republique/decray_jean_charles1260r3.html", "decray_jean_charles1260r3")</f>
        <v>0</v>
      </c>
      <c r="N11249">
        <f>HYPERLINK("https://www.wikidata.org/wiki/Q3164641", "Q3164641")</f>
        <v>0</v>
      </c>
      <c r="O11249" t="s">
        <v>20032</v>
      </c>
      <c r="Q11249" t="s">
        <v>392</v>
      </c>
      <c r="R11249" t="s">
        <v>19506</v>
      </c>
      <c r="S11249">
        <v>475</v>
      </c>
    </row>
    <row r="11250" spans="1:19">
      <c r="A11250" t="s">
        <v>131</v>
      </c>
      <c r="B11250" t="s">
        <v>150</v>
      </c>
      <c r="C11250" t="s">
        <v>263</v>
      </c>
      <c r="D11250" t="s">
        <v>392</v>
      </c>
      <c r="F11250">
        <f>HYPERLINK("https://www.wikidata.org/wiki/Q111103098", "Q111103098")</f>
        <v>0</v>
      </c>
      <c r="G11250" t="s">
        <v>4720</v>
      </c>
      <c r="H11250" t="s">
        <v>8862</v>
      </c>
      <c r="I11250" t="s">
        <v>11218</v>
      </c>
      <c r="J11250" t="s">
        <v>15185</v>
      </c>
      <c r="K11250" t="s">
        <v>19507</v>
      </c>
      <c r="M11250">
        <f>HYPERLINK("https://www.senat.fr/senateur-3eme-republique/de_laubespin_leonel1235r3.html", "de_laubespin_leonel1235r3")</f>
        <v>0</v>
      </c>
      <c r="N11250">
        <f>HYPERLINK("https://www.wikidata.org/wiki/Q3241968", "Q3241968")</f>
        <v>0</v>
      </c>
      <c r="O11250" t="s">
        <v>20032</v>
      </c>
      <c r="Q11250" t="s">
        <v>392</v>
      </c>
      <c r="R11250" t="s">
        <v>19507</v>
      </c>
      <c r="S11250">
        <v>2921</v>
      </c>
    </row>
    <row r="11251" spans="1:19">
      <c r="A11251" t="s">
        <v>131</v>
      </c>
      <c r="B11251" t="s">
        <v>150</v>
      </c>
      <c r="C11251" t="s">
        <v>263</v>
      </c>
      <c r="D11251" t="s">
        <v>392</v>
      </c>
      <c r="F11251">
        <f>HYPERLINK("https://www.wikidata.org/wiki/Q111103098", "Q111103098")</f>
        <v>0</v>
      </c>
      <c r="G11251" t="s">
        <v>4594</v>
      </c>
      <c r="H11251" t="s">
        <v>8738</v>
      </c>
      <c r="I11251" t="s">
        <v>9385</v>
      </c>
      <c r="J11251" t="s">
        <v>15073</v>
      </c>
      <c r="K11251" t="s">
        <v>19394</v>
      </c>
      <c r="M11251">
        <f>HYPERLINK("https://www.senat.fr/senateur-3eme-republique/merlin_charles1398r3.html", "merlin_charles1398r3")</f>
        <v>0</v>
      </c>
      <c r="N11251">
        <f>HYPERLINK("https://www.wikidata.org/wiki/Q2959800", "Q2959800")</f>
        <v>0</v>
      </c>
      <c r="O11251" t="s">
        <v>20013</v>
      </c>
      <c r="Q11251" t="s">
        <v>392</v>
      </c>
      <c r="R11251" t="s">
        <v>21650</v>
      </c>
      <c r="S11251">
        <v>21108</v>
      </c>
    </row>
    <row r="11252" spans="1:19">
      <c r="A11252" t="s">
        <v>131</v>
      </c>
      <c r="B11252" t="s">
        <v>150</v>
      </c>
      <c r="C11252" t="s">
        <v>263</v>
      </c>
      <c r="D11252" t="s">
        <v>392</v>
      </c>
      <c r="F11252">
        <f>HYPERLINK("https://www.wikidata.org/wiki/Q111103098", "Q111103098")</f>
        <v>0</v>
      </c>
      <c r="G11252" t="s">
        <v>4721</v>
      </c>
      <c r="H11252" t="s">
        <v>8863</v>
      </c>
      <c r="I11252" t="s">
        <v>5528</v>
      </c>
      <c r="J11252" t="s">
        <v>15186</v>
      </c>
      <c r="K11252" t="s">
        <v>19508</v>
      </c>
      <c r="M11252">
        <f>HYPERLINK("https://www.senat.fr/senateur-3eme-republique/claeys_leon1385r3.html", "claeys_leon1385r3")</f>
        <v>0</v>
      </c>
      <c r="N11252">
        <f>HYPERLINK("https://www.wikidata.org/wiki/Q3270827", "Q3270827")</f>
        <v>0</v>
      </c>
      <c r="O11252" t="s">
        <v>20013</v>
      </c>
      <c r="Q11252" t="s">
        <v>392</v>
      </c>
      <c r="R11252" t="s">
        <v>13013</v>
      </c>
      <c r="S11252">
        <v>3285</v>
      </c>
    </row>
    <row r="11253" spans="1:19">
      <c r="A11253" t="s">
        <v>131</v>
      </c>
      <c r="B11253" t="s">
        <v>150</v>
      </c>
      <c r="C11253" t="s">
        <v>263</v>
      </c>
      <c r="D11253" t="s">
        <v>392</v>
      </c>
      <c r="F11253">
        <f>HYPERLINK("https://www.wikidata.org/wiki/Q111103098", "Q111103098")</f>
        <v>0</v>
      </c>
      <c r="G11253" t="s">
        <v>4722</v>
      </c>
      <c r="H11253" t="s">
        <v>8864</v>
      </c>
      <c r="I11253" t="s">
        <v>9426</v>
      </c>
      <c r="J11253" t="s">
        <v>15187</v>
      </c>
      <c r="K11253" t="s">
        <v>19509</v>
      </c>
      <c r="M11253">
        <f>HYPERLINK("https://www.senat.fr/senateur-3eme-republique/chovet_alphonse0889r3.html", "chovet_alphonse0889r3")</f>
        <v>0</v>
      </c>
      <c r="N11253">
        <f>HYPERLINK("https://www.wikidata.org/wiki/Q2839737", "Q2839737")</f>
        <v>0</v>
      </c>
      <c r="O11253" t="s">
        <v>19989</v>
      </c>
      <c r="Q11253" t="s">
        <v>392</v>
      </c>
      <c r="R11253" t="s">
        <v>13013</v>
      </c>
      <c r="S11253">
        <v>3285</v>
      </c>
    </row>
    <row r="11254" spans="1:19">
      <c r="A11254" t="s">
        <v>131</v>
      </c>
      <c r="B11254" t="s">
        <v>150</v>
      </c>
      <c r="C11254" t="s">
        <v>263</v>
      </c>
      <c r="D11254" t="s">
        <v>392</v>
      </c>
      <c r="F11254">
        <f>HYPERLINK("https://www.wikidata.org/wiki/Q111103098", "Q111103098")</f>
        <v>0</v>
      </c>
      <c r="G11254" t="s">
        <v>4596</v>
      </c>
      <c r="H11254" t="s">
        <v>8740</v>
      </c>
      <c r="I11254" t="s">
        <v>9388</v>
      </c>
      <c r="J11254" t="s">
        <v>15075</v>
      </c>
      <c r="K11254" t="s">
        <v>19395</v>
      </c>
      <c r="M11254">
        <f>HYPERLINK("https://www.senat.fr/senateur-3eme-republique/cuvinot_paul0878r3.html", "cuvinot_paul0878r3")</f>
        <v>0</v>
      </c>
      <c r="N11254">
        <f>HYPERLINK("https://www.wikidata.org/wiki/Q2415176", "Q2415176")</f>
        <v>0</v>
      </c>
      <c r="O11254" t="s">
        <v>19989</v>
      </c>
      <c r="Q11254" t="s">
        <v>392</v>
      </c>
      <c r="R11254" t="s">
        <v>13013</v>
      </c>
      <c r="S11254">
        <v>3285</v>
      </c>
    </row>
    <row r="11255" spans="1:19">
      <c r="A11255" t="s">
        <v>131</v>
      </c>
      <c r="B11255" t="s">
        <v>150</v>
      </c>
      <c r="C11255" t="s">
        <v>263</v>
      </c>
      <c r="D11255" t="s">
        <v>392</v>
      </c>
      <c r="F11255">
        <f>HYPERLINK("https://www.wikidata.org/wiki/Q111103098", "Q111103098")</f>
        <v>0</v>
      </c>
      <c r="G11255" t="s">
        <v>4723</v>
      </c>
      <c r="H11255" t="s">
        <v>8865</v>
      </c>
      <c r="I11255" t="s">
        <v>6175</v>
      </c>
      <c r="J11255" t="s">
        <v>15188</v>
      </c>
      <c r="K11255" t="s">
        <v>19510</v>
      </c>
      <c r="M11255">
        <f>HYPERLINK("https://www.senat.fr/senateur-3eme-republique/lesueur_georges0692r3.html", "lesueur_georges0692r3")</f>
        <v>0</v>
      </c>
      <c r="N11255">
        <f>HYPERLINK("https://www.wikidata.org/wiki/Q20027683", "Q20027683")</f>
        <v>0</v>
      </c>
      <c r="Q11255" t="s">
        <v>392</v>
      </c>
      <c r="R11255" t="s">
        <v>13013</v>
      </c>
      <c r="S11255">
        <v>3285</v>
      </c>
    </row>
    <row r="11256" spans="1:19">
      <c r="A11256" t="s">
        <v>131</v>
      </c>
      <c r="B11256" t="s">
        <v>150</v>
      </c>
      <c r="C11256" t="s">
        <v>263</v>
      </c>
      <c r="D11256" t="s">
        <v>392</v>
      </c>
      <c r="F11256">
        <f>HYPERLINK("https://www.wikidata.org/wiki/Q111103098", "Q111103098")</f>
        <v>0</v>
      </c>
      <c r="G11256" t="s">
        <v>4656</v>
      </c>
      <c r="H11256" t="s">
        <v>8797</v>
      </c>
      <c r="I11256" t="s">
        <v>5445</v>
      </c>
      <c r="J11256" t="s">
        <v>15128</v>
      </c>
      <c r="K11256" t="s">
        <v>19448</v>
      </c>
      <c r="M11256">
        <f>HYPERLINK("https://www.senat.fr/senateur-3eme-republique/michaux_hubert0698r3.html", "michaux_hubert0698r3")</f>
        <v>0</v>
      </c>
      <c r="N11256">
        <f>HYPERLINK("https://www.wikidata.org/wiki/Q20027694", "Q20027694")</f>
        <v>0</v>
      </c>
      <c r="O11256" t="s">
        <v>20035</v>
      </c>
      <c r="Q11256" t="s">
        <v>21054</v>
      </c>
      <c r="R11256" t="s">
        <v>21650</v>
      </c>
      <c r="S11256">
        <v>21093</v>
      </c>
    </row>
    <row r="11257" spans="1:19">
      <c r="A11257" t="s">
        <v>131</v>
      </c>
      <c r="B11257" t="s">
        <v>150</v>
      </c>
      <c r="C11257" t="s">
        <v>263</v>
      </c>
      <c r="D11257" t="s">
        <v>392</v>
      </c>
      <c r="F11257">
        <f>HYPERLINK("https://www.wikidata.org/wiki/Q111103098", "Q111103098")</f>
        <v>0</v>
      </c>
      <c r="G11257" t="s">
        <v>4724</v>
      </c>
      <c r="H11257" t="s">
        <v>8866</v>
      </c>
      <c r="I11257" t="s">
        <v>11219</v>
      </c>
      <c r="J11257" t="s">
        <v>15189</v>
      </c>
      <c r="K11257" t="s">
        <v>19334</v>
      </c>
      <c r="M11257">
        <f>HYPERLINK("https://www.senat.fr/senateur-3eme-republique/de_corsi_patrice0485r3.html", "de_corsi_patrice0485r3")</f>
        <v>0</v>
      </c>
      <c r="N11257">
        <f>HYPERLINK("https://www.wikidata.org/wiki/Q3369056", "Q3369056")</f>
        <v>0</v>
      </c>
      <c r="O11257" t="s">
        <v>19955</v>
      </c>
      <c r="Q11257" t="s">
        <v>21055</v>
      </c>
      <c r="R11257" t="s">
        <v>19334</v>
      </c>
      <c r="S11257">
        <v>174</v>
      </c>
    </row>
    <row r="11258" spans="1:19">
      <c r="A11258" t="s">
        <v>131</v>
      </c>
      <c r="B11258" t="s">
        <v>150</v>
      </c>
      <c r="C11258" t="s">
        <v>263</v>
      </c>
      <c r="D11258" t="s">
        <v>392</v>
      </c>
      <c r="F11258">
        <f>HYPERLINK("https://www.wikidata.org/wiki/Q111103098", "Q111103098")</f>
        <v>0</v>
      </c>
      <c r="G11258" t="s">
        <v>2577</v>
      </c>
      <c r="H11258" t="s">
        <v>5400</v>
      </c>
      <c r="I11258" t="s">
        <v>9385</v>
      </c>
      <c r="J11258" t="s">
        <v>13221</v>
      </c>
      <c r="K11258" t="s">
        <v>17624</v>
      </c>
      <c r="L11258">
        <f>HYPERLINK("https://www2.assemblee-nationale.fr/sycomore/fiche/(num_dept)/2986", "2986")</f>
        <v>0</v>
      </c>
      <c r="M11258">
        <f>HYPERLINK("https://www.senat.fr/senateur-3eme-republique/ferry_charles1797r3.html", "ferry_charles1797r3")</f>
        <v>0</v>
      </c>
      <c r="N11258">
        <f>HYPERLINK("https://www.wikidata.org/wiki/Q2959061", "Q2959061")</f>
        <v>0</v>
      </c>
      <c r="O11258" t="s">
        <v>20017</v>
      </c>
      <c r="Q11258" t="s">
        <v>20731</v>
      </c>
      <c r="R11258" t="s">
        <v>21653</v>
      </c>
      <c r="S11258">
        <v>979</v>
      </c>
    </row>
    <row r="11259" spans="1:19">
      <c r="A11259" t="s">
        <v>131</v>
      </c>
      <c r="B11259" t="s">
        <v>150</v>
      </c>
      <c r="C11259" t="s">
        <v>263</v>
      </c>
      <c r="D11259" t="s">
        <v>392</v>
      </c>
      <c r="F11259">
        <f>HYPERLINK("https://www.wikidata.org/wiki/Q111103098", "Q111103098")</f>
        <v>0</v>
      </c>
      <c r="G11259" t="s">
        <v>4725</v>
      </c>
      <c r="H11259" t="s">
        <v>8867</v>
      </c>
      <c r="I11259" t="s">
        <v>9884</v>
      </c>
      <c r="J11259" t="s">
        <v>15003</v>
      </c>
      <c r="K11259" t="s">
        <v>19511</v>
      </c>
      <c r="M11259">
        <f>HYPERLINK("https://www.senat.fr/senateur-3eme-republique/chaix_cyprien0074r3.html", "chaix_cyprien0074r3")</f>
        <v>0</v>
      </c>
      <c r="N11259">
        <f>HYPERLINK("https://www.wikidata.org/wiki/Q3008869", "Q3008869")</f>
        <v>0</v>
      </c>
      <c r="O11259" t="s">
        <v>19981</v>
      </c>
      <c r="Q11259" t="s">
        <v>21056</v>
      </c>
      <c r="R11259" t="s">
        <v>21662</v>
      </c>
      <c r="S11259">
        <v>2076</v>
      </c>
    </row>
    <row r="11260" spans="1:19">
      <c r="A11260" t="s">
        <v>131</v>
      </c>
      <c r="B11260" t="s">
        <v>150</v>
      </c>
      <c r="C11260" t="s">
        <v>263</v>
      </c>
      <c r="D11260" t="s">
        <v>392</v>
      </c>
      <c r="F11260">
        <f>HYPERLINK("https://www.wikidata.org/wiki/Q111103098", "Q111103098")</f>
        <v>0</v>
      </c>
      <c r="G11260" t="s">
        <v>4726</v>
      </c>
      <c r="H11260" t="s">
        <v>8868</v>
      </c>
      <c r="I11260" t="s">
        <v>11220</v>
      </c>
      <c r="J11260" t="s">
        <v>15190</v>
      </c>
      <c r="K11260" t="s">
        <v>17562</v>
      </c>
      <c r="M11260">
        <f>HYPERLINK("https://www.senat.fr/senateur-3eme-republique/legrand_gery1408r3.html", "legrand_gery1408r3")</f>
        <v>0</v>
      </c>
      <c r="N11260">
        <f>HYPERLINK("https://www.wikidata.org/wiki/Q3124487", "Q3124487")</f>
        <v>0</v>
      </c>
      <c r="O11260" t="s">
        <v>20013</v>
      </c>
      <c r="Q11260" t="s">
        <v>21057</v>
      </c>
      <c r="R11260" t="s">
        <v>13013</v>
      </c>
      <c r="S11260">
        <v>3117</v>
      </c>
    </row>
    <row r="11261" spans="1:19">
      <c r="A11261" t="s">
        <v>131</v>
      </c>
      <c r="B11261" t="s">
        <v>150</v>
      </c>
      <c r="C11261" t="s">
        <v>263</v>
      </c>
      <c r="D11261" t="s">
        <v>392</v>
      </c>
      <c r="F11261">
        <f>HYPERLINK("https://www.wikidata.org/wiki/Q111103098", "Q111103098")</f>
        <v>0</v>
      </c>
      <c r="G11261" t="s">
        <v>2637</v>
      </c>
      <c r="H11261" t="s">
        <v>7182</v>
      </c>
      <c r="I11261" t="s">
        <v>9451</v>
      </c>
      <c r="J11261" t="s">
        <v>13279</v>
      </c>
      <c r="K11261" t="s">
        <v>17681</v>
      </c>
      <c r="L11261">
        <f>HYPERLINK("https://www2.assemblee-nationale.fr/sycomore/fiche/(num_dept)/5535", "5535")</f>
        <v>0</v>
      </c>
      <c r="M11261">
        <f>HYPERLINK("https://www.senat.fr/senateur-3eme-republique/neveux_theophile0171r3.html", "neveux_theophile0171r3")</f>
        <v>0</v>
      </c>
      <c r="N11261">
        <f>HYPERLINK("https://www.wikidata.org/wiki/Q3526621", "Q3526621")</f>
        <v>0</v>
      </c>
      <c r="O11261" t="s">
        <v>19959</v>
      </c>
      <c r="Q11261" t="s">
        <v>21058</v>
      </c>
      <c r="R11261" t="s">
        <v>17681</v>
      </c>
      <c r="S11261">
        <v>1745</v>
      </c>
    </row>
    <row r="11262" spans="1:19">
      <c r="A11262" t="s">
        <v>131</v>
      </c>
      <c r="B11262" t="s">
        <v>150</v>
      </c>
      <c r="C11262" t="s">
        <v>263</v>
      </c>
      <c r="D11262" t="s">
        <v>392</v>
      </c>
      <c r="F11262">
        <f>HYPERLINK("https://www.wikidata.org/wiki/Q111103098", "Q111103098")</f>
        <v>0</v>
      </c>
      <c r="G11262" t="s">
        <v>4727</v>
      </c>
      <c r="H11262" t="s">
        <v>8869</v>
      </c>
      <c r="I11262" t="s">
        <v>6200</v>
      </c>
      <c r="J11262" t="s">
        <v>15191</v>
      </c>
      <c r="K11262" t="s">
        <v>17898</v>
      </c>
      <c r="M11262">
        <f>HYPERLINK("https://www.senat.fr/senateur-3eme-republique/darbot_jean0873r3.html", "darbot_jean0873r3")</f>
        <v>0</v>
      </c>
      <c r="N11262">
        <f>HYPERLINK("https://www.wikidata.org/wiki/Q3171549", "Q3171549")</f>
        <v>0</v>
      </c>
      <c r="O11262" t="s">
        <v>20022</v>
      </c>
      <c r="Q11262" t="s">
        <v>21059</v>
      </c>
      <c r="R11262" t="s">
        <v>13013</v>
      </c>
      <c r="S11262">
        <v>3016</v>
      </c>
    </row>
    <row r="11263" spans="1:19">
      <c r="A11263" t="s">
        <v>131</v>
      </c>
      <c r="B11263" t="s">
        <v>150</v>
      </c>
      <c r="C11263" t="s">
        <v>263</v>
      </c>
      <c r="D11263" t="s">
        <v>392</v>
      </c>
      <c r="F11263">
        <f>HYPERLINK("https://www.wikidata.org/wiki/Q111103098", "Q111103098")</f>
        <v>0</v>
      </c>
      <c r="G11263" t="s">
        <v>2936</v>
      </c>
      <c r="H11263" t="s">
        <v>7414</v>
      </c>
      <c r="I11263" t="s">
        <v>10535</v>
      </c>
      <c r="J11263" t="s">
        <v>13569</v>
      </c>
      <c r="K11263" t="s">
        <v>17955</v>
      </c>
      <c r="L11263">
        <f>HYPERLINK("https://www2.assemblee-nationale.fr/sycomore/fiche/(num_dept)/8289", "8289")</f>
        <v>0</v>
      </c>
      <c r="M11263">
        <f>HYPERLINK("https://www.senat.fr/senateur-3eme-republique/donnet_jules1789r3.html", "donnet_jules1789r3")</f>
        <v>0</v>
      </c>
      <c r="N11263">
        <f>HYPERLINK("https://www.wikidata.org/wiki/Q3188540", "Q3188540")</f>
        <v>0</v>
      </c>
      <c r="O11263" t="s">
        <v>19977</v>
      </c>
      <c r="Q11263" t="s">
        <v>12766</v>
      </c>
      <c r="R11263" t="s">
        <v>21653</v>
      </c>
      <c r="S11263">
        <v>811</v>
      </c>
    </row>
    <row r="11264" spans="1:19">
      <c r="A11264" t="s">
        <v>131</v>
      </c>
      <c r="B11264" t="s">
        <v>150</v>
      </c>
      <c r="C11264" t="s">
        <v>263</v>
      </c>
      <c r="D11264" t="s">
        <v>392</v>
      </c>
      <c r="F11264">
        <f>HYPERLINK("https://www.wikidata.org/wiki/Q111103098", "Q111103098")</f>
        <v>0</v>
      </c>
      <c r="G11264" t="s">
        <v>4728</v>
      </c>
      <c r="H11264" t="s">
        <v>8870</v>
      </c>
      <c r="I11264" t="s">
        <v>6495</v>
      </c>
      <c r="J11264" t="s">
        <v>15192</v>
      </c>
      <c r="K11264" t="s">
        <v>19512</v>
      </c>
      <c r="M11264">
        <f>HYPERLINK("https://www.senat.fr/senateur-3eme-republique/vinet_louis0767r3.html", "vinet_louis0767r3")</f>
        <v>0</v>
      </c>
      <c r="N11264">
        <f>HYPERLINK("https://www.wikidata.org/wiki/Q3263292", "Q3263292")</f>
        <v>0</v>
      </c>
      <c r="O11264" t="s">
        <v>19971</v>
      </c>
      <c r="Q11264" t="s">
        <v>12766</v>
      </c>
      <c r="R11264" t="s">
        <v>21662</v>
      </c>
      <c r="S11264">
        <v>1910</v>
      </c>
    </row>
    <row r="11265" spans="1:19">
      <c r="A11265" t="s">
        <v>131</v>
      </c>
      <c r="B11265" t="s">
        <v>150</v>
      </c>
      <c r="C11265" t="s">
        <v>263</v>
      </c>
      <c r="D11265" t="s">
        <v>392</v>
      </c>
      <c r="F11265">
        <f>HYPERLINK("https://www.wikidata.org/wiki/Q111103098", "Q111103098")</f>
        <v>0</v>
      </c>
      <c r="G11265" t="s">
        <v>4653</v>
      </c>
      <c r="H11265" t="s">
        <v>8794</v>
      </c>
      <c r="I11265" t="s">
        <v>5812</v>
      </c>
      <c r="J11265" t="s">
        <v>14549</v>
      </c>
      <c r="K11265" t="s">
        <v>19445</v>
      </c>
      <c r="M11265">
        <f>HYPERLINK("https://www.senat.fr/senateur-3eme-republique/allegre_vincent0697r3.html", "allegre_vincent0697r3")</f>
        <v>0</v>
      </c>
      <c r="N11265">
        <f>HYPERLINK("https://www.wikidata.org/wiki/Q3559455", "Q3559455")</f>
        <v>0</v>
      </c>
      <c r="O11265" t="s">
        <v>20035</v>
      </c>
      <c r="Q11265" t="s">
        <v>21060</v>
      </c>
      <c r="R11265" t="s">
        <v>13013</v>
      </c>
      <c r="S11265">
        <v>2995</v>
      </c>
    </row>
    <row r="11266" spans="1:19">
      <c r="A11266" t="s">
        <v>131</v>
      </c>
      <c r="B11266" t="s">
        <v>150</v>
      </c>
      <c r="C11266" t="s">
        <v>263</v>
      </c>
      <c r="D11266" t="s">
        <v>392</v>
      </c>
      <c r="F11266">
        <f>HYPERLINK("https://www.wikidata.org/wiki/Q111103098", "Q111103098")</f>
        <v>0</v>
      </c>
      <c r="G11266" t="s">
        <v>2639</v>
      </c>
      <c r="H11266" t="s">
        <v>7184</v>
      </c>
      <c r="I11266" t="s">
        <v>9552</v>
      </c>
      <c r="J11266" t="s">
        <v>13281</v>
      </c>
      <c r="K11266" t="s">
        <v>17683</v>
      </c>
      <c r="L11266">
        <f>HYPERLINK("https://www2.assemblee-nationale.fr/sycomore/fiche/(num_dept)/5601", "5601")</f>
        <v>0</v>
      </c>
      <c r="M11266">
        <f>HYPERLINK("https://www.senat.fr/senateur-3eme-republique/ollivier_auguste0590r3.html", "ollivier_auguste0590r3")</f>
        <v>0</v>
      </c>
      <c r="N11266">
        <f>HYPERLINK("https://www.wikidata.org/wiki/Q2871344", "Q2871344")</f>
        <v>0</v>
      </c>
      <c r="O11266" t="s">
        <v>19964</v>
      </c>
      <c r="Q11266" t="s">
        <v>21061</v>
      </c>
      <c r="R11266" t="s">
        <v>21662</v>
      </c>
      <c r="S11266">
        <v>1819</v>
      </c>
    </row>
    <row r="11267" spans="1:19">
      <c r="A11267" t="s">
        <v>131</v>
      </c>
      <c r="B11267" t="s">
        <v>150</v>
      </c>
      <c r="C11267" t="s">
        <v>263</v>
      </c>
      <c r="D11267" t="s">
        <v>392</v>
      </c>
      <c r="F11267">
        <f>HYPERLINK("https://www.wikidata.org/wiki/Q111103098", "Q111103098")</f>
        <v>0</v>
      </c>
      <c r="G11267" t="s">
        <v>4729</v>
      </c>
      <c r="H11267" t="s">
        <v>8871</v>
      </c>
      <c r="I11267" t="s">
        <v>6166</v>
      </c>
      <c r="J11267" t="s">
        <v>15193</v>
      </c>
      <c r="K11267" t="s">
        <v>19513</v>
      </c>
      <c r="M11267">
        <f>HYPERLINK("https://www.senat.fr/senateur-3eme-republique/morelli_francois0486r3.html", "morelli_francois0486r3")</f>
        <v>0</v>
      </c>
      <c r="N11267">
        <f>HYPERLINK("https://www.wikidata.org/wiki/Q3085402", "Q3085402")</f>
        <v>0</v>
      </c>
      <c r="O11267" t="s">
        <v>19955</v>
      </c>
      <c r="Q11267" t="s">
        <v>21061</v>
      </c>
      <c r="R11267" t="s">
        <v>19513</v>
      </c>
      <c r="S11267">
        <v>1232</v>
      </c>
    </row>
    <row r="11268" spans="1:19">
      <c r="A11268" t="s">
        <v>131</v>
      </c>
      <c r="B11268" t="s">
        <v>150</v>
      </c>
      <c r="C11268" t="s">
        <v>263</v>
      </c>
      <c r="D11268" t="s">
        <v>392</v>
      </c>
      <c r="F11268">
        <f>HYPERLINK("https://www.wikidata.org/wiki/Q111103098", "Q111103098")</f>
        <v>0</v>
      </c>
      <c r="G11268" t="s">
        <v>4730</v>
      </c>
      <c r="H11268" t="s">
        <v>8872</v>
      </c>
      <c r="I11268" t="s">
        <v>9612</v>
      </c>
      <c r="J11268" t="s">
        <v>15194</v>
      </c>
      <c r="K11268" t="s">
        <v>19514</v>
      </c>
      <c r="M11268">
        <f>HYPERLINK("https://www.senat.fr/senateur-3eme-republique/sauton_frederic0630r3.html", "sauton_frederic0630r3")</f>
        <v>0</v>
      </c>
      <c r="N11268">
        <f>HYPERLINK("https://www.wikidata.org/wiki/Q3090193", "Q3090193")</f>
        <v>0</v>
      </c>
      <c r="O11268" t="s">
        <v>19979</v>
      </c>
      <c r="Q11268" t="s">
        <v>21062</v>
      </c>
      <c r="R11268" t="s">
        <v>21666</v>
      </c>
      <c r="S11268">
        <v>25</v>
      </c>
    </row>
    <row r="11269" spans="1:19">
      <c r="A11269" t="s">
        <v>131</v>
      </c>
      <c r="B11269" t="s">
        <v>150</v>
      </c>
      <c r="C11269" t="s">
        <v>263</v>
      </c>
      <c r="D11269" t="s">
        <v>392</v>
      </c>
      <c r="F11269">
        <f>HYPERLINK("https://www.wikidata.org/wiki/Q111103098", "Q111103098")</f>
        <v>0</v>
      </c>
      <c r="G11269" t="s">
        <v>4731</v>
      </c>
      <c r="H11269" t="s">
        <v>8873</v>
      </c>
      <c r="I11269" t="s">
        <v>6860</v>
      </c>
      <c r="J11269" t="s">
        <v>15195</v>
      </c>
      <c r="K11269" t="s">
        <v>19515</v>
      </c>
      <c r="M11269">
        <f>HYPERLINK("https://www.senat.fr/senateur-3eme-republique/lecler_pierre0631r3.html", "lecler_pierre0631r3")</f>
        <v>0</v>
      </c>
      <c r="N11269">
        <f>HYPERLINK("https://www.wikidata.org/wiki/Q3385886", "Q3385886")</f>
        <v>0</v>
      </c>
      <c r="O11269" t="s">
        <v>19979</v>
      </c>
      <c r="Q11269" t="s">
        <v>21063</v>
      </c>
      <c r="R11269" t="s">
        <v>21662</v>
      </c>
      <c r="S11269">
        <v>1756</v>
      </c>
    </row>
    <row r="11270" spans="1:19">
      <c r="A11270" t="s">
        <v>131</v>
      </c>
      <c r="B11270" t="s">
        <v>150</v>
      </c>
      <c r="C11270" t="s">
        <v>263</v>
      </c>
      <c r="D11270" t="s">
        <v>392</v>
      </c>
      <c r="F11270">
        <f>HYPERLINK("https://www.wikidata.org/wiki/Q111103098", "Q111103098")</f>
        <v>0</v>
      </c>
      <c r="G11270" t="s">
        <v>2547</v>
      </c>
      <c r="H11270" t="s">
        <v>7106</v>
      </c>
      <c r="I11270" t="s">
        <v>10281</v>
      </c>
      <c r="J11270" t="s">
        <v>13191</v>
      </c>
      <c r="K11270" t="s">
        <v>17596</v>
      </c>
      <c r="L11270">
        <f>HYPERLINK("https://www2.assemblee-nationale.fr/sycomore/fiche/(num_dept)/2160", "2160")</f>
        <v>0</v>
      </c>
      <c r="M11270">
        <f>HYPERLINK("https://www.senat.fr/senateur-3eme-republique/daumas_augustin1730r3.html", "daumas_augustin1730r3")</f>
        <v>0</v>
      </c>
      <c r="N11270">
        <f>HYPERLINK("https://www.wikidata.org/wiki/Q2871560", "Q2871560")</f>
        <v>0</v>
      </c>
      <c r="O11270" t="s">
        <v>20042</v>
      </c>
      <c r="Q11270" t="s">
        <v>21064</v>
      </c>
      <c r="R11270" t="s">
        <v>21653</v>
      </c>
      <c r="S11270">
        <v>643</v>
      </c>
    </row>
    <row r="11271" spans="1:19">
      <c r="A11271" t="s">
        <v>131</v>
      </c>
      <c r="B11271" t="s">
        <v>150</v>
      </c>
      <c r="C11271" t="s">
        <v>263</v>
      </c>
      <c r="D11271" t="s">
        <v>392</v>
      </c>
      <c r="F11271">
        <f>HYPERLINK("https://www.wikidata.org/wiki/Q111103098", "Q111103098")</f>
        <v>0</v>
      </c>
      <c r="G11271" t="s">
        <v>4732</v>
      </c>
      <c r="H11271" t="s">
        <v>8874</v>
      </c>
      <c r="I11271" t="s">
        <v>6166</v>
      </c>
      <c r="J11271" t="s">
        <v>13779</v>
      </c>
      <c r="K11271" t="s">
        <v>19487</v>
      </c>
      <c r="M11271">
        <f>HYPERLINK("https://www.senat.fr/senateur-3eme-republique/poirrier_francois1358r3.html", "poirrier_francois1358r3")</f>
        <v>0</v>
      </c>
      <c r="N11271">
        <f>HYPERLINK("https://www.wikidata.org/wiki/Q13080874", "Q13080874")</f>
        <v>0</v>
      </c>
      <c r="O11271" t="s">
        <v>19969</v>
      </c>
      <c r="Q11271" t="s">
        <v>21065</v>
      </c>
      <c r="R11271" t="s">
        <v>21653</v>
      </c>
      <c r="S11271">
        <v>601</v>
      </c>
    </row>
    <row r="11272" spans="1:19">
      <c r="A11272" t="s">
        <v>131</v>
      </c>
      <c r="B11272" t="s">
        <v>150</v>
      </c>
      <c r="C11272" t="s">
        <v>263</v>
      </c>
      <c r="D11272" t="s">
        <v>392</v>
      </c>
      <c r="F11272">
        <f>HYPERLINK("https://www.wikidata.org/wiki/Q111103098", "Q111103098")</f>
        <v>0</v>
      </c>
      <c r="G11272" t="s">
        <v>2498</v>
      </c>
      <c r="H11272" t="s">
        <v>5948</v>
      </c>
      <c r="I11272" t="s">
        <v>10247</v>
      </c>
      <c r="J11272" t="s">
        <v>13142</v>
      </c>
      <c r="K11272" t="s">
        <v>17550</v>
      </c>
      <c r="L11272">
        <f>HYPERLINK("https://www2.assemblee-nationale.fr/sycomore/fiche/(num_dept)/685", "685")</f>
        <v>0</v>
      </c>
      <c r="M11272">
        <f>HYPERLINK("https://www.senat.fr/senateur-3eme-republique/bernard_jean0686r3.html", "bernard_jean0686r3")</f>
        <v>0</v>
      </c>
      <c r="N11272">
        <f>HYPERLINK("https://www.wikidata.org/wiki/Q3170720", "Q3170720")</f>
        <v>0</v>
      </c>
      <c r="O11272" t="s">
        <v>19973</v>
      </c>
      <c r="Q11272" t="s">
        <v>21066</v>
      </c>
      <c r="R11272" t="s">
        <v>21662</v>
      </c>
      <c r="S11272">
        <v>1686</v>
      </c>
    </row>
    <row r="11273" spans="1:19">
      <c r="A11273" t="s">
        <v>131</v>
      </c>
      <c r="B11273" t="s">
        <v>150</v>
      </c>
      <c r="C11273" t="s">
        <v>263</v>
      </c>
      <c r="D11273" t="s">
        <v>392</v>
      </c>
      <c r="F11273">
        <f>HYPERLINK("https://www.wikidata.org/wiki/Q111103098", "Q111103098")</f>
        <v>0</v>
      </c>
      <c r="G11273" t="s">
        <v>4733</v>
      </c>
      <c r="H11273" t="s">
        <v>8875</v>
      </c>
      <c r="I11273" t="s">
        <v>9867</v>
      </c>
      <c r="J11273" t="s">
        <v>15196</v>
      </c>
      <c r="K11273" t="s">
        <v>18662</v>
      </c>
      <c r="M11273">
        <f>HYPERLINK("https://www.senat.fr/senateur-3eme-republique/leroux_aime0036r3.html", "leroux_aime0036r3")</f>
        <v>0</v>
      </c>
      <c r="N11273">
        <f>HYPERLINK("https://www.wikidata.org/wiki/Q2828069", "Q2828069")</f>
        <v>0</v>
      </c>
      <c r="O11273" t="s">
        <v>20015</v>
      </c>
      <c r="Q11273" t="s">
        <v>21066</v>
      </c>
      <c r="R11273" t="s">
        <v>21662</v>
      </c>
      <c r="S11273">
        <v>1686</v>
      </c>
    </row>
    <row r="11274" spans="1:19">
      <c r="A11274" t="s">
        <v>131</v>
      </c>
      <c r="B11274" t="s">
        <v>150</v>
      </c>
      <c r="C11274" t="s">
        <v>263</v>
      </c>
      <c r="D11274" t="s">
        <v>392</v>
      </c>
      <c r="F11274">
        <f>HYPERLINK("https://www.wikidata.org/wiki/Q111103098", "Q111103098")</f>
        <v>0</v>
      </c>
      <c r="G11274" t="s">
        <v>3322</v>
      </c>
      <c r="H11274" t="s">
        <v>7728</v>
      </c>
      <c r="I11274" t="s">
        <v>10763</v>
      </c>
      <c r="J11274" t="s">
        <v>13935</v>
      </c>
      <c r="K11274" t="s">
        <v>17799</v>
      </c>
      <c r="L11274">
        <f>HYPERLINK("https://www2.assemblee-nationale.fr/sycomore/fiche/(num_dept)/7986", "7986")</f>
        <v>0</v>
      </c>
      <c r="M11274">
        <f>HYPERLINK("https://www.senat.fr/senateur-3eme-republique/le_guay_gilbert0985r3.html", "le_guay_gilbert0985r3")</f>
        <v>0</v>
      </c>
      <c r="N11274">
        <f>HYPERLINK("https://www.wikidata.org/wiki/Q3105767", "Q3105767")</f>
        <v>0</v>
      </c>
      <c r="O11274" t="s">
        <v>20005</v>
      </c>
      <c r="Q11274" t="s">
        <v>21067</v>
      </c>
      <c r="R11274" t="s">
        <v>21653</v>
      </c>
      <c r="S11274">
        <v>566</v>
      </c>
    </row>
    <row r="11275" spans="1:19">
      <c r="A11275" t="s">
        <v>131</v>
      </c>
      <c r="B11275" t="s">
        <v>150</v>
      </c>
      <c r="C11275" t="s">
        <v>263</v>
      </c>
      <c r="D11275" t="s">
        <v>392</v>
      </c>
      <c r="F11275">
        <f>HYPERLINK("https://www.wikidata.org/wiki/Q111103098", "Q111103098")</f>
        <v>0</v>
      </c>
      <c r="G11275" t="s">
        <v>4734</v>
      </c>
      <c r="H11275" t="s">
        <v>8876</v>
      </c>
      <c r="I11275" t="s">
        <v>9385</v>
      </c>
      <c r="J11275" t="s">
        <v>15197</v>
      </c>
      <c r="K11275" t="s">
        <v>16137</v>
      </c>
      <c r="M11275">
        <f>HYPERLINK("https://www.senat.fr/senateur-3eme-republique/regnault_de_savigny_de_moncorps_charles1261r3.html", "regnault_de_savigny_de_moncorps_charles1261r3")</f>
        <v>0</v>
      </c>
      <c r="N11275">
        <f>HYPERLINK("https://www.wikidata.org/wiki/Q2960167", "Q2960167")</f>
        <v>0</v>
      </c>
      <c r="O11275" t="s">
        <v>20032</v>
      </c>
      <c r="Q11275" t="s">
        <v>21067</v>
      </c>
      <c r="R11275" t="s">
        <v>13013</v>
      </c>
      <c r="S11275">
        <v>2757</v>
      </c>
    </row>
    <row r="11276" spans="1:19">
      <c r="A11276" t="s">
        <v>131</v>
      </c>
      <c r="B11276" t="s">
        <v>150</v>
      </c>
      <c r="C11276" t="s">
        <v>263</v>
      </c>
      <c r="D11276" t="s">
        <v>392</v>
      </c>
      <c r="F11276">
        <f>HYPERLINK("https://www.wikidata.org/wiki/Q111103098", "Q111103098")</f>
        <v>0</v>
      </c>
      <c r="G11276" t="s">
        <v>2926</v>
      </c>
      <c r="H11276" t="s">
        <v>7404</v>
      </c>
      <c r="I11276" t="s">
        <v>10530</v>
      </c>
      <c r="J11276" t="s">
        <v>13559</v>
      </c>
      <c r="K11276" t="s">
        <v>17945</v>
      </c>
      <c r="L11276">
        <f>HYPERLINK("https://www2.assemblee-nationale.fr/sycomore/fiche/(num_dept)/8277", "8277")</f>
        <v>0</v>
      </c>
      <c r="M11276">
        <f>HYPERLINK("https://www.senat.fr/senateur-3eme-republique/lavergne_bernard1682r3.html", "lavergne_bernard1682r3")</f>
        <v>0</v>
      </c>
      <c r="N11276">
        <f>HYPERLINK("https://www.wikidata.org/wiki/Q2899599", "Q2899599")</f>
        <v>0</v>
      </c>
      <c r="O11276" t="s">
        <v>19962</v>
      </c>
      <c r="Q11276" t="s">
        <v>21068</v>
      </c>
      <c r="R11276" t="s">
        <v>21653</v>
      </c>
      <c r="S11276">
        <v>503</v>
      </c>
    </row>
    <row r="11277" spans="1:19">
      <c r="A11277" t="s">
        <v>131</v>
      </c>
      <c r="B11277" t="s">
        <v>150</v>
      </c>
      <c r="C11277" t="s">
        <v>263</v>
      </c>
      <c r="D11277" t="s">
        <v>392</v>
      </c>
      <c r="F11277">
        <f>HYPERLINK("https://www.wikidata.org/wiki/Q111103098", "Q111103098")</f>
        <v>0</v>
      </c>
      <c r="G11277" t="s">
        <v>3077</v>
      </c>
      <c r="H11277" t="s">
        <v>7195</v>
      </c>
      <c r="I11277" t="s">
        <v>10614</v>
      </c>
      <c r="J11277" t="s">
        <v>13701</v>
      </c>
      <c r="K11277" t="s">
        <v>18084</v>
      </c>
      <c r="L11277">
        <f>HYPERLINK("https://www2.assemblee-nationale.fr/sycomore/fiche/(num_dept)/5591", "5591")</f>
        <v>0</v>
      </c>
      <c r="M11277">
        <f>HYPERLINK("https://www.senat.fr/senateur-3eme-republique/obissier_louis0200r3.html", "obissier_louis0200r3")</f>
        <v>0</v>
      </c>
      <c r="N11277">
        <f>HYPERLINK("https://www.wikidata.org/wiki/Q16026221", "Q16026221")</f>
        <v>0</v>
      </c>
      <c r="O11277" t="s">
        <v>19987</v>
      </c>
      <c r="Q11277" t="s">
        <v>20738</v>
      </c>
      <c r="R11277" t="s">
        <v>13013</v>
      </c>
      <c r="S11277">
        <v>2659</v>
      </c>
    </row>
    <row r="11278" spans="1:19">
      <c r="A11278" t="s">
        <v>131</v>
      </c>
      <c r="B11278" t="s">
        <v>150</v>
      </c>
      <c r="C11278" t="s">
        <v>263</v>
      </c>
      <c r="D11278" t="s">
        <v>392</v>
      </c>
      <c r="F11278">
        <f>HYPERLINK("https://www.wikidata.org/wiki/Q111103098", "Q111103098")</f>
        <v>0</v>
      </c>
      <c r="G11278" t="s">
        <v>841</v>
      </c>
      <c r="H11278" t="s">
        <v>5598</v>
      </c>
      <c r="I11278" t="s">
        <v>9548</v>
      </c>
      <c r="J11278" t="s">
        <v>11588</v>
      </c>
      <c r="K11278" t="s">
        <v>15990</v>
      </c>
      <c r="L11278">
        <f>HYPERLINK("https://www2.assemblee-nationale.fr/sycomore/fiche/(num_dept)/7591", "7591")</f>
        <v>0</v>
      </c>
      <c r="M11278">
        <f>HYPERLINK("https://www.senat.fr/senateur-3eme-republique/le_herisse_rene0541r3.html", "le_herisse_rene0541r3")</f>
        <v>0</v>
      </c>
      <c r="N11278">
        <f>HYPERLINK("https://www.wikidata.org/wiki/Q3426501", "Q3426501")</f>
        <v>0</v>
      </c>
      <c r="O11278" t="s">
        <v>19998</v>
      </c>
      <c r="Q11278" t="s">
        <v>20738</v>
      </c>
      <c r="R11278" t="s">
        <v>21667</v>
      </c>
      <c r="S11278">
        <v>8693</v>
      </c>
    </row>
    <row r="11279" spans="1:19">
      <c r="A11279" t="s">
        <v>131</v>
      </c>
      <c r="B11279" t="s">
        <v>150</v>
      </c>
      <c r="C11279" t="s">
        <v>263</v>
      </c>
      <c r="D11279" t="s">
        <v>392</v>
      </c>
      <c r="F11279">
        <f>HYPERLINK("https://www.wikidata.org/wiki/Q111103098", "Q111103098")</f>
        <v>0</v>
      </c>
      <c r="G11279" t="s">
        <v>3051</v>
      </c>
      <c r="H11279" t="s">
        <v>7477</v>
      </c>
      <c r="I11279" t="s">
        <v>7671</v>
      </c>
      <c r="J11279" t="s">
        <v>13351</v>
      </c>
      <c r="K11279" t="s">
        <v>18058</v>
      </c>
      <c r="L11279">
        <f>HYPERLINK("https://www2.assemblee-nationale.fr/sycomore/fiche/(num_dept)/7949", "7949")</f>
        <v>0</v>
      </c>
      <c r="M11279">
        <f>HYPERLINK("https://www.senat.fr/senateur-3eme-republique/gaillard_gilbert0997r3.html", "gaillard_gilbert0997r3")</f>
        <v>0</v>
      </c>
      <c r="N11279">
        <f>HYPERLINK("https://www.wikidata.org/wiki/Q3105720", "Q3105720")</f>
        <v>0</v>
      </c>
      <c r="O11279" t="s">
        <v>20005</v>
      </c>
      <c r="Q11279" t="s">
        <v>21069</v>
      </c>
      <c r="R11279" t="s">
        <v>21653</v>
      </c>
      <c r="S11279">
        <v>412</v>
      </c>
    </row>
    <row r="11280" spans="1:19">
      <c r="A11280" t="s">
        <v>131</v>
      </c>
      <c r="B11280" t="s">
        <v>150</v>
      </c>
      <c r="C11280" t="s">
        <v>263</v>
      </c>
      <c r="D11280" t="s">
        <v>392</v>
      </c>
      <c r="F11280">
        <f>HYPERLINK("https://www.wikidata.org/wiki/Q111103098", "Q111103098")</f>
        <v>0</v>
      </c>
      <c r="G11280" t="s">
        <v>2542</v>
      </c>
      <c r="H11280" t="s">
        <v>5867</v>
      </c>
      <c r="I11280" t="s">
        <v>9442</v>
      </c>
      <c r="J11280" t="s">
        <v>13186</v>
      </c>
      <c r="K11280" t="s">
        <v>17591</v>
      </c>
      <c r="L11280">
        <f>HYPERLINK("https://www2.assemblee-nationale.fr/sycomore/fiche/(num_dept)/1942", "1942")</f>
        <v>0</v>
      </c>
      <c r="M11280">
        <f>HYPERLINK("https://www.senat.fr/senateur-3eme-republique/constans_ernest0107r3.html", "constans_ernest0107r3")</f>
        <v>0</v>
      </c>
      <c r="N11280">
        <f>HYPERLINK("https://www.wikidata.org/wiki/Q1934639", "Q1934639")</f>
        <v>0</v>
      </c>
      <c r="O11280" t="s">
        <v>20016</v>
      </c>
      <c r="Q11280" t="s">
        <v>21070</v>
      </c>
      <c r="R11280" t="s">
        <v>13013</v>
      </c>
      <c r="S11280">
        <v>2561</v>
      </c>
    </row>
    <row r="11281" spans="1:19">
      <c r="A11281" t="s">
        <v>131</v>
      </c>
      <c r="B11281" t="s">
        <v>150</v>
      </c>
      <c r="C11281" t="s">
        <v>263</v>
      </c>
      <c r="D11281" t="s">
        <v>392</v>
      </c>
      <c r="F11281">
        <f>HYPERLINK("https://www.wikidata.org/wiki/Q111103098", "Q111103098")</f>
        <v>0</v>
      </c>
      <c r="G11281" t="s">
        <v>2848</v>
      </c>
      <c r="H11281" t="s">
        <v>5498</v>
      </c>
      <c r="I11281" t="s">
        <v>10475</v>
      </c>
      <c r="J11281" t="s">
        <v>13487</v>
      </c>
      <c r="K11281" t="s">
        <v>17875</v>
      </c>
      <c r="L11281">
        <f>HYPERLINK("https://www2.assemblee-nationale.fr/sycomore/fiche/(num_dept)/8172", "8172")</f>
        <v>0</v>
      </c>
      <c r="M11281">
        <f>HYPERLINK("https://www.senat.fr/senateur-3eme-republique/morel_hippolyte1043r3.html", "morel_hippolyte1043r3")</f>
        <v>0</v>
      </c>
      <c r="N11281">
        <f>HYPERLINK("https://www.wikidata.org/wiki/Q3136093", "Q3136093")</f>
        <v>0</v>
      </c>
      <c r="O11281" t="s">
        <v>19985</v>
      </c>
      <c r="Q11281" t="s">
        <v>21071</v>
      </c>
      <c r="R11281" t="s">
        <v>13013</v>
      </c>
      <c r="S11281">
        <v>2540</v>
      </c>
    </row>
    <row r="11282" spans="1:19">
      <c r="A11282" t="s">
        <v>131</v>
      </c>
      <c r="B11282" t="s">
        <v>150</v>
      </c>
      <c r="C11282" t="s">
        <v>263</v>
      </c>
      <c r="D11282" t="s">
        <v>392</v>
      </c>
      <c r="F11282">
        <f>HYPERLINK("https://www.wikidata.org/wiki/Q111103098", "Q111103098")</f>
        <v>0</v>
      </c>
      <c r="G11282" t="s">
        <v>4735</v>
      </c>
      <c r="H11282" t="s">
        <v>8877</v>
      </c>
      <c r="I11282" t="s">
        <v>9388</v>
      </c>
      <c r="J11282" t="s">
        <v>15198</v>
      </c>
      <c r="K11282" t="s">
        <v>19516</v>
      </c>
      <c r="M11282">
        <f>HYPERLINK("https://www.senat.fr/senateur-3eme-republique/decauville_paul1626r3.html", "decauville_paul1626r3")</f>
        <v>0</v>
      </c>
      <c r="N11282">
        <f>HYPERLINK("https://www.wikidata.org/wiki/Q7831026", "Q7831026")</f>
        <v>0</v>
      </c>
      <c r="O11282" t="s">
        <v>19976</v>
      </c>
      <c r="Q11282" t="s">
        <v>21072</v>
      </c>
      <c r="R11282" t="s">
        <v>21653</v>
      </c>
      <c r="S11282">
        <v>335</v>
      </c>
    </row>
    <row r="11283" spans="1:19">
      <c r="A11283" t="s">
        <v>131</v>
      </c>
      <c r="B11283" t="s">
        <v>150</v>
      </c>
      <c r="C11283" t="s">
        <v>263</v>
      </c>
      <c r="D11283" t="s">
        <v>392</v>
      </c>
      <c r="F11283">
        <f>HYPERLINK("https://www.wikidata.org/wiki/Q111103098", "Q111103098")</f>
        <v>0</v>
      </c>
      <c r="G11283" t="s">
        <v>3458</v>
      </c>
      <c r="H11283" t="s">
        <v>7831</v>
      </c>
      <c r="I11283" t="s">
        <v>9457</v>
      </c>
      <c r="J11283" t="s">
        <v>14060</v>
      </c>
      <c r="K11283" t="s">
        <v>18428</v>
      </c>
      <c r="L11283">
        <f>HYPERLINK("https://www2.assemblee-nationale.fr/sycomore/fiche/(num_dept)/3763", "3763")</f>
        <v>0</v>
      </c>
      <c r="M11283">
        <f>HYPERLINK("https://www.senat.fr/senateur-3eme-republique/haulon_seraphin1068r3.html", "haulon_seraphin1068r3")</f>
        <v>0</v>
      </c>
      <c r="N11283">
        <f>HYPERLINK("https://www.wikidata.org/wiki/Q3511110", "Q3511110")</f>
        <v>0</v>
      </c>
      <c r="O11283" t="s">
        <v>19970</v>
      </c>
      <c r="Q11283" t="s">
        <v>20747</v>
      </c>
      <c r="R11283" t="s">
        <v>21653</v>
      </c>
      <c r="S11283">
        <v>300</v>
      </c>
    </row>
    <row r="11284" spans="1:19">
      <c r="A11284" t="s">
        <v>131</v>
      </c>
      <c r="B11284" t="s">
        <v>150</v>
      </c>
      <c r="C11284" t="s">
        <v>263</v>
      </c>
      <c r="D11284" t="s">
        <v>392</v>
      </c>
      <c r="F11284">
        <f>HYPERLINK("https://www.wikidata.org/wiki/Q111103098", "Q111103098")</f>
        <v>0</v>
      </c>
      <c r="G11284" t="s">
        <v>3362</v>
      </c>
      <c r="H11284" t="s">
        <v>7759</v>
      </c>
      <c r="I11284" t="s">
        <v>9483</v>
      </c>
      <c r="J11284" t="s">
        <v>13974</v>
      </c>
      <c r="K11284" t="s">
        <v>18342</v>
      </c>
      <c r="L11284">
        <f>HYPERLINK("https://www2.assemblee-nationale.fr/sycomore/fiche/(num_dept)/5287", "5287")</f>
        <v>0</v>
      </c>
      <c r="M11284">
        <f>HYPERLINK("https://www.senat.fr/senateur-3eme-republique/milliard_victor0760r3.html", "milliard_victor0760r3")</f>
        <v>0</v>
      </c>
      <c r="N11284">
        <f>HYPERLINK("https://www.wikidata.org/wiki/Q3557460", "Q3557460")</f>
        <v>0</v>
      </c>
      <c r="O11284" t="s">
        <v>19992</v>
      </c>
      <c r="Q11284" t="s">
        <v>20750</v>
      </c>
      <c r="R11284" t="s">
        <v>21662</v>
      </c>
      <c r="S11284">
        <v>1364</v>
      </c>
    </row>
    <row r="11285" spans="1:19">
      <c r="A11285" t="s">
        <v>131</v>
      </c>
      <c r="B11285" t="s">
        <v>150</v>
      </c>
      <c r="C11285" t="s">
        <v>263</v>
      </c>
      <c r="D11285" t="s">
        <v>392</v>
      </c>
      <c r="F11285">
        <f>HYPERLINK("https://www.wikidata.org/wiki/Q111103098", "Q111103098")</f>
        <v>0</v>
      </c>
      <c r="G11285" t="s">
        <v>4736</v>
      </c>
      <c r="H11285" t="s">
        <v>8878</v>
      </c>
      <c r="I11285" t="s">
        <v>7419</v>
      </c>
      <c r="J11285" t="s">
        <v>15199</v>
      </c>
      <c r="K11285" t="s">
        <v>19517</v>
      </c>
      <c r="M11285">
        <f>HYPERLINK("https://www.senat.fr/senateur-3eme-republique/bordes_pages_jacques0186r3.html", "bordes_pages_jacques0186r3")</f>
        <v>0</v>
      </c>
      <c r="N11285">
        <f>HYPERLINK("https://www.wikidata.org/wiki/Q3158323", "Q3158323")</f>
        <v>0</v>
      </c>
      <c r="O11285" t="s">
        <v>20019</v>
      </c>
      <c r="Q11285" t="s">
        <v>20750</v>
      </c>
      <c r="R11285" t="s">
        <v>21662</v>
      </c>
      <c r="S11285">
        <v>1364</v>
      </c>
    </row>
    <row r="11286" spans="1:19">
      <c r="A11286" t="s">
        <v>131</v>
      </c>
      <c r="B11286" t="s">
        <v>150</v>
      </c>
      <c r="C11286" t="s">
        <v>263</v>
      </c>
      <c r="D11286" t="s">
        <v>392</v>
      </c>
      <c r="F11286">
        <f>HYPERLINK("https://www.wikidata.org/wiki/Q111103098", "Q111103098")</f>
        <v>0</v>
      </c>
      <c r="G11286" t="s">
        <v>4737</v>
      </c>
      <c r="H11286" t="s">
        <v>8879</v>
      </c>
      <c r="I11286" t="s">
        <v>9407</v>
      </c>
      <c r="J11286" t="s">
        <v>15200</v>
      </c>
      <c r="K11286" t="s">
        <v>19518</v>
      </c>
      <c r="M11286">
        <f>HYPERLINK("https://www.senat.fr/senateur-3eme-republique/astor_joseph0814r3.html", "astor_joseph0814r3")</f>
        <v>0</v>
      </c>
      <c r="N11286">
        <f>HYPERLINK("https://www.wikidata.org/wiki/Q3184539", "Q3184539")</f>
        <v>0</v>
      </c>
      <c r="O11286" t="s">
        <v>20011</v>
      </c>
      <c r="Q11286" t="s">
        <v>20750</v>
      </c>
      <c r="R11286" t="s">
        <v>21662</v>
      </c>
      <c r="S11286">
        <v>1364</v>
      </c>
    </row>
    <row r="11287" spans="1:19">
      <c r="A11287" t="s">
        <v>131</v>
      </c>
      <c r="B11287" t="s">
        <v>150</v>
      </c>
      <c r="C11287" t="s">
        <v>263</v>
      </c>
      <c r="D11287" t="s">
        <v>392</v>
      </c>
      <c r="F11287">
        <f>HYPERLINK("https://www.wikidata.org/wiki/Q111103098", "Q111103098")</f>
        <v>0</v>
      </c>
      <c r="G11287" t="s">
        <v>4738</v>
      </c>
      <c r="H11287" t="s">
        <v>8880</v>
      </c>
      <c r="I11287" t="s">
        <v>9421</v>
      </c>
      <c r="J11287" t="s">
        <v>15201</v>
      </c>
      <c r="K11287" t="s">
        <v>19519</v>
      </c>
      <c r="M11287">
        <f>HYPERLINK("https://www.senat.fr/senateur-3eme-republique/coste_gustave1838r3.html", "coste_gustave1838r3")</f>
        <v>0</v>
      </c>
      <c r="N11287">
        <f>HYPERLINK("https://www.wikidata.org/wiki/Q3121144", "Q3121144")</f>
        <v>0</v>
      </c>
      <c r="O11287" t="s">
        <v>20034</v>
      </c>
      <c r="Q11287" t="s">
        <v>20755</v>
      </c>
      <c r="R11287" t="s">
        <v>21653</v>
      </c>
      <c r="S11287">
        <v>223</v>
      </c>
    </row>
    <row r="11288" spans="1:19">
      <c r="A11288" t="s">
        <v>131</v>
      </c>
      <c r="B11288" t="s">
        <v>150</v>
      </c>
      <c r="C11288" t="s">
        <v>263</v>
      </c>
      <c r="D11288" t="s">
        <v>392</v>
      </c>
      <c r="F11288">
        <f>HYPERLINK("https://www.wikidata.org/wiki/Q111103098", "Q111103098")</f>
        <v>0</v>
      </c>
      <c r="G11288" t="s">
        <v>4297</v>
      </c>
      <c r="H11288" t="s">
        <v>6183</v>
      </c>
      <c r="I11288" t="s">
        <v>9465</v>
      </c>
      <c r="J11288" t="s">
        <v>14796</v>
      </c>
      <c r="K11288" t="s">
        <v>19139</v>
      </c>
      <c r="M11288">
        <f>HYPERLINK("https://www.senat.fr/senateur-3eme-republique/guerin_eugene1709r3.html", "guerin_eugene1709r3")</f>
        <v>0</v>
      </c>
      <c r="N11288">
        <f>HYPERLINK("https://www.wikidata.org/wiki/Q3059913", "Q3059913")</f>
        <v>0</v>
      </c>
      <c r="O11288" t="s">
        <v>20047</v>
      </c>
      <c r="Q11288" t="s">
        <v>21073</v>
      </c>
      <c r="R11288" t="s">
        <v>21653</v>
      </c>
      <c r="S11288">
        <v>216</v>
      </c>
    </row>
    <row r="11289" spans="1:19">
      <c r="A11289" t="s">
        <v>131</v>
      </c>
      <c r="B11289" t="s">
        <v>150</v>
      </c>
      <c r="C11289" t="s">
        <v>263</v>
      </c>
      <c r="D11289" t="s">
        <v>392</v>
      </c>
      <c r="F11289">
        <f>HYPERLINK("https://www.wikidata.org/wiki/Q111103098", "Q111103098")</f>
        <v>0</v>
      </c>
      <c r="G11289" t="s">
        <v>2570</v>
      </c>
      <c r="H11289" t="s">
        <v>6156</v>
      </c>
      <c r="I11289" t="s">
        <v>7790</v>
      </c>
      <c r="J11289" t="s">
        <v>13214</v>
      </c>
      <c r="K11289" t="s">
        <v>17617</v>
      </c>
      <c r="L11289">
        <f>HYPERLINK("https://www2.assemblee-nationale.fr/sycomore/fiche/(num_dept)/2901", "2901")</f>
        <v>0</v>
      </c>
      <c r="M11289">
        <f>HYPERLINK("https://www.senat.fr/senateur-3eme-republique/fallieres_armand0754r3.html", "fallieres_armand0754r3")</f>
        <v>0</v>
      </c>
      <c r="N11289">
        <f>HYPERLINK("https://www.wikidata.org/wiki/Q296673", "Q296673")</f>
        <v>0</v>
      </c>
      <c r="O11289" t="s">
        <v>20043</v>
      </c>
      <c r="Q11289" t="s">
        <v>21074</v>
      </c>
      <c r="R11289" t="s">
        <v>13013</v>
      </c>
      <c r="S11289">
        <v>2400</v>
      </c>
    </row>
    <row r="11290" spans="1:19">
      <c r="A11290" t="s">
        <v>131</v>
      </c>
      <c r="B11290" t="s">
        <v>150</v>
      </c>
      <c r="C11290" t="s">
        <v>263</v>
      </c>
      <c r="D11290" t="s">
        <v>392</v>
      </c>
      <c r="F11290">
        <f>HYPERLINK("https://www.wikidata.org/wiki/Q111103098", "Q111103098")</f>
        <v>0</v>
      </c>
      <c r="G11290" t="s">
        <v>2740</v>
      </c>
      <c r="H11290" t="s">
        <v>7259</v>
      </c>
      <c r="I11290" t="s">
        <v>10397</v>
      </c>
      <c r="J11290" t="s">
        <v>13381</v>
      </c>
      <c r="K11290" t="s">
        <v>17779</v>
      </c>
      <c r="L11290">
        <f>HYPERLINK("https://www2.assemblee-nationale.fr/sycomore/fiche/(num_dept)/7968", "7968")</f>
        <v>0</v>
      </c>
      <c r="M11290">
        <f>HYPERLINK("https://www.senat.fr/senateur-3eme-republique/jametel_gustave1667r3.html", "jametel_gustave1667r3")</f>
        <v>0</v>
      </c>
      <c r="N11290">
        <f>HYPERLINK("https://www.wikidata.org/wiki/Q3121093", "Q3121093")</f>
        <v>0</v>
      </c>
      <c r="O11290" t="s">
        <v>20012</v>
      </c>
      <c r="Q11290" t="s">
        <v>21075</v>
      </c>
      <c r="R11290" t="s">
        <v>21653</v>
      </c>
      <c r="S11290">
        <v>202</v>
      </c>
    </row>
    <row r="11291" spans="1:19">
      <c r="A11291" t="s">
        <v>131</v>
      </c>
      <c r="B11291" t="s">
        <v>150</v>
      </c>
      <c r="C11291" t="s">
        <v>263</v>
      </c>
      <c r="D11291" t="s">
        <v>392</v>
      </c>
      <c r="F11291">
        <f>HYPERLINK("https://www.wikidata.org/wiki/Q111103098", "Q111103098")</f>
        <v>0</v>
      </c>
      <c r="G11291" t="s">
        <v>4739</v>
      </c>
      <c r="H11291" t="s">
        <v>8881</v>
      </c>
      <c r="I11291" t="s">
        <v>9385</v>
      </c>
      <c r="J11291" t="s">
        <v>15202</v>
      </c>
      <c r="K11291" t="s">
        <v>19520</v>
      </c>
      <c r="M11291">
        <f>HYPERLINK("https://www.senat.fr/senateur-3eme-republique/forest_charles1300r3.html", "forest_charles1300r3")</f>
        <v>0</v>
      </c>
      <c r="N11291">
        <f>HYPERLINK("https://www.wikidata.org/wiki/Q2959076", "Q2959076")</f>
        <v>0</v>
      </c>
      <c r="O11291" t="s">
        <v>19988</v>
      </c>
      <c r="Q11291" t="s">
        <v>20756</v>
      </c>
      <c r="R11291" t="s">
        <v>21653</v>
      </c>
      <c r="S11291">
        <v>181</v>
      </c>
    </row>
    <row r="11292" spans="1:19">
      <c r="A11292" t="s">
        <v>131</v>
      </c>
      <c r="B11292" t="s">
        <v>150</v>
      </c>
      <c r="C11292" t="s">
        <v>263</v>
      </c>
      <c r="D11292" t="s">
        <v>392</v>
      </c>
      <c r="F11292">
        <f>HYPERLINK("https://www.wikidata.org/wiki/Q111103098", "Q111103098")</f>
        <v>0</v>
      </c>
      <c r="G11292" t="s">
        <v>4740</v>
      </c>
      <c r="H11292" t="s">
        <v>8882</v>
      </c>
      <c r="I11292" t="s">
        <v>9375</v>
      </c>
      <c r="J11292" t="s">
        <v>15203</v>
      </c>
      <c r="K11292" t="s">
        <v>19521</v>
      </c>
      <c r="M11292">
        <f>HYPERLINK("https://www.senat.fr/senateur-3eme-republique/martell_edouard0399r3.html", "martell_edouard0399r3")</f>
        <v>0</v>
      </c>
      <c r="N11292">
        <f>HYPERLINK("https://www.wikidata.org/wiki/Q3579955", "Q3579955")</f>
        <v>0</v>
      </c>
      <c r="O11292" t="s">
        <v>20031</v>
      </c>
      <c r="Q11292" t="s">
        <v>21076</v>
      </c>
      <c r="R11292" t="s">
        <v>21662</v>
      </c>
      <c r="S11292">
        <v>1259</v>
      </c>
    </row>
    <row r="11293" spans="1:19">
      <c r="A11293" t="s">
        <v>131</v>
      </c>
      <c r="B11293" t="s">
        <v>150</v>
      </c>
      <c r="C11293" t="s">
        <v>263</v>
      </c>
      <c r="D11293" t="s">
        <v>392</v>
      </c>
      <c r="F11293">
        <f>HYPERLINK("https://www.wikidata.org/wiki/Q111103098", "Q111103098")</f>
        <v>0</v>
      </c>
      <c r="G11293" t="s">
        <v>4741</v>
      </c>
      <c r="H11293" t="s">
        <v>8883</v>
      </c>
      <c r="I11293" t="s">
        <v>9533</v>
      </c>
      <c r="J11293" t="s">
        <v>15204</v>
      </c>
      <c r="K11293" t="s">
        <v>19425</v>
      </c>
      <c r="M11293">
        <f>HYPERLINK("https://www.senat.fr/senateur-3eme-republique/drouhet_theodore0848r3.html", "drouhet_theodore0848r3")</f>
        <v>0</v>
      </c>
      <c r="N11293">
        <f>HYPERLINK("https://www.wikidata.org/wiki/Q3526415", "Q3526415")</f>
        <v>0</v>
      </c>
      <c r="O11293" t="s">
        <v>19963</v>
      </c>
      <c r="Q11293" t="s">
        <v>21077</v>
      </c>
      <c r="R11293" t="s">
        <v>21662</v>
      </c>
      <c r="S11293">
        <v>1196</v>
      </c>
    </row>
    <row r="11294" spans="1:19">
      <c r="A11294" t="s">
        <v>132</v>
      </c>
      <c r="B11294" t="s">
        <v>150</v>
      </c>
      <c r="C11294" t="s">
        <v>264</v>
      </c>
      <c r="D11294" t="s">
        <v>393</v>
      </c>
      <c r="F11294">
        <f>HYPERLINK("https://www.wikidata.org/wiki/Q111103099", "Q111103099")</f>
        <v>0</v>
      </c>
      <c r="G11294" t="s">
        <v>2946</v>
      </c>
      <c r="H11294" t="s">
        <v>5276</v>
      </c>
      <c r="I11294" t="s">
        <v>10540</v>
      </c>
      <c r="J11294" t="s">
        <v>13579</v>
      </c>
      <c r="K11294" t="s">
        <v>17964</v>
      </c>
      <c r="L11294">
        <f>HYPERLINK("https://www2.assemblee-nationale.fr/sycomore/fiche/(num_dept)/444", "444")</f>
        <v>0</v>
      </c>
      <c r="M11294">
        <f>HYPERLINK("https://www.senat.fr/senateur-3eme-republique/barthe_marcel1046r3.html", "barthe_marcel1046r3")</f>
        <v>0</v>
      </c>
      <c r="N11294">
        <f>HYPERLINK("https://www.wikidata.org/wiki/Q3288644", "Q3288644")</f>
        <v>0</v>
      </c>
      <c r="O11294" t="s">
        <v>19970</v>
      </c>
      <c r="Q11294" t="s">
        <v>393</v>
      </c>
      <c r="R11294" t="s">
        <v>21650</v>
      </c>
      <c r="S11294">
        <v>20013</v>
      </c>
    </row>
    <row r="11295" spans="1:19">
      <c r="A11295" t="s">
        <v>132</v>
      </c>
      <c r="B11295" t="s">
        <v>150</v>
      </c>
      <c r="C11295" t="s">
        <v>264</v>
      </c>
      <c r="D11295" t="s">
        <v>393</v>
      </c>
      <c r="F11295">
        <f>HYPERLINK("https://www.wikidata.org/wiki/Q111103099", "Q111103099")</f>
        <v>0</v>
      </c>
      <c r="G11295" t="s">
        <v>2525</v>
      </c>
      <c r="H11295" t="s">
        <v>7088</v>
      </c>
      <c r="I11295" t="s">
        <v>10267</v>
      </c>
      <c r="J11295" t="s">
        <v>13169</v>
      </c>
      <c r="K11295" t="s">
        <v>17575</v>
      </c>
      <c r="L11295">
        <f>HYPERLINK("https://www2.assemblee-nationale.fr/sycomore/fiche/(num_dept)/1271", "1271")</f>
        <v>0</v>
      </c>
      <c r="M11295">
        <f>HYPERLINK("https://www.senat.fr/senateur-3eme-republique/brugnot_alfred1798r3.html", "brugnot_alfred1798r3")</f>
        <v>0</v>
      </c>
      <c r="N11295">
        <f>HYPERLINK("https://www.wikidata.org/wiki/Q2834995", "Q2834995")</f>
        <v>0</v>
      </c>
      <c r="O11295" t="s">
        <v>20017</v>
      </c>
      <c r="Q11295" t="s">
        <v>393</v>
      </c>
      <c r="R11295" t="s">
        <v>21668</v>
      </c>
      <c r="S11295">
        <v>3310</v>
      </c>
    </row>
    <row r="11296" spans="1:19">
      <c r="A11296" t="s">
        <v>132</v>
      </c>
      <c r="B11296" t="s">
        <v>150</v>
      </c>
      <c r="C11296" t="s">
        <v>264</v>
      </c>
      <c r="D11296" t="s">
        <v>393</v>
      </c>
      <c r="F11296">
        <f>HYPERLINK("https://www.wikidata.org/wiki/Q111103099", "Q111103099")</f>
        <v>0</v>
      </c>
      <c r="G11296" t="s">
        <v>2548</v>
      </c>
      <c r="H11296" t="s">
        <v>7107</v>
      </c>
      <c r="I11296" t="s">
        <v>9455</v>
      </c>
      <c r="J11296" t="s">
        <v>13192</v>
      </c>
      <c r="K11296" t="s">
        <v>17597</v>
      </c>
      <c r="L11296">
        <f>HYPERLINK("https://www2.assemblee-nationale.fr/sycomore/fiche/(num_dept)/2165", "2165")</f>
        <v>0</v>
      </c>
      <c r="M11296">
        <f>HYPERLINK("https://www.senat.fr/senateur-3eme-republique/dautresme_lucien1592r3.html", "dautresme_lucien1592r3")</f>
        <v>0</v>
      </c>
      <c r="N11296">
        <f>HYPERLINK("https://www.wikidata.org/wiki/Q3265453", "Q3265453")</f>
        <v>0</v>
      </c>
      <c r="O11296" t="s">
        <v>19978</v>
      </c>
      <c r="Q11296" t="s">
        <v>393</v>
      </c>
      <c r="R11296" t="s">
        <v>17597</v>
      </c>
      <c r="S11296">
        <v>410</v>
      </c>
    </row>
    <row r="11297" spans="1:19">
      <c r="A11297" t="s">
        <v>132</v>
      </c>
      <c r="B11297" t="s">
        <v>150</v>
      </c>
      <c r="C11297" t="s">
        <v>264</v>
      </c>
      <c r="D11297" t="s">
        <v>393</v>
      </c>
      <c r="F11297">
        <f>HYPERLINK("https://www.wikidata.org/wiki/Q111103099", "Q111103099")</f>
        <v>0</v>
      </c>
      <c r="G11297" t="s">
        <v>3458</v>
      </c>
      <c r="H11297" t="s">
        <v>7831</v>
      </c>
      <c r="I11297" t="s">
        <v>9457</v>
      </c>
      <c r="J11297" t="s">
        <v>14060</v>
      </c>
      <c r="K11297" t="s">
        <v>18428</v>
      </c>
      <c r="L11297">
        <f>HYPERLINK("https://www2.assemblee-nationale.fr/sycomore/fiche/(num_dept)/3763", "3763")</f>
        <v>0</v>
      </c>
      <c r="M11297">
        <f>HYPERLINK("https://www.senat.fr/senateur-3eme-republique/haulon_seraphin1068r3.html", "haulon_seraphin1068r3")</f>
        <v>0</v>
      </c>
      <c r="N11297">
        <f>HYPERLINK("https://www.wikidata.org/wiki/Q3511110", "Q3511110")</f>
        <v>0</v>
      </c>
      <c r="O11297" t="s">
        <v>19970</v>
      </c>
      <c r="Q11297" t="s">
        <v>393</v>
      </c>
      <c r="R11297" t="s">
        <v>21668</v>
      </c>
      <c r="S11297">
        <v>3310</v>
      </c>
    </row>
    <row r="11298" spans="1:19">
      <c r="A11298" t="s">
        <v>132</v>
      </c>
      <c r="B11298" t="s">
        <v>150</v>
      </c>
      <c r="C11298" t="s">
        <v>264</v>
      </c>
      <c r="D11298" t="s">
        <v>393</v>
      </c>
      <c r="F11298">
        <f>HYPERLINK("https://www.wikidata.org/wiki/Q111103099", "Q111103099")</f>
        <v>0</v>
      </c>
      <c r="G11298" t="s">
        <v>2601</v>
      </c>
      <c r="H11298" t="s">
        <v>7150</v>
      </c>
      <c r="I11298" t="s">
        <v>6860</v>
      </c>
      <c r="J11298" t="s">
        <v>13244</v>
      </c>
      <c r="K11298" t="s">
        <v>17647</v>
      </c>
      <c r="L11298">
        <f>HYPERLINK("https://www2.assemblee-nationale.fr/sycomore/fiche/(num_dept)/4036", "4036")</f>
        <v>0</v>
      </c>
      <c r="M11298">
        <f>HYPERLINK("https://www.senat.fr/senateur-3eme-republique/joigneaux_pierre0546r3.html", "joigneaux_pierre0546r3")</f>
        <v>0</v>
      </c>
      <c r="N11298">
        <f>HYPERLINK("https://www.wikidata.org/wiki/Q3385603", "Q3385603")</f>
        <v>0</v>
      </c>
      <c r="Q11298" t="s">
        <v>393</v>
      </c>
      <c r="R11298" t="s">
        <v>21669</v>
      </c>
      <c r="S11298">
        <v>387</v>
      </c>
    </row>
    <row r="11299" spans="1:19">
      <c r="A11299" t="s">
        <v>132</v>
      </c>
      <c r="B11299" t="s">
        <v>150</v>
      </c>
      <c r="C11299" t="s">
        <v>264</v>
      </c>
      <c r="D11299" t="s">
        <v>393</v>
      </c>
      <c r="F11299">
        <f>HYPERLINK("https://www.wikidata.org/wiki/Q111103099", "Q111103099")</f>
        <v>0</v>
      </c>
      <c r="G11299" t="s">
        <v>2698</v>
      </c>
      <c r="H11299" t="s">
        <v>7230</v>
      </c>
      <c r="I11299" t="s">
        <v>6495</v>
      </c>
      <c r="J11299" t="s">
        <v>13339</v>
      </c>
      <c r="K11299" t="s">
        <v>17739</v>
      </c>
      <c r="L11299">
        <f>HYPERLINK("https://www2.assemblee-nationale.fr/sycomore/fiche/(num_dept)/7463", "7463")</f>
        <v>0</v>
      </c>
      <c r="M11299">
        <f>HYPERLINK("https://www.senat.fr/senateur-3eme-republique/vignancour_louis1056r3.html", "vignancour_louis1056r3")</f>
        <v>0</v>
      </c>
      <c r="N11299">
        <f>HYPERLINK("https://www.wikidata.org/wiki/Q3263285", "Q3263285")</f>
        <v>0</v>
      </c>
      <c r="O11299" t="s">
        <v>19970</v>
      </c>
      <c r="Q11299" t="s">
        <v>393</v>
      </c>
      <c r="R11299" t="s">
        <v>13084</v>
      </c>
      <c r="S11299">
        <v>3295</v>
      </c>
    </row>
    <row r="11300" spans="1:19">
      <c r="A11300" t="s">
        <v>132</v>
      </c>
      <c r="B11300" t="s">
        <v>150</v>
      </c>
      <c r="C11300" t="s">
        <v>264</v>
      </c>
      <c r="D11300" t="s">
        <v>393</v>
      </c>
      <c r="F11300">
        <f>HYPERLINK("https://www.wikidata.org/wiki/Q111103099", "Q111103099")</f>
        <v>0</v>
      </c>
      <c r="G11300" t="s">
        <v>3174</v>
      </c>
      <c r="H11300" t="s">
        <v>7605</v>
      </c>
      <c r="I11300" t="s">
        <v>9375</v>
      </c>
      <c r="J11300" t="s">
        <v>13795</v>
      </c>
      <c r="K11300" t="s">
        <v>18170</v>
      </c>
      <c r="L11300">
        <f>HYPERLINK("https://www2.assemblee-nationale.fr/sycomore/fiche/(num_dept)/7464", "7464")</f>
        <v>0</v>
      </c>
      <c r="M11300">
        <f>HYPERLINK("https://www.senat.fr/senateur-3eme-republique/vilar_edouard1097r3.html", "vilar_edouard1097r3")</f>
        <v>0</v>
      </c>
      <c r="N11300">
        <f>HYPERLINK("https://www.wikidata.org/wiki/Q3580059", "Q3580059")</f>
        <v>0</v>
      </c>
      <c r="O11300" t="s">
        <v>20001</v>
      </c>
      <c r="Q11300" t="s">
        <v>393</v>
      </c>
      <c r="R11300" t="s">
        <v>21668</v>
      </c>
      <c r="S11300">
        <v>3310</v>
      </c>
    </row>
    <row r="11301" spans="1:19">
      <c r="A11301" t="s">
        <v>132</v>
      </c>
      <c r="B11301" t="s">
        <v>150</v>
      </c>
      <c r="C11301" t="s">
        <v>264</v>
      </c>
      <c r="D11301" t="s">
        <v>393</v>
      </c>
      <c r="F11301">
        <f>HYPERLINK("https://www.wikidata.org/wiki/Q111103099", "Q111103099")</f>
        <v>0</v>
      </c>
      <c r="G11301" t="s">
        <v>2699</v>
      </c>
      <c r="H11301" t="s">
        <v>7231</v>
      </c>
      <c r="I11301" t="s">
        <v>10372</v>
      </c>
      <c r="J11301" t="s">
        <v>13340</v>
      </c>
      <c r="K11301" t="s">
        <v>17740</v>
      </c>
      <c r="L11301">
        <f>HYPERLINK("https://www2.assemblee-nationale.fr/sycomore/fiche/(num_dept)/7467", "7467")</f>
        <v>0</v>
      </c>
      <c r="M11301">
        <f>HYPERLINK("https://www.senat.fr/senateur-3eme-republique/waddington_richard1606r3.html", "waddington_richard1606r3")</f>
        <v>0</v>
      </c>
      <c r="N11301">
        <f>HYPERLINK("https://www.wikidata.org/wiki/Q2150850", "Q2150850")</f>
        <v>0</v>
      </c>
      <c r="O11301" t="s">
        <v>19978</v>
      </c>
      <c r="Q11301" t="s">
        <v>393</v>
      </c>
      <c r="R11301" t="s">
        <v>21668</v>
      </c>
      <c r="S11301">
        <v>3310</v>
      </c>
    </row>
    <row r="11302" spans="1:19">
      <c r="A11302" t="s">
        <v>132</v>
      </c>
      <c r="B11302" t="s">
        <v>150</v>
      </c>
      <c r="C11302" t="s">
        <v>264</v>
      </c>
      <c r="D11302" t="s">
        <v>393</v>
      </c>
      <c r="F11302">
        <f>HYPERLINK("https://www.wikidata.org/wiki/Q111103099", "Q111103099")</f>
        <v>0</v>
      </c>
      <c r="G11302" t="s">
        <v>3072</v>
      </c>
      <c r="H11302" t="s">
        <v>7346</v>
      </c>
      <c r="I11302" t="s">
        <v>9554</v>
      </c>
      <c r="J11302" t="s">
        <v>13696</v>
      </c>
      <c r="K11302" t="s">
        <v>18079</v>
      </c>
      <c r="L11302">
        <f>HYPERLINK("https://www2.assemblee-nationale.fr/sycomore/fiche/(num_dept)/7665", "7665")</f>
        <v>0</v>
      </c>
      <c r="M11302">
        <f>HYPERLINK("https://www.senat.fr/senateur-3eme-republique/lecomte_maxime1379r3.html", "lecomte_maxime1379r3")</f>
        <v>0</v>
      </c>
      <c r="N11302">
        <f>HYPERLINK("https://www.wikidata.org/wiki/Q3302622", "Q3302622")</f>
        <v>0</v>
      </c>
      <c r="O11302" t="s">
        <v>20013</v>
      </c>
      <c r="Q11302" t="s">
        <v>393</v>
      </c>
      <c r="R11302" t="s">
        <v>13013</v>
      </c>
      <c r="S11302">
        <v>2190</v>
      </c>
    </row>
    <row r="11303" spans="1:19">
      <c r="A11303" t="s">
        <v>132</v>
      </c>
      <c r="B11303" t="s">
        <v>150</v>
      </c>
      <c r="C11303" t="s">
        <v>264</v>
      </c>
      <c r="D11303" t="s">
        <v>393</v>
      </c>
      <c r="F11303">
        <f>HYPERLINK("https://www.wikidata.org/wiki/Q111103099", "Q111103099")</f>
        <v>0</v>
      </c>
      <c r="G11303" t="s">
        <v>2725</v>
      </c>
      <c r="H11303" t="s">
        <v>7090</v>
      </c>
      <c r="I11303" t="s">
        <v>10387</v>
      </c>
      <c r="J11303" t="s">
        <v>13366</v>
      </c>
      <c r="K11303" t="s">
        <v>17766</v>
      </c>
      <c r="L11303">
        <f>HYPERLINK("https://www2.assemblee-nationale.fr/sycomore/fiche/(num_dept)/7916", "7916")</f>
        <v>0</v>
      </c>
      <c r="M11303">
        <f>HYPERLINK("https://www.senat.fr/senateur-3eme-republique/casimir_perier_paul1582r3.html", "casimir_perier_paul1582r3")</f>
        <v>0</v>
      </c>
      <c r="N11303">
        <f>HYPERLINK("https://www.wikidata.org/wiki/Q3370821", "Q3370821")</f>
        <v>0</v>
      </c>
      <c r="O11303" t="s">
        <v>19978</v>
      </c>
      <c r="Q11303" t="s">
        <v>393</v>
      </c>
      <c r="R11303" t="s">
        <v>17766</v>
      </c>
      <c r="S11303">
        <v>2347</v>
      </c>
    </row>
    <row r="11304" spans="1:19">
      <c r="A11304" t="s">
        <v>132</v>
      </c>
      <c r="B11304" t="s">
        <v>150</v>
      </c>
      <c r="C11304" t="s">
        <v>264</v>
      </c>
      <c r="D11304" t="s">
        <v>393</v>
      </c>
      <c r="F11304">
        <f>HYPERLINK("https://www.wikidata.org/wiki/Q111103099", "Q111103099")</f>
        <v>0</v>
      </c>
      <c r="G11304" t="s">
        <v>2733</v>
      </c>
      <c r="H11304" t="s">
        <v>5400</v>
      </c>
      <c r="I11304" t="s">
        <v>9449</v>
      </c>
      <c r="J11304" t="s">
        <v>13374</v>
      </c>
      <c r="K11304" t="s">
        <v>17773</v>
      </c>
      <c r="L11304">
        <f>HYPERLINK("https://www2.assemblee-nationale.fr/sycomore/fiche/(num_dept)/7945", "7945")</f>
        <v>0</v>
      </c>
      <c r="M11304">
        <f>HYPERLINK("https://www.senat.fr/senateur-3eme-republique/ferry_jules1809r3.html", "ferry_jules1809r3")</f>
        <v>0</v>
      </c>
      <c r="N11304">
        <f>HYPERLINK("https://www.wikidata.org/wiki/Q959708", "Q959708")</f>
        <v>0</v>
      </c>
      <c r="O11304" t="s">
        <v>20017</v>
      </c>
      <c r="Q11304" t="s">
        <v>393</v>
      </c>
      <c r="R11304" t="s">
        <v>17773</v>
      </c>
      <c r="S11304">
        <v>803</v>
      </c>
    </row>
    <row r="11305" spans="1:19">
      <c r="A11305" t="s">
        <v>132</v>
      </c>
      <c r="B11305" t="s">
        <v>150</v>
      </c>
      <c r="C11305" t="s">
        <v>264</v>
      </c>
      <c r="D11305" t="s">
        <v>393</v>
      </c>
      <c r="F11305">
        <f>HYPERLINK("https://www.wikidata.org/wiki/Q111103099", "Q111103099")</f>
        <v>0</v>
      </c>
      <c r="G11305" t="s">
        <v>3051</v>
      </c>
      <c r="H11305" t="s">
        <v>7477</v>
      </c>
      <c r="I11305" t="s">
        <v>7671</v>
      </c>
      <c r="J11305" t="s">
        <v>13351</v>
      </c>
      <c r="K11305" t="s">
        <v>18058</v>
      </c>
      <c r="L11305">
        <f>HYPERLINK("https://www2.assemblee-nationale.fr/sycomore/fiche/(num_dept)/7949", "7949")</f>
        <v>0</v>
      </c>
      <c r="M11305">
        <f>HYPERLINK("https://www.senat.fr/senateur-3eme-republique/gaillard_gilbert0997r3.html", "gaillard_gilbert0997r3")</f>
        <v>0</v>
      </c>
      <c r="N11305">
        <f>HYPERLINK("https://www.wikidata.org/wiki/Q3105720", "Q3105720")</f>
        <v>0</v>
      </c>
      <c r="O11305" t="s">
        <v>20005</v>
      </c>
      <c r="Q11305" t="s">
        <v>393</v>
      </c>
      <c r="R11305" t="s">
        <v>21650</v>
      </c>
      <c r="S11305">
        <v>20013</v>
      </c>
    </row>
    <row r="11306" spans="1:19">
      <c r="A11306" t="s">
        <v>132</v>
      </c>
      <c r="B11306" t="s">
        <v>150</v>
      </c>
      <c r="C11306" t="s">
        <v>264</v>
      </c>
      <c r="D11306" t="s">
        <v>393</v>
      </c>
      <c r="F11306">
        <f>HYPERLINK("https://www.wikidata.org/wiki/Q111103099", "Q111103099")</f>
        <v>0</v>
      </c>
      <c r="G11306" t="s">
        <v>2737</v>
      </c>
      <c r="H11306" t="s">
        <v>7256</v>
      </c>
      <c r="I11306" t="s">
        <v>9472</v>
      </c>
      <c r="J11306" t="s">
        <v>13378</v>
      </c>
      <c r="K11306" t="s">
        <v>17776</v>
      </c>
      <c r="L11306">
        <f>HYPERLINK("https://www2.assemblee-nationale.fr/sycomore/fiche/(num_dept)/7956", "7956")</f>
        <v>0</v>
      </c>
      <c r="M11306">
        <f>HYPERLINK("https://www.senat.fr/senateur-3eme-republique/gomot_hippolyte0986r3.html", "gomot_hippolyte0986r3")</f>
        <v>0</v>
      </c>
      <c r="N11306">
        <f>HYPERLINK("https://www.wikidata.org/wiki/Q3136064", "Q3136064")</f>
        <v>0</v>
      </c>
      <c r="O11306" t="s">
        <v>20005</v>
      </c>
      <c r="Q11306" t="s">
        <v>393</v>
      </c>
      <c r="R11306" t="s">
        <v>21668</v>
      </c>
      <c r="S11306">
        <v>3310</v>
      </c>
    </row>
    <row r="11307" spans="1:19">
      <c r="A11307" t="s">
        <v>132</v>
      </c>
      <c r="B11307" t="s">
        <v>150</v>
      </c>
      <c r="C11307" t="s">
        <v>264</v>
      </c>
      <c r="D11307" t="s">
        <v>393</v>
      </c>
      <c r="F11307">
        <f>HYPERLINK("https://www.wikidata.org/wiki/Q111103099", "Q111103099")</f>
        <v>0</v>
      </c>
      <c r="G11307" t="s">
        <v>2740</v>
      </c>
      <c r="H11307" t="s">
        <v>7259</v>
      </c>
      <c r="I11307" t="s">
        <v>10397</v>
      </c>
      <c r="J11307" t="s">
        <v>13381</v>
      </c>
      <c r="K11307" t="s">
        <v>17779</v>
      </c>
      <c r="L11307">
        <f>HYPERLINK("https://www2.assemblee-nationale.fr/sycomore/fiche/(num_dept)/7968", "7968")</f>
        <v>0</v>
      </c>
      <c r="M11307">
        <f>HYPERLINK("https://www.senat.fr/senateur-3eme-republique/jametel_gustave1667r3.html", "jametel_gustave1667r3")</f>
        <v>0</v>
      </c>
      <c r="N11307">
        <f>HYPERLINK("https://www.wikidata.org/wiki/Q3121093", "Q3121093")</f>
        <v>0</v>
      </c>
      <c r="O11307" t="s">
        <v>20012</v>
      </c>
      <c r="Q11307" t="s">
        <v>393</v>
      </c>
      <c r="R11307" t="s">
        <v>21650</v>
      </c>
      <c r="S11307">
        <v>20013</v>
      </c>
    </row>
    <row r="11308" spans="1:19">
      <c r="A11308" t="s">
        <v>132</v>
      </c>
      <c r="B11308" t="s">
        <v>150</v>
      </c>
      <c r="C11308" t="s">
        <v>264</v>
      </c>
      <c r="D11308" t="s">
        <v>393</v>
      </c>
      <c r="F11308">
        <f>HYPERLINK("https://www.wikidata.org/wiki/Q111103099", "Q111103099")</f>
        <v>0</v>
      </c>
      <c r="G11308" t="s">
        <v>3021</v>
      </c>
      <c r="H11308" t="s">
        <v>7478</v>
      </c>
      <c r="I11308" t="s">
        <v>9426</v>
      </c>
      <c r="J11308" t="s">
        <v>13649</v>
      </c>
      <c r="K11308" t="s">
        <v>18033</v>
      </c>
      <c r="L11308">
        <f>HYPERLINK("https://www2.assemblee-nationale.fr/sycomore/fiche/(num_dept)/7987", "7987")</f>
        <v>0</v>
      </c>
      <c r="M11308">
        <f>HYPERLINK("https://www.senat.fr/senateur-3eme-republique/leporche_alphonse1246r3.html", "leporche_alphonse1246r3")</f>
        <v>0</v>
      </c>
      <c r="N11308">
        <f>HYPERLINK("https://www.wikidata.org/wiki/Q2839867", "Q2839867")</f>
        <v>0</v>
      </c>
      <c r="O11308" t="s">
        <v>19956</v>
      </c>
      <c r="Q11308" t="s">
        <v>393</v>
      </c>
      <c r="R11308" t="s">
        <v>21670</v>
      </c>
      <c r="S11308">
        <v>3305</v>
      </c>
    </row>
    <row r="11309" spans="1:19">
      <c r="A11309" t="s">
        <v>132</v>
      </c>
      <c r="B11309" t="s">
        <v>150</v>
      </c>
      <c r="C11309" t="s">
        <v>264</v>
      </c>
      <c r="D11309" t="s">
        <v>393</v>
      </c>
      <c r="F11309">
        <f>HYPERLINK("https://www.wikidata.org/wiki/Q111103099", "Q111103099")</f>
        <v>0</v>
      </c>
      <c r="G11309" t="s">
        <v>3208</v>
      </c>
      <c r="H11309" t="s">
        <v>7636</v>
      </c>
      <c r="I11309" t="s">
        <v>10706</v>
      </c>
      <c r="J11309" t="s">
        <v>13827</v>
      </c>
      <c r="K11309" t="s">
        <v>18201</v>
      </c>
      <c r="L11309">
        <f>HYPERLINK("https://www2.assemblee-nationale.fr/sycomore/fiche/(num_dept)/7989", "7989")</f>
        <v>0</v>
      </c>
      <c r="M11309">
        <f>HYPERLINK("https://www.senat.fr/senateur-3eme-republique/lesouef_pierre1572r3.html", "lesouef_pierre1572r3")</f>
        <v>0</v>
      </c>
      <c r="N11309">
        <f>HYPERLINK("https://www.wikidata.org/wiki/Q3385874", "Q3385874")</f>
        <v>0</v>
      </c>
      <c r="O11309" t="s">
        <v>19978</v>
      </c>
      <c r="Q11309" t="s">
        <v>393</v>
      </c>
      <c r="R11309" t="s">
        <v>21668</v>
      </c>
      <c r="S11309">
        <v>3310</v>
      </c>
    </row>
    <row r="11310" spans="1:19">
      <c r="A11310" t="s">
        <v>132</v>
      </c>
      <c r="B11310" t="s">
        <v>150</v>
      </c>
      <c r="C11310" t="s">
        <v>264</v>
      </c>
      <c r="D11310" t="s">
        <v>393</v>
      </c>
      <c r="F11310">
        <f>HYPERLINK("https://www.wikidata.org/wiki/Q111103099", "Q111103099")</f>
        <v>0</v>
      </c>
      <c r="G11310" t="s">
        <v>3323</v>
      </c>
      <c r="H11310" t="s">
        <v>7729</v>
      </c>
      <c r="I11310" t="s">
        <v>9474</v>
      </c>
      <c r="J11310" t="s">
        <v>13936</v>
      </c>
      <c r="K11310" t="s">
        <v>18305</v>
      </c>
      <c r="L11310">
        <f>HYPERLINK("https://www2.assemblee-nationale.fr/sycomore/fiche/(num_dept)/7991", "7991")</f>
        <v>0</v>
      </c>
      <c r="M11310">
        <f>HYPERLINK("https://www.senat.fr/senateur-3eme-republique/levrey_jean_baptiste1176r3.html", "levrey_jean_baptiste1176r3")</f>
        <v>0</v>
      </c>
      <c r="N11310">
        <f>HYPERLINK("https://www.wikidata.org/wiki/Q3164231", "Q3164231")</f>
        <v>0</v>
      </c>
      <c r="O11310" t="s">
        <v>20036</v>
      </c>
      <c r="Q11310" t="s">
        <v>393</v>
      </c>
      <c r="R11310" t="s">
        <v>21668</v>
      </c>
      <c r="S11310">
        <v>3310</v>
      </c>
    </row>
    <row r="11311" spans="1:19">
      <c r="A11311" t="s">
        <v>132</v>
      </c>
      <c r="B11311" t="s">
        <v>150</v>
      </c>
      <c r="C11311" t="s">
        <v>264</v>
      </c>
      <c r="D11311" t="s">
        <v>393</v>
      </c>
      <c r="F11311">
        <f>HYPERLINK("https://www.wikidata.org/wiki/Q111103099", "Q111103099")</f>
        <v>0</v>
      </c>
      <c r="G11311" t="s">
        <v>2985</v>
      </c>
      <c r="H11311" t="s">
        <v>7449</v>
      </c>
      <c r="I11311" t="s">
        <v>10558</v>
      </c>
      <c r="J11311" t="s">
        <v>13617</v>
      </c>
      <c r="K11311" t="s">
        <v>17766</v>
      </c>
      <c r="L11311">
        <f>HYPERLINK("https://www2.assemblee-nationale.fr/sycomore/fiche/(num_dept)/8124", "8124")</f>
        <v>0</v>
      </c>
      <c r="M11311">
        <f>HYPERLINK("https://www.senat.fr/senateur-3eme-republique/camescasse_jean0957r3.html", "camescasse_jean0957r3")</f>
        <v>0</v>
      </c>
      <c r="N11311">
        <f>HYPERLINK("https://www.wikidata.org/wiki/Q3056871", "Q3056871")</f>
        <v>0</v>
      </c>
      <c r="O11311" t="s">
        <v>19968</v>
      </c>
      <c r="Q11311" t="s">
        <v>393</v>
      </c>
      <c r="R11311" t="s">
        <v>21671</v>
      </c>
      <c r="S11311">
        <v>2348</v>
      </c>
    </row>
    <row r="11312" spans="1:19">
      <c r="A11312" t="s">
        <v>132</v>
      </c>
      <c r="B11312" t="s">
        <v>150</v>
      </c>
      <c r="C11312" t="s">
        <v>264</v>
      </c>
      <c r="D11312" t="s">
        <v>393</v>
      </c>
      <c r="F11312">
        <f>HYPERLINK("https://www.wikidata.org/wiki/Q111103099", "Q111103099")</f>
        <v>0</v>
      </c>
      <c r="G11312" t="s">
        <v>2878</v>
      </c>
      <c r="H11312" t="s">
        <v>7363</v>
      </c>
      <c r="I11312" t="s">
        <v>10496</v>
      </c>
      <c r="J11312" t="s">
        <v>11305</v>
      </c>
      <c r="K11312" t="s">
        <v>17902</v>
      </c>
      <c r="L11312">
        <f>HYPERLINK("https://www2.assemblee-nationale.fr/sycomore/fiche/(num_dept)/8209", "8209")</f>
        <v>0</v>
      </c>
      <c r="M11312">
        <f>HYPERLINK("https://www.senat.fr/senateur-3eme-republique/deprez_louis0925r3.html", "deprez_louis0925r3")</f>
        <v>0</v>
      </c>
      <c r="N11312">
        <f>HYPERLINK("https://www.wikidata.org/wiki/Q2847076", "Q2847076")</f>
        <v>0</v>
      </c>
      <c r="O11312" t="s">
        <v>19968</v>
      </c>
      <c r="Q11312" t="s">
        <v>393</v>
      </c>
      <c r="R11312" t="s">
        <v>21668</v>
      </c>
      <c r="S11312">
        <v>3310</v>
      </c>
    </row>
    <row r="11313" spans="1:19">
      <c r="A11313" t="s">
        <v>132</v>
      </c>
      <c r="B11313" t="s">
        <v>150</v>
      </c>
      <c r="C11313" t="s">
        <v>264</v>
      </c>
      <c r="D11313" t="s">
        <v>393</v>
      </c>
      <c r="F11313">
        <f>HYPERLINK("https://www.wikidata.org/wiki/Q111103099", "Q111103099")</f>
        <v>0</v>
      </c>
      <c r="G11313" t="s">
        <v>2891</v>
      </c>
      <c r="H11313" t="s">
        <v>7375</v>
      </c>
      <c r="I11313" t="s">
        <v>9958</v>
      </c>
      <c r="J11313" t="s">
        <v>13526</v>
      </c>
      <c r="K11313" t="s">
        <v>17914</v>
      </c>
      <c r="L11313">
        <f>HYPERLINK("https://www2.assemblee-nationale.fr/sycomore/fiche/(num_dept)/8224", "8224")</f>
        <v>0</v>
      </c>
      <c r="M11313">
        <f>HYPERLINK("https://www.senat.fr/senateur-3eme-republique/frery_charles1816r3.html", "frery_charles1816r3")</f>
        <v>0</v>
      </c>
      <c r="N11313">
        <f>HYPERLINK("https://www.wikidata.org/wiki/Q2959142", "Q2959142")</f>
        <v>0</v>
      </c>
      <c r="O11313" t="s">
        <v>20400</v>
      </c>
      <c r="Q11313" t="s">
        <v>393</v>
      </c>
      <c r="R11313" t="s">
        <v>21650</v>
      </c>
      <c r="S11313">
        <v>20013</v>
      </c>
    </row>
    <row r="11314" spans="1:19">
      <c r="A11314" t="s">
        <v>132</v>
      </c>
      <c r="B11314" t="s">
        <v>150</v>
      </c>
      <c r="C11314" t="s">
        <v>264</v>
      </c>
      <c r="D11314" t="s">
        <v>393</v>
      </c>
      <c r="F11314">
        <f>HYPERLINK("https://www.wikidata.org/wiki/Q111103099", "Q111103099")</f>
        <v>0</v>
      </c>
      <c r="G11314" t="s">
        <v>2893</v>
      </c>
      <c r="H11314" t="s">
        <v>7377</v>
      </c>
      <c r="I11314" t="s">
        <v>10507</v>
      </c>
      <c r="J11314" t="s">
        <v>13528</v>
      </c>
      <c r="K11314" t="s">
        <v>17916</v>
      </c>
      <c r="L11314">
        <f>HYPERLINK("https://www2.assemblee-nationale.fr/sycomore/fiche/(num_dept)/8227", "8227")</f>
        <v>0</v>
      </c>
      <c r="M11314">
        <f>HYPERLINK("https://www.senat.fr/senateur-3eme-republique/perras_jean_claude1141r3.html", "perras_jean_claude1141r3")</f>
        <v>0</v>
      </c>
      <c r="N11314">
        <f>HYPERLINK("https://www.wikidata.org/wiki/Q3165165", "Q3165165")</f>
        <v>0</v>
      </c>
      <c r="O11314" t="s">
        <v>19965</v>
      </c>
      <c r="Q11314" t="s">
        <v>393</v>
      </c>
      <c r="R11314" t="s">
        <v>21650</v>
      </c>
      <c r="S11314">
        <v>20013</v>
      </c>
    </row>
    <row r="11315" spans="1:19">
      <c r="A11315" t="s">
        <v>132</v>
      </c>
      <c r="B11315" t="s">
        <v>150</v>
      </c>
      <c r="C11315" t="s">
        <v>264</v>
      </c>
      <c r="D11315" t="s">
        <v>393</v>
      </c>
      <c r="F11315">
        <f>HYPERLINK("https://www.wikidata.org/wiki/Q111103099", "Q111103099")</f>
        <v>0</v>
      </c>
      <c r="G11315" t="s">
        <v>2894</v>
      </c>
      <c r="H11315" t="s">
        <v>7378</v>
      </c>
      <c r="I11315" t="s">
        <v>9389</v>
      </c>
      <c r="J11315" t="s">
        <v>13529</v>
      </c>
      <c r="K11315" t="s">
        <v>17917</v>
      </c>
      <c r="L11315">
        <f>HYPERLINK("https://www2.assemblee-nationale.fr/sycomore/fiche/(num_dept)/8230", "8230")</f>
        <v>0</v>
      </c>
      <c r="M11315">
        <f>HYPERLINK("https://www.senat.fr/senateur-3eme-republique/guyot_emile1127r3.html", "guyot_emile1127r3")</f>
        <v>0</v>
      </c>
      <c r="N11315">
        <f>HYPERLINK("https://www.wikidata.org/wiki/Q3588551", "Q3588551")</f>
        <v>0</v>
      </c>
      <c r="O11315" t="s">
        <v>19965</v>
      </c>
      <c r="Q11315" t="s">
        <v>393</v>
      </c>
      <c r="R11315" t="s">
        <v>21668</v>
      </c>
      <c r="S11315">
        <v>3310</v>
      </c>
    </row>
    <row r="11316" spans="1:19">
      <c r="A11316" t="s">
        <v>132</v>
      </c>
      <c r="B11316" t="s">
        <v>150</v>
      </c>
      <c r="C11316" t="s">
        <v>264</v>
      </c>
      <c r="D11316" t="s">
        <v>393</v>
      </c>
      <c r="F11316">
        <f>HYPERLINK("https://www.wikidata.org/wiki/Q111103099", "Q111103099")</f>
        <v>0</v>
      </c>
      <c r="G11316" t="s">
        <v>3076</v>
      </c>
      <c r="H11316" t="s">
        <v>7526</v>
      </c>
      <c r="I11316" t="s">
        <v>10613</v>
      </c>
      <c r="J11316" t="s">
        <v>13700</v>
      </c>
      <c r="K11316" t="s">
        <v>18083</v>
      </c>
      <c r="L11316">
        <f>HYPERLINK("https://www2.assemblee-nationale.fr/sycomore/fiche/(num_dept)/8235", "8235")</f>
        <v>0</v>
      </c>
      <c r="M11316">
        <f>HYPERLINK("https://www.senat.fr/senateur-3eme-republique/martin_felix1214r3.html", "martin_felix1214r3")</f>
        <v>0</v>
      </c>
      <c r="N11316">
        <f>HYPERLINK("https://www.wikidata.org/wiki/Q3092530", "Q3092530")</f>
        <v>0</v>
      </c>
      <c r="O11316" t="s">
        <v>19994</v>
      </c>
      <c r="Q11316" t="s">
        <v>393</v>
      </c>
      <c r="R11316" t="s">
        <v>21668</v>
      </c>
      <c r="S11316">
        <v>3310</v>
      </c>
    </row>
    <row r="11317" spans="1:19">
      <c r="A11317" t="s">
        <v>132</v>
      </c>
      <c r="B11317" t="s">
        <v>150</v>
      </c>
      <c r="C11317" t="s">
        <v>264</v>
      </c>
      <c r="D11317" t="s">
        <v>393</v>
      </c>
      <c r="F11317">
        <f>HYPERLINK("https://www.wikidata.org/wiki/Q111103099", "Q111103099")</f>
        <v>0</v>
      </c>
      <c r="G11317" t="s">
        <v>2902</v>
      </c>
      <c r="H11317" t="s">
        <v>7385</v>
      </c>
      <c r="I11317" t="s">
        <v>10512</v>
      </c>
      <c r="J11317" t="s">
        <v>13537</v>
      </c>
      <c r="K11317" t="s">
        <v>17924</v>
      </c>
      <c r="L11317">
        <f>HYPERLINK("https://www2.assemblee-nationale.fr/sycomore/fiche/(num_dept)/8241", "8241")</f>
        <v>0</v>
      </c>
      <c r="M11317">
        <f>HYPERLINK("https://www.senat.fr/senateur-3eme-republique/le_monnier_pierre1250r3.html", "le_monnier_pierre1250r3")</f>
        <v>0</v>
      </c>
      <c r="N11317">
        <f>HYPERLINK("https://www.wikidata.org/wiki/Q3385859", "Q3385859")</f>
        <v>0</v>
      </c>
      <c r="O11317" t="s">
        <v>19956</v>
      </c>
      <c r="Q11317" t="s">
        <v>393</v>
      </c>
      <c r="R11317" t="s">
        <v>21650</v>
      </c>
      <c r="S11317">
        <v>20013</v>
      </c>
    </row>
    <row r="11318" spans="1:19">
      <c r="A11318" t="s">
        <v>132</v>
      </c>
      <c r="B11318" t="s">
        <v>150</v>
      </c>
      <c r="C11318" t="s">
        <v>264</v>
      </c>
      <c r="D11318" t="s">
        <v>393</v>
      </c>
      <c r="F11318">
        <f>HYPERLINK("https://www.wikidata.org/wiki/Q111103099", "Q111103099")</f>
        <v>0</v>
      </c>
      <c r="G11318" t="s">
        <v>2999</v>
      </c>
      <c r="H11318" t="s">
        <v>7462</v>
      </c>
      <c r="I11318" t="s">
        <v>9453</v>
      </c>
      <c r="J11318" t="s">
        <v>13629</v>
      </c>
      <c r="K11318" t="s">
        <v>18013</v>
      </c>
      <c r="L11318">
        <f>HYPERLINK("https://www2.assemblee-nationale.fr/sycomore/fiche/(num_dept)/8247", "8247")</f>
        <v>0</v>
      </c>
      <c r="M11318">
        <f>HYPERLINK("https://www.senat.fr/senateur-3eme-republique/ranc_arthur1342r3.html", "ranc_arthur1342r3")</f>
        <v>0</v>
      </c>
      <c r="N11318">
        <f>HYPERLINK("https://www.wikidata.org/wiki/Q2021981", "Q2021981")</f>
        <v>0</v>
      </c>
      <c r="O11318" t="s">
        <v>19955</v>
      </c>
      <c r="Q11318" t="s">
        <v>393</v>
      </c>
      <c r="R11318" t="s">
        <v>18096</v>
      </c>
      <c r="S11318">
        <v>4423</v>
      </c>
    </row>
    <row r="11319" spans="1:19">
      <c r="A11319" t="s">
        <v>132</v>
      </c>
      <c r="B11319" t="s">
        <v>150</v>
      </c>
      <c r="C11319" t="s">
        <v>264</v>
      </c>
      <c r="D11319" t="s">
        <v>393</v>
      </c>
      <c r="F11319">
        <f>HYPERLINK("https://www.wikidata.org/wiki/Q111103099", "Q111103099")</f>
        <v>0</v>
      </c>
      <c r="G11319" t="s">
        <v>2916</v>
      </c>
      <c r="H11319" t="s">
        <v>7396</v>
      </c>
      <c r="I11319" t="s">
        <v>9472</v>
      </c>
      <c r="J11319" t="s">
        <v>13550</v>
      </c>
      <c r="K11319" t="s">
        <v>17936</v>
      </c>
      <c r="L11319">
        <f>HYPERLINK("https://www2.assemblee-nationale.fr/sycomore/fiche/(num_dept)/8263", "8263")</f>
        <v>0</v>
      </c>
      <c r="M11319">
        <f>HYPERLINK("https://www.senat.fr/senateur-3eme-republique/maze_hippolyte1652r3.html", "maze_hippolyte1652r3")</f>
        <v>0</v>
      </c>
      <c r="N11319">
        <f>HYPERLINK("https://www.wikidata.org/wiki/Q3136091", "Q3136091")</f>
        <v>0</v>
      </c>
      <c r="O11319" t="s">
        <v>19976</v>
      </c>
      <c r="Q11319" t="s">
        <v>393</v>
      </c>
      <c r="R11319" t="s">
        <v>21650</v>
      </c>
      <c r="S11319">
        <v>20013</v>
      </c>
    </row>
    <row r="11320" spans="1:19">
      <c r="A11320" t="s">
        <v>132</v>
      </c>
      <c r="B11320" t="s">
        <v>150</v>
      </c>
      <c r="C11320" t="s">
        <v>264</v>
      </c>
      <c r="D11320" t="s">
        <v>393</v>
      </c>
      <c r="F11320">
        <f>HYPERLINK("https://www.wikidata.org/wiki/Q111103099", "Q111103099")</f>
        <v>0</v>
      </c>
      <c r="G11320" t="s">
        <v>2919</v>
      </c>
      <c r="H11320" t="s">
        <v>7399</v>
      </c>
      <c r="I11320" t="s">
        <v>10524</v>
      </c>
      <c r="J11320" t="s">
        <v>13553</v>
      </c>
      <c r="K11320" t="s">
        <v>17939</v>
      </c>
      <c r="L11320">
        <f>HYPERLINK("https://www2.assemblee-nationale.fr/sycomore/fiche/(num_dept)/8266", "8266")</f>
        <v>0</v>
      </c>
      <c r="M11320">
        <f>HYPERLINK("https://www.senat.fr/senateur-3eme-republique/journault_louis1660r3.html", "journault_louis1660r3")</f>
        <v>0</v>
      </c>
      <c r="N11320">
        <f>HYPERLINK("https://www.wikidata.org/wiki/Q3262381", "Q3262381")</f>
        <v>0</v>
      </c>
      <c r="O11320" t="s">
        <v>19976</v>
      </c>
      <c r="Q11320" t="s">
        <v>393</v>
      </c>
      <c r="R11320" t="s">
        <v>21650</v>
      </c>
      <c r="S11320">
        <v>20013</v>
      </c>
    </row>
    <row r="11321" spans="1:19">
      <c r="A11321" t="s">
        <v>132</v>
      </c>
      <c r="B11321" t="s">
        <v>150</v>
      </c>
      <c r="C11321" t="s">
        <v>264</v>
      </c>
      <c r="D11321" t="s">
        <v>393</v>
      </c>
      <c r="F11321">
        <f>HYPERLINK("https://www.wikidata.org/wiki/Q111103099", "Q111103099")</f>
        <v>0</v>
      </c>
      <c r="G11321" t="s">
        <v>2926</v>
      </c>
      <c r="H11321" t="s">
        <v>7404</v>
      </c>
      <c r="I11321" t="s">
        <v>10530</v>
      </c>
      <c r="J11321" t="s">
        <v>13559</v>
      </c>
      <c r="K11321" t="s">
        <v>17945</v>
      </c>
      <c r="L11321">
        <f>HYPERLINK("https://www2.assemblee-nationale.fr/sycomore/fiche/(num_dept)/8277", "8277")</f>
        <v>0</v>
      </c>
      <c r="M11321">
        <f>HYPERLINK("https://www.senat.fr/senateur-3eme-republique/lavergne_bernard1682r3.html", "lavergne_bernard1682r3")</f>
        <v>0</v>
      </c>
      <c r="N11321">
        <f>HYPERLINK("https://www.wikidata.org/wiki/Q2899599", "Q2899599")</f>
        <v>0</v>
      </c>
      <c r="O11321" t="s">
        <v>19962</v>
      </c>
      <c r="Q11321" t="s">
        <v>393</v>
      </c>
      <c r="R11321" t="s">
        <v>21650</v>
      </c>
      <c r="S11321">
        <v>20013</v>
      </c>
    </row>
    <row r="11322" spans="1:19">
      <c r="A11322" t="s">
        <v>132</v>
      </c>
      <c r="B11322" t="s">
        <v>150</v>
      </c>
      <c r="C11322" t="s">
        <v>264</v>
      </c>
      <c r="D11322" t="s">
        <v>393</v>
      </c>
      <c r="F11322">
        <f>HYPERLINK("https://www.wikidata.org/wiki/Q111103099", "Q111103099")</f>
        <v>0</v>
      </c>
      <c r="G11322" t="s">
        <v>2930</v>
      </c>
      <c r="H11322" t="s">
        <v>7408</v>
      </c>
      <c r="I11322" t="s">
        <v>10533</v>
      </c>
      <c r="J11322" t="s">
        <v>13563</v>
      </c>
      <c r="K11322" t="s">
        <v>17949</v>
      </c>
      <c r="L11322">
        <f>HYPERLINK("https://www2.assemblee-nationale.fr/sycomore/fiche/(num_dept)/8282", "8282")</f>
        <v>0</v>
      </c>
      <c r="M11322">
        <f>HYPERLINK("https://www.senat.fr/senateur-3eme-republique/gent_alphonse1701r3.html", "gent_alphonse1701r3")</f>
        <v>0</v>
      </c>
      <c r="N11322">
        <f>HYPERLINK("https://www.wikidata.org/wiki/Q2839812", "Q2839812")</f>
        <v>0</v>
      </c>
      <c r="O11322" t="s">
        <v>20047</v>
      </c>
      <c r="Q11322" t="s">
        <v>393</v>
      </c>
      <c r="R11322" t="s">
        <v>21650</v>
      </c>
      <c r="S11322">
        <v>20013</v>
      </c>
    </row>
    <row r="11323" spans="1:19">
      <c r="A11323" t="s">
        <v>132</v>
      </c>
      <c r="B11323" t="s">
        <v>150</v>
      </c>
      <c r="C11323" t="s">
        <v>264</v>
      </c>
      <c r="D11323" t="s">
        <v>393</v>
      </c>
      <c r="F11323">
        <f>HYPERLINK("https://www.wikidata.org/wiki/Q111103099", "Q111103099")</f>
        <v>0</v>
      </c>
      <c r="G11323" t="s">
        <v>2934</v>
      </c>
      <c r="H11323" t="s">
        <v>7412</v>
      </c>
      <c r="I11323" t="s">
        <v>9457</v>
      </c>
      <c r="J11323" t="s">
        <v>13567</v>
      </c>
      <c r="K11323" t="s">
        <v>17953</v>
      </c>
      <c r="L11323">
        <f>HYPERLINK("https://www2.assemblee-nationale.fr/sycomore/fiche/(num_dept)/8286", "8286")</f>
        <v>0</v>
      </c>
      <c r="M11323">
        <f>HYPERLINK("https://www.senat.fr/senateur-3eme-republique/salomon_henri1769r3.html", "salomon_henri1769r3")</f>
        <v>0</v>
      </c>
      <c r="N11323">
        <f>HYPERLINK("https://www.wikidata.org/wiki/Q3131977", "Q3131977")</f>
        <v>0</v>
      </c>
      <c r="O11323" t="s">
        <v>19982</v>
      </c>
      <c r="Q11323" t="s">
        <v>393</v>
      </c>
      <c r="R11323" t="s">
        <v>21668</v>
      </c>
      <c r="S11323">
        <v>3310</v>
      </c>
    </row>
    <row r="11324" spans="1:19">
      <c r="A11324" t="s">
        <v>132</v>
      </c>
      <c r="B11324" t="s">
        <v>150</v>
      </c>
      <c r="C11324" t="s">
        <v>264</v>
      </c>
      <c r="D11324" t="s">
        <v>393</v>
      </c>
      <c r="F11324">
        <f>HYPERLINK("https://www.wikidata.org/wiki/Q111103099", "Q111103099")</f>
        <v>0</v>
      </c>
      <c r="G11324" t="s">
        <v>2936</v>
      </c>
      <c r="H11324" t="s">
        <v>7414</v>
      </c>
      <c r="I11324" t="s">
        <v>10535</v>
      </c>
      <c r="J11324" t="s">
        <v>13569</v>
      </c>
      <c r="K11324" t="s">
        <v>17955</v>
      </c>
      <c r="L11324">
        <f>HYPERLINK("https://www2.assemblee-nationale.fr/sycomore/fiche/(num_dept)/8289", "8289")</f>
        <v>0</v>
      </c>
      <c r="M11324">
        <f>HYPERLINK("https://www.senat.fr/senateur-3eme-republique/donnet_jules1789r3.html", "donnet_jules1789r3")</f>
        <v>0</v>
      </c>
      <c r="N11324">
        <f>HYPERLINK("https://www.wikidata.org/wiki/Q3188540", "Q3188540")</f>
        <v>0</v>
      </c>
      <c r="O11324" t="s">
        <v>19977</v>
      </c>
      <c r="Q11324" t="s">
        <v>393</v>
      </c>
      <c r="R11324" t="s">
        <v>21650</v>
      </c>
      <c r="S11324">
        <v>20013</v>
      </c>
    </row>
    <row r="11325" spans="1:19">
      <c r="A11325" t="s">
        <v>132</v>
      </c>
      <c r="B11325" t="s">
        <v>150</v>
      </c>
      <c r="C11325" t="s">
        <v>264</v>
      </c>
      <c r="D11325" t="s">
        <v>393</v>
      </c>
      <c r="F11325">
        <f>HYPERLINK("https://www.wikidata.org/wiki/Q111103099", "Q111103099")</f>
        <v>0</v>
      </c>
      <c r="G11325" t="s">
        <v>2937</v>
      </c>
      <c r="H11325" t="s">
        <v>7415</v>
      </c>
      <c r="I11325" t="s">
        <v>10536</v>
      </c>
      <c r="J11325" t="s">
        <v>13570</v>
      </c>
      <c r="K11325" t="s">
        <v>17956</v>
      </c>
      <c r="L11325">
        <f>HYPERLINK("https://www2.assemblee-nationale.fr/sycomore/fiche/(num_dept)/8291", "8291")</f>
        <v>0</v>
      </c>
      <c r="M11325">
        <f>HYPERLINK("https://www.senat.fr/senateur-3eme-republique/penicaud_rene1784r3.html", "penicaud_rene1784r3")</f>
        <v>0</v>
      </c>
      <c r="N11325">
        <f>HYPERLINK("https://www.wikidata.org/wiki/Q3426787", "Q3426787")</f>
        <v>0</v>
      </c>
      <c r="O11325" t="s">
        <v>19977</v>
      </c>
      <c r="Q11325" t="s">
        <v>393</v>
      </c>
      <c r="R11325" t="s">
        <v>21650</v>
      </c>
      <c r="S11325">
        <v>20013</v>
      </c>
    </row>
    <row r="11326" spans="1:19">
      <c r="A11326" t="s">
        <v>132</v>
      </c>
      <c r="B11326" t="s">
        <v>150</v>
      </c>
      <c r="C11326" t="s">
        <v>264</v>
      </c>
      <c r="D11326" t="s">
        <v>393</v>
      </c>
      <c r="F11326">
        <f>HYPERLINK("https://www.wikidata.org/wiki/Q111103099", "Q111103099")</f>
        <v>0</v>
      </c>
      <c r="G11326" t="s">
        <v>2942</v>
      </c>
      <c r="H11326" t="s">
        <v>7419</v>
      </c>
      <c r="I11326" t="s">
        <v>9979</v>
      </c>
      <c r="J11326" t="s">
        <v>13575</v>
      </c>
      <c r="K11326" t="s">
        <v>17960</v>
      </c>
      <c r="L11326">
        <f>HYPERLINK("https://www2.assemblee-nationale.fr/sycomore/fiche/(num_dept)/8297", "8297")</f>
        <v>0</v>
      </c>
      <c r="M11326">
        <f>HYPERLINK("https://www.senat.fr/senateur-3eme-republique/jacques_remy1822r3.html", "jacques_remy1822r3")</f>
        <v>0</v>
      </c>
      <c r="N11326">
        <f>HYPERLINK("https://www.wikidata.org/wiki/Q16025864", "Q16025864")</f>
        <v>0</v>
      </c>
      <c r="Q11326" t="s">
        <v>393</v>
      </c>
      <c r="R11326" t="s">
        <v>21650</v>
      </c>
      <c r="S11326">
        <v>20013</v>
      </c>
    </row>
    <row r="11327" spans="1:19">
      <c r="A11327" t="s">
        <v>132</v>
      </c>
      <c r="B11327" t="s">
        <v>150</v>
      </c>
      <c r="C11327" t="s">
        <v>264</v>
      </c>
      <c r="D11327" t="s">
        <v>393</v>
      </c>
      <c r="F11327">
        <f>HYPERLINK("https://www.wikidata.org/wiki/Q111103099", "Q111103099")</f>
        <v>0</v>
      </c>
      <c r="G11327" t="s">
        <v>3341</v>
      </c>
      <c r="H11327" t="s">
        <v>7745</v>
      </c>
      <c r="I11327" t="s">
        <v>10778</v>
      </c>
      <c r="J11327" t="s">
        <v>13954</v>
      </c>
      <c r="K11327" t="s">
        <v>18323</v>
      </c>
      <c r="L11327">
        <f>HYPERLINK("https://www2.assemblee-nationale.fr/sycomore/fiche/(num_dept)/9610", "9610")</f>
        <v>0</v>
      </c>
      <c r="M11327">
        <f>HYPERLINK("https://www.senat.fr/senateur-3eme-republique/barriere_charles1004r3.html", "barriere_charles1004r3")</f>
        <v>0</v>
      </c>
      <c r="N11327">
        <f>HYPERLINK("https://www.wikidata.org/wiki/Q2958482", "Q2958482")</f>
        <v>0</v>
      </c>
      <c r="O11327" t="s">
        <v>20005</v>
      </c>
      <c r="Q11327" t="s">
        <v>393</v>
      </c>
      <c r="R11327" t="s">
        <v>21668</v>
      </c>
      <c r="S11327">
        <v>3310</v>
      </c>
    </row>
    <row r="11328" spans="1:19">
      <c r="A11328" t="s">
        <v>132</v>
      </c>
      <c r="B11328" t="s">
        <v>150</v>
      </c>
      <c r="C11328" t="s">
        <v>264</v>
      </c>
      <c r="D11328" t="s">
        <v>393</v>
      </c>
      <c r="F11328">
        <f>HYPERLINK("https://www.wikidata.org/wiki/Q111103099", "Q111103099")</f>
        <v>0</v>
      </c>
      <c r="G11328" t="s">
        <v>4742</v>
      </c>
      <c r="H11328" t="s">
        <v>8884</v>
      </c>
      <c r="I11328" t="s">
        <v>9408</v>
      </c>
      <c r="J11328" t="s">
        <v>15205</v>
      </c>
      <c r="K11328" t="s">
        <v>19522</v>
      </c>
      <c r="M11328">
        <f>HYPERLINK("https://www.senat.fr/senateur-3eme-republique/ayme_leo1622r3.html", "ayme_leo1622r3")</f>
        <v>0</v>
      </c>
      <c r="N11328">
        <f>HYPERLINK("https://www.wikidata.org/wiki/Q3270433", "Q3270433")</f>
        <v>0</v>
      </c>
      <c r="O11328" t="s">
        <v>20021</v>
      </c>
      <c r="Q11328" t="s">
        <v>393</v>
      </c>
      <c r="R11328" t="s">
        <v>19522</v>
      </c>
      <c r="S11328">
        <v>146</v>
      </c>
    </row>
    <row r="11329" spans="1:19">
      <c r="A11329" t="s">
        <v>132</v>
      </c>
      <c r="B11329" t="s">
        <v>150</v>
      </c>
      <c r="C11329" t="s">
        <v>264</v>
      </c>
      <c r="D11329" t="s">
        <v>393</v>
      </c>
      <c r="F11329">
        <f>HYPERLINK("https://www.wikidata.org/wiki/Q111103099", "Q111103099")</f>
        <v>0</v>
      </c>
      <c r="G11329" t="s">
        <v>4694</v>
      </c>
      <c r="H11329" t="s">
        <v>8834</v>
      </c>
      <c r="I11329" t="s">
        <v>6166</v>
      </c>
      <c r="J11329" t="s">
        <v>13574</v>
      </c>
      <c r="K11329" t="s">
        <v>18580</v>
      </c>
      <c r="M11329">
        <f>HYPERLINK("https://www.senat.fr/senateur-3eme-republique/garran_de_balzan_francois1634r3.html", "garran_de_balzan_francois1634r3")</f>
        <v>0</v>
      </c>
      <c r="N11329">
        <f>HYPERLINK("https://www.wikidata.org/wiki/Q3084690", "Q3084690")</f>
        <v>0</v>
      </c>
      <c r="O11329" t="s">
        <v>20021</v>
      </c>
      <c r="Q11329" t="s">
        <v>393</v>
      </c>
      <c r="R11329" t="s">
        <v>21668</v>
      </c>
      <c r="S11329">
        <v>3310</v>
      </c>
    </row>
    <row r="11330" spans="1:19">
      <c r="A11330" t="s">
        <v>132</v>
      </c>
      <c r="B11330" t="s">
        <v>150</v>
      </c>
      <c r="C11330" t="s">
        <v>264</v>
      </c>
      <c r="D11330" t="s">
        <v>393</v>
      </c>
      <c r="F11330">
        <f>HYPERLINK("https://www.wikidata.org/wiki/Q111103099", "Q111103099")</f>
        <v>0</v>
      </c>
      <c r="G11330" t="s">
        <v>4743</v>
      </c>
      <c r="H11330" t="s">
        <v>8885</v>
      </c>
      <c r="I11330" t="s">
        <v>9474</v>
      </c>
      <c r="J11330" t="s">
        <v>15206</v>
      </c>
      <c r="K11330" t="s">
        <v>19523</v>
      </c>
      <c r="M11330">
        <f>HYPERLINK("https://www.senat.fr/senateur-3eme-republique/brusset_jean_baptiste1167r3.html", "brusset_jean_baptiste1167r3")</f>
        <v>0</v>
      </c>
      <c r="N11330">
        <f>HYPERLINK("https://www.wikidata.org/wiki/Q3163918", "Q3163918")</f>
        <v>0</v>
      </c>
      <c r="O11330" t="s">
        <v>20036</v>
      </c>
      <c r="Q11330" t="s">
        <v>393</v>
      </c>
      <c r="R11330" t="s">
        <v>19523</v>
      </c>
      <c r="S11330">
        <v>2063</v>
      </c>
    </row>
    <row r="11331" spans="1:19">
      <c r="A11331" t="s">
        <v>132</v>
      </c>
      <c r="B11331" t="s">
        <v>150</v>
      </c>
      <c r="C11331" t="s">
        <v>264</v>
      </c>
      <c r="D11331" t="s">
        <v>393</v>
      </c>
      <c r="F11331">
        <f>HYPERLINK("https://www.wikidata.org/wiki/Q111103099", "Q111103099")</f>
        <v>0</v>
      </c>
      <c r="G11331" t="s">
        <v>4459</v>
      </c>
      <c r="H11331" t="s">
        <v>8606</v>
      </c>
      <c r="I11331" t="s">
        <v>6495</v>
      </c>
      <c r="J11331" t="s">
        <v>13222</v>
      </c>
      <c r="K11331" t="s">
        <v>19276</v>
      </c>
      <c r="M11331">
        <f>HYPERLINK("https://www.senat.fr/senateur-3eme-republique/chaumontel_louis1306r3.html", "chaumontel_louis1306r3")</f>
        <v>0</v>
      </c>
      <c r="N11331">
        <f>HYPERLINK("https://www.wikidata.org/wiki/Q3261508", "Q3261508")</f>
        <v>0</v>
      </c>
      <c r="O11331" t="s">
        <v>20018</v>
      </c>
      <c r="Q11331" t="s">
        <v>393</v>
      </c>
      <c r="R11331" t="s">
        <v>21650</v>
      </c>
      <c r="S11331">
        <v>20013</v>
      </c>
    </row>
    <row r="11332" spans="1:19">
      <c r="A11332" t="s">
        <v>132</v>
      </c>
      <c r="B11332" t="s">
        <v>150</v>
      </c>
      <c r="C11332" t="s">
        <v>264</v>
      </c>
      <c r="D11332" t="s">
        <v>393</v>
      </c>
      <c r="F11332">
        <f>HYPERLINK("https://www.wikidata.org/wiki/Q111103099", "Q111103099")</f>
        <v>0</v>
      </c>
      <c r="G11332" t="s">
        <v>4460</v>
      </c>
      <c r="H11332" t="s">
        <v>8607</v>
      </c>
      <c r="I11332" t="s">
        <v>9458</v>
      </c>
      <c r="J11332" t="s">
        <v>14948</v>
      </c>
      <c r="K11332" t="s">
        <v>19277</v>
      </c>
      <c r="M11332">
        <f>HYPERLINK("https://www.senat.fr/senateur-3eme-republique/chardon_alfred1311r3.html", "chardon_alfred1311r3")</f>
        <v>0</v>
      </c>
      <c r="N11332">
        <f>HYPERLINK("https://www.wikidata.org/wiki/Q2835013", "Q2835013")</f>
        <v>0</v>
      </c>
      <c r="O11332" t="s">
        <v>20018</v>
      </c>
      <c r="Q11332" t="s">
        <v>393</v>
      </c>
      <c r="R11332" t="s">
        <v>21650</v>
      </c>
      <c r="S11332">
        <v>20013</v>
      </c>
    </row>
    <row r="11333" spans="1:19">
      <c r="A11333" t="s">
        <v>132</v>
      </c>
      <c r="B11333" t="s">
        <v>150</v>
      </c>
      <c r="C11333" t="s">
        <v>264</v>
      </c>
      <c r="D11333" t="s">
        <v>393</v>
      </c>
      <c r="F11333">
        <f>HYPERLINK("https://www.wikidata.org/wiki/Q111103099", "Q111103099")</f>
        <v>0</v>
      </c>
      <c r="G11333" t="s">
        <v>4461</v>
      </c>
      <c r="H11333" t="s">
        <v>8608</v>
      </c>
      <c r="I11333" t="s">
        <v>6860</v>
      </c>
      <c r="J11333" t="s">
        <v>14949</v>
      </c>
      <c r="K11333" t="s">
        <v>18594</v>
      </c>
      <c r="M11333">
        <f>HYPERLINK("https://www.senat.fr/senateur-3eme-republique/teisserenc_de_bort_pierre1775r3.html", "teisserenc_de_bort_pierre1775r3")</f>
        <v>0</v>
      </c>
      <c r="N11333">
        <f>HYPERLINK("https://www.wikidata.org/wiki/Q2093418", "Q2093418")</f>
        <v>0</v>
      </c>
      <c r="O11333" t="s">
        <v>19977</v>
      </c>
      <c r="Q11333" t="s">
        <v>393</v>
      </c>
      <c r="R11333" t="s">
        <v>21650</v>
      </c>
      <c r="S11333">
        <v>20013</v>
      </c>
    </row>
    <row r="11334" spans="1:19">
      <c r="A11334" t="s">
        <v>132</v>
      </c>
      <c r="B11334" t="s">
        <v>150</v>
      </c>
      <c r="C11334" t="s">
        <v>264</v>
      </c>
      <c r="D11334" t="s">
        <v>393</v>
      </c>
      <c r="F11334">
        <f>HYPERLINK("https://www.wikidata.org/wiki/Q111103099", "Q111103099")</f>
        <v>0</v>
      </c>
      <c r="G11334" t="s">
        <v>4628</v>
      </c>
      <c r="H11334" t="s">
        <v>8771</v>
      </c>
      <c r="I11334" t="s">
        <v>7790</v>
      </c>
      <c r="J11334" t="s">
        <v>15103</v>
      </c>
      <c r="K11334" t="s">
        <v>19423</v>
      </c>
      <c r="M11334">
        <f>HYPERLINK("https://www.senat.fr/senateur-3eme-republique/deffis_armand1077r3.html", "deffis_armand1077r3")</f>
        <v>0</v>
      </c>
      <c r="N11334">
        <f>HYPERLINK("https://www.wikidata.org/wiki/Q2861822", "Q2861822")</f>
        <v>0</v>
      </c>
      <c r="O11334" t="s">
        <v>20027</v>
      </c>
      <c r="Q11334" t="s">
        <v>393</v>
      </c>
      <c r="R11334" t="s">
        <v>21650</v>
      </c>
      <c r="S11334">
        <v>20013</v>
      </c>
    </row>
    <row r="11335" spans="1:19">
      <c r="A11335" t="s">
        <v>132</v>
      </c>
      <c r="B11335" t="s">
        <v>150</v>
      </c>
      <c r="C11335" t="s">
        <v>264</v>
      </c>
      <c r="D11335" t="s">
        <v>393</v>
      </c>
      <c r="F11335">
        <f>HYPERLINK("https://www.wikidata.org/wiki/Q111103099", "Q111103099")</f>
        <v>0</v>
      </c>
      <c r="G11335" t="s">
        <v>4240</v>
      </c>
      <c r="H11335" t="s">
        <v>8886</v>
      </c>
      <c r="I11335" t="s">
        <v>6200</v>
      </c>
      <c r="J11335" t="s">
        <v>14747</v>
      </c>
      <c r="K11335" t="s">
        <v>19092</v>
      </c>
      <c r="M11335">
        <f>HYPERLINK("https://www.senat.fr/senateur-3eme-republique/dupuy_jean1084r3.html", "dupuy_jean1084r3")</f>
        <v>0</v>
      </c>
      <c r="N11335">
        <f>HYPERLINK("https://www.wikidata.org/wiki/Q3171883", "Q3171883")</f>
        <v>0</v>
      </c>
      <c r="O11335" t="s">
        <v>20027</v>
      </c>
      <c r="Q11335" t="s">
        <v>393</v>
      </c>
      <c r="R11335" t="s">
        <v>21668</v>
      </c>
      <c r="S11335">
        <v>3310</v>
      </c>
    </row>
    <row r="11336" spans="1:19">
      <c r="A11336" t="s">
        <v>132</v>
      </c>
      <c r="B11336" t="s">
        <v>150</v>
      </c>
      <c r="C11336" t="s">
        <v>264</v>
      </c>
      <c r="D11336" t="s">
        <v>393</v>
      </c>
      <c r="F11336">
        <f>HYPERLINK("https://www.wikidata.org/wiki/Q111103099", "Q111103099")</f>
        <v>0</v>
      </c>
      <c r="G11336" t="s">
        <v>4678</v>
      </c>
      <c r="H11336" t="s">
        <v>8820</v>
      </c>
      <c r="I11336" t="s">
        <v>9523</v>
      </c>
      <c r="J11336" t="s">
        <v>13932</v>
      </c>
      <c r="K11336" t="s">
        <v>19468</v>
      </c>
      <c r="M11336">
        <f>HYPERLINK("https://www.senat.fr/senateur-3eme-republique/libert_marcel0916r3.html", "libert_marcel0916r3")</f>
        <v>0</v>
      </c>
      <c r="N11336">
        <f>HYPERLINK("https://www.wikidata.org/wiki/Q3289154", "Q3289154")</f>
        <v>0</v>
      </c>
      <c r="O11336" t="s">
        <v>19957</v>
      </c>
      <c r="Q11336" t="s">
        <v>393</v>
      </c>
      <c r="R11336" t="s">
        <v>21650</v>
      </c>
      <c r="S11336">
        <v>20013</v>
      </c>
    </row>
    <row r="11337" spans="1:19">
      <c r="A11337" t="s">
        <v>132</v>
      </c>
      <c r="B11337" t="s">
        <v>150</v>
      </c>
      <c r="C11337" t="s">
        <v>264</v>
      </c>
      <c r="D11337" t="s">
        <v>393</v>
      </c>
      <c r="F11337">
        <f>HYPERLINK("https://www.wikidata.org/wiki/Q111103099", "Q111103099")</f>
        <v>0</v>
      </c>
      <c r="G11337" t="s">
        <v>4528</v>
      </c>
      <c r="H11337" t="s">
        <v>8675</v>
      </c>
      <c r="I11337" t="s">
        <v>6860</v>
      </c>
      <c r="J11337" t="s">
        <v>14970</v>
      </c>
      <c r="K11337" t="s">
        <v>19337</v>
      </c>
      <c r="M11337">
        <f>HYPERLINK("https://www.senat.fr/senateur-3eme-republique/de_la_sicotiere_pierre0895r3.html", "de_la_sicotiere_pierre0895r3")</f>
        <v>0</v>
      </c>
      <c r="N11337">
        <f>HYPERLINK("https://www.wikidata.org/wiki/Q3271439", "Q3271439")</f>
        <v>0</v>
      </c>
      <c r="O11337" t="s">
        <v>19957</v>
      </c>
      <c r="Q11337" t="s">
        <v>393</v>
      </c>
      <c r="R11337" t="s">
        <v>21650</v>
      </c>
      <c r="S11337">
        <v>20013</v>
      </c>
    </row>
    <row r="11338" spans="1:19">
      <c r="A11338" t="s">
        <v>132</v>
      </c>
      <c r="B11338" t="s">
        <v>150</v>
      </c>
      <c r="C11338" t="s">
        <v>264</v>
      </c>
      <c r="D11338" t="s">
        <v>393</v>
      </c>
      <c r="F11338">
        <f>HYPERLINK("https://www.wikidata.org/wiki/Q111103099", "Q111103099")</f>
        <v>0</v>
      </c>
      <c r="G11338" t="s">
        <v>4488</v>
      </c>
      <c r="H11338" t="s">
        <v>8634</v>
      </c>
      <c r="I11338" t="s">
        <v>9385</v>
      </c>
      <c r="J11338" t="s">
        <v>14972</v>
      </c>
      <c r="K11338" t="s">
        <v>19301</v>
      </c>
      <c r="M11338">
        <f>HYPERLINK("https://www.senat.fr/senateur-3eme-republique/poriquet_charles0901r3.html", "poriquet_charles0901r3")</f>
        <v>0</v>
      </c>
      <c r="N11338">
        <f>HYPERLINK("https://www.wikidata.org/wiki/Q2958272", "Q2958272")</f>
        <v>0</v>
      </c>
      <c r="O11338" t="s">
        <v>19957</v>
      </c>
      <c r="Q11338" t="s">
        <v>393</v>
      </c>
      <c r="R11338" t="s">
        <v>21668</v>
      </c>
      <c r="S11338">
        <v>3310</v>
      </c>
    </row>
    <row r="11339" spans="1:19">
      <c r="A11339" t="s">
        <v>132</v>
      </c>
      <c r="B11339" t="s">
        <v>150</v>
      </c>
      <c r="C11339" t="s">
        <v>264</v>
      </c>
      <c r="D11339" t="s">
        <v>393</v>
      </c>
      <c r="F11339">
        <f>HYPERLINK("https://www.wikidata.org/wiki/Q111103099", "Q111103099")</f>
        <v>0</v>
      </c>
      <c r="G11339" t="s">
        <v>4744</v>
      </c>
      <c r="H11339" t="s">
        <v>8887</v>
      </c>
      <c r="I11339" t="s">
        <v>9376</v>
      </c>
      <c r="J11339" t="s">
        <v>15207</v>
      </c>
      <c r="K11339" t="s">
        <v>19524</v>
      </c>
      <c r="M11339">
        <f>HYPERLINK("https://www.senat.fr/senateur-3eme-republique/bouilliez_ferdinand0940r3.html", "bouilliez_ferdinand0940r3")</f>
        <v>0</v>
      </c>
      <c r="N11339">
        <f>HYPERLINK("https://www.wikidata.org/wiki/Q15973871", "Q15973871")</f>
        <v>0</v>
      </c>
      <c r="O11339" t="s">
        <v>19968</v>
      </c>
      <c r="Q11339" t="s">
        <v>393</v>
      </c>
      <c r="R11339" t="s">
        <v>21668</v>
      </c>
      <c r="S11339">
        <v>3310</v>
      </c>
    </row>
    <row r="11340" spans="1:19">
      <c r="A11340" t="s">
        <v>132</v>
      </c>
      <c r="B11340" t="s">
        <v>150</v>
      </c>
      <c r="C11340" t="s">
        <v>264</v>
      </c>
      <c r="D11340" t="s">
        <v>393</v>
      </c>
      <c r="F11340">
        <f>HYPERLINK("https://www.wikidata.org/wiki/Q111103099", "Q111103099")</f>
        <v>0</v>
      </c>
      <c r="G11340" t="s">
        <v>4491</v>
      </c>
      <c r="H11340" t="s">
        <v>8637</v>
      </c>
      <c r="I11340" t="s">
        <v>9552</v>
      </c>
      <c r="J11340" t="s">
        <v>14975</v>
      </c>
      <c r="K11340" t="s">
        <v>19304</v>
      </c>
      <c r="M11340">
        <f>HYPERLINK("https://www.senat.fr/senateur-3eme-republique/huguet_auguste0972r3.html", "huguet_auguste0972r3")</f>
        <v>0</v>
      </c>
      <c r="N11340">
        <f>HYPERLINK("https://www.wikidata.org/wiki/Q2871223", "Q2871223")</f>
        <v>0</v>
      </c>
      <c r="O11340" t="s">
        <v>19968</v>
      </c>
      <c r="Q11340" t="s">
        <v>393</v>
      </c>
      <c r="R11340" t="s">
        <v>21668</v>
      </c>
      <c r="S11340">
        <v>3310</v>
      </c>
    </row>
    <row r="11341" spans="1:19">
      <c r="A11341" t="s">
        <v>132</v>
      </c>
      <c r="B11341" t="s">
        <v>150</v>
      </c>
      <c r="C11341" t="s">
        <v>264</v>
      </c>
      <c r="D11341" t="s">
        <v>393</v>
      </c>
      <c r="F11341">
        <f>HYPERLINK("https://www.wikidata.org/wiki/Q111103099", "Q111103099")</f>
        <v>0</v>
      </c>
      <c r="G11341" t="s">
        <v>4597</v>
      </c>
      <c r="H11341" t="s">
        <v>8741</v>
      </c>
      <c r="I11341" t="s">
        <v>9474</v>
      </c>
      <c r="J11341" t="s">
        <v>15076</v>
      </c>
      <c r="K11341" t="s">
        <v>19396</v>
      </c>
      <c r="M11341">
        <f>HYPERLINK("https://www.senat.fr/senateur-3eme-republique/guyot_lavaline_jean_baptiste0992r3.html", "guyot_lavaline_jean_baptiste0992r3")</f>
        <v>0</v>
      </c>
      <c r="N11341">
        <f>HYPERLINK("https://www.wikidata.org/wiki/Q3164136", "Q3164136")</f>
        <v>0</v>
      </c>
      <c r="O11341" t="s">
        <v>20005</v>
      </c>
      <c r="Q11341" t="s">
        <v>393</v>
      </c>
      <c r="R11341" t="s">
        <v>21650</v>
      </c>
      <c r="S11341">
        <v>20013</v>
      </c>
    </row>
    <row r="11342" spans="1:19">
      <c r="A11342" t="s">
        <v>132</v>
      </c>
      <c r="B11342" t="s">
        <v>150</v>
      </c>
      <c r="C11342" t="s">
        <v>264</v>
      </c>
      <c r="D11342" t="s">
        <v>393</v>
      </c>
      <c r="F11342">
        <f>HYPERLINK("https://www.wikidata.org/wiki/Q111103099", "Q111103099")</f>
        <v>0</v>
      </c>
      <c r="G11342" t="s">
        <v>4494</v>
      </c>
      <c r="H11342" t="s">
        <v>8640</v>
      </c>
      <c r="I11342" t="s">
        <v>9414</v>
      </c>
      <c r="J11342" t="s">
        <v>14978</v>
      </c>
      <c r="K11342" t="s">
        <v>19307</v>
      </c>
      <c r="M11342">
        <f>HYPERLINK("https://www.senat.fr/senateur-3eme-republique/arago_emmanuel1087r3.html", "arago_emmanuel1087r3")</f>
        <v>0</v>
      </c>
      <c r="N11342">
        <f>HYPERLINK("https://www.wikidata.org/wiki/Q2658508", "Q2658508")</f>
        <v>0</v>
      </c>
      <c r="O11342" t="s">
        <v>20001</v>
      </c>
      <c r="Q11342" t="s">
        <v>393</v>
      </c>
      <c r="R11342" t="s">
        <v>21650</v>
      </c>
      <c r="S11342">
        <v>20013</v>
      </c>
    </row>
    <row r="11343" spans="1:19">
      <c r="A11343" t="s">
        <v>132</v>
      </c>
      <c r="B11343" t="s">
        <v>150</v>
      </c>
      <c r="C11343" t="s">
        <v>264</v>
      </c>
      <c r="D11343" t="s">
        <v>393</v>
      </c>
      <c r="F11343">
        <f>HYPERLINK("https://www.wikidata.org/wiki/Q111103099", "Q111103099")</f>
        <v>0</v>
      </c>
      <c r="G11343" t="s">
        <v>4634</v>
      </c>
      <c r="H11343" t="s">
        <v>8777</v>
      </c>
      <c r="I11343" t="s">
        <v>6495</v>
      </c>
      <c r="J11343" t="s">
        <v>15109</v>
      </c>
      <c r="K11343" t="s">
        <v>19429</v>
      </c>
      <c r="M11343">
        <f>HYPERLINK("https://www.senat.fr/senateur-3eme-republique/munier_louis1133r3.html", "munier_louis1133r3")</f>
        <v>0</v>
      </c>
      <c r="N11343">
        <f>HYPERLINK("https://www.wikidata.org/wiki/Q3262764", "Q3262764")</f>
        <v>0</v>
      </c>
      <c r="O11343" t="s">
        <v>19965</v>
      </c>
      <c r="Q11343" t="s">
        <v>393</v>
      </c>
      <c r="R11343" t="s">
        <v>21650</v>
      </c>
      <c r="S11343">
        <v>20013</v>
      </c>
    </row>
    <row r="11344" spans="1:19">
      <c r="A11344" t="s">
        <v>132</v>
      </c>
      <c r="B11344" t="s">
        <v>150</v>
      </c>
      <c r="C11344" t="s">
        <v>264</v>
      </c>
      <c r="D11344" t="s">
        <v>393</v>
      </c>
      <c r="F11344">
        <f>HYPERLINK("https://www.wikidata.org/wiki/Q111103099", "Q111103099")</f>
        <v>0</v>
      </c>
      <c r="G11344" t="s">
        <v>4291</v>
      </c>
      <c r="H11344" t="s">
        <v>8450</v>
      </c>
      <c r="I11344" t="s">
        <v>9728</v>
      </c>
      <c r="J11344" t="s">
        <v>14790</v>
      </c>
      <c r="K11344" t="s">
        <v>19134</v>
      </c>
      <c r="M11344">
        <f>HYPERLINK("https://www.senat.fr/senateur-3eme-republique/millaud_edouard1120r3.html", "millaud_edouard1120r3")</f>
        <v>0</v>
      </c>
      <c r="N11344">
        <f>HYPERLINK("https://www.wikidata.org/wiki/Q3579963", "Q3579963")</f>
        <v>0</v>
      </c>
      <c r="O11344" t="s">
        <v>19965</v>
      </c>
      <c r="Q11344" t="s">
        <v>393</v>
      </c>
      <c r="R11344" t="s">
        <v>21670</v>
      </c>
      <c r="S11344">
        <v>3305</v>
      </c>
    </row>
    <row r="11345" spans="1:19">
      <c r="A11345" t="s">
        <v>132</v>
      </c>
      <c r="B11345" t="s">
        <v>150</v>
      </c>
      <c r="C11345" t="s">
        <v>264</v>
      </c>
      <c r="D11345" t="s">
        <v>393</v>
      </c>
      <c r="F11345">
        <f>HYPERLINK("https://www.wikidata.org/wiki/Q111103099", "Q111103099")</f>
        <v>0</v>
      </c>
      <c r="G11345" t="s">
        <v>4598</v>
      </c>
      <c r="H11345" t="s">
        <v>8742</v>
      </c>
      <c r="I11345" t="s">
        <v>9458</v>
      </c>
      <c r="J11345" t="s">
        <v>15077</v>
      </c>
      <c r="K11345" t="s">
        <v>19397</v>
      </c>
      <c r="M11345">
        <f>HYPERLINK("https://www.senat.fr/senateur-3eme-republique/mathey_alfred1208r3.html", "mathey_alfred1208r3")</f>
        <v>0</v>
      </c>
      <c r="N11345">
        <f>HYPERLINK("https://www.wikidata.org/wiki/Q2835316", "Q2835316")</f>
        <v>0</v>
      </c>
      <c r="O11345" t="s">
        <v>19994</v>
      </c>
      <c r="Q11345" t="s">
        <v>393</v>
      </c>
      <c r="R11345" t="s">
        <v>21650</v>
      </c>
      <c r="S11345">
        <v>20013</v>
      </c>
    </row>
    <row r="11346" spans="1:19">
      <c r="A11346" t="s">
        <v>132</v>
      </c>
      <c r="B11346" t="s">
        <v>150</v>
      </c>
      <c r="C11346" t="s">
        <v>264</v>
      </c>
      <c r="D11346" t="s">
        <v>393</v>
      </c>
      <c r="F11346">
        <f>HYPERLINK("https://www.wikidata.org/wiki/Q111103099", "Q111103099")</f>
        <v>0</v>
      </c>
      <c r="G11346" t="s">
        <v>4257</v>
      </c>
      <c r="H11346" t="s">
        <v>8426</v>
      </c>
      <c r="I11346" t="s">
        <v>9385</v>
      </c>
      <c r="J11346" t="s">
        <v>14761</v>
      </c>
      <c r="K11346" t="s">
        <v>19106</v>
      </c>
      <c r="M11346">
        <f>HYPERLINK("https://www.senat.fr/senateur-3eme-republique/demole_charles1218r3.html", "demole_charles1218r3")</f>
        <v>0</v>
      </c>
      <c r="N11346">
        <f>HYPERLINK("https://www.wikidata.org/wiki/Q2958875", "Q2958875")</f>
        <v>0</v>
      </c>
      <c r="O11346" t="s">
        <v>19994</v>
      </c>
      <c r="Q11346" t="s">
        <v>393</v>
      </c>
      <c r="R11346" t="s">
        <v>21668</v>
      </c>
      <c r="S11346">
        <v>3310</v>
      </c>
    </row>
    <row r="11347" spans="1:19">
      <c r="A11347" t="s">
        <v>132</v>
      </c>
      <c r="B11347" t="s">
        <v>150</v>
      </c>
      <c r="C11347" t="s">
        <v>264</v>
      </c>
      <c r="D11347" t="s">
        <v>393</v>
      </c>
      <c r="F11347">
        <f>HYPERLINK("https://www.wikidata.org/wiki/Q111103099", "Q111103099")</f>
        <v>0</v>
      </c>
      <c r="G11347" t="s">
        <v>4635</v>
      </c>
      <c r="H11347" t="s">
        <v>8778</v>
      </c>
      <c r="I11347" t="s">
        <v>6495</v>
      </c>
      <c r="J11347" t="s">
        <v>15090</v>
      </c>
      <c r="K11347" t="s">
        <v>19430</v>
      </c>
      <c r="M11347">
        <f>HYPERLINK("https://www.senat.fr/senateur-3eme-republique/cordelet_louis1239r3.html", "cordelet_louis1239r3")</f>
        <v>0</v>
      </c>
      <c r="N11347">
        <f>HYPERLINK("https://www.wikidata.org/wiki/Q3261588", "Q3261588")</f>
        <v>0</v>
      </c>
      <c r="O11347" t="s">
        <v>19956</v>
      </c>
      <c r="Q11347" t="s">
        <v>393</v>
      </c>
      <c r="R11347" t="s">
        <v>21670</v>
      </c>
      <c r="S11347">
        <v>3305</v>
      </c>
    </row>
    <row r="11348" spans="1:19">
      <c r="A11348" t="s">
        <v>132</v>
      </c>
      <c r="B11348" t="s">
        <v>150</v>
      </c>
      <c r="C11348" t="s">
        <v>264</v>
      </c>
      <c r="D11348" t="s">
        <v>393</v>
      </c>
      <c r="F11348">
        <f>HYPERLINK("https://www.wikidata.org/wiki/Q111103099", "Q111103099")</f>
        <v>0</v>
      </c>
      <c r="G11348" t="s">
        <v>4739</v>
      </c>
      <c r="H11348" t="s">
        <v>8881</v>
      </c>
      <c r="I11348" t="s">
        <v>9385</v>
      </c>
      <c r="J11348" t="s">
        <v>15202</v>
      </c>
      <c r="K11348" t="s">
        <v>19520</v>
      </c>
      <c r="M11348">
        <f>HYPERLINK("https://www.senat.fr/senateur-3eme-republique/forest_charles1300r3.html", "forest_charles1300r3")</f>
        <v>0</v>
      </c>
      <c r="N11348">
        <f>HYPERLINK("https://www.wikidata.org/wiki/Q2959076", "Q2959076")</f>
        <v>0</v>
      </c>
      <c r="O11348" t="s">
        <v>19988</v>
      </c>
      <c r="Q11348" t="s">
        <v>393</v>
      </c>
      <c r="R11348" t="s">
        <v>21668</v>
      </c>
      <c r="S11348">
        <v>3310</v>
      </c>
    </row>
    <row r="11349" spans="1:19">
      <c r="A11349" t="s">
        <v>132</v>
      </c>
      <c r="B11349" t="s">
        <v>150</v>
      </c>
      <c r="C11349" t="s">
        <v>264</v>
      </c>
      <c r="D11349" t="s">
        <v>393</v>
      </c>
      <c r="F11349">
        <f>HYPERLINK("https://www.wikidata.org/wiki/Q111103099", "Q111103099")</f>
        <v>0</v>
      </c>
      <c r="G11349" t="s">
        <v>4745</v>
      </c>
      <c r="H11349" t="s">
        <v>8888</v>
      </c>
      <c r="I11349" t="s">
        <v>6166</v>
      </c>
      <c r="J11349" t="s">
        <v>15208</v>
      </c>
      <c r="K11349" t="s">
        <v>19525</v>
      </c>
      <c r="M11349">
        <f>HYPERLINK("https://www.senat.fr/senateur-3eme-republique/gravin_francois1296r3.html", "gravin_francois1296r3")</f>
        <v>0</v>
      </c>
      <c r="N11349">
        <f>HYPERLINK("https://www.wikidata.org/wiki/Q3084765", "Q3084765")</f>
        <v>0</v>
      </c>
      <c r="O11349" t="s">
        <v>19988</v>
      </c>
      <c r="Q11349" t="s">
        <v>393</v>
      </c>
      <c r="R11349" t="s">
        <v>21668</v>
      </c>
      <c r="S11349">
        <v>3310</v>
      </c>
    </row>
    <row r="11350" spans="1:19">
      <c r="A11350" t="s">
        <v>132</v>
      </c>
      <c r="B11350" t="s">
        <v>150</v>
      </c>
      <c r="C11350" t="s">
        <v>264</v>
      </c>
      <c r="D11350" t="s">
        <v>393</v>
      </c>
      <c r="F11350">
        <f>HYPERLINK("https://www.wikidata.org/wiki/Q111103099", "Q111103099")</f>
        <v>0</v>
      </c>
      <c r="G11350" t="s">
        <v>4622</v>
      </c>
      <c r="H11350" t="s">
        <v>8765</v>
      </c>
      <c r="I11350" t="s">
        <v>9457</v>
      </c>
      <c r="J11350" t="s">
        <v>15097</v>
      </c>
      <c r="K11350" t="s">
        <v>19419</v>
      </c>
      <c r="M11350">
        <f>HYPERLINK("https://www.senat.fr/senateur-3eme-republique/tolain_henri1332r3.html", "tolain_henri1332r3")</f>
        <v>0</v>
      </c>
      <c r="N11350">
        <f>HYPERLINK("https://www.wikidata.org/wiki/Q637206", "Q637206")</f>
        <v>0</v>
      </c>
      <c r="O11350" t="s">
        <v>19969</v>
      </c>
      <c r="Q11350" t="s">
        <v>393</v>
      </c>
      <c r="R11350" t="s">
        <v>21650</v>
      </c>
      <c r="S11350">
        <v>20013</v>
      </c>
    </row>
    <row r="11351" spans="1:19">
      <c r="A11351" t="s">
        <v>132</v>
      </c>
      <c r="B11351" t="s">
        <v>150</v>
      </c>
      <c r="C11351" t="s">
        <v>264</v>
      </c>
      <c r="D11351" t="s">
        <v>393</v>
      </c>
      <c r="F11351">
        <f>HYPERLINK("https://www.wikidata.org/wiki/Q111103099", "Q111103099")</f>
        <v>0</v>
      </c>
      <c r="G11351" t="s">
        <v>4746</v>
      </c>
      <c r="H11351" t="s">
        <v>8889</v>
      </c>
      <c r="I11351" t="s">
        <v>9553</v>
      </c>
      <c r="J11351" t="s">
        <v>15209</v>
      </c>
      <c r="K11351" t="s">
        <v>19526</v>
      </c>
      <c r="M11351">
        <f>HYPERLINK("https://www.senat.fr/senateur-3eme-republique/lefevre_alexandre1371r3.html", "lefevre_alexandre1371r3")</f>
        <v>0</v>
      </c>
      <c r="N11351">
        <f>HYPERLINK("https://www.wikidata.org/wiki/Q16216425", "Q16216425")</f>
        <v>0</v>
      </c>
      <c r="O11351" t="s">
        <v>19969</v>
      </c>
      <c r="Q11351" t="s">
        <v>393</v>
      </c>
      <c r="R11351" t="s">
        <v>21668</v>
      </c>
      <c r="S11351">
        <v>3310</v>
      </c>
    </row>
    <row r="11352" spans="1:19">
      <c r="A11352" t="s">
        <v>132</v>
      </c>
      <c r="B11352" t="s">
        <v>150</v>
      </c>
      <c r="C11352" t="s">
        <v>264</v>
      </c>
      <c r="D11352" t="s">
        <v>393</v>
      </c>
      <c r="F11352">
        <f>HYPERLINK("https://www.wikidata.org/wiki/Q111103099", "Q111103099")</f>
        <v>0</v>
      </c>
      <c r="G11352" t="s">
        <v>4732</v>
      </c>
      <c r="H11352" t="s">
        <v>8874</v>
      </c>
      <c r="I11352" t="s">
        <v>6166</v>
      </c>
      <c r="J11352" t="s">
        <v>13779</v>
      </c>
      <c r="K11352" t="s">
        <v>19487</v>
      </c>
      <c r="M11352">
        <f>HYPERLINK("https://www.senat.fr/senateur-3eme-republique/poirrier_francois1358r3.html", "poirrier_francois1358r3")</f>
        <v>0</v>
      </c>
      <c r="N11352">
        <f>HYPERLINK("https://www.wikidata.org/wiki/Q13080874", "Q13080874")</f>
        <v>0</v>
      </c>
      <c r="O11352" t="s">
        <v>19969</v>
      </c>
      <c r="Q11352" t="s">
        <v>393</v>
      </c>
      <c r="R11352" t="s">
        <v>21668</v>
      </c>
      <c r="S11352">
        <v>3310</v>
      </c>
    </row>
    <row r="11353" spans="1:19">
      <c r="A11353" t="s">
        <v>132</v>
      </c>
      <c r="B11353" t="s">
        <v>150</v>
      </c>
      <c r="C11353" t="s">
        <v>264</v>
      </c>
      <c r="D11353" t="s">
        <v>393</v>
      </c>
      <c r="F11353">
        <f>HYPERLINK("https://www.wikidata.org/wiki/Q111103099", "Q111103099")</f>
        <v>0</v>
      </c>
      <c r="G11353" t="s">
        <v>4245</v>
      </c>
      <c r="H11353" t="s">
        <v>8418</v>
      </c>
      <c r="I11353" t="s">
        <v>9385</v>
      </c>
      <c r="J11353" t="s">
        <v>14751</v>
      </c>
      <c r="K11353" t="s">
        <v>19097</v>
      </c>
      <c r="M11353">
        <f>HYPERLINK("https://www.senat.fr/senateur-3eme-republique/de_saulces_de_freycinet_louis1713r3.html", "de_saulces_de_freycinet_louis1713r3")</f>
        <v>0</v>
      </c>
      <c r="N11353">
        <f>HYPERLINK("https://www.wikidata.org/wiki/Q317957", "Q317957")</f>
        <v>0</v>
      </c>
      <c r="O11353" t="s">
        <v>19969</v>
      </c>
      <c r="Q11353" t="s">
        <v>393</v>
      </c>
      <c r="R11353" t="s">
        <v>21668</v>
      </c>
      <c r="S11353">
        <v>3310</v>
      </c>
    </row>
    <row r="11354" spans="1:19">
      <c r="A11354" t="s">
        <v>132</v>
      </c>
      <c r="B11354" t="s">
        <v>150</v>
      </c>
      <c r="C11354" t="s">
        <v>264</v>
      </c>
      <c r="D11354" t="s">
        <v>393</v>
      </c>
      <c r="F11354">
        <f>HYPERLINK("https://www.wikidata.org/wiki/Q111103099", "Q111103099")</f>
        <v>0</v>
      </c>
      <c r="G11354" t="s">
        <v>4506</v>
      </c>
      <c r="H11354" t="s">
        <v>8652</v>
      </c>
      <c r="I11354" t="s">
        <v>6495</v>
      </c>
      <c r="J11354" t="s">
        <v>14990</v>
      </c>
      <c r="K11354" t="s">
        <v>19317</v>
      </c>
      <c r="M11354">
        <f>HYPERLINK("https://www.senat.fr/senateur-3eme-republique/foucher_de_careil_louis1576r3.html", "foucher_de_careil_louis1576r3")</f>
        <v>0</v>
      </c>
      <c r="N11354">
        <f>HYPERLINK("https://www.wikidata.org/wiki/Q3260296", "Q3260296")</f>
        <v>0</v>
      </c>
      <c r="O11354" t="s">
        <v>20026</v>
      </c>
      <c r="Q11354" t="s">
        <v>393</v>
      </c>
      <c r="R11354" t="s">
        <v>19317</v>
      </c>
      <c r="S11354">
        <v>6</v>
      </c>
    </row>
    <row r="11355" spans="1:19">
      <c r="A11355" t="s">
        <v>132</v>
      </c>
      <c r="B11355" t="s">
        <v>150</v>
      </c>
      <c r="C11355" t="s">
        <v>264</v>
      </c>
      <c r="D11355" t="s">
        <v>393</v>
      </c>
      <c r="F11355">
        <f>HYPERLINK("https://www.wikidata.org/wiki/Q111103099", "Q111103099")</f>
        <v>0</v>
      </c>
      <c r="G11355" t="s">
        <v>4747</v>
      </c>
      <c r="H11355" t="s">
        <v>8890</v>
      </c>
      <c r="I11355" t="s">
        <v>9388</v>
      </c>
      <c r="J11355" t="s">
        <v>15210</v>
      </c>
      <c r="K11355" t="s">
        <v>19527</v>
      </c>
      <c r="M11355">
        <f>HYPERLINK("https://www.senat.fr/senateur-3eme-republique/maret_paul1644r3.html", "maret_paul1644r3")</f>
        <v>0</v>
      </c>
      <c r="N11355">
        <f>HYPERLINK("https://www.wikidata.org/wiki/Q3371773", "Q3371773")</f>
        <v>0</v>
      </c>
      <c r="O11355" t="s">
        <v>19976</v>
      </c>
      <c r="Q11355" t="s">
        <v>393</v>
      </c>
      <c r="R11355" t="s">
        <v>21668</v>
      </c>
      <c r="S11355">
        <v>3310</v>
      </c>
    </row>
    <row r="11356" spans="1:19">
      <c r="A11356" t="s">
        <v>132</v>
      </c>
      <c r="B11356" t="s">
        <v>150</v>
      </c>
      <c r="C11356" t="s">
        <v>264</v>
      </c>
      <c r="D11356" t="s">
        <v>393</v>
      </c>
      <c r="F11356">
        <f>HYPERLINK("https://www.wikidata.org/wiki/Q111103099", "Q111103099")</f>
        <v>0</v>
      </c>
      <c r="G11356" t="s">
        <v>4735</v>
      </c>
      <c r="H11356" t="s">
        <v>8877</v>
      </c>
      <c r="I11356" t="s">
        <v>9388</v>
      </c>
      <c r="J11356" t="s">
        <v>15198</v>
      </c>
      <c r="K11356" t="s">
        <v>19516</v>
      </c>
      <c r="M11356">
        <f>HYPERLINK("https://www.senat.fr/senateur-3eme-republique/decauville_paul1626r3.html", "decauville_paul1626r3")</f>
        <v>0</v>
      </c>
      <c r="N11356">
        <f>HYPERLINK("https://www.wikidata.org/wiki/Q7831026", "Q7831026")</f>
        <v>0</v>
      </c>
      <c r="O11356" t="s">
        <v>19976</v>
      </c>
      <c r="Q11356" t="s">
        <v>393</v>
      </c>
      <c r="R11356" t="s">
        <v>21650</v>
      </c>
      <c r="S11356">
        <v>20013</v>
      </c>
    </row>
    <row r="11357" spans="1:19">
      <c r="A11357" t="s">
        <v>132</v>
      </c>
      <c r="B11357" t="s">
        <v>150</v>
      </c>
      <c r="C11357" t="s">
        <v>264</v>
      </c>
      <c r="D11357" t="s">
        <v>393</v>
      </c>
      <c r="F11357">
        <f>HYPERLINK("https://www.wikidata.org/wiki/Q111103099", "Q111103099")</f>
        <v>0</v>
      </c>
      <c r="G11357" t="s">
        <v>4692</v>
      </c>
      <c r="H11357" t="s">
        <v>8832</v>
      </c>
      <c r="I11357" t="s">
        <v>9612</v>
      </c>
      <c r="J11357" t="s">
        <v>15162</v>
      </c>
      <c r="K11357" t="s">
        <v>19482</v>
      </c>
      <c r="M11357">
        <f>HYPERLINK("https://www.senat.fr/senateur-3eme-republique/petit_frederic1677r3.html", "petit_frederic1677r3")</f>
        <v>0</v>
      </c>
      <c r="N11357">
        <f>HYPERLINK("https://www.wikidata.org/wiki/Q3090122", "Q3090122")</f>
        <v>0</v>
      </c>
      <c r="O11357" t="s">
        <v>20012</v>
      </c>
      <c r="Q11357" t="s">
        <v>393</v>
      </c>
      <c r="R11357" t="s">
        <v>21650</v>
      </c>
      <c r="S11357">
        <v>20013</v>
      </c>
    </row>
    <row r="11358" spans="1:19">
      <c r="A11358" t="s">
        <v>132</v>
      </c>
      <c r="B11358" t="s">
        <v>150</v>
      </c>
      <c r="C11358" t="s">
        <v>264</v>
      </c>
      <c r="D11358" t="s">
        <v>393</v>
      </c>
      <c r="F11358">
        <f>HYPERLINK("https://www.wikidata.org/wiki/Q111103099", "Q111103099")</f>
        <v>0</v>
      </c>
      <c r="G11358" t="s">
        <v>4312</v>
      </c>
      <c r="H11358" t="s">
        <v>8468</v>
      </c>
      <c r="I11358" t="s">
        <v>6584</v>
      </c>
      <c r="J11358" t="s">
        <v>14810</v>
      </c>
      <c r="K11358" t="s">
        <v>19151</v>
      </c>
      <c r="M11358">
        <f>HYPERLINK("https://www.senat.fr/senateur-3eme-republique/dauphin_albert1648r3.html", "dauphin_albert1648r3")</f>
        <v>0</v>
      </c>
      <c r="N11358">
        <f>HYPERLINK("https://www.wikidata.org/wiki/Q2831085", "Q2831085")</f>
        <v>0</v>
      </c>
      <c r="O11358" t="s">
        <v>20012</v>
      </c>
      <c r="Q11358" t="s">
        <v>393</v>
      </c>
      <c r="R11358" t="s">
        <v>21650</v>
      </c>
      <c r="S11358">
        <v>20013</v>
      </c>
    </row>
    <row r="11359" spans="1:19">
      <c r="A11359" t="s">
        <v>132</v>
      </c>
      <c r="B11359" t="s">
        <v>150</v>
      </c>
      <c r="C11359" t="s">
        <v>264</v>
      </c>
      <c r="D11359" t="s">
        <v>393</v>
      </c>
      <c r="F11359">
        <f>HYPERLINK("https://www.wikidata.org/wiki/Q111103099", "Q111103099")</f>
        <v>0</v>
      </c>
      <c r="G11359" t="s">
        <v>4292</v>
      </c>
      <c r="H11359" t="s">
        <v>8451</v>
      </c>
      <c r="I11359" t="s">
        <v>9728</v>
      </c>
      <c r="J11359" t="s">
        <v>14791</v>
      </c>
      <c r="K11359" t="s">
        <v>19135</v>
      </c>
      <c r="M11359">
        <f>HYPERLINK("https://www.senat.fr/senateur-3eme-republique/barbey_edouard1693r3.html", "barbey_edouard1693r3")</f>
        <v>0</v>
      </c>
      <c r="N11359">
        <f>HYPERLINK("https://www.wikidata.org/wiki/Q1857743", "Q1857743")</f>
        <v>0</v>
      </c>
      <c r="O11359" t="s">
        <v>19962</v>
      </c>
      <c r="Q11359" t="s">
        <v>393</v>
      </c>
      <c r="R11359" t="s">
        <v>21668</v>
      </c>
      <c r="S11359">
        <v>3310</v>
      </c>
    </row>
    <row r="11360" spans="1:19">
      <c r="A11360" t="s">
        <v>132</v>
      </c>
      <c r="B11360" t="s">
        <v>150</v>
      </c>
      <c r="C11360" t="s">
        <v>264</v>
      </c>
      <c r="D11360" t="s">
        <v>393</v>
      </c>
      <c r="F11360">
        <f>HYPERLINK("https://www.wikidata.org/wiki/Q111103099", "Q111103099")</f>
        <v>0</v>
      </c>
      <c r="G11360" t="s">
        <v>4639</v>
      </c>
      <c r="H11360" t="s">
        <v>8782</v>
      </c>
      <c r="I11360" t="s">
        <v>9421</v>
      </c>
      <c r="J11360" t="s">
        <v>15113</v>
      </c>
      <c r="K11360" t="s">
        <v>19433</v>
      </c>
      <c r="M11360">
        <f>HYPERLINK("https://www.senat.fr/senateur-3eme-republique/garrisson_gustave1723r3.html", "garrisson_gustave1723r3")</f>
        <v>0</v>
      </c>
      <c r="N11360">
        <f>HYPERLINK("https://www.wikidata.org/wiki/Q3121195", "Q3121195")</f>
        <v>0</v>
      </c>
      <c r="O11360" t="s">
        <v>20045</v>
      </c>
      <c r="Q11360" t="s">
        <v>393</v>
      </c>
      <c r="R11360" t="s">
        <v>21650</v>
      </c>
      <c r="S11360">
        <v>20013</v>
      </c>
    </row>
    <row r="11361" spans="1:19">
      <c r="A11361" t="s">
        <v>132</v>
      </c>
      <c r="B11361" t="s">
        <v>150</v>
      </c>
      <c r="C11361" t="s">
        <v>264</v>
      </c>
      <c r="D11361" t="s">
        <v>393</v>
      </c>
      <c r="F11361">
        <f>HYPERLINK("https://www.wikidata.org/wiki/Q111103099", "Q111103099")</f>
        <v>0</v>
      </c>
      <c r="G11361" t="s">
        <v>4748</v>
      </c>
      <c r="H11361" t="s">
        <v>8891</v>
      </c>
      <c r="I11361" t="s">
        <v>5528</v>
      </c>
      <c r="J11361" t="s">
        <v>15211</v>
      </c>
      <c r="K11361" t="s">
        <v>19528</v>
      </c>
      <c r="M11361">
        <f>HYPERLINK("https://www.senat.fr/senateur-3eme-republique/rolland_leon1715r3.html", "rolland_leon1715r3")</f>
        <v>0</v>
      </c>
      <c r="N11361">
        <f>HYPERLINK("https://www.wikidata.org/wiki/Q3271308", "Q3271308")</f>
        <v>0</v>
      </c>
      <c r="O11361" t="s">
        <v>20045</v>
      </c>
      <c r="Q11361" t="s">
        <v>393</v>
      </c>
      <c r="R11361" t="s">
        <v>21668</v>
      </c>
      <c r="S11361">
        <v>3310</v>
      </c>
    </row>
    <row r="11362" spans="1:19">
      <c r="A11362" t="s">
        <v>132</v>
      </c>
      <c r="B11362" t="s">
        <v>150</v>
      </c>
      <c r="C11362" t="s">
        <v>264</v>
      </c>
      <c r="D11362" t="s">
        <v>393</v>
      </c>
      <c r="F11362">
        <f>HYPERLINK("https://www.wikidata.org/wiki/Q111103099", "Q111103099")</f>
        <v>0</v>
      </c>
      <c r="G11362" t="s">
        <v>4749</v>
      </c>
      <c r="H11362" t="s">
        <v>8892</v>
      </c>
      <c r="I11362" t="s">
        <v>9465</v>
      </c>
      <c r="J11362" t="s">
        <v>15212</v>
      </c>
      <c r="K11362" t="s">
        <v>17872</v>
      </c>
      <c r="M11362">
        <f>HYPERLINK("https://www.senat.fr/senateur-3eme-republique/angles_eugene1731r3.html", "angles_eugene1731r3")</f>
        <v>0</v>
      </c>
      <c r="N11362">
        <f>HYPERLINK("https://www.wikidata.org/wiki/Q3059688", "Q3059688")</f>
        <v>0</v>
      </c>
      <c r="O11362" t="s">
        <v>20042</v>
      </c>
      <c r="Q11362" t="s">
        <v>393</v>
      </c>
      <c r="R11362" t="s">
        <v>17872</v>
      </c>
      <c r="S11362">
        <v>2529</v>
      </c>
    </row>
    <row r="11363" spans="1:19">
      <c r="A11363" t="s">
        <v>132</v>
      </c>
      <c r="B11363" t="s">
        <v>150</v>
      </c>
      <c r="C11363" t="s">
        <v>264</v>
      </c>
      <c r="D11363" t="s">
        <v>393</v>
      </c>
      <c r="F11363">
        <f>HYPERLINK("https://www.wikidata.org/wiki/Q111103099", "Q111103099")</f>
        <v>0</v>
      </c>
      <c r="G11363" t="s">
        <v>4750</v>
      </c>
      <c r="H11363" t="s">
        <v>8893</v>
      </c>
      <c r="I11363" t="s">
        <v>9602</v>
      </c>
      <c r="J11363" t="s">
        <v>15213</v>
      </c>
      <c r="K11363" t="s">
        <v>19529</v>
      </c>
      <c r="M11363">
        <f>HYPERLINK("https://www.senat.fr/senateur-3eme-republique/magnier_edmond1736r3.html", "magnier_edmond1736r3")</f>
        <v>0</v>
      </c>
      <c r="N11363">
        <f>HYPERLINK("https://www.wikidata.org/wiki/Q3047914", "Q3047914")</f>
        <v>0</v>
      </c>
      <c r="O11363" t="s">
        <v>20042</v>
      </c>
      <c r="Q11363" t="s">
        <v>393</v>
      </c>
      <c r="R11363" t="s">
        <v>21672</v>
      </c>
      <c r="S11363">
        <v>1801</v>
      </c>
    </row>
    <row r="11364" spans="1:19">
      <c r="A11364" t="s">
        <v>132</v>
      </c>
      <c r="B11364" t="s">
        <v>150</v>
      </c>
      <c r="C11364" t="s">
        <v>264</v>
      </c>
      <c r="D11364" t="s">
        <v>393</v>
      </c>
      <c r="F11364">
        <f>HYPERLINK("https://www.wikidata.org/wiki/Q111103099", "Q111103099")</f>
        <v>0</v>
      </c>
      <c r="G11364" t="s">
        <v>4297</v>
      </c>
      <c r="H11364" t="s">
        <v>6183</v>
      </c>
      <c r="I11364" t="s">
        <v>9465</v>
      </c>
      <c r="J11364" t="s">
        <v>14796</v>
      </c>
      <c r="K11364" t="s">
        <v>19139</v>
      </c>
      <c r="M11364">
        <f>HYPERLINK("https://www.senat.fr/senateur-3eme-republique/guerin_eugene1709r3.html", "guerin_eugene1709r3")</f>
        <v>0</v>
      </c>
      <c r="N11364">
        <f>HYPERLINK("https://www.wikidata.org/wiki/Q3059913", "Q3059913")</f>
        <v>0</v>
      </c>
      <c r="O11364" t="s">
        <v>20047</v>
      </c>
      <c r="Q11364" t="s">
        <v>393</v>
      </c>
      <c r="R11364" t="s">
        <v>21670</v>
      </c>
      <c r="S11364">
        <v>3305</v>
      </c>
    </row>
    <row r="11365" spans="1:19">
      <c r="A11365" t="s">
        <v>132</v>
      </c>
      <c r="B11365" t="s">
        <v>150</v>
      </c>
      <c r="C11365" t="s">
        <v>264</v>
      </c>
      <c r="D11365" t="s">
        <v>393</v>
      </c>
      <c r="F11365">
        <f>HYPERLINK("https://www.wikidata.org/wiki/Q111103099", "Q111103099")</f>
        <v>0</v>
      </c>
      <c r="G11365" t="s">
        <v>4705</v>
      </c>
      <c r="H11365" t="s">
        <v>8846</v>
      </c>
      <c r="I11365" t="s">
        <v>9458</v>
      </c>
      <c r="J11365" t="s">
        <v>15173</v>
      </c>
      <c r="K11365" t="s">
        <v>19493</v>
      </c>
      <c r="M11365">
        <f>HYPERLINK("https://www.senat.fr/senateur-3eme-republique/bire_alfred1744r3.html", "bire_alfred1744r3")</f>
        <v>0</v>
      </c>
      <c r="N11365">
        <f>HYPERLINK("https://www.wikidata.org/wiki/Q2834972", "Q2834972")</f>
        <v>0</v>
      </c>
      <c r="O11365" t="s">
        <v>19972</v>
      </c>
      <c r="Q11365" t="s">
        <v>393</v>
      </c>
      <c r="R11365" t="s">
        <v>21650</v>
      </c>
      <c r="S11365">
        <v>20013</v>
      </c>
    </row>
    <row r="11366" spans="1:19">
      <c r="A11366" t="s">
        <v>132</v>
      </c>
      <c r="B11366" t="s">
        <v>150</v>
      </c>
      <c r="C11366" t="s">
        <v>264</v>
      </c>
      <c r="D11366" t="s">
        <v>393</v>
      </c>
      <c r="F11366">
        <f>HYPERLINK("https://www.wikidata.org/wiki/Q111103099", "Q111103099")</f>
        <v>0</v>
      </c>
      <c r="G11366" t="s">
        <v>4696</v>
      </c>
      <c r="H11366" t="s">
        <v>8836</v>
      </c>
      <c r="I11366" t="s">
        <v>9440</v>
      </c>
      <c r="J11366" t="s">
        <v>15165</v>
      </c>
      <c r="K11366" t="s">
        <v>19469</v>
      </c>
      <c r="M11366">
        <f>HYPERLINK("https://www.senat.fr/senateur-3eme-republique/de_bejarry_amedee1748r3.html", "de_bejarry_amedee1748r3")</f>
        <v>0</v>
      </c>
      <c r="N11366">
        <f>HYPERLINK("https://www.wikidata.org/wiki/Q2844725", "Q2844725")</f>
        <v>0</v>
      </c>
      <c r="O11366" t="s">
        <v>19972</v>
      </c>
      <c r="Q11366" t="s">
        <v>393</v>
      </c>
      <c r="R11366" t="s">
        <v>21668</v>
      </c>
      <c r="S11366">
        <v>3310</v>
      </c>
    </row>
    <row r="11367" spans="1:19">
      <c r="A11367" t="s">
        <v>132</v>
      </c>
      <c r="B11367" t="s">
        <v>150</v>
      </c>
      <c r="C11367" t="s">
        <v>264</v>
      </c>
      <c r="D11367" t="s">
        <v>393</v>
      </c>
      <c r="F11367">
        <f>HYPERLINK("https://www.wikidata.org/wiki/Q111103099", "Q111103099")</f>
        <v>0</v>
      </c>
      <c r="G11367" t="s">
        <v>4680</v>
      </c>
      <c r="H11367" t="s">
        <v>8743</v>
      </c>
      <c r="I11367" t="s">
        <v>9414</v>
      </c>
      <c r="J11367" t="s">
        <v>15150</v>
      </c>
      <c r="K11367" t="s">
        <v>19470</v>
      </c>
      <c r="M11367">
        <f>HYPERLINK("https://www.senat.fr/senateur-3eme-republique/halgan_emmanuel1753r3.html", "halgan_emmanuel1753r3")</f>
        <v>0</v>
      </c>
      <c r="N11367">
        <f>HYPERLINK("https://www.wikidata.org/wiki/Q3052727", "Q3052727")</f>
        <v>0</v>
      </c>
      <c r="O11367" t="s">
        <v>19972</v>
      </c>
      <c r="Q11367" t="s">
        <v>393</v>
      </c>
      <c r="R11367" t="s">
        <v>21668</v>
      </c>
      <c r="S11367">
        <v>3310</v>
      </c>
    </row>
    <row r="11368" spans="1:19">
      <c r="A11368" t="s">
        <v>132</v>
      </c>
      <c r="B11368" t="s">
        <v>150</v>
      </c>
      <c r="C11368" t="s">
        <v>264</v>
      </c>
      <c r="D11368" t="s">
        <v>393</v>
      </c>
      <c r="F11368">
        <f>HYPERLINK("https://www.wikidata.org/wiki/Q111103099", "Q111103099")</f>
        <v>0</v>
      </c>
      <c r="G11368" t="s">
        <v>4751</v>
      </c>
      <c r="H11368" t="s">
        <v>8894</v>
      </c>
      <c r="I11368" t="s">
        <v>9411</v>
      </c>
      <c r="J11368" t="s">
        <v>15214</v>
      </c>
      <c r="K11368" t="s">
        <v>19530</v>
      </c>
      <c r="M11368">
        <f>HYPERLINK("https://www.senat.fr/senateur-3eme-republique/couteaux_aristide1764r3.html", "couteaux_aristide1764r3")</f>
        <v>0</v>
      </c>
      <c r="N11368">
        <f>HYPERLINK("https://www.wikidata.org/wiki/Q2861354", "Q2861354")</f>
        <v>0</v>
      </c>
      <c r="O11368" t="s">
        <v>19982</v>
      </c>
      <c r="Q11368" t="s">
        <v>393</v>
      </c>
      <c r="R11368" t="s">
        <v>21668</v>
      </c>
      <c r="S11368">
        <v>3310</v>
      </c>
    </row>
    <row r="11369" spans="1:19">
      <c r="A11369" t="s">
        <v>132</v>
      </c>
      <c r="B11369" t="s">
        <v>150</v>
      </c>
      <c r="C11369" t="s">
        <v>264</v>
      </c>
      <c r="D11369" t="s">
        <v>393</v>
      </c>
      <c r="F11369">
        <f>HYPERLINK("https://www.wikidata.org/wiki/Q111103099", "Q111103099")</f>
        <v>0</v>
      </c>
      <c r="G11369" t="s">
        <v>4752</v>
      </c>
      <c r="H11369" t="s">
        <v>8895</v>
      </c>
      <c r="I11369" t="s">
        <v>10037</v>
      </c>
      <c r="J11369" t="s">
        <v>15215</v>
      </c>
      <c r="K11369" t="s">
        <v>19531</v>
      </c>
      <c r="M11369">
        <f>HYPERLINK("https://www.senat.fr/senateur-3eme-republique/thezard_leopold1759r3.html", "thezard_leopold1759r3")</f>
        <v>0</v>
      </c>
      <c r="N11369">
        <f>HYPERLINK("https://www.wikidata.org/wiki/Q3271895", "Q3271895")</f>
        <v>0</v>
      </c>
      <c r="O11369" t="s">
        <v>19982</v>
      </c>
      <c r="Q11369" t="s">
        <v>393</v>
      </c>
      <c r="R11369" t="s">
        <v>21668</v>
      </c>
      <c r="S11369">
        <v>3310</v>
      </c>
    </row>
    <row r="11370" spans="1:19">
      <c r="A11370" t="s">
        <v>132</v>
      </c>
      <c r="B11370" t="s">
        <v>150</v>
      </c>
      <c r="C11370" t="s">
        <v>264</v>
      </c>
      <c r="D11370" t="s">
        <v>393</v>
      </c>
      <c r="F11370">
        <f>HYPERLINK("https://www.wikidata.org/wiki/Q111103099", "Q111103099")</f>
        <v>0</v>
      </c>
      <c r="G11370" t="s">
        <v>4640</v>
      </c>
      <c r="H11370" t="s">
        <v>8783</v>
      </c>
      <c r="I11370" t="s">
        <v>11210</v>
      </c>
      <c r="J11370" t="s">
        <v>15114</v>
      </c>
      <c r="K11370" t="s">
        <v>19434</v>
      </c>
      <c r="M11370">
        <f>HYPERLINK("https://www.senat.fr/senateur-3eme-republique/kiener_christian1803r3.html", "kiener_christian1803r3")</f>
        <v>0</v>
      </c>
      <c r="N11370">
        <f>HYPERLINK("https://www.wikidata.org/wiki/Q2965373", "Q2965373")</f>
        <v>0</v>
      </c>
      <c r="O11370" t="s">
        <v>20017</v>
      </c>
      <c r="Q11370" t="s">
        <v>393</v>
      </c>
      <c r="R11370" t="s">
        <v>21650</v>
      </c>
      <c r="S11370">
        <v>20013</v>
      </c>
    </row>
    <row r="11371" spans="1:19">
      <c r="A11371" t="s">
        <v>132</v>
      </c>
      <c r="B11371" t="s">
        <v>150</v>
      </c>
      <c r="C11371" t="s">
        <v>264</v>
      </c>
      <c r="D11371" t="s">
        <v>393</v>
      </c>
      <c r="F11371">
        <f>HYPERLINK("https://www.wikidata.org/wiki/Q111103099", "Q111103099")</f>
        <v>0</v>
      </c>
      <c r="G11371" t="s">
        <v>4688</v>
      </c>
      <c r="H11371" t="s">
        <v>8828</v>
      </c>
      <c r="I11371" t="s">
        <v>9449</v>
      </c>
      <c r="J11371" t="s">
        <v>15158</v>
      </c>
      <c r="K11371" t="s">
        <v>19478</v>
      </c>
      <c r="M11371">
        <f>HYPERLINK("https://www.senat.fr/senateur-3eme-republique/guichard_jules1842r3.html", "guichard_jules1842r3")</f>
        <v>0</v>
      </c>
      <c r="N11371">
        <f>HYPERLINK("https://www.wikidata.org/wiki/Q3188637", "Q3188637")</f>
        <v>0</v>
      </c>
      <c r="O11371" t="s">
        <v>20034</v>
      </c>
      <c r="Q11371" t="s">
        <v>393</v>
      </c>
      <c r="R11371" t="s">
        <v>21650</v>
      </c>
      <c r="S11371">
        <v>20013</v>
      </c>
    </row>
    <row r="11372" spans="1:19">
      <c r="A11372" t="s">
        <v>132</v>
      </c>
      <c r="B11372" t="s">
        <v>150</v>
      </c>
      <c r="C11372" t="s">
        <v>264</v>
      </c>
      <c r="D11372" t="s">
        <v>393</v>
      </c>
      <c r="F11372">
        <f>HYPERLINK("https://www.wikidata.org/wiki/Q111103099", "Q111103099")</f>
        <v>0</v>
      </c>
      <c r="G11372" t="s">
        <v>4738</v>
      </c>
      <c r="H11372" t="s">
        <v>8880</v>
      </c>
      <c r="I11372" t="s">
        <v>9421</v>
      </c>
      <c r="J11372" t="s">
        <v>15201</v>
      </c>
      <c r="K11372" t="s">
        <v>19519</v>
      </c>
      <c r="M11372">
        <f>HYPERLINK("https://www.senat.fr/senateur-3eme-republique/coste_gustave1838r3.html", "coste_gustave1838r3")</f>
        <v>0</v>
      </c>
      <c r="N11372">
        <f>HYPERLINK("https://www.wikidata.org/wiki/Q3121144", "Q3121144")</f>
        <v>0</v>
      </c>
      <c r="O11372" t="s">
        <v>20034</v>
      </c>
      <c r="Q11372" t="s">
        <v>393</v>
      </c>
      <c r="R11372" t="s">
        <v>21650</v>
      </c>
      <c r="S11372">
        <v>20013</v>
      </c>
    </row>
    <row r="11373" spans="1:19">
      <c r="A11373" t="s">
        <v>132</v>
      </c>
      <c r="B11373" t="s">
        <v>150</v>
      </c>
      <c r="C11373" t="s">
        <v>264</v>
      </c>
      <c r="D11373" t="s">
        <v>393</v>
      </c>
      <c r="F11373">
        <f>HYPERLINK("https://www.wikidata.org/wiki/Q111103099", "Q111103099")</f>
        <v>0</v>
      </c>
      <c r="G11373" t="s">
        <v>4261</v>
      </c>
      <c r="H11373" t="s">
        <v>8430</v>
      </c>
      <c r="I11373" t="s">
        <v>9449</v>
      </c>
      <c r="J11373" t="s">
        <v>14763</v>
      </c>
      <c r="K11373" t="s">
        <v>17673</v>
      </c>
      <c r="M11373">
        <f>HYPERLINK("https://www.senat.fr/senateur-3eme-republique/godin_jules1831r3.html", "godin_jules1831r3")</f>
        <v>0</v>
      </c>
      <c r="N11373">
        <f>HYPERLINK("https://www.wikidata.org/wiki/Q3188626", "Q3188626")</f>
        <v>0</v>
      </c>
      <c r="Q11373" t="s">
        <v>12419</v>
      </c>
      <c r="R11373" t="s">
        <v>21668</v>
      </c>
      <c r="S11373">
        <v>3303</v>
      </c>
    </row>
    <row r="11374" spans="1:19">
      <c r="A11374" t="s">
        <v>132</v>
      </c>
      <c r="B11374" t="s">
        <v>150</v>
      </c>
      <c r="C11374" t="s">
        <v>264</v>
      </c>
      <c r="D11374" t="s">
        <v>393</v>
      </c>
      <c r="F11374">
        <f>HYPERLINK("https://www.wikidata.org/wiki/Q111103099", "Q111103099")</f>
        <v>0</v>
      </c>
      <c r="G11374" t="s">
        <v>4753</v>
      </c>
      <c r="H11374" t="s">
        <v>8896</v>
      </c>
      <c r="I11374" t="s">
        <v>7419</v>
      </c>
      <c r="J11374" t="s">
        <v>15216</v>
      </c>
      <c r="K11374" t="s">
        <v>19532</v>
      </c>
      <c r="M11374">
        <f>HYPERLINK("https://www.senat.fr/senateur-3eme-republique/regismanset_jacques1588r3.html", "regismanset_jacques1588r3")</f>
        <v>0</v>
      </c>
      <c r="N11374">
        <f>HYPERLINK("https://www.wikidata.org/wiki/Q3159847", "Q3159847")</f>
        <v>0</v>
      </c>
      <c r="O11374" t="s">
        <v>20026</v>
      </c>
      <c r="Q11374" t="s">
        <v>21078</v>
      </c>
      <c r="R11374" t="s">
        <v>21673</v>
      </c>
      <c r="S11374">
        <v>4658</v>
      </c>
    </row>
    <row r="11375" spans="1:19">
      <c r="A11375" t="s">
        <v>132</v>
      </c>
      <c r="B11375" t="s">
        <v>150</v>
      </c>
      <c r="C11375" t="s">
        <v>264</v>
      </c>
      <c r="D11375" t="s">
        <v>393</v>
      </c>
      <c r="F11375">
        <f>HYPERLINK("https://www.wikidata.org/wiki/Q111103099", "Q111103099")</f>
        <v>0</v>
      </c>
      <c r="G11375" t="s">
        <v>2495</v>
      </c>
      <c r="H11375" t="s">
        <v>7067</v>
      </c>
      <c r="I11375" t="s">
        <v>9401</v>
      </c>
      <c r="J11375" t="s">
        <v>13139</v>
      </c>
      <c r="K11375" t="s">
        <v>15720</v>
      </c>
      <c r="L11375">
        <f>HYPERLINK("https://www2.assemblee-nationale.fr/sycomore/fiche/(num_dept)/609", "609")</f>
        <v>0</v>
      </c>
      <c r="M11375">
        <f>HYPERLINK("https://www.senat.fr/senateur-3eme-republique/benazet_paul_antoine0262r3.html", "benazet_paul_antoine0262r3")</f>
        <v>0</v>
      </c>
      <c r="N11375">
        <f>HYPERLINK("https://www.wikidata.org/wiki/Q3370245", "Q3370245")</f>
        <v>0</v>
      </c>
      <c r="O11375" t="s">
        <v>19975</v>
      </c>
      <c r="Q11375" t="s">
        <v>21079</v>
      </c>
      <c r="R11375" t="s">
        <v>13013</v>
      </c>
      <c r="S11375">
        <v>2148</v>
      </c>
    </row>
    <row r="11376" spans="1:19">
      <c r="A11376" t="s">
        <v>132</v>
      </c>
      <c r="B11376" t="s">
        <v>150</v>
      </c>
      <c r="C11376" t="s">
        <v>264</v>
      </c>
      <c r="D11376" t="s">
        <v>393</v>
      </c>
      <c r="F11376">
        <f>HYPERLINK("https://www.wikidata.org/wiki/Q111103099", "Q111103099")</f>
        <v>0</v>
      </c>
      <c r="G11376" t="s">
        <v>3118</v>
      </c>
      <c r="H11376" t="s">
        <v>7562</v>
      </c>
      <c r="I11376" t="s">
        <v>10643</v>
      </c>
      <c r="J11376" t="s">
        <v>13740</v>
      </c>
      <c r="K11376" t="s">
        <v>18121</v>
      </c>
      <c r="L11376">
        <f>HYPERLINK("https://www2.assemblee-nationale.fr/sycomore/fiche/(num_dept)/2762", "2762")</f>
        <v>0</v>
      </c>
      <c r="M11376">
        <f>HYPERLINK("https://www.senat.fr/senateur-3eme-republique/durand_savoyat_leonce1197r3.html", "durand_savoyat_leonce1197r3")</f>
        <v>0</v>
      </c>
      <c r="N11376">
        <f>HYPERLINK("https://www.wikidata.org/wiki/Q3271559", "Q3271559")</f>
        <v>0</v>
      </c>
      <c r="O11376" t="s">
        <v>20006</v>
      </c>
      <c r="Q11376" t="s">
        <v>21079</v>
      </c>
      <c r="R11376" t="s">
        <v>13013</v>
      </c>
      <c r="S11376">
        <v>2148</v>
      </c>
    </row>
    <row r="11377" spans="1:19">
      <c r="A11377" t="s">
        <v>132</v>
      </c>
      <c r="B11377" t="s">
        <v>150</v>
      </c>
      <c r="C11377" t="s">
        <v>264</v>
      </c>
      <c r="D11377" t="s">
        <v>393</v>
      </c>
      <c r="F11377">
        <f>HYPERLINK("https://www.wikidata.org/wiki/Q111103099", "Q111103099")</f>
        <v>0</v>
      </c>
      <c r="G11377" t="s">
        <v>4754</v>
      </c>
      <c r="H11377" t="s">
        <v>8897</v>
      </c>
      <c r="I11377" t="s">
        <v>8319</v>
      </c>
      <c r="J11377" t="s">
        <v>15217</v>
      </c>
      <c r="K11377" t="s">
        <v>19533</v>
      </c>
      <c r="M11377">
        <f>HYPERLINK("https://www.senat.fr/senateur-3eme-republique/allemand_clement0512r3.html", "allemand_clement0512r3")</f>
        <v>0</v>
      </c>
      <c r="N11377">
        <f>HYPERLINK("https://www.wikidata.org/wiki/Q2980566", "Q2980566")</f>
        <v>0</v>
      </c>
      <c r="O11377" t="s">
        <v>19993</v>
      </c>
      <c r="Q11377" t="s">
        <v>21080</v>
      </c>
      <c r="R11377" t="s">
        <v>13013</v>
      </c>
      <c r="S11377">
        <v>2125</v>
      </c>
    </row>
    <row r="11378" spans="1:19">
      <c r="A11378" t="s">
        <v>132</v>
      </c>
      <c r="B11378" t="s">
        <v>150</v>
      </c>
      <c r="C11378" t="s">
        <v>264</v>
      </c>
      <c r="D11378" t="s">
        <v>393</v>
      </c>
      <c r="F11378">
        <f>HYPERLINK("https://www.wikidata.org/wiki/Q111103099", "Q111103099")</f>
        <v>0</v>
      </c>
      <c r="G11378" t="s">
        <v>4755</v>
      </c>
      <c r="H11378" t="s">
        <v>8898</v>
      </c>
      <c r="I11378" t="s">
        <v>9472</v>
      </c>
      <c r="J11378" t="s">
        <v>15218</v>
      </c>
      <c r="K11378" t="s">
        <v>19534</v>
      </c>
      <c r="M11378">
        <f>HYPERLINK("https://www.senat.fr/senateur-3eme-republique/turgis_hippolyte0354r3.html", "turgis_hippolyte0354r3")</f>
        <v>0</v>
      </c>
      <c r="N11378">
        <f>HYPERLINK("https://www.wikidata.org/wiki/Q3136134", "Q3136134")</f>
        <v>0</v>
      </c>
      <c r="O11378" t="s">
        <v>20009</v>
      </c>
      <c r="Q11378" t="s">
        <v>21081</v>
      </c>
      <c r="R11378" t="s">
        <v>21662</v>
      </c>
      <c r="S11378">
        <v>1028</v>
      </c>
    </row>
    <row r="11379" spans="1:19">
      <c r="A11379" t="s">
        <v>132</v>
      </c>
      <c r="B11379" t="s">
        <v>150</v>
      </c>
      <c r="C11379" t="s">
        <v>264</v>
      </c>
      <c r="D11379" t="s">
        <v>393</v>
      </c>
      <c r="F11379">
        <f>HYPERLINK("https://www.wikidata.org/wiki/Q111103099", "Q111103099")</f>
        <v>0</v>
      </c>
      <c r="G11379" t="s">
        <v>4756</v>
      </c>
      <c r="H11379" t="s">
        <v>8899</v>
      </c>
      <c r="I11379" t="s">
        <v>9503</v>
      </c>
      <c r="J11379" t="s">
        <v>15219</v>
      </c>
      <c r="K11379" t="s">
        <v>17948</v>
      </c>
      <c r="M11379">
        <f>HYPERLINK("https://www.senat.fr/senateur-3eme-republique/guindey_anatole0737r3.html", "guindey_anatole0737r3")</f>
        <v>0</v>
      </c>
      <c r="N11379">
        <f>HYPERLINK("https://www.wikidata.org/wiki/Q2845581", "Q2845581")</f>
        <v>0</v>
      </c>
      <c r="O11379" t="s">
        <v>19992</v>
      </c>
      <c r="Q11379" t="s">
        <v>21081</v>
      </c>
      <c r="R11379" t="s">
        <v>21662</v>
      </c>
      <c r="S11379">
        <v>1028</v>
      </c>
    </row>
    <row r="11380" spans="1:19">
      <c r="A11380" t="s">
        <v>132</v>
      </c>
      <c r="B11380" t="s">
        <v>150</v>
      </c>
      <c r="C11380" t="s">
        <v>264</v>
      </c>
      <c r="D11380" t="s">
        <v>393</v>
      </c>
      <c r="F11380">
        <f>HYPERLINK("https://www.wikidata.org/wiki/Q111103099", "Q111103099")</f>
        <v>0</v>
      </c>
      <c r="G11380" t="s">
        <v>4757</v>
      </c>
      <c r="H11380" t="s">
        <v>8900</v>
      </c>
      <c r="I11380" t="s">
        <v>6495</v>
      </c>
      <c r="J11380" t="s">
        <v>15220</v>
      </c>
      <c r="K11380" t="s">
        <v>19535</v>
      </c>
      <c r="M11380">
        <f>HYPERLINK("https://www.senat.fr/senateur-3eme-republique/benoist_louis1578r3.html", "benoist_louis1578r3")</f>
        <v>0</v>
      </c>
      <c r="N11380">
        <f>HYPERLINK("https://www.wikidata.org/wiki/Q3261216", "Q3261216")</f>
        <v>0</v>
      </c>
      <c r="O11380" t="s">
        <v>20026</v>
      </c>
      <c r="Q11380" t="s">
        <v>21081</v>
      </c>
      <c r="R11380" t="s">
        <v>19535</v>
      </c>
      <c r="S11380">
        <v>1806</v>
      </c>
    </row>
    <row r="11381" spans="1:19">
      <c r="A11381" t="s">
        <v>132</v>
      </c>
      <c r="B11381" t="s">
        <v>150</v>
      </c>
      <c r="C11381" t="s">
        <v>264</v>
      </c>
      <c r="D11381" t="s">
        <v>393</v>
      </c>
      <c r="F11381">
        <f>HYPERLINK("https://www.wikidata.org/wiki/Q111103099", "Q111103099")</f>
        <v>0</v>
      </c>
      <c r="G11381" t="s">
        <v>3126</v>
      </c>
      <c r="H11381" t="s">
        <v>6169</v>
      </c>
      <c r="I11381" t="s">
        <v>9401</v>
      </c>
      <c r="J11381" t="s">
        <v>13748</v>
      </c>
      <c r="K11381" t="s">
        <v>18127</v>
      </c>
      <c r="L11381">
        <f>HYPERLINK("https://www2.assemblee-nationale.fr/sycomore/fiche/(num_dept)/3192", "3192")</f>
        <v>0</v>
      </c>
      <c r="M11381">
        <f>HYPERLINK("https://www.senat.fr/senateur-3eme-republique/gadaud_antoine0660r3.html", "gadaud_antoine0660r3")</f>
        <v>0</v>
      </c>
      <c r="N11381">
        <f>HYPERLINK("https://www.wikidata.org/wiki/Q2853966", "Q2853966")</f>
        <v>0</v>
      </c>
      <c r="O11381" t="s">
        <v>20010</v>
      </c>
      <c r="Q11381" t="s">
        <v>20763</v>
      </c>
      <c r="R11381" t="s">
        <v>21662</v>
      </c>
      <c r="S11381">
        <v>993</v>
      </c>
    </row>
    <row r="11382" spans="1:19">
      <c r="A11382" t="s">
        <v>132</v>
      </c>
      <c r="B11382" t="s">
        <v>150</v>
      </c>
      <c r="C11382" t="s">
        <v>264</v>
      </c>
      <c r="D11382" t="s">
        <v>393</v>
      </c>
      <c r="F11382">
        <f>HYPERLINK("https://www.wikidata.org/wiki/Q111103099", "Q111103099")</f>
        <v>0</v>
      </c>
      <c r="G11382" t="s">
        <v>3062</v>
      </c>
      <c r="H11382" t="s">
        <v>7515</v>
      </c>
      <c r="I11382" t="s">
        <v>9552</v>
      </c>
      <c r="J11382" t="s">
        <v>13686</v>
      </c>
      <c r="K11382" t="s">
        <v>18069</v>
      </c>
      <c r="L11382">
        <f>HYPERLINK("https://www2.assemblee-nationale.fr/sycomore/fiche/(num_dept)/3230", "3230")</f>
        <v>0</v>
      </c>
      <c r="M11382">
        <f>HYPERLINK("https://www.senat.fr/senateur-3eme-republique/galtier_jean0238r3.html", "galtier_jean0238r3")</f>
        <v>0</v>
      </c>
      <c r="N11382">
        <f>HYPERLINK("https://www.wikidata.org/wiki/Q3172204", "Q3172204")</f>
        <v>0</v>
      </c>
      <c r="O11382" t="s">
        <v>7411</v>
      </c>
      <c r="Q11382" t="s">
        <v>20763</v>
      </c>
      <c r="R11382" t="s">
        <v>13013</v>
      </c>
      <c r="S11382">
        <v>2085</v>
      </c>
    </row>
    <row r="11383" spans="1:19">
      <c r="A11383" t="s">
        <v>132</v>
      </c>
      <c r="B11383" t="s">
        <v>150</v>
      </c>
      <c r="C11383" t="s">
        <v>264</v>
      </c>
      <c r="D11383" t="s">
        <v>393</v>
      </c>
      <c r="F11383">
        <f>HYPERLINK("https://www.wikidata.org/wiki/Q111103099", "Q111103099")</f>
        <v>0</v>
      </c>
      <c r="G11383" t="s">
        <v>3215</v>
      </c>
      <c r="H11383" t="s">
        <v>7643</v>
      </c>
      <c r="I11383" t="s">
        <v>10710</v>
      </c>
      <c r="J11383" t="s">
        <v>13834</v>
      </c>
      <c r="K11383" t="s">
        <v>18206</v>
      </c>
      <c r="L11383">
        <f>HYPERLINK("https://www2.assemblee-nationale.fr/sycomore/fiche/(num_dept)/8009", "8009")</f>
        <v>0</v>
      </c>
      <c r="M11383">
        <f>HYPERLINK("https://www.senat.fr/senateur-3eme-republique/merlet_jules1074r3.html", "merlet_jules1074r3")</f>
        <v>0</v>
      </c>
      <c r="N11383">
        <f>HYPERLINK("https://www.wikidata.org/wiki/Q3188781", "Q3188781")</f>
        <v>0</v>
      </c>
      <c r="O11383" t="s">
        <v>19980</v>
      </c>
      <c r="Q11383" t="s">
        <v>20763</v>
      </c>
      <c r="R11383" t="s">
        <v>13013</v>
      </c>
      <c r="S11383">
        <v>2085</v>
      </c>
    </row>
    <row r="11384" spans="1:19">
      <c r="A11384" t="s">
        <v>132</v>
      </c>
      <c r="B11384" t="s">
        <v>150</v>
      </c>
      <c r="C11384" t="s">
        <v>264</v>
      </c>
      <c r="D11384" t="s">
        <v>393</v>
      </c>
      <c r="F11384">
        <f>HYPERLINK("https://www.wikidata.org/wiki/Q111103099", "Q111103099")</f>
        <v>0</v>
      </c>
      <c r="G11384" t="s">
        <v>2593</v>
      </c>
      <c r="H11384" t="s">
        <v>7142</v>
      </c>
      <c r="I11384" t="s">
        <v>9476</v>
      </c>
      <c r="J11384" t="s">
        <v>13236</v>
      </c>
      <c r="K11384" t="s">
        <v>17640</v>
      </c>
      <c r="L11384">
        <f>HYPERLINK("https://www2.assemblee-nationale.fr/sycomore/fiche/(num_dept)/3457", "3457")</f>
        <v>0</v>
      </c>
      <c r="M11384">
        <f>HYPERLINK("https://www.senat.fr/senateur-3eme-republique/goblet_rene1409r3.html", "goblet_rene1409r3")</f>
        <v>0</v>
      </c>
      <c r="N11384">
        <f>HYPERLINK("https://www.wikidata.org/wiki/Q559645", "Q559645")</f>
        <v>0</v>
      </c>
      <c r="O11384" t="s">
        <v>19969</v>
      </c>
      <c r="Q11384" t="s">
        <v>17742</v>
      </c>
      <c r="R11384" t="s">
        <v>21674</v>
      </c>
      <c r="S11384">
        <v>926</v>
      </c>
    </row>
    <row r="11385" spans="1:19">
      <c r="A11385" t="s">
        <v>132</v>
      </c>
      <c r="B11385" t="s">
        <v>150</v>
      </c>
      <c r="C11385" t="s">
        <v>264</v>
      </c>
      <c r="D11385" t="s">
        <v>393</v>
      </c>
      <c r="F11385">
        <f>HYPERLINK("https://www.wikidata.org/wiki/Q111103099", "Q111103099")</f>
        <v>0</v>
      </c>
      <c r="G11385" t="s">
        <v>4758</v>
      </c>
      <c r="H11385" t="s">
        <v>8901</v>
      </c>
      <c r="I11385" t="s">
        <v>9407</v>
      </c>
      <c r="J11385" t="s">
        <v>15221</v>
      </c>
      <c r="K11385" t="s">
        <v>18329</v>
      </c>
      <c r="M11385">
        <f>HYPERLINK("https://www.senat.fr/senateur-3eme-republique/pauliac_joseph0617r3.html", "pauliac_joseph0617r3")</f>
        <v>0</v>
      </c>
      <c r="N11385">
        <f>HYPERLINK("https://www.wikidata.org/wiki/Q3185462", "Q3185462")</f>
        <v>0</v>
      </c>
      <c r="O11385" t="s">
        <v>19974</v>
      </c>
      <c r="Q11385" t="s">
        <v>20764</v>
      </c>
      <c r="R11385" t="s">
        <v>13013</v>
      </c>
      <c r="S11385">
        <v>2043</v>
      </c>
    </row>
    <row r="11386" spans="1:19">
      <c r="A11386" t="s">
        <v>132</v>
      </c>
      <c r="B11386" t="s">
        <v>150</v>
      </c>
      <c r="C11386" t="s">
        <v>264</v>
      </c>
      <c r="D11386" t="s">
        <v>393</v>
      </c>
      <c r="F11386">
        <f>HYPERLINK("https://www.wikidata.org/wiki/Q111103099", "Q111103099")</f>
        <v>0</v>
      </c>
      <c r="G11386" t="s">
        <v>4759</v>
      </c>
      <c r="H11386" t="s">
        <v>8580</v>
      </c>
      <c r="I11386" t="s">
        <v>9453</v>
      </c>
      <c r="J11386" t="s">
        <v>15222</v>
      </c>
      <c r="K11386" t="s">
        <v>19536</v>
      </c>
      <c r="M11386">
        <f>HYPERLINK("https://www.senat.fr/senateur-3eme-republique/brunet_arthur0277r3.html", "brunet_arthur0277r3")</f>
        <v>0</v>
      </c>
      <c r="N11386">
        <f>HYPERLINK("https://www.wikidata.org/wiki/Q2865016", "Q2865016")</f>
        <v>0</v>
      </c>
      <c r="O11386" t="s">
        <v>19975</v>
      </c>
      <c r="Q11386" t="s">
        <v>21082</v>
      </c>
      <c r="R11386" t="s">
        <v>13013</v>
      </c>
      <c r="S11386">
        <v>1994</v>
      </c>
    </row>
    <row r="11387" spans="1:19">
      <c r="A11387" t="s">
        <v>132</v>
      </c>
      <c r="B11387" t="s">
        <v>150</v>
      </c>
      <c r="C11387" t="s">
        <v>264</v>
      </c>
      <c r="D11387" t="s">
        <v>393</v>
      </c>
      <c r="F11387">
        <f>HYPERLINK("https://www.wikidata.org/wiki/Q111103099", "Q111103099")</f>
        <v>0</v>
      </c>
      <c r="G11387" t="s">
        <v>4760</v>
      </c>
      <c r="H11387" t="s">
        <v>8902</v>
      </c>
      <c r="I11387" t="s">
        <v>9612</v>
      </c>
      <c r="J11387" t="s">
        <v>15223</v>
      </c>
      <c r="K11387" t="s">
        <v>19537</v>
      </c>
      <c r="M11387">
        <f>HYPERLINK("https://www.senat.fr/senateur-3eme-republique/japy_frederic1817r3.html", "japy_frederic1817r3")</f>
        <v>0</v>
      </c>
      <c r="N11387">
        <f>HYPERLINK("https://www.wikidata.org/wiki/Q3089541", "Q3089541")</f>
        <v>0</v>
      </c>
      <c r="O11387" t="s">
        <v>20400</v>
      </c>
      <c r="Q11387" t="s">
        <v>21083</v>
      </c>
      <c r="R11387" t="s">
        <v>21668</v>
      </c>
      <c r="S11387">
        <v>3100</v>
      </c>
    </row>
    <row r="11388" spans="1:19">
      <c r="A11388" t="s">
        <v>132</v>
      </c>
      <c r="B11388" t="s">
        <v>150</v>
      </c>
      <c r="C11388" t="s">
        <v>264</v>
      </c>
      <c r="D11388" t="s">
        <v>393</v>
      </c>
      <c r="F11388">
        <f>HYPERLINK("https://www.wikidata.org/wiki/Q111103099", "Q111103099")</f>
        <v>0</v>
      </c>
      <c r="G11388" t="s">
        <v>3201</v>
      </c>
      <c r="H11388" t="s">
        <v>6484</v>
      </c>
      <c r="I11388" t="s">
        <v>9506</v>
      </c>
      <c r="J11388" t="s">
        <v>13821</v>
      </c>
      <c r="K11388" t="s">
        <v>18195</v>
      </c>
      <c r="L11388">
        <f>HYPERLINK("https://www2.assemblee-nationale.fr/sycomore/fiche/(num_dept)/7971", "7971")</f>
        <v>0</v>
      </c>
      <c r="M11388">
        <f>HYPERLINK("https://www.senat.fr/senateur-3eme-republique/jouffrault_camille1624r3.html", "jouffrault_camille1624r3")</f>
        <v>0</v>
      </c>
      <c r="N11388">
        <f>HYPERLINK("https://www.wikidata.org/wiki/Q2934967", "Q2934967")</f>
        <v>0</v>
      </c>
      <c r="O11388" t="s">
        <v>20021</v>
      </c>
      <c r="Q11388" t="s">
        <v>12975</v>
      </c>
      <c r="R11388" t="s">
        <v>21668</v>
      </c>
      <c r="S11388">
        <v>3086</v>
      </c>
    </row>
    <row r="11389" spans="1:19">
      <c r="A11389" t="s">
        <v>132</v>
      </c>
      <c r="B11389" t="s">
        <v>150</v>
      </c>
      <c r="C11389" t="s">
        <v>264</v>
      </c>
      <c r="D11389" t="s">
        <v>393</v>
      </c>
      <c r="F11389">
        <f>HYPERLINK("https://www.wikidata.org/wiki/Q111103099", "Q111103099")</f>
        <v>0</v>
      </c>
      <c r="G11389" t="s">
        <v>3377</v>
      </c>
      <c r="H11389" t="s">
        <v>7769</v>
      </c>
      <c r="I11389" t="s">
        <v>10797</v>
      </c>
      <c r="J11389" t="s">
        <v>13988</v>
      </c>
      <c r="K11389" t="s">
        <v>18357</v>
      </c>
      <c r="L11389">
        <f>HYPERLINK("https://www2.assemblee-nationale.fr/sycomore/fiche/(num_dept)/17832", "17832")</f>
        <v>0</v>
      </c>
      <c r="M11389">
        <f>HYPERLINK("https://www.senat.fr/senateur-3eme-republique/marchais_de_la_berge_albert1365r3.html", "marchais_de_la_berge_albert1365r3")</f>
        <v>0</v>
      </c>
      <c r="N11389">
        <f>HYPERLINK("https://www.wikidata.org/wiki/Q2831379", "Q2831379")</f>
        <v>0</v>
      </c>
      <c r="O11389" t="s">
        <v>19997</v>
      </c>
      <c r="Q11389" t="s">
        <v>21084</v>
      </c>
      <c r="R11389" t="s">
        <v>18357</v>
      </c>
      <c r="S11389">
        <v>1046</v>
      </c>
    </row>
    <row r="11390" spans="1:19">
      <c r="A11390" t="s">
        <v>132</v>
      </c>
      <c r="B11390" t="s">
        <v>150</v>
      </c>
      <c r="C11390" t="s">
        <v>264</v>
      </c>
      <c r="D11390" t="s">
        <v>393</v>
      </c>
      <c r="F11390">
        <f>HYPERLINK("https://www.wikidata.org/wiki/Q111103099", "Q111103099")</f>
        <v>0</v>
      </c>
      <c r="G11390" t="s">
        <v>4761</v>
      </c>
      <c r="H11390" t="s">
        <v>8903</v>
      </c>
      <c r="I11390" t="s">
        <v>6584</v>
      </c>
      <c r="J11390" t="s">
        <v>14248</v>
      </c>
      <c r="K11390" t="s">
        <v>17579</v>
      </c>
      <c r="M11390">
        <f>HYPERLINK("https://www.senat.fr/senateur-3eme-republique/baduel_albert0360r3.html", "baduel_albert0360r3")</f>
        <v>0</v>
      </c>
      <c r="N11390">
        <f>HYPERLINK("https://www.wikidata.org/wiki/Q2830933", "Q2830933")</f>
        <v>0</v>
      </c>
      <c r="O11390" t="s">
        <v>19966</v>
      </c>
      <c r="Q11390" t="s">
        <v>21085</v>
      </c>
      <c r="R11390" t="s">
        <v>21662</v>
      </c>
      <c r="S11390">
        <v>811</v>
      </c>
    </row>
    <row r="11391" spans="1:19">
      <c r="A11391" t="s">
        <v>132</v>
      </c>
      <c r="B11391" t="s">
        <v>150</v>
      </c>
      <c r="C11391" t="s">
        <v>264</v>
      </c>
      <c r="D11391" t="s">
        <v>393</v>
      </c>
      <c r="F11391">
        <f>HYPERLINK("https://www.wikidata.org/wiki/Q111103099", "Q111103099")</f>
        <v>0</v>
      </c>
      <c r="G11391" t="s">
        <v>3269</v>
      </c>
      <c r="H11391" t="s">
        <v>7684</v>
      </c>
      <c r="I11391" t="s">
        <v>9442</v>
      </c>
      <c r="J11391" t="s">
        <v>13883</v>
      </c>
      <c r="K11391" t="s">
        <v>18257</v>
      </c>
      <c r="L11391">
        <f>HYPERLINK("https://www2.assemblee-nationale.fr/sycomore/fiche/(num_dept)/5343", "5343")</f>
        <v>0</v>
      </c>
      <c r="M11391">
        <f>HYPERLINK("https://www.senat.fr/senateur-3eme-republique/monis_ernest0193r3.html", "monis_ernest0193r3")</f>
        <v>0</v>
      </c>
      <c r="N11391">
        <f>HYPERLINK("https://www.wikidata.org/wiki/Q561583", "Q561583")</f>
        <v>0</v>
      </c>
      <c r="O11391" t="s">
        <v>19987</v>
      </c>
      <c r="Q11391" t="s">
        <v>17936</v>
      </c>
      <c r="R11391" t="s">
        <v>13013</v>
      </c>
      <c r="S11391">
        <v>1896</v>
      </c>
    </row>
    <row r="11392" spans="1:19">
      <c r="A11392" t="s">
        <v>132</v>
      </c>
      <c r="B11392" t="s">
        <v>150</v>
      </c>
      <c r="C11392" t="s">
        <v>264</v>
      </c>
      <c r="D11392" t="s">
        <v>393</v>
      </c>
      <c r="F11392">
        <f>HYPERLINK("https://www.wikidata.org/wiki/Q111103099", "Q111103099")</f>
        <v>0</v>
      </c>
      <c r="G11392" t="s">
        <v>4762</v>
      </c>
      <c r="H11392" t="s">
        <v>8904</v>
      </c>
      <c r="I11392" t="s">
        <v>6200</v>
      </c>
      <c r="J11392" t="s">
        <v>15224</v>
      </c>
      <c r="K11392" t="s">
        <v>19538</v>
      </c>
      <c r="M11392">
        <f>HYPERLINK("https://www.senat.fr/senateur-3eme-republique/moinet_jean0405r3.html", "moinet_jean0405r3")</f>
        <v>0</v>
      </c>
      <c r="N11392">
        <f>HYPERLINK("https://www.wikidata.org/wiki/Q3173561", "Q3173561")</f>
        <v>0</v>
      </c>
      <c r="O11392" t="s">
        <v>20037</v>
      </c>
      <c r="Q11392" t="s">
        <v>21086</v>
      </c>
      <c r="R11392" t="s">
        <v>21662</v>
      </c>
      <c r="S11392">
        <v>769</v>
      </c>
    </row>
    <row r="11393" spans="1:19">
      <c r="A11393" t="s">
        <v>132</v>
      </c>
      <c r="B11393" t="s">
        <v>150</v>
      </c>
      <c r="C11393" t="s">
        <v>264</v>
      </c>
      <c r="D11393" t="s">
        <v>393</v>
      </c>
      <c r="F11393">
        <f>HYPERLINK("https://www.wikidata.org/wiki/Q111103099", "Q111103099")</f>
        <v>0</v>
      </c>
      <c r="G11393" t="s">
        <v>3287</v>
      </c>
      <c r="H11393" t="s">
        <v>7699</v>
      </c>
      <c r="I11393" t="s">
        <v>6166</v>
      </c>
      <c r="J11393" t="s">
        <v>13901</v>
      </c>
      <c r="K11393" t="s">
        <v>18273</v>
      </c>
      <c r="L11393">
        <f>HYPERLINK("https://www2.assemblee-nationale.fr/sycomore/fiche/(num_dept)/7018", "7018")</f>
        <v>0</v>
      </c>
      <c r="M11393">
        <f>HYPERLINK("https://www.senat.fr/senateur-3eme-republique/thevenet_francois1147r3.html", "thevenet_francois1147r3")</f>
        <v>0</v>
      </c>
      <c r="N11393">
        <f>HYPERLINK("https://www.wikidata.org/wiki/Q3085914", "Q3085914")</f>
        <v>0</v>
      </c>
      <c r="O11393" t="s">
        <v>19965</v>
      </c>
      <c r="Q11393" t="s">
        <v>12738</v>
      </c>
      <c r="R11393" t="s">
        <v>21668</v>
      </c>
      <c r="S11393">
        <v>2939</v>
      </c>
    </row>
    <row r="11394" spans="1:19">
      <c r="A11394" t="s">
        <v>132</v>
      </c>
      <c r="B11394" t="s">
        <v>150</v>
      </c>
      <c r="C11394" t="s">
        <v>264</v>
      </c>
      <c r="D11394" t="s">
        <v>393</v>
      </c>
      <c r="F11394">
        <f>HYPERLINK("https://www.wikidata.org/wiki/Q111103099", "Q111103099")</f>
        <v>0</v>
      </c>
      <c r="G11394" t="s">
        <v>4763</v>
      </c>
      <c r="H11394" t="s">
        <v>8905</v>
      </c>
      <c r="I11394" t="s">
        <v>11221</v>
      </c>
      <c r="J11394" t="s">
        <v>15225</v>
      </c>
      <c r="K11394" t="s">
        <v>19539</v>
      </c>
      <c r="M11394">
        <f>HYPERLINK("https://www.senat.fr/senateur-3eme-republique/courcel_alphonse_chodron_de1653r3.html", "courcel_alphonse_chodron_de1653r3")</f>
        <v>0</v>
      </c>
      <c r="N11394">
        <f>HYPERLINK("https://www.wikidata.org/wiki/Q2839741", "Q2839741")</f>
        <v>0</v>
      </c>
      <c r="O11394" t="s">
        <v>19976</v>
      </c>
      <c r="Q11394" t="s">
        <v>12738</v>
      </c>
      <c r="R11394" t="s">
        <v>21668</v>
      </c>
      <c r="S11394">
        <v>2939</v>
      </c>
    </row>
    <row r="11395" spans="1:19">
      <c r="A11395" t="s">
        <v>132</v>
      </c>
      <c r="B11395" t="s">
        <v>150</v>
      </c>
      <c r="C11395" t="s">
        <v>264</v>
      </c>
      <c r="D11395" t="s">
        <v>393</v>
      </c>
      <c r="F11395">
        <f>HYPERLINK("https://www.wikidata.org/wiki/Q111103099", "Q111103099")</f>
        <v>0</v>
      </c>
      <c r="G11395" t="s">
        <v>2788</v>
      </c>
      <c r="H11395" t="s">
        <v>7294</v>
      </c>
      <c r="I11395" t="s">
        <v>10436</v>
      </c>
      <c r="J11395" t="s">
        <v>13428</v>
      </c>
      <c r="K11395" t="s">
        <v>17823</v>
      </c>
      <c r="L11395">
        <f>HYPERLINK("https://www2.assemblee-nationale.fr/sycomore/fiche/(num_dept)/8087", "8087")</f>
        <v>0</v>
      </c>
      <c r="M11395">
        <f>HYPERLINK("https://www.senat.fr/senateur-3eme-republique/bisseuil_eugene0418r3.html", "bisseuil_eugene0418r3")</f>
        <v>0</v>
      </c>
      <c r="N11395">
        <f>HYPERLINK("https://www.wikidata.org/wiki/Q3059728", "Q3059728")</f>
        <v>0</v>
      </c>
      <c r="O11395" t="s">
        <v>20037</v>
      </c>
      <c r="Q11395" t="s">
        <v>21087</v>
      </c>
      <c r="R11395" t="s">
        <v>21662</v>
      </c>
      <c r="S11395">
        <v>685</v>
      </c>
    </row>
    <row r="11396" spans="1:19">
      <c r="A11396" t="s">
        <v>132</v>
      </c>
      <c r="B11396" t="s">
        <v>150</v>
      </c>
      <c r="C11396" t="s">
        <v>264</v>
      </c>
      <c r="D11396" t="s">
        <v>393</v>
      </c>
      <c r="F11396">
        <f>HYPERLINK("https://www.wikidata.org/wiki/Q111103099", "Q111103099")</f>
        <v>0</v>
      </c>
      <c r="G11396" t="s">
        <v>2865</v>
      </c>
      <c r="H11396" t="s">
        <v>8906</v>
      </c>
      <c r="I11396" t="s">
        <v>9474</v>
      </c>
      <c r="J11396" t="s">
        <v>15226</v>
      </c>
      <c r="K11396" t="s">
        <v>19540</v>
      </c>
      <c r="M11396">
        <f>HYPERLINK("https://www.senat.fr/senateur-3eme-republique/trystram_jean_baptiste1413r3.html", "trystram_jean_baptiste1413r3")</f>
        <v>0</v>
      </c>
      <c r="N11396">
        <f>HYPERLINK("https://www.wikidata.org/wiki/Q3164471", "Q3164471")</f>
        <v>0</v>
      </c>
      <c r="O11396" t="s">
        <v>20013</v>
      </c>
      <c r="Q11396" t="s">
        <v>21088</v>
      </c>
      <c r="R11396" t="s">
        <v>13013</v>
      </c>
      <c r="S11396">
        <v>1756</v>
      </c>
    </row>
    <row r="11397" spans="1:19">
      <c r="A11397" t="s">
        <v>132</v>
      </c>
      <c r="B11397" t="s">
        <v>150</v>
      </c>
      <c r="C11397" t="s">
        <v>264</v>
      </c>
      <c r="D11397" t="s">
        <v>393</v>
      </c>
      <c r="F11397">
        <f>HYPERLINK("https://www.wikidata.org/wiki/Q111103099", "Q111103099")</f>
        <v>0</v>
      </c>
      <c r="G11397" t="s">
        <v>4764</v>
      </c>
      <c r="H11397" t="s">
        <v>8907</v>
      </c>
      <c r="I11397" t="s">
        <v>6200</v>
      </c>
      <c r="J11397" t="s">
        <v>15227</v>
      </c>
      <c r="K11397" t="s">
        <v>19541</v>
      </c>
      <c r="M11397">
        <f>HYPERLINK("https://www.senat.fr/senateur-3eme-republique/demoulins_de_riols_jean0357r3.html", "demoulins_de_riols_jean0357r3")</f>
        <v>0</v>
      </c>
      <c r="N11397">
        <f>HYPERLINK("https://www.wikidata.org/wiki/Q3171664", "Q3171664")</f>
        <v>0</v>
      </c>
      <c r="O11397" t="s">
        <v>19995</v>
      </c>
      <c r="Q11397" t="s">
        <v>21089</v>
      </c>
      <c r="R11397" t="s">
        <v>13013</v>
      </c>
      <c r="S11397">
        <v>1749</v>
      </c>
    </row>
    <row r="11398" spans="1:19">
      <c r="A11398" t="s">
        <v>132</v>
      </c>
      <c r="B11398" t="s">
        <v>150</v>
      </c>
      <c r="C11398" t="s">
        <v>264</v>
      </c>
      <c r="D11398" t="s">
        <v>393</v>
      </c>
      <c r="F11398">
        <f>HYPERLINK("https://www.wikidata.org/wiki/Q111103099", "Q111103099")</f>
        <v>0</v>
      </c>
      <c r="G11398" t="s">
        <v>4765</v>
      </c>
      <c r="H11398" t="s">
        <v>8908</v>
      </c>
      <c r="I11398" t="s">
        <v>9389</v>
      </c>
      <c r="J11398" t="s">
        <v>15228</v>
      </c>
      <c r="K11398" t="s">
        <v>19542</v>
      </c>
      <c r="M11398">
        <f>HYPERLINK("https://www.senat.fr/senateur-3eme-republique/monsservin_emile0283r3.html", "monsservin_emile0283r3")</f>
        <v>0</v>
      </c>
      <c r="N11398">
        <f>HYPERLINK("https://www.wikidata.org/wiki/Q3588665", "Q3588665")</f>
        <v>0</v>
      </c>
      <c r="O11398" t="s">
        <v>19967</v>
      </c>
      <c r="Q11398" t="s">
        <v>20773</v>
      </c>
      <c r="R11398" t="s">
        <v>17949</v>
      </c>
      <c r="S11398">
        <v>670</v>
      </c>
    </row>
    <row r="11399" spans="1:19">
      <c r="A11399" t="s">
        <v>132</v>
      </c>
      <c r="B11399" t="s">
        <v>150</v>
      </c>
      <c r="C11399" t="s">
        <v>264</v>
      </c>
      <c r="D11399" t="s">
        <v>393</v>
      </c>
      <c r="F11399">
        <f>HYPERLINK("https://www.wikidata.org/wiki/Q111103099", "Q111103099")</f>
        <v>0</v>
      </c>
      <c r="G11399" t="s">
        <v>2553</v>
      </c>
      <c r="H11399" t="s">
        <v>7112</v>
      </c>
      <c r="I11399" t="s">
        <v>9553</v>
      </c>
      <c r="J11399" t="s">
        <v>13197</v>
      </c>
      <c r="K11399" t="s">
        <v>17602</v>
      </c>
      <c r="L11399">
        <f>HYPERLINK("https://www2.assemblee-nationale.fr/sycomore/fiche/(num_dept)/2463", "2463")</f>
        <v>0</v>
      </c>
      <c r="M11399">
        <f>HYPERLINK("https://www.senat.fr/senateur-3eme-republique/dethou_alexandre1848r3.html", "dethou_alexandre1848r3")</f>
        <v>0</v>
      </c>
      <c r="N11399">
        <f>HYPERLINK("https://www.wikidata.org/wiki/Q2833598", "Q2833598")</f>
        <v>0</v>
      </c>
      <c r="O11399" t="s">
        <v>20034</v>
      </c>
      <c r="Q11399" t="s">
        <v>20774</v>
      </c>
      <c r="R11399" t="s">
        <v>17602</v>
      </c>
      <c r="S11399">
        <v>1532</v>
      </c>
    </row>
    <row r="11400" spans="1:19">
      <c r="A11400" t="s">
        <v>132</v>
      </c>
      <c r="B11400" t="s">
        <v>150</v>
      </c>
      <c r="C11400" t="s">
        <v>264</v>
      </c>
      <c r="D11400" t="s">
        <v>393</v>
      </c>
      <c r="F11400">
        <f>HYPERLINK("https://www.wikidata.org/wiki/Q111103099", "Q111103099")</f>
        <v>0</v>
      </c>
      <c r="G11400" t="s">
        <v>2681</v>
      </c>
      <c r="H11400" t="s">
        <v>7215</v>
      </c>
      <c r="I11400" t="s">
        <v>9465</v>
      </c>
      <c r="J11400" t="s">
        <v>13322</v>
      </c>
      <c r="K11400" t="s">
        <v>17722</v>
      </c>
      <c r="L11400">
        <f>HYPERLINK("https://www2.assemblee-nationale.fr/sycomore/fiche/(num_dept)/6901", "6901")</f>
        <v>0</v>
      </c>
      <c r="M11400">
        <f>HYPERLINK("https://www.senat.fr/senateur-3eme-republique/spuller_eugene0548r3.html", "spuller_eugene0548r3")</f>
        <v>0</v>
      </c>
      <c r="N11400">
        <f>HYPERLINK("https://www.wikidata.org/wiki/Q3060180", "Q3060180")</f>
        <v>0</v>
      </c>
      <c r="Q11400" t="s">
        <v>21090</v>
      </c>
      <c r="R11400" t="s">
        <v>21662</v>
      </c>
      <c r="S11400">
        <v>622</v>
      </c>
    </row>
    <row r="11401" spans="1:19">
      <c r="A11401" t="s">
        <v>132</v>
      </c>
      <c r="B11401" t="s">
        <v>150</v>
      </c>
      <c r="C11401" t="s">
        <v>264</v>
      </c>
      <c r="D11401" t="s">
        <v>393</v>
      </c>
      <c r="F11401">
        <f>HYPERLINK("https://www.wikidata.org/wiki/Q111103099", "Q111103099")</f>
        <v>0</v>
      </c>
      <c r="G11401" t="s">
        <v>4766</v>
      </c>
      <c r="H11401" t="s">
        <v>8909</v>
      </c>
      <c r="I11401" t="s">
        <v>5528</v>
      </c>
      <c r="J11401" t="s">
        <v>15229</v>
      </c>
      <c r="K11401" t="s">
        <v>19543</v>
      </c>
      <c r="M11401">
        <f>HYPERLINK("https://www.senat.fr/senateur-3eme-republique/labbe_leon0918r3.html", "labbe_leon0918r3")</f>
        <v>0</v>
      </c>
      <c r="N11401">
        <f>HYPERLINK("https://www.wikidata.org/wiki/Q3271106", "Q3271106")</f>
        <v>0</v>
      </c>
      <c r="O11401" t="s">
        <v>19957</v>
      </c>
      <c r="Q11401" t="s">
        <v>21090</v>
      </c>
      <c r="R11401" t="s">
        <v>21668</v>
      </c>
      <c r="S11401">
        <v>2834</v>
      </c>
    </row>
    <row r="11402" spans="1:19">
      <c r="A11402" t="s">
        <v>132</v>
      </c>
      <c r="B11402" t="s">
        <v>150</v>
      </c>
      <c r="C11402" t="s">
        <v>264</v>
      </c>
      <c r="D11402" t="s">
        <v>393</v>
      </c>
      <c r="F11402">
        <f>HYPERLINK("https://www.wikidata.org/wiki/Q111103099", "Q111103099")</f>
        <v>0</v>
      </c>
      <c r="G11402" t="s">
        <v>4767</v>
      </c>
      <c r="H11402" t="s">
        <v>8910</v>
      </c>
      <c r="I11402" t="s">
        <v>9472</v>
      </c>
      <c r="J11402" t="s">
        <v>15230</v>
      </c>
      <c r="K11402" t="s">
        <v>19544</v>
      </c>
      <c r="M11402">
        <f>HYPERLINK("https://www.senat.fr/senateur-3eme-republique/rouland_hippolyte1594r3.html", "rouland_hippolyte1594r3")</f>
        <v>0</v>
      </c>
      <c r="N11402">
        <f>HYPERLINK("https://www.wikidata.org/wiki/Q3136122", "Q3136122")</f>
        <v>0</v>
      </c>
      <c r="O11402" t="s">
        <v>19978</v>
      </c>
      <c r="Q11402" t="s">
        <v>21090</v>
      </c>
      <c r="R11402" t="s">
        <v>19544</v>
      </c>
      <c r="S11402">
        <v>2227</v>
      </c>
    </row>
    <row r="11403" spans="1:19">
      <c r="A11403" t="s">
        <v>132</v>
      </c>
      <c r="B11403" t="s">
        <v>150</v>
      </c>
      <c r="C11403" t="s">
        <v>264</v>
      </c>
      <c r="D11403" t="s">
        <v>393</v>
      </c>
      <c r="F11403">
        <f>HYPERLINK("https://www.wikidata.org/wiki/Q111103099", "Q111103099")</f>
        <v>0</v>
      </c>
      <c r="G11403" t="s">
        <v>2967</v>
      </c>
      <c r="H11403" t="s">
        <v>7435</v>
      </c>
      <c r="I11403" t="s">
        <v>10547</v>
      </c>
      <c r="J11403" t="s">
        <v>13599</v>
      </c>
      <c r="K11403" t="s">
        <v>17985</v>
      </c>
      <c r="L11403">
        <f>HYPERLINK("https://www2.assemblee-nationale.fr/sycomore/fiche/(num_dept)/6228", "6228")</f>
        <v>0</v>
      </c>
      <c r="M11403">
        <f>HYPERLINK("https://www.senat.fr/senateur-3eme-republique/saint_prix_oscar0141r3.html", "saint_prix_oscar0141r3")</f>
        <v>0</v>
      </c>
      <c r="N11403">
        <f>HYPERLINK("https://www.wikidata.org/wiki/Q3357039", "Q3357039")</f>
        <v>0</v>
      </c>
      <c r="O11403" t="s">
        <v>19991</v>
      </c>
      <c r="Q11403" t="s">
        <v>21091</v>
      </c>
      <c r="R11403" t="s">
        <v>21662</v>
      </c>
      <c r="S11403">
        <v>601</v>
      </c>
    </row>
    <row r="11404" spans="1:19">
      <c r="A11404" t="s">
        <v>132</v>
      </c>
      <c r="B11404" t="s">
        <v>150</v>
      </c>
      <c r="C11404" t="s">
        <v>264</v>
      </c>
      <c r="D11404" t="s">
        <v>393</v>
      </c>
      <c r="F11404">
        <f>HYPERLINK("https://www.wikidata.org/wiki/Q111103099", "Q111103099")</f>
        <v>0</v>
      </c>
      <c r="G11404" t="s">
        <v>4768</v>
      </c>
      <c r="H11404" t="s">
        <v>8911</v>
      </c>
      <c r="I11404" t="s">
        <v>6166</v>
      </c>
      <c r="J11404" t="s">
        <v>15231</v>
      </c>
      <c r="K11404" t="s">
        <v>19545</v>
      </c>
      <c r="M11404">
        <f>HYPERLINK("https://www.senat.fr/senateur-3eme-republique/ringot_francois0974r3.html", "ringot_francois0974r3")</f>
        <v>0</v>
      </c>
      <c r="N11404">
        <f>HYPERLINK("https://www.wikidata.org/wiki/Q3085698", "Q3085698")</f>
        <v>0</v>
      </c>
      <c r="O11404" t="s">
        <v>19968</v>
      </c>
      <c r="Q11404" t="s">
        <v>21091</v>
      </c>
      <c r="R11404" t="s">
        <v>21668</v>
      </c>
      <c r="S11404">
        <v>2813</v>
      </c>
    </row>
    <row r="11405" spans="1:19">
      <c r="A11405" t="s">
        <v>132</v>
      </c>
      <c r="B11405" t="s">
        <v>150</v>
      </c>
      <c r="C11405" t="s">
        <v>264</v>
      </c>
      <c r="D11405" t="s">
        <v>393</v>
      </c>
      <c r="F11405">
        <f>HYPERLINK("https://www.wikidata.org/wiki/Q111103099", "Q111103099")</f>
        <v>0</v>
      </c>
      <c r="G11405" t="s">
        <v>2535</v>
      </c>
      <c r="H11405" t="s">
        <v>7095</v>
      </c>
      <c r="I11405" t="s">
        <v>10272</v>
      </c>
      <c r="J11405" t="s">
        <v>13179</v>
      </c>
      <c r="K11405" t="s">
        <v>13005</v>
      </c>
      <c r="L11405">
        <f>HYPERLINK("https://www2.assemblee-nationale.fr/sycomore/fiche/(num_dept)/1779", "1779")</f>
        <v>0</v>
      </c>
      <c r="M11405">
        <f>HYPERLINK("https://www.senat.fr/senateur-3eme-republique/chevandier_antoine0726r3.html", "chevandier_antoine0726r3")</f>
        <v>0</v>
      </c>
      <c r="N11405">
        <f>HYPERLINK("https://www.wikidata.org/wiki/Q2853793", "Q2853793")</f>
        <v>0</v>
      </c>
      <c r="O11405" t="s">
        <v>20044</v>
      </c>
      <c r="Q11405" t="s">
        <v>21092</v>
      </c>
      <c r="R11405" t="s">
        <v>13005</v>
      </c>
      <c r="S11405">
        <v>141</v>
      </c>
    </row>
    <row r="11406" spans="1:19">
      <c r="A11406" t="s">
        <v>132</v>
      </c>
      <c r="B11406" t="s">
        <v>150</v>
      </c>
      <c r="C11406" t="s">
        <v>264</v>
      </c>
      <c r="D11406" t="s">
        <v>393</v>
      </c>
      <c r="F11406">
        <f>HYPERLINK("https://www.wikidata.org/wiki/Q111103099", "Q111103099")</f>
        <v>0</v>
      </c>
      <c r="G11406" t="s">
        <v>4769</v>
      </c>
      <c r="H11406" t="s">
        <v>8912</v>
      </c>
      <c r="I11406" t="s">
        <v>11222</v>
      </c>
      <c r="J11406" t="s">
        <v>15232</v>
      </c>
      <c r="K11406" t="s">
        <v>19546</v>
      </c>
      <c r="M11406">
        <f>HYPERLINK("https://www.senat.fr/senateur-3eme-republique/muracciole_ange0487r3.html", "muracciole_ange0487r3")</f>
        <v>0</v>
      </c>
      <c r="N11406">
        <f>HYPERLINK("https://www.wikidata.org/wiki/Q2849293", "Q2849293")</f>
        <v>0</v>
      </c>
      <c r="O11406" t="s">
        <v>19955</v>
      </c>
      <c r="Q11406" t="s">
        <v>21092</v>
      </c>
      <c r="R11406" t="s">
        <v>21675</v>
      </c>
      <c r="S11406">
        <v>3786</v>
      </c>
    </row>
    <row r="11407" spans="1:19">
      <c r="A11407" t="s">
        <v>132</v>
      </c>
      <c r="B11407" t="s">
        <v>150</v>
      </c>
      <c r="C11407" t="s">
        <v>264</v>
      </c>
      <c r="D11407" t="s">
        <v>393</v>
      </c>
      <c r="F11407">
        <f>HYPERLINK("https://www.wikidata.org/wiki/Q111103099", "Q111103099")</f>
        <v>0</v>
      </c>
      <c r="G11407" t="s">
        <v>4770</v>
      </c>
      <c r="H11407" t="s">
        <v>8913</v>
      </c>
      <c r="I11407" t="s">
        <v>6166</v>
      </c>
      <c r="J11407" t="s">
        <v>15233</v>
      </c>
      <c r="K11407" t="s">
        <v>19547</v>
      </c>
      <c r="M11407">
        <f>HYPERLINK("https://www.senat.fr/senateur-3eme-republique/dulac_francois1210r3.html", "dulac_francois1210r3")</f>
        <v>0</v>
      </c>
      <c r="N11407">
        <f>HYPERLINK("https://www.wikidata.org/wiki/Q3084510", "Q3084510")</f>
        <v>0</v>
      </c>
      <c r="O11407" t="s">
        <v>19994</v>
      </c>
      <c r="Q11407" t="s">
        <v>21093</v>
      </c>
      <c r="R11407" t="s">
        <v>21668</v>
      </c>
      <c r="S11407">
        <v>2687</v>
      </c>
    </row>
    <row r="11408" spans="1:19">
      <c r="A11408" t="s">
        <v>132</v>
      </c>
      <c r="B11408" t="s">
        <v>150</v>
      </c>
      <c r="C11408" t="s">
        <v>264</v>
      </c>
      <c r="D11408" t="s">
        <v>393</v>
      </c>
      <c r="F11408">
        <f>HYPERLINK("https://www.wikidata.org/wiki/Q111103099", "Q111103099")</f>
        <v>0</v>
      </c>
      <c r="G11408" t="s">
        <v>4771</v>
      </c>
      <c r="H11408" t="s">
        <v>8914</v>
      </c>
      <c r="I11408" t="s">
        <v>9442</v>
      </c>
      <c r="J11408" t="s">
        <v>15234</v>
      </c>
      <c r="K11408" t="s">
        <v>18113</v>
      </c>
      <c r="M11408">
        <f>HYPERLINK("https://www.senat.fr/senateur-3eme-republique/hamel_ernest1663r3.html", "hamel_ernest1663r3")</f>
        <v>0</v>
      </c>
      <c r="N11408">
        <f>HYPERLINK("https://www.wikidata.org/wiki/Q3057004", "Q3057004")</f>
        <v>0</v>
      </c>
      <c r="O11408" t="s">
        <v>19976</v>
      </c>
      <c r="Q11408" t="s">
        <v>21094</v>
      </c>
      <c r="R11408" t="s">
        <v>18113</v>
      </c>
      <c r="S11408">
        <v>1915</v>
      </c>
    </row>
    <row r="11409" spans="1:19">
      <c r="A11409" t="s">
        <v>132</v>
      </c>
      <c r="B11409" t="s">
        <v>150</v>
      </c>
      <c r="C11409" t="s">
        <v>264</v>
      </c>
      <c r="D11409" t="s">
        <v>393</v>
      </c>
      <c r="F11409">
        <f>HYPERLINK("https://www.wikidata.org/wiki/Q111103099", "Q111103099")</f>
        <v>0</v>
      </c>
      <c r="G11409" t="s">
        <v>4772</v>
      </c>
      <c r="H11409" t="s">
        <v>8915</v>
      </c>
      <c r="I11409" t="s">
        <v>6584</v>
      </c>
      <c r="J11409" t="s">
        <v>15235</v>
      </c>
      <c r="K11409" t="s">
        <v>16284</v>
      </c>
      <c r="M11409">
        <f>HYPERLINK("https://www.senat.fr/senateur-3eme-republique/le_play_albert1776r3.html", "le_play_albert1776r3")</f>
        <v>0</v>
      </c>
      <c r="N11409">
        <f>HYPERLINK("https://www.wikidata.org/wiki/Q2831325", "Q2831325")</f>
        <v>0</v>
      </c>
      <c r="O11409" t="s">
        <v>19977</v>
      </c>
      <c r="Q11409" t="s">
        <v>12504</v>
      </c>
      <c r="R11409" t="s">
        <v>21676</v>
      </c>
      <c r="S11409">
        <v>2635</v>
      </c>
    </row>
    <row r="11410" spans="1:19">
      <c r="A11410" t="s">
        <v>132</v>
      </c>
      <c r="B11410" t="s">
        <v>150</v>
      </c>
      <c r="C11410" t="s">
        <v>264</v>
      </c>
      <c r="D11410" t="s">
        <v>393</v>
      </c>
      <c r="F11410">
        <f>HYPERLINK("https://www.wikidata.org/wiki/Q111103099", "Q111103099")</f>
        <v>0</v>
      </c>
      <c r="G11410" t="s">
        <v>4773</v>
      </c>
      <c r="H11410" t="s">
        <v>8916</v>
      </c>
      <c r="I11410" t="s">
        <v>11223</v>
      </c>
      <c r="J11410" t="s">
        <v>13297</v>
      </c>
      <c r="K11410" t="s">
        <v>19548</v>
      </c>
      <c r="M11410">
        <f>HYPERLINK("https://www.senat.fr/senateur-3eme-republique/anne_norbert0334r3.html", "anne_norbert0334r3")</f>
        <v>0</v>
      </c>
      <c r="N11410">
        <f>HYPERLINK("https://www.wikidata.org/wiki/Q3343475", "Q3343475")</f>
        <v>0</v>
      </c>
      <c r="O11410" t="s">
        <v>20009</v>
      </c>
      <c r="Q11410" t="s">
        <v>21095</v>
      </c>
      <c r="R11410" t="s">
        <v>21662</v>
      </c>
      <c r="S11410">
        <v>445</v>
      </c>
    </row>
    <row r="11411" spans="1:19">
      <c r="A11411" t="s">
        <v>132</v>
      </c>
      <c r="B11411" t="s">
        <v>150</v>
      </c>
      <c r="C11411" t="s">
        <v>264</v>
      </c>
      <c r="D11411" t="s">
        <v>393</v>
      </c>
      <c r="F11411">
        <f>HYPERLINK("https://www.wikidata.org/wiki/Q111103099", "Q111103099")</f>
        <v>0</v>
      </c>
      <c r="G11411" t="s">
        <v>4774</v>
      </c>
      <c r="H11411" t="s">
        <v>8917</v>
      </c>
      <c r="I11411" t="s">
        <v>6158</v>
      </c>
      <c r="J11411" t="s">
        <v>15236</v>
      </c>
      <c r="K11411" t="s">
        <v>16303</v>
      </c>
      <c r="M11411">
        <f>HYPERLINK("https://www.senat.fr/senateur-3eme-republique/francoz_felix1307r3.html", "francoz_felix1307r3")</f>
        <v>0</v>
      </c>
      <c r="N11411">
        <f>HYPERLINK("https://www.wikidata.org/wiki/Q3092438", "Q3092438")</f>
        <v>0</v>
      </c>
      <c r="O11411" t="s">
        <v>20018</v>
      </c>
      <c r="Q11411" t="s">
        <v>21096</v>
      </c>
      <c r="R11411" t="s">
        <v>21668</v>
      </c>
      <c r="S11411">
        <v>2575</v>
      </c>
    </row>
    <row r="11412" spans="1:19">
      <c r="A11412" t="s">
        <v>132</v>
      </c>
      <c r="B11412" t="s">
        <v>150</v>
      </c>
      <c r="C11412" t="s">
        <v>264</v>
      </c>
      <c r="D11412" t="s">
        <v>393</v>
      </c>
      <c r="F11412">
        <f>HYPERLINK("https://www.wikidata.org/wiki/Q111103099", "Q111103099")</f>
        <v>0</v>
      </c>
      <c r="G11412" t="s">
        <v>4775</v>
      </c>
      <c r="H11412" t="s">
        <v>8918</v>
      </c>
      <c r="I11412" t="s">
        <v>9421</v>
      </c>
      <c r="J11412" t="s">
        <v>15237</v>
      </c>
      <c r="K11412" t="s">
        <v>19549</v>
      </c>
      <c r="M11412">
        <f>HYPERLINK("https://www.senat.fr/senateur-3eme-republique/baudens_gustave1078r3.html", "baudens_gustave1078r3")</f>
        <v>0</v>
      </c>
      <c r="N11412">
        <f>HYPERLINK("https://www.wikidata.org/wiki/Q3121110", "Q3121110")</f>
        <v>0</v>
      </c>
      <c r="O11412" t="s">
        <v>20027</v>
      </c>
      <c r="Q11412" t="s">
        <v>20782</v>
      </c>
      <c r="R11412" t="s">
        <v>21668</v>
      </c>
      <c r="S11412">
        <v>2561</v>
      </c>
    </row>
    <row r="11413" spans="1:19">
      <c r="A11413" t="s">
        <v>132</v>
      </c>
      <c r="B11413" t="s">
        <v>150</v>
      </c>
      <c r="C11413" t="s">
        <v>264</v>
      </c>
      <c r="D11413" t="s">
        <v>393</v>
      </c>
      <c r="F11413">
        <f>HYPERLINK("https://www.wikidata.org/wiki/Q111103099", "Q111103099")</f>
        <v>0</v>
      </c>
      <c r="G11413" t="s">
        <v>4776</v>
      </c>
      <c r="H11413" t="s">
        <v>8919</v>
      </c>
      <c r="I11413" t="s">
        <v>9681</v>
      </c>
      <c r="J11413" t="s">
        <v>15238</v>
      </c>
      <c r="K11413" t="s">
        <v>19550</v>
      </c>
      <c r="M11413">
        <f>HYPERLINK("https://www.senat.fr/senateur-3eme-republique/coillot_achille1182r3.html", "coillot_achille1182r3")</f>
        <v>0</v>
      </c>
      <c r="N11413">
        <f>HYPERLINK("https://www.wikidata.org/wiki/Q2823048", "Q2823048")</f>
        <v>0</v>
      </c>
      <c r="O11413" t="s">
        <v>20036</v>
      </c>
      <c r="Q11413" t="s">
        <v>21097</v>
      </c>
      <c r="R11413" t="s">
        <v>21668</v>
      </c>
      <c r="S11413">
        <v>2505</v>
      </c>
    </row>
    <row r="11414" spans="1:19">
      <c r="A11414" t="s">
        <v>132</v>
      </c>
      <c r="B11414" t="s">
        <v>150</v>
      </c>
      <c r="C11414" t="s">
        <v>264</v>
      </c>
      <c r="D11414" t="s">
        <v>393</v>
      </c>
      <c r="F11414">
        <f>HYPERLINK("https://www.wikidata.org/wiki/Q111103099", "Q111103099")</f>
        <v>0</v>
      </c>
      <c r="G11414" t="s">
        <v>4777</v>
      </c>
      <c r="H11414" t="s">
        <v>8920</v>
      </c>
      <c r="I11414" t="s">
        <v>9388</v>
      </c>
      <c r="J11414" t="s">
        <v>15239</v>
      </c>
      <c r="K11414" t="s">
        <v>19551</v>
      </c>
      <c r="M11414">
        <f>HYPERLINK("https://www.senat.fr/senateur-3eme-republique/laurens_paul0728r3.html", "laurens_paul0728r3")</f>
        <v>0</v>
      </c>
      <c r="N11414">
        <f>HYPERLINK("https://www.wikidata.org/wiki/Q3371641", "Q3371641")</f>
        <v>0</v>
      </c>
      <c r="O11414" t="s">
        <v>20044</v>
      </c>
      <c r="Q11414" t="s">
        <v>12692</v>
      </c>
      <c r="R11414" t="s">
        <v>21662</v>
      </c>
      <c r="S11414">
        <v>272</v>
      </c>
    </row>
    <row r="11415" spans="1:19">
      <c r="A11415" t="s">
        <v>132</v>
      </c>
      <c r="B11415" t="s">
        <v>150</v>
      </c>
      <c r="C11415" t="s">
        <v>264</v>
      </c>
      <c r="D11415" t="s">
        <v>393</v>
      </c>
      <c r="F11415">
        <f>HYPERLINK("https://www.wikidata.org/wiki/Q111103099", "Q111103099")</f>
        <v>0</v>
      </c>
      <c r="G11415" t="s">
        <v>2924</v>
      </c>
      <c r="H11415" t="s">
        <v>7403</v>
      </c>
      <c r="I11415" t="s">
        <v>10528</v>
      </c>
      <c r="J11415" t="s">
        <v>13557</v>
      </c>
      <c r="K11415" t="s">
        <v>17943</v>
      </c>
      <c r="L11415">
        <f>HYPERLINK("https://www2.assemblee-nationale.fr/sycomore/fiche/(num_dept)/8271", "8271")</f>
        <v>0</v>
      </c>
      <c r="M11415">
        <f>HYPERLINK("https://www.senat.fr/senateur-3eme-republique/bernot_achille1669r3.html", "bernot_achille1669r3")</f>
        <v>0</v>
      </c>
      <c r="N11415">
        <f>HYPERLINK("https://www.wikidata.org/wiki/Q2823026", "Q2823026")</f>
        <v>0</v>
      </c>
      <c r="O11415" t="s">
        <v>20012</v>
      </c>
      <c r="Q11415" t="s">
        <v>21098</v>
      </c>
      <c r="R11415" t="s">
        <v>21668</v>
      </c>
      <c r="S11415">
        <v>2442</v>
      </c>
    </row>
    <row r="11416" spans="1:19">
      <c r="A11416" t="s">
        <v>132</v>
      </c>
      <c r="B11416" t="s">
        <v>150</v>
      </c>
      <c r="C11416" t="s">
        <v>264</v>
      </c>
      <c r="D11416" t="s">
        <v>393</v>
      </c>
      <c r="F11416">
        <f>HYPERLINK("https://www.wikidata.org/wiki/Q111103099", "Q111103099")</f>
        <v>0</v>
      </c>
      <c r="G11416" t="s">
        <v>2683</v>
      </c>
      <c r="H11416" t="s">
        <v>7216</v>
      </c>
      <c r="I11416" t="s">
        <v>6860</v>
      </c>
      <c r="J11416" t="s">
        <v>13324</v>
      </c>
      <c r="K11416" t="s">
        <v>17724</v>
      </c>
      <c r="L11416">
        <f>HYPERLINK("https://www2.assemblee-nationale.fr/sycomore/fiche/(num_dept)/6959", "6959")</f>
        <v>0</v>
      </c>
      <c r="M11416">
        <f>HYPERLINK("https://www.senat.fr/senateur-3eme-republique/tassin_pierre0376r3.html", "tassin_pierre0376r3")</f>
        <v>0</v>
      </c>
      <c r="N11416">
        <f>HYPERLINK("https://www.wikidata.org/wiki/Q2420595", "Q2420595")</f>
        <v>0</v>
      </c>
      <c r="O11416" t="s">
        <v>20039</v>
      </c>
      <c r="Q11416" t="s">
        <v>18224</v>
      </c>
      <c r="R11416" t="s">
        <v>13013</v>
      </c>
      <c r="S11416">
        <v>1315</v>
      </c>
    </row>
    <row r="11417" spans="1:19">
      <c r="A11417" t="s">
        <v>132</v>
      </c>
      <c r="B11417" t="s">
        <v>150</v>
      </c>
      <c r="C11417" t="s">
        <v>264</v>
      </c>
      <c r="D11417" t="s">
        <v>393</v>
      </c>
      <c r="F11417">
        <f>HYPERLINK("https://www.wikidata.org/wiki/Q111103099", "Q111103099")</f>
        <v>0</v>
      </c>
      <c r="G11417" t="s">
        <v>2576</v>
      </c>
      <c r="H11417" t="s">
        <v>5400</v>
      </c>
      <c r="I11417" t="s">
        <v>10294</v>
      </c>
      <c r="J11417" t="s">
        <v>13220</v>
      </c>
      <c r="K11417" t="s">
        <v>17623</v>
      </c>
      <c r="L11417">
        <f>HYPERLINK("https://www2.assemblee-nationale.fr/sycomore/fiche/(num_dept)/2985", "2985")</f>
        <v>0</v>
      </c>
      <c r="M11417">
        <f>HYPERLINK("https://www.senat.fr/senateur-3eme-republique/ferry_albert1810r3.html", "ferry_albert1810r3")</f>
        <v>0</v>
      </c>
      <c r="N11417">
        <f>HYPERLINK("https://www.wikidata.org/wiki/Q2831174", "Q2831174")</f>
        <v>0</v>
      </c>
      <c r="O11417" t="s">
        <v>20017</v>
      </c>
      <c r="Q11417" t="s">
        <v>21099</v>
      </c>
      <c r="R11417" t="s">
        <v>17623</v>
      </c>
      <c r="S11417">
        <v>188</v>
      </c>
    </row>
    <row r="11418" spans="1:19">
      <c r="A11418" t="s">
        <v>132</v>
      </c>
      <c r="B11418" t="s">
        <v>150</v>
      </c>
      <c r="C11418" t="s">
        <v>264</v>
      </c>
      <c r="D11418" t="s">
        <v>393</v>
      </c>
      <c r="F11418">
        <f>HYPERLINK("https://www.wikidata.org/wiki/Q111103099", "Q111103099")</f>
        <v>0</v>
      </c>
      <c r="G11418" t="s">
        <v>4465</v>
      </c>
      <c r="H11418" t="s">
        <v>8612</v>
      </c>
      <c r="I11418" t="s">
        <v>6495</v>
      </c>
      <c r="J11418" t="s">
        <v>14953</v>
      </c>
      <c r="K11418" t="s">
        <v>18707</v>
      </c>
      <c r="M11418">
        <f>HYPERLINK("https://www.senat.fr/senateur-3eme-republique/grivart_louis0525r3.html", "grivart_louis0525r3")</f>
        <v>0</v>
      </c>
      <c r="N11418">
        <f>HYPERLINK("https://www.wikidata.org/wiki/Q3262084", "Q3262084")</f>
        <v>0</v>
      </c>
      <c r="O11418" t="s">
        <v>19998</v>
      </c>
      <c r="Q11418" t="s">
        <v>21100</v>
      </c>
      <c r="R11418" t="s">
        <v>13013</v>
      </c>
      <c r="S11418">
        <v>1280</v>
      </c>
    </row>
    <row r="11419" spans="1:19">
      <c r="A11419" t="s">
        <v>132</v>
      </c>
      <c r="B11419" t="s">
        <v>150</v>
      </c>
      <c r="C11419" t="s">
        <v>264</v>
      </c>
      <c r="D11419" t="s">
        <v>393</v>
      </c>
      <c r="F11419">
        <f>HYPERLINK("https://www.wikidata.org/wiki/Q111103099", "Q111103099")</f>
        <v>0</v>
      </c>
      <c r="G11419" t="s">
        <v>4778</v>
      </c>
      <c r="H11419" t="s">
        <v>8921</v>
      </c>
      <c r="I11419" t="s">
        <v>6495</v>
      </c>
      <c r="J11419" t="s">
        <v>15240</v>
      </c>
      <c r="K11419" t="s">
        <v>19552</v>
      </c>
      <c r="M11419">
        <f>HYPERLINK("https://www.senat.fr/senateur-3eme-republique/delobeau_louis0784r3.html", "delobeau_louis0784r3")</f>
        <v>0</v>
      </c>
      <c r="N11419">
        <f>HYPERLINK("https://www.wikidata.org/wiki/Q3261689", "Q3261689")</f>
        <v>0</v>
      </c>
      <c r="O11419" t="s">
        <v>20011</v>
      </c>
      <c r="Q11419" t="s">
        <v>21101</v>
      </c>
      <c r="R11419" t="s">
        <v>21662</v>
      </c>
      <c r="S11419">
        <v>167</v>
      </c>
    </row>
    <row r="11420" spans="1:19">
      <c r="A11420" t="s">
        <v>132</v>
      </c>
      <c r="B11420" t="s">
        <v>150</v>
      </c>
      <c r="C11420" t="s">
        <v>264</v>
      </c>
      <c r="D11420" t="s">
        <v>393</v>
      </c>
      <c r="F11420">
        <f>HYPERLINK("https://www.wikidata.org/wiki/Q111103099", "Q111103099")</f>
        <v>0</v>
      </c>
      <c r="G11420" t="s">
        <v>2556</v>
      </c>
      <c r="H11420" t="s">
        <v>7115</v>
      </c>
      <c r="I11420" t="s">
        <v>10284</v>
      </c>
      <c r="J11420" t="s">
        <v>13200</v>
      </c>
      <c r="K11420" t="s">
        <v>17604</v>
      </c>
      <c r="L11420">
        <f>HYPERLINK("https://www2.assemblee-nationale.fr/sycomore/fiche/(num_dept)/2601", "2601")</f>
        <v>0</v>
      </c>
      <c r="M11420">
        <f>HYPERLINK("https://www.senat.fr/senateur-3eme-republique/drumel_etienne0172r3.html", "drumel_etienne0172r3")</f>
        <v>0</v>
      </c>
      <c r="N11420">
        <f>HYPERLINK("https://www.wikidata.org/wiki/Q3592144", "Q3592144")</f>
        <v>0</v>
      </c>
      <c r="O11420" t="s">
        <v>19959</v>
      </c>
      <c r="Q11420" t="s">
        <v>21102</v>
      </c>
      <c r="R11420" t="s">
        <v>21662</v>
      </c>
      <c r="S11420">
        <v>146</v>
      </c>
    </row>
    <row r="11421" spans="1:19">
      <c r="A11421" t="s">
        <v>132</v>
      </c>
      <c r="B11421" t="s">
        <v>150</v>
      </c>
      <c r="C11421" t="s">
        <v>264</v>
      </c>
      <c r="D11421" t="s">
        <v>393</v>
      </c>
      <c r="F11421">
        <f>HYPERLINK("https://www.wikidata.org/wiki/Q111103099", "Q111103099")</f>
        <v>0</v>
      </c>
      <c r="G11421" t="s">
        <v>3581</v>
      </c>
      <c r="H11421" t="s">
        <v>7931</v>
      </c>
      <c r="I11421" t="s">
        <v>6495</v>
      </c>
      <c r="J11421" t="s">
        <v>14168</v>
      </c>
      <c r="K11421" t="s">
        <v>18537</v>
      </c>
      <c r="L11421">
        <f>HYPERLINK("https://www2.assemblee-nationale.fr/sycomore/fiche/(num_dept)/5384", "5384")</f>
        <v>0</v>
      </c>
      <c r="M11421">
        <f>HYPERLINK("https://www.senat.fr/senateur-3eme-republique/de_montfort_louis1574r3.html", "de_montfort_louis1574r3")</f>
        <v>0</v>
      </c>
      <c r="N11421">
        <f>HYPERLINK("https://www.wikidata.org/wiki/Q3263531", "Q3263531")</f>
        <v>0</v>
      </c>
      <c r="O11421" t="s">
        <v>19978</v>
      </c>
      <c r="Q11421" t="s">
        <v>20787</v>
      </c>
      <c r="R11421" t="s">
        <v>21668</v>
      </c>
      <c r="S11421">
        <v>2351</v>
      </c>
    </row>
    <row r="11422" spans="1:19">
      <c r="A11422" t="s">
        <v>132</v>
      </c>
      <c r="B11422" t="s">
        <v>150</v>
      </c>
      <c r="C11422" t="s">
        <v>264</v>
      </c>
      <c r="D11422" t="s">
        <v>393</v>
      </c>
      <c r="F11422">
        <f>HYPERLINK("https://www.wikidata.org/wiki/Q111103099", "Q111103099")</f>
        <v>0</v>
      </c>
      <c r="G11422" t="s">
        <v>4779</v>
      </c>
      <c r="H11422" t="s">
        <v>8922</v>
      </c>
      <c r="I11422" t="s">
        <v>9385</v>
      </c>
      <c r="J11422" t="s">
        <v>15241</v>
      </c>
      <c r="K11422" t="s">
        <v>19553</v>
      </c>
      <c r="M11422">
        <f>HYPERLINK("https://www.senat.fr/senateur-3eme-republique/haugoumar_des_portes_charles0576r3.html", "haugoumar_des_portes_charles0576r3")</f>
        <v>0</v>
      </c>
      <c r="N11422">
        <f>HYPERLINK("https://www.wikidata.org/wiki/Q2959323", "Q2959323")</f>
        <v>0</v>
      </c>
      <c r="O11422" t="s">
        <v>19964</v>
      </c>
      <c r="Q11422" t="s">
        <v>21103</v>
      </c>
      <c r="R11422" t="s">
        <v>21662</v>
      </c>
      <c r="S11422">
        <v>118</v>
      </c>
    </row>
    <row r="11423" spans="1:19">
      <c r="A11423" t="s">
        <v>133</v>
      </c>
      <c r="B11423" t="s">
        <v>150</v>
      </c>
      <c r="C11423" t="s">
        <v>265</v>
      </c>
      <c r="D11423" t="s">
        <v>394</v>
      </c>
      <c r="F11423">
        <f>HYPERLINK("https://www.wikidata.org/wiki/Q67945020", "Q67945020")</f>
        <v>0</v>
      </c>
      <c r="G11423" t="s">
        <v>2498</v>
      </c>
      <c r="H11423" t="s">
        <v>5948</v>
      </c>
      <c r="I11423" t="s">
        <v>10247</v>
      </c>
      <c r="J11423" t="s">
        <v>13142</v>
      </c>
      <c r="K11423" t="s">
        <v>17550</v>
      </c>
      <c r="L11423">
        <f>HYPERLINK("https://www2.assemblee-nationale.fr/sycomore/fiche/(num_dept)/685", "685")</f>
        <v>0</v>
      </c>
      <c r="M11423">
        <f>HYPERLINK("https://www.senat.fr/senateur-3eme-republique/bernard_jean0686r3.html", "bernard_jean0686r3")</f>
        <v>0</v>
      </c>
      <c r="N11423">
        <f>HYPERLINK("https://www.wikidata.org/wiki/Q3170720", "Q3170720")</f>
        <v>0</v>
      </c>
      <c r="O11423" t="s">
        <v>19973</v>
      </c>
      <c r="Q11423" t="s">
        <v>394</v>
      </c>
      <c r="R11423" t="s">
        <v>21675</v>
      </c>
      <c r="S11423">
        <v>3282</v>
      </c>
    </row>
    <row r="11424" spans="1:19">
      <c r="A11424" t="s">
        <v>133</v>
      </c>
      <c r="B11424" t="s">
        <v>150</v>
      </c>
      <c r="C11424" t="s">
        <v>265</v>
      </c>
      <c r="D11424" t="s">
        <v>394</v>
      </c>
      <c r="F11424">
        <f>HYPERLINK("https://www.wikidata.org/wiki/Q67945020", "Q67945020")</f>
        <v>0</v>
      </c>
      <c r="G11424" t="s">
        <v>3535</v>
      </c>
      <c r="H11424" t="s">
        <v>7896</v>
      </c>
      <c r="I11424" t="s">
        <v>10869</v>
      </c>
      <c r="J11424" t="s">
        <v>14014</v>
      </c>
      <c r="K11424" t="s">
        <v>18493</v>
      </c>
      <c r="L11424">
        <f>HYPERLINK("https://www2.assemblee-nationale.fr/sycomore/fiche/(num_dept)/941", "941")</f>
        <v>0</v>
      </c>
      <c r="M11424">
        <f>HYPERLINK("https://www.senat.fr/senateur-3eme-republique/bonnefoy_sibour_georges0827r3.html", "bonnefoy_sibour_georges0827r3")</f>
        <v>0</v>
      </c>
      <c r="N11424">
        <f>HYPERLINK("https://www.wikidata.org/wiki/Q1508807", "Q1508807")</f>
        <v>0</v>
      </c>
      <c r="O11424" t="s">
        <v>20014</v>
      </c>
      <c r="Q11424" t="s">
        <v>394</v>
      </c>
      <c r="R11424" t="s">
        <v>21675</v>
      </c>
      <c r="S11424">
        <v>3282</v>
      </c>
    </row>
    <row r="11425" spans="1:19">
      <c r="A11425" t="s">
        <v>133</v>
      </c>
      <c r="B11425" t="s">
        <v>150</v>
      </c>
      <c r="C11425" t="s">
        <v>265</v>
      </c>
      <c r="D11425" t="s">
        <v>394</v>
      </c>
      <c r="F11425">
        <f>HYPERLINK("https://www.wikidata.org/wiki/Q67945020", "Q67945020")</f>
        <v>0</v>
      </c>
      <c r="G11425" t="s">
        <v>2510</v>
      </c>
      <c r="H11425" t="s">
        <v>7078</v>
      </c>
      <c r="I11425" t="s">
        <v>10255</v>
      </c>
      <c r="J11425" t="s">
        <v>13154</v>
      </c>
      <c r="K11425" t="s">
        <v>17562</v>
      </c>
      <c r="L11425">
        <f>HYPERLINK("https://www2.assemblee-nationale.fr/sycomore/fiche/(num_dept)/987", "987")</f>
        <v>0</v>
      </c>
      <c r="M11425">
        <f>HYPERLINK("https://www.senat.fr/senateur-3eme-republique/borriglione_alfred0114r3.html", "borriglione_alfred0114r3")</f>
        <v>0</v>
      </c>
      <c r="N11425">
        <f>HYPERLINK("https://www.wikidata.org/wiki/Q2834977", "Q2834977")</f>
        <v>0</v>
      </c>
      <c r="O11425" t="s">
        <v>20024</v>
      </c>
      <c r="Q11425" t="s">
        <v>394</v>
      </c>
      <c r="R11425" t="s">
        <v>17562</v>
      </c>
      <c r="S11425">
        <v>3155</v>
      </c>
    </row>
    <row r="11426" spans="1:19">
      <c r="A11426" t="s">
        <v>133</v>
      </c>
      <c r="B11426" t="s">
        <v>150</v>
      </c>
      <c r="C11426" t="s">
        <v>265</v>
      </c>
      <c r="D11426" t="s">
        <v>394</v>
      </c>
      <c r="F11426">
        <f>HYPERLINK("https://www.wikidata.org/wiki/Q67945020", "Q67945020")</f>
        <v>0</v>
      </c>
      <c r="G11426" t="s">
        <v>3054</v>
      </c>
      <c r="H11426" t="s">
        <v>7509</v>
      </c>
      <c r="I11426" t="s">
        <v>10571</v>
      </c>
      <c r="J11426" t="s">
        <v>13680</v>
      </c>
      <c r="K11426" t="s">
        <v>18061</v>
      </c>
      <c r="L11426">
        <f>HYPERLINK("https://www2.assemblee-nationale.fr/sycomore/fiche/(num_dept)/1224", "1224")</f>
        <v>0</v>
      </c>
      <c r="M11426">
        <f>HYPERLINK("https://www.senat.fr/senateur-3eme-republique/briens_ernest1030r3.html", "briens_ernest1030r3")</f>
        <v>0</v>
      </c>
      <c r="N11426">
        <f>HYPERLINK("https://www.wikidata.org/wiki/Q3056863", "Q3056863")</f>
        <v>0</v>
      </c>
      <c r="O11426" t="s">
        <v>19985</v>
      </c>
      <c r="Q11426" t="s">
        <v>394</v>
      </c>
      <c r="R11426" t="s">
        <v>13013</v>
      </c>
      <c r="S11426">
        <v>1091</v>
      </c>
    </row>
    <row r="11427" spans="1:19">
      <c r="A11427" t="s">
        <v>133</v>
      </c>
      <c r="B11427" t="s">
        <v>150</v>
      </c>
      <c r="C11427" t="s">
        <v>265</v>
      </c>
      <c r="D11427" t="s">
        <v>394</v>
      </c>
      <c r="F11427">
        <f>HYPERLINK("https://www.wikidata.org/wiki/Q67945020", "Q67945020")</f>
        <v>0</v>
      </c>
      <c r="G11427" t="s">
        <v>2534</v>
      </c>
      <c r="H11427" t="s">
        <v>7094</v>
      </c>
      <c r="I11427" t="s">
        <v>9407</v>
      </c>
      <c r="J11427" t="s">
        <v>13178</v>
      </c>
      <c r="K11427" t="s">
        <v>17584</v>
      </c>
      <c r="L11427">
        <f>HYPERLINK("https://www2.assemblee-nationale.fr/sycomore/fiche/(num_dept)/1645", "1645")</f>
        <v>0</v>
      </c>
      <c r="M11427">
        <f>HYPERLINK("https://www.senat.fr/senateur-3eme-republique/chantemille_joseph0047r3.html", "chantemille_joseph0047r3")</f>
        <v>0</v>
      </c>
      <c r="N11427">
        <f>HYPERLINK("https://www.wikidata.org/wiki/Q3184731", "Q3184731")</f>
        <v>0</v>
      </c>
      <c r="O11427" t="s">
        <v>19999</v>
      </c>
      <c r="Q11427" t="s">
        <v>394</v>
      </c>
      <c r="R11427" t="s">
        <v>21650</v>
      </c>
      <c r="S11427">
        <v>18914</v>
      </c>
    </row>
    <row r="11428" spans="1:19">
      <c r="A11428" t="s">
        <v>133</v>
      </c>
      <c r="B11428" t="s">
        <v>150</v>
      </c>
      <c r="C11428" t="s">
        <v>265</v>
      </c>
      <c r="D11428" t="s">
        <v>394</v>
      </c>
      <c r="F11428">
        <f>HYPERLINK("https://www.wikidata.org/wiki/Q67945020", "Q67945020")</f>
        <v>0</v>
      </c>
      <c r="G11428" t="s">
        <v>2536</v>
      </c>
      <c r="H11428" t="s">
        <v>7096</v>
      </c>
      <c r="I11428" t="s">
        <v>10273</v>
      </c>
      <c r="J11428" t="s">
        <v>13180</v>
      </c>
      <c r="K11428" t="s">
        <v>17585</v>
      </c>
      <c r="L11428">
        <f>HYPERLINK("https://www2.assemblee-nationale.fr/sycomore/fiche/(num_dept)/1799", "1799")</f>
        <v>0</v>
      </c>
      <c r="M11428">
        <f>HYPERLINK("https://www.senat.fr/senateur-3eme-republique/chiris_francois0121r3.html", "chiris_francois0121r3")</f>
        <v>0</v>
      </c>
      <c r="N11428">
        <f>HYPERLINK("https://www.wikidata.org/wiki/Q3270821", "Q3270821")</f>
        <v>0</v>
      </c>
      <c r="O11428" t="s">
        <v>20024</v>
      </c>
      <c r="Q11428" t="s">
        <v>394</v>
      </c>
      <c r="R11428" t="s">
        <v>21650</v>
      </c>
      <c r="S11428">
        <v>18914</v>
      </c>
    </row>
    <row r="11429" spans="1:19">
      <c r="A11429" t="s">
        <v>133</v>
      </c>
      <c r="B11429" t="s">
        <v>150</v>
      </c>
      <c r="C11429" t="s">
        <v>265</v>
      </c>
      <c r="D11429" t="s">
        <v>394</v>
      </c>
      <c r="F11429">
        <f>HYPERLINK("https://www.wikidata.org/wiki/Q67945020", "Q67945020")</f>
        <v>0</v>
      </c>
      <c r="G11429" t="s">
        <v>2544</v>
      </c>
      <c r="H11429" t="s">
        <v>7103</v>
      </c>
      <c r="I11429" t="s">
        <v>10278</v>
      </c>
      <c r="J11429" t="s">
        <v>13188</v>
      </c>
      <c r="K11429" t="s">
        <v>17593</v>
      </c>
      <c r="L11429">
        <f>HYPERLINK("https://www2.assemblee-nationale.fr/sycomore/fiche/(num_dept)/1974", "1974")</f>
        <v>0</v>
      </c>
      <c r="M11429">
        <f>HYPERLINK("https://www.senat.fr/senateur-3eme-republique/cornil_andre0053r3.html", "cornil_andre0053r3")</f>
        <v>0</v>
      </c>
      <c r="N11429">
        <f>HYPERLINK("https://www.wikidata.org/wiki/Q1388300", "Q1388300")</f>
        <v>0</v>
      </c>
      <c r="O11429" t="s">
        <v>19999</v>
      </c>
      <c r="Q11429" t="s">
        <v>394</v>
      </c>
      <c r="R11429" t="s">
        <v>21650</v>
      </c>
      <c r="S11429">
        <v>18914</v>
      </c>
    </row>
    <row r="11430" spans="1:19">
      <c r="A11430" t="s">
        <v>133</v>
      </c>
      <c r="B11430" t="s">
        <v>150</v>
      </c>
      <c r="C11430" t="s">
        <v>265</v>
      </c>
      <c r="D11430" t="s">
        <v>394</v>
      </c>
      <c r="F11430">
        <f>HYPERLINK("https://www.wikidata.org/wiki/Q67945020", "Q67945020")</f>
        <v>0</v>
      </c>
      <c r="G11430" t="s">
        <v>3242</v>
      </c>
      <c r="H11430" t="s">
        <v>7666</v>
      </c>
      <c r="I11430" t="s">
        <v>10727</v>
      </c>
      <c r="J11430" t="s">
        <v>13860</v>
      </c>
      <c r="K11430" t="s">
        <v>16223</v>
      </c>
      <c r="L11430">
        <f>HYPERLINK("https://www2.assemblee-nationale.fr/sycomore/fiche/(num_dept)/2309", "2309")</f>
        <v>0</v>
      </c>
      <c r="M11430">
        <f>HYPERLINK("https://www.senat.fr/senateur-3eme-republique/dellestable_antoine0462r3.html", "dellestable_antoine0462r3")</f>
        <v>0</v>
      </c>
      <c r="N11430">
        <f>HYPERLINK("https://www.wikidata.org/wiki/Q2853848", "Q2853848")</f>
        <v>0</v>
      </c>
      <c r="O11430" t="s">
        <v>20020</v>
      </c>
      <c r="Q11430" t="s">
        <v>394</v>
      </c>
      <c r="R11430" t="s">
        <v>21675</v>
      </c>
      <c r="S11430">
        <v>3282</v>
      </c>
    </row>
    <row r="11431" spans="1:19">
      <c r="A11431" t="s">
        <v>133</v>
      </c>
      <c r="B11431" t="s">
        <v>150</v>
      </c>
      <c r="C11431" t="s">
        <v>265</v>
      </c>
      <c r="D11431" t="s">
        <v>394</v>
      </c>
      <c r="F11431">
        <f>HYPERLINK("https://www.wikidata.org/wiki/Q67945020", "Q67945020")</f>
        <v>0</v>
      </c>
      <c r="G11431" t="s">
        <v>2950</v>
      </c>
      <c r="H11431" t="s">
        <v>7424</v>
      </c>
      <c r="I11431" t="s">
        <v>9612</v>
      </c>
      <c r="J11431" t="s">
        <v>13583</v>
      </c>
      <c r="K11431" t="s">
        <v>17968</v>
      </c>
      <c r="L11431">
        <f>HYPERLINK("https://www2.assemblee-nationale.fr/sycomore/fiche/(num_dept)/2445", "2445")</f>
        <v>0</v>
      </c>
      <c r="M11431">
        <f>HYPERLINK("https://www.senat.fr/senateur-3eme-republique/desmons_frederic0832r3.html", "desmons_frederic0832r3")</f>
        <v>0</v>
      </c>
      <c r="N11431">
        <f>HYPERLINK("https://www.wikidata.org/wiki/Q346783", "Q346783")</f>
        <v>0</v>
      </c>
      <c r="O11431" t="s">
        <v>20014</v>
      </c>
      <c r="Q11431" t="s">
        <v>394</v>
      </c>
      <c r="R11431" t="s">
        <v>21675</v>
      </c>
      <c r="S11431">
        <v>3282</v>
      </c>
    </row>
    <row r="11432" spans="1:19">
      <c r="A11432" t="s">
        <v>133</v>
      </c>
      <c r="B11432" t="s">
        <v>150</v>
      </c>
      <c r="C11432" t="s">
        <v>265</v>
      </c>
      <c r="D11432" t="s">
        <v>394</v>
      </c>
      <c r="F11432">
        <f>HYPERLINK("https://www.wikidata.org/wiki/Q67945020", "Q67945020")</f>
        <v>0</v>
      </c>
      <c r="G11432" t="s">
        <v>2556</v>
      </c>
      <c r="H11432" t="s">
        <v>7115</v>
      </c>
      <c r="I11432" t="s">
        <v>10284</v>
      </c>
      <c r="J11432" t="s">
        <v>13200</v>
      </c>
      <c r="K11432" t="s">
        <v>17604</v>
      </c>
      <c r="L11432">
        <f>HYPERLINK("https://www2.assemblee-nationale.fr/sycomore/fiche/(num_dept)/2601", "2601")</f>
        <v>0</v>
      </c>
      <c r="M11432">
        <f>HYPERLINK("https://www.senat.fr/senateur-3eme-republique/drumel_etienne0172r3.html", "drumel_etienne0172r3")</f>
        <v>0</v>
      </c>
      <c r="N11432">
        <f>HYPERLINK("https://www.wikidata.org/wiki/Q3592144", "Q3592144")</f>
        <v>0</v>
      </c>
      <c r="O11432" t="s">
        <v>19959</v>
      </c>
      <c r="Q11432" t="s">
        <v>394</v>
      </c>
      <c r="R11432" t="s">
        <v>21650</v>
      </c>
      <c r="S11432">
        <v>18914</v>
      </c>
    </row>
    <row r="11433" spans="1:19">
      <c r="A11433" t="s">
        <v>133</v>
      </c>
      <c r="B11433" t="s">
        <v>150</v>
      </c>
      <c r="C11433" t="s">
        <v>265</v>
      </c>
      <c r="D11433" t="s">
        <v>394</v>
      </c>
      <c r="F11433">
        <f>HYPERLINK("https://www.wikidata.org/wiki/Q67945020", "Q67945020")</f>
        <v>0</v>
      </c>
      <c r="G11433" t="s">
        <v>2578</v>
      </c>
      <c r="H11433" t="s">
        <v>7131</v>
      </c>
      <c r="I11433" t="s">
        <v>9385</v>
      </c>
      <c r="J11433" t="s">
        <v>13222</v>
      </c>
      <c r="K11433" t="s">
        <v>17625</v>
      </c>
      <c r="L11433">
        <f>HYPERLINK("https://www2.assemblee-nationale.fr/sycomore/fiche/(num_dept)/3032", "3032")</f>
        <v>0</v>
      </c>
      <c r="M11433">
        <f>HYPERLINK("https://www.senat.fr/senateur-3eme-republique/floquet_charles1411r3.html", "floquet_charles1411r3")</f>
        <v>0</v>
      </c>
      <c r="N11433">
        <f>HYPERLINK("https://www.wikidata.org/wiki/Q471311", "Q471311")</f>
        <v>0</v>
      </c>
      <c r="O11433" t="s">
        <v>19969</v>
      </c>
      <c r="Q11433" t="s">
        <v>394</v>
      </c>
      <c r="R11433" t="s">
        <v>17625</v>
      </c>
      <c r="S11433">
        <v>741</v>
      </c>
    </row>
    <row r="11434" spans="1:19">
      <c r="A11434" t="s">
        <v>133</v>
      </c>
      <c r="B11434" t="s">
        <v>150</v>
      </c>
      <c r="C11434" t="s">
        <v>265</v>
      </c>
      <c r="D11434" t="s">
        <v>394</v>
      </c>
      <c r="F11434">
        <f>HYPERLINK("https://www.wikidata.org/wiki/Q67945020", "Q67945020")</f>
        <v>0</v>
      </c>
      <c r="G11434" t="s">
        <v>2579</v>
      </c>
      <c r="H11434" t="s">
        <v>7132</v>
      </c>
      <c r="I11434" t="s">
        <v>6585</v>
      </c>
      <c r="J11434" t="s">
        <v>13223</v>
      </c>
      <c r="K11434" t="s">
        <v>17626</v>
      </c>
      <c r="L11434">
        <f>HYPERLINK("https://www2.assemblee-nationale.fr/sycomore/fiche/(num_dept)/3040", "3040")</f>
        <v>0</v>
      </c>
      <c r="M11434">
        <f>HYPERLINK("https://www.senat.fr/senateur-3eme-republique/folliet_andre1312r3.html", "folliet_andre1312r3")</f>
        <v>0</v>
      </c>
      <c r="N11434">
        <f>HYPERLINK("https://www.wikidata.org/wiki/Q2847756", "Q2847756")</f>
        <v>0</v>
      </c>
      <c r="O11434" t="s">
        <v>20018</v>
      </c>
      <c r="Q11434" t="s">
        <v>394</v>
      </c>
      <c r="R11434" t="s">
        <v>21668</v>
      </c>
      <c r="S11434">
        <v>2211</v>
      </c>
    </row>
    <row r="11435" spans="1:19">
      <c r="A11435" t="s">
        <v>133</v>
      </c>
      <c r="B11435" t="s">
        <v>150</v>
      </c>
      <c r="C11435" t="s">
        <v>265</v>
      </c>
      <c r="D11435" t="s">
        <v>394</v>
      </c>
      <c r="F11435">
        <f>HYPERLINK("https://www.wikidata.org/wiki/Q67945020", "Q67945020")</f>
        <v>0</v>
      </c>
      <c r="G11435" t="s">
        <v>3126</v>
      </c>
      <c r="H11435" t="s">
        <v>6169</v>
      </c>
      <c r="I11435" t="s">
        <v>9401</v>
      </c>
      <c r="J11435" t="s">
        <v>13748</v>
      </c>
      <c r="K11435" t="s">
        <v>18127</v>
      </c>
      <c r="L11435">
        <f>HYPERLINK("https://www2.assemblee-nationale.fr/sycomore/fiche/(num_dept)/3192", "3192")</f>
        <v>0</v>
      </c>
      <c r="M11435">
        <f>HYPERLINK("https://www.senat.fr/senateur-3eme-republique/gadaud_antoine0660r3.html", "gadaud_antoine0660r3")</f>
        <v>0</v>
      </c>
      <c r="N11435">
        <f>HYPERLINK("https://www.wikidata.org/wiki/Q2853966", "Q2853966")</f>
        <v>0</v>
      </c>
      <c r="O11435" t="s">
        <v>20010</v>
      </c>
      <c r="Q11435" t="s">
        <v>394</v>
      </c>
      <c r="R11435" t="s">
        <v>21650</v>
      </c>
      <c r="S11435">
        <v>18914</v>
      </c>
    </row>
    <row r="11436" spans="1:19">
      <c r="A11436" t="s">
        <v>133</v>
      </c>
      <c r="B11436" t="s">
        <v>150</v>
      </c>
      <c r="C11436" t="s">
        <v>265</v>
      </c>
      <c r="D11436" t="s">
        <v>394</v>
      </c>
      <c r="F11436">
        <f>HYPERLINK("https://www.wikidata.org/wiki/Q67945020", "Q67945020")</f>
        <v>0</v>
      </c>
      <c r="G11436" t="s">
        <v>3067</v>
      </c>
      <c r="H11436" t="s">
        <v>7519</v>
      </c>
      <c r="I11436" t="s">
        <v>10607</v>
      </c>
      <c r="J11436" t="s">
        <v>13691</v>
      </c>
      <c r="K11436" t="s">
        <v>18074</v>
      </c>
      <c r="L11436">
        <f>HYPERLINK("https://www2.assemblee-nationale.fr/sycomore/fiche/(num_dept)/4209", "4209")</f>
        <v>0</v>
      </c>
      <c r="M11436">
        <f>HYPERLINK("https://www.senat.fr/senateur-3eme-republique/labrousse_philippe0456r3.html", "labrousse_philippe0456r3")</f>
        <v>0</v>
      </c>
      <c r="N11436">
        <f>HYPERLINK("https://www.wikidata.org/wiki/Q3380114", "Q3380114")</f>
        <v>0</v>
      </c>
      <c r="O11436" t="s">
        <v>20020</v>
      </c>
      <c r="Q11436" t="s">
        <v>394</v>
      </c>
      <c r="R11436" t="s">
        <v>21675</v>
      </c>
      <c r="S11436">
        <v>3282</v>
      </c>
    </row>
    <row r="11437" spans="1:19">
      <c r="A11437" t="s">
        <v>133</v>
      </c>
      <c r="B11437" t="s">
        <v>150</v>
      </c>
      <c r="C11437" t="s">
        <v>265</v>
      </c>
      <c r="D11437" t="s">
        <v>394</v>
      </c>
      <c r="F11437">
        <f>HYPERLINK("https://www.wikidata.org/wiki/Q67945020", "Q67945020")</f>
        <v>0</v>
      </c>
      <c r="G11437" t="s">
        <v>3575</v>
      </c>
      <c r="H11437" t="s">
        <v>7927</v>
      </c>
      <c r="I11437" t="s">
        <v>9458</v>
      </c>
      <c r="J11437" t="s">
        <v>14162</v>
      </c>
      <c r="K11437" t="s">
        <v>18531</v>
      </c>
      <c r="L11437">
        <f>HYPERLINK("https://www2.assemblee-nationale.fr/sycomore/fiche/(num_dept)/4867", "4867")</f>
        <v>0</v>
      </c>
      <c r="M11437">
        <f>HYPERLINK("https://www.senat.fr/senateur-3eme-republique/macherez_alfred0029r3.html", "macherez_alfred0029r3")</f>
        <v>0</v>
      </c>
      <c r="N11437">
        <f>HYPERLINK("https://www.wikidata.org/wiki/Q2835290", "Q2835290")</f>
        <v>0</v>
      </c>
      <c r="O11437" t="s">
        <v>20015</v>
      </c>
      <c r="Q11437" t="s">
        <v>394</v>
      </c>
      <c r="R11437" t="s">
        <v>21675</v>
      </c>
      <c r="S11437">
        <v>3282</v>
      </c>
    </row>
    <row r="11438" spans="1:19">
      <c r="A11438" t="s">
        <v>133</v>
      </c>
      <c r="B11438" t="s">
        <v>150</v>
      </c>
      <c r="C11438" t="s">
        <v>265</v>
      </c>
      <c r="D11438" t="s">
        <v>394</v>
      </c>
      <c r="F11438">
        <f>HYPERLINK("https://www.wikidata.org/wiki/Q67945020", "Q67945020")</f>
        <v>0</v>
      </c>
      <c r="G11438" t="s">
        <v>2622</v>
      </c>
      <c r="H11438" t="s">
        <v>7169</v>
      </c>
      <c r="I11438" t="s">
        <v>10319</v>
      </c>
      <c r="J11438" t="s">
        <v>13265</v>
      </c>
      <c r="K11438" t="s">
        <v>17666</v>
      </c>
      <c r="L11438">
        <f>HYPERLINK("https://www2.assemblee-nationale.fr/sycomore/fiche/(num_dept)/4926", "4926")</f>
        <v>0</v>
      </c>
      <c r="M11438">
        <f>HYPERLINK("https://www.senat.fr/senateur-3eme-republique/malezieux_francois0025r3.html", "malezieux_francois0025r3")</f>
        <v>0</v>
      </c>
      <c r="N11438">
        <f>HYPERLINK("https://www.wikidata.org/wiki/Q3085262", "Q3085262")</f>
        <v>0</v>
      </c>
      <c r="O11438" t="s">
        <v>20015</v>
      </c>
      <c r="Q11438" t="s">
        <v>394</v>
      </c>
      <c r="R11438" t="s">
        <v>21675</v>
      </c>
      <c r="S11438">
        <v>3282</v>
      </c>
    </row>
    <row r="11439" spans="1:19">
      <c r="A11439" t="s">
        <v>133</v>
      </c>
      <c r="B11439" t="s">
        <v>150</v>
      </c>
      <c r="C11439" t="s">
        <v>265</v>
      </c>
      <c r="D11439" t="s">
        <v>394</v>
      </c>
      <c r="F11439">
        <f>HYPERLINK("https://www.wikidata.org/wiki/Q67945020", "Q67945020")</f>
        <v>0</v>
      </c>
      <c r="G11439" t="s">
        <v>3362</v>
      </c>
      <c r="H11439" t="s">
        <v>7759</v>
      </c>
      <c r="I11439" t="s">
        <v>9483</v>
      </c>
      <c r="J11439" t="s">
        <v>13974</v>
      </c>
      <c r="K11439" t="s">
        <v>18342</v>
      </c>
      <c r="L11439">
        <f>HYPERLINK("https://www2.assemblee-nationale.fr/sycomore/fiche/(num_dept)/5287", "5287")</f>
        <v>0</v>
      </c>
      <c r="M11439">
        <f>HYPERLINK("https://www.senat.fr/senateur-3eme-republique/milliard_victor0760r3.html", "milliard_victor0760r3")</f>
        <v>0</v>
      </c>
      <c r="N11439">
        <f>HYPERLINK("https://www.wikidata.org/wiki/Q3557460", "Q3557460")</f>
        <v>0</v>
      </c>
      <c r="O11439" t="s">
        <v>19992</v>
      </c>
      <c r="Q11439" t="s">
        <v>394</v>
      </c>
      <c r="R11439" t="s">
        <v>21675</v>
      </c>
      <c r="S11439">
        <v>3282</v>
      </c>
    </row>
    <row r="11440" spans="1:19">
      <c r="A11440" t="s">
        <v>133</v>
      </c>
      <c r="B11440" t="s">
        <v>150</v>
      </c>
      <c r="C11440" t="s">
        <v>265</v>
      </c>
      <c r="D11440" t="s">
        <v>394</v>
      </c>
      <c r="F11440">
        <f>HYPERLINK("https://www.wikidata.org/wiki/Q67945020", "Q67945020")</f>
        <v>0</v>
      </c>
      <c r="G11440" t="s">
        <v>2639</v>
      </c>
      <c r="H11440" t="s">
        <v>7184</v>
      </c>
      <c r="I11440" t="s">
        <v>9552</v>
      </c>
      <c r="J11440" t="s">
        <v>13281</v>
      </c>
      <c r="K11440" t="s">
        <v>17683</v>
      </c>
      <c r="L11440">
        <f>HYPERLINK("https://www2.assemblee-nationale.fr/sycomore/fiche/(num_dept)/5601", "5601")</f>
        <v>0</v>
      </c>
      <c r="M11440">
        <f>HYPERLINK("https://www.senat.fr/senateur-3eme-republique/ollivier_auguste0590r3.html", "ollivier_auguste0590r3")</f>
        <v>0</v>
      </c>
      <c r="N11440">
        <f>HYPERLINK("https://www.wikidata.org/wiki/Q2871344", "Q2871344")</f>
        <v>0</v>
      </c>
      <c r="O11440" t="s">
        <v>19964</v>
      </c>
      <c r="Q11440" t="s">
        <v>394</v>
      </c>
      <c r="R11440" t="s">
        <v>21675</v>
      </c>
      <c r="S11440">
        <v>3282</v>
      </c>
    </row>
    <row r="11441" spans="1:19">
      <c r="A11441" t="s">
        <v>133</v>
      </c>
      <c r="B11441" t="s">
        <v>150</v>
      </c>
      <c r="C11441" t="s">
        <v>265</v>
      </c>
      <c r="D11441" t="s">
        <v>394</v>
      </c>
      <c r="F11441">
        <f>HYPERLINK("https://www.wikidata.org/wiki/Q67945020", "Q67945020")</f>
        <v>0</v>
      </c>
      <c r="G11441" t="s">
        <v>2965</v>
      </c>
      <c r="H11441" t="s">
        <v>5848</v>
      </c>
      <c r="I11441" t="s">
        <v>9388</v>
      </c>
      <c r="J11441" t="s">
        <v>13597</v>
      </c>
      <c r="K11441" t="s">
        <v>17983</v>
      </c>
      <c r="L11441">
        <f>HYPERLINK("https://www2.assemblee-nationale.fr/sycomore/fiche/(num_dept)/5873", "5873")</f>
        <v>0</v>
      </c>
      <c r="M11441">
        <f>HYPERLINK("https://www.senat.fr/senateur-3eme-republique/peytral_paul0322r3.html", "peytral_paul0322r3")</f>
        <v>0</v>
      </c>
      <c r="N11441">
        <f>HYPERLINK("https://www.wikidata.org/wiki/Q179491", "Q179491")</f>
        <v>0</v>
      </c>
      <c r="O11441" t="s">
        <v>19990</v>
      </c>
      <c r="Q11441" t="s">
        <v>394</v>
      </c>
      <c r="R11441" t="s">
        <v>21675</v>
      </c>
      <c r="S11441">
        <v>3282</v>
      </c>
    </row>
    <row r="11442" spans="1:19">
      <c r="A11442" t="s">
        <v>133</v>
      </c>
      <c r="B11442" t="s">
        <v>150</v>
      </c>
      <c r="C11442" t="s">
        <v>265</v>
      </c>
      <c r="D11442" t="s">
        <v>394</v>
      </c>
      <c r="F11442">
        <f>HYPERLINK("https://www.wikidata.org/wiki/Q67945020", "Q67945020")</f>
        <v>0</v>
      </c>
      <c r="G11442" t="s">
        <v>2967</v>
      </c>
      <c r="H11442" t="s">
        <v>7435</v>
      </c>
      <c r="I11442" t="s">
        <v>10547</v>
      </c>
      <c r="J11442" t="s">
        <v>13599</v>
      </c>
      <c r="K11442" t="s">
        <v>17985</v>
      </c>
      <c r="L11442">
        <f>HYPERLINK("https://www2.assemblee-nationale.fr/sycomore/fiche/(num_dept)/6228", "6228")</f>
        <v>0</v>
      </c>
      <c r="M11442">
        <f>HYPERLINK("https://www.senat.fr/senateur-3eme-republique/saint_prix_oscar0141r3.html", "saint_prix_oscar0141r3")</f>
        <v>0</v>
      </c>
      <c r="N11442">
        <f>HYPERLINK("https://www.wikidata.org/wiki/Q3357039", "Q3357039")</f>
        <v>0</v>
      </c>
      <c r="O11442" t="s">
        <v>19991</v>
      </c>
      <c r="Q11442" t="s">
        <v>394</v>
      </c>
      <c r="R11442" t="s">
        <v>21650</v>
      </c>
      <c r="S11442">
        <v>18914</v>
      </c>
    </row>
    <row r="11443" spans="1:19">
      <c r="A11443" t="s">
        <v>133</v>
      </c>
      <c r="B11443" t="s">
        <v>150</v>
      </c>
      <c r="C11443" t="s">
        <v>265</v>
      </c>
      <c r="D11443" t="s">
        <v>394</v>
      </c>
      <c r="F11443">
        <f>HYPERLINK("https://www.wikidata.org/wiki/Q67945020", "Q67945020")</f>
        <v>0</v>
      </c>
      <c r="G11443" t="s">
        <v>3164</v>
      </c>
      <c r="H11443" t="s">
        <v>6292</v>
      </c>
      <c r="I11443" t="s">
        <v>10674</v>
      </c>
      <c r="J11443" t="s">
        <v>13785</v>
      </c>
      <c r="K11443" t="s">
        <v>18160</v>
      </c>
      <c r="L11443">
        <f>HYPERLINK("https://www2.assemblee-nationale.fr/sycomore/fiche/(num_dept)/6496", "6496")</f>
        <v>0</v>
      </c>
      <c r="M11443">
        <f>HYPERLINK("https://www.senat.fr/senateur-3eme-republique/prevet_charles1608r3.html", "prevet_charles1608r3")</f>
        <v>0</v>
      </c>
      <c r="N11443">
        <f>HYPERLINK("https://www.wikidata.org/wiki/Q2960051", "Q2960051")</f>
        <v>0</v>
      </c>
      <c r="O11443" t="s">
        <v>20026</v>
      </c>
      <c r="Q11443" t="s">
        <v>394</v>
      </c>
      <c r="R11443" t="s">
        <v>21668</v>
      </c>
      <c r="S11443">
        <v>2211</v>
      </c>
    </row>
    <row r="11444" spans="1:19">
      <c r="A11444" t="s">
        <v>133</v>
      </c>
      <c r="B11444" t="s">
        <v>150</v>
      </c>
      <c r="C11444" t="s">
        <v>265</v>
      </c>
      <c r="D11444" t="s">
        <v>394</v>
      </c>
      <c r="F11444">
        <f>HYPERLINK("https://www.wikidata.org/wiki/Q67945020", "Q67945020")</f>
        <v>0</v>
      </c>
      <c r="G11444" t="s">
        <v>4028</v>
      </c>
      <c r="H11444" t="s">
        <v>8260</v>
      </c>
      <c r="I11444" t="s">
        <v>11070</v>
      </c>
      <c r="J11444" t="s">
        <v>14571</v>
      </c>
      <c r="K11444" t="s">
        <v>18914</v>
      </c>
      <c r="L11444">
        <f>HYPERLINK("https://www2.assemblee-nationale.fr/sycomore/fiche/(num_dept)/6797", "6797")</f>
        <v>0</v>
      </c>
      <c r="M11444">
        <f>HYPERLINK("https://www.senat.fr/senateur-3eme-republique/rivals_jules0268r3.html", "rivals_jules0268r3")</f>
        <v>0</v>
      </c>
      <c r="N11444">
        <f>HYPERLINK("https://www.wikidata.org/wiki/Q3188887", "Q3188887")</f>
        <v>0</v>
      </c>
      <c r="O11444" t="s">
        <v>19960</v>
      </c>
      <c r="Q11444" t="s">
        <v>394</v>
      </c>
      <c r="R11444" t="s">
        <v>17949</v>
      </c>
      <c r="S11444">
        <v>19</v>
      </c>
    </row>
    <row r="11445" spans="1:19">
      <c r="A11445" t="s">
        <v>133</v>
      </c>
      <c r="B11445" t="s">
        <v>150</v>
      </c>
      <c r="C11445" t="s">
        <v>265</v>
      </c>
      <c r="D11445" t="s">
        <v>394</v>
      </c>
      <c r="F11445">
        <f>HYPERLINK("https://www.wikidata.org/wiki/Q67945020", "Q67945020")</f>
        <v>0</v>
      </c>
      <c r="G11445" t="s">
        <v>2681</v>
      </c>
      <c r="H11445" t="s">
        <v>7215</v>
      </c>
      <c r="I11445" t="s">
        <v>9465</v>
      </c>
      <c r="J11445" t="s">
        <v>13322</v>
      </c>
      <c r="K11445" t="s">
        <v>17722</v>
      </c>
      <c r="L11445">
        <f>HYPERLINK("https://www2.assemblee-nationale.fr/sycomore/fiche/(num_dept)/6901", "6901")</f>
        <v>0</v>
      </c>
      <c r="M11445">
        <f>HYPERLINK("https://www.senat.fr/senateur-3eme-republique/spuller_eugene0548r3.html", "spuller_eugene0548r3")</f>
        <v>0</v>
      </c>
      <c r="N11445">
        <f>HYPERLINK("https://www.wikidata.org/wiki/Q3060180", "Q3060180")</f>
        <v>0</v>
      </c>
      <c r="Q11445" t="s">
        <v>394</v>
      </c>
      <c r="R11445" t="s">
        <v>21650</v>
      </c>
      <c r="S11445">
        <v>18914</v>
      </c>
    </row>
    <row r="11446" spans="1:19">
      <c r="A11446" t="s">
        <v>133</v>
      </c>
      <c r="B11446" t="s">
        <v>150</v>
      </c>
      <c r="C11446" t="s">
        <v>265</v>
      </c>
      <c r="D11446" t="s">
        <v>394</v>
      </c>
      <c r="F11446">
        <f>HYPERLINK("https://www.wikidata.org/wiki/Q67945020", "Q67945020")</f>
        <v>0</v>
      </c>
      <c r="G11446" t="s">
        <v>2685</v>
      </c>
      <c r="H11446" t="s">
        <v>7218</v>
      </c>
      <c r="I11446" t="s">
        <v>10363</v>
      </c>
      <c r="J11446" t="s">
        <v>13326</v>
      </c>
      <c r="K11446" t="s">
        <v>17726</v>
      </c>
      <c r="L11446">
        <f>HYPERLINK("https://www2.assemblee-nationale.fr/sycomore/fiche/(num_dept)/7005", "7005")</f>
        <v>0</v>
      </c>
      <c r="M11446">
        <f>HYPERLINK("https://www.senat.fr/senateur-3eme-republique/tezenas_antoine0228r3.html", "tezenas_antoine0228r3")</f>
        <v>0</v>
      </c>
      <c r="N11446">
        <f>HYPERLINK("https://www.wikidata.org/wiki/Q2856758", "Q2856758")</f>
        <v>0</v>
      </c>
      <c r="O11446" t="s">
        <v>8449</v>
      </c>
      <c r="Q11446" t="s">
        <v>394</v>
      </c>
      <c r="R11446" t="s">
        <v>21650</v>
      </c>
      <c r="S11446">
        <v>18914</v>
      </c>
    </row>
    <row r="11447" spans="1:19">
      <c r="A11447" t="s">
        <v>133</v>
      </c>
      <c r="B11447" t="s">
        <v>150</v>
      </c>
      <c r="C11447" t="s">
        <v>265</v>
      </c>
      <c r="D11447" t="s">
        <v>394</v>
      </c>
      <c r="F11447">
        <f>HYPERLINK("https://www.wikidata.org/wiki/Q67945020", "Q67945020")</f>
        <v>0</v>
      </c>
      <c r="G11447" t="s">
        <v>3073</v>
      </c>
      <c r="H11447" t="s">
        <v>7523</v>
      </c>
      <c r="I11447" t="s">
        <v>10611</v>
      </c>
      <c r="J11447" t="s">
        <v>13697</v>
      </c>
      <c r="K11447" t="s">
        <v>18080</v>
      </c>
      <c r="L11447">
        <f>HYPERLINK("https://www2.assemblee-nationale.fr/sycomore/fiche/(num_dept)/8066", "8066")</f>
        <v>0</v>
      </c>
      <c r="M11447">
        <f>HYPERLINK("https://www.senat.fr/senateur-3eme-republique/bruel_eugene0042r3.html", "bruel_eugene0042r3")</f>
        <v>0</v>
      </c>
      <c r="N11447">
        <f>HYPERLINK("https://www.wikidata.org/wiki/Q3059749", "Q3059749")</f>
        <v>0</v>
      </c>
      <c r="O11447" t="s">
        <v>19999</v>
      </c>
      <c r="Q11447" t="s">
        <v>394</v>
      </c>
      <c r="R11447" t="s">
        <v>21650</v>
      </c>
      <c r="S11447">
        <v>18914</v>
      </c>
    </row>
    <row r="11448" spans="1:19">
      <c r="A11448" t="s">
        <v>133</v>
      </c>
      <c r="B11448" t="s">
        <v>150</v>
      </c>
      <c r="C11448" t="s">
        <v>265</v>
      </c>
      <c r="D11448" t="s">
        <v>394</v>
      </c>
      <c r="F11448">
        <f>HYPERLINK("https://www.wikidata.org/wiki/Q67945020", "Q67945020")</f>
        <v>0</v>
      </c>
      <c r="G11448" t="s">
        <v>2772</v>
      </c>
      <c r="H11448" t="s">
        <v>7284</v>
      </c>
      <c r="I11448" t="s">
        <v>10425</v>
      </c>
      <c r="J11448" t="s">
        <v>13413</v>
      </c>
      <c r="K11448" t="s">
        <v>17811</v>
      </c>
      <c r="L11448">
        <f>HYPERLINK("https://www2.assemblee-nationale.fr/sycomore/fiche/(num_dept)/8067", "8067")</f>
        <v>0</v>
      </c>
      <c r="M11448">
        <f>HYPERLINK("https://www.senat.fr/senateur-3eme-republique/soustre_marius0057r3.html", "soustre_marius0057r3")</f>
        <v>0</v>
      </c>
      <c r="N11448">
        <f>HYPERLINK("https://www.wikidata.org/wiki/Q3293858", "Q3293858")</f>
        <v>0</v>
      </c>
      <c r="O11448" t="s">
        <v>20033</v>
      </c>
      <c r="Q11448" t="s">
        <v>394</v>
      </c>
      <c r="R11448" t="s">
        <v>21650</v>
      </c>
      <c r="S11448">
        <v>18914</v>
      </c>
    </row>
    <row r="11449" spans="1:19">
      <c r="A11449" t="s">
        <v>133</v>
      </c>
      <c r="B11449" t="s">
        <v>150</v>
      </c>
      <c r="C11449" t="s">
        <v>265</v>
      </c>
      <c r="D11449" t="s">
        <v>394</v>
      </c>
      <c r="F11449">
        <f>HYPERLINK("https://www.wikidata.org/wiki/Q67945020", "Q67945020")</f>
        <v>0</v>
      </c>
      <c r="G11449" t="s">
        <v>2773</v>
      </c>
      <c r="H11449" t="s">
        <v>7285</v>
      </c>
      <c r="I11449" t="s">
        <v>10426</v>
      </c>
      <c r="J11449" t="s">
        <v>11653</v>
      </c>
      <c r="K11449" t="s">
        <v>17812</v>
      </c>
      <c r="L11449">
        <f>HYPERLINK("https://www2.assemblee-nationale.fr/sycomore/fiche/(num_dept)/8069", "8069")</f>
        <v>0</v>
      </c>
      <c r="M11449">
        <f>HYPERLINK("https://www.senat.fr/senateur-3eme-republique/pradal_victor0138r3.html", "pradal_victor0138r3")</f>
        <v>0</v>
      </c>
      <c r="N11449">
        <f>HYPERLINK("https://www.wikidata.org/wiki/Q3557514", "Q3557514")</f>
        <v>0</v>
      </c>
      <c r="O11449" t="s">
        <v>19991</v>
      </c>
      <c r="Q11449" t="s">
        <v>394</v>
      </c>
      <c r="R11449" t="s">
        <v>21675</v>
      </c>
      <c r="S11449">
        <v>3282</v>
      </c>
    </row>
    <row r="11450" spans="1:19">
      <c r="A11450" t="s">
        <v>133</v>
      </c>
      <c r="B11450" t="s">
        <v>150</v>
      </c>
      <c r="C11450" t="s">
        <v>265</v>
      </c>
      <c r="D11450" t="s">
        <v>394</v>
      </c>
      <c r="F11450">
        <f>HYPERLINK("https://www.wikidata.org/wiki/Q67945020", "Q67945020")</f>
        <v>0</v>
      </c>
      <c r="G11450" t="s">
        <v>2776</v>
      </c>
      <c r="H11450" t="s">
        <v>5395</v>
      </c>
      <c r="I11450" t="s">
        <v>10428</v>
      </c>
      <c r="J11450" t="s">
        <v>13416</v>
      </c>
      <c r="K11450" t="s">
        <v>17814</v>
      </c>
      <c r="L11450">
        <f>HYPERLINK("https://www2.assemblee-nationale.fr/sycomore/fiche/(num_dept)/8074", "8074")</f>
        <v>0</v>
      </c>
      <c r="M11450">
        <f>HYPERLINK("https://www.senat.fr/senateur-3eme-republique/fabre_joseph0293r3.html", "fabre_joseph0293r3")</f>
        <v>0</v>
      </c>
      <c r="N11450">
        <f>HYPERLINK("https://www.wikidata.org/wiki/Q3184922", "Q3184922")</f>
        <v>0</v>
      </c>
      <c r="O11450" t="s">
        <v>19967</v>
      </c>
      <c r="Q11450" t="s">
        <v>394</v>
      </c>
      <c r="R11450" t="s">
        <v>21675</v>
      </c>
      <c r="S11450">
        <v>3282</v>
      </c>
    </row>
    <row r="11451" spans="1:19">
      <c r="A11451" t="s">
        <v>133</v>
      </c>
      <c r="B11451" t="s">
        <v>150</v>
      </c>
      <c r="C11451" t="s">
        <v>265</v>
      </c>
      <c r="D11451" t="s">
        <v>394</v>
      </c>
      <c r="F11451">
        <f>HYPERLINK("https://www.wikidata.org/wiki/Q67945020", "Q67945020")</f>
        <v>0</v>
      </c>
      <c r="G11451" t="s">
        <v>2782</v>
      </c>
      <c r="H11451" t="s">
        <v>6905</v>
      </c>
      <c r="I11451" t="s">
        <v>9388</v>
      </c>
      <c r="J11451" t="s">
        <v>13422</v>
      </c>
      <c r="K11451" t="s">
        <v>17819</v>
      </c>
      <c r="L11451">
        <f>HYPERLINK("https://www2.assemblee-nationale.fr/sycomore/fiche/(num_dept)/8081", "8081")</f>
        <v>0</v>
      </c>
      <c r="M11451">
        <f>HYPERLINK("https://www.senat.fr/senateur-3eme-republique/duchesne_fournet_paul0346r3.html", "duchesne_fournet_paul0346r3")</f>
        <v>0</v>
      </c>
      <c r="N11451">
        <f>HYPERLINK("https://www.wikidata.org/wiki/Q3371115", "Q3371115")</f>
        <v>0</v>
      </c>
      <c r="O11451" t="s">
        <v>20009</v>
      </c>
      <c r="Q11451" t="s">
        <v>394</v>
      </c>
      <c r="R11451" t="s">
        <v>21675</v>
      </c>
      <c r="S11451">
        <v>3282</v>
      </c>
    </row>
    <row r="11452" spans="1:19">
      <c r="A11452" t="s">
        <v>133</v>
      </c>
      <c r="B11452" t="s">
        <v>150</v>
      </c>
      <c r="C11452" t="s">
        <v>265</v>
      </c>
      <c r="D11452" t="s">
        <v>394</v>
      </c>
      <c r="F11452">
        <f>HYPERLINK("https://www.wikidata.org/wiki/Q67945020", "Q67945020")</f>
        <v>0</v>
      </c>
      <c r="G11452" t="s">
        <v>2788</v>
      </c>
      <c r="H11452" t="s">
        <v>7294</v>
      </c>
      <c r="I11452" t="s">
        <v>10436</v>
      </c>
      <c r="J11452" t="s">
        <v>13428</v>
      </c>
      <c r="K11452" t="s">
        <v>17823</v>
      </c>
      <c r="L11452">
        <f>HYPERLINK("https://www2.assemblee-nationale.fr/sycomore/fiche/(num_dept)/8087", "8087")</f>
        <v>0</v>
      </c>
      <c r="M11452">
        <f>HYPERLINK("https://www.senat.fr/senateur-3eme-republique/bisseuil_eugene0418r3.html", "bisseuil_eugene0418r3")</f>
        <v>0</v>
      </c>
      <c r="N11452">
        <f>HYPERLINK("https://www.wikidata.org/wiki/Q3059728", "Q3059728")</f>
        <v>0</v>
      </c>
      <c r="O11452" t="s">
        <v>20037</v>
      </c>
      <c r="Q11452" t="s">
        <v>394</v>
      </c>
      <c r="R11452" t="s">
        <v>21650</v>
      </c>
      <c r="S11452">
        <v>18914</v>
      </c>
    </row>
    <row r="11453" spans="1:19">
      <c r="A11453" t="s">
        <v>133</v>
      </c>
      <c r="B11453" t="s">
        <v>150</v>
      </c>
      <c r="C11453" t="s">
        <v>265</v>
      </c>
      <c r="D11453" t="s">
        <v>394</v>
      </c>
      <c r="F11453">
        <f>HYPERLINK("https://www.wikidata.org/wiki/Q67945020", "Q67945020")</f>
        <v>0</v>
      </c>
      <c r="G11453" t="s">
        <v>2789</v>
      </c>
      <c r="H11453" t="s">
        <v>7295</v>
      </c>
      <c r="I11453" t="s">
        <v>6200</v>
      </c>
      <c r="J11453" t="s">
        <v>13429</v>
      </c>
      <c r="K11453" t="s">
        <v>17824</v>
      </c>
      <c r="L11453">
        <f>HYPERLINK("https://www2.assemblee-nationale.fr/sycomore/fiche/(num_dept)/8090", "8090")</f>
        <v>0</v>
      </c>
      <c r="M11453">
        <f>HYPERLINK("https://www.senat.fr/senateur-3eme-republique/girault_jean0426r3.html", "girault_jean0426r3")</f>
        <v>0</v>
      </c>
      <c r="N11453">
        <f>HYPERLINK("https://www.wikidata.org/wiki/Q3172313", "Q3172313")</f>
        <v>0</v>
      </c>
      <c r="O11453" t="s">
        <v>19996</v>
      </c>
      <c r="Q11453" t="s">
        <v>394</v>
      </c>
      <c r="R11453" t="s">
        <v>21675</v>
      </c>
      <c r="S11453">
        <v>3282</v>
      </c>
    </row>
    <row r="11454" spans="1:19">
      <c r="A11454" t="s">
        <v>133</v>
      </c>
      <c r="B11454" t="s">
        <v>150</v>
      </c>
      <c r="C11454" t="s">
        <v>265</v>
      </c>
      <c r="D11454" t="s">
        <v>394</v>
      </c>
      <c r="F11454">
        <f>HYPERLINK("https://www.wikidata.org/wiki/Q67945020", "Q67945020")</f>
        <v>0</v>
      </c>
      <c r="G11454" t="s">
        <v>2795</v>
      </c>
      <c r="H11454" t="s">
        <v>7300</v>
      </c>
      <c r="I11454" t="s">
        <v>10442</v>
      </c>
      <c r="J11454" t="s">
        <v>13435</v>
      </c>
      <c r="K11454" t="s">
        <v>17830</v>
      </c>
      <c r="L11454">
        <f>HYPERLINK("https://www2.assemblee-nationale.fr/sycomore/fiche/(num_dept)/8101", "8101")</f>
        <v>0</v>
      </c>
      <c r="M11454">
        <f>HYPERLINK("https://www.senat.fr/senateur-3eme-republique/hugot_louis0531r3.html", "hugot_louis0531r3")</f>
        <v>0</v>
      </c>
      <c r="N11454">
        <f>HYPERLINK("https://www.wikidata.org/wiki/Q3262207", "Q3262207")</f>
        <v>0</v>
      </c>
      <c r="Q11454" t="s">
        <v>394</v>
      </c>
      <c r="R11454" t="s">
        <v>21675</v>
      </c>
      <c r="S11454">
        <v>3282</v>
      </c>
    </row>
    <row r="11455" spans="1:19">
      <c r="A11455" t="s">
        <v>133</v>
      </c>
      <c r="B11455" t="s">
        <v>150</v>
      </c>
      <c r="C11455" t="s">
        <v>265</v>
      </c>
      <c r="D11455" t="s">
        <v>394</v>
      </c>
      <c r="F11455">
        <f>HYPERLINK("https://www.wikidata.org/wiki/Q67945020", "Q67945020")</f>
        <v>0</v>
      </c>
      <c r="G11455" t="s">
        <v>2804</v>
      </c>
      <c r="H11455" t="s">
        <v>7307</v>
      </c>
      <c r="I11455" t="s">
        <v>10450</v>
      </c>
      <c r="J11455" t="s">
        <v>13444</v>
      </c>
      <c r="K11455" t="s">
        <v>17838</v>
      </c>
      <c r="L11455">
        <f>HYPERLINK("https://www2.assemblee-nationale.fr/sycomore/fiche/(num_dept)/8113", "8113")</f>
        <v>0</v>
      </c>
      <c r="M11455">
        <f>HYPERLINK("https://www.senat.fr/senateur-3eme-republique/dusolier_alcide0667r3.html", "dusolier_alcide0667r3")</f>
        <v>0</v>
      </c>
      <c r="N11455">
        <f>HYPERLINK("https://www.wikidata.org/wiki/Q765905", "Q765905")</f>
        <v>0</v>
      </c>
      <c r="O11455" t="s">
        <v>20010</v>
      </c>
      <c r="Q11455" t="s">
        <v>394</v>
      </c>
      <c r="R11455" t="s">
        <v>21675</v>
      </c>
      <c r="S11455">
        <v>3282</v>
      </c>
    </row>
    <row r="11456" spans="1:19">
      <c r="A11456" t="s">
        <v>133</v>
      </c>
      <c r="B11456" t="s">
        <v>150</v>
      </c>
      <c r="C11456" t="s">
        <v>265</v>
      </c>
      <c r="D11456" t="s">
        <v>394</v>
      </c>
      <c r="F11456">
        <f>HYPERLINK("https://www.wikidata.org/wiki/Q67945020", "Q67945020")</f>
        <v>0</v>
      </c>
      <c r="G11456" t="s">
        <v>2807</v>
      </c>
      <c r="H11456" t="s">
        <v>7309</v>
      </c>
      <c r="I11456" t="s">
        <v>10451</v>
      </c>
      <c r="J11456" t="s">
        <v>13447</v>
      </c>
      <c r="K11456" t="s">
        <v>13041</v>
      </c>
      <c r="L11456">
        <f>HYPERLINK("https://www2.assemblee-nationale.fr/sycomore/fiche/(num_dept)/8116", "8116")</f>
        <v>0</v>
      </c>
      <c r="M11456">
        <f>HYPERLINK("https://www.senat.fr/senateur-3eme-republique/gaudy_felix0676r3.html", "gaudy_felix0676r3")</f>
        <v>0</v>
      </c>
      <c r="N11456">
        <f>HYPERLINK("https://www.wikidata.org/wiki/Q3092448", "Q3092448")</f>
        <v>0</v>
      </c>
      <c r="O11456" t="s">
        <v>19973</v>
      </c>
      <c r="Q11456" t="s">
        <v>394</v>
      </c>
      <c r="R11456" t="s">
        <v>21650</v>
      </c>
      <c r="S11456">
        <v>18914</v>
      </c>
    </row>
    <row r="11457" spans="1:19">
      <c r="A11457" t="s">
        <v>133</v>
      </c>
      <c r="B11457" t="s">
        <v>150</v>
      </c>
      <c r="C11457" t="s">
        <v>265</v>
      </c>
      <c r="D11457" t="s">
        <v>394</v>
      </c>
      <c r="F11457">
        <f>HYPERLINK("https://www.wikidata.org/wiki/Q67945020", "Q67945020")</f>
        <v>0</v>
      </c>
      <c r="G11457" t="s">
        <v>2808</v>
      </c>
      <c r="H11457" t="s">
        <v>7310</v>
      </c>
      <c r="I11457" t="s">
        <v>9437</v>
      </c>
      <c r="J11457" t="s">
        <v>13448</v>
      </c>
      <c r="K11457" t="s">
        <v>17840</v>
      </c>
      <c r="L11457">
        <f>HYPERLINK("https://www2.assemblee-nationale.fr/sycomore/fiche/(num_dept)/8117", "8117")</f>
        <v>0</v>
      </c>
      <c r="M11457">
        <f>HYPERLINK("https://www.senat.fr/senateur-3eme-republique/loubet_emile0714r3.html", "loubet_emile0714r3")</f>
        <v>0</v>
      </c>
      <c r="N11457">
        <f>HYPERLINK("https://www.wikidata.org/wiki/Q169502", "Q169502")</f>
        <v>0</v>
      </c>
      <c r="O11457" t="s">
        <v>20044</v>
      </c>
      <c r="Q11457" t="s">
        <v>394</v>
      </c>
      <c r="R11457" t="s">
        <v>21677</v>
      </c>
      <c r="S11457">
        <v>1830</v>
      </c>
    </row>
    <row r="11458" spans="1:19">
      <c r="A11458" t="s">
        <v>133</v>
      </c>
      <c r="B11458" t="s">
        <v>150</v>
      </c>
      <c r="C11458" t="s">
        <v>265</v>
      </c>
      <c r="D11458" t="s">
        <v>394</v>
      </c>
      <c r="F11458">
        <f>HYPERLINK("https://www.wikidata.org/wiki/Q67945020", "Q67945020")</f>
        <v>0</v>
      </c>
      <c r="G11458" t="s">
        <v>2811</v>
      </c>
      <c r="H11458" t="s">
        <v>7313</v>
      </c>
      <c r="I11458" t="s">
        <v>9385</v>
      </c>
      <c r="J11458" t="s">
        <v>13451</v>
      </c>
      <c r="K11458" t="s">
        <v>17842</v>
      </c>
      <c r="L11458">
        <f>HYPERLINK("https://www2.assemblee-nationale.fr/sycomore/fiche/(num_dept)/8120", "8120")</f>
        <v>0</v>
      </c>
      <c r="M11458">
        <f>HYPERLINK("https://www.senat.fr/senateur-3eme-republique/d_osmoy_charles0755r3.html", "d_osmoy_charles0755r3")</f>
        <v>0</v>
      </c>
      <c r="N11458">
        <f>HYPERLINK("https://www.wikidata.org/wiki/Q2960511", "Q2960511")</f>
        <v>0</v>
      </c>
      <c r="O11458" t="s">
        <v>19992</v>
      </c>
      <c r="Q11458" t="s">
        <v>394</v>
      </c>
      <c r="R11458" t="s">
        <v>21650</v>
      </c>
      <c r="S11458">
        <v>18914</v>
      </c>
    </row>
    <row r="11459" spans="1:19">
      <c r="A11459" t="s">
        <v>133</v>
      </c>
      <c r="B11459" t="s">
        <v>150</v>
      </c>
      <c r="C11459" t="s">
        <v>265</v>
      </c>
      <c r="D11459" t="s">
        <v>394</v>
      </c>
      <c r="F11459">
        <f>HYPERLINK("https://www.wikidata.org/wiki/Q67945020", "Q67945020")</f>
        <v>0</v>
      </c>
      <c r="G11459" t="s">
        <v>2986</v>
      </c>
      <c r="H11459" t="s">
        <v>7450</v>
      </c>
      <c r="I11459" t="s">
        <v>6166</v>
      </c>
      <c r="J11459" t="s">
        <v>13618</v>
      </c>
      <c r="K11459" t="s">
        <v>18001</v>
      </c>
      <c r="L11459">
        <f>HYPERLINK("https://www2.assemblee-nationale.fr/sycomore/fiche/(num_dept)/8129", "8129")</f>
        <v>0</v>
      </c>
      <c r="M11459">
        <f>HYPERLINK("https://www.senat.fr/senateur-3eme-republique/silhol_francois0820r3.html", "silhol_francois0820r3")</f>
        <v>0</v>
      </c>
      <c r="N11459">
        <f>HYPERLINK("https://www.wikidata.org/wiki/Q2645925", "Q2645925")</f>
        <v>0</v>
      </c>
      <c r="O11459" t="s">
        <v>20014</v>
      </c>
      <c r="Q11459" t="s">
        <v>394</v>
      </c>
      <c r="R11459" t="s">
        <v>21675</v>
      </c>
      <c r="S11459">
        <v>3282</v>
      </c>
    </row>
    <row r="11460" spans="1:19">
      <c r="A11460" t="s">
        <v>133</v>
      </c>
      <c r="B11460" t="s">
        <v>150</v>
      </c>
      <c r="C11460" t="s">
        <v>265</v>
      </c>
      <c r="D11460" t="s">
        <v>394</v>
      </c>
      <c r="F11460">
        <f>HYPERLINK("https://www.wikidata.org/wiki/Q67945020", "Q67945020")</f>
        <v>0</v>
      </c>
      <c r="G11460" t="s">
        <v>2989</v>
      </c>
      <c r="H11460" t="s">
        <v>7453</v>
      </c>
      <c r="I11460" t="s">
        <v>9388</v>
      </c>
      <c r="J11460" t="s">
        <v>13621</v>
      </c>
      <c r="K11460" t="s">
        <v>18004</v>
      </c>
      <c r="L11460">
        <f>HYPERLINK("https://www2.assemblee-nationale.fr/sycomore/fiche/(num_dept)/8141", "8141")</f>
        <v>0</v>
      </c>
      <c r="M11460">
        <f>HYPERLINK("https://www.senat.fr/senateur-3eme-republique/deves_paul0369r3.html", "deves_paul0369r3")</f>
        <v>0</v>
      </c>
      <c r="N11460">
        <f>HYPERLINK("https://www.wikidata.org/wiki/Q572361", "Q572361")</f>
        <v>0</v>
      </c>
      <c r="O11460" t="s">
        <v>19966</v>
      </c>
      <c r="Q11460" t="s">
        <v>394</v>
      </c>
      <c r="R11460" t="s">
        <v>21650</v>
      </c>
      <c r="S11460">
        <v>18914</v>
      </c>
    </row>
    <row r="11461" spans="1:19">
      <c r="A11461" t="s">
        <v>133</v>
      </c>
      <c r="B11461" t="s">
        <v>150</v>
      </c>
      <c r="C11461" t="s">
        <v>265</v>
      </c>
      <c r="D11461" t="s">
        <v>394</v>
      </c>
      <c r="F11461">
        <f>HYPERLINK("https://www.wikidata.org/wiki/Q67945020", "Q67945020")</f>
        <v>0</v>
      </c>
      <c r="G11461" t="s">
        <v>4662</v>
      </c>
      <c r="H11461" t="s">
        <v>8803</v>
      </c>
      <c r="I11461" t="s">
        <v>9516</v>
      </c>
      <c r="J11461" t="s">
        <v>15133</v>
      </c>
      <c r="K11461" t="s">
        <v>19454</v>
      </c>
      <c r="M11461">
        <f>HYPERLINK("https://www.senat.fr/senateur-3eme-republique/goujon_etienne0018r3.html", "goujon_etienne0018r3")</f>
        <v>0</v>
      </c>
      <c r="N11461">
        <f>HYPERLINK("https://www.wikidata.org/wiki/Q3592185", "Q3592185")</f>
        <v>0</v>
      </c>
      <c r="O11461" t="s">
        <v>19986</v>
      </c>
      <c r="Q11461" t="s">
        <v>394</v>
      </c>
      <c r="R11461" t="s">
        <v>21675</v>
      </c>
      <c r="S11461">
        <v>3282</v>
      </c>
    </row>
    <row r="11462" spans="1:19">
      <c r="A11462" t="s">
        <v>133</v>
      </c>
      <c r="B11462" t="s">
        <v>150</v>
      </c>
      <c r="C11462" t="s">
        <v>265</v>
      </c>
      <c r="D11462" t="s">
        <v>394</v>
      </c>
      <c r="F11462">
        <f>HYPERLINK("https://www.wikidata.org/wiki/Q67945020", "Q67945020")</f>
        <v>0</v>
      </c>
      <c r="G11462" t="s">
        <v>4691</v>
      </c>
      <c r="H11462" t="s">
        <v>8831</v>
      </c>
      <c r="I11462" t="s">
        <v>9472</v>
      </c>
      <c r="J11462" t="s">
        <v>15161</v>
      </c>
      <c r="K11462" t="s">
        <v>19481</v>
      </c>
      <c r="M11462">
        <f>HYPERLINK("https://www.senat.fr/senateur-3eme-republique/morellet_hippolyte0012r3.html", "morellet_hippolyte0012r3")</f>
        <v>0</v>
      </c>
      <c r="N11462">
        <f>HYPERLINK("https://www.wikidata.org/wiki/Q3136098", "Q3136098")</f>
        <v>0</v>
      </c>
      <c r="O11462" t="s">
        <v>19986</v>
      </c>
      <c r="Q11462" t="s">
        <v>394</v>
      </c>
      <c r="R11462" t="s">
        <v>21650</v>
      </c>
      <c r="S11462">
        <v>18914</v>
      </c>
    </row>
    <row r="11463" spans="1:19">
      <c r="A11463" t="s">
        <v>133</v>
      </c>
      <c r="B11463" t="s">
        <v>150</v>
      </c>
      <c r="C11463" t="s">
        <v>265</v>
      </c>
      <c r="D11463" t="s">
        <v>394</v>
      </c>
      <c r="F11463">
        <f>HYPERLINK("https://www.wikidata.org/wiki/Q67945020", "Q67945020")</f>
        <v>0</v>
      </c>
      <c r="G11463" t="s">
        <v>2631</v>
      </c>
      <c r="H11463" t="s">
        <v>8804</v>
      </c>
      <c r="I11463" t="s">
        <v>6200</v>
      </c>
      <c r="J11463" t="s">
        <v>13273</v>
      </c>
      <c r="K11463" t="s">
        <v>19455</v>
      </c>
      <c r="M11463">
        <f>HYPERLINK("https://www.senat.fr/senateur-3eme-republique/mercier_jean0006r3.html", "mercier_jean0006r3")</f>
        <v>0</v>
      </c>
      <c r="N11463">
        <f>HYPERLINK("https://www.wikidata.org/wiki/Q3173489", "Q3173489")</f>
        <v>0</v>
      </c>
      <c r="O11463" t="s">
        <v>19986</v>
      </c>
      <c r="Q11463" t="s">
        <v>394</v>
      </c>
      <c r="R11463" t="s">
        <v>21650</v>
      </c>
      <c r="S11463">
        <v>18914</v>
      </c>
    </row>
    <row r="11464" spans="1:19">
      <c r="A11464" t="s">
        <v>133</v>
      </c>
      <c r="B11464" t="s">
        <v>150</v>
      </c>
      <c r="C11464" t="s">
        <v>265</v>
      </c>
      <c r="D11464" t="s">
        <v>394</v>
      </c>
      <c r="F11464">
        <f>HYPERLINK("https://www.wikidata.org/wiki/Q67945020", "Q67945020")</f>
        <v>0</v>
      </c>
      <c r="G11464" t="s">
        <v>4733</v>
      </c>
      <c r="H11464" t="s">
        <v>8875</v>
      </c>
      <c r="I11464" t="s">
        <v>9867</v>
      </c>
      <c r="J11464" t="s">
        <v>15196</v>
      </c>
      <c r="K11464" t="s">
        <v>18662</v>
      </c>
      <c r="M11464">
        <f>HYPERLINK("https://www.senat.fr/senateur-3eme-republique/leroux_aime0036r3.html", "leroux_aime0036r3")</f>
        <v>0</v>
      </c>
      <c r="N11464">
        <f>HYPERLINK("https://www.wikidata.org/wiki/Q2828069", "Q2828069")</f>
        <v>0</v>
      </c>
      <c r="O11464" t="s">
        <v>20015</v>
      </c>
      <c r="Q11464" t="s">
        <v>394</v>
      </c>
      <c r="R11464" t="s">
        <v>21650</v>
      </c>
      <c r="S11464">
        <v>18914</v>
      </c>
    </row>
    <row r="11465" spans="1:19">
      <c r="A11465" t="s">
        <v>133</v>
      </c>
      <c r="B11465" t="s">
        <v>150</v>
      </c>
      <c r="C11465" t="s">
        <v>265</v>
      </c>
      <c r="D11465" t="s">
        <v>394</v>
      </c>
      <c r="F11465">
        <f>HYPERLINK("https://www.wikidata.org/wiki/Q67945020", "Q67945020")</f>
        <v>0</v>
      </c>
      <c r="G11465" t="s">
        <v>4699</v>
      </c>
      <c r="H11465" t="s">
        <v>8839</v>
      </c>
      <c r="I11465" t="s">
        <v>9385</v>
      </c>
      <c r="J11465" t="s">
        <v>15168</v>
      </c>
      <c r="K11465" t="s">
        <v>19487</v>
      </c>
      <c r="M11465">
        <f>HYPERLINK("https://www.senat.fr/senateur-3eme-republique/sebline_charles0033r3.html", "sebline_charles0033r3")</f>
        <v>0</v>
      </c>
      <c r="N11465">
        <f>HYPERLINK("https://www.wikidata.org/wiki/Q2960281", "Q2960281")</f>
        <v>0</v>
      </c>
      <c r="O11465" t="s">
        <v>20015</v>
      </c>
      <c r="Q11465" t="s">
        <v>394</v>
      </c>
      <c r="R11465" t="s">
        <v>21675</v>
      </c>
      <c r="S11465">
        <v>3282</v>
      </c>
    </row>
    <row r="11466" spans="1:19">
      <c r="A11466" t="s">
        <v>133</v>
      </c>
      <c r="B11466" t="s">
        <v>150</v>
      </c>
      <c r="C11466" t="s">
        <v>265</v>
      </c>
      <c r="D11466" t="s">
        <v>394</v>
      </c>
      <c r="F11466">
        <f>HYPERLINK("https://www.wikidata.org/wiki/Q67945020", "Q67945020")</f>
        <v>0</v>
      </c>
      <c r="G11466" t="s">
        <v>4311</v>
      </c>
      <c r="H11466" t="s">
        <v>8467</v>
      </c>
      <c r="I11466" t="s">
        <v>9453</v>
      </c>
      <c r="J11466" t="s">
        <v>14809</v>
      </c>
      <c r="K11466" t="s">
        <v>19150</v>
      </c>
      <c r="M11466">
        <f>HYPERLINK("https://www.senat.fr/senateur-3eme-republique/chalamet_jean0131r3.html", "chalamet_jean0131r3")</f>
        <v>0</v>
      </c>
      <c r="N11466">
        <f>HYPERLINK("https://www.wikidata.org/wiki/Q2865033", "Q2865033")</f>
        <v>0</v>
      </c>
      <c r="O11466" t="s">
        <v>19991</v>
      </c>
      <c r="Q11466" t="s">
        <v>394</v>
      </c>
      <c r="R11466" t="s">
        <v>21650</v>
      </c>
      <c r="S11466">
        <v>18914</v>
      </c>
    </row>
    <row r="11467" spans="1:19">
      <c r="A11467" t="s">
        <v>133</v>
      </c>
      <c r="B11467" t="s">
        <v>150</v>
      </c>
      <c r="C11467" t="s">
        <v>265</v>
      </c>
      <c r="D11467" t="s">
        <v>394</v>
      </c>
      <c r="F11467">
        <f>HYPERLINK("https://www.wikidata.org/wiki/Q67945020", "Q67945020")</f>
        <v>0</v>
      </c>
      <c r="G11467" t="s">
        <v>4780</v>
      </c>
      <c r="H11467" t="s">
        <v>8923</v>
      </c>
      <c r="I11467" t="s">
        <v>6495</v>
      </c>
      <c r="J11467" t="s">
        <v>13775</v>
      </c>
      <c r="K11467" t="s">
        <v>19554</v>
      </c>
      <c r="M11467">
        <f>HYPERLINK("https://www.senat.fr/senateur-3eme-republique/tirman_louis0161r3.html", "tirman_louis0161r3")</f>
        <v>0</v>
      </c>
      <c r="N11467">
        <f>HYPERLINK("https://www.wikidata.org/wiki/Q3263198", "Q3263198")</f>
        <v>0</v>
      </c>
      <c r="O11467" t="s">
        <v>19959</v>
      </c>
      <c r="Q11467" t="s">
        <v>394</v>
      </c>
      <c r="R11467" t="s">
        <v>19554</v>
      </c>
      <c r="S11467">
        <v>2033</v>
      </c>
    </row>
    <row r="11468" spans="1:19">
      <c r="A11468" t="s">
        <v>133</v>
      </c>
      <c r="B11468" t="s">
        <v>150</v>
      </c>
      <c r="C11468" t="s">
        <v>265</v>
      </c>
      <c r="D11468" t="s">
        <v>394</v>
      </c>
      <c r="F11468">
        <f>HYPERLINK("https://www.wikidata.org/wiki/Q67945020", "Q67945020")</f>
        <v>0</v>
      </c>
      <c r="G11468" t="s">
        <v>4610</v>
      </c>
      <c r="H11468" t="s">
        <v>8754</v>
      </c>
      <c r="I11468" t="s">
        <v>9421</v>
      </c>
      <c r="J11468" t="s">
        <v>14013</v>
      </c>
      <c r="K11468" t="s">
        <v>19408</v>
      </c>
      <c r="M11468">
        <f>HYPERLINK("https://www.senat.fr/senateur-3eme-republique/gailly_gustave0167r3.html", "gailly_gustave0167r3")</f>
        <v>0</v>
      </c>
      <c r="N11468">
        <f>HYPERLINK("https://www.wikidata.org/wiki/Q3121193", "Q3121193")</f>
        <v>0</v>
      </c>
      <c r="O11468" t="s">
        <v>19959</v>
      </c>
      <c r="Q11468" t="s">
        <v>394</v>
      </c>
      <c r="R11468" t="s">
        <v>21650</v>
      </c>
      <c r="S11468">
        <v>18914</v>
      </c>
    </row>
    <row r="11469" spans="1:19">
      <c r="A11469" t="s">
        <v>133</v>
      </c>
      <c r="B11469" t="s">
        <v>150</v>
      </c>
      <c r="C11469" t="s">
        <v>265</v>
      </c>
      <c r="D11469" t="s">
        <v>394</v>
      </c>
      <c r="F11469">
        <f>HYPERLINK("https://www.wikidata.org/wiki/Q67945020", "Q67945020")</f>
        <v>0</v>
      </c>
      <c r="G11469" t="s">
        <v>4642</v>
      </c>
      <c r="H11469" t="s">
        <v>8785</v>
      </c>
      <c r="I11469" t="s">
        <v>9388</v>
      </c>
      <c r="J11469" t="s">
        <v>15116</v>
      </c>
      <c r="K11469" t="s">
        <v>18281</v>
      </c>
      <c r="M11469">
        <f>HYPERLINK("https://www.senat.fr/senateur-3eme-republique/frezoul_paul0182r3.html", "frezoul_paul0182r3")</f>
        <v>0</v>
      </c>
      <c r="N11469">
        <f>HYPERLINK("https://www.wikidata.org/wiki/Q3371247", "Q3371247")</f>
        <v>0</v>
      </c>
      <c r="O11469" t="s">
        <v>20019</v>
      </c>
      <c r="Q11469" t="s">
        <v>394</v>
      </c>
      <c r="R11469" t="s">
        <v>21675</v>
      </c>
      <c r="S11469">
        <v>3282</v>
      </c>
    </row>
    <row r="11470" spans="1:19">
      <c r="A11470" t="s">
        <v>133</v>
      </c>
      <c r="B11470" t="s">
        <v>150</v>
      </c>
      <c r="C11470" t="s">
        <v>265</v>
      </c>
      <c r="D11470" t="s">
        <v>394</v>
      </c>
      <c r="F11470">
        <f>HYPERLINK("https://www.wikidata.org/wiki/Q67945020", "Q67945020")</f>
        <v>0</v>
      </c>
      <c r="G11470" t="s">
        <v>4781</v>
      </c>
      <c r="H11470" t="s">
        <v>8924</v>
      </c>
      <c r="I11470" t="s">
        <v>9552</v>
      </c>
      <c r="J11470" t="s">
        <v>15242</v>
      </c>
      <c r="K11470" t="s">
        <v>19555</v>
      </c>
      <c r="M11470">
        <f>HYPERLINK("https://www.senat.fr/senateur-3eme-republique/delpech_auguste0187r3.html", "delpech_auguste0187r3")</f>
        <v>0</v>
      </c>
      <c r="N11470">
        <f>HYPERLINK("https://www.wikidata.org/wiki/Q2871149", "Q2871149")</f>
        <v>0</v>
      </c>
      <c r="O11470" t="s">
        <v>20019</v>
      </c>
      <c r="Q11470" t="s">
        <v>394</v>
      </c>
      <c r="R11470" t="s">
        <v>21675</v>
      </c>
      <c r="S11470">
        <v>3282</v>
      </c>
    </row>
    <row r="11471" spans="1:19">
      <c r="A11471" t="s">
        <v>133</v>
      </c>
      <c r="B11471" t="s">
        <v>150</v>
      </c>
      <c r="C11471" t="s">
        <v>265</v>
      </c>
      <c r="D11471" t="s">
        <v>394</v>
      </c>
      <c r="F11471">
        <f>HYPERLINK("https://www.wikidata.org/wiki/Q67945020", "Q67945020")</f>
        <v>0</v>
      </c>
      <c r="G11471" t="s">
        <v>4616</v>
      </c>
      <c r="H11471" t="s">
        <v>8759</v>
      </c>
      <c r="I11471" t="s">
        <v>9389</v>
      </c>
      <c r="J11471" t="s">
        <v>13833</v>
      </c>
      <c r="K11471" t="s">
        <v>19414</v>
      </c>
      <c r="M11471">
        <f>HYPERLINK("https://www.senat.fr/senateur-3eme-republique/gayot_emile0221r3.html", "gayot_emile0221r3")</f>
        <v>0</v>
      </c>
      <c r="N11471">
        <f>HYPERLINK("https://www.wikidata.org/wiki/Q3588530", "Q3588530")</f>
        <v>0</v>
      </c>
      <c r="O11471" t="s">
        <v>8449</v>
      </c>
      <c r="Q11471" t="s">
        <v>394</v>
      </c>
      <c r="R11471" t="s">
        <v>21675</v>
      </c>
      <c r="S11471">
        <v>3282</v>
      </c>
    </row>
    <row r="11472" spans="1:19">
      <c r="A11472" t="s">
        <v>133</v>
      </c>
      <c r="B11472" t="s">
        <v>150</v>
      </c>
      <c r="C11472" t="s">
        <v>265</v>
      </c>
      <c r="D11472" t="s">
        <v>394</v>
      </c>
      <c r="F11472">
        <f>HYPERLINK("https://www.wikidata.org/wiki/Q67945020", "Q67945020")</f>
        <v>0</v>
      </c>
      <c r="G11472" t="s">
        <v>4293</v>
      </c>
      <c r="H11472" t="s">
        <v>8452</v>
      </c>
      <c r="I11472" t="s">
        <v>7790</v>
      </c>
      <c r="J11472" t="s">
        <v>14792</v>
      </c>
      <c r="K11472" t="s">
        <v>19136</v>
      </c>
      <c r="M11472">
        <f>HYPERLINK("https://www.senat.fr/senateur-3eme-republique/gauthier_armand0264r3.html", "gauthier_armand0264r3")</f>
        <v>0</v>
      </c>
      <c r="N11472">
        <f>HYPERLINK("https://www.wikidata.org/wiki/Q2861852", "Q2861852")</f>
        <v>0</v>
      </c>
      <c r="O11472" t="s">
        <v>19960</v>
      </c>
      <c r="Q11472" t="s">
        <v>394</v>
      </c>
      <c r="R11472" t="s">
        <v>21675</v>
      </c>
      <c r="S11472">
        <v>3282</v>
      </c>
    </row>
    <row r="11473" spans="1:19">
      <c r="A11473" t="s">
        <v>133</v>
      </c>
      <c r="B11473" t="s">
        <v>150</v>
      </c>
      <c r="C11473" t="s">
        <v>265</v>
      </c>
      <c r="D11473" t="s">
        <v>394</v>
      </c>
      <c r="F11473">
        <f>HYPERLINK("https://www.wikidata.org/wiki/Q67945020", "Q67945020")</f>
        <v>0</v>
      </c>
      <c r="G11473" t="s">
        <v>4782</v>
      </c>
      <c r="H11473" t="s">
        <v>8925</v>
      </c>
      <c r="I11473" t="s">
        <v>9401</v>
      </c>
      <c r="J11473" t="s">
        <v>15243</v>
      </c>
      <c r="K11473" t="s">
        <v>19556</v>
      </c>
      <c r="M11473">
        <f>HYPERLINK("https://www.senat.fr/senateur-3eme-republique/ouvrier_antoine0287r3.html", "ouvrier_antoine0287r3")</f>
        <v>0</v>
      </c>
      <c r="N11473">
        <f>HYPERLINK("https://www.wikidata.org/wiki/Q2854298", "Q2854298")</f>
        <v>0</v>
      </c>
      <c r="O11473" t="s">
        <v>19967</v>
      </c>
      <c r="Q11473" t="s">
        <v>394</v>
      </c>
      <c r="R11473" t="s">
        <v>21675</v>
      </c>
      <c r="S11473">
        <v>3282</v>
      </c>
    </row>
    <row r="11474" spans="1:19">
      <c r="A11474" t="s">
        <v>133</v>
      </c>
      <c r="B11474" t="s">
        <v>150</v>
      </c>
      <c r="C11474" t="s">
        <v>265</v>
      </c>
      <c r="D11474" t="s">
        <v>394</v>
      </c>
      <c r="F11474">
        <f>HYPERLINK("https://www.wikidata.org/wiki/Q67945020", "Q67945020")</f>
        <v>0</v>
      </c>
      <c r="G11474" t="s">
        <v>4783</v>
      </c>
      <c r="H11474" t="s">
        <v>8926</v>
      </c>
      <c r="I11474" t="s">
        <v>10037</v>
      </c>
      <c r="J11474" t="s">
        <v>15244</v>
      </c>
      <c r="K11474" t="s">
        <v>19557</v>
      </c>
      <c r="M11474">
        <f>HYPERLINK("https://www.senat.fr/senateur-3eme-republique/richaud_leopold0066r3.html", "richaud_leopold0066r3")</f>
        <v>0</v>
      </c>
      <c r="N11474">
        <f>HYPERLINK("https://www.wikidata.org/wiki/Q2409643", "Q2409643")</f>
        <v>0</v>
      </c>
      <c r="O11474" t="s">
        <v>20033</v>
      </c>
      <c r="Q11474" t="s">
        <v>394</v>
      </c>
      <c r="R11474" t="s">
        <v>19557</v>
      </c>
      <c r="S11474">
        <v>506</v>
      </c>
    </row>
    <row r="11475" spans="1:19">
      <c r="A11475" t="s">
        <v>133</v>
      </c>
      <c r="B11475" t="s">
        <v>150</v>
      </c>
      <c r="C11475" t="s">
        <v>265</v>
      </c>
      <c r="D11475" t="s">
        <v>394</v>
      </c>
      <c r="F11475">
        <f>HYPERLINK("https://www.wikidata.org/wiki/Q67945020", "Q67945020")</f>
        <v>0</v>
      </c>
      <c r="G11475" t="s">
        <v>4303</v>
      </c>
      <c r="H11475" t="s">
        <v>8460</v>
      </c>
      <c r="I11475" t="s">
        <v>11179</v>
      </c>
      <c r="J11475" t="s">
        <v>14801</v>
      </c>
      <c r="K11475" t="s">
        <v>19144</v>
      </c>
      <c r="M11475">
        <f>HYPERLINK("https://www.senat.fr/senateur-3eme-republique/challemel_lacour_paul0315r3.html", "challemel_lacour_paul0315r3")</f>
        <v>0</v>
      </c>
      <c r="N11475">
        <f>HYPERLINK("https://www.wikidata.org/wiki/Q674393", "Q674393")</f>
        <v>0</v>
      </c>
      <c r="O11475" t="s">
        <v>19990</v>
      </c>
      <c r="Q11475" t="s">
        <v>394</v>
      </c>
      <c r="R11475" t="s">
        <v>21650</v>
      </c>
      <c r="S11475">
        <v>18914</v>
      </c>
    </row>
    <row r="11476" spans="1:19">
      <c r="A11476" t="s">
        <v>133</v>
      </c>
      <c r="B11476" t="s">
        <v>150</v>
      </c>
      <c r="C11476" t="s">
        <v>265</v>
      </c>
      <c r="D11476" t="s">
        <v>394</v>
      </c>
      <c r="F11476">
        <f>HYPERLINK("https://www.wikidata.org/wiki/Q67945020", "Q67945020")</f>
        <v>0</v>
      </c>
      <c r="G11476" t="s">
        <v>4665</v>
      </c>
      <c r="H11476" t="s">
        <v>8807</v>
      </c>
      <c r="I11476" t="s">
        <v>11213</v>
      </c>
      <c r="J11476" t="s">
        <v>15136</v>
      </c>
      <c r="K11476" t="s">
        <v>19457</v>
      </c>
      <c r="M11476">
        <f>HYPERLINK("https://www.senat.fr/senateur-3eme-republique/velten_geoffroy0311r3.html", "velten_geoffroy0311r3")</f>
        <v>0</v>
      </c>
      <c r="N11476">
        <f>HYPERLINK("https://www.wikidata.org/wiki/Q1503086", "Q1503086")</f>
        <v>0</v>
      </c>
      <c r="O11476" t="s">
        <v>19990</v>
      </c>
      <c r="Q11476" t="s">
        <v>394</v>
      </c>
      <c r="R11476" t="s">
        <v>21675</v>
      </c>
      <c r="S11476">
        <v>3282</v>
      </c>
    </row>
    <row r="11477" spans="1:19">
      <c r="A11477" t="s">
        <v>133</v>
      </c>
      <c r="B11477" t="s">
        <v>150</v>
      </c>
      <c r="C11477" t="s">
        <v>265</v>
      </c>
      <c r="D11477" t="s">
        <v>394</v>
      </c>
      <c r="F11477">
        <f>HYPERLINK("https://www.wikidata.org/wiki/Q67945020", "Q67945020")</f>
        <v>0</v>
      </c>
      <c r="G11477" t="s">
        <v>4773</v>
      </c>
      <c r="H11477" t="s">
        <v>8916</v>
      </c>
      <c r="I11477" t="s">
        <v>11223</v>
      </c>
      <c r="J11477" t="s">
        <v>13297</v>
      </c>
      <c r="K11477" t="s">
        <v>19548</v>
      </c>
      <c r="M11477">
        <f>HYPERLINK("https://www.senat.fr/senateur-3eme-republique/anne_norbert0334r3.html", "anne_norbert0334r3")</f>
        <v>0</v>
      </c>
      <c r="N11477">
        <f>HYPERLINK("https://www.wikidata.org/wiki/Q3343475", "Q3343475")</f>
        <v>0</v>
      </c>
      <c r="O11477" t="s">
        <v>20009</v>
      </c>
      <c r="Q11477" t="s">
        <v>394</v>
      </c>
      <c r="R11477" t="s">
        <v>21650</v>
      </c>
      <c r="S11477">
        <v>18914</v>
      </c>
    </row>
    <row r="11478" spans="1:19">
      <c r="A11478" t="s">
        <v>133</v>
      </c>
      <c r="B11478" t="s">
        <v>150</v>
      </c>
      <c r="C11478" t="s">
        <v>265</v>
      </c>
      <c r="D11478" t="s">
        <v>394</v>
      </c>
      <c r="F11478">
        <f>HYPERLINK("https://www.wikidata.org/wiki/Q67945020", "Q67945020")</f>
        <v>0</v>
      </c>
      <c r="G11478" t="s">
        <v>4755</v>
      </c>
      <c r="H11478" t="s">
        <v>8898</v>
      </c>
      <c r="I11478" t="s">
        <v>9472</v>
      </c>
      <c r="J11478" t="s">
        <v>15218</v>
      </c>
      <c r="K11478" t="s">
        <v>19534</v>
      </c>
      <c r="M11478">
        <f>HYPERLINK("https://www.senat.fr/senateur-3eme-republique/turgis_hippolyte0354r3.html", "turgis_hippolyte0354r3")</f>
        <v>0</v>
      </c>
      <c r="N11478">
        <f>HYPERLINK("https://www.wikidata.org/wiki/Q3136134", "Q3136134")</f>
        <v>0</v>
      </c>
      <c r="O11478" t="s">
        <v>20009</v>
      </c>
      <c r="Q11478" t="s">
        <v>394</v>
      </c>
      <c r="R11478" t="s">
        <v>21675</v>
      </c>
      <c r="S11478">
        <v>3282</v>
      </c>
    </row>
    <row r="11479" spans="1:19">
      <c r="A11479" t="s">
        <v>133</v>
      </c>
      <c r="B11479" t="s">
        <v>150</v>
      </c>
      <c r="C11479" t="s">
        <v>265</v>
      </c>
      <c r="D11479" t="s">
        <v>394</v>
      </c>
      <c r="F11479">
        <f>HYPERLINK("https://www.wikidata.org/wiki/Q67945020", "Q67945020")</f>
        <v>0</v>
      </c>
      <c r="G11479" t="s">
        <v>4761</v>
      </c>
      <c r="H11479" t="s">
        <v>8903</v>
      </c>
      <c r="I11479" t="s">
        <v>6584</v>
      </c>
      <c r="J11479" t="s">
        <v>14248</v>
      </c>
      <c r="K11479" t="s">
        <v>17579</v>
      </c>
      <c r="M11479">
        <f>HYPERLINK("https://www.senat.fr/senateur-3eme-republique/baduel_albert0360r3.html", "baduel_albert0360r3")</f>
        <v>0</v>
      </c>
      <c r="N11479">
        <f>HYPERLINK("https://www.wikidata.org/wiki/Q2830933", "Q2830933")</f>
        <v>0</v>
      </c>
      <c r="O11479" t="s">
        <v>19966</v>
      </c>
      <c r="Q11479" t="s">
        <v>394</v>
      </c>
      <c r="R11479" t="s">
        <v>21650</v>
      </c>
      <c r="S11479">
        <v>18914</v>
      </c>
    </row>
    <row r="11480" spans="1:19">
      <c r="A11480" t="s">
        <v>133</v>
      </c>
      <c r="B11480" t="s">
        <v>150</v>
      </c>
      <c r="C11480" t="s">
        <v>265</v>
      </c>
      <c r="D11480" t="s">
        <v>394</v>
      </c>
      <c r="F11480">
        <f>HYPERLINK("https://www.wikidata.org/wiki/Q67945020", "Q67945020")</f>
        <v>0</v>
      </c>
      <c r="G11480" t="s">
        <v>4784</v>
      </c>
      <c r="H11480" t="s">
        <v>8927</v>
      </c>
      <c r="I11480" t="s">
        <v>9451</v>
      </c>
      <c r="J11480" t="s">
        <v>15245</v>
      </c>
      <c r="K11480" t="s">
        <v>12992</v>
      </c>
      <c r="M11480">
        <f>HYPERLINK("https://www.senat.fr/senateur-3eme-republique/brothier_theophile0389r3.html", "brothier_theophile0389r3")</f>
        <v>0</v>
      </c>
      <c r="N11480">
        <f>HYPERLINK("https://www.wikidata.org/wiki/Q3526635", "Q3526635")</f>
        <v>0</v>
      </c>
      <c r="O11480" t="s">
        <v>20031</v>
      </c>
      <c r="Q11480" t="s">
        <v>394</v>
      </c>
      <c r="R11480" t="s">
        <v>17728</v>
      </c>
      <c r="S11480">
        <v>2517</v>
      </c>
    </row>
    <row r="11481" spans="1:19">
      <c r="A11481" t="s">
        <v>133</v>
      </c>
      <c r="B11481" t="s">
        <v>150</v>
      </c>
      <c r="C11481" t="s">
        <v>265</v>
      </c>
      <c r="D11481" t="s">
        <v>394</v>
      </c>
      <c r="F11481">
        <f>HYPERLINK("https://www.wikidata.org/wiki/Q67945020", "Q67945020")</f>
        <v>0</v>
      </c>
      <c r="G11481" t="s">
        <v>4785</v>
      </c>
      <c r="H11481" t="s">
        <v>8928</v>
      </c>
      <c r="I11481" t="s">
        <v>6200</v>
      </c>
      <c r="J11481" t="s">
        <v>15246</v>
      </c>
      <c r="K11481" t="s">
        <v>18052</v>
      </c>
      <c r="M11481">
        <f>HYPERLINK("https://www.senat.fr/senateur-3eme-republique/laporte_bisquit_jean0395r3.html", "laporte_bisquit_jean0395r3")</f>
        <v>0</v>
      </c>
      <c r="N11481">
        <f>HYPERLINK("https://www.wikidata.org/wiki/Q3172994", "Q3172994")</f>
        <v>0</v>
      </c>
      <c r="O11481" t="s">
        <v>20031</v>
      </c>
      <c r="Q11481" t="s">
        <v>394</v>
      </c>
      <c r="R11481" t="s">
        <v>21675</v>
      </c>
      <c r="S11481">
        <v>3282</v>
      </c>
    </row>
    <row r="11482" spans="1:19">
      <c r="A11482" t="s">
        <v>133</v>
      </c>
      <c r="B11482" t="s">
        <v>150</v>
      </c>
      <c r="C11482" t="s">
        <v>265</v>
      </c>
      <c r="D11482" t="s">
        <v>394</v>
      </c>
      <c r="F11482">
        <f>HYPERLINK("https://www.wikidata.org/wiki/Q67945020", "Q67945020")</f>
        <v>0</v>
      </c>
      <c r="G11482" t="s">
        <v>4740</v>
      </c>
      <c r="H11482" t="s">
        <v>8882</v>
      </c>
      <c r="I11482" t="s">
        <v>9375</v>
      </c>
      <c r="J11482" t="s">
        <v>15203</v>
      </c>
      <c r="K11482" t="s">
        <v>19521</v>
      </c>
      <c r="M11482">
        <f>HYPERLINK("https://www.senat.fr/senateur-3eme-republique/martell_edouard0399r3.html", "martell_edouard0399r3")</f>
        <v>0</v>
      </c>
      <c r="N11482">
        <f>HYPERLINK("https://www.wikidata.org/wiki/Q3579955", "Q3579955")</f>
        <v>0</v>
      </c>
      <c r="O11482" t="s">
        <v>20031</v>
      </c>
      <c r="Q11482" t="s">
        <v>394</v>
      </c>
      <c r="R11482" t="s">
        <v>21678</v>
      </c>
      <c r="S11482">
        <v>6572</v>
      </c>
    </row>
    <row r="11483" spans="1:19">
      <c r="A11483" t="s">
        <v>133</v>
      </c>
      <c r="B11483" t="s">
        <v>150</v>
      </c>
      <c r="C11483" t="s">
        <v>265</v>
      </c>
      <c r="D11483" t="s">
        <v>394</v>
      </c>
      <c r="F11483">
        <f>HYPERLINK("https://www.wikidata.org/wiki/Q67945020", "Q67945020")</f>
        <v>0</v>
      </c>
      <c r="G11483" t="s">
        <v>4762</v>
      </c>
      <c r="H11483" t="s">
        <v>8904</v>
      </c>
      <c r="I11483" t="s">
        <v>6200</v>
      </c>
      <c r="J11483" t="s">
        <v>15224</v>
      </c>
      <c r="K11483" t="s">
        <v>19538</v>
      </c>
      <c r="M11483">
        <f>HYPERLINK("https://www.senat.fr/senateur-3eme-republique/moinet_jean0405r3.html", "moinet_jean0405r3")</f>
        <v>0</v>
      </c>
      <c r="N11483">
        <f>HYPERLINK("https://www.wikidata.org/wiki/Q3173561", "Q3173561")</f>
        <v>0</v>
      </c>
      <c r="O11483" t="s">
        <v>20037</v>
      </c>
      <c r="Q11483" t="s">
        <v>394</v>
      </c>
      <c r="R11483" t="s">
        <v>21650</v>
      </c>
      <c r="S11483">
        <v>18914</v>
      </c>
    </row>
    <row r="11484" spans="1:19">
      <c r="A11484" t="s">
        <v>133</v>
      </c>
      <c r="B11484" t="s">
        <v>150</v>
      </c>
      <c r="C11484" t="s">
        <v>265</v>
      </c>
      <c r="D11484" t="s">
        <v>394</v>
      </c>
      <c r="F11484">
        <f>HYPERLINK("https://www.wikidata.org/wiki/Q67945020", "Q67945020")</f>
        <v>0</v>
      </c>
      <c r="G11484" t="s">
        <v>4786</v>
      </c>
      <c r="H11484" t="s">
        <v>8929</v>
      </c>
      <c r="I11484" t="s">
        <v>9552</v>
      </c>
      <c r="J11484" t="s">
        <v>15247</v>
      </c>
      <c r="K11484" t="s">
        <v>19558</v>
      </c>
      <c r="M11484">
        <f>HYPERLINK("https://www.senat.fr/senateur-3eme-republique/calvet_auguste0412r3.html", "calvet_auguste0412r3")</f>
        <v>0</v>
      </c>
      <c r="N11484">
        <f>HYPERLINK("https://www.wikidata.org/wiki/Q2871100", "Q2871100")</f>
        <v>0</v>
      </c>
      <c r="O11484" t="s">
        <v>20037</v>
      </c>
      <c r="Q11484" t="s">
        <v>394</v>
      </c>
      <c r="R11484" t="s">
        <v>21675</v>
      </c>
      <c r="S11484">
        <v>3282</v>
      </c>
    </row>
    <row r="11485" spans="1:19">
      <c r="A11485" t="s">
        <v>133</v>
      </c>
      <c r="B11485" t="s">
        <v>150</v>
      </c>
      <c r="C11485" t="s">
        <v>265</v>
      </c>
      <c r="D11485" t="s">
        <v>394</v>
      </c>
      <c r="F11485">
        <f>HYPERLINK("https://www.wikidata.org/wiki/Q67945020", "Q67945020")</f>
        <v>0</v>
      </c>
      <c r="G11485" t="s">
        <v>4236</v>
      </c>
      <c r="H11485" t="s">
        <v>8413</v>
      </c>
      <c r="I11485" t="s">
        <v>9437</v>
      </c>
      <c r="J11485" t="s">
        <v>14743</v>
      </c>
      <c r="K11485" t="s">
        <v>19088</v>
      </c>
      <c r="M11485">
        <f>HYPERLINK("https://www.senat.fr/senateur-3eme-republique/combes_emile0416r3.html", "combes_emile0416r3")</f>
        <v>0</v>
      </c>
      <c r="N11485">
        <f>HYPERLINK("https://www.wikidata.org/wiki/Q275020", "Q275020")</f>
        <v>0</v>
      </c>
      <c r="O11485" t="s">
        <v>20037</v>
      </c>
      <c r="Q11485" t="s">
        <v>394</v>
      </c>
      <c r="R11485" t="s">
        <v>21675</v>
      </c>
      <c r="S11485">
        <v>3282</v>
      </c>
    </row>
    <row r="11486" spans="1:19">
      <c r="A11486" t="s">
        <v>133</v>
      </c>
      <c r="B11486" t="s">
        <v>150</v>
      </c>
      <c r="C11486" t="s">
        <v>265</v>
      </c>
      <c r="D11486" t="s">
        <v>394</v>
      </c>
      <c r="F11486">
        <f>HYPERLINK("https://www.wikidata.org/wiki/Q67945020", "Q67945020")</f>
        <v>0</v>
      </c>
      <c r="G11486" t="s">
        <v>4669</v>
      </c>
      <c r="H11486" t="s">
        <v>8810</v>
      </c>
      <c r="I11486" t="s">
        <v>7763</v>
      </c>
      <c r="J11486" t="s">
        <v>15140</v>
      </c>
      <c r="K11486" t="s">
        <v>19460</v>
      </c>
      <c r="M11486">
        <f>HYPERLINK("https://www.senat.fr/senateur-3eme-republique/peaudecerf_valentin0434r3.html", "peaudecerf_valentin0434r3")</f>
        <v>0</v>
      </c>
      <c r="N11486">
        <f>HYPERLINK("https://www.wikidata.org/wiki/Q3553599", "Q3553599")</f>
        <v>0</v>
      </c>
      <c r="O11486" t="s">
        <v>19996</v>
      </c>
      <c r="Q11486" t="s">
        <v>394</v>
      </c>
      <c r="R11486" t="s">
        <v>21650</v>
      </c>
      <c r="S11486">
        <v>18914</v>
      </c>
    </row>
    <row r="11487" spans="1:19">
      <c r="A11487" t="s">
        <v>133</v>
      </c>
      <c r="B11487" t="s">
        <v>150</v>
      </c>
      <c r="C11487" t="s">
        <v>265</v>
      </c>
      <c r="D11487" t="s">
        <v>394</v>
      </c>
      <c r="F11487">
        <f>HYPERLINK("https://www.wikidata.org/wiki/Q67945020", "Q67945020")</f>
        <v>0</v>
      </c>
      <c r="G11487" t="s">
        <v>4706</v>
      </c>
      <c r="H11487" t="s">
        <v>8847</v>
      </c>
      <c r="I11487" t="s">
        <v>6495</v>
      </c>
      <c r="J11487" t="s">
        <v>15174</v>
      </c>
      <c r="K11487" t="s">
        <v>19494</v>
      </c>
      <c r="M11487">
        <f>HYPERLINK("https://www.senat.fr/senateur-3eme-republique/pauliat_louis0443r3.html", "pauliat_louis0443r3")</f>
        <v>0</v>
      </c>
      <c r="N11487">
        <f>HYPERLINK("https://www.wikidata.org/wiki/Q3262853", "Q3262853")</f>
        <v>0</v>
      </c>
      <c r="O11487" t="s">
        <v>19996</v>
      </c>
      <c r="Q11487" t="s">
        <v>394</v>
      </c>
      <c r="R11487" t="s">
        <v>21675</v>
      </c>
      <c r="S11487">
        <v>3282</v>
      </c>
    </row>
    <row r="11488" spans="1:19">
      <c r="A11488" t="s">
        <v>133</v>
      </c>
      <c r="B11488" t="s">
        <v>150</v>
      </c>
      <c r="C11488" t="s">
        <v>265</v>
      </c>
      <c r="D11488" t="s">
        <v>394</v>
      </c>
      <c r="F11488">
        <f>HYPERLINK("https://www.wikidata.org/wiki/Q67945020", "Q67945020")</f>
        <v>0</v>
      </c>
      <c r="G11488" t="s">
        <v>4697</v>
      </c>
      <c r="H11488" t="s">
        <v>8837</v>
      </c>
      <c r="I11488" t="s">
        <v>11216</v>
      </c>
      <c r="J11488" t="s">
        <v>15166</v>
      </c>
      <c r="K11488" t="s">
        <v>19485</v>
      </c>
      <c r="M11488">
        <f>HYPERLINK("https://www.senat.fr/senateur-3eme-republique/chaver_biere_leonce0466r3.html", "chaver_biere_leonce0466r3")</f>
        <v>0</v>
      </c>
      <c r="N11488">
        <f>HYPERLINK("https://www.wikidata.org/wiki/Q3271636", "Q3271636")</f>
        <v>0</v>
      </c>
      <c r="O11488" t="s">
        <v>20020</v>
      </c>
      <c r="Q11488" t="s">
        <v>394</v>
      </c>
      <c r="R11488" t="s">
        <v>21675</v>
      </c>
      <c r="S11488">
        <v>3282</v>
      </c>
    </row>
    <row r="11489" spans="1:19">
      <c r="A11489" t="s">
        <v>133</v>
      </c>
      <c r="B11489" t="s">
        <v>150</v>
      </c>
      <c r="C11489" t="s">
        <v>265</v>
      </c>
      <c r="D11489" t="s">
        <v>394</v>
      </c>
      <c r="F11489">
        <f>HYPERLINK("https://www.wikidata.org/wiki/Q67945020", "Q67945020")</f>
        <v>0</v>
      </c>
      <c r="G11489" t="s">
        <v>4787</v>
      </c>
      <c r="H11489" t="s">
        <v>8930</v>
      </c>
      <c r="I11489" t="s">
        <v>6166</v>
      </c>
      <c r="J11489" t="s">
        <v>15248</v>
      </c>
      <c r="K11489" t="s">
        <v>17949</v>
      </c>
      <c r="M11489">
        <f>HYPERLINK("https://www.senat.fr/senateur-3eme-republique/pitti_ferrandi_francois0477r3.html", "pitti_ferrandi_francois0477r3")</f>
        <v>0</v>
      </c>
      <c r="N11489">
        <f>HYPERLINK("https://www.wikidata.org/wiki/Q3085581", "Q3085581")</f>
        <v>0</v>
      </c>
      <c r="O11489" t="s">
        <v>19955</v>
      </c>
      <c r="Q11489" t="s">
        <v>394</v>
      </c>
      <c r="R11489" t="s">
        <v>17949</v>
      </c>
      <c r="S11489">
        <v>19</v>
      </c>
    </row>
    <row r="11490" spans="1:19">
      <c r="A11490" t="s">
        <v>133</v>
      </c>
      <c r="B11490" t="s">
        <v>150</v>
      </c>
      <c r="C11490" t="s">
        <v>265</v>
      </c>
      <c r="D11490" t="s">
        <v>394</v>
      </c>
      <c r="F11490">
        <f>HYPERLINK("https://www.wikidata.org/wiki/Q67945020", "Q67945020")</f>
        <v>0</v>
      </c>
      <c r="G11490" t="s">
        <v>4788</v>
      </c>
      <c r="H11490" t="s">
        <v>8931</v>
      </c>
      <c r="I11490" t="s">
        <v>5812</v>
      </c>
      <c r="J11490" t="s">
        <v>15249</v>
      </c>
      <c r="K11490" t="s">
        <v>19321</v>
      </c>
      <c r="M11490">
        <f>HYPERLINK("https://www.senat.fr/senateur-3eme-republique/farinole_vincent0488r3.html", "farinole_vincent0488r3")</f>
        <v>0</v>
      </c>
      <c r="N11490">
        <f>HYPERLINK("https://www.wikidata.org/wiki/Q3559439", "Q3559439")</f>
        <v>0</v>
      </c>
      <c r="O11490" t="s">
        <v>19955</v>
      </c>
      <c r="Q11490" t="s">
        <v>394</v>
      </c>
      <c r="R11490" t="s">
        <v>21675</v>
      </c>
      <c r="S11490">
        <v>3282</v>
      </c>
    </row>
    <row r="11491" spans="1:19">
      <c r="A11491" t="s">
        <v>133</v>
      </c>
      <c r="B11491" t="s">
        <v>150</v>
      </c>
      <c r="C11491" t="s">
        <v>265</v>
      </c>
      <c r="D11491" t="s">
        <v>394</v>
      </c>
      <c r="F11491">
        <f>HYPERLINK("https://www.wikidata.org/wiki/Q67945020", "Q67945020")</f>
        <v>0</v>
      </c>
      <c r="G11491" t="s">
        <v>4670</v>
      </c>
      <c r="H11491" t="s">
        <v>8811</v>
      </c>
      <c r="I11491" t="s">
        <v>9388</v>
      </c>
      <c r="J11491" t="s">
        <v>15141</v>
      </c>
      <c r="K11491" t="s">
        <v>19461</v>
      </c>
      <c r="M11491">
        <f>HYPERLINK("https://www.senat.fr/senateur-3eme-republique/casabianca_de_paul1854r3.html", "casabianca_de_paul1854r3")</f>
        <v>0</v>
      </c>
      <c r="N11491">
        <f>HYPERLINK("https://www.wikidata.org/wiki/Q3372460", "Q3372460")</f>
        <v>0</v>
      </c>
      <c r="O11491" t="s">
        <v>19955</v>
      </c>
      <c r="Q11491" t="s">
        <v>394</v>
      </c>
      <c r="R11491" t="s">
        <v>21650</v>
      </c>
      <c r="S11491">
        <v>18914</v>
      </c>
    </row>
    <row r="11492" spans="1:19">
      <c r="A11492" t="s">
        <v>133</v>
      </c>
      <c r="B11492" t="s">
        <v>150</v>
      </c>
      <c r="C11492" t="s">
        <v>265</v>
      </c>
      <c r="D11492" t="s">
        <v>394</v>
      </c>
      <c r="F11492">
        <f>HYPERLINK("https://www.wikidata.org/wiki/Q67945020", "Q67945020")</f>
        <v>0</v>
      </c>
      <c r="G11492" t="s">
        <v>4671</v>
      </c>
      <c r="H11492" t="s">
        <v>8812</v>
      </c>
      <c r="I11492" t="s">
        <v>7006</v>
      </c>
      <c r="J11492" t="s">
        <v>15142</v>
      </c>
      <c r="K11492" t="s">
        <v>19462</v>
      </c>
      <c r="M11492">
        <f>HYPERLINK("https://www.senat.fr/senateur-3eme-republique/de_l_angle_beaumanoir_tristan0583r3.html", "de_l_angle_beaumanoir_tristan0583r3")</f>
        <v>0</v>
      </c>
      <c r="N11492">
        <f>HYPERLINK("https://www.wikidata.org/wiki/Q3539657", "Q3539657")</f>
        <v>0</v>
      </c>
      <c r="O11492" t="s">
        <v>19964</v>
      </c>
      <c r="Q11492" t="s">
        <v>394</v>
      </c>
      <c r="R11492" t="s">
        <v>19462</v>
      </c>
      <c r="S11492">
        <v>698</v>
      </c>
    </row>
    <row r="11493" spans="1:19">
      <c r="A11493" t="s">
        <v>133</v>
      </c>
      <c r="B11493" t="s">
        <v>150</v>
      </c>
      <c r="C11493" t="s">
        <v>265</v>
      </c>
      <c r="D11493" t="s">
        <v>394</v>
      </c>
      <c r="F11493">
        <f>HYPERLINK("https://www.wikidata.org/wiki/Q67945020", "Q67945020")</f>
        <v>0</v>
      </c>
      <c r="G11493" t="s">
        <v>4698</v>
      </c>
      <c r="H11493" t="s">
        <v>8838</v>
      </c>
      <c r="I11493" t="s">
        <v>9385</v>
      </c>
      <c r="J11493" t="s">
        <v>15167</v>
      </c>
      <c r="K11493" t="s">
        <v>19486</v>
      </c>
      <c r="M11493">
        <f>HYPERLINK("https://www.senat.fr/senateur-3eme-republique/huon_de_penanster_charles0571r3.html", "huon_de_penanster_charles0571r3")</f>
        <v>0</v>
      </c>
      <c r="N11493">
        <f>HYPERLINK("https://www.wikidata.org/wiki/Q2959385", "Q2959385")</f>
        <v>0</v>
      </c>
      <c r="O11493" t="s">
        <v>19964</v>
      </c>
      <c r="Q11493" t="s">
        <v>394</v>
      </c>
      <c r="R11493" t="s">
        <v>21650</v>
      </c>
      <c r="S11493">
        <v>18914</v>
      </c>
    </row>
    <row r="11494" spans="1:19">
      <c r="A11494" t="s">
        <v>133</v>
      </c>
      <c r="B11494" t="s">
        <v>150</v>
      </c>
      <c r="C11494" t="s">
        <v>265</v>
      </c>
      <c r="D11494" t="s">
        <v>394</v>
      </c>
      <c r="F11494">
        <f>HYPERLINK("https://www.wikidata.org/wiki/Q67945020", "Q67945020")</f>
        <v>0</v>
      </c>
      <c r="G11494" t="s">
        <v>4614</v>
      </c>
      <c r="H11494" t="s">
        <v>8757</v>
      </c>
      <c r="I11494" t="s">
        <v>9457</v>
      </c>
      <c r="J11494" t="s">
        <v>15090</v>
      </c>
      <c r="K11494" t="s">
        <v>19412</v>
      </c>
      <c r="M11494">
        <f>HYPERLINK("https://www.senat.fr/senateur-3eme-republique/de_carne_henri0565r3.html", "de_carne_henri0565r3")</f>
        <v>0</v>
      </c>
      <c r="N11494">
        <f>HYPERLINK("https://www.wikidata.org/wiki/Q3132234", "Q3132234")</f>
        <v>0</v>
      </c>
      <c r="O11494" t="s">
        <v>19964</v>
      </c>
      <c r="Q11494" t="s">
        <v>394</v>
      </c>
      <c r="R11494" t="s">
        <v>21675</v>
      </c>
      <c r="S11494">
        <v>3282</v>
      </c>
    </row>
    <row r="11495" spans="1:19">
      <c r="A11495" t="s">
        <v>133</v>
      </c>
      <c r="B11495" t="s">
        <v>150</v>
      </c>
      <c r="C11495" t="s">
        <v>265</v>
      </c>
      <c r="D11495" t="s">
        <v>394</v>
      </c>
      <c r="F11495">
        <f>HYPERLINK("https://www.wikidata.org/wiki/Q67945020", "Q67945020")</f>
        <v>0</v>
      </c>
      <c r="G11495" t="s">
        <v>4779</v>
      </c>
      <c r="H11495" t="s">
        <v>8922</v>
      </c>
      <c r="I11495" t="s">
        <v>9385</v>
      </c>
      <c r="J11495" t="s">
        <v>15241</v>
      </c>
      <c r="K11495" t="s">
        <v>19553</v>
      </c>
      <c r="M11495">
        <f>HYPERLINK("https://www.senat.fr/senateur-3eme-republique/haugoumar_des_portes_charles0576r3.html", "haugoumar_des_portes_charles0576r3")</f>
        <v>0</v>
      </c>
      <c r="N11495">
        <f>HYPERLINK("https://www.wikidata.org/wiki/Q2959323", "Q2959323")</f>
        <v>0</v>
      </c>
      <c r="O11495" t="s">
        <v>19964</v>
      </c>
      <c r="Q11495" t="s">
        <v>394</v>
      </c>
      <c r="R11495" t="s">
        <v>21675</v>
      </c>
      <c r="S11495">
        <v>3282</v>
      </c>
    </row>
    <row r="11496" spans="1:19">
      <c r="A11496" t="s">
        <v>133</v>
      </c>
      <c r="B11496" t="s">
        <v>150</v>
      </c>
      <c r="C11496" t="s">
        <v>265</v>
      </c>
      <c r="D11496" t="s">
        <v>394</v>
      </c>
      <c r="F11496">
        <f>HYPERLINK("https://www.wikidata.org/wiki/Q67945020", "Q67945020")</f>
        <v>0</v>
      </c>
      <c r="G11496" t="s">
        <v>4731</v>
      </c>
      <c r="H11496" t="s">
        <v>8873</v>
      </c>
      <c r="I11496" t="s">
        <v>6860</v>
      </c>
      <c r="J11496" t="s">
        <v>15195</v>
      </c>
      <c r="K11496" t="s">
        <v>19515</v>
      </c>
      <c r="M11496">
        <f>HYPERLINK("https://www.senat.fr/senateur-3eme-republique/lecler_pierre0631r3.html", "lecler_pierre0631r3")</f>
        <v>0</v>
      </c>
      <c r="N11496">
        <f>HYPERLINK("https://www.wikidata.org/wiki/Q3385886", "Q3385886")</f>
        <v>0</v>
      </c>
      <c r="O11496" t="s">
        <v>19979</v>
      </c>
      <c r="Q11496" t="s">
        <v>394</v>
      </c>
      <c r="R11496" t="s">
        <v>21650</v>
      </c>
      <c r="S11496">
        <v>18914</v>
      </c>
    </row>
    <row r="11497" spans="1:19">
      <c r="A11497" t="s">
        <v>133</v>
      </c>
      <c r="B11497" t="s">
        <v>150</v>
      </c>
      <c r="C11497" t="s">
        <v>265</v>
      </c>
      <c r="D11497" t="s">
        <v>394</v>
      </c>
      <c r="F11497">
        <f>HYPERLINK("https://www.wikidata.org/wiki/Q67945020", "Q67945020")</f>
        <v>0</v>
      </c>
      <c r="G11497" t="s">
        <v>4789</v>
      </c>
      <c r="H11497" t="s">
        <v>8932</v>
      </c>
      <c r="I11497" t="s">
        <v>9376</v>
      </c>
      <c r="J11497" t="s">
        <v>15250</v>
      </c>
      <c r="K11497" t="s">
        <v>19559</v>
      </c>
      <c r="M11497">
        <f>HYPERLINK("https://www.senat.fr/senateur-3eme-republique/villard_ferdinand0618r3.html", "villard_ferdinand0618r3")</f>
        <v>0</v>
      </c>
      <c r="N11497">
        <f>HYPERLINK("https://www.wikidata.org/wiki/Q3068662", "Q3068662")</f>
        <v>0</v>
      </c>
      <c r="O11497" t="s">
        <v>19979</v>
      </c>
      <c r="Q11497" t="s">
        <v>394</v>
      </c>
      <c r="R11497" t="s">
        <v>21675</v>
      </c>
      <c r="S11497">
        <v>3282</v>
      </c>
    </row>
    <row r="11498" spans="1:19">
      <c r="A11498" t="s">
        <v>133</v>
      </c>
      <c r="B11498" t="s">
        <v>150</v>
      </c>
      <c r="C11498" t="s">
        <v>265</v>
      </c>
      <c r="D11498" t="s">
        <v>394</v>
      </c>
      <c r="F11498">
        <f>HYPERLINK("https://www.wikidata.org/wiki/Q67945020", "Q67945020")</f>
        <v>0</v>
      </c>
      <c r="G11498" t="s">
        <v>4790</v>
      </c>
      <c r="H11498" t="s">
        <v>8933</v>
      </c>
      <c r="I11498" t="s">
        <v>9474</v>
      </c>
      <c r="J11498" t="s">
        <v>15251</v>
      </c>
      <c r="K11498" t="s">
        <v>19560</v>
      </c>
      <c r="M11498">
        <f>HYPERLINK("https://www.senat.fr/senateur-3eme-republique/dufoussat_jean_baptiste0624r3.html", "dufoussat_jean_baptiste0624r3")</f>
        <v>0</v>
      </c>
      <c r="N11498">
        <f>HYPERLINK("https://www.wikidata.org/wiki/Q3164042", "Q3164042")</f>
        <v>0</v>
      </c>
      <c r="O11498" t="s">
        <v>19979</v>
      </c>
      <c r="Q11498" t="s">
        <v>394</v>
      </c>
      <c r="R11498" t="s">
        <v>21675</v>
      </c>
      <c r="S11498">
        <v>3282</v>
      </c>
    </row>
    <row r="11499" spans="1:19">
      <c r="A11499" t="s">
        <v>133</v>
      </c>
      <c r="B11499" t="s">
        <v>150</v>
      </c>
      <c r="C11499" t="s">
        <v>265</v>
      </c>
      <c r="D11499" t="s">
        <v>394</v>
      </c>
      <c r="F11499">
        <f>HYPERLINK("https://www.wikidata.org/wiki/Q67945020", "Q67945020")</f>
        <v>0</v>
      </c>
      <c r="G11499" t="s">
        <v>2806</v>
      </c>
      <c r="H11499" t="s">
        <v>8813</v>
      </c>
      <c r="I11499" t="s">
        <v>6200</v>
      </c>
      <c r="J11499" t="s">
        <v>13446</v>
      </c>
      <c r="K11499" t="s">
        <v>17839</v>
      </c>
      <c r="M11499">
        <f>HYPERLINK("https://www.senat.fr/senateur-3eme-republique/roger_jean0655r3.html", "roger_jean0655r3")</f>
        <v>0</v>
      </c>
      <c r="N11499">
        <f>HYPERLINK("https://www.wikidata.org/wiki/Q3174388", "Q3174388")</f>
        <v>0</v>
      </c>
      <c r="O11499" t="s">
        <v>20010</v>
      </c>
      <c r="Q11499" t="s">
        <v>394</v>
      </c>
      <c r="R11499" t="s">
        <v>21650</v>
      </c>
      <c r="S11499">
        <v>18914</v>
      </c>
    </row>
    <row r="11500" spans="1:19">
      <c r="A11500" t="s">
        <v>133</v>
      </c>
      <c r="B11500" t="s">
        <v>150</v>
      </c>
      <c r="C11500" t="s">
        <v>265</v>
      </c>
      <c r="D11500" t="s">
        <v>394</v>
      </c>
      <c r="F11500">
        <f>HYPERLINK("https://www.wikidata.org/wiki/Q67945020", "Q67945020")</f>
        <v>0</v>
      </c>
      <c r="G11500" t="s">
        <v>4441</v>
      </c>
      <c r="H11500" t="s">
        <v>8588</v>
      </c>
      <c r="I11500" t="s">
        <v>9553</v>
      </c>
      <c r="J11500" t="s">
        <v>14931</v>
      </c>
      <c r="K11500" t="s">
        <v>19263</v>
      </c>
      <c r="M11500">
        <f>HYPERLINK("https://www.senat.fr/senateur-3eme-republique/oudet_alexandre0681r3.html", "oudet_alexandre0681r3")</f>
        <v>0</v>
      </c>
      <c r="N11500">
        <f>HYPERLINK("https://www.wikidata.org/wiki/Q3121281", "Q3121281")</f>
        <v>0</v>
      </c>
      <c r="O11500" t="s">
        <v>19973</v>
      </c>
      <c r="Q11500" t="s">
        <v>394</v>
      </c>
      <c r="R11500" t="s">
        <v>21650</v>
      </c>
      <c r="S11500">
        <v>18914</v>
      </c>
    </row>
    <row r="11501" spans="1:19">
      <c r="A11501" t="s">
        <v>133</v>
      </c>
      <c r="B11501" t="s">
        <v>150</v>
      </c>
      <c r="C11501" t="s">
        <v>265</v>
      </c>
      <c r="D11501" t="s">
        <v>394</v>
      </c>
      <c r="F11501">
        <f>HYPERLINK("https://www.wikidata.org/wiki/Q67945020", "Q67945020")</f>
        <v>0</v>
      </c>
      <c r="G11501" t="s">
        <v>4777</v>
      </c>
      <c r="H11501" t="s">
        <v>8920</v>
      </c>
      <c r="I11501" t="s">
        <v>9388</v>
      </c>
      <c r="J11501" t="s">
        <v>15239</v>
      </c>
      <c r="K11501" t="s">
        <v>19551</v>
      </c>
      <c r="M11501">
        <f>HYPERLINK("https://www.senat.fr/senateur-3eme-republique/laurens_paul0728r3.html", "laurens_paul0728r3")</f>
        <v>0</v>
      </c>
      <c r="N11501">
        <f>HYPERLINK("https://www.wikidata.org/wiki/Q3371641", "Q3371641")</f>
        <v>0</v>
      </c>
      <c r="O11501" t="s">
        <v>20044</v>
      </c>
      <c r="Q11501" t="s">
        <v>394</v>
      </c>
      <c r="R11501" t="s">
        <v>21650</v>
      </c>
      <c r="S11501">
        <v>18914</v>
      </c>
    </row>
    <row r="11502" spans="1:19">
      <c r="A11502" t="s">
        <v>133</v>
      </c>
      <c r="B11502" t="s">
        <v>150</v>
      </c>
      <c r="C11502" t="s">
        <v>265</v>
      </c>
      <c r="D11502" t="s">
        <v>394</v>
      </c>
      <c r="F11502">
        <f>HYPERLINK("https://www.wikidata.org/wiki/Q67945020", "Q67945020")</f>
        <v>0</v>
      </c>
      <c r="G11502" t="s">
        <v>4672</v>
      </c>
      <c r="H11502" t="s">
        <v>8814</v>
      </c>
      <c r="I11502" t="s">
        <v>9407</v>
      </c>
      <c r="J11502" t="s">
        <v>15143</v>
      </c>
      <c r="K11502" t="s">
        <v>19463</v>
      </c>
      <c r="M11502">
        <f>HYPERLINK("https://www.senat.fr/senateur-3eme-republique/fayard_joseph0721r3.html", "fayard_joseph0721r3")</f>
        <v>0</v>
      </c>
      <c r="N11502">
        <f>HYPERLINK("https://www.wikidata.org/wiki/Q3184937", "Q3184937")</f>
        <v>0</v>
      </c>
      <c r="O11502" t="s">
        <v>20044</v>
      </c>
      <c r="Q11502" t="s">
        <v>394</v>
      </c>
      <c r="R11502" t="s">
        <v>21675</v>
      </c>
      <c r="S11502">
        <v>3282</v>
      </c>
    </row>
    <row r="11503" spans="1:19">
      <c r="A11503" t="s">
        <v>133</v>
      </c>
      <c r="B11503" t="s">
        <v>150</v>
      </c>
      <c r="C11503" t="s">
        <v>265</v>
      </c>
      <c r="D11503" t="s">
        <v>394</v>
      </c>
      <c r="F11503">
        <f>HYPERLINK("https://www.wikidata.org/wiki/Q67945020", "Q67945020")</f>
        <v>0</v>
      </c>
      <c r="G11503" t="s">
        <v>4756</v>
      </c>
      <c r="H11503" t="s">
        <v>8899</v>
      </c>
      <c r="I11503" t="s">
        <v>9503</v>
      </c>
      <c r="J11503" t="s">
        <v>15219</v>
      </c>
      <c r="K11503" t="s">
        <v>17948</v>
      </c>
      <c r="M11503">
        <f>HYPERLINK("https://www.senat.fr/senateur-3eme-republique/guindey_anatole0737r3.html", "guindey_anatole0737r3")</f>
        <v>0</v>
      </c>
      <c r="N11503">
        <f>HYPERLINK("https://www.wikidata.org/wiki/Q2845581", "Q2845581")</f>
        <v>0</v>
      </c>
      <c r="O11503" t="s">
        <v>19992</v>
      </c>
      <c r="Q11503" t="s">
        <v>394</v>
      </c>
      <c r="R11503" t="s">
        <v>21650</v>
      </c>
      <c r="S11503">
        <v>18914</v>
      </c>
    </row>
    <row r="11504" spans="1:19">
      <c r="A11504" t="s">
        <v>133</v>
      </c>
      <c r="B11504" t="s">
        <v>150</v>
      </c>
      <c r="C11504" t="s">
        <v>265</v>
      </c>
      <c r="D11504" t="s">
        <v>394</v>
      </c>
      <c r="F11504">
        <f>HYPERLINK("https://www.wikidata.org/wiki/Q67945020", "Q67945020")</f>
        <v>0</v>
      </c>
      <c r="G11504" t="s">
        <v>4446</v>
      </c>
      <c r="H11504" t="s">
        <v>8593</v>
      </c>
      <c r="I11504" t="s">
        <v>9389</v>
      </c>
      <c r="J11504" t="s">
        <v>14936</v>
      </c>
      <c r="K11504" t="s">
        <v>19267</v>
      </c>
      <c r="M11504">
        <f>HYPERLINK("https://www.senat.fr/senateur-3eme-republique/labiche_emile0771r3.html", "labiche_emile0771r3")</f>
        <v>0</v>
      </c>
      <c r="N11504">
        <f>HYPERLINK("https://www.wikidata.org/wiki/Q3588592", "Q3588592")</f>
        <v>0</v>
      </c>
      <c r="O11504" t="s">
        <v>19971</v>
      </c>
      <c r="Q11504" t="s">
        <v>394</v>
      </c>
      <c r="R11504" t="s">
        <v>21675</v>
      </c>
      <c r="S11504">
        <v>3282</v>
      </c>
    </row>
    <row r="11505" spans="1:19">
      <c r="A11505" t="s">
        <v>133</v>
      </c>
      <c r="B11505" t="s">
        <v>150</v>
      </c>
      <c r="C11505" t="s">
        <v>265</v>
      </c>
      <c r="D11505" t="s">
        <v>394</v>
      </c>
      <c r="F11505">
        <f>HYPERLINK("https://www.wikidata.org/wiki/Q67945020", "Q67945020")</f>
        <v>0</v>
      </c>
      <c r="G11505" t="s">
        <v>4728</v>
      </c>
      <c r="H11505" t="s">
        <v>8870</v>
      </c>
      <c r="I11505" t="s">
        <v>6495</v>
      </c>
      <c r="J11505" t="s">
        <v>15192</v>
      </c>
      <c r="K11505" t="s">
        <v>19512</v>
      </c>
      <c r="M11505">
        <f>HYPERLINK("https://www.senat.fr/senateur-3eme-republique/vinet_louis0767r3.html", "vinet_louis0767r3")</f>
        <v>0</v>
      </c>
      <c r="N11505">
        <f>HYPERLINK("https://www.wikidata.org/wiki/Q3263292", "Q3263292")</f>
        <v>0</v>
      </c>
      <c r="O11505" t="s">
        <v>19971</v>
      </c>
      <c r="Q11505" t="s">
        <v>394</v>
      </c>
      <c r="R11505" t="s">
        <v>21675</v>
      </c>
      <c r="S11505">
        <v>3282</v>
      </c>
    </row>
    <row r="11506" spans="1:19">
      <c r="A11506" t="s">
        <v>133</v>
      </c>
      <c r="B11506" t="s">
        <v>150</v>
      </c>
      <c r="C11506" t="s">
        <v>265</v>
      </c>
      <c r="D11506" t="s">
        <v>394</v>
      </c>
      <c r="F11506">
        <f>HYPERLINK("https://www.wikidata.org/wiki/Q67945020", "Q67945020")</f>
        <v>0</v>
      </c>
      <c r="G11506" t="s">
        <v>4791</v>
      </c>
      <c r="H11506" t="s">
        <v>8934</v>
      </c>
      <c r="I11506" t="s">
        <v>6860</v>
      </c>
      <c r="J11506" t="s">
        <v>15252</v>
      </c>
      <c r="K11506" t="s">
        <v>19561</v>
      </c>
      <c r="M11506">
        <f>HYPERLINK("https://www.senat.fr/senateur-3eme-republique/drouillard_pierre0805r3.html", "drouillard_pierre0805r3")</f>
        <v>0</v>
      </c>
      <c r="N11506">
        <f>HYPERLINK("https://www.wikidata.org/wiki/Q3384804", "Q3384804")</f>
        <v>0</v>
      </c>
      <c r="O11506" t="s">
        <v>20011</v>
      </c>
      <c r="Q11506" t="s">
        <v>394</v>
      </c>
      <c r="R11506" t="s">
        <v>19561</v>
      </c>
      <c r="S11506">
        <v>550</v>
      </c>
    </row>
    <row r="11507" spans="1:19">
      <c r="A11507" t="s">
        <v>133</v>
      </c>
      <c r="B11507" t="s">
        <v>150</v>
      </c>
      <c r="C11507" t="s">
        <v>265</v>
      </c>
      <c r="D11507" t="s">
        <v>394</v>
      </c>
      <c r="F11507">
        <f>HYPERLINK("https://www.wikidata.org/wiki/Q67945020", "Q67945020")</f>
        <v>0</v>
      </c>
      <c r="G11507" t="s">
        <v>4792</v>
      </c>
      <c r="H11507" t="s">
        <v>8935</v>
      </c>
      <c r="I11507" t="s">
        <v>11224</v>
      </c>
      <c r="J11507" t="s">
        <v>15253</v>
      </c>
      <c r="K11507" t="s">
        <v>19562</v>
      </c>
      <c r="M11507">
        <f>HYPERLINK("https://www.senat.fr/senateur-3eme-republique/halleguen_corentin0790r3.html", "halleguen_corentin0790r3")</f>
        <v>0</v>
      </c>
      <c r="N11507">
        <f>HYPERLINK("https://www.wikidata.org/wiki/Q2997241", "Q2997241")</f>
        <v>0</v>
      </c>
      <c r="O11507" t="s">
        <v>20011</v>
      </c>
      <c r="Q11507" t="s">
        <v>394</v>
      </c>
      <c r="R11507" t="s">
        <v>19562</v>
      </c>
      <c r="S11507">
        <v>2009</v>
      </c>
    </row>
    <row r="11508" spans="1:19">
      <c r="A11508" t="s">
        <v>133</v>
      </c>
      <c r="B11508" t="s">
        <v>150</v>
      </c>
      <c r="C11508" t="s">
        <v>265</v>
      </c>
      <c r="D11508" t="s">
        <v>394</v>
      </c>
      <c r="F11508">
        <f>HYPERLINK("https://www.wikidata.org/wiki/Q67945020", "Q67945020")</f>
        <v>0</v>
      </c>
      <c r="G11508" t="s">
        <v>4793</v>
      </c>
      <c r="H11508" t="s">
        <v>8936</v>
      </c>
      <c r="I11508" t="s">
        <v>10389</v>
      </c>
      <c r="J11508" t="s">
        <v>15254</v>
      </c>
      <c r="K11508" t="s">
        <v>19563</v>
      </c>
      <c r="M11508">
        <f>HYPERLINK("https://www.senat.fr/senateur-3eme-republique/savary_alexis0797r3.html", "savary_alexis0797r3")</f>
        <v>0</v>
      </c>
      <c r="N11508">
        <f>HYPERLINK("https://www.wikidata.org/wiki/Q2834648", "Q2834648")</f>
        <v>0</v>
      </c>
      <c r="O11508" t="s">
        <v>20011</v>
      </c>
      <c r="Q11508" t="s">
        <v>394</v>
      </c>
      <c r="R11508" t="s">
        <v>19563</v>
      </c>
      <c r="S11508">
        <v>2107</v>
      </c>
    </row>
    <row r="11509" spans="1:19">
      <c r="A11509" t="s">
        <v>133</v>
      </c>
      <c r="B11509" t="s">
        <v>150</v>
      </c>
      <c r="C11509" t="s">
        <v>265</v>
      </c>
      <c r="D11509" t="s">
        <v>394</v>
      </c>
      <c r="F11509">
        <f>HYPERLINK("https://www.wikidata.org/wiki/Q67945020", "Q67945020")</f>
        <v>0</v>
      </c>
      <c r="G11509" t="s">
        <v>4737</v>
      </c>
      <c r="H11509" t="s">
        <v>8879</v>
      </c>
      <c r="I11509" t="s">
        <v>9407</v>
      </c>
      <c r="J11509" t="s">
        <v>15200</v>
      </c>
      <c r="K11509" t="s">
        <v>19518</v>
      </c>
      <c r="M11509">
        <f>HYPERLINK("https://www.senat.fr/senateur-3eme-republique/astor_joseph0814r3.html", "astor_joseph0814r3")</f>
        <v>0</v>
      </c>
      <c r="N11509">
        <f>HYPERLINK("https://www.wikidata.org/wiki/Q3184539", "Q3184539")</f>
        <v>0</v>
      </c>
      <c r="O11509" t="s">
        <v>20011</v>
      </c>
      <c r="Q11509" t="s">
        <v>394</v>
      </c>
      <c r="R11509" t="s">
        <v>21650</v>
      </c>
      <c r="S11509">
        <v>18914</v>
      </c>
    </row>
    <row r="11510" spans="1:19">
      <c r="A11510" t="s">
        <v>133</v>
      </c>
      <c r="B11510" t="s">
        <v>150</v>
      </c>
      <c r="C11510" t="s">
        <v>265</v>
      </c>
      <c r="D11510" t="s">
        <v>394</v>
      </c>
      <c r="F11510">
        <f>HYPERLINK("https://www.wikidata.org/wiki/Q67945020", "Q67945020")</f>
        <v>0</v>
      </c>
      <c r="G11510" t="s">
        <v>4778</v>
      </c>
      <c r="H11510" t="s">
        <v>8921</v>
      </c>
      <c r="I11510" t="s">
        <v>6495</v>
      </c>
      <c r="J11510" t="s">
        <v>15240</v>
      </c>
      <c r="K11510" t="s">
        <v>19552</v>
      </c>
      <c r="M11510">
        <f>HYPERLINK("https://www.senat.fr/senateur-3eme-republique/delobeau_louis0784r3.html", "delobeau_louis0784r3")</f>
        <v>0</v>
      </c>
      <c r="N11510">
        <f>HYPERLINK("https://www.wikidata.org/wiki/Q3261689", "Q3261689")</f>
        <v>0</v>
      </c>
      <c r="O11510" t="s">
        <v>20011</v>
      </c>
      <c r="Q11510" t="s">
        <v>394</v>
      </c>
      <c r="R11510" t="s">
        <v>21675</v>
      </c>
      <c r="S11510">
        <v>3282</v>
      </c>
    </row>
    <row r="11511" spans="1:19">
      <c r="A11511" t="s">
        <v>133</v>
      </c>
      <c r="B11511" t="s">
        <v>150</v>
      </c>
      <c r="C11511" t="s">
        <v>265</v>
      </c>
      <c r="D11511" t="s">
        <v>394</v>
      </c>
      <c r="F11511">
        <f>HYPERLINK("https://www.wikidata.org/wiki/Q67945020", "Q67945020")</f>
        <v>0</v>
      </c>
      <c r="G11511" t="s">
        <v>4462</v>
      </c>
      <c r="H11511" t="s">
        <v>8609</v>
      </c>
      <c r="I11511" t="s">
        <v>9868</v>
      </c>
      <c r="J11511" t="s">
        <v>14950</v>
      </c>
      <c r="K11511" t="s">
        <v>19278</v>
      </c>
      <c r="M11511">
        <f>HYPERLINK("https://www.senat.fr/senateur-3eme-republique/blanc_xavier0082r3.html", "blanc_xavier0082r3")</f>
        <v>0</v>
      </c>
      <c r="N11511">
        <f>HYPERLINK("https://www.wikidata.org/wiki/Q3570605", "Q3570605")</f>
        <v>0</v>
      </c>
      <c r="O11511" t="s">
        <v>19981</v>
      </c>
      <c r="Q11511" t="s">
        <v>394</v>
      </c>
      <c r="R11511" t="s">
        <v>19278</v>
      </c>
      <c r="S11511">
        <v>882</v>
      </c>
    </row>
    <row r="11512" spans="1:19">
      <c r="A11512" t="s">
        <v>133</v>
      </c>
      <c r="B11512" t="s">
        <v>150</v>
      </c>
      <c r="C11512" t="s">
        <v>265</v>
      </c>
      <c r="D11512" t="s">
        <v>394</v>
      </c>
      <c r="F11512">
        <f>HYPERLINK("https://www.wikidata.org/wiki/Q67945020", "Q67945020")</f>
        <v>0</v>
      </c>
      <c r="G11512" t="s">
        <v>4725</v>
      </c>
      <c r="H11512" t="s">
        <v>8867</v>
      </c>
      <c r="I11512" t="s">
        <v>9884</v>
      </c>
      <c r="J11512" t="s">
        <v>15003</v>
      </c>
      <c r="K11512" t="s">
        <v>19511</v>
      </c>
      <c r="M11512">
        <f>HYPERLINK("https://www.senat.fr/senateur-3eme-republique/chaix_cyprien0074r3.html", "chaix_cyprien0074r3")</f>
        <v>0</v>
      </c>
      <c r="N11512">
        <f>HYPERLINK("https://www.wikidata.org/wiki/Q3008869", "Q3008869")</f>
        <v>0</v>
      </c>
      <c r="O11512" t="s">
        <v>19981</v>
      </c>
      <c r="Q11512" t="s">
        <v>394</v>
      </c>
      <c r="R11512" t="s">
        <v>21650</v>
      </c>
      <c r="S11512">
        <v>18914</v>
      </c>
    </row>
    <row r="11513" spans="1:19">
      <c r="A11513" t="s">
        <v>133</v>
      </c>
      <c r="B11513" t="s">
        <v>150</v>
      </c>
      <c r="C11513" t="s">
        <v>265</v>
      </c>
      <c r="D11513" t="s">
        <v>394</v>
      </c>
      <c r="F11513">
        <f>HYPERLINK("https://www.wikidata.org/wiki/Q67945020", "Q67945020")</f>
        <v>0</v>
      </c>
      <c r="G11513" t="s">
        <v>4741</v>
      </c>
      <c r="H11513" t="s">
        <v>8883</v>
      </c>
      <c r="I11513" t="s">
        <v>9533</v>
      </c>
      <c r="J11513" t="s">
        <v>15204</v>
      </c>
      <c r="K11513" t="s">
        <v>19425</v>
      </c>
      <c r="M11513">
        <f>HYPERLINK("https://www.senat.fr/senateur-3eme-republique/drouhet_theodore0848r3.html", "drouhet_theodore0848r3")</f>
        <v>0</v>
      </c>
      <c r="N11513">
        <f>HYPERLINK("https://www.wikidata.org/wiki/Q3526415", "Q3526415")</f>
        <v>0</v>
      </c>
      <c r="O11513" t="s">
        <v>19963</v>
      </c>
      <c r="Q11513" t="s">
        <v>394</v>
      </c>
      <c r="R11513" t="s">
        <v>21675</v>
      </c>
      <c r="S11513">
        <v>3282</v>
      </c>
    </row>
    <row r="11514" spans="1:19">
      <c r="A11514" t="s">
        <v>133</v>
      </c>
      <c r="B11514" t="s">
        <v>150</v>
      </c>
      <c r="C11514" t="s">
        <v>265</v>
      </c>
      <c r="D11514" t="s">
        <v>394</v>
      </c>
      <c r="F11514">
        <f>HYPERLINK("https://www.wikidata.org/wiki/Q67945020", "Q67945020")</f>
        <v>0</v>
      </c>
      <c r="G11514" t="s">
        <v>4794</v>
      </c>
      <c r="H11514" t="s">
        <v>8874</v>
      </c>
      <c r="I11514" t="s">
        <v>9458</v>
      </c>
      <c r="J11514" t="s">
        <v>15255</v>
      </c>
      <c r="K11514" t="s">
        <v>12910</v>
      </c>
      <c r="M11514">
        <f>HYPERLINK("https://www.senat.fr/senateur-3eme-republique/poirrier_alfred0641r3.html", "poirrier_alfred0641r3")</f>
        <v>0</v>
      </c>
      <c r="N11514">
        <f>HYPERLINK("https://www.wikidata.org/wiki/Q2835401", "Q2835401")</f>
        <v>0</v>
      </c>
      <c r="O11514" t="s">
        <v>20025</v>
      </c>
      <c r="Q11514" t="s">
        <v>394</v>
      </c>
      <c r="R11514" t="s">
        <v>13013</v>
      </c>
      <c r="S11514">
        <v>1091</v>
      </c>
    </row>
    <row r="11515" spans="1:19">
      <c r="A11515" t="s">
        <v>133</v>
      </c>
      <c r="B11515" t="s">
        <v>150</v>
      </c>
      <c r="C11515" t="s">
        <v>265</v>
      </c>
      <c r="D11515" t="s">
        <v>394</v>
      </c>
      <c r="F11515">
        <f>HYPERLINK("https://www.wikidata.org/wiki/Q67945020", "Q67945020")</f>
        <v>0</v>
      </c>
      <c r="G11515" t="s">
        <v>4345</v>
      </c>
      <c r="H11515" t="s">
        <v>8496</v>
      </c>
      <c r="I11515" t="s">
        <v>9385</v>
      </c>
      <c r="J11515" t="s">
        <v>14837</v>
      </c>
      <c r="K11515" t="s">
        <v>19179</v>
      </c>
      <c r="M11515">
        <f>HYPERLINK("https://www.senat.fr/senateur-3eme-republique/mazeau_charles0538r3.html", "mazeau_charles0538r3")</f>
        <v>0</v>
      </c>
      <c r="N11515">
        <f>HYPERLINK("https://www.wikidata.org/wiki/Q928664", "Q928664")</f>
        <v>0</v>
      </c>
      <c r="Q11515" t="s">
        <v>394</v>
      </c>
      <c r="R11515" t="s">
        <v>21650</v>
      </c>
      <c r="S11515">
        <v>18914</v>
      </c>
    </row>
    <row r="11516" spans="1:19">
      <c r="A11516" t="s">
        <v>133</v>
      </c>
      <c r="B11516" t="s">
        <v>150</v>
      </c>
      <c r="C11516" t="s">
        <v>265</v>
      </c>
      <c r="D11516" t="s">
        <v>394</v>
      </c>
      <c r="F11516">
        <f>HYPERLINK("https://www.wikidata.org/wiki/Q67945020", "Q67945020")</f>
        <v>0</v>
      </c>
      <c r="G11516" t="s">
        <v>4795</v>
      </c>
      <c r="H11516" t="s">
        <v>8937</v>
      </c>
      <c r="I11516" t="s">
        <v>9388</v>
      </c>
      <c r="J11516" t="s">
        <v>15256</v>
      </c>
      <c r="K11516" t="s">
        <v>19564</v>
      </c>
      <c r="M11516">
        <f>HYPERLINK("https://www.senat.fr/senateur-3eme-republique/gerente_paul0838r3.html", "gerente_paul0838r3")</f>
        <v>0</v>
      </c>
      <c r="N11516">
        <f>HYPERLINK("https://www.wikidata.org/wiki/Q20027762", "Q20027762")</f>
        <v>0</v>
      </c>
      <c r="Q11516" t="s">
        <v>394</v>
      </c>
      <c r="R11516" t="s">
        <v>21675</v>
      </c>
      <c r="S11516">
        <v>3282</v>
      </c>
    </row>
    <row r="11517" spans="1:19">
      <c r="A11517" t="s">
        <v>133</v>
      </c>
      <c r="B11517" t="s">
        <v>150</v>
      </c>
      <c r="C11517" t="s">
        <v>265</v>
      </c>
      <c r="D11517" t="s">
        <v>394</v>
      </c>
      <c r="F11517">
        <f>HYPERLINK("https://www.wikidata.org/wiki/Q67945020", "Q67945020")</f>
        <v>0</v>
      </c>
      <c r="G11517" t="s">
        <v>2634</v>
      </c>
      <c r="H11517" t="s">
        <v>7179</v>
      </c>
      <c r="I11517" t="s">
        <v>10328</v>
      </c>
      <c r="J11517" t="s">
        <v>13276</v>
      </c>
      <c r="K11517" t="s">
        <v>17678</v>
      </c>
      <c r="L11517">
        <f>HYPERLINK("https://www2.assemblee-nationale.fr/sycomore/fiche/(num_dept)/5302", "5302")</f>
        <v>0</v>
      </c>
      <c r="M11517">
        <f>HYPERLINK("https://www.senat.fr/senateur-3eme-republique/mir_eugene0269r3.html", "mir_eugene0269r3")</f>
        <v>0</v>
      </c>
      <c r="N11517">
        <f>HYPERLINK("https://www.wikidata.org/wiki/Q3060037", "Q3060037")</f>
        <v>0</v>
      </c>
      <c r="O11517" t="s">
        <v>19960</v>
      </c>
      <c r="Q11517" t="s">
        <v>19399</v>
      </c>
      <c r="R11517" t="s">
        <v>21675</v>
      </c>
      <c r="S11517">
        <v>3264</v>
      </c>
    </row>
    <row r="11518" spans="1:19">
      <c r="A11518" t="s">
        <v>133</v>
      </c>
      <c r="B11518" t="s">
        <v>150</v>
      </c>
      <c r="C11518" t="s">
        <v>265</v>
      </c>
      <c r="D11518" t="s">
        <v>394</v>
      </c>
      <c r="F11518">
        <f>HYPERLINK("https://www.wikidata.org/wiki/Q67945020", "Q67945020")</f>
        <v>0</v>
      </c>
      <c r="G11518" t="s">
        <v>4765</v>
      </c>
      <c r="H11518" t="s">
        <v>8908</v>
      </c>
      <c r="I11518" t="s">
        <v>9389</v>
      </c>
      <c r="J11518" t="s">
        <v>15228</v>
      </c>
      <c r="K11518" t="s">
        <v>19542</v>
      </c>
      <c r="M11518">
        <f>HYPERLINK("https://www.senat.fr/senateur-3eme-republique/monsservin_emile0283r3.html", "monsservin_emile0283r3")</f>
        <v>0</v>
      </c>
      <c r="N11518">
        <f>HYPERLINK("https://www.wikidata.org/wiki/Q3588665", "Q3588665")</f>
        <v>0</v>
      </c>
      <c r="O11518" t="s">
        <v>19967</v>
      </c>
      <c r="Q11518" t="s">
        <v>21104</v>
      </c>
      <c r="R11518" t="s">
        <v>21675</v>
      </c>
      <c r="S11518">
        <v>3262</v>
      </c>
    </row>
    <row r="11519" spans="1:19">
      <c r="A11519" t="s">
        <v>133</v>
      </c>
      <c r="B11519" t="s">
        <v>150</v>
      </c>
      <c r="C11519" t="s">
        <v>265</v>
      </c>
      <c r="D11519" t="s">
        <v>394</v>
      </c>
      <c r="F11519">
        <f>HYPERLINK("https://www.wikidata.org/wiki/Q67945020", "Q67945020")</f>
        <v>0</v>
      </c>
      <c r="G11519" t="s">
        <v>4682</v>
      </c>
      <c r="H11519" t="s">
        <v>8822</v>
      </c>
      <c r="I11519" t="s">
        <v>6860</v>
      </c>
      <c r="J11519" t="s">
        <v>15152</v>
      </c>
      <c r="K11519" t="s">
        <v>19472</v>
      </c>
      <c r="M11519">
        <f>HYPERLINK("https://www.senat.fr/senateur-3eme-republique/isaac_pierre0843r3.html", "isaac_pierre0843r3")</f>
        <v>0</v>
      </c>
      <c r="N11519">
        <f>HYPERLINK("https://www.wikidata.org/wiki/Q3262281", "Q3262281")</f>
        <v>0</v>
      </c>
      <c r="O11519" t="s">
        <v>20028</v>
      </c>
      <c r="Q11519" t="s">
        <v>18076</v>
      </c>
      <c r="R11519" t="s">
        <v>21650</v>
      </c>
      <c r="S11519">
        <v>18886</v>
      </c>
    </row>
    <row r="11520" spans="1:19">
      <c r="A11520" t="s">
        <v>133</v>
      </c>
      <c r="B11520" t="s">
        <v>150</v>
      </c>
      <c r="C11520" t="s">
        <v>265</v>
      </c>
      <c r="D11520" t="s">
        <v>394</v>
      </c>
      <c r="F11520">
        <f>HYPERLINK("https://www.wikidata.org/wiki/Q67945020", "Q67945020")</f>
        <v>0</v>
      </c>
      <c r="G11520" t="s">
        <v>2584</v>
      </c>
      <c r="H11520" t="s">
        <v>7136</v>
      </c>
      <c r="I11520" t="s">
        <v>9388</v>
      </c>
      <c r="J11520" t="s">
        <v>13228</v>
      </c>
      <c r="K11520" t="s">
        <v>17631</v>
      </c>
      <c r="L11520">
        <f>HYPERLINK("https://www2.assemblee-nationale.fr/sycomore/fiche/(num_dept)/3159", "3159")</f>
        <v>0</v>
      </c>
      <c r="M11520">
        <f>HYPERLINK("https://www.senat.fr/senateur-3eme-republique/frogier_de_ponlevoy_paul1811r3.html", "frogier_de_ponlevoy_paul1811r3")</f>
        <v>0</v>
      </c>
      <c r="N11520">
        <f>HYPERLINK("https://www.wikidata.org/wiki/Q3371249", "Q3371249")</f>
        <v>0</v>
      </c>
      <c r="O11520" t="s">
        <v>20017</v>
      </c>
      <c r="Q11520" t="s">
        <v>21105</v>
      </c>
      <c r="R11520" t="s">
        <v>21668</v>
      </c>
      <c r="S11520">
        <v>2162</v>
      </c>
    </row>
    <row r="11521" spans="1:19">
      <c r="A11521" t="s">
        <v>133</v>
      </c>
      <c r="B11521" t="s">
        <v>150</v>
      </c>
      <c r="C11521" t="s">
        <v>265</v>
      </c>
      <c r="D11521" t="s">
        <v>394</v>
      </c>
      <c r="F11521">
        <f>HYPERLINK("https://www.wikidata.org/wiki/Q67945020", "Q67945020")</f>
        <v>0</v>
      </c>
      <c r="G11521" t="s">
        <v>2494</v>
      </c>
      <c r="H11521" t="s">
        <v>7066</v>
      </c>
      <c r="I11521" t="s">
        <v>10245</v>
      </c>
      <c r="J11521" t="s">
        <v>13138</v>
      </c>
      <c r="K11521" t="s">
        <v>17547</v>
      </c>
      <c r="L11521">
        <f>HYPERLINK("https://www2.assemblee-nationale.fr/sycomore/fiche/(num_dept)/587", "587")</f>
        <v>0</v>
      </c>
      <c r="M11521">
        <f>HYPERLINK("https://www.senat.fr/senateur-3eme-republique/belle_antoine0299r3.html", "belle_antoine0299r3")</f>
        <v>0</v>
      </c>
      <c r="N11521">
        <f>HYPERLINK("https://www.wikidata.org/wiki/Q2853457", "Q2853457")</f>
        <v>0</v>
      </c>
      <c r="O11521" t="s">
        <v>20008</v>
      </c>
      <c r="Q11521" t="s">
        <v>12976</v>
      </c>
      <c r="R11521" t="s">
        <v>13013</v>
      </c>
      <c r="S11521">
        <v>1035</v>
      </c>
    </row>
    <row r="11522" spans="1:19">
      <c r="A11522" t="s">
        <v>133</v>
      </c>
      <c r="B11522" t="s">
        <v>150</v>
      </c>
      <c r="C11522" t="s">
        <v>265</v>
      </c>
      <c r="D11522" t="s">
        <v>394</v>
      </c>
      <c r="F11522">
        <f>HYPERLINK("https://www.wikidata.org/wiki/Q67945020", "Q67945020")</f>
        <v>0</v>
      </c>
      <c r="G11522" t="s">
        <v>2947</v>
      </c>
      <c r="H11522" t="s">
        <v>7422</v>
      </c>
      <c r="I11522" t="s">
        <v>9849</v>
      </c>
      <c r="J11522" t="s">
        <v>13580</v>
      </c>
      <c r="K11522" t="s">
        <v>17965</v>
      </c>
      <c r="L11522">
        <f>HYPERLINK("https://www2.assemblee-nationale.fr/sycomore/fiche/(num_dept)/1331", "1331")</f>
        <v>0</v>
      </c>
      <c r="M11522">
        <f>HYPERLINK("https://www.senat.fr/senateur-3eme-republique/buvignier_jean1022r3.html", "buvignier_jean1022r3")</f>
        <v>0</v>
      </c>
      <c r="N11522">
        <f>HYPERLINK("https://www.wikidata.org/wiki/Q3171041", "Q3171041")</f>
        <v>0</v>
      </c>
      <c r="O11522" t="s">
        <v>20030</v>
      </c>
      <c r="Q11522" t="s">
        <v>21106</v>
      </c>
      <c r="R11522" t="s">
        <v>13013</v>
      </c>
      <c r="S11522">
        <v>1007</v>
      </c>
    </row>
    <row r="11523" spans="1:19">
      <c r="A11523" t="s">
        <v>133</v>
      </c>
      <c r="B11523" t="s">
        <v>150</v>
      </c>
      <c r="C11523" t="s">
        <v>265</v>
      </c>
      <c r="D11523" t="s">
        <v>394</v>
      </c>
      <c r="F11523">
        <f>HYPERLINK("https://www.wikidata.org/wiki/Q67945020", "Q67945020")</f>
        <v>0</v>
      </c>
      <c r="G11523" t="s">
        <v>4796</v>
      </c>
      <c r="H11523" t="s">
        <v>8938</v>
      </c>
      <c r="I11523" t="s">
        <v>6175</v>
      </c>
      <c r="J11523" t="s">
        <v>15257</v>
      </c>
      <c r="K11523" t="s">
        <v>19565</v>
      </c>
      <c r="M11523">
        <f>HYPERLINK("https://www.senat.fr/senateur-3eme-republique/taulier_georges1702r3.html", "taulier_georges1702r3")</f>
        <v>0</v>
      </c>
      <c r="N11523">
        <f>HYPERLINK("https://www.wikidata.org/wiki/Q3103524", "Q3103524")</f>
        <v>0</v>
      </c>
      <c r="O11523" t="s">
        <v>20047</v>
      </c>
      <c r="Q11523" t="s">
        <v>21106</v>
      </c>
      <c r="R11523" t="s">
        <v>19565</v>
      </c>
      <c r="S11523">
        <v>1994</v>
      </c>
    </row>
    <row r="11524" spans="1:19">
      <c r="A11524" t="s">
        <v>133</v>
      </c>
      <c r="B11524" t="s">
        <v>150</v>
      </c>
      <c r="C11524" t="s">
        <v>265</v>
      </c>
      <c r="D11524" t="s">
        <v>394</v>
      </c>
      <c r="F11524">
        <f>HYPERLINK("https://www.wikidata.org/wiki/Q67945020", "Q67945020")</f>
        <v>0</v>
      </c>
      <c r="G11524" t="s">
        <v>4644</v>
      </c>
      <c r="H11524" t="s">
        <v>8703</v>
      </c>
      <c r="I11524" t="s">
        <v>7419</v>
      </c>
      <c r="J11524" t="s">
        <v>15117</v>
      </c>
      <c r="K11524" t="s">
        <v>19437</v>
      </c>
      <c r="M11524">
        <f>HYPERLINK("https://www.senat.fr/senateur-3eme-republique/hebrard_jacques1830r3.html", "hebrard_jacques1830r3")</f>
        <v>0</v>
      </c>
      <c r="N11524">
        <f>HYPERLINK("https://www.wikidata.org/wiki/Q3159135", "Q3159135")</f>
        <v>0</v>
      </c>
      <c r="O11524" t="s">
        <v>19955</v>
      </c>
      <c r="Q11524" t="s">
        <v>20795</v>
      </c>
      <c r="R11524" t="s">
        <v>21675</v>
      </c>
      <c r="S11524">
        <v>3135</v>
      </c>
    </row>
    <row r="11525" spans="1:19">
      <c r="A11525" t="s">
        <v>133</v>
      </c>
      <c r="B11525" t="s">
        <v>150</v>
      </c>
      <c r="C11525" t="s">
        <v>265</v>
      </c>
      <c r="D11525" t="s">
        <v>394</v>
      </c>
      <c r="F11525">
        <f>HYPERLINK("https://www.wikidata.org/wiki/Q67945020", "Q67945020")</f>
        <v>0</v>
      </c>
      <c r="G11525" t="s">
        <v>4224</v>
      </c>
      <c r="H11525" t="s">
        <v>8404</v>
      </c>
      <c r="I11525" t="s">
        <v>9608</v>
      </c>
      <c r="J11525" t="s">
        <v>11706</v>
      </c>
      <c r="K11525" t="s">
        <v>19077</v>
      </c>
      <c r="M11525">
        <f>HYPERLINK("https://www.senat.fr/senateur-3eme-republique/ratier_antony0259r3.html", "ratier_antony0259r3")</f>
        <v>0</v>
      </c>
      <c r="N11525">
        <f>HYPERLINK("https://www.wikidata.org/wiki/Q2342450", "Q2342450")</f>
        <v>0</v>
      </c>
      <c r="O11525" t="s">
        <v>19975</v>
      </c>
      <c r="Q11525" t="s">
        <v>20795</v>
      </c>
      <c r="R11525" t="s">
        <v>13013</v>
      </c>
      <c r="S11525">
        <v>944</v>
      </c>
    </row>
    <row r="11526" spans="1:19">
      <c r="A11526" t="s">
        <v>133</v>
      </c>
      <c r="B11526" t="s">
        <v>150</v>
      </c>
      <c r="C11526" t="s">
        <v>265</v>
      </c>
      <c r="D11526" t="s">
        <v>394</v>
      </c>
      <c r="F11526">
        <f>HYPERLINK("https://www.wikidata.org/wiki/Q67945020", "Q67945020")</f>
        <v>0</v>
      </c>
      <c r="G11526" t="s">
        <v>3140</v>
      </c>
      <c r="H11526" t="s">
        <v>7579</v>
      </c>
      <c r="I11526" t="s">
        <v>9421</v>
      </c>
      <c r="J11526" t="s">
        <v>13762</v>
      </c>
      <c r="K11526" t="s">
        <v>18139</v>
      </c>
      <c r="L11526">
        <f>HYPERLINK("https://www2.assemblee-nationale.fr/sycomore/fiche/(num_dept)/4298", "4298")</f>
        <v>0</v>
      </c>
      <c r="M11526">
        <f>HYPERLINK("https://www.senat.fr/senateur-3eme-republique/de_lamarzelle_gustave0902r3.html", "de_lamarzelle_gustave0902r3")</f>
        <v>0</v>
      </c>
      <c r="N11526">
        <f>HYPERLINK("https://www.wikidata.org/wiki/Q3121364", "Q3121364")</f>
        <v>0</v>
      </c>
      <c r="O11526" t="s">
        <v>19961</v>
      </c>
      <c r="Q11526" t="s">
        <v>21107</v>
      </c>
      <c r="R11526" t="s">
        <v>13013</v>
      </c>
      <c r="S11526">
        <v>895</v>
      </c>
    </row>
    <row r="11527" spans="1:19">
      <c r="A11527" t="s">
        <v>133</v>
      </c>
      <c r="B11527" t="s">
        <v>150</v>
      </c>
      <c r="C11527" t="s">
        <v>265</v>
      </c>
      <c r="D11527" t="s">
        <v>394</v>
      </c>
      <c r="F11527">
        <f>HYPERLINK("https://www.wikidata.org/wiki/Q67945020", "Q67945020")</f>
        <v>0</v>
      </c>
      <c r="G11527" t="s">
        <v>2702</v>
      </c>
      <c r="H11527" t="s">
        <v>7234</v>
      </c>
      <c r="I11527" t="s">
        <v>6860</v>
      </c>
      <c r="J11527" t="s">
        <v>13343</v>
      </c>
      <c r="K11527" t="s">
        <v>17743</v>
      </c>
      <c r="L11527">
        <f>HYPERLINK("https://www2.assemblee-nationale.fr/sycomore/fiche/(num_dept)/7473", "7473")</f>
        <v>0</v>
      </c>
      <c r="M11527">
        <f>HYPERLINK("https://www.senat.fr/senateur-3eme-republique/waldeck_rousseau_pierre1368r3.html", "waldeck_rousseau_pierre1368r3")</f>
        <v>0</v>
      </c>
      <c r="N11527">
        <f>HYPERLINK("https://www.wikidata.org/wiki/Q358452", "Q358452")</f>
        <v>0</v>
      </c>
      <c r="O11527" t="s">
        <v>19997</v>
      </c>
      <c r="Q11527" t="s">
        <v>20800</v>
      </c>
      <c r="R11527" t="s">
        <v>13013</v>
      </c>
      <c r="S11527">
        <v>818</v>
      </c>
    </row>
    <row r="11528" spans="1:19">
      <c r="A11528" t="s">
        <v>133</v>
      </c>
      <c r="B11528" t="s">
        <v>150</v>
      </c>
      <c r="C11528" t="s">
        <v>265</v>
      </c>
      <c r="D11528" t="s">
        <v>394</v>
      </c>
      <c r="F11528">
        <f>HYPERLINK("https://www.wikidata.org/wiki/Q67945020", "Q67945020")</f>
        <v>0</v>
      </c>
      <c r="G11528" t="s">
        <v>2657</v>
      </c>
      <c r="H11528" t="s">
        <v>7197</v>
      </c>
      <c r="I11528" t="s">
        <v>10344</v>
      </c>
      <c r="J11528" t="s">
        <v>11632</v>
      </c>
      <c r="K11528" t="s">
        <v>17698</v>
      </c>
      <c r="L11528">
        <f>HYPERLINK("https://www2.assemblee-nationale.fr/sycomore/fiche/(num_dept)/6230", "6230")</f>
        <v>0</v>
      </c>
      <c r="M11528">
        <f>HYPERLINK("https://www.senat.fr/senateur-3eme-republique/saint_romme_mathias1205r3.html", "saint_romme_mathias1205r3")</f>
        <v>0</v>
      </c>
      <c r="N11528">
        <f>HYPERLINK("https://www.wikidata.org/wiki/Q3298594", "Q3298594")</f>
        <v>0</v>
      </c>
      <c r="O11528" t="s">
        <v>20006</v>
      </c>
      <c r="Q11528" t="s">
        <v>21108</v>
      </c>
      <c r="R11528" t="s">
        <v>12695</v>
      </c>
      <c r="S11528">
        <v>874</v>
      </c>
    </row>
    <row r="11529" spans="1:19">
      <c r="A11529" t="s">
        <v>133</v>
      </c>
      <c r="B11529" t="s">
        <v>150</v>
      </c>
      <c r="C11529" t="s">
        <v>265</v>
      </c>
      <c r="D11529" t="s">
        <v>394</v>
      </c>
      <c r="F11529">
        <f>HYPERLINK("https://www.wikidata.org/wiki/Q67945020", "Q67945020")</f>
        <v>0</v>
      </c>
      <c r="G11529" t="s">
        <v>2488</v>
      </c>
      <c r="H11529" t="s">
        <v>7061</v>
      </c>
      <c r="I11529" t="s">
        <v>10240</v>
      </c>
      <c r="J11529" t="s">
        <v>13132</v>
      </c>
      <c r="K11529" t="s">
        <v>17541</v>
      </c>
      <c r="L11529">
        <f>HYPERLINK("https://www2.assemblee-nationale.fr/sycomore/fiche/(num_dept)/251", "251")</f>
        <v>0</v>
      </c>
      <c r="M11529">
        <f>HYPERLINK("https://www.senat.fr/senateur-3eme-republique/audiffred_jean_honore1321r3.html", "audiffred_jean_honore1321r3")</f>
        <v>0</v>
      </c>
      <c r="N11529">
        <f>HYPERLINK("https://www.wikidata.org/wiki/Q3166130", "Q3166130")</f>
        <v>0</v>
      </c>
      <c r="O11529" t="s">
        <v>19997</v>
      </c>
      <c r="Q11529" t="s">
        <v>21109</v>
      </c>
      <c r="R11529" t="s">
        <v>21679</v>
      </c>
      <c r="S11529">
        <v>3583</v>
      </c>
    </row>
    <row r="11530" spans="1:19">
      <c r="A11530" t="s">
        <v>133</v>
      </c>
      <c r="B11530" t="s">
        <v>150</v>
      </c>
      <c r="C11530" t="s">
        <v>265</v>
      </c>
      <c r="D11530" t="s">
        <v>394</v>
      </c>
      <c r="F11530">
        <f>HYPERLINK("https://www.wikidata.org/wiki/Q67945020", "Q67945020")</f>
        <v>0</v>
      </c>
      <c r="G11530" t="s">
        <v>4797</v>
      </c>
      <c r="H11530" t="s">
        <v>8939</v>
      </c>
      <c r="I11530" t="s">
        <v>9612</v>
      </c>
      <c r="J11530" t="s">
        <v>15258</v>
      </c>
      <c r="K11530" t="s">
        <v>19566</v>
      </c>
      <c r="M11530">
        <f>HYPERLINK("https://www.senat.fr/senateur-3eme-republique/monier_frederic0327r3.html", "monier_frederic0327r3")</f>
        <v>0</v>
      </c>
      <c r="N11530">
        <f>HYPERLINK("https://www.wikidata.org/wiki/Q2697108", "Q2697108")</f>
        <v>0</v>
      </c>
      <c r="O11530" t="s">
        <v>19990</v>
      </c>
      <c r="Q11530" t="s">
        <v>21109</v>
      </c>
      <c r="R11530" t="s">
        <v>21675</v>
      </c>
      <c r="S11530">
        <v>2925</v>
      </c>
    </row>
    <row r="11531" spans="1:19">
      <c r="A11531" t="s">
        <v>133</v>
      </c>
      <c r="B11531" t="s">
        <v>150</v>
      </c>
      <c r="C11531" t="s">
        <v>265</v>
      </c>
      <c r="D11531" t="s">
        <v>394</v>
      </c>
      <c r="F11531">
        <f>HYPERLINK("https://www.wikidata.org/wiki/Q67945020", "Q67945020")</f>
        <v>0</v>
      </c>
      <c r="G11531" t="s">
        <v>4260</v>
      </c>
      <c r="H11531" t="s">
        <v>8429</v>
      </c>
      <c r="I11531" t="s">
        <v>6495</v>
      </c>
      <c r="J11531" t="s">
        <v>13303</v>
      </c>
      <c r="K11531" t="s">
        <v>19109</v>
      </c>
      <c r="M11531">
        <f>HYPERLINK("https://www.senat.fr/senateur-3eme-republique/tillaye_louis0336r3.html", "tillaye_louis0336r3")</f>
        <v>0</v>
      </c>
      <c r="N11531">
        <f>HYPERLINK("https://www.wikidata.org/wiki/Q3261486", "Q3261486")</f>
        <v>0</v>
      </c>
      <c r="O11531" t="s">
        <v>20009</v>
      </c>
      <c r="Q11531" t="s">
        <v>21110</v>
      </c>
      <c r="R11531" t="s">
        <v>21675</v>
      </c>
      <c r="S11531">
        <v>2904</v>
      </c>
    </row>
    <row r="11532" spans="1:19">
      <c r="A11532" t="s">
        <v>133</v>
      </c>
      <c r="B11532" t="s">
        <v>150</v>
      </c>
      <c r="C11532" t="s">
        <v>265</v>
      </c>
      <c r="D11532" t="s">
        <v>394</v>
      </c>
      <c r="F11532">
        <f>HYPERLINK("https://www.wikidata.org/wiki/Q67945020", "Q67945020")</f>
        <v>0</v>
      </c>
      <c r="G11532" t="s">
        <v>4798</v>
      </c>
      <c r="H11532" t="s">
        <v>8940</v>
      </c>
      <c r="I11532" t="s">
        <v>6584</v>
      </c>
      <c r="J11532" t="s">
        <v>15259</v>
      </c>
      <c r="K11532" t="s">
        <v>19567</v>
      </c>
      <c r="M11532">
        <f>HYPERLINK("https://www.senat.fr/senateur-3eme-republique/parissot_albert0757r3.html", "parissot_albert0757r3")</f>
        <v>0</v>
      </c>
      <c r="N11532">
        <f>HYPERLINK("https://www.wikidata.org/wiki/Q2831450", "Q2831450")</f>
        <v>0</v>
      </c>
      <c r="O11532" t="s">
        <v>19992</v>
      </c>
      <c r="Q11532" t="s">
        <v>21111</v>
      </c>
      <c r="R11532" t="s">
        <v>21675</v>
      </c>
      <c r="S11532">
        <v>2883</v>
      </c>
    </row>
    <row r="11533" spans="1:19">
      <c r="A11533" t="s">
        <v>133</v>
      </c>
      <c r="B11533" t="s">
        <v>150</v>
      </c>
      <c r="C11533" t="s">
        <v>265</v>
      </c>
      <c r="D11533" t="s">
        <v>394</v>
      </c>
      <c r="F11533">
        <f>HYPERLINK("https://www.wikidata.org/wiki/Q67945020", "Q67945020")</f>
        <v>0</v>
      </c>
      <c r="G11533" t="s">
        <v>4244</v>
      </c>
      <c r="H11533" t="s">
        <v>5856</v>
      </c>
      <c r="I11533" t="s">
        <v>9533</v>
      </c>
      <c r="J11533" t="s">
        <v>14750</v>
      </c>
      <c r="K11533" t="s">
        <v>19096</v>
      </c>
      <c r="M11533">
        <f>HYPERLINK("https://www.senat.fr/senateur-3eme-republique/girard_theodore1638r3.html", "girard_theodore1638r3")</f>
        <v>0</v>
      </c>
      <c r="N11533">
        <f>HYPERLINK("https://www.wikidata.org/wiki/Q3526426", "Q3526426")</f>
        <v>0</v>
      </c>
      <c r="O11533" t="s">
        <v>20021</v>
      </c>
      <c r="Q11533" t="s">
        <v>21112</v>
      </c>
      <c r="R11533" t="s">
        <v>21668</v>
      </c>
      <c r="S11533">
        <v>1798</v>
      </c>
    </row>
    <row r="11534" spans="1:19">
      <c r="A11534" t="s">
        <v>133</v>
      </c>
      <c r="B11534" t="s">
        <v>150</v>
      </c>
      <c r="C11534" t="s">
        <v>265</v>
      </c>
      <c r="D11534" t="s">
        <v>394</v>
      </c>
      <c r="F11534">
        <f>HYPERLINK("https://www.wikidata.org/wiki/Q67945020", "Q67945020")</f>
        <v>0</v>
      </c>
      <c r="G11534" t="s">
        <v>4799</v>
      </c>
      <c r="H11534" t="s">
        <v>8608</v>
      </c>
      <c r="I11534" t="s">
        <v>9602</v>
      </c>
      <c r="J11534" t="s">
        <v>15260</v>
      </c>
      <c r="K11534" t="s">
        <v>19568</v>
      </c>
      <c r="M11534">
        <f>HYPERLINK("https://www.senat.fr/senateur-3eme-republique/teisserenc_de_bort_edmond1790r3.html", "teisserenc_de_bort_edmond1790r3")</f>
        <v>0</v>
      </c>
      <c r="N11534">
        <f>HYPERLINK("https://www.wikidata.org/wiki/Q3047999", "Q3047999")</f>
        <v>0</v>
      </c>
      <c r="O11534" t="s">
        <v>19977</v>
      </c>
      <c r="Q11534" t="s">
        <v>21112</v>
      </c>
      <c r="R11534" t="s">
        <v>21668</v>
      </c>
      <c r="S11534">
        <v>1798</v>
      </c>
    </row>
    <row r="11535" spans="1:19">
      <c r="A11535" t="s">
        <v>133</v>
      </c>
      <c r="B11535" t="s">
        <v>150</v>
      </c>
      <c r="C11535" t="s">
        <v>265</v>
      </c>
      <c r="D11535" t="s">
        <v>394</v>
      </c>
      <c r="F11535">
        <f>HYPERLINK("https://www.wikidata.org/wiki/Q67945020", "Q67945020")</f>
        <v>0</v>
      </c>
      <c r="G11535" t="s">
        <v>3302</v>
      </c>
      <c r="H11535" t="s">
        <v>7711</v>
      </c>
      <c r="I11535" t="s">
        <v>6860</v>
      </c>
      <c r="J11535" t="s">
        <v>13916</v>
      </c>
      <c r="K11535" t="s">
        <v>18286</v>
      </c>
      <c r="L11535">
        <f>HYPERLINK("https://www2.assemblee-nationale.fr/sycomore/fiche/(num_dept)/7904", "7904")</f>
        <v>0</v>
      </c>
      <c r="M11535">
        <f>HYPERLINK("https://www.senat.fr/senateur-3eme-republique/bourganel_pierre1360r3.html", "bourganel_pierre1360r3")</f>
        <v>0</v>
      </c>
      <c r="N11535">
        <f>HYPERLINK("https://www.wikidata.org/wiki/Q3384140", "Q3384140")</f>
        <v>0</v>
      </c>
      <c r="O11535" t="s">
        <v>19997</v>
      </c>
      <c r="Q11535" t="s">
        <v>20804</v>
      </c>
      <c r="R11535" t="s">
        <v>13013</v>
      </c>
      <c r="S11535">
        <v>664</v>
      </c>
    </row>
    <row r="11536" spans="1:19">
      <c r="A11536" t="s">
        <v>133</v>
      </c>
      <c r="B11536" t="s">
        <v>150</v>
      </c>
      <c r="C11536" t="s">
        <v>265</v>
      </c>
      <c r="D11536" t="s">
        <v>394</v>
      </c>
      <c r="F11536">
        <f>HYPERLINK("https://www.wikidata.org/wiki/Q67945020", "Q67945020")</f>
        <v>0</v>
      </c>
      <c r="G11536" t="s">
        <v>4800</v>
      </c>
      <c r="H11536" t="s">
        <v>8609</v>
      </c>
      <c r="I11536" t="s">
        <v>7265</v>
      </c>
      <c r="J11536" t="s">
        <v>15261</v>
      </c>
      <c r="K11536" t="s">
        <v>16049</v>
      </c>
      <c r="M11536">
        <f>HYPERLINK("https://www.senat.fr/senateur-3eme-republique/blanc_philippe1324r3.html", "blanc_philippe1324r3")</f>
        <v>0</v>
      </c>
      <c r="N11536">
        <f>HYPERLINK("https://www.wikidata.org/wiki/Q3379361", "Q3379361")</f>
        <v>0</v>
      </c>
      <c r="O11536" t="s">
        <v>19997</v>
      </c>
      <c r="Q11536" t="s">
        <v>20804</v>
      </c>
      <c r="R11536" t="s">
        <v>13013</v>
      </c>
      <c r="S11536">
        <v>664</v>
      </c>
    </row>
    <row r="11537" spans="1:19">
      <c r="A11537" t="s">
        <v>133</v>
      </c>
      <c r="B11537" t="s">
        <v>150</v>
      </c>
      <c r="C11537" t="s">
        <v>265</v>
      </c>
      <c r="D11537" t="s">
        <v>394</v>
      </c>
      <c r="F11537">
        <f>HYPERLINK("https://www.wikidata.org/wiki/Q67945020", "Q67945020")</f>
        <v>0</v>
      </c>
      <c r="G11537" t="s">
        <v>3110</v>
      </c>
      <c r="H11537" t="s">
        <v>7555</v>
      </c>
      <c r="I11537" t="s">
        <v>10640</v>
      </c>
      <c r="J11537" t="s">
        <v>13732</v>
      </c>
      <c r="K11537" t="s">
        <v>18114</v>
      </c>
      <c r="L11537">
        <f>HYPERLINK("https://www2.assemblee-nationale.fr/sycomore/fiche/(num_dept)/2183", "2183")</f>
        <v>0</v>
      </c>
      <c r="M11537">
        <f>HYPERLINK("https://www.senat.fr/senateur-3eme-republique/deandreis_elisee0249r3.html", "deandreis_elisee0249r3")</f>
        <v>0</v>
      </c>
      <c r="N11537">
        <f>HYPERLINK("https://www.wikidata.org/wiki/Q3587969", "Q3587969")</f>
        <v>0</v>
      </c>
      <c r="O11537" t="s">
        <v>7411</v>
      </c>
      <c r="Q11537" t="s">
        <v>21113</v>
      </c>
      <c r="R11537" t="s">
        <v>13013</v>
      </c>
      <c r="S11537">
        <v>650</v>
      </c>
    </row>
    <row r="11538" spans="1:19">
      <c r="A11538" t="s">
        <v>133</v>
      </c>
      <c r="B11538" t="s">
        <v>150</v>
      </c>
      <c r="C11538" t="s">
        <v>265</v>
      </c>
      <c r="D11538" t="s">
        <v>394</v>
      </c>
      <c r="F11538">
        <f>HYPERLINK("https://www.wikidata.org/wiki/Q67945020", "Q67945020")</f>
        <v>0</v>
      </c>
      <c r="G11538" t="s">
        <v>3176</v>
      </c>
      <c r="H11538" t="s">
        <v>6992</v>
      </c>
      <c r="I11538" t="s">
        <v>10683</v>
      </c>
      <c r="J11538" t="s">
        <v>13797</v>
      </c>
      <c r="K11538" t="s">
        <v>18172</v>
      </c>
      <c r="L11538">
        <f>HYPERLINK("https://www2.assemblee-nationale.fr/sycomore/fiche/(num_dept)/7562", "7562")</f>
        <v>0</v>
      </c>
      <c r="M11538">
        <f>HYPERLINK("https://www.senat.fr/senateur-3eme-republique/le_cour_grandmaison_charles1288r3.html", "le_cour_grandmaison_charles1288r3")</f>
        <v>0</v>
      </c>
      <c r="N11538">
        <f>HYPERLINK("https://www.wikidata.org/wiki/Q2959601", "Q2959601")</f>
        <v>0</v>
      </c>
      <c r="O11538" t="s">
        <v>20023</v>
      </c>
      <c r="Q11538" t="s">
        <v>21113</v>
      </c>
      <c r="R11538" t="s">
        <v>13013</v>
      </c>
      <c r="S11538">
        <v>650</v>
      </c>
    </row>
    <row r="11539" spans="1:19">
      <c r="A11539" t="s">
        <v>133</v>
      </c>
      <c r="B11539" t="s">
        <v>150</v>
      </c>
      <c r="C11539" t="s">
        <v>265</v>
      </c>
      <c r="D11539" t="s">
        <v>394</v>
      </c>
      <c r="F11539">
        <f>HYPERLINK("https://www.wikidata.org/wiki/Q67945020", "Q67945020")</f>
        <v>0</v>
      </c>
      <c r="G11539" t="s">
        <v>3083</v>
      </c>
      <c r="H11539" t="s">
        <v>7530</v>
      </c>
      <c r="I11539" t="s">
        <v>10619</v>
      </c>
      <c r="J11539" t="s">
        <v>13706</v>
      </c>
      <c r="K11539" t="s">
        <v>18089</v>
      </c>
      <c r="L11539">
        <f>HYPERLINK("https://www2.assemblee-nationale.fr/sycomore/fiche/(num_dept)/8238", "8238")</f>
        <v>0</v>
      </c>
      <c r="M11539">
        <f>HYPERLINK("https://www.senat.fr/senateur-3eme-republique/legludic_prosper1251r3.html", "legludic_prosper1251r3")</f>
        <v>0</v>
      </c>
      <c r="N11539">
        <f>HYPERLINK("https://www.wikidata.org/wiki/Q3407790", "Q3407790")</f>
        <v>0</v>
      </c>
      <c r="O11539" t="s">
        <v>19956</v>
      </c>
      <c r="Q11539" t="s">
        <v>21113</v>
      </c>
      <c r="R11539" t="s">
        <v>21670</v>
      </c>
      <c r="S11539">
        <v>1765</v>
      </c>
    </row>
    <row r="11540" spans="1:19">
      <c r="A11540" t="s">
        <v>133</v>
      </c>
      <c r="B11540" t="s">
        <v>150</v>
      </c>
      <c r="C11540" t="s">
        <v>265</v>
      </c>
      <c r="D11540" t="s">
        <v>394</v>
      </c>
      <c r="F11540">
        <f>HYPERLINK("https://www.wikidata.org/wiki/Q67945020", "Q67945020")</f>
        <v>0</v>
      </c>
      <c r="G11540" t="s">
        <v>4801</v>
      </c>
      <c r="H11540" t="s">
        <v>8941</v>
      </c>
      <c r="I11540" t="s">
        <v>9388</v>
      </c>
      <c r="J11540" t="s">
        <v>15262</v>
      </c>
      <c r="K11540" t="s">
        <v>19569</v>
      </c>
      <c r="M11540">
        <f>HYPERLINK("https://www.senat.fr/senateur-3eme-republique/fleury_paul0896r3.html", "fleury_paul0896r3")</f>
        <v>0</v>
      </c>
      <c r="N11540">
        <f>HYPERLINK("https://www.wikidata.org/wiki/Q3371217", "Q3371217")</f>
        <v>0</v>
      </c>
      <c r="O11540" t="s">
        <v>19957</v>
      </c>
      <c r="Q11540" t="s">
        <v>21114</v>
      </c>
      <c r="R11540" t="s">
        <v>21668</v>
      </c>
      <c r="S11540">
        <v>1742</v>
      </c>
    </row>
    <row r="11541" spans="1:19">
      <c r="A11541" t="s">
        <v>133</v>
      </c>
      <c r="B11541" t="s">
        <v>150</v>
      </c>
      <c r="C11541" t="s">
        <v>265</v>
      </c>
      <c r="D11541" t="s">
        <v>394</v>
      </c>
      <c r="F11541">
        <f>HYPERLINK("https://www.wikidata.org/wiki/Q67945020", "Q67945020")</f>
        <v>0</v>
      </c>
      <c r="G11541" t="s">
        <v>4802</v>
      </c>
      <c r="H11541" t="s">
        <v>8942</v>
      </c>
      <c r="I11541" t="s">
        <v>9451</v>
      </c>
      <c r="J11541" t="s">
        <v>13842</v>
      </c>
      <c r="K11541" t="s">
        <v>18494</v>
      </c>
      <c r="M11541">
        <f>HYPERLINK("https://www.senat.fr/senateur-3eme-republique/depreux_theophile1399r3.html", "depreux_theophile1399r3")</f>
        <v>0</v>
      </c>
      <c r="N11541">
        <f>HYPERLINK("https://www.wikidata.org/wiki/Q3526649", "Q3526649")</f>
        <v>0</v>
      </c>
      <c r="O11541" t="s">
        <v>20013</v>
      </c>
      <c r="Q11541" t="s">
        <v>21115</v>
      </c>
      <c r="R11541" t="s">
        <v>13013</v>
      </c>
      <c r="S11541">
        <v>559</v>
      </c>
    </row>
    <row r="11542" spans="1:19">
      <c r="A11542" t="s">
        <v>133</v>
      </c>
      <c r="B11542" t="s">
        <v>150</v>
      </c>
      <c r="C11542" t="s">
        <v>265</v>
      </c>
      <c r="D11542" t="s">
        <v>394</v>
      </c>
      <c r="F11542">
        <f>HYPERLINK("https://www.wikidata.org/wiki/Q67945020", "Q67945020")</f>
        <v>0</v>
      </c>
      <c r="G11542" t="s">
        <v>3656</v>
      </c>
      <c r="H11542" t="s">
        <v>6914</v>
      </c>
      <c r="I11542" t="s">
        <v>6495</v>
      </c>
      <c r="J11542" t="s">
        <v>14236</v>
      </c>
      <c r="K11542" t="s">
        <v>18596</v>
      </c>
      <c r="L11542">
        <f>HYPERLINK("https://www2.assemblee-nationale.fr/sycomore/fiche/(num_dept)/3162", "3162")</f>
        <v>0</v>
      </c>
      <c r="M11542">
        <f>HYPERLINK("https://www.senat.fr/senateur-3eme-republique/froment_louis1678r3.html", "froment_louis1678r3")</f>
        <v>0</v>
      </c>
      <c r="N11542">
        <f>HYPERLINK("https://www.wikidata.org/wiki/Q3261963", "Q3261963")</f>
        <v>0</v>
      </c>
      <c r="O11542" t="s">
        <v>20012</v>
      </c>
      <c r="Q11542" t="s">
        <v>21116</v>
      </c>
      <c r="R11542" t="s">
        <v>21668</v>
      </c>
      <c r="S11542">
        <v>1672</v>
      </c>
    </row>
    <row r="11543" spans="1:19">
      <c r="A11543" t="s">
        <v>133</v>
      </c>
      <c r="B11543" t="s">
        <v>150</v>
      </c>
      <c r="C11543" t="s">
        <v>265</v>
      </c>
      <c r="D11543" t="s">
        <v>394</v>
      </c>
      <c r="F11543">
        <f>HYPERLINK("https://www.wikidata.org/wiki/Q67945020", "Q67945020")</f>
        <v>0</v>
      </c>
      <c r="G11543" t="s">
        <v>4803</v>
      </c>
      <c r="H11543" t="s">
        <v>8943</v>
      </c>
      <c r="I11543" t="s">
        <v>6175</v>
      </c>
      <c r="J11543" t="s">
        <v>15263</v>
      </c>
      <c r="K11543" t="s">
        <v>19570</v>
      </c>
      <c r="M11543">
        <f>HYPERLINK("https://www.senat.fr/senateur-3eme-republique/de_blois_georges1060r3.html", "de_blois_georges1060r3")</f>
        <v>0</v>
      </c>
      <c r="N11543">
        <f>HYPERLINK("https://www.wikidata.org/wiki/Q3103672", "Q3103672")</f>
        <v>0</v>
      </c>
      <c r="O11543" t="s">
        <v>19980</v>
      </c>
      <c r="Q11543" t="s">
        <v>21117</v>
      </c>
      <c r="R11543" t="s">
        <v>13013</v>
      </c>
      <c r="S11543">
        <v>545</v>
      </c>
    </row>
    <row r="11544" spans="1:19">
      <c r="A11544" t="s">
        <v>133</v>
      </c>
      <c r="B11544" t="s">
        <v>150</v>
      </c>
      <c r="C11544" t="s">
        <v>265</v>
      </c>
      <c r="D11544" t="s">
        <v>394</v>
      </c>
      <c r="F11544">
        <f>HYPERLINK("https://www.wikidata.org/wiki/Q67945020", "Q67945020")</f>
        <v>0</v>
      </c>
      <c r="G11544" t="s">
        <v>3540</v>
      </c>
      <c r="H11544" t="s">
        <v>7901</v>
      </c>
      <c r="I11544" t="s">
        <v>10873</v>
      </c>
      <c r="J11544" t="s">
        <v>11726</v>
      </c>
      <c r="K11544" t="s">
        <v>18225</v>
      </c>
      <c r="L11544">
        <f>HYPERLINK("https://www2.assemblee-nationale.fr/sycomore/fiche/(num_dept)/1338", "1338")</f>
        <v>0</v>
      </c>
      <c r="M11544">
        <f>HYPERLINK("https://www.senat.fr/senateur-3eme-republique/cabart_danneville_charles_maurice1036r3.html", "cabart_danneville_charles_maurice1036r3")</f>
        <v>0</v>
      </c>
      <c r="N11544">
        <f>HYPERLINK("https://www.wikidata.org/wiki/Q2959776", "Q2959776")</f>
        <v>0</v>
      </c>
      <c r="O11544" t="s">
        <v>19985</v>
      </c>
      <c r="Q11544" t="s">
        <v>21118</v>
      </c>
      <c r="R11544" t="s">
        <v>13013</v>
      </c>
      <c r="S11544">
        <v>503</v>
      </c>
    </row>
    <row r="11545" spans="1:19">
      <c r="A11545" t="s">
        <v>133</v>
      </c>
      <c r="B11545" t="s">
        <v>150</v>
      </c>
      <c r="C11545" t="s">
        <v>265</v>
      </c>
      <c r="D11545" t="s">
        <v>394</v>
      </c>
      <c r="F11545">
        <f>HYPERLINK("https://www.wikidata.org/wiki/Q67945020", "Q67945020")</f>
        <v>0</v>
      </c>
      <c r="G11545" t="s">
        <v>3777</v>
      </c>
      <c r="H11545" t="s">
        <v>8070</v>
      </c>
      <c r="I11545" t="s">
        <v>9500</v>
      </c>
      <c r="J11545" t="s">
        <v>14347</v>
      </c>
      <c r="K11545" t="s">
        <v>18699</v>
      </c>
      <c r="L11545">
        <f>HYPERLINK("https://www2.assemblee-nationale.fr/sycomore/fiche/(num_dept)/3170", "3170")</f>
        <v>0</v>
      </c>
      <c r="M11545">
        <f>HYPERLINK("https://www.senat.fr/senateur-3eme-republique/fruchier_lazare0067r3.html", "fruchier_lazare0067r3")</f>
        <v>0</v>
      </c>
      <c r="N11545">
        <f>HYPERLINK("https://www.wikidata.org/wiki/Q3220003", "Q3220003")</f>
        <v>0</v>
      </c>
      <c r="O11545" t="s">
        <v>20033</v>
      </c>
      <c r="Q11545" t="s">
        <v>21118</v>
      </c>
      <c r="R11545" t="s">
        <v>21675</v>
      </c>
      <c r="S11545">
        <v>2694</v>
      </c>
    </row>
    <row r="11546" spans="1:19">
      <c r="A11546" t="s">
        <v>133</v>
      </c>
      <c r="B11546" t="s">
        <v>150</v>
      </c>
      <c r="C11546" t="s">
        <v>265</v>
      </c>
      <c r="D11546" t="s">
        <v>394</v>
      </c>
      <c r="F11546">
        <f>HYPERLINK("https://www.wikidata.org/wiki/Q67945020", "Q67945020")</f>
        <v>0</v>
      </c>
      <c r="G11546" t="s">
        <v>2817</v>
      </c>
      <c r="H11546" t="s">
        <v>7318</v>
      </c>
      <c r="I11546" t="s">
        <v>7790</v>
      </c>
      <c r="J11546" t="s">
        <v>13457</v>
      </c>
      <c r="K11546" t="s">
        <v>17848</v>
      </c>
      <c r="L11546">
        <f>HYPERLINK("https://www2.assemblee-nationale.fr/sycomore/fiche/(num_dept)/8127", "8127")</f>
        <v>0</v>
      </c>
      <c r="M11546">
        <f>HYPERLINK("https://www.senat.fr/senateur-3eme-republique/rousseau_armand0808r3.html", "rousseau_armand0808r3")</f>
        <v>0</v>
      </c>
      <c r="N11546">
        <f>HYPERLINK("https://www.wikidata.org/wiki/Q2861960", "Q2861960")</f>
        <v>0</v>
      </c>
      <c r="O11546" t="s">
        <v>20011</v>
      </c>
      <c r="Q11546" t="s">
        <v>21119</v>
      </c>
      <c r="R11546" t="s">
        <v>17848</v>
      </c>
      <c r="S11546">
        <v>431</v>
      </c>
    </row>
    <row r="11547" spans="1:19">
      <c r="A11547" t="s">
        <v>133</v>
      </c>
      <c r="B11547" t="s">
        <v>150</v>
      </c>
      <c r="C11547" t="s">
        <v>265</v>
      </c>
      <c r="D11547" t="s">
        <v>394</v>
      </c>
      <c r="F11547">
        <f>HYPERLINK("https://www.wikidata.org/wiki/Q67945020", "Q67945020")</f>
        <v>0</v>
      </c>
      <c r="G11547" t="s">
        <v>4320</v>
      </c>
      <c r="H11547" t="s">
        <v>8473</v>
      </c>
      <c r="I11547" t="s">
        <v>9458</v>
      </c>
      <c r="J11547" t="s">
        <v>13414</v>
      </c>
      <c r="K11547" t="s">
        <v>19157</v>
      </c>
      <c r="M11547">
        <f>HYPERLINK("https://www.senat.fr/senateur-3eme-republique/rambaud_alfred0677r3.html", "rambaud_alfred0677r3")</f>
        <v>0</v>
      </c>
      <c r="N11547">
        <f>HYPERLINK("https://www.wikidata.org/wiki/Q163159", "Q163159")</f>
        <v>0</v>
      </c>
      <c r="O11547" t="s">
        <v>19973</v>
      </c>
      <c r="Q11547" t="s">
        <v>21120</v>
      </c>
      <c r="R11547" t="s">
        <v>21675</v>
      </c>
      <c r="S11547">
        <v>2603</v>
      </c>
    </row>
    <row r="11548" spans="1:19">
      <c r="A11548" t="s">
        <v>133</v>
      </c>
      <c r="B11548" t="s">
        <v>150</v>
      </c>
      <c r="C11548" t="s">
        <v>265</v>
      </c>
      <c r="D11548" t="s">
        <v>394</v>
      </c>
      <c r="F11548">
        <f>HYPERLINK("https://www.wikidata.org/wiki/Q67945020", "Q67945020")</f>
        <v>0</v>
      </c>
      <c r="G11548" t="s">
        <v>2706</v>
      </c>
      <c r="H11548" t="s">
        <v>6341</v>
      </c>
      <c r="I11548" t="s">
        <v>10376</v>
      </c>
      <c r="J11548" t="s">
        <v>13347</v>
      </c>
      <c r="K11548" t="s">
        <v>17747</v>
      </c>
      <c r="L11548">
        <f>HYPERLINK("https://www2.assemblee-nationale.fr/sycomore/fiche/(num_dept)/7613", "7613")</f>
        <v>0</v>
      </c>
      <c r="M11548">
        <f>HYPERLINK("https://www.senat.fr/senateur-3eme-republique/le_provost_de_launay_louis0584r3.html", "le_provost_de_launay_louis0584r3")</f>
        <v>0</v>
      </c>
      <c r="N11548">
        <f>HYPERLINK("https://www.wikidata.org/wiki/Q3262484", "Q3262484")</f>
        <v>0</v>
      </c>
      <c r="O11548" t="s">
        <v>19964</v>
      </c>
      <c r="Q11548" t="s">
        <v>21121</v>
      </c>
      <c r="R11548" t="s">
        <v>21675</v>
      </c>
      <c r="S11548">
        <v>2512</v>
      </c>
    </row>
    <row r="11549" spans="1:19">
      <c r="A11549" t="s">
        <v>133</v>
      </c>
      <c r="B11549" t="s">
        <v>150</v>
      </c>
      <c r="C11549" t="s">
        <v>265</v>
      </c>
      <c r="D11549" t="s">
        <v>394</v>
      </c>
      <c r="F11549">
        <f>HYPERLINK("https://www.wikidata.org/wiki/Q67945020", "Q67945020")</f>
        <v>0</v>
      </c>
      <c r="G11549" t="s">
        <v>3057</v>
      </c>
      <c r="H11549" t="s">
        <v>7511</v>
      </c>
      <c r="I11549" t="s">
        <v>10602</v>
      </c>
      <c r="J11549" t="s">
        <v>13683</v>
      </c>
      <c r="K11549" t="s">
        <v>18064</v>
      </c>
      <c r="L11549">
        <f>HYPERLINK("https://www2.assemblee-nationale.fr/sycomore/fiche/(num_dept)/3076", "3076")</f>
        <v>0</v>
      </c>
      <c r="M11549">
        <f>HYPERLINK("https://www.senat.fr/senateur-3eme-republique/fougeirol_edouard0132r3.html", "fougeirol_edouard0132r3")</f>
        <v>0</v>
      </c>
      <c r="N11549">
        <f>HYPERLINK("https://www.wikidata.org/wiki/Q3579840", "Q3579840")</f>
        <v>0</v>
      </c>
      <c r="O11549" t="s">
        <v>19991</v>
      </c>
      <c r="Q11549" t="s">
        <v>19535</v>
      </c>
      <c r="R11549" t="s">
        <v>21675</v>
      </c>
      <c r="S11549">
        <v>2505</v>
      </c>
    </row>
    <row r="11550" spans="1:19">
      <c r="A11550" t="s">
        <v>133</v>
      </c>
      <c r="B11550" t="s">
        <v>150</v>
      </c>
      <c r="C11550" t="s">
        <v>265</v>
      </c>
      <c r="D11550" t="s">
        <v>394</v>
      </c>
      <c r="F11550">
        <f>HYPERLINK("https://www.wikidata.org/wiki/Q67945020", "Q67945020")</f>
        <v>0</v>
      </c>
      <c r="G11550" t="s">
        <v>2620</v>
      </c>
      <c r="H11550" t="s">
        <v>7167</v>
      </c>
      <c r="I11550" t="s">
        <v>7790</v>
      </c>
      <c r="J11550" t="s">
        <v>13263</v>
      </c>
      <c r="K11550" t="s">
        <v>17664</v>
      </c>
      <c r="L11550">
        <f>HYPERLINK("https://www2.assemblee-nationale.fr/sycomore/fiche/(num_dept)/4903", "4903")</f>
        <v>0</v>
      </c>
      <c r="M11550">
        <f>HYPERLINK("https://www.senat.fr/senateur-3eme-republique/de_maille_de_la_jumelliere_armand1160r3.html", "de_maille_de_la_jumelliere_armand1160r3")</f>
        <v>0</v>
      </c>
      <c r="N11550">
        <f>HYPERLINK("https://www.wikidata.org/wiki/Q2861743", "Q2861743")</f>
        <v>0</v>
      </c>
      <c r="O11550" t="s">
        <v>19980</v>
      </c>
      <c r="Q11550" t="s">
        <v>19535</v>
      </c>
      <c r="R11550" t="s">
        <v>13013</v>
      </c>
      <c r="S11550">
        <v>314</v>
      </c>
    </row>
    <row r="11551" spans="1:19">
      <c r="A11551" t="s">
        <v>133</v>
      </c>
      <c r="B11551" t="s">
        <v>150</v>
      </c>
      <c r="C11551" t="s">
        <v>265</v>
      </c>
      <c r="D11551" t="s">
        <v>394</v>
      </c>
      <c r="F11551">
        <f>HYPERLINK("https://www.wikidata.org/wiki/Q67945020", "Q67945020")</f>
        <v>0</v>
      </c>
      <c r="G11551" t="s">
        <v>4804</v>
      </c>
      <c r="H11551" t="s">
        <v>8944</v>
      </c>
      <c r="I11551" t="s">
        <v>7822</v>
      </c>
      <c r="J11551" t="s">
        <v>15264</v>
      </c>
      <c r="K11551" t="s">
        <v>19571</v>
      </c>
      <c r="M11551">
        <f>HYPERLINK("https://www.senat.fr/senateur-3eme-republique/rousseau_gervais0640r3.html", "rousseau_gervais0640r3")</f>
        <v>0</v>
      </c>
      <c r="N11551">
        <f>HYPERLINK("https://www.wikidata.org/wiki/Q3104419", "Q3104419")</f>
        <v>0</v>
      </c>
      <c r="O11551" t="s">
        <v>19979</v>
      </c>
      <c r="Q11551" t="s">
        <v>19535</v>
      </c>
      <c r="R11551" t="s">
        <v>19571</v>
      </c>
      <c r="S11551">
        <v>1526</v>
      </c>
    </row>
    <row r="11552" spans="1:19">
      <c r="A11552" t="s">
        <v>133</v>
      </c>
      <c r="B11552" t="s">
        <v>150</v>
      </c>
      <c r="C11552" t="s">
        <v>265</v>
      </c>
      <c r="D11552" t="s">
        <v>394</v>
      </c>
      <c r="F11552">
        <f>HYPERLINK("https://www.wikidata.org/wiki/Q67945020", "Q67945020")</f>
        <v>0</v>
      </c>
      <c r="G11552" t="s">
        <v>4805</v>
      </c>
      <c r="H11552" t="s">
        <v>8945</v>
      </c>
      <c r="I11552" t="s">
        <v>9516</v>
      </c>
      <c r="J11552" t="s">
        <v>15265</v>
      </c>
      <c r="K11552" t="s">
        <v>19572</v>
      </c>
      <c r="M11552">
        <f>HYPERLINK("https://www.senat.fr/senateur-3eme-republique/bayol_etienne1737r3.html", "bayol_etienne1737r3")</f>
        <v>0</v>
      </c>
      <c r="N11552">
        <f>HYPERLINK("https://www.wikidata.org/wiki/Q3592058", "Q3592058")</f>
        <v>0</v>
      </c>
      <c r="O11552" t="s">
        <v>20042</v>
      </c>
      <c r="Q11552" t="s">
        <v>19535</v>
      </c>
      <c r="R11552" t="s">
        <v>21668</v>
      </c>
      <c r="S11552">
        <v>1434</v>
      </c>
    </row>
    <row r="11553" spans="1:19">
      <c r="A11553" t="s">
        <v>133</v>
      </c>
      <c r="B11553" t="s">
        <v>150</v>
      </c>
      <c r="C11553" t="s">
        <v>265</v>
      </c>
      <c r="D11553" t="s">
        <v>394</v>
      </c>
      <c r="F11553">
        <f>HYPERLINK("https://www.wikidata.org/wiki/Q67945020", "Q67945020")</f>
        <v>0</v>
      </c>
      <c r="G11553" t="s">
        <v>2739</v>
      </c>
      <c r="H11553" t="s">
        <v>7258</v>
      </c>
      <c r="I11553" t="s">
        <v>10396</v>
      </c>
      <c r="J11553" t="s">
        <v>13380</v>
      </c>
      <c r="K11553" t="s">
        <v>17778</v>
      </c>
      <c r="L11553">
        <f>HYPERLINK("https://www2.assemblee-nationale.fr/sycomore/fiche/(num_dept)/7963", "7963")</f>
        <v>0</v>
      </c>
      <c r="M11553">
        <f>HYPERLINK("https://www.senat.fr/senateur-3eme-republique/herisson_sylvestre1236r3.html", "herisson_sylvestre1236r3")</f>
        <v>0</v>
      </c>
      <c r="N11553">
        <f>HYPERLINK("https://www.wikidata.org/wiki/Q3507186", "Q3507186")</f>
        <v>0</v>
      </c>
      <c r="O11553" t="s">
        <v>20032</v>
      </c>
      <c r="Q11553" t="s">
        <v>21122</v>
      </c>
      <c r="R11553" t="s">
        <v>13013</v>
      </c>
      <c r="S11553">
        <v>286</v>
      </c>
    </row>
    <row r="11554" spans="1:19">
      <c r="A11554" t="s">
        <v>133</v>
      </c>
      <c r="B11554" t="s">
        <v>150</v>
      </c>
      <c r="C11554" t="s">
        <v>265</v>
      </c>
      <c r="D11554" t="s">
        <v>394</v>
      </c>
      <c r="F11554">
        <f>HYPERLINK("https://www.wikidata.org/wiki/Q67945020", "Q67945020")</f>
        <v>0</v>
      </c>
      <c r="G11554" t="s">
        <v>2491</v>
      </c>
      <c r="H11554" t="s">
        <v>7064</v>
      </c>
      <c r="I11554" t="s">
        <v>10242</v>
      </c>
      <c r="J11554" t="s">
        <v>13135</v>
      </c>
      <c r="K11554" t="s">
        <v>17544</v>
      </c>
      <c r="L11554">
        <f>HYPERLINK("https://www2.assemblee-nationale.fr/sycomore/fiche/(num_dept)/420", "420")</f>
        <v>0</v>
      </c>
      <c r="M11554">
        <f>HYPERLINK("https://www.senat.fr/senateur-3eme-republique/barodet_desire1412r3.html", "barodet_desire1412r3")</f>
        <v>0</v>
      </c>
      <c r="N11554">
        <f>HYPERLINK("https://www.wikidata.org/wiki/Q1096310", "Q1096310")</f>
        <v>0</v>
      </c>
      <c r="O11554" t="s">
        <v>19969</v>
      </c>
      <c r="Q11554" t="s">
        <v>21123</v>
      </c>
      <c r="R11554" t="s">
        <v>21668</v>
      </c>
      <c r="S11554">
        <v>1385</v>
      </c>
    </row>
    <row r="11555" spans="1:19">
      <c r="A11555" t="s">
        <v>133</v>
      </c>
      <c r="B11555" t="s">
        <v>150</v>
      </c>
      <c r="C11555" t="s">
        <v>265</v>
      </c>
      <c r="D11555" t="s">
        <v>394</v>
      </c>
      <c r="F11555">
        <f>HYPERLINK("https://www.wikidata.org/wiki/Q67945020", "Q67945020")</f>
        <v>0</v>
      </c>
      <c r="G11555" t="s">
        <v>3648</v>
      </c>
      <c r="H11555" t="s">
        <v>7979</v>
      </c>
      <c r="I11555" t="s">
        <v>10918</v>
      </c>
      <c r="J11555" t="s">
        <v>14228</v>
      </c>
      <c r="K11555" t="s">
        <v>18590</v>
      </c>
      <c r="L11555">
        <f>HYPERLINK("https://www2.assemblee-nationale.fr/sycomore/fiche/(num_dept)/2386", "2386")</f>
        <v>0</v>
      </c>
      <c r="M11555">
        <f>HYPERLINK("https://www.senat.fr/senateur-3eme-republique/denoix_arnaud0671r3.html", "denoix_arnaud0671r3")</f>
        <v>0</v>
      </c>
      <c r="N11555">
        <f>HYPERLINK("https://www.wikidata.org/wiki/Q2863097", "Q2863097")</f>
        <v>0</v>
      </c>
      <c r="O11555" t="s">
        <v>20010</v>
      </c>
      <c r="Q11555" t="s">
        <v>21123</v>
      </c>
      <c r="R11555" t="s">
        <v>21675</v>
      </c>
      <c r="S11555">
        <v>2456</v>
      </c>
    </row>
    <row r="11556" spans="1:19">
      <c r="A11556" t="s">
        <v>133</v>
      </c>
      <c r="B11556" t="s">
        <v>150</v>
      </c>
      <c r="C11556" t="s">
        <v>265</v>
      </c>
      <c r="D11556" t="s">
        <v>394</v>
      </c>
      <c r="F11556">
        <f>HYPERLINK("https://www.wikidata.org/wiki/Q67945020", "Q67945020")</f>
        <v>0</v>
      </c>
      <c r="G11556" t="s">
        <v>4806</v>
      </c>
      <c r="H11556" t="s">
        <v>8946</v>
      </c>
      <c r="I11556" t="s">
        <v>9449</v>
      </c>
      <c r="J11556" t="s">
        <v>15266</v>
      </c>
      <c r="K11556" t="s">
        <v>19573</v>
      </c>
      <c r="M11556">
        <f>HYPERLINK("https://www.senat.fr/senateur-3eme-republique/bastide_jules1581r3.html", "bastide_jules1581r3")</f>
        <v>0</v>
      </c>
      <c r="N11556">
        <f>HYPERLINK("https://www.wikidata.org/wiki/Q3188420", "Q3188420")</f>
        <v>0</v>
      </c>
      <c r="O11556" t="s">
        <v>20026</v>
      </c>
      <c r="Q11556" t="s">
        <v>21124</v>
      </c>
      <c r="R11556" t="s">
        <v>21668</v>
      </c>
      <c r="S11556">
        <v>1378</v>
      </c>
    </row>
    <row r="11557" spans="1:19">
      <c r="A11557" t="s">
        <v>133</v>
      </c>
      <c r="B11557" t="s">
        <v>150</v>
      </c>
      <c r="C11557" t="s">
        <v>265</v>
      </c>
      <c r="D11557" t="s">
        <v>394</v>
      </c>
      <c r="F11557">
        <f>HYPERLINK("https://www.wikidata.org/wiki/Q67945020", "Q67945020")</f>
        <v>0</v>
      </c>
      <c r="G11557" t="s">
        <v>3594</v>
      </c>
      <c r="H11557" t="s">
        <v>7941</v>
      </c>
      <c r="I11557" t="s">
        <v>10897</v>
      </c>
      <c r="J11557" t="s">
        <v>13493</v>
      </c>
      <c r="K11557" t="s">
        <v>18546</v>
      </c>
      <c r="L11557">
        <f>HYPERLINK("https://www2.assemblee-nationale.fr/sycomore/fiche/(num_dept)/6590", "6590")</f>
        <v>0</v>
      </c>
      <c r="M11557">
        <f>HYPERLINK("https://www.senat.fr/senateur-3eme-republique/rambourgt_eugene0229r3.html", "rambourgt_eugene0229r3")</f>
        <v>0</v>
      </c>
      <c r="N11557">
        <f>HYPERLINK("https://www.wikidata.org/wiki/Q3060124", "Q3060124")</f>
        <v>0</v>
      </c>
      <c r="O11557" t="s">
        <v>8449</v>
      </c>
      <c r="Q11557" t="s">
        <v>20820</v>
      </c>
      <c r="R11557" t="s">
        <v>21675</v>
      </c>
      <c r="S11557">
        <v>2386</v>
      </c>
    </row>
    <row r="11558" spans="1:19">
      <c r="A11558" t="s">
        <v>133</v>
      </c>
      <c r="B11558" t="s">
        <v>150</v>
      </c>
      <c r="C11558" t="s">
        <v>265</v>
      </c>
      <c r="D11558" t="s">
        <v>394</v>
      </c>
      <c r="F11558">
        <f>HYPERLINK("https://www.wikidata.org/wiki/Q67945020", "Q67945020")</f>
        <v>0</v>
      </c>
      <c r="G11558" t="s">
        <v>4807</v>
      </c>
      <c r="H11558" t="s">
        <v>8947</v>
      </c>
      <c r="I11558" t="s">
        <v>6495</v>
      </c>
      <c r="J11558" t="s">
        <v>15267</v>
      </c>
      <c r="K11558" t="s">
        <v>19574</v>
      </c>
      <c r="M11558">
        <f>HYPERLINK("https://www.senat.fr/senateur-3eme-republique/parisot_louis1804r3.html", "parisot_louis1804r3")</f>
        <v>0</v>
      </c>
      <c r="N11558">
        <f>HYPERLINK("https://www.wikidata.org/wiki/Q3262842", "Q3262842")</f>
        <v>0</v>
      </c>
      <c r="O11558" t="s">
        <v>20017</v>
      </c>
      <c r="Q11558" t="s">
        <v>20820</v>
      </c>
      <c r="R11558" t="s">
        <v>21668</v>
      </c>
      <c r="S11558">
        <v>1315</v>
      </c>
    </row>
    <row r="11559" spans="1:19">
      <c r="A11559" t="s">
        <v>133</v>
      </c>
      <c r="B11559" t="s">
        <v>150</v>
      </c>
      <c r="C11559" t="s">
        <v>265</v>
      </c>
      <c r="D11559" t="s">
        <v>394</v>
      </c>
      <c r="F11559">
        <f>HYPERLINK("https://www.wikidata.org/wiki/Q67945020", "Q67945020")</f>
        <v>0</v>
      </c>
      <c r="G11559" t="s">
        <v>3360</v>
      </c>
      <c r="H11559" t="s">
        <v>6817</v>
      </c>
      <c r="I11559" t="s">
        <v>9407</v>
      </c>
      <c r="J11559" t="s">
        <v>13972</v>
      </c>
      <c r="K11559" t="s">
        <v>18341</v>
      </c>
      <c r="L11559">
        <f>HYPERLINK("https://www2.assemblee-nationale.fr/sycomore/fiche/(num_dept)/3585", "3585")</f>
        <v>0</v>
      </c>
      <c r="M11559">
        <f>HYPERLINK("https://www.senat.fr/senateur-3eme-republique/grimaud_joseph0083r3.html", "grimaud_joseph0083r3")</f>
        <v>0</v>
      </c>
      <c r="N11559">
        <f>HYPERLINK("https://www.wikidata.org/wiki/Q3185036", "Q3185036")</f>
        <v>0</v>
      </c>
      <c r="O11559" t="s">
        <v>19981</v>
      </c>
      <c r="Q11559" t="s">
        <v>21125</v>
      </c>
      <c r="R11559" t="s">
        <v>21675</v>
      </c>
      <c r="S11559">
        <v>2337</v>
      </c>
    </row>
    <row r="11560" spans="1:19">
      <c r="A11560" t="s">
        <v>133</v>
      </c>
      <c r="B11560" t="s">
        <v>150</v>
      </c>
      <c r="C11560" t="s">
        <v>265</v>
      </c>
      <c r="D11560" t="s">
        <v>394</v>
      </c>
      <c r="F11560">
        <f>HYPERLINK("https://www.wikidata.org/wiki/Q67945020", "Q67945020")</f>
        <v>0</v>
      </c>
      <c r="G11560" t="s">
        <v>734</v>
      </c>
      <c r="H11560" t="s">
        <v>5492</v>
      </c>
      <c r="I11560" t="s">
        <v>6200</v>
      </c>
      <c r="J11560" t="s">
        <v>11483</v>
      </c>
      <c r="K11560" t="s">
        <v>15885</v>
      </c>
      <c r="L11560">
        <f>HYPERLINK("https://www2.assemblee-nationale.fr/sycomore/fiche/(num_dept)/5337", "5337")</f>
        <v>0</v>
      </c>
      <c r="M11560">
        <f>HYPERLINK("https://www.senat.fr/senateur-3eme-republique/monestier_clement0859r3.html", "monestier_clement0859r3")</f>
        <v>0</v>
      </c>
      <c r="N11560">
        <f>HYPERLINK("https://www.wikidata.org/wiki/Q3173571", "Q3173571")</f>
        <v>0</v>
      </c>
      <c r="O11560" t="s">
        <v>20004</v>
      </c>
      <c r="Q11560" t="s">
        <v>17889</v>
      </c>
      <c r="R11560" t="s">
        <v>13013</v>
      </c>
      <c r="S11560">
        <v>125</v>
      </c>
    </row>
    <row r="11561" spans="1:19">
      <c r="A11561" t="s">
        <v>133</v>
      </c>
      <c r="B11561" t="s">
        <v>150</v>
      </c>
      <c r="C11561" t="s">
        <v>265</v>
      </c>
      <c r="D11561" t="s">
        <v>394</v>
      </c>
      <c r="F11561">
        <f>HYPERLINK("https://www.wikidata.org/wiki/Q67945020", "Q67945020")</f>
        <v>0</v>
      </c>
      <c r="G11561" t="s">
        <v>4808</v>
      </c>
      <c r="H11561" t="s">
        <v>8948</v>
      </c>
      <c r="I11561" t="s">
        <v>9388</v>
      </c>
      <c r="J11561" t="s">
        <v>15268</v>
      </c>
      <c r="K11561" t="s">
        <v>19575</v>
      </c>
      <c r="M11561">
        <f>HYPERLINK("https://www.senat.fr/senateur-3eme-republique/destieux_junca_paul0156r3.html", "destieux_junca_paul0156r3")</f>
        <v>0</v>
      </c>
      <c r="N11561">
        <f>HYPERLINK("https://www.wikidata.org/wiki/Q3371060", "Q3371060")</f>
        <v>0</v>
      </c>
      <c r="O11561" t="s">
        <v>20003</v>
      </c>
      <c r="Q11561" t="s">
        <v>21126</v>
      </c>
      <c r="R11561" t="s">
        <v>13013</v>
      </c>
      <c r="S11561">
        <v>118</v>
      </c>
    </row>
    <row r="11562" spans="1:19">
      <c r="A11562" t="s">
        <v>133</v>
      </c>
      <c r="B11562" t="s">
        <v>150</v>
      </c>
      <c r="C11562" t="s">
        <v>265</v>
      </c>
      <c r="D11562" t="s">
        <v>394</v>
      </c>
      <c r="F11562">
        <f>HYPERLINK("https://www.wikidata.org/wiki/Q67945020", "Q67945020")</f>
        <v>0</v>
      </c>
      <c r="G11562" t="s">
        <v>3532</v>
      </c>
      <c r="H11562" t="s">
        <v>7893</v>
      </c>
      <c r="I11562" t="s">
        <v>10570</v>
      </c>
      <c r="J11562" t="s">
        <v>14126</v>
      </c>
      <c r="K11562" t="s">
        <v>18491</v>
      </c>
      <c r="L11562">
        <f>HYPERLINK("https://www2.assemblee-nationale.fr/sycomore/fiche/(num_dept)/777", "777")</f>
        <v>0</v>
      </c>
      <c r="M11562">
        <f>HYPERLINK("https://www.senat.fr/senateur-3eme-republique/bezine_paul1849r3.html", "bezine_paul1849r3")</f>
        <v>0</v>
      </c>
      <c r="N11562">
        <f>HYPERLINK("https://www.wikidata.org/wiki/Q3370642", "Q3370642")</f>
        <v>0</v>
      </c>
      <c r="O11562" t="s">
        <v>20034</v>
      </c>
      <c r="Q11562" t="s">
        <v>21127</v>
      </c>
      <c r="R11562" t="s">
        <v>21668</v>
      </c>
      <c r="S11562">
        <v>1231</v>
      </c>
    </row>
    <row r="11563" spans="1:19">
      <c r="A11563" t="s">
        <v>134</v>
      </c>
      <c r="B11563" t="s">
        <v>150</v>
      </c>
      <c r="C11563" t="s">
        <v>266</v>
      </c>
      <c r="D11563" t="s">
        <v>395</v>
      </c>
      <c r="F11563">
        <f>HYPERLINK("https://www.wikidata.org/wiki/Q67944206", "Q67944206")</f>
        <v>0</v>
      </c>
      <c r="G11563" t="s">
        <v>3229</v>
      </c>
      <c r="H11563" t="s">
        <v>7655</v>
      </c>
      <c r="I11563" t="s">
        <v>7763</v>
      </c>
      <c r="J11563" t="s">
        <v>13848</v>
      </c>
      <c r="K11563" t="s">
        <v>18219</v>
      </c>
      <c r="L11563">
        <f>HYPERLINK("https://www2.assemblee-nationale.fr/sycomore/fiche/(num_dept)/15", "15")</f>
        <v>0</v>
      </c>
      <c r="M11563">
        <f>HYPERLINK("https://www.senat.fr/senateur-3eme-republique/abeille_valentin0093r3.html", "abeille_valentin0093r3")</f>
        <v>0</v>
      </c>
      <c r="N11563">
        <f>HYPERLINK("https://www.wikidata.org/wiki/Q3553555", "Q3553555")</f>
        <v>0</v>
      </c>
      <c r="O11563" t="s">
        <v>20016</v>
      </c>
      <c r="Q11563" t="s">
        <v>395</v>
      </c>
      <c r="R11563" t="s">
        <v>18219</v>
      </c>
      <c r="S11563">
        <v>2003</v>
      </c>
    </row>
    <row r="11564" spans="1:19">
      <c r="A11564" t="s">
        <v>134</v>
      </c>
      <c r="B11564" t="s">
        <v>150</v>
      </c>
      <c r="C11564" t="s">
        <v>266</v>
      </c>
      <c r="D11564" t="s">
        <v>395</v>
      </c>
      <c r="F11564">
        <f>HYPERLINK("https://www.wikidata.org/wiki/Q67944206", "Q67944206")</f>
        <v>0</v>
      </c>
      <c r="G11564" t="s">
        <v>2494</v>
      </c>
      <c r="H11564" t="s">
        <v>7066</v>
      </c>
      <c r="I11564" t="s">
        <v>10245</v>
      </c>
      <c r="J11564" t="s">
        <v>13138</v>
      </c>
      <c r="K11564" t="s">
        <v>17547</v>
      </c>
      <c r="L11564">
        <f>HYPERLINK("https://www2.assemblee-nationale.fr/sycomore/fiche/(num_dept)/587", "587")</f>
        <v>0</v>
      </c>
      <c r="M11564">
        <f>HYPERLINK("https://www.senat.fr/senateur-3eme-republique/belle_antoine0299r3.html", "belle_antoine0299r3")</f>
        <v>0</v>
      </c>
      <c r="N11564">
        <f>HYPERLINK("https://www.wikidata.org/wiki/Q2853457", "Q2853457")</f>
        <v>0</v>
      </c>
      <c r="O11564" t="s">
        <v>20008</v>
      </c>
      <c r="Q11564" t="s">
        <v>395</v>
      </c>
      <c r="R11564" t="s">
        <v>21665</v>
      </c>
      <c r="S11564">
        <v>3289</v>
      </c>
    </row>
    <row r="11565" spans="1:19">
      <c r="A11565" t="s">
        <v>134</v>
      </c>
      <c r="B11565" t="s">
        <v>150</v>
      </c>
      <c r="C11565" t="s">
        <v>266</v>
      </c>
      <c r="D11565" t="s">
        <v>395</v>
      </c>
      <c r="F11565">
        <f>HYPERLINK("https://www.wikidata.org/wiki/Q67944206", "Q67944206")</f>
        <v>0</v>
      </c>
      <c r="G11565" t="s">
        <v>535</v>
      </c>
      <c r="H11565" t="s">
        <v>5299</v>
      </c>
      <c r="I11565" t="s">
        <v>9398</v>
      </c>
      <c r="J11565" t="s">
        <v>11287</v>
      </c>
      <c r="K11565" t="s">
        <v>15687</v>
      </c>
      <c r="L11565">
        <f>HYPERLINK("https://www2.assemblee-nationale.fr/sycomore/fiche/(num_dept)/908", "908")</f>
        <v>0</v>
      </c>
      <c r="M11565">
        <f>HYPERLINK("https://www.senat.fr/senateur-3eme-republique/boissel_victor0963r3.html", "boissel_victor0963r3")</f>
        <v>0</v>
      </c>
      <c r="N11565">
        <f>HYPERLINK("https://www.wikidata.org/wiki/Q3557166", "Q3557166")</f>
        <v>0</v>
      </c>
      <c r="O11565" t="s">
        <v>19984</v>
      </c>
      <c r="Q11565" t="s">
        <v>395</v>
      </c>
      <c r="R11565" t="s">
        <v>21665</v>
      </c>
      <c r="S11565">
        <v>3289</v>
      </c>
    </row>
    <row r="11566" spans="1:19">
      <c r="A11566" t="s">
        <v>134</v>
      </c>
      <c r="B11566" t="s">
        <v>150</v>
      </c>
      <c r="C11566" t="s">
        <v>266</v>
      </c>
      <c r="D11566" t="s">
        <v>395</v>
      </c>
      <c r="F11566">
        <f>HYPERLINK("https://www.wikidata.org/wiki/Q67944206", "Q67944206")</f>
        <v>0</v>
      </c>
      <c r="G11566" t="s">
        <v>3099</v>
      </c>
      <c r="H11566" t="s">
        <v>7545</v>
      </c>
      <c r="I11566" t="s">
        <v>10631</v>
      </c>
      <c r="J11566" t="s">
        <v>13721</v>
      </c>
      <c r="K11566" t="s">
        <v>18103</v>
      </c>
      <c r="L11566">
        <f>HYPERLINK("https://www2.assemblee-nationale.fr/sycomore/fiche/(num_dept)/1087", "1087")</f>
        <v>0</v>
      </c>
      <c r="M11566">
        <f>HYPERLINK("https://www.senat.fr/senateur-3eme-republique/bourgeois_jean0438r3.html", "bourgeois_jean0438r3")</f>
        <v>0</v>
      </c>
      <c r="N11566">
        <f>HYPERLINK("https://www.wikidata.org/wiki/Q3163901", "Q3163901")</f>
        <v>0</v>
      </c>
      <c r="O11566" t="s">
        <v>20041</v>
      </c>
      <c r="Q11566" t="s">
        <v>395</v>
      </c>
      <c r="R11566" t="s">
        <v>21680</v>
      </c>
      <c r="S11566">
        <v>37</v>
      </c>
    </row>
    <row r="11567" spans="1:19">
      <c r="A11567" t="s">
        <v>134</v>
      </c>
      <c r="B11567" t="s">
        <v>150</v>
      </c>
      <c r="C11567" t="s">
        <v>266</v>
      </c>
      <c r="D11567" t="s">
        <v>395</v>
      </c>
      <c r="F11567">
        <f>HYPERLINK("https://www.wikidata.org/wiki/Q67944206", "Q67944206")</f>
        <v>0</v>
      </c>
      <c r="G11567" t="s">
        <v>3054</v>
      </c>
      <c r="H11567" t="s">
        <v>7509</v>
      </c>
      <c r="I11567" t="s">
        <v>10571</v>
      </c>
      <c r="J11567" t="s">
        <v>13680</v>
      </c>
      <c r="K11567" t="s">
        <v>18061</v>
      </c>
      <c r="L11567">
        <f>HYPERLINK("https://www2.assemblee-nationale.fr/sycomore/fiche/(num_dept)/1224", "1224")</f>
        <v>0</v>
      </c>
      <c r="M11567">
        <f>HYPERLINK("https://www.senat.fr/senateur-3eme-republique/briens_ernest1030r3.html", "briens_ernest1030r3")</f>
        <v>0</v>
      </c>
      <c r="N11567">
        <f>HYPERLINK("https://www.wikidata.org/wiki/Q3056863", "Q3056863")</f>
        <v>0</v>
      </c>
      <c r="O11567" t="s">
        <v>19985</v>
      </c>
      <c r="Q11567" t="s">
        <v>395</v>
      </c>
      <c r="R11567" t="s">
        <v>21650</v>
      </c>
      <c r="S11567">
        <v>17822</v>
      </c>
    </row>
    <row r="11568" spans="1:19">
      <c r="A11568" t="s">
        <v>134</v>
      </c>
      <c r="B11568" t="s">
        <v>150</v>
      </c>
      <c r="C11568" t="s">
        <v>266</v>
      </c>
      <c r="D11568" t="s">
        <v>395</v>
      </c>
      <c r="F11568">
        <f>HYPERLINK("https://www.wikidata.org/wiki/Q67944206", "Q67944206")</f>
        <v>0</v>
      </c>
      <c r="G11568" t="s">
        <v>2947</v>
      </c>
      <c r="H11568" t="s">
        <v>7422</v>
      </c>
      <c r="I11568" t="s">
        <v>9849</v>
      </c>
      <c r="J11568" t="s">
        <v>13580</v>
      </c>
      <c r="K11568" t="s">
        <v>17965</v>
      </c>
      <c r="L11568">
        <f>HYPERLINK("https://www2.assemblee-nationale.fr/sycomore/fiche/(num_dept)/1331", "1331")</f>
        <v>0</v>
      </c>
      <c r="M11568">
        <f>HYPERLINK("https://www.senat.fr/senateur-3eme-republique/buvignier_jean1022r3.html", "buvignier_jean1022r3")</f>
        <v>0</v>
      </c>
      <c r="N11568">
        <f>HYPERLINK("https://www.wikidata.org/wiki/Q3171041", "Q3171041")</f>
        <v>0</v>
      </c>
      <c r="O11568" t="s">
        <v>20030</v>
      </c>
      <c r="Q11568" t="s">
        <v>395</v>
      </c>
      <c r="R11568" t="s">
        <v>21650</v>
      </c>
      <c r="S11568">
        <v>17822</v>
      </c>
    </row>
    <row r="11569" spans="1:19">
      <c r="A11569" t="s">
        <v>134</v>
      </c>
      <c r="B11569" t="s">
        <v>150</v>
      </c>
      <c r="C11569" t="s">
        <v>266</v>
      </c>
      <c r="D11569" t="s">
        <v>395</v>
      </c>
      <c r="F11569">
        <f>HYPERLINK("https://www.wikidata.org/wiki/Q67944206", "Q67944206")</f>
        <v>0</v>
      </c>
      <c r="G11569" t="s">
        <v>3540</v>
      </c>
      <c r="H11569" t="s">
        <v>7901</v>
      </c>
      <c r="I11569" t="s">
        <v>10873</v>
      </c>
      <c r="J11569" t="s">
        <v>11726</v>
      </c>
      <c r="K11569" t="s">
        <v>18225</v>
      </c>
      <c r="L11569">
        <f>HYPERLINK("https://www2.assemblee-nationale.fr/sycomore/fiche/(num_dept)/1338", "1338")</f>
        <v>0</v>
      </c>
      <c r="M11569">
        <f>HYPERLINK("https://www.senat.fr/senateur-3eme-republique/cabart_danneville_charles_maurice1036r3.html", "cabart_danneville_charles_maurice1036r3")</f>
        <v>0</v>
      </c>
      <c r="N11569">
        <f>HYPERLINK("https://www.wikidata.org/wiki/Q2959776", "Q2959776")</f>
        <v>0</v>
      </c>
      <c r="O11569" t="s">
        <v>19985</v>
      </c>
      <c r="Q11569" t="s">
        <v>395</v>
      </c>
      <c r="R11569" t="s">
        <v>21665</v>
      </c>
      <c r="S11569">
        <v>3289</v>
      </c>
    </row>
    <row r="11570" spans="1:19">
      <c r="A11570" t="s">
        <v>134</v>
      </c>
      <c r="B11570" t="s">
        <v>150</v>
      </c>
      <c r="C11570" t="s">
        <v>266</v>
      </c>
      <c r="D11570" t="s">
        <v>395</v>
      </c>
      <c r="F11570">
        <f>HYPERLINK("https://www.wikidata.org/wiki/Q67944206", "Q67944206")</f>
        <v>0</v>
      </c>
      <c r="G11570" t="s">
        <v>2527</v>
      </c>
      <c r="H11570" t="s">
        <v>7089</v>
      </c>
      <c r="I11570" t="s">
        <v>7790</v>
      </c>
      <c r="J11570" t="s">
        <v>13171</v>
      </c>
      <c r="K11570" t="s">
        <v>17577</v>
      </c>
      <c r="L11570">
        <f>HYPERLINK("https://www2.assemblee-nationale.fr/sycomore/fiche/(num_dept)/1354", "1354")</f>
        <v>0</v>
      </c>
      <c r="M11570">
        <f>HYPERLINK("https://www.senat.fr/senateur-3eme-republique/caduc_armand0216r3.html", "caduc_armand0216r3")</f>
        <v>0</v>
      </c>
      <c r="N11570">
        <f>HYPERLINK("https://www.wikidata.org/wiki/Q2861789", "Q2861789")</f>
        <v>0</v>
      </c>
      <c r="O11570" t="s">
        <v>19987</v>
      </c>
      <c r="Q11570" t="s">
        <v>395</v>
      </c>
      <c r="R11570" t="s">
        <v>21650</v>
      </c>
      <c r="S11570">
        <v>17822</v>
      </c>
    </row>
    <row r="11571" spans="1:19">
      <c r="A11571" t="s">
        <v>134</v>
      </c>
      <c r="B11571" t="s">
        <v>150</v>
      </c>
      <c r="C11571" t="s">
        <v>266</v>
      </c>
      <c r="D11571" t="s">
        <v>395</v>
      </c>
      <c r="F11571">
        <f>HYPERLINK("https://www.wikidata.org/wiki/Q67944206", "Q67944206")</f>
        <v>0</v>
      </c>
      <c r="G11571" t="s">
        <v>2542</v>
      </c>
      <c r="H11571" t="s">
        <v>5867</v>
      </c>
      <c r="I11571" t="s">
        <v>9442</v>
      </c>
      <c r="J11571" t="s">
        <v>13186</v>
      </c>
      <c r="K11571" t="s">
        <v>17591</v>
      </c>
      <c r="L11571">
        <f>HYPERLINK("https://www2.assemblee-nationale.fr/sycomore/fiche/(num_dept)/1942", "1942")</f>
        <v>0</v>
      </c>
      <c r="M11571">
        <f>HYPERLINK("https://www.senat.fr/senateur-3eme-republique/constans_ernest0107r3.html", "constans_ernest0107r3")</f>
        <v>0</v>
      </c>
      <c r="N11571">
        <f>HYPERLINK("https://www.wikidata.org/wiki/Q1934639", "Q1934639")</f>
        <v>0</v>
      </c>
      <c r="O11571" t="s">
        <v>20016</v>
      </c>
      <c r="Q11571" t="s">
        <v>395</v>
      </c>
      <c r="R11571" t="s">
        <v>21650</v>
      </c>
      <c r="S11571">
        <v>17822</v>
      </c>
    </row>
    <row r="11572" spans="1:19">
      <c r="A11572" t="s">
        <v>134</v>
      </c>
      <c r="B11572" t="s">
        <v>150</v>
      </c>
      <c r="C11572" t="s">
        <v>266</v>
      </c>
      <c r="D11572" t="s">
        <v>395</v>
      </c>
      <c r="F11572">
        <f>HYPERLINK("https://www.wikidata.org/wiki/Q67944206", "Q67944206")</f>
        <v>0</v>
      </c>
      <c r="G11572" t="s">
        <v>2545</v>
      </c>
      <c r="H11572" t="s">
        <v>7104</v>
      </c>
      <c r="I11572" t="s">
        <v>10279</v>
      </c>
      <c r="J11572" t="s">
        <v>13189</v>
      </c>
      <c r="K11572" t="s">
        <v>17594</v>
      </c>
      <c r="L11572">
        <f>HYPERLINK("https://www2.assemblee-nationale.fr/sycomore/fiche/(num_dept)/2120", "2120")</f>
        <v>0</v>
      </c>
      <c r="M11572">
        <f>HYPERLINK("https://www.senat.fr/senateur-3eme-republique/danelle_bernardin_jean0870r3.html", "danelle_bernardin_jean0870r3")</f>
        <v>0</v>
      </c>
      <c r="N11572">
        <f>HYPERLINK("https://www.wikidata.org/wiki/Q3171537", "Q3171537")</f>
        <v>0</v>
      </c>
      <c r="O11572" t="s">
        <v>20022</v>
      </c>
      <c r="Q11572" t="s">
        <v>395</v>
      </c>
      <c r="R11572" t="s">
        <v>21665</v>
      </c>
      <c r="S11572">
        <v>3289</v>
      </c>
    </row>
    <row r="11573" spans="1:19">
      <c r="A11573" t="s">
        <v>134</v>
      </c>
      <c r="B11573" t="s">
        <v>150</v>
      </c>
      <c r="C11573" t="s">
        <v>266</v>
      </c>
      <c r="D11573" t="s">
        <v>395</v>
      </c>
      <c r="F11573">
        <f>HYPERLINK("https://www.wikidata.org/wiki/Q67944206", "Q67944206")</f>
        <v>0</v>
      </c>
      <c r="G11573" t="s">
        <v>3110</v>
      </c>
      <c r="H11573" t="s">
        <v>7555</v>
      </c>
      <c r="I11573" t="s">
        <v>10640</v>
      </c>
      <c r="J11573" t="s">
        <v>13732</v>
      </c>
      <c r="K11573" t="s">
        <v>18114</v>
      </c>
      <c r="L11573">
        <f>HYPERLINK("https://www2.assemblee-nationale.fr/sycomore/fiche/(num_dept)/2183", "2183")</f>
        <v>0</v>
      </c>
      <c r="M11573">
        <f>HYPERLINK("https://www.senat.fr/senateur-3eme-republique/deandreis_elisee0249r3.html", "deandreis_elisee0249r3")</f>
        <v>0</v>
      </c>
      <c r="N11573">
        <f>HYPERLINK("https://www.wikidata.org/wiki/Q3587969", "Q3587969")</f>
        <v>0</v>
      </c>
      <c r="O11573" t="s">
        <v>7411</v>
      </c>
      <c r="Q11573" t="s">
        <v>395</v>
      </c>
      <c r="R11573" t="s">
        <v>21650</v>
      </c>
      <c r="S11573">
        <v>17822</v>
      </c>
    </row>
    <row r="11574" spans="1:19">
      <c r="A11574" t="s">
        <v>134</v>
      </c>
      <c r="B11574" t="s">
        <v>150</v>
      </c>
      <c r="C11574" t="s">
        <v>266</v>
      </c>
      <c r="D11574" t="s">
        <v>395</v>
      </c>
      <c r="F11574">
        <f>HYPERLINK("https://www.wikidata.org/wiki/Q67944206", "Q67944206")</f>
        <v>0</v>
      </c>
      <c r="G11574" t="s">
        <v>2559</v>
      </c>
      <c r="H11574" t="s">
        <v>7117</v>
      </c>
      <c r="I11574" t="s">
        <v>10017</v>
      </c>
      <c r="J11574" t="s">
        <v>13203</v>
      </c>
      <c r="K11574" t="s">
        <v>17607</v>
      </c>
      <c r="L11574">
        <f>HYPERLINK("https://www2.assemblee-nationale.fr/sycomore/fiche/(num_dept)/2632", "2632")</f>
        <v>0</v>
      </c>
      <c r="M11574">
        <f>HYPERLINK("https://www.senat.fr/senateur-3eme-republique/dubost_antonin1187r3.html", "dubost_antonin1187r3")</f>
        <v>0</v>
      </c>
      <c r="N11574">
        <f>HYPERLINK("https://www.wikidata.org/wiki/Q2857118", "Q2857118")</f>
        <v>0</v>
      </c>
      <c r="O11574" t="s">
        <v>20006</v>
      </c>
      <c r="Q11574" t="s">
        <v>395</v>
      </c>
      <c r="R11574" t="s">
        <v>21665</v>
      </c>
      <c r="S11574">
        <v>3289</v>
      </c>
    </row>
    <row r="11575" spans="1:19">
      <c r="A11575" t="s">
        <v>134</v>
      </c>
      <c r="B11575" t="s">
        <v>150</v>
      </c>
      <c r="C11575" t="s">
        <v>266</v>
      </c>
      <c r="D11575" t="s">
        <v>395</v>
      </c>
      <c r="F11575">
        <f>HYPERLINK("https://www.wikidata.org/wiki/Q67944206", "Q67944206")</f>
        <v>0</v>
      </c>
      <c r="G11575" t="s">
        <v>3116</v>
      </c>
      <c r="H11575" t="s">
        <v>7561</v>
      </c>
      <c r="I11575" t="s">
        <v>6166</v>
      </c>
      <c r="J11575" t="s">
        <v>13738</v>
      </c>
      <c r="K11575" t="s">
        <v>18120</v>
      </c>
      <c r="L11575">
        <f>HYPERLINK("https://www2.assemblee-nationale.fr/sycomore/fiche/(num_dept)/2657", "2657")</f>
        <v>0</v>
      </c>
      <c r="M11575">
        <f>HYPERLINK("https://www.senat.fr/senateur-3eme-republique/ducoudray_felix1262r3.html", "ducoudray_felix1262r3")</f>
        <v>0</v>
      </c>
      <c r="N11575">
        <f>HYPERLINK("https://www.wikidata.org/wiki/Q3092431", "Q3092431")</f>
        <v>0</v>
      </c>
      <c r="O11575" t="s">
        <v>20032</v>
      </c>
      <c r="Q11575" t="s">
        <v>395</v>
      </c>
      <c r="R11575" t="s">
        <v>21681</v>
      </c>
      <c r="S11575">
        <v>414</v>
      </c>
    </row>
    <row r="11576" spans="1:19">
      <c r="A11576" t="s">
        <v>134</v>
      </c>
      <c r="B11576" t="s">
        <v>150</v>
      </c>
      <c r="C11576" t="s">
        <v>266</v>
      </c>
      <c r="D11576" t="s">
        <v>395</v>
      </c>
      <c r="F11576">
        <f>HYPERLINK("https://www.wikidata.org/wiki/Q67944206", "Q67944206")</f>
        <v>0</v>
      </c>
      <c r="G11576" t="s">
        <v>3118</v>
      </c>
      <c r="H11576" t="s">
        <v>7562</v>
      </c>
      <c r="I11576" t="s">
        <v>10643</v>
      </c>
      <c r="J11576" t="s">
        <v>13740</v>
      </c>
      <c r="K11576" t="s">
        <v>18121</v>
      </c>
      <c r="L11576">
        <f>HYPERLINK("https://www2.assemblee-nationale.fr/sycomore/fiche/(num_dept)/2762", "2762")</f>
        <v>0</v>
      </c>
      <c r="M11576">
        <f>HYPERLINK("https://www.senat.fr/senateur-3eme-republique/durand_savoyat_leonce1197r3.html", "durand_savoyat_leonce1197r3")</f>
        <v>0</v>
      </c>
      <c r="N11576">
        <f>HYPERLINK("https://www.wikidata.org/wiki/Q3271559", "Q3271559")</f>
        <v>0</v>
      </c>
      <c r="O11576" t="s">
        <v>20006</v>
      </c>
      <c r="Q11576" t="s">
        <v>395</v>
      </c>
      <c r="R11576" t="s">
        <v>21650</v>
      </c>
      <c r="S11576">
        <v>17822</v>
      </c>
    </row>
    <row r="11577" spans="1:19">
      <c r="A11577" t="s">
        <v>134</v>
      </c>
      <c r="B11577" t="s">
        <v>150</v>
      </c>
      <c r="C11577" t="s">
        <v>266</v>
      </c>
      <c r="D11577" t="s">
        <v>395</v>
      </c>
      <c r="F11577">
        <f>HYPERLINK("https://www.wikidata.org/wiki/Q67944206", "Q67944206")</f>
        <v>0</v>
      </c>
      <c r="G11577" t="s">
        <v>2570</v>
      </c>
      <c r="H11577" t="s">
        <v>6156</v>
      </c>
      <c r="I11577" t="s">
        <v>7790</v>
      </c>
      <c r="J11577" t="s">
        <v>13214</v>
      </c>
      <c r="K11577" t="s">
        <v>17617</v>
      </c>
      <c r="L11577">
        <f>HYPERLINK("https://www2.assemblee-nationale.fr/sycomore/fiche/(num_dept)/2901", "2901")</f>
        <v>0</v>
      </c>
      <c r="M11577">
        <f>HYPERLINK("https://www.senat.fr/senateur-3eme-republique/fallieres_armand0754r3.html", "fallieres_armand0754r3")</f>
        <v>0</v>
      </c>
      <c r="N11577">
        <f>HYPERLINK("https://www.wikidata.org/wiki/Q296673", "Q296673")</f>
        <v>0</v>
      </c>
      <c r="O11577" t="s">
        <v>20043</v>
      </c>
      <c r="Q11577" t="s">
        <v>395</v>
      </c>
      <c r="R11577" t="s">
        <v>21665</v>
      </c>
      <c r="S11577">
        <v>3289</v>
      </c>
    </row>
    <row r="11578" spans="1:19">
      <c r="A11578" t="s">
        <v>134</v>
      </c>
      <c r="B11578" t="s">
        <v>150</v>
      </c>
      <c r="C11578" t="s">
        <v>266</v>
      </c>
      <c r="D11578" t="s">
        <v>395</v>
      </c>
      <c r="F11578">
        <f>HYPERLINK("https://www.wikidata.org/wiki/Q67944206", "Q67944206")</f>
        <v>0</v>
      </c>
      <c r="G11578" t="s">
        <v>3062</v>
      </c>
      <c r="H11578" t="s">
        <v>7515</v>
      </c>
      <c r="I11578" t="s">
        <v>9552</v>
      </c>
      <c r="J11578" t="s">
        <v>13686</v>
      </c>
      <c r="K11578" t="s">
        <v>18069</v>
      </c>
      <c r="L11578">
        <f>HYPERLINK("https://www2.assemblee-nationale.fr/sycomore/fiche/(num_dept)/3230", "3230")</f>
        <v>0</v>
      </c>
      <c r="M11578">
        <f>HYPERLINK("https://www.senat.fr/senateur-3eme-republique/galtier_jean0238r3.html", "galtier_jean0238r3")</f>
        <v>0</v>
      </c>
      <c r="N11578">
        <f>HYPERLINK("https://www.wikidata.org/wiki/Q3172204", "Q3172204")</f>
        <v>0</v>
      </c>
      <c r="O11578" t="s">
        <v>7411</v>
      </c>
      <c r="Q11578" t="s">
        <v>395</v>
      </c>
      <c r="R11578" t="s">
        <v>21650</v>
      </c>
      <c r="S11578">
        <v>17822</v>
      </c>
    </row>
    <row r="11579" spans="1:19">
      <c r="A11579" t="s">
        <v>134</v>
      </c>
      <c r="B11579" t="s">
        <v>150</v>
      </c>
      <c r="C11579" t="s">
        <v>266</v>
      </c>
      <c r="D11579" t="s">
        <v>395</v>
      </c>
      <c r="F11579">
        <f>HYPERLINK("https://www.wikidata.org/wiki/Q67944206", "Q67944206")</f>
        <v>0</v>
      </c>
      <c r="G11579" t="s">
        <v>3140</v>
      </c>
      <c r="H11579" t="s">
        <v>7579</v>
      </c>
      <c r="I11579" t="s">
        <v>9421</v>
      </c>
      <c r="J11579" t="s">
        <v>13762</v>
      </c>
      <c r="K11579" t="s">
        <v>18139</v>
      </c>
      <c r="L11579">
        <f>HYPERLINK("https://www2.assemblee-nationale.fr/sycomore/fiche/(num_dept)/4298", "4298")</f>
        <v>0</v>
      </c>
      <c r="M11579">
        <f>HYPERLINK("https://www.senat.fr/senateur-3eme-republique/de_lamarzelle_gustave0902r3.html", "de_lamarzelle_gustave0902r3")</f>
        <v>0</v>
      </c>
      <c r="N11579">
        <f>HYPERLINK("https://www.wikidata.org/wiki/Q3121364", "Q3121364")</f>
        <v>0</v>
      </c>
      <c r="O11579" t="s">
        <v>19961</v>
      </c>
      <c r="Q11579" t="s">
        <v>395</v>
      </c>
      <c r="R11579" t="s">
        <v>21665</v>
      </c>
      <c r="S11579">
        <v>3289</v>
      </c>
    </row>
    <row r="11580" spans="1:19">
      <c r="A11580" t="s">
        <v>134</v>
      </c>
      <c r="B11580" t="s">
        <v>150</v>
      </c>
      <c r="C11580" t="s">
        <v>266</v>
      </c>
      <c r="D11580" t="s">
        <v>395</v>
      </c>
      <c r="F11580">
        <f>HYPERLINK("https://www.wikidata.org/wiki/Q67944206", "Q67944206")</f>
        <v>0</v>
      </c>
      <c r="G11580" t="s">
        <v>2620</v>
      </c>
      <c r="H11580" t="s">
        <v>7167</v>
      </c>
      <c r="I11580" t="s">
        <v>7790</v>
      </c>
      <c r="J11580" t="s">
        <v>13263</v>
      </c>
      <c r="K11580" t="s">
        <v>17664</v>
      </c>
      <c r="L11580">
        <f>HYPERLINK("https://www2.assemblee-nationale.fr/sycomore/fiche/(num_dept)/4903", "4903")</f>
        <v>0</v>
      </c>
      <c r="M11580">
        <f>HYPERLINK("https://www.senat.fr/senateur-3eme-republique/de_maille_de_la_jumelliere_armand1160r3.html", "de_maille_de_la_jumelliere_armand1160r3")</f>
        <v>0</v>
      </c>
      <c r="N11580">
        <f>HYPERLINK("https://www.wikidata.org/wiki/Q2861743", "Q2861743")</f>
        <v>0</v>
      </c>
      <c r="O11580" t="s">
        <v>19980</v>
      </c>
      <c r="Q11580" t="s">
        <v>395</v>
      </c>
      <c r="R11580" t="s">
        <v>21650</v>
      </c>
      <c r="S11580">
        <v>17822</v>
      </c>
    </row>
    <row r="11581" spans="1:19">
      <c r="A11581" t="s">
        <v>134</v>
      </c>
      <c r="B11581" t="s">
        <v>150</v>
      </c>
      <c r="C11581" t="s">
        <v>266</v>
      </c>
      <c r="D11581" t="s">
        <v>395</v>
      </c>
      <c r="F11581">
        <f>HYPERLINK("https://www.wikidata.org/wiki/Q67944206", "Q67944206")</f>
        <v>0</v>
      </c>
      <c r="G11581" t="s">
        <v>734</v>
      </c>
      <c r="H11581" t="s">
        <v>5492</v>
      </c>
      <c r="I11581" t="s">
        <v>6200</v>
      </c>
      <c r="J11581" t="s">
        <v>11483</v>
      </c>
      <c r="K11581" t="s">
        <v>15885</v>
      </c>
      <c r="L11581">
        <f>HYPERLINK("https://www2.assemblee-nationale.fr/sycomore/fiche/(num_dept)/5337", "5337")</f>
        <v>0</v>
      </c>
      <c r="M11581">
        <f>HYPERLINK("https://www.senat.fr/senateur-3eme-republique/monestier_clement0859r3.html", "monestier_clement0859r3")</f>
        <v>0</v>
      </c>
      <c r="N11581">
        <f>HYPERLINK("https://www.wikidata.org/wiki/Q3173571", "Q3173571")</f>
        <v>0</v>
      </c>
      <c r="O11581" t="s">
        <v>20004</v>
      </c>
      <c r="Q11581" t="s">
        <v>395</v>
      </c>
      <c r="R11581" t="s">
        <v>21650</v>
      </c>
      <c r="S11581">
        <v>17822</v>
      </c>
    </row>
    <row r="11582" spans="1:19">
      <c r="A11582" t="s">
        <v>134</v>
      </c>
      <c r="B11582" t="s">
        <v>150</v>
      </c>
      <c r="C11582" t="s">
        <v>266</v>
      </c>
      <c r="D11582" t="s">
        <v>395</v>
      </c>
      <c r="F11582">
        <f>HYPERLINK("https://www.wikidata.org/wiki/Q67944206", "Q67944206")</f>
        <v>0</v>
      </c>
      <c r="G11582" t="s">
        <v>3269</v>
      </c>
      <c r="H11582" t="s">
        <v>7684</v>
      </c>
      <c r="I11582" t="s">
        <v>9442</v>
      </c>
      <c r="J11582" t="s">
        <v>13883</v>
      </c>
      <c r="K11582" t="s">
        <v>18257</v>
      </c>
      <c r="L11582">
        <f>HYPERLINK("https://www2.assemblee-nationale.fr/sycomore/fiche/(num_dept)/5343", "5343")</f>
        <v>0</v>
      </c>
      <c r="M11582">
        <f>HYPERLINK("https://www.senat.fr/senateur-3eme-republique/monis_ernest0193r3.html", "monis_ernest0193r3")</f>
        <v>0</v>
      </c>
      <c r="N11582">
        <f>HYPERLINK("https://www.wikidata.org/wiki/Q561583", "Q561583")</f>
        <v>0</v>
      </c>
      <c r="O11582" t="s">
        <v>19987</v>
      </c>
      <c r="Q11582" t="s">
        <v>395</v>
      </c>
      <c r="R11582" t="s">
        <v>21665</v>
      </c>
      <c r="S11582">
        <v>3289</v>
      </c>
    </row>
    <row r="11583" spans="1:19">
      <c r="A11583" t="s">
        <v>134</v>
      </c>
      <c r="B11583" t="s">
        <v>150</v>
      </c>
      <c r="C11583" t="s">
        <v>266</v>
      </c>
      <c r="D11583" t="s">
        <v>395</v>
      </c>
      <c r="F11583">
        <f>HYPERLINK("https://www.wikidata.org/wiki/Q67944206", "Q67944206")</f>
        <v>0</v>
      </c>
      <c r="G11583" t="s">
        <v>3642</v>
      </c>
      <c r="H11583" t="s">
        <v>7974</v>
      </c>
      <c r="I11583" t="s">
        <v>9458</v>
      </c>
      <c r="J11583" t="s">
        <v>14222</v>
      </c>
      <c r="K11583" t="s">
        <v>18202</v>
      </c>
      <c r="L11583">
        <f>HYPERLINK("https://www2.assemblee-nationale.fr/sycomore/fiche/(num_dept)/5433", "5433")</f>
        <v>0</v>
      </c>
      <c r="M11583">
        <f>HYPERLINK("https://www.senat.fr/senateur-3eme-republique/moroux_alfred0263r3.html", "moroux_alfred0263r3")</f>
        <v>0</v>
      </c>
      <c r="N11583">
        <f>HYPERLINK("https://www.wikidata.org/wiki/Q2835349", "Q2835349")</f>
        <v>0</v>
      </c>
      <c r="O11583" t="s">
        <v>19975</v>
      </c>
      <c r="Q11583" t="s">
        <v>395</v>
      </c>
      <c r="R11583" t="s">
        <v>21665</v>
      </c>
      <c r="S11583">
        <v>3289</v>
      </c>
    </row>
    <row r="11584" spans="1:19">
      <c r="A11584" t="s">
        <v>134</v>
      </c>
      <c r="B11584" t="s">
        <v>150</v>
      </c>
      <c r="C11584" t="s">
        <v>266</v>
      </c>
      <c r="D11584" t="s">
        <v>395</v>
      </c>
      <c r="F11584">
        <f>HYPERLINK("https://www.wikidata.org/wiki/Q67944206", "Q67944206")</f>
        <v>0</v>
      </c>
      <c r="G11584" t="s">
        <v>3077</v>
      </c>
      <c r="H11584" t="s">
        <v>7195</v>
      </c>
      <c r="I11584" t="s">
        <v>10614</v>
      </c>
      <c r="J11584" t="s">
        <v>13701</v>
      </c>
      <c r="K11584" t="s">
        <v>18084</v>
      </c>
      <c r="L11584">
        <f>HYPERLINK("https://www2.assemblee-nationale.fr/sycomore/fiche/(num_dept)/5591", "5591")</f>
        <v>0</v>
      </c>
      <c r="M11584">
        <f>HYPERLINK("https://www.senat.fr/senateur-3eme-republique/obissier_louis0200r3.html", "obissier_louis0200r3")</f>
        <v>0</v>
      </c>
      <c r="N11584">
        <f>HYPERLINK("https://www.wikidata.org/wiki/Q16026221", "Q16026221")</f>
        <v>0</v>
      </c>
      <c r="O11584" t="s">
        <v>19987</v>
      </c>
      <c r="Q11584" t="s">
        <v>395</v>
      </c>
      <c r="R11584" t="s">
        <v>21665</v>
      </c>
      <c r="S11584">
        <v>3289</v>
      </c>
    </row>
    <row r="11585" spans="1:19">
      <c r="A11585" t="s">
        <v>134</v>
      </c>
      <c r="B11585" t="s">
        <v>150</v>
      </c>
      <c r="C11585" t="s">
        <v>266</v>
      </c>
      <c r="D11585" t="s">
        <v>395</v>
      </c>
      <c r="F11585">
        <f>HYPERLINK("https://www.wikidata.org/wiki/Q67944206", "Q67944206")</f>
        <v>0</v>
      </c>
      <c r="G11585" t="s">
        <v>2666</v>
      </c>
      <c r="H11585" t="s">
        <v>7204</v>
      </c>
      <c r="I11585" t="s">
        <v>5361</v>
      </c>
      <c r="J11585" t="s">
        <v>13307</v>
      </c>
      <c r="K11585" t="s">
        <v>17707</v>
      </c>
      <c r="L11585">
        <f>HYPERLINK("https://www2.assemblee-nationale.fr/sycomore/fiche/(num_dept)/6631", "6631")</f>
        <v>0</v>
      </c>
      <c r="M11585">
        <f>HYPERLINK("https://www.senat.fr/senateur-3eme-republique/raynal_david0206r3.html", "raynal_david0206r3")</f>
        <v>0</v>
      </c>
      <c r="N11585">
        <f>HYPERLINK("https://www.wikidata.org/wiki/Q3018665", "Q3018665")</f>
        <v>0</v>
      </c>
      <c r="O11585" t="s">
        <v>19987</v>
      </c>
      <c r="Q11585" t="s">
        <v>395</v>
      </c>
      <c r="R11585" t="s">
        <v>17707</v>
      </c>
      <c r="S11585">
        <v>2215</v>
      </c>
    </row>
    <row r="11586" spans="1:19">
      <c r="A11586" t="s">
        <v>134</v>
      </c>
      <c r="B11586" t="s">
        <v>150</v>
      </c>
      <c r="C11586" t="s">
        <v>266</v>
      </c>
      <c r="D11586" t="s">
        <v>395</v>
      </c>
      <c r="F11586">
        <f>HYPERLINK("https://www.wikidata.org/wiki/Q67944206", "Q67944206")</f>
        <v>0</v>
      </c>
      <c r="G11586" t="s">
        <v>3598</v>
      </c>
      <c r="H11586" t="s">
        <v>7943</v>
      </c>
      <c r="I11586" t="s">
        <v>7642</v>
      </c>
      <c r="J11586" t="s">
        <v>14184</v>
      </c>
      <c r="K11586" t="s">
        <v>18550</v>
      </c>
      <c r="L11586">
        <f>HYPERLINK("https://www2.assemblee-nationale.fr/sycomore/fiche/(num_dept)/6834", "6834")</f>
        <v>0</v>
      </c>
      <c r="M11586">
        <f>HYPERLINK("https://www.senat.fr/senateur-3eme-republique/signard_maurice1168r3.html", "signard_maurice1168r3")</f>
        <v>0</v>
      </c>
      <c r="N11586">
        <f>HYPERLINK("https://www.wikidata.org/wiki/Q3301410", "Q3301410")</f>
        <v>0</v>
      </c>
      <c r="O11586" t="s">
        <v>20036</v>
      </c>
      <c r="Q11586" t="s">
        <v>395</v>
      </c>
      <c r="R11586" t="s">
        <v>21682</v>
      </c>
      <c r="S11586">
        <v>2330</v>
      </c>
    </row>
    <row r="11587" spans="1:19">
      <c r="A11587" t="s">
        <v>134</v>
      </c>
      <c r="B11587" t="s">
        <v>150</v>
      </c>
      <c r="C11587" t="s">
        <v>266</v>
      </c>
      <c r="D11587" t="s">
        <v>395</v>
      </c>
      <c r="F11587">
        <f>HYPERLINK("https://www.wikidata.org/wiki/Q67944206", "Q67944206")</f>
        <v>0</v>
      </c>
      <c r="G11587" t="s">
        <v>3503</v>
      </c>
      <c r="H11587" t="s">
        <v>7871</v>
      </c>
      <c r="I11587" t="s">
        <v>10851</v>
      </c>
      <c r="J11587" t="s">
        <v>14101</v>
      </c>
      <c r="K11587" t="s">
        <v>18465</v>
      </c>
      <c r="L11587">
        <f>HYPERLINK("https://www2.assemblee-nationale.fr/sycomore/fiche/(num_dept)/6945", "6945")</f>
        <v>0</v>
      </c>
      <c r="M11587">
        <f>HYPERLINK("https://www.senat.fr/senateur-3eme-republique/talou_leon0610r3.html", "talou_leon0610r3")</f>
        <v>0</v>
      </c>
      <c r="N11587">
        <f>HYPERLINK("https://www.wikidata.org/wiki/Q3271343", "Q3271343")</f>
        <v>0</v>
      </c>
      <c r="O11587" t="s">
        <v>19974</v>
      </c>
      <c r="Q11587" t="s">
        <v>395</v>
      </c>
      <c r="R11587" t="s">
        <v>18465</v>
      </c>
      <c r="S11587">
        <v>1103</v>
      </c>
    </row>
    <row r="11588" spans="1:19">
      <c r="A11588" t="s">
        <v>134</v>
      </c>
      <c r="B11588" t="s">
        <v>150</v>
      </c>
      <c r="C11588" t="s">
        <v>266</v>
      </c>
      <c r="D11588" t="s">
        <v>395</v>
      </c>
      <c r="F11588">
        <f>HYPERLINK("https://www.wikidata.org/wiki/Q67944206", "Q67944206")</f>
        <v>0</v>
      </c>
      <c r="G11588" t="s">
        <v>2683</v>
      </c>
      <c r="H11588" t="s">
        <v>7216</v>
      </c>
      <c r="I11588" t="s">
        <v>6860</v>
      </c>
      <c r="J11588" t="s">
        <v>13324</v>
      </c>
      <c r="K11588" t="s">
        <v>17724</v>
      </c>
      <c r="L11588">
        <f>HYPERLINK("https://www2.assemblee-nationale.fr/sycomore/fiche/(num_dept)/6959", "6959")</f>
        <v>0</v>
      </c>
      <c r="M11588">
        <f>HYPERLINK("https://www.senat.fr/senateur-3eme-republique/tassin_pierre0376r3.html", "tassin_pierre0376r3")</f>
        <v>0</v>
      </c>
      <c r="N11588">
        <f>HYPERLINK("https://www.wikidata.org/wiki/Q2420595", "Q2420595")</f>
        <v>0</v>
      </c>
      <c r="O11588" t="s">
        <v>20039</v>
      </c>
      <c r="Q11588" t="s">
        <v>395</v>
      </c>
      <c r="R11588" t="s">
        <v>21650</v>
      </c>
      <c r="S11588">
        <v>17822</v>
      </c>
    </row>
    <row r="11589" spans="1:19">
      <c r="A11589" t="s">
        <v>134</v>
      </c>
      <c r="B11589" t="s">
        <v>150</v>
      </c>
      <c r="C11589" t="s">
        <v>266</v>
      </c>
      <c r="D11589" t="s">
        <v>395</v>
      </c>
      <c r="F11589">
        <f>HYPERLINK("https://www.wikidata.org/wiki/Q67944206", "Q67944206")</f>
        <v>0</v>
      </c>
      <c r="G11589" t="s">
        <v>2690</v>
      </c>
      <c r="H11589" t="s">
        <v>7222</v>
      </c>
      <c r="I11589" t="s">
        <v>10368</v>
      </c>
      <c r="J11589" t="s">
        <v>13331</v>
      </c>
      <c r="K11589" t="s">
        <v>17731</v>
      </c>
      <c r="L11589">
        <f>HYPERLINK("https://www2.assemblee-nationale.fr/sycomore/fiche/(num_dept)/7137", "7137")</f>
        <v>0</v>
      </c>
      <c r="M11589">
        <f>HYPERLINK("https://www.senat.fr/senateur-3eme-republique/treille_alcide0693r3.html", "treille_alcide0693r3")</f>
        <v>0</v>
      </c>
      <c r="N11589">
        <f>HYPERLINK("https://www.wikidata.org/wiki/Q16798572", "Q16798572")</f>
        <v>0</v>
      </c>
      <c r="Q11589" t="s">
        <v>395</v>
      </c>
      <c r="R11589" t="s">
        <v>21665</v>
      </c>
      <c r="S11589">
        <v>3289</v>
      </c>
    </row>
    <row r="11590" spans="1:19">
      <c r="A11590" t="s">
        <v>134</v>
      </c>
      <c r="B11590" t="s">
        <v>150</v>
      </c>
      <c r="C11590" t="s">
        <v>266</v>
      </c>
      <c r="D11590" t="s">
        <v>395</v>
      </c>
      <c r="F11590">
        <f>HYPERLINK("https://www.wikidata.org/wiki/Q67944206", "Q67944206")</f>
        <v>0</v>
      </c>
      <c r="G11590" t="s">
        <v>2702</v>
      </c>
      <c r="H11590" t="s">
        <v>7234</v>
      </c>
      <c r="I11590" t="s">
        <v>6860</v>
      </c>
      <c r="J11590" t="s">
        <v>13343</v>
      </c>
      <c r="K11590" t="s">
        <v>17743</v>
      </c>
      <c r="L11590">
        <f>HYPERLINK("https://www2.assemblee-nationale.fr/sycomore/fiche/(num_dept)/7473", "7473")</f>
        <v>0</v>
      </c>
      <c r="M11590">
        <f>HYPERLINK("https://www.senat.fr/senateur-3eme-republique/waldeck_rousseau_pierre1368r3.html", "waldeck_rousseau_pierre1368r3")</f>
        <v>0</v>
      </c>
      <c r="N11590">
        <f>HYPERLINK("https://www.wikidata.org/wiki/Q358452", "Q358452")</f>
        <v>0</v>
      </c>
      <c r="O11590" t="s">
        <v>19997</v>
      </c>
      <c r="Q11590" t="s">
        <v>395</v>
      </c>
      <c r="R11590" t="s">
        <v>21650</v>
      </c>
      <c r="S11590">
        <v>17822</v>
      </c>
    </row>
    <row r="11591" spans="1:19">
      <c r="A11591" t="s">
        <v>134</v>
      </c>
      <c r="B11591" t="s">
        <v>150</v>
      </c>
      <c r="C11591" t="s">
        <v>266</v>
      </c>
      <c r="D11591" t="s">
        <v>395</v>
      </c>
      <c r="F11591">
        <f>HYPERLINK("https://www.wikidata.org/wiki/Q67944206", "Q67944206")</f>
        <v>0</v>
      </c>
      <c r="G11591" t="s">
        <v>3176</v>
      </c>
      <c r="H11591" t="s">
        <v>6992</v>
      </c>
      <c r="I11591" t="s">
        <v>10683</v>
      </c>
      <c r="J11591" t="s">
        <v>13797</v>
      </c>
      <c r="K11591" t="s">
        <v>18172</v>
      </c>
      <c r="L11591">
        <f>HYPERLINK("https://www2.assemblee-nationale.fr/sycomore/fiche/(num_dept)/7562", "7562")</f>
        <v>0</v>
      </c>
      <c r="M11591">
        <f>HYPERLINK("https://www.senat.fr/senateur-3eme-republique/le_cour_grandmaison_charles1288r3.html", "le_cour_grandmaison_charles1288r3")</f>
        <v>0</v>
      </c>
      <c r="N11591">
        <f>HYPERLINK("https://www.wikidata.org/wiki/Q2959601", "Q2959601")</f>
        <v>0</v>
      </c>
      <c r="O11591" t="s">
        <v>20023</v>
      </c>
      <c r="Q11591" t="s">
        <v>395</v>
      </c>
      <c r="R11591" t="s">
        <v>21650</v>
      </c>
      <c r="S11591">
        <v>17822</v>
      </c>
    </row>
    <row r="11592" spans="1:19">
      <c r="A11592" t="s">
        <v>134</v>
      </c>
      <c r="B11592" t="s">
        <v>150</v>
      </c>
      <c r="C11592" t="s">
        <v>266</v>
      </c>
      <c r="D11592" t="s">
        <v>395</v>
      </c>
      <c r="F11592">
        <f>HYPERLINK("https://www.wikidata.org/wiki/Q67944206", "Q67944206")</f>
        <v>0</v>
      </c>
      <c r="G11592" t="s">
        <v>3072</v>
      </c>
      <c r="H11592" t="s">
        <v>7346</v>
      </c>
      <c r="I11592" t="s">
        <v>9554</v>
      </c>
      <c r="J11592" t="s">
        <v>13696</v>
      </c>
      <c r="K11592" t="s">
        <v>18079</v>
      </c>
      <c r="L11592">
        <f>HYPERLINK("https://www2.assemblee-nationale.fr/sycomore/fiche/(num_dept)/7665", "7665")</f>
        <v>0</v>
      </c>
      <c r="M11592">
        <f>HYPERLINK("https://www.senat.fr/senateur-3eme-republique/lecomte_maxime1379r3.html", "lecomte_maxime1379r3")</f>
        <v>0</v>
      </c>
      <c r="N11592">
        <f>HYPERLINK("https://www.wikidata.org/wiki/Q3302622", "Q3302622")</f>
        <v>0</v>
      </c>
      <c r="O11592" t="s">
        <v>20013</v>
      </c>
      <c r="Q11592" t="s">
        <v>395</v>
      </c>
      <c r="R11592" t="s">
        <v>21665</v>
      </c>
      <c r="S11592">
        <v>3289</v>
      </c>
    </row>
    <row r="11593" spans="1:19">
      <c r="A11593" t="s">
        <v>134</v>
      </c>
      <c r="B11593" t="s">
        <v>150</v>
      </c>
      <c r="C11593" t="s">
        <v>266</v>
      </c>
      <c r="D11593" t="s">
        <v>395</v>
      </c>
      <c r="F11593">
        <f>HYPERLINK("https://www.wikidata.org/wiki/Q67944206", "Q67944206")</f>
        <v>0</v>
      </c>
      <c r="G11593" t="s">
        <v>3010</v>
      </c>
      <c r="H11593" t="s">
        <v>7470</v>
      </c>
      <c r="I11593" t="s">
        <v>9483</v>
      </c>
      <c r="J11593" t="s">
        <v>13638</v>
      </c>
      <c r="K11593" t="s">
        <v>18023</v>
      </c>
      <c r="L11593">
        <f>HYPERLINK("https://www2.assemblee-nationale.fr/sycomore/fiche/(num_dept)/7839", "7839")</f>
        <v>0</v>
      </c>
      <c r="M11593">
        <f>HYPERLINK("https://www.senat.fr/senateur-3eme-republique/leydet_victor0316r3.html", "leydet_victor0316r3")</f>
        <v>0</v>
      </c>
      <c r="N11593">
        <f>HYPERLINK("https://www.wikidata.org/wiki/Q2522455", "Q2522455")</f>
        <v>0</v>
      </c>
      <c r="O11593" t="s">
        <v>19990</v>
      </c>
      <c r="Q11593" t="s">
        <v>395</v>
      </c>
      <c r="R11593" t="s">
        <v>21675</v>
      </c>
      <c r="S11593">
        <v>2190</v>
      </c>
    </row>
    <row r="11594" spans="1:19">
      <c r="A11594" t="s">
        <v>134</v>
      </c>
      <c r="B11594" t="s">
        <v>150</v>
      </c>
      <c r="C11594" t="s">
        <v>266</v>
      </c>
      <c r="D11594" t="s">
        <v>395</v>
      </c>
      <c r="F11594">
        <f>HYPERLINK("https://www.wikidata.org/wiki/Q67944206", "Q67944206")</f>
        <v>0</v>
      </c>
      <c r="G11594" t="s">
        <v>2971</v>
      </c>
      <c r="H11594" t="s">
        <v>7439</v>
      </c>
      <c r="I11594" t="s">
        <v>6860</v>
      </c>
      <c r="J11594" t="s">
        <v>13603</v>
      </c>
      <c r="K11594" t="s">
        <v>17989</v>
      </c>
      <c r="L11594">
        <f>HYPERLINK("https://www2.assemblee-nationale.fr/sycomore/fiche/(num_dept)/7901", "7901")</f>
        <v>0</v>
      </c>
      <c r="M11594">
        <f>HYPERLINK("https://www.senat.fr/senateur-3eme-republique/bizot_de_fonteny_pierre0864r3.html", "bizot_de_fonteny_pierre0864r3")</f>
        <v>0</v>
      </c>
      <c r="N11594">
        <f>HYPERLINK("https://www.wikidata.org/wiki/Q3384017", "Q3384017")</f>
        <v>0</v>
      </c>
      <c r="O11594" t="s">
        <v>20022</v>
      </c>
      <c r="Q11594" t="s">
        <v>395</v>
      </c>
      <c r="R11594" t="s">
        <v>21665</v>
      </c>
      <c r="S11594">
        <v>3289</v>
      </c>
    </row>
    <row r="11595" spans="1:19">
      <c r="A11595" t="s">
        <v>134</v>
      </c>
      <c r="B11595" t="s">
        <v>150</v>
      </c>
      <c r="C11595" t="s">
        <v>266</v>
      </c>
      <c r="D11595" t="s">
        <v>395</v>
      </c>
      <c r="F11595">
        <f>HYPERLINK("https://www.wikidata.org/wiki/Q67944206", "Q67944206")</f>
        <v>0</v>
      </c>
      <c r="G11595" t="s">
        <v>3302</v>
      </c>
      <c r="H11595" t="s">
        <v>7711</v>
      </c>
      <c r="I11595" t="s">
        <v>6860</v>
      </c>
      <c r="J11595" t="s">
        <v>13916</v>
      </c>
      <c r="K11595" t="s">
        <v>18286</v>
      </c>
      <c r="L11595">
        <f>HYPERLINK("https://www2.assemblee-nationale.fr/sycomore/fiche/(num_dept)/7904", "7904")</f>
        <v>0</v>
      </c>
      <c r="M11595">
        <f>HYPERLINK("https://www.senat.fr/senateur-3eme-republique/bourganel_pierre1360r3.html", "bourganel_pierre1360r3")</f>
        <v>0</v>
      </c>
      <c r="N11595">
        <f>HYPERLINK("https://www.wikidata.org/wiki/Q3384140", "Q3384140")</f>
        <v>0</v>
      </c>
      <c r="O11595" t="s">
        <v>19997</v>
      </c>
      <c r="Q11595" t="s">
        <v>395</v>
      </c>
      <c r="R11595" t="s">
        <v>21665</v>
      </c>
      <c r="S11595">
        <v>3289</v>
      </c>
    </row>
    <row r="11596" spans="1:19">
      <c r="A11596" t="s">
        <v>134</v>
      </c>
      <c r="B11596" t="s">
        <v>150</v>
      </c>
      <c r="C11596" t="s">
        <v>266</v>
      </c>
      <c r="D11596" t="s">
        <v>395</v>
      </c>
      <c r="F11596">
        <f>HYPERLINK("https://www.wikidata.org/wiki/Q67944206", "Q67944206")</f>
        <v>0</v>
      </c>
      <c r="G11596" t="s">
        <v>2728</v>
      </c>
      <c r="H11596" t="s">
        <v>5344</v>
      </c>
      <c r="I11596" t="s">
        <v>9534</v>
      </c>
      <c r="J11596" t="s">
        <v>13369</v>
      </c>
      <c r="K11596" t="s">
        <v>17649</v>
      </c>
      <c r="L11596">
        <f>HYPERLINK("https://www2.assemblee-nationale.fr/sycomore/fiche/(num_dept)/7924", "7924")</f>
        <v>0</v>
      </c>
      <c r="M11596">
        <f>HYPERLINK("https://www.senat.fr/senateur-3eme-republique/cochery_adolphe0505r3.html", "cochery_adolphe0505r3")</f>
        <v>0</v>
      </c>
      <c r="N11596">
        <f>HYPERLINK("https://www.wikidata.org/wiki/Q960751", "Q960751")</f>
        <v>0</v>
      </c>
      <c r="O11596" t="s">
        <v>19958</v>
      </c>
      <c r="Q11596" t="s">
        <v>395</v>
      </c>
      <c r="R11596" t="s">
        <v>21650</v>
      </c>
      <c r="S11596">
        <v>17822</v>
      </c>
    </row>
    <row r="11597" spans="1:19">
      <c r="A11597" t="s">
        <v>134</v>
      </c>
      <c r="B11597" t="s">
        <v>150</v>
      </c>
      <c r="C11597" t="s">
        <v>266</v>
      </c>
      <c r="D11597" t="s">
        <v>395</v>
      </c>
      <c r="F11597">
        <f>HYPERLINK("https://www.wikidata.org/wiki/Q67944206", "Q67944206")</f>
        <v>0</v>
      </c>
      <c r="G11597" t="s">
        <v>3308</v>
      </c>
      <c r="H11597" t="s">
        <v>7716</v>
      </c>
      <c r="I11597" t="s">
        <v>9389</v>
      </c>
      <c r="J11597" t="s">
        <v>13922</v>
      </c>
      <c r="K11597" t="s">
        <v>18292</v>
      </c>
      <c r="L11597">
        <f>HYPERLINK("https://www2.assemblee-nationale.fr/sycomore/fiche/(num_dept)/7928", "7928")</f>
        <v>0</v>
      </c>
      <c r="M11597">
        <f>HYPERLINK("https://www.senat.fr/senateur-3eme-republique/crozet_fourneyron_emile1348r3.html", "crozet_fourneyron_emile1348r3")</f>
        <v>0</v>
      </c>
      <c r="N11597">
        <f>HYPERLINK("https://www.wikidata.org/wiki/Q3588440", "Q3588440")</f>
        <v>0</v>
      </c>
      <c r="O11597" t="s">
        <v>19997</v>
      </c>
      <c r="Q11597" t="s">
        <v>395</v>
      </c>
      <c r="R11597" t="s">
        <v>21665</v>
      </c>
      <c r="S11597">
        <v>3289</v>
      </c>
    </row>
    <row r="11598" spans="1:19">
      <c r="A11598" t="s">
        <v>134</v>
      </c>
      <c r="B11598" t="s">
        <v>150</v>
      </c>
      <c r="C11598" t="s">
        <v>266</v>
      </c>
      <c r="D11598" t="s">
        <v>395</v>
      </c>
      <c r="F11598">
        <f>HYPERLINK("https://www.wikidata.org/wiki/Q67944206", "Q67944206")</f>
        <v>0</v>
      </c>
      <c r="G11598" t="s">
        <v>2735</v>
      </c>
      <c r="H11598" t="s">
        <v>7255</v>
      </c>
      <c r="I11598" t="s">
        <v>10393</v>
      </c>
      <c r="J11598" t="s">
        <v>13376</v>
      </c>
      <c r="K11598" t="s">
        <v>12649</v>
      </c>
      <c r="L11598">
        <f>HYPERLINK("https://www2.assemblee-nationale.fr/sycomore/fiche/(num_dept)/7948", "7948")</f>
        <v>0</v>
      </c>
      <c r="M11598">
        <f>HYPERLINK("https://www.senat.fr/senateur-3eme-republique/fousset_ernest0498r3.html", "fousset_ernest0498r3")</f>
        <v>0</v>
      </c>
      <c r="N11598">
        <f>HYPERLINK("https://www.wikidata.org/wiki/Q3056963", "Q3056963")</f>
        <v>0</v>
      </c>
      <c r="O11598" t="s">
        <v>19958</v>
      </c>
      <c r="Q11598" t="s">
        <v>395</v>
      </c>
      <c r="R11598" t="s">
        <v>21650</v>
      </c>
      <c r="S11598">
        <v>17822</v>
      </c>
    </row>
    <row r="11599" spans="1:19">
      <c r="A11599" t="s">
        <v>134</v>
      </c>
      <c r="B11599" t="s">
        <v>150</v>
      </c>
      <c r="C11599" t="s">
        <v>266</v>
      </c>
      <c r="D11599" t="s">
        <v>395</v>
      </c>
      <c r="F11599">
        <f>HYPERLINK("https://www.wikidata.org/wiki/Q67944206", "Q67944206")</f>
        <v>0</v>
      </c>
      <c r="G11599" t="s">
        <v>2739</v>
      </c>
      <c r="H11599" t="s">
        <v>7258</v>
      </c>
      <c r="I11599" t="s">
        <v>10396</v>
      </c>
      <c r="J11599" t="s">
        <v>13380</v>
      </c>
      <c r="K11599" t="s">
        <v>17778</v>
      </c>
      <c r="L11599">
        <f>HYPERLINK("https://www2.assemblee-nationale.fr/sycomore/fiche/(num_dept)/7963", "7963")</f>
        <v>0</v>
      </c>
      <c r="M11599">
        <f>HYPERLINK("https://www.senat.fr/senateur-3eme-republique/herisson_sylvestre1236r3.html", "herisson_sylvestre1236r3")</f>
        <v>0</v>
      </c>
      <c r="N11599">
        <f>HYPERLINK("https://www.wikidata.org/wiki/Q3507186", "Q3507186")</f>
        <v>0</v>
      </c>
      <c r="O11599" t="s">
        <v>20032</v>
      </c>
      <c r="Q11599" t="s">
        <v>395</v>
      </c>
      <c r="R11599" t="s">
        <v>21650</v>
      </c>
      <c r="S11599">
        <v>17822</v>
      </c>
    </row>
    <row r="11600" spans="1:19">
      <c r="A11600" t="s">
        <v>134</v>
      </c>
      <c r="B11600" t="s">
        <v>150</v>
      </c>
      <c r="C11600" t="s">
        <v>266</v>
      </c>
      <c r="D11600" t="s">
        <v>395</v>
      </c>
      <c r="F11600">
        <f>HYPERLINK("https://www.wikidata.org/wiki/Q67944206", "Q67944206")</f>
        <v>0</v>
      </c>
      <c r="G11600" t="s">
        <v>3215</v>
      </c>
      <c r="H11600" t="s">
        <v>7643</v>
      </c>
      <c r="I11600" t="s">
        <v>10710</v>
      </c>
      <c r="J11600" t="s">
        <v>13834</v>
      </c>
      <c r="K11600" t="s">
        <v>18206</v>
      </c>
      <c r="L11600">
        <f>HYPERLINK("https://www2.assemblee-nationale.fr/sycomore/fiche/(num_dept)/8009", "8009")</f>
        <v>0</v>
      </c>
      <c r="M11600">
        <f>HYPERLINK("https://www.senat.fr/senateur-3eme-republique/merlet_jules1074r3.html", "merlet_jules1074r3")</f>
        <v>0</v>
      </c>
      <c r="N11600">
        <f>HYPERLINK("https://www.wikidata.org/wiki/Q3188781", "Q3188781")</f>
        <v>0</v>
      </c>
      <c r="O11600" t="s">
        <v>19980</v>
      </c>
      <c r="Q11600" t="s">
        <v>395</v>
      </c>
      <c r="R11600" t="s">
        <v>21665</v>
      </c>
      <c r="S11600">
        <v>3289</v>
      </c>
    </row>
    <row r="11601" spans="1:19">
      <c r="A11601" t="s">
        <v>134</v>
      </c>
      <c r="B11601" t="s">
        <v>150</v>
      </c>
      <c r="C11601" t="s">
        <v>266</v>
      </c>
      <c r="D11601" t="s">
        <v>395</v>
      </c>
      <c r="F11601">
        <f>HYPERLINK("https://www.wikidata.org/wiki/Q67944206", "Q67944206")</f>
        <v>0</v>
      </c>
      <c r="G11601" t="s">
        <v>2756</v>
      </c>
      <c r="H11601" t="s">
        <v>7268</v>
      </c>
      <c r="I11601" t="s">
        <v>10410</v>
      </c>
      <c r="J11601" t="s">
        <v>13397</v>
      </c>
      <c r="K11601" t="s">
        <v>17795</v>
      </c>
      <c r="L11601">
        <f>HYPERLINK("https://www2.assemblee-nationale.fr/sycomore/fiche/(num_dept)/8032", "8032")</f>
        <v>0</v>
      </c>
      <c r="M11601">
        <f>HYPERLINK("https://www.senat.fr/senateur-3eme-republique/reymond_francisque1336r3.html", "reymond_francisque1336r3")</f>
        <v>0</v>
      </c>
      <c r="N11601">
        <f>HYPERLINK("https://www.wikidata.org/wiki/Q3082014", "Q3082014")</f>
        <v>0</v>
      </c>
      <c r="O11601" t="s">
        <v>19997</v>
      </c>
      <c r="Q11601" t="s">
        <v>395</v>
      </c>
      <c r="R11601" t="s">
        <v>21650</v>
      </c>
      <c r="S11601">
        <v>17822</v>
      </c>
    </row>
    <row r="11602" spans="1:19">
      <c r="A11602" t="s">
        <v>134</v>
      </c>
      <c r="B11602" t="s">
        <v>150</v>
      </c>
      <c r="C11602" t="s">
        <v>266</v>
      </c>
      <c r="D11602" t="s">
        <v>395</v>
      </c>
      <c r="F11602">
        <f>HYPERLINK("https://www.wikidata.org/wiki/Q67944206", "Q67944206")</f>
        <v>0</v>
      </c>
      <c r="G11602" t="s">
        <v>2834</v>
      </c>
      <c r="H11602" t="s">
        <v>7328</v>
      </c>
      <c r="I11602" t="s">
        <v>9534</v>
      </c>
      <c r="J11602" t="s">
        <v>13147</v>
      </c>
      <c r="K11602" t="s">
        <v>17863</v>
      </c>
      <c r="L11602">
        <f>HYPERLINK("https://www2.assemblee-nationale.fr/sycomore/fiche/(num_dept)/8153", "8153")</f>
        <v>0</v>
      </c>
      <c r="M11602">
        <f>HYPERLINK("https://www.senat.fr/senateur-3eme-republique/lelievre_adolphe0450r3.html", "lelievre_adolphe0450r3")</f>
        <v>0</v>
      </c>
      <c r="N11602">
        <f>HYPERLINK("https://www.wikidata.org/wiki/Q2824861", "Q2824861")</f>
        <v>0</v>
      </c>
      <c r="O11602" t="s">
        <v>20041</v>
      </c>
      <c r="Q11602" t="s">
        <v>395</v>
      </c>
      <c r="R11602" t="s">
        <v>21650</v>
      </c>
      <c r="S11602">
        <v>17822</v>
      </c>
    </row>
    <row r="11603" spans="1:19">
      <c r="A11603" t="s">
        <v>134</v>
      </c>
      <c r="B11603" t="s">
        <v>150</v>
      </c>
      <c r="C11603" t="s">
        <v>266</v>
      </c>
      <c r="D11603" t="s">
        <v>395</v>
      </c>
      <c r="F11603">
        <f>HYPERLINK("https://www.wikidata.org/wiki/Q67944206", "Q67944206")</f>
        <v>0</v>
      </c>
      <c r="G11603" t="s">
        <v>2848</v>
      </c>
      <c r="H11603" t="s">
        <v>5498</v>
      </c>
      <c r="I11603" t="s">
        <v>10475</v>
      </c>
      <c r="J11603" t="s">
        <v>13487</v>
      </c>
      <c r="K11603" t="s">
        <v>17875</v>
      </c>
      <c r="L11603">
        <f>HYPERLINK("https://www2.assemblee-nationale.fr/sycomore/fiche/(num_dept)/8172", "8172")</f>
        <v>0</v>
      </c>
      <c r="M11603">
        <f>HYPERLINK("https://www.senat.fr/senateur-3eme-republique/morel_hippolyte1043r3.html", "morel_hippolyte1043r3")</f>
        <v>0</v>
      </c>
      <c r="N11603">
        <f>HYPERLINK("https://www.wikidata.org/wiki/Q3136093", "Q3136093")</f>
        <v>0</v>
      </c>
      <c r="O11603" t="s">
        <v>19985</v>
      </c>
      <c r="Q11603" t="s">
        <v>395</v>
      </c>
      <c r="R11603" t="s">
        <v>21650</v>
      </c>
      <c r="S11603">
        <v>17822</v>
      </c>
    </row>
    <row r="11604" spans="1:19">
      <c r="A11604" t="s">
        <v>134</v>
      </c>
      <c r="B11604" t="s">
        <v>150</v>
      </c>
      <c r="C11604" t="s">
        <v>266</v>
      </c>
      <c r="D11604" t="s">
        <v>395</v>
      </c>
      <c r="F11604">
        <f>HYPERLINK("https://www.wikidata.org/wiki/Q67944206", "Q67944206")</f>
        <v>0</v>
      </c>
      <c r="G11604" t="s">
        <v>2856</v>
      </c>
      <c r="H11604" t="s">
        <v>7113</v>
      </c>
      <c r="I11604" t="s">
        <v>10480</v>
      </c>
      <c r="J11604" t="s">
        <v>13495</v>
      </c>
      <c r="K11604" t="s">
        <v>17883</v>
      </c>
      <c r="L11604">
        <f>HYPERLINK("https://www2.assemblee-nationale.fr/sycomore/fiche/(num_dept)/8181", "8181")</f>
        <v>0</v>
      </c>
      <c r="M11604">
        <f>HYPERLINK("https://www.senat.fr/senateur-3eme-republique/develle_edmond1012r3.html", "develle_edmond1012r3")</f>
        <v>0</v>
      </c>
      <c r="N11604">
        <f>HYPERLINK("https://www.wikidata.org/wiki/Q3047803", "Q3047803")</f>
        <v>0</v>
      </c>
      <c r="O11604" t="s">
        <v>20030</v>
      </c>
      <c r="Q11604" t="s">
        <v>395</v>
      </c>
      <c r="R11604" t="s">
        <v>21665</v>
      </c>
      <c r="S11604">
        <v>3289</v>
      </c>
    </row>
    <row r="11605" spans="1:19">
      <c r="A11605" t="s">
        <v>134</v>
      </c>
      <c r="B11605" t="s">
        <v>150</v>
      </c>
      <c r="C11605" t="s">
        <v>266</v>
      </c>
      <c r="D11605" t="s">
        <v>395</v>
      </c>
      <c r="F11605">
        <f>HYPERLINK("https://www.wikidata.org/wiki/Q67944206", "Q67944206")</f>
        <v>0</v>
      </c>
      <c r="G11605" t="s">
        <v>2871</v>
      </c>
      <c r="H11605" t="s">
        <v>5856</v>
      </c>
      <c r="I11605" t="s">
        <v>10490</v>
      </c>
      <c r="J11605" t="s">
        <v>13172</v>
      </c>
      <c r="K11605" t="s">
        <v>17896</v>
      </c>
      <c r="L11605">
        <f>HYPERLINK("https://www2.assemblee-nationale.fr/sycomore/fiche/(num_dept)/8201", "8201")</f>
        <v>0</v>
      </c>
      <c r="M11605">
        <f>HYPERLINK("https://www.senat.fr/senateur-3eme-republique/girard_alfred1403r3.html", "girard_alfred1403r3")</f>
        <v>0</v>
      </c>
      <c r="N11605">
        <f>HYPERLINK("https://www.wikidata.org/wiki/Q2835150", "Q2835150")</f>
        <v>0</v>
      </c>
      <c r="O11605" t="s">
        <v>20013</v>
      </c>
      <c r="Q11605" t="s">
        <v>395</v>
      </c>
      <c r="R11605" t="s">
        <v>21665</v>
      </c>
      <c r="S11605">
        <v>3289</v>
      </c>
    </row>
    <row r="11606" spans="1:19">
      <c r="A11606" t="s">
        <v>134</v>
      </c>
      <c r="B11606" t="s">
        <v>150</v>
      </c>
      <c r="C11606" t="s">
        <v>266</v>
      </c>
      <c r="D11606" t="s">
        <v>395</v>
      </c>
      <c r="F11606">
        <f>HYPERLINK("https://www.wikidata.org/wiki/Q67944206", "Q67944206")</f>
        <v>0</v>
      </c>
      <c r="G11606" t="s">
        <v>2873</v>
      </c>
      <c r="H11606" t="s">
        <v>7359</v>
      </c>
      <c r="I11606" t="s">
        <v>10492</v>
      </c>
      <c r="J11606" t="s">
        <v>13511</v>
      </c>
      <c r="K11606" t="s">
        <v>17898</v>
      </c>
      <c r="L11606">
        <f>HYPERLINK("https://www2.assemblee-nationale.fr/sycomore/fiche/(num_dept)/8204", "8204")</f>
        <v>0</v>
      </c>
      <c r="M11606">
        <f>HYPERLINK("https://www.senat.fr/senateur-3eme-republique/chauveau_franck0884r3.html", "chauveau_franck0884r3")</f>
        <v>0</v>
      </c>
      <c r="N11606">
        <f>HYPERLINK("https://www.wikidata.org/wiki/Q3082109", "Q3082109")</f>
        <v>0</v>
      </c>
      <c r="O11606" t="s">
        <v>19989</v>
      </c>
      <c r="Q11606" t="s">
        <v>395</v>
      </c>
      <c r="R11606" t="s">
        <v>21650</v>
      </c>
      <c r="S11606">
        <v>17822</v>
      </c>
    </row>
    <row r="11607" spans="1:19">
      <c r="A11607" t="s">
        <v>134</v>
      </c>
      <c r="B11607" t="s">
        <v>150</v>
      </c>
      <c r="C11607" t="s">
        <v>266</v>
      </c>
      <c r="D11607" t="s">
        <v>395</v>
      </c>
      <c r="F11607">
        <f>HYPERLINK("https://www.wikidata.org/wiki/Q67944206", "Q67944206")</f>
        <v>0</v>
      </c>
      <c r="G11607" t="s">
        <v>4809</v>
      </c>
      <c r="H11607" t="s">
        <v>8949</v>
      </c>
      <c r="I11607" t="s">
        <v>9553</v>
      </c>
      <c r="J11607" t="s">
        <v>14960</v>
      </c>
      <c r="K11607" t="s">
        <v>15932</v>
      </c>
      <c r="M11607">
        <f>HYPERLINK("https://www.senat.fr/senateur-3eme-republique/laterrade_alexandre0129r3.html", "laterrade_alexandre0129r3")</f>
        <v>0</v>
      </c>
      <c r="N11607">
        <f>HYPERLINK("https://www.wikidata.org/wiki/Q2833806", "Q2833806")</f>
        <v>0</v>
      </c>
      <c r="O11607" t="s">
        <v>20003</v>
      </c>
      <c r="Q11607" t="s">
        <v>395</v>
      </c>
      <c r="R11607" t="s">
        <v>21665</v>
      </c>
      <c r="S11607">
        <v>3289</v>
      </c>
    </row>
    <row r="11608" spans="1:19">
      <c r="A11608" t="s">
        <v>134</v>
      </c>
      <c r="B11608" t="s">
        <v>150</v>
      </c>
      <c r="C11608" t="s">
        <v>266</v>
      </c>
      <c r="D11608" t="s">
        <v>395</v>
      </c>
      <c r="F11608">
        <f>HYPERLINK("https://www.wikidata.org/wiki/Q67944206", "Q67944206")</f>
        <v>0</v>
      </c>
      <c r="G11608" t="s">
        <v>4810</v>
      </c>
      <c r="H11608" t="s">
        <v>8950</v>
      </c>
      <c r="I11608" t="s">
        <v>6495</v>
      </c>
      <c r="J11608" t="s">
        <v>15269</v>
      </c>
      <c r="K11608" t="s">
        <v>18540</v>
      </c>
      <c r="M11608">
        <f>HYPERLINK("https://www.senat.fr/senateur-3eme-republique/aucoin_louis0153r3.html", "aucoin_louis0153r3")</f>
        <v>0</v>
      </c>
      <c r="N11608">
        <f>HYPERLINK("https://www.wikidata.org/wiki/Q3261127", "Q3261127")</f>
        <v>0</v>
      </c>
      <c r="O11608" t="s">
        <v>20003</v>
      </c>
      <c r="Q11608" t="s">
        <v>395</v>
      </c>
      <c r="R11608" t="s">
        <v>21665</v>
      </c>
      <c r="S11608">
        <v>3289</v>
      </c>
    </row>
    <row r="11609" spans="1:19">
      <c r="A11609" t="s">
        <v>134</v>
      </c>
      <c r="B11609" t="s">
        <v>150</v>
      </c>
      <c r="C11609" t="s">
        <v>266</v>
      </c>
      <c r="D11609" t="s">
        <v>395</v>
      </c>
      <c r="F11609">
        <f>HYPERLINK("https://www.wikidata.org/wiki/Q67944206", "Q67944206")</f>
        <v>0</v>
      </c>
      <c r="G11609" t="s">
        <v>4808</v>
      </c>
      <c r="H11609" t="s">
        <v>8948</v>
      </c>
      <c r="I11609" t="s">
        <v>9388</v>
      </c>
      <c r="J11609" t="s">
        <v>15268</v>
      </c>
      <c r="K11609" t="s">
        <v>19575</v>
      </c>
      <c r="M11609">
        <f>HYPERLINK("https://www.senat.fr/senateur-3eme-republique/destieux_junca_paul0156r3.html", "destieux_junca_paul0156r3")</f>
        <v>0</v>
      </c>
      <c r="N11609">
        <f>HYPERLINK("https://www.wikidata.org/wiki/Q3371060", "Q3371060")</f>
        <v>0</v>
      </c>
      <c r="O11609" t="s">
        <v>20003</v>
      </c>
      <c r="Q11609" t="s">
        <v>395</v>
      </c>
      <c r="R11609" t="s">
        <v>21665</v>
      </c>
      <c r="S11609">
        <v>3289</v>
      </c>
    </row>
    <row r="11610" spans="1:19">
      <c r="A11610" t="s">
        <v>134</v>
      </c>
      <c r="B11610" t="s">
        <v>150</v>
      </c>
      <c r="C11610" t="s">
        <v>266</v>
      </c>
      <c r="D11610" t="s">
        <v>395</v>
      </c>
      <c r="F11610">
        <f>HYPERLINK("https://www.wikidata.org/wiki/Q67944206", "Q67944206")</f>
        <v>0</v>
      </c>
      <c r="G11610" t="s">
        <v>4342</v>
      </c>
      <c r="H11610" t="s">
        <v>8493</v>
      </c>
      <c r="I11610" t="s">
        <v>10879</v>
      </c>
      <c r="J11610" t="s">
        <v>14834</v>
      </c>
      <c r="K11610" t="s">
        <v>17963</v>
      </c>
      <c r="M11610">
        <f>HYPERLINK("https://www.senat.fr/senateur-3eme-republique/trarieux_ludovic0212r3.html", "trarieux_ludovic0212r3")</f>
        <v>0</v>
      </c>
      <c r="N11610">
        <f>HYPERLINK("https://www.wikidata.org/wiki/Q1654098", "Q1654098")</f>
        <v>0</v>
      </c>
      <c r="O11610" t="s">
        <v>19987</v>
      </c>
      <c r="Q11610" t="s">
        <v>395</v>
      </c>
      <c r="R11610" t="s">
        <v>21650</v>
      </c>
      <c r="S11610">
        <v>17822</v>
      </c>
    </row>
    <row r="11611" spans="1:19">
      <c r="A11611" t="s">
        <v>134</v>
      </c>
      <c r="B11611" t="s">
        <v>150</v>
      </c>
      <c r="C11611" t="s">
        <v>266</v>
      </c>
      <c r="D11611" t="s">
        <v>395</v>
      </c>
      <c r="F11611">
        <f>HYPERLINK("https://www.wikidata.org/wiki/Q67944206", "Q67944206")</f>
        <v>0</v>
      </c>
      <c r="G11611" t="s">
        <v>4555</v>
      </c>
      <c r="H11611" t="s">
        <v>8702</v>
      </c>
      <c r="I11611" t="s">
        <v>9483</v>
      </c>
      <c r="J11611" t="s">
        <v>11465</v>
      </c>
      <c r="K11611" t="s">
        <v>19359</v>
      </c>
      <c r="M11611">
        <f>HYPERLINK("https://www.senat.fr/senateur-3eme-republique/camparan_victor0101r3.html", "camparan_victor0101r3")</f>
        <v>0</v>
      </c>
      <c r="N11611">
        <f>HYPERLINK("https://www.wikidata.org/wiki/Q3557203", "Q3557203")</f>
        <v>0</v>
      </c>
      <c r="O11611" t="s">
        <v>20016</v>
      </c>
      <c r="Q11611" t="s">
        <v>395</v>
      </c>
      <c r="R11611" t="s">
        <v>21650</v>
      </c>
      <c r="S11611">
        <v>17822</v>
      </c>
    </row>
    <row r="11612" spans="1:19">
      <c r="A11612" t="s">
        <v>134</v>
      </c>
      <c r="B11612" t="s">
        <v>150</v>
      </c>
      <c r="C11612" t="s">
        <v>266</v>
      </c>
      <c r="D11612" t="s">
        <v>395</v>
      </c>
      <c r="F11612">
        <f>HYPERLINK("https://www.wikidata.org/wiki/Q67944206", "Q67944206")</f>
        <v>0</v>
      </c>
      <c r="G11612" t="s">
        <v>4811</v>
      </c>
      <c r="H11612" t="s">
        <v>8951</v>
      </c>
      <c r="I11612" t="s">
        <v>9506</v>
      </c>
      <c r="J11612" t="s">
        <v>15270</v>
      </c>
      <c r="K11612" t="s">
        <v>15723</v>
      </c>
      <c r="M11612">
        <f>HYPERLINK("https://www.senat.fr/senateur-3eme-republique/ournac_camille0079r3.html", "ournac_camille0079r3")</f>
        <v>0</v>
      </c>
      <c r="N11612">
        <f>HYPERLINK("https://www.wikidata.org/wiki/Q2935021", "Q2935021")</f>
        <v>0</v>
      </c>
      <c r="O11612" t="s">
        <v>20016</v>
      </c>
      <c r="Q11612" t="s">
        <v>395</v>
      </c>
      <c r="R11612" t="s">
        <v>21665</v>
      </c>
      <c r="S11612">
        <v>3289</v>
      </c>
    </row>
    <row r="11613" spans="1:19">
      <c r="A11613" t="s">
        <v>134</v>
      </c>
      <c r="B11613" t="s">
        <v>150</v>
      </c>
      <c r="C11613" t="s">
        <v>266</v>
      </c>
      <c r="D11613" t="s">
        <v>395</v>
      </c>
      <c r="F11613">
        <f>HYPERLINK("https://www.wikidata.org/wiki/Q67944206", "Q67944206")</f>
        <v>0</v>
      </c>
      <c r="G11613" t="s">
        <v>4754</v>
      </c>
      <c r="H11613" t="s">
        <v>8897</v>
      </c>
      <c r="I11613" t="s">
        <v>8319</v>
      </c>
      <c r="J11613" t="s">
        <v>15217</v>
      </c>
      <c r="K11613" t="s">
        <v>19533</v>
      </c>
      <c r="M11613">
        <f>HYPERLINK("https://www.senat.fr/senateur-3eme-republique/allemand_clement0512r3.html", "allemand_clement0512r3")</f>
        <v>0</v>
      </c>
      <c r="N11613">
        <f>HYPERLINK("https://www.wikidata.org/wiki/Q2980566", "Q2980566")</f>
        <v>0</v>
      </c>
      <c r="O11613" t="s">
        <v>19993</v>
      </c>
      <c r="Q11613" t="s">
        <v>395</v>
      </c>
      <c r="R11613" t="s">
        <v>21650</v>
      </c>
      <c r="S11613">
        <v>17822</v>
      </c>
    </row>
    <row r="11614" spans="1:19">
      <c r="A11614" t="s">
        <v>134</v>
      </c>
      <c r="B11614" t="s">
        <v>150</v>
      </c>
      <c r="C11614" t="s">
        <v>266</v>
      </c>
      <c r="D11614" t="s">
        <v>395</v>
      </c>
      <c r="F11614">
        <f>HYPERLINK("https://www.wikidata.org/wiki/Q67944206", "Q67944206")</f>
        <v>0</v>
      </c>
      <c r="G11614" t="s">
        <v>4557</v>
      </c>
      <c r="H11614" t="s">
        <v>8704</v>
      </c>
      <c r="I11614" t="s">
        <v>9442</v>
      </c>
      <c r="J11614" t="s">
        <v>15036</v>
      </c>
      <c r="K11614" t="s">
        <v>19361</v>
      </c>
      <c r="M11614">
        <f>HYPERLINK("https://www.senat.fr/senateur-3eme-republique/vissaguet_ernest0517r3.html", "vissaguet_ernest0517r3")</f>
        <v>0</v>
      </c>
      <c r="N11614">
        <f>HYPERLINK("https://www.wikidata.org/wiki/Q3057205", "Q3057205")</f>
        <v>0</v>
      </c>
      <c r="O11614" t="s">
        <v>19993</v>
      </c>
      <c r="Q11614" t="s">
        <v>395</v>
      </c>
      <c r="R11614" t="s">
        <v>21665</v>
      </c>
      <c r="S11614">
        <v>3289</v>
      </c>
    </row>
    <row r="11615" spans="1:19">
      <c r="A11615" t="s">
        <v>134</v>
      </c>
      <c r="B11615" t="s">
        <v>150</v>
      </c>
      <c r="C11615" t="s">
        <v>266</v>
      </c>
      <c r="D11615" t="s">
        <v>395</v>
      </c>
      <c r="F11615">
        <f>HYPERLINK("https://www.wikidata.org/wiki/Q67944206", "Q67944206")</f>
        <v>0</v>
      </c>
      <c r="G11615" t="s">
        <v>4727</v>
      </c>
      <c r="H11615" t="s">
        <v>8869</v>
      </c>
      <c r="I11615" t="s">
        <v>6200</v>
      </c>
      <c r="J11615" t="s">
        <v>15191</v>
      </c>
      <c r="K11615" t="s">
        <v>17898</v>
      </c>
      <c r="M11615">
        <f>HYPERLINK("https://www.senat.fr/senateur-3eme-republique/darbot_jean0873r3.html", "darbot_jean0873r3")</f>
        <v>0</v>
      </c>
      <c r="N11615">
        <f>HYPERLINK("https://www.wikidata.org/wiki/Q3171549", "Q3171549")</f>
        <v>0</v>
      </c>
      <c r="O11615" t="s">
        <v>20022</v>
      </c>
      <c r="Q11615" t="s">
        <v>395</v>
      </c>
      <c r="R11615" t="s">
        <v>21665</v>
      </c>
      <c r="S11615">
        <v>3289</v>
      </c>
    </row>
    <row r="11616" spans="1:19">
      <c r="A11616" t="s">
        <v>134</v>
      </c>
      <c r="B11616" t="s">
        <v>150</v>
      </c>
      <c r="C11616" t="s">
        <v>266</v>
      </c>
      <c r="D11616" t="s">
        <v>395</v>
      </c>
      <c r="F11616">
        <f>HYPERLINK("https://www.wikidata.org/wiki/Q67944206", "Q67944206")</f>
        <v>0</v>
      </c>
      <c r="G11616" t="s">
        <v>4812</v>
      </c>
      <c r="H11616" t="s">
        <v>8952</v>
      </c>
      <c r="I11616" t="s">
        <v>6200</v>
      </c>
      <c r="J11616" t="s">
        <v>15271</v>
      </c>
      <c r="K11616" t="s">
        <v>19576</v>
      </c>
      <c r="M11616">
        <f>HYPERLINK("https://www.senat.fr/senateur-3eme-republique/perreal_jean0244r3.html", "perreal_jean0244r3")</f>
        <v>0</v>
      </c>
      <c r="N11616">
        <f>HYPERLINK("https://www.wikidata.org/wiki/Q3057126", "Q3057126")</f>
        <v>0</v>
      </c>
      <c r="O11616" t="s">
        <v>7411</v>
      </c>
      <c r="Q11616" t="s">
        <v>395</v>
      </c>
      <c r="R11616" t="s">
        <v>21665</v>
      </c>
      <c r="S11616">
        <v>3289</v>
      </c>
    </row>
    <row r="11617" spans="1:19">
      <c r="A11617" t="s">
        <v>134</v>
      </c>
      <c r="B11617" t="s">
        <v>150</v>
      </c>
      <c r="C11617" t="s">
        <v>266</v>
      </c>
      <c r="D11617" t="s">
        <v>395</v>
      </c>
      <c r="F11617">
        <f>HYPERLINK("https://www.wikidata.org/wiki/Q67944206", "Q67944206")</f>
        <v>0</v>
      </c>
      <c r="G11617" t="s">
        <v>4465</v>
      </c>
      <c r="H11617" t="s">
        <v>8612</v>
      </c>
      <c r="I11617" t="s">
        <v>6495</v>
      </c>
      <c r="J11617" t="s">
        <v>14953</v>
      </c>
      <c r="K11617" t="s">
        <v>18707</v>
      </c>
      <c r="M11617">
        <f>HYPERLINK("https://www.senat.fr/senateur-3eme-republique/grivart_louis0525r3.html", "grivart_louis0525r3")</f>
        <v>0</v>
      </c>
      <c r="N11617">
        <f>HYPERLINK("https://www.wikidata.org/wiki/Q3262084", "Q3262084")</f>
        <v>0</v>
      </c>
      <c r="O11617" t="s">
        <v>19998</v>
      </c>
      <c r="Q11617" t="s">
        <v>395</v>
      </c>
      <c r="R11617" t="s">
        <v>21650</v>
      </c>
      <c r="S11617">
        <v>17822</v>
      </c>
    </row>
    <row r="11618" spans="1:19">
      <c r="A11618" t="s">
        <v>134</v>
      </c>
      <c r="B11618" t="s">
        <v>150</v>
      </c>
      <c r="C11618" t="s">
        <v>266</v>
      </c>
      <c r="D11618" t="s">
        <v>395</v>
      </c>
      <c r="F11618">
        <f>HYPERLINK("https://www.wikidata.org/wiki/Q67944206", "Q67944206")</f>
        <v>0</v>
      </c>
      <c r="G11618" t="s">
        <v>4813</v>
      </c>
      <c r="H11618" t="s">
        <v>8953</v>
      </c>
      <c r="I11618" t="s">
        <v>9457</v>
      </c>
      <c r="J11618" t="s">
        <v>14477</v>
      </c>
      <c r="K11618" t="s">
        <v>19577</v>
      </c>
      <c r="M11618">
        <f>HYPERLINK("https://www.senat.fr/senateur-3eme-republique/guerin_henri0528r3.html", "guerin_henri0528r3")</f>
        <v>0</v>
      </c>
      <c r="N11618">
        <f>HYPERLINK("https://www.wikidata.org/wiki/Q3131250", "Q3131250")</f>
        <v>0</v>
      </c>
      <c r="O11618" t="s">
        <v>19998</v>
      </c>
      <c r="Q11618" t="s">
        <v>395</v>
      </c>
      <c r="R11618" t="s">
        <v>19577</v>
      </c>
      <c r="S11618">
        <v>2596</v>
      </c>
    </row>
    <row r="11619" spans="1:19">
      <c r="A11619" t="s">
        <v>134</v>
      </c>
      <c r="B11619" t="s">
        <v>150</v>
      </c>
      <c r="C11619" t="s">
        <v>266</v>
      </c>
      <c r="D11619" t="s">
        <v>395</v>
      </c>
      <c r="F11619">
        <f>HYPERLINK("https://www.wikidata.org/wiki/Q67944206", "Q67944206")</f>
        <v>0</v>
      </c>
      <c r="G11619" t="s">
        <v>4814</v>
      </c>
      <c r="H11619" t="s">
        <v>8954</v>
      </c>
      <c r="I11619" t="s">
        <v>6175</v>
      </c>
      <c r="J11619" t="s">
        <v>11770</v>
      </c>
      <c r="K11619" t="s">
        <v>16715</v>
      </c>
      <c r="M11619">
        <f>HYPERLINK("https://www.senat.fr/senateur-3eme-republique/garreau_georges0555r3.html", "garreau_georges0555r3")</f>
        <v>0</v>
      </c>
      <c r="N11619">
        <f>HYPERLINK("https://www.wikidata.org/wiki/Q3102753", "Q3102753")</f>
        <v>0</v>
      </c>
      <c r="O11619" t="s">
        <v>19998</v>
      </c>
      <c r="Q11619" t="s">
        <v>395</v>
      </c>
      <c r="R11619" t="s">
        <v>21665</v>
      </c>
      <c r="S11619">
        <v>3289</v>
      </c>
    </row>
    <row r="11620" spans="1:19">
      <c r="A11620" t="s">
        <v>134</v>
      </c>
      <c r="B11620" t="s">
        <v>150</v>
      </c>
      <c r="C11620" t="s">
        <v>266</v>
      </c>
      <c r="D11620" t="s">
        <v>395</v>
      </c>
      <c r="F11620">
        <f>HYPERLINK("https://www.wikidata.org/wiki/Q67944206", "Q67944206")</f>
        <v>0</v>
      </c>
      <c r="G11620" t="s">
        <v>4759</v>
      </c>
      <c r="H11620" t="s">
        <v>8580</v>
      </c>
      <c r="I11620" t="s">
        <v>9453</v>
      </c>
      <c r="J11620" t="s">
        <v>15222</v>
      </c>
      <c r="K11620" t="s">
        <v>19536</v>
      </c>
      <c r="M11620">
        <f>HYPERLINK("https://www.senat.fr/senateur-3eme-republique/brunet_arthur0277r3.html", "brunet_arthur0277r3")</f>
        <v>0</v>
      </c>
      <c r="N11620">
        <f>HYPERLINK("https://www.wikidata.org/wiki/Q2865016", "Q2865016")</f>
        <v>0</v>
      </c>
      <c r="O11620" t="s">
        <v>19975</v>
      </c>
      <c r="Q11620" t="s">
        <v>395</v>
      </c>
      <c r="R11620" t="s">
        <v>21650</v>
      </c>
      <c r="S11620">
        <v>17822</v>
      </c>
    </row>
    <row r="11621" spans="1:19">
      <c r="A11621" t="s">
        <v>134</v>
      </c>
      <c r="B11621" t="s">
        <v>150</v>
      </c>
      <c r="C11621" t="s">
        <v>266</v>
      </c>
      <c r="D11621" t="s">
        <v>395</v>
      </c>
      <c r="F11621">
        <f>HYPERLINK("https://www.wikidata.org/wiki/Q67944206", "Q67944206")</f>
        <v>0</v>
      </c>
      <c r="G11621" t="s">
        <v>4224</v>
      </c>
      <c r="H11621" t="s">
        <v>8404</v>
      </c>
      <c r="I11621" t="s">
        <v>9608</v>
      </c>
      <c r="J11621" t="s">
        <v>11706</v>
      </c>
      <c r="K11621" t="s">
        <v>19077</v>
      </c>
      <c r="M11621">
        <f>HYPERLINK("https://www.senat.fr/senateur-3eme-republique/ratier_antony0259r3.html", "ratier_antony0259r3")</f>
        <v>0</v>
      </c>
      <c r="N11621">
        <f>HYPERLINK("https://www.wikidata.org/wiki/Q2342450", "Q2342450")</f>
        <v>0</v>
      </c>
      <c r="O11621" t="s">
        <v>19975</v>
      </c>
      <c r="Q11621" t="s">
        <v>395</v>
      </c>
      <c r="R11621" t="s">
        <v>21665</v>
      </c>
      <c r="S11621">
        <v>3289</v>
      </c>
    </row>
    <row r="11622" spans="1:19">
      <c r="A11622" t="s">
        <v>134</v>
      </c>
      <c r="B11622" t="s">
        <v>150</v>
      </c>
      <c r="C11622" t="s">
        <v>266</v>
      </c>
      <c r="D11622" t="s">
        <v>395</v>
      </c>
      <c r="F11622">
        <f>HYPERLINK("https://www.wikidata.org/wiki/Q67944206", "Q67944206")</f>
        <v>0</v>
      </c>
      <c r="G11622" t="s">
        <v>4712</v>
      </c>
      <c r="H11622" t="s">
        <v>8853</v>
      </c>
      <c r="I11622" t="s">
        <v>6860</v>
      </c>
      <c r="J11622" t="s">
        <v>15179</v>
      </c>
      <c r="K11622" t="s">
        <v>19499</v>
      </c>
      <c r="M11622">
        <f>HYPERLINK("https://www.senat.fr/senateur-3eme-republique/nioche_pierre0304r3.html", "nioche_pierre0304r3")</f>
        <v>0</v>
      </c>
      <c r="N11622">
        <f>HYPERLINK("https://www.wikidata.org/wiki/Q3386446", "Q3386446")</f>
        <v>0</v>
      </c>
      <c r="O11622" t="s">
        <v>20008</v>
      </c>
      <c r="Q11622" t="s">
        <v>395</v>
      </c>
      <c r="R11622" t="s">
        <v>21650</v>
      </c>
      <c r="S11622">
        <v>17822</v>
      </c>
    </row>
    <row r="11623" spans="1:19">
      <c r="A11623" t="s">
        <v>134</v>
      </c>
      <c r="B11623" t="s">
        <v>150</v>
      </c>
      <c r="C11623" t="s">
        <v>266</v>
      </c>
      <c r="D11623" t="s">
        <v>395</v>
      </c>
      <c r="F11623">
        <f>HYPERLINK("https://www.wikidata.org/wiki/Q67944206", "Q67944206")</f>
        <v>0</v>
      </c>
      <c r="G11623" t="s">
        <v>4713</v>
      </c>
      <c r="H11623" t="s">
        <v>8854</v>
      </c>
      <c r="I11623" t="s">
        <v>9375</v>
      </c>
      <c r="J11623" t="s">
        <v>15180</v>
      </c>
      <c r="K11623" t="s">
        <v>19500</v>
      </c>
      <c r="M11623">
        <f>HYPERLINK("https://www.senat.fr/senateur-3eme-republique/rey_edouard1191r3.html", "rey_edouard1191r3")</f>
        <v>0</v>
      </c>
      <c r="N11623">
        <f>HYPERLINK("https://www.wikidata.org/wiki/Q3580011", "Q3580011")</f>
        <v>0</v>
      </c>
      <c r="O11623" t="s">
        <v>20006</v>
      </c>
      <c r="Q11623" t="s">
        <v>395</v>
      </c>
      <c r="R11623" t="s">
        <v>21650</v>
      </c>
      <c r="S11623">
        <v>17822</v>
      </c>
    </row>
    <row r="11624" spans="1:19">
      <c r="A11624" t="s">
        <v>134</v>
      </c>
      <c r="B11624" t="s">
        <v>150</v>
      </c>
      <c r="C11624" t="s">
        <v>266</v>
      </c>
      <c r="D11624" t="s">
        <v>395</v>
      </c>
      <c r="F11624">
        <f>HYPERLINK("https://www.wikidata.org/wiki/Q67944206", "Q67944206")</f>
        <v>0</v>
      </c>
      <c r="G11624" t="s">
        <v>4612</v>
      </c>
      <c r="H11624" t="s">
        <v>8751</v>
      </c>
      <c r="I11624" t="s">
        <v>9388</v>
      </c>
      <c r="J11624" t="s">
        <v>13813</v>
      </c>
      <c r="K11624" t="s">
        <v>19410</v>
      </c>
      <c r="M11624">
        <f>HYPERLINK("https://www.senat.fr/senateur-3eme-republique/grevy_paul0427r3.html", "grevy_paul0427r3")</f>
        <v>0</v>
      </c>
      <c r="N11624">
        <f>HYPERLINK("https://www.wikidata.org/wiki/Q3371376", "Q3371376")</f>
        <v>0</v>
      </c>
      <c r="O11624" t="s">
        <v>20041</v>
      </c>
      <c r="Q11624" t="s">
        <v>395</v>
      </c>
      <c r="R11624" t="s">
        <v>21650</v>
      </c>
      <c r="S11624">
        <v>17822</v>
      </c>
    </row>
    <row r="11625" spans="1:19">
      <c r="A11625" t="s">
        <v>134</v>
      </c>
      <c r="B11625" t="s">
        <v>150</v>
      </c>
      <c r="C11625" t="s">
        <v>266</v>
      </c>
      <c r="D11625" t="s">
        <v>395</v>
      </c>
      <c r="F11625">
        <f>HYPERLINK("https://www.wikidata.org/wiki/Q67944206", "Q67944206")</f>
        <v>0</v>
      </c>
      <c r="G11625" t="s">
        <v>4714</v>
      </c>
      <c r="H11625" t="s">
        <v>8855</v>
      </c>
      <c r="I11625" t="s">
        <v>6495</v>
      </c>
      <c r="J11625" t="s">
        <v>15181</v>
      </c>
      <c r="K11625" t="s">
        <v>19501</v>
      </c>
      <c r="M11625">
        <f>HYPERLINK("https://www.senat.fr/senateur-3eme-republique/pazat_louis0338r3.html", "pazat_louis0338r3")</f>
        <v>0</v>
      </c>
      <c r="N11625">
        <f>HYPERLINK("https://www.wikidata.org/wiki/Q3262859", "Q3262859")</f>
        <v>0</v>
      </c>
      <c r="O11625" t="s">
        <v>19995</v>
      </c>
      <c r="Q11625" t="s">
        <v>395</v>
      </c>
      <c r="R11625" t="s">
        <v>21650</v>
      </c>
      <c r="S11625">
        <v>17822</v>
      </c>
    </row>
    <row r="11626" spans="1:19">
      <c r="A11626" t="s">
        <v>134</v>
      </c>
      <c r="B11626" t="s">
        <v>150</v>
      </c>
      <c r="C11626" t="s">
        <v>266</v>
      </c>
      <c r="D11626" t="s">
        <v>395</v>
      </c>
      <c r="F11626">
        <f>HYPERLINK("https://www.wikidata.org/wiki/Q67944206", "Q67944206")</f>
        <v>0</v>
      </c>
      <c r="G11626" t="s">
        <v>4298</v>
      </c>
      <c r="H11626" t="s">
        <v>8856</v>
      </c>
      <c r="I11626" t="s">
        <v>9483</v>
      </c>
      <c r="J11626" t="s">
        <v>14363</v>
      </c>
      <c r="K11626" t="s">
        <v>17827</v>
      </c>
      <c r="M11626">
        <f>HYPERLINK("https://www.senat.fr/senateur-3eme-republique/lourties_victor0343r3.html", "lourties_victor0343r3")</f>
        <v>0</v>
      </c>
      <c r="N11626">
        <f>HYPERLINK("https://www.wikidata.org/wiki/Q3557428", "Q3557428")</f>
        <v>0</v>
      </c>
      <c r="O11626" t="s">
        <v>19995</v>
      </c>
      <c r="Q11626" t="s">
        <v>395</v>
      </c>
      <c r="R11626" t="s">
        <v>21665</v>
      </c>
      <c r="S11626">
        <v>3289</v>
      </c>
    </row>
    <row r="11627" spans="1:19">
      <c r="A11627" t="s">
        <v>134</v>
      </c>
      <c r="B11627" t="s">
        <v>150</v>
      </c>
      <c r="C11627" t="s">
        <v>266</v>
      </c>
      <c r="D11627" t="s">
        <v>395</v>
      </c>
      <c r="F11627">
        <f>HYPERLINK("https://www.wikidata.org/wiki/Q67944206", "Q67944206")</f>
        <v>0</v>
      </c>
      <c r="G11627" t="s">
        <v>4272</v>
      </c>
      <c r="H11627" t="s">
        <v>8436</v>
      </c>
      <c r="I11627" t="s">
        <v>9512</v>
      </c>
      <c r="J11627" t="s">
        <v>14771</v>
      </c>
      <c r="K11627" t="s">
        <v>19119</v>
      </c>
      <c r="M11627">
        <f>HYPERLINK("https://www.senat.fr/senateur-3eme-republique/millies_lacroix_raphael0351r3.html", "millies_lacroix_raphael0351r3")</f>
        <v>0</v>
      </c>
      <c r="N11627">
        <f>HYPERLINK("https://www.wikidata.org/wiki/Q3419492", "Q3419492")</f>
        <v>0</v>
      </c>
      <c r="O11627" t="s">
        <v>19995</v>
      </c>
      <c r="Q11627" t="s">
        <v>395</v>
      </c>
      <c r="R11627" t="s">
        <v>21665</v>
      </c>
      <c r="S11627">
        <v>3289</v>
      </c>
    </row>
    <row r="11628" spans="1:19">
      <c r="A11628" t="s">
        <v>134</v>
      </c>
      <c r="B11628" t="s">
        <v>150</v>
      </c>
      <c r="C11628" t="s">
        <v>266</v>
      </c>
      <c r="D11628" t="s">
        <v>395</v>
      </c>
      <c r="F11628">
        <f>HYPERLINK("https://www.wikidata.org/wiki/Q67944206", "Q67944206")</f>
        <v>0</v>
      </c>
      <c r="G11628" t="s">
        <v>4815</v>
      </c>
      <c r="H11628" t="s">
        <v>8955</v>
      </c>
      <c r="I11628" t="s">
        <v>9375</v>
      </c>
      <c r="J11628" t="s">
        <v>14795</v>
      </c>
      <c r="K11628" t="s">
        <v>19578</v>
      </c>
      <c r="M11628">
        <f>HYPERLINK("https://www.senat.fr/senateur-3eme-republique/prillieux_edouard0383r3.html", "prillieux_edouard0383r3")</f>
        <v>0</v>
      </c>
      <c r="N11628">
        <f>HYPERLINK("https://www.wikidata.org/wiki/Q3579829", "Q3579829")</f>
        <v>0</v>
      </c>
      <c r="O11628" t="s">
        <v>20039</v>
      </c>
      <c r="Q11628" t="s">
        <v>395</v>
      </c>
      <c r="R11628" t="s">
        <v>21665</v>
      </c>
      <c r="S11628">
        <v>3289</v>
      </c>
    </row>
    <row r="11629" spans="1:19">
      <c r="A11629" t="s">
        <v>134</v>
      </c>
      <c r="B11629" t="s">
        <v>150</v>
      </c>
      <c r="C11629" t="s">
        <v>266</v>
      </c>
      <c r="D11629" t="s">
        <v>395</v>
      </c>
      <c r="F11629">
        <f>HYPERLINK("https://www.wikidata.org/wiki/Q67944206", "Q67944206")</f>
        <v>0</v>
      </c>
      <c r="G11629" t="s">
        <v>4800</v>
      </c>
      <c r="H11629" t="s">
        <v>8609</v>
      </c>
      <c r="I11629" t="s">
        <v>7265</v>
      </c>
      <c r="J11629" t="s">
        <v>15261</v>
      </c>
      <c r="K11629" t="s">
        <v>16049</v>
      </c>
      <c r="M11629">
        <f>HYPERLINK("https://www.senat.fr/senateur-3eme-republique/blanc_philippe1324r3.html", "blanc_philippe1324r3")</f>
        <v>0</v>
      </c>
      <c r="N11629">
        <f>HYPERLINK("https://www.wikidata.org/wiki/Q3379361", "Q3379361")</f>
        <v>0</v>
      </c>
      <c r="O11629" t="s">
        <v>19997</v>
      </c>
      <c r="Q11629" t="s">
        <v>395</v>
      </c>
      <c r="R11629" t="s">
        <v>21650</v>
      </c>
      <c r="S11629">
        <v>17822</v>
      </c>
    </row>
    <row r="11630" spans="1:19">
      <c r="A11630" t="s">
        <v>134</v>
      </c>
      <c r="B11630" t="s">
        <v>150</v>
      </c>
      <c r="C11630" t="s">
        <v>266</v>
      </c>
      <c r="D11630" t="s">
        <v>395</v>
      </c>
      <c r="F11630">
        <f>HYPERLINK("https://www.wikidata.org/wiki/Q67944206", "Q67944206")</f>
        <v>0</v>
      </c>
      <c r="G11630" t="s">
        <v>4701</v>
      </c>
      <c r="H11630" t="s">
        <v>8842</v>
      </c>
      <c r="I11630" t="s">
        <v>9442</v>
      </c>
      <c r="J11630" t="s">
        <v>15170</v>
      </c>
      <c r="K11630" t="s">
        <v>19489</v>
      </c>
      <c r="M11630">
        <f>HYPERLINK("https://www.senat.fr/senateur-3eme-republique/de_guibourg_de_luzinais_ernest1282r3.html", "de_guibourg_de_luzinais_ernest1282r3")</f>
        <v>0</v>
      </c>
      <c r="N11630">
        <f>HYPERLINK("https://www.wikidata.org/wiki/Q3056991", "Q3056991")</f>
        <v>0</v>
      </c>
      <c r="O11630" t="s">
        <v>20023</v>
      </c>
      <c r="Q11630" t="s">
        <v>395</v>
      </c>
      <c r="R11630" t="s">
        <v>21650</v>
      </c>
      <c r="S11630">
        <v>17822</v>
      </c>
    </row>
    <row r="11631" spans="1:19">
      <c r="A11631" t="s">
        <v>134</v>
      </c>
      <c r="B11631" t="s">
        <v>150</v>
      </c>
      <c r="C11631" t="s">
        <v>266</v>
      </c>
      <c r="D11631" t="s">
        <v>395</v>
      </c>
      <c r="F11631">
        <f>HYPERLINK("https://www.wikidata.org/wiki/Q67944206", "Q67944206")</f>
        <v>0</v>
      </c>
      <c r="G11631" t="s">
        <v>4477</v>
      </c>
      <c r="H11631" t="s">
        <v>8623</v>
      </c>
      <c r="I11631" t="s">
        <v>9457</v>
      </c>
      <c r="J11631" t="s">
        <v>14964</v>
      </c>
      <c r="K11631" t="s">
        <v>19291</v>
      </c>
      <c r="M11631">
        <f>HYPERLINK("https://www.senat.fr/senateur-3eme-republique/baillardel_de_lareinty_henri1271r3.html", "baillardel_de_lareinty_henri1271r3")</f>
        <v>0</v>
      </c>
      <c r="N11631">
        <f>HYPERLINK("https://www.wikidata.org/wiki/Q3130604", "Q3130604")</f>
        <v>0</v>
      </c>
      <c r="O11631" t="s">
        <v>20023</v>
      </c>
      <c r="Q11631" t="s">
        <v>395</v>
      </c>
      <c r="R11631" t="s">
        <v>21650</v>
      </c>
      <c r="S11631">
        <v>17822</v>
      </c>
    </row>
    <row r="11632" spans="1:19">
      <c r="A11632" t="s">
        <v>134</v>
      </c>
      <c r="B11632" t="s">
        <v>150</v>
      </c>
      <c r="C11632" t="s">
        <v>266</v>
      </c>
      <c r="D11632" t="s">
        <v>395</v>
      </c>
      <c r="F11632">
        <f>HYPERLINK("https://www.wikidata.org/wiki/Q67944206", "Q67944206")</f>
        <v>0</v>
      </c>
      <c r="G11632" t="s">
        <v>4816</v>
      </c>
      <c r="H11632" t="s">
        <v>8956</v>
      </c>
      <c r="I11632" t="s">
        <v>9950</v>
      </c>
      <c r="J11632" t="s">
        <v>15272</v>
      </c>
      <c r="K11632" t="s">
        <v>19579</v>
      </c>
      <c r="M11632">
        <f>HYPERLINK("https://www.senat.fr/senateur-3eme-republique/maillard_augustin1276r3.html", "maillard_augustin1276r3")</f>
        <v>0</v>
      </c>
      <c r="N11632">
        <f>HYPERLINK("https://www.wikidata.org/wiki/Q2871610", "Q2871610")</f>
        <v>0</v>
      </c>
      <c r="O11632" t="s">
        <v>20023</v>
      </c>
      <c r="Q11632" t="s">
        <v>395</v>
      </c>
      <c r="R11632" t="s">
        <v>21665</v>
      </c>
      <c r="S11632">
        <v>3289</v>
      </c>
    </row>
    <row r="11633" spans="1:19">
      <c r="A11633" t="s">
        <v>134</v>
      </c>
      <c r="B11633" t="s">
        <v>150</v>
      </c>
      <c r="C11633" t="s">
        <v>266</v>
      </c>
      <c r="D11633" t="s">
        <v>395</v>
      </c>
      <c r="F11633">
        <f>HYPERLINK("https://www.wikidata.org/wiki/Q67944206", "Q67944206")</f>
        <v>0</v>
      </c>
      <c r="G11633" t="s">
        <v>4654</v>
      </c>
      <c r="H11633" t="s">
        <v>8795</v>
      </c>
      <c r="I11633" t="s">
        <v>9457</v>
      </c>
      <c r="J11633" t="s">
        <v>15126</v>
      </c>
      <c r="K11633" t="s">
        <v>19446</v>
      </c>
      <c r="M11633">
        <f>HYPERLINK("https://www.senat.fr/senateur-3eme-republique/de_verninac_saint_maur_henri0603r3.html", "de_verninac_saint_maur_henri0603r3")</f>
        <v>0</v>
      </c>
      <c r="N11633">
        <f>HYPERLINK("https://www.wikidata.org/wiki/Q3132393", "Q3132393")</f>
        <v>0</v>
      </c>
      <c r="O11633" t="s">
        <v>19974</v>
      </c>
      <c r="Q11633" t="s">
        <v>395</v>
      </c>
      <c r="R11633" t="s">
        <v>21650</v>
      </c>
      <c r="S11633">
        <v>17822</v>
      </c>
    </row>
    <row r="11634" spans="1:19">
      <c r="A11634" t="s">
        <v>134</v>
      </c>
      <c r="B11634" t="s">
        <v>150</v>
      </c>
      <c r="C11634" t="s">
        <v>266</v>
      </c>
      <c r="D11634" t="s">
        <v>395</v>
      </c>
      <c r="F11634">
        <f>HYPERLINK("https://www.wikidata.org/wiki/Q67944206", "Q67944206")</f>
        <v>0</v>
      </c>
      <c r="G11634" t="s">
        <v>4758</v>
      </c>
      <c r="H11634" t="s">
        <v>8901</v>
      </c>
      <c r="I11634" t="s">
        <v>9407</v>
      </c>
      <c r="J11634" t="s">
        <v>15221</v>
      </c>
      <c r="K11634" t="s">
        <v>18329</v>
      </c>
      <c r="M11634">
        <f>HYPERLINK("https://www.senat.fr/senateur-3eme-republique/pauliac_joseph0617r3.html", "pauliac_joseph0617r3")</f>
        <v>0</v>
      </c>
      <c r="N11634">
        <f>HYPERLINK("https://www.wikidata.org/wiki/Q3185462", "Q3185462")</f>
        <v>0</v>
      </c>
      <c r="O11634" t="s">
        <v>19974</v>
      </c>
      <c r="Q11634" t="s">
        <v>395</v>
      </c>
      <c r="R11634" t="s">
        <v>21663</v>
      </c>
      <c r="S11634">
        <v>4381</v>
      </c>
    </row>
    <row r="11635" spans="1:19">
      <c r="A11635" t="s">
        <v>134</v>
      </c>
      <c r="B11635" t="s">
        <v>150</v>
      </c>
      <c r="C11635" t="s">
        <v>266</v>
      </c>
      <c r="D11635" t="s">
        <v>395</v>
      </c>
      <c r="F11635">
        <f>HYPERLINK("https://www.wikidata.org/wiki/Q67944206", "Q67944206")</f>
        <v>0</v>
      </c>
      <c r="G11635" t="s">
        <v>4348</v>
      </c>
      <c r="H11635" t="s">
        <v>8498</v>
      </c>
      <c r="I11635" t="s">
        <v>10037</v>
      </c>
      <c r="J11635" t="s">
        <v>14840</v>
      </c>
      <c r="K11635" t="s">
        <v>19182</v>
      </c>
      <c r="M11635">
        <f>HYPERLINK("https://www.senat.fr/senateur-3eme-republique/faye_etienne0733r3.html", "faye_etienne0733r3")</f>
        <v>0</v>
      </c>
      <c r="N11635">
        <f>HYPERLINK("https://www.wikidata.org/wiki/Q3271801", "Q3271801")</f>
        <v>0</v>
      </c>
      <c r="O11635" t="s">
        <v>20043</v>
      </c>
      <c r="Q11635" t="s">
        <v>395</v>
      </c>
      <c r="R11635" t="s">
        <v>21650</v>
      </c>
      <c r="S11635">
        <v>17822</v>
      </c>
    </row>
    <row r="11636" spans="1:19">
      <c r="A11636" t="s">
        <v>134</v>
      </c>
      <c r="B11636" t="s">
        <v>150</v>
      </c>
      <c r="C11636" t="s">
        <v>266</v>
      </c>
      <c r="D11636" t="s">
        <v>395</v>
      </c>
      <c r="F11636">
        <f>HYPERLINK("https://www.wikidata.org/wiki/Q67944206", "Q67944206")</f>
        <v>0</v>
      </c>
      <c r="G11636" t="s">
        <v>4276</v>
      </c>
      <c r="H11636" t="s">
        <v>5892</v>
      </c>
      <c r="I11636" t="s">
        <v>9407</v>
      </c>
      <c r="J11636" t="s">
        <v>14775</v>
      </c>
      <c r="K11636" t="s">
        <v>19122</v>
      </c>
      <c r="M11636">
        <f>HYPERLINK("https://www.senat.fr/senateur-3eme-republique/chaumie_joseph0747r3.html", "chaumie_joseph0747r3")</f>
        <v>0</v>
      </c>
      <c r="N11636">
        <f>HYPERLINK("https://www.wikidata.org/wiki/Q3184755", "Q3184755")</f>
        <v>0</v>
      </c>
      <c r="O11636" t="s">
        <v>20043</v>
      </c>
      <c r="Q11636" t="s">
        <v>395</v>
      </c>
      <c r="R11636" t="s">
        <v>21665</v>
      </c>
      <c r="S11636">
        <v>3289</v>
      </c>
    </row>
    <row r="11637" spans="1:19">
      <c r="A11637" t="s">
        <v>134</v>
      </c>
      <c r="B11637" t="s">
        <v>150</v>
      </c>
      <c r="C11637" t="s">
        <v>266</v>
      </c>
      <c r="D11637" t="s">
        <v>395</v>
      </c>
      <c r="F11637">
        <f>HYPERLINK("https://www.wikidata.org/wiki/Q67944206", "Q67944206")</f>
        <v>0</v>
      </c>
      <c r="G11637" t="s">
        <v>4577</v>
      </c>
      <c r="H11637" t="s">
        <v>8723</v>
      </c>
      <c r="I11637" t="s">
        <v>9451</v>
      </c>
      <c r="J11637" t="s">
        <v>15056</v>
      </c>
      <c r="K11637" t="s">
        <v>19379</v>
      </c>
      <c r="M11637">
        <f>HYPERLINK("https://www.senat.fr/senateur-3eme-republique/roussel_theophile0853r3.html", "roussel_theophile0853r3")</f>
        <v>0</v>
      </c>
      <c r="N11637">
        <f>HYPERLINK("https://www.wikidata.org/wiki/Q3526694", "Q3526694")</f>
        <v>0</v>
      </c>
      <c r="O11637" t="s">
        <v>20004</v>
      </c>
      <c r="Q11637" t="s">
        <v>395</v>
      </c>
      <c r="R11637" t="s">
        <v>21650</v>
      </c>
      <c r="S11637">
        <v>17822</v>
      </c>
    </row>
    <row r="11638" spans="1:19">
      <c r="A11638" t="s">
        <v>134</v>
      </c>
      <c r="B11638" t="s">
        <v>150</v>
      </c>
      <c r="C11638" t="s">
        <v>266</v>
      </c>
      <c r="D11638" t="s">
        <v>395</v>
      </c>
      <c r="F11638">
        <f>HYPERLINK("https://www.wikidata.org/wiki/Q67944206", "Q67944206")</f>
        <v>0</v>
      </c>
      <c r="G11638" t="s">
        <v>4803</v>
      </c>
      <c r="H11638" t="s">
        <v>8943</v>
      </c>
      <c r="I11638" t="s">
        <v>6175</v>
      </c>
      <c r="J11638" t="s">
        <v>15263</v>
      </c>
      <c r="K11638" t="s">
        <v>19570</v>
      </c>
      <c r="M11638">
        <f>HYPERLINK("https://www.senat.fr/senateur-3eme-republique/de_blois_georges1060r3.html", "de_blois_georges1060r3")</f>
        <v>0</v>
      </c>
      <c r="N11638">
        <f>HYPERLINK("https://www.wikidata.org/wiki/Q3103672", "Q3103672")</f>
        <v>0</v>
      </c>
      <c r="O11638" t="s">
        <v>19980</v>
      </c>
      <c r="Q11638" t="s">
        <v>395</v>
      </c>
      <c r="R11638" t="s">
        <v>21665</v>
      </c>
      <c r="S11638">
        <v>3289</v>
      </c>
    </row>
    <row r="11639" spans="1:19">
      <c r="A11639" t="s">
        <v>134</v>
      </c>
      <c r="B11639" t="s">
        <v>150</v>
      </c>
      <c r="C11639" t="s">
        <v>266</v>
      </c>
      <c r="D11639" t="s">
        <v>395</v>
      </c>
      <c r="F11639">
        <f>HYPERLINK("https://www.wikidata.org/wiki/Q67944206", "Q67944206")</f>
        <v>0</v>
      </c>
      <c r="G11639" t="s">
        <v>4817</v>
      </c>
      <c r="H11639" t="s">
        <v>8957</v>
      </c>
      <c r="I11639" t="s">
        <v>9423</v>
      </c>
      <c r="J11639" t="s">
        <v>15273</v>
      </c>
      <c r="K11639" t="s">
        <v>19580</v>
      </c>
      <c r="M11639">
        <f>HYPERLINK("https://www.senat.fr/senateur-3eme-republique/bodinier_guillaume1159r3.html", "bodinier_guillaume1159r3")</f>
        <v>0</v>
      </c>
      <c r="N11639">
        <f>HYPERLINK("https://www.wikidata.org/wiki/Q3119691", "Q3119691")</f>
        <v>0</v>
      </c>
      <c r="O11639" t="s">
        <v>19980</v>
      </c>
      <c r="Q11639" t="s">
        <v>395</v>
      </c>
      <c r="R11639" t="s">
        <v>21665</v>
      </c>
      <c r="S11639">
        <v>3289</v>
      </c>
    </row>
    <row r="11640" spans="1:19">
      <c r="A11640" t="s">
        <v>134</v>
      </c>
      <c r="B11640" t="s">
        <v>150</v>
      </c>
      <c r="C11640" t="s">
        <v>266</v>
      </c>
      <c r="D11640" t="s">
        <v>395</v>
      </c>
      <c r="F11640">
        <f>HYPERLINK("https://www.wikidata.org/wiki/Q67944206", "Q67944206")</f>
        <v>0</v>
      </c>
      <c r="G11640" t="s">
        <v>4581</v>
      </c>
      <c r="H11640" t="s">
        <v>8593</v>
      </c>
      <c r="I11640" t="s">
        <v>9449</v>
      </c>
      <c r="J11640" t="s">
        <v>15060</v>
      </c>
      <c r="K11640" t="s">
        <v>19382</v>
      </c>
      <c r="M11640">
        <f>HYPERLINK("https://www.senat.fr/senateur-3eme-republique/labiche_jules1040r3.html", "labiche_jules1040r3")</f>
        <v>0</v>
      </c>
      <c r="N11640">
        <f>HYPERLINK("https://www.wikidata.org/wiki/Q3188700", "Q3188700")</f>
        <v>0</v>
      </c>
      <c r="O11640" t="s">
        <v>19985</v>
      </c>
      <c r="Q11640" t="s">
        <v>395</v>
      </c>
      <c r="R11640" t="s">
        <v>21650</v>
      </c>
      <c r="S11640">
        <v>17822</v>
      </c>
    </row>
    <row r="11641" spans="1:19">
      <c r="A11641" t="s">
        <v>134</v>
      </c>
      <c r="B11641" t="s">
        <v>150</v>
      </c>
      <c r="C11641" t="s">
        <v>266</v>
      </c>
      <c r="D11641" t="s">
        <v>395</v>
      </c>
      <c r="F11641">
        <f>HYPERLINK("https://www.wikidata.org/wiki/Q67944206", "Q67944206")</f>
        <v>0</v>
      </c>
      <c r="G11641" t="s">
        <v>4794</v>
      </c>
      <c r="H11641" t="s">
        <v>8874</v>
      </c>
      <c r="I11641" t="s">
        <v>9458</v>
      </c>
      <c r="J11641" t="s">
        <v>15255</v>
      </c>
      <c r="K11641" t="s">
        <v>12910</v>
      </c>
      <c r="M11641">
        <f>HYPERLINK("https://www.senat.fr/senateur-3eme-republique/poirrier_alfred0641r3.html", "poirrier_alfred0641r3")</f>
        <v>0</v>
      </c>
      <c r="N11641">
        <f>HYPERLINK("https://www.wikidata.org/wiki/Q2835401", "Q2835401")</f>
        <v>0</v>
      </c>
      <c r="O11641" t="s">
        <v>20025</v>
      </c>
      <c r="Q11641" t="s">
        <v>395</v>
      </c>
      <c r="R11641" t="s">
        <v>21650</v>
      </c>
      <c r="S11641">
        <v>17822</v>
      </c>
    </row>
    <row r="11642" spans="1:19">
      <c r="A11642" t="s">
        <v>134</v>
      </c>
      <c r="B11642" t="s">
        <v>150</v>
      </c>
      <c r="C11642" t="s">
        <v>266</v>
      </c>
      <c r="D11642" t="s">
        <v>395</v>
      </c>
      <c r="F11642">
        <f>HYPERLINK("https://www.wikidata.org/wiki/Q67944206", "Q67944206")</f>
        <v>0</v>
      </c>
      <c r="G11642" t="s">
        <v>4702</v>
      </c>
      <c r="H11642" t="s">
        <v>8843</v>
      </c>
      <c r="I11642" t="s">
        <v>6495</v>
      </c>
      <c r="J11642" t="s">
        <v>15171</v>
      </c>
      <c r="K11642" t="s">
        <v>19490</v>
      </c>
      <c r="M11642">
        <f>HYPERLINK("https://www.senat.fr/senateur-3eme-republique/diancourt_louis0634r3.html", "diancourt_louis0634r3")</f>
        <v>0</v>
      </c>
      <c r="N11642">
        <f>HYPERLINK("https://www.wikidata.org/wiki/Q3557266", "Q3557266")</f>
        <v>0</v>
      </c>
      <c r="O11642" t="s">
        <v>20025</v>
      </c>
      <c r="Q11642" t="s">
        <v>395</v>
      </c>
      <c r="R11642" t="s">
        <v>21650</v>
      </c>
      <c r="S11642">
        <v>17822</v>
      </c>
    </row>
    <row r="11643" spans="1:19">
      <c r="A11643" t="s">
        <v>134</v>
      </c>
      <c r="B11643" t="s">
        <v>150</v>
      </c>
      <c r="C11643" t="s">
        <v>266</v>
      </c>
      <c r="D11643" t="s">
        <v>395</v>
      </c>
      <c r="F11643">
        <f>HYPERLINK("https://www.wikidata.org/wiki/Q67944206", "Q67944206")</f>
        <v>0</v>
      </c>
      <c r="G11643" t="s">
        <v>4653</v>
      </c>
      <c r="H11643" t="s">
        <v>8794</v>
      </c>
      <c r="I11643" t="s">
        <v>5812</v>
      </c>
      <c r="J11643" t="s">
        <v>14549</v>
      </c>
      <c r="K11643" t="s">
        <v>19445</v>
      </c>
      <c r="M11643">
        <f>HYPERLINK("https://www.senat.fr/senateur-3eme-republique/allegre_vincent0697r3.html", "allegre_vincent0697r3")</f>
        <v>0</v>
      </c>
      <c r="N11643">
        <f>HYPERLINK("https://www.wikidata.org/wiki/Q3559455", "Q3559455")</f>
        <v>0</v>
      </c>
      <c r="O11643" t="s">
        <v>20035</v>
      </c>
      <c r="Q11643" t="s">
        <v>395</v>
      </c>
      <c r="R11643" t="s">
        <v>21650</v>
      </c>
      <c r="S11643">
        <v>17822</v>
      </c>
    </row>
    <row r="11644" spans="1:19">
      <c r="A11644" t="s">
        <v>134</v>
      </c>
      <c r="B11644" t="s">
        <v>150</v>
      </c>
      <c r="C11644" t="s">
        <v>266</v>
      </c>
      <c r="D11644" t="s">
        <v>395</v>
      </c>
      <c r="F11644">
        <f>HYPERLINK("https://www.wikidata.org/wiki/Q67944206", "Q67944206")</f>
        <v>0</v>
      </c>
      <c r="G11644" t="s">
        <v>4583</v>
      </c>
      <c r="H11644" t="s">
        <v>8728</v>
      </c>
      <c r="I11644" t="s">
        <v>9421</v>
      </c>
      <c r="J11644" t="s">
        <v>15062</v>
      </c>
      <c r="K11644" t="s">
        <v>19384</v>
      </c>
      <c r="M11644">
        <f>HYPERLINK("https://www.senat.fr/senateur-3eme-republique/denis_gustave0956r3.html", "denis_gustave0956r3")</f>
        <v>0</v>
      </c>
      <c r="N11644">
        <f>HYPERLINK("https://www.wikidata.org/wiki/Q3121167", "Q3121167")</f>
        <v>0</v>
      </c>
      <c r="O11644" t="s">
        <v>19984</v>
      </c>
      <c r="Q11644" t="s">
        <v>395</v>
      </c>
      <c r="R11644" t="s">
        <v>21683</v>
      </c>
      <c r="S11644">
        <v>8406</v>
      </c>
    </row>
    <row r="11645" spans="1:19">
      <c r="A11645" t="s">
        <v>134</v>
      </c>
      <c r="B11645" t="s">
        <v>150</v>
      </c>
      <c r="C11645" t="s">
        <v>266</v>
      </c>
      <c r="D11645" t="s">
        <v>395</v>
      </c>
      <c r="F11645">
        <f>HYPERLINK("https://www.wikidata.org/wiki/Q67944206", "Q67944206")</f>
        <v>0</v>
      </c>
      <c r="G11645" t="s">
        <v>4703</v>
      </c>
      <c r="H11645" t="s">
        <v>8844</v>
      </c>
      <c r="I11645" t="s">
        <v>6166</v>
      </c>
      <c r="J11645" t="s">
        <v>15129</v>
      </c>
      <c r="K11645" t="s">
        <v>19491</v>
      </c>
      <c r="M11645">
        <f>HYPERLINK("https://www.senat.fr/senateur-3eme-republique/volland_francois0931r3.html", "volland_francois0931r3")</f>
        <v>0</v>
      </c>
      <c r="N11645">
        <f>HYPERLINK("https://www.wikidata.org/wiki/Q3086029", "Q3086029")</f>
        <v>0</v>
      </c>
      <c r="O11645" t="s">
        <v>20007</v>
      </c>
      <c r="Q11645" t="s">
        <v>395</v>
      </c>
      <c r="R11645" t="s">
        <v>21650</v>
      </c>
      <c r="S11645">
        <v>17822</v>
      </c>
    </row>
    <row r="11646" spans="1:19">
      <c r="A11646" t="s">
        <v>134</v>
      </c>
      <c r="B11646" t="s">
        <v>150</v>
      </c>
      <c r="C11646" t="s">
        <v>266</v>
      </c>
      <c r="D11646" t="s">
        <v>395</v>
      </c>
      <c r="F11646">
        <f>HYPERLINK("https://www.wikidata.org/wiki/Q67944206", "Q67944206")</f>
        <v>0</v>
      </c>
      <c r="G11646" t="s">
        <v>4659</v>
      </c>
      <c r="H11646" t="s">
        <v>8800</v>
      </c>
      <c r="I11646" t="s">
        <v>9457</v>
      </c>
      <c r="J11646" t="s">
        <v>15130</v>
      </c>
      <c r="K11646" t="s">
        <v>19451</v>
      </c>
      <c r="M11646">
        <f>HYPERLINK("https://www.senat.fr/senateur-3eme-republique/marquis_henri0938r3.html", "marquis_henri0938r3")</f>
        <v>0</v>
      </c>
      <c r="N11646">
        <f>HYPERLINK("https://www.wikidata.org/wiki/Q3131576", "Q3131576")</f>
        <v>0</v>
      </c>
      <c r="O11646" t="s">
        <v>20007</v>
      </c>
      <c r="Q11646" t="s">
        <v>395</v>
      </c>
      <c r="R11646" t="s">
        <v>21665</v>
      </c>
      <c r="S11646">
        <v>3289</v>
      </c>
    </row>
    <row r="11647" spans="1:19">
      <c r="A11647" t="s">
        <v>134</v>
      </c>
      <c r="B11647" t="s">
        <v>150</v>
      </c>
      <c r="C11647" t="s">
        <v>266</v>
      </c>
      <c r="D11647" t="s">
        <v>395</v>
      </c>
      <c r="F11647">
        <f>HYPERLINK("https://www.wikidata.org/wiki/Q67944206", "Q67944206")</f>
        <v>0</v>
      </c>
      <c r="G11647" t="s">
        <v>4265</v>
      </c>
      <c r="H11647" t="s">
        <v>8840</v>
      </c>
      <c r="I11647" t="s">
        <v>9442</v>
      </c>
      <c r="J11647" t="s">
        <v>13544</v>
      </c>
      <c r="K11647" t="s">
        <v>19113</v>
      </c>
      <c r="M11647">
        <f>HYPERLINK("https://www.senat.fr/senateur-3eme-republique/boulanger_ernest1019r3.html", "boulanger_ernest1019r3")</f>
        <v>0</v>
      </c>
      <c r="N11647">
        <f>HYPERLINK("https://www.wikidata.org/wiki/Q3056860", "Q3056860")</f>
        <v>0</v>
      </c>
      <c r="O11647" t="s">
        <v>20030</v>
      </c>
      <c r="Q11647" t="s">
        <v>395</v>
      </c>
      <c r="R11647" t="s">
        <v>21665</v>
      </c>
      <c r="S11647">
        <v>3289</v>
      </c>
    </row>
    <row r="11648" spans="1:19">
      <c r="A11648" t="s">
        <v>134</v>
      </c>
      <c r="B11648" t="s">
        <v>150</v>
      </c>
      <c r="C11648" t="s">
        <v>266</v>
      </c>
      <c r="D11648" t="s">
        <v>395</v>
      </c>
      <c r="F11648">
        <f>HYPERLINK("https://www.wikidata.org/wiki/Q67944206", "Q67944206")</f>
        <v>0</v>
      </c>
      <c r="G11648" t="s">
        <v>4484</v>
      </c>
      <c r="H11648" t="s">
        <v>8630</v>
      </c>
      <c r="I11648" t="s">
        <v>5812</v>
      </c>
      <c r="J11648" t="s">
        <v>14969</v>
      </c>
      <c r="K11648" t="s">
        <v>19297</v>
      </c>
      <c r="M11648">
        <f>HYPERLINK("https://www.senat.fr/senateur-3eme-republique/audren_de_kerdrel_vincent0893r3.html", "audren_de_kerdrel_vincent0893r3")</f>
        <v>0</v>
      </c>
      <c r="N11648">
        <f>HYPERLINK("https://www.wikidata.org/wiki/Q3559457", "Q3559457")</f>
        <v>0</v>
      </c>
      <c r="O11648" t="s">
        <v>19961</v>
      </c>
      <c r="Q11648" t="s">
        <v>395</v>
      </c>
      <c r="R11648" t="s">
        <v>21650</v>
      </c>
      <c r="S11648">
        <v>17822</v>
      </c>
    </row>
    <row r="11649" spans="1:19">
      <c r="A11649" t="s">
        <v>134</v>
      </c>
      <c r="B11649" t="s">
        <v>150</v>
      </c>
      <c r="C11649" t="s">
        <v>266</v>
      </c>
      <c r="D11649" t="s">
        <v>395</v>
      </c>
      <c r="F11649">
        <f>HYPERLINK("https://www.wikidata.org/wiki/Q67944206", "Q67944206")</f>
        <v>0</v>
      </c>
      <c r="G11649" t="s">
        <v>4587</v>
      </c>
      <c r="H11649" t="s">
        <v>8732</v>
      </c>
      <c r="I11649" t="s">
        <v>7790</v>
      </c>
      <c r="J11649" t="s">
        <v>15066</v>
      </c>
      <c r="K11649" t="s">
        <v>19387</v>
      </c>
      <c r="M11649">
        <f>HYPERLINK("https://www.senat.fr/senateur-3eme-republique/fresneau_armand0905r3.html", "fresneau_armand0905r3")</f>
        <v>0</v>
      </c>
      <c r="N11649">
        <f>HYPERLINK("https://www.wikidata.org/wiki/Q2861845", "Q2861845")</f>
        <v>0</v>
      </c>
      <c r="O11649" t="s">
        <v>19961</v>
      </c>
      <c r="Q11649" t="s">
        <v>395</v>
      </c>
      <c r="R11649" t="s">
        <v>21650</v>
      </c>
      <c r="S11649">
        <v>17822</v>
      </c>
    </row>
    <row r="11650" spans="1:19">
      <c r="A11650" t="s">
        <v>134</v>
      </c>
      <c r="B11650" t="s">
        <v>150</v>
      </c>
      <c r="C11650" t="s">
        <v>266</v>
      </c>
      <c r="D11650" t="s">
        <v>395</v>
      </c>
      <c r="F11650">
        <f>HYPERLINK("https://www.wikidata.org/wiki/Q67944206", "Q67944206")</f>
        <v>0</v>
      </c>
      <c r="G11650" t="s">
        <v>4726</v>
      </c>
      <c r="H11650" t="s">
        <v>8868</v>
      </c>
      <c r="I11650" t="s">
        <v>11220</v>
      </c>
      <c r="J11650" t="s">
        <v>15190</v>
      </c>
      <c r="K11650" t="s">
        <v>17562</v>
      </c>
      <c r="M11650">
        <f>HYPERLINK("https://www.senat.fr/senateur-3eme-republique/legrand_gery1408r3.html", "legrand_gery1408r3")</f>
        <v>0</v>
      </c>
      <c r="N11650">
        <f>HYPERLINK("https://www.wikidata.org/wiki/Q3124487", "Q3124487")</f>
        <v>0</v>
      </c>
      <c r="O11650" t="s">
        <v>20013</v>
      </c>
      <c r="Q11650" t="s">
        <v>395</v>
      </c>
      <c r="R11650" t="s">
        <v>21650</v>
      </c>
      <c r="S11650">
        <v>17822</v>
      </c>
    </row>
    <row r="11651" spans="1:19">
      <c r="A11651" t="s">
        <v>134</v>
      </c>
      <c r="B11651" t="s">
        <v>150</v>
      </c>
      <c r="C11651" t="s">
        <v>266</v>
      </c>
      <c r="D11651" t="s">
        <v>395</v>
      </c>
      <c r="F11651">
        <f>HYPERLINK("https://www.wikidata.org/wiki/Q67944206", "Q67944206")</f>
        <v>0</v>
      </c>
      <c r="G11651" t="s">
        <v>3429</v>
      </c>
      <c r="H11651" t="s">
        <v>8958</v>
      </c>
      <c r="I11651" t="s">
        <v>9389</v>
      </c>
      <c r="J11651" t="s">
        <v>14034</v>
      </c>
      <c r="K11651" t="s">
        <v>17695</v>
      </c>
      <c r="M11651">
        <f>HYPERLINK("https://www.senat.fr/senateur-3eme-republique/dubois_emile1393r3.html", "dubois_emile1393r3")</f>
        <v>0</v>
      </c>
      <c r="N11651">
        <f>HYPERLINK("https://www.wikidata.org/wiki/Q3588469", "Q3588469")</f>
        <v>0</v>
      </c>
      <c r="O11651" t="s">
        <v>20013</v>
      </c>
      <c r="Q11651" t="s">
        <v>395</v>
      </c>
      <c r="R11651" t="s">
        <v>17695</v>
      </c>
      <c r="S11651">
        <v>2952</v>
      </c>
    </row>
    <row r="11652" spans="1:19">
      <c r="A11652" t="s">
        <v>134</v>
      </c>
      <c r="B11652" t="s">
        <v>150</v>
      </c>
      <c r="C11652" t="s">
        <v>266</v>
      </c>
      <c r="D11652" t="s">
        <v>395</v>
      </c>
      <c r="F11652">
        <f>HYPERLINK("https://www.wikidata.org/wiki/Q67944206", "Q67944206")</f>
        <v>0</v>
      </c>
      <c r="G11652" t="s">
        <v>4802</v>
      </c>
      <c r="H11652" t="s">
        <v>8942</v>
      </c>
      <c r="I11652" t="s">
        <v>9451</v>
      </c>
      <c r="J11652" t="s">
        <v>13842</v>
      </c>
      <c r="K11652" t="s">
        <v>18494</v>
      </c>
      <c r="M11652">
        <f>HYPERLINK("https://www.senat.fr/senateur-3eme-republique/depreux_theophile1399r3.html", "depreux_theophile1399r3")</f>
        <v>0</v>
      </c>
      <c r="N11652">
        <f>HYPERLINK("https://www.wikidata.org/wiki/Q3526649", "Q3526649")</f>
        <v>0</v>
      </c>
      <c r="O11652" t="s">
        <v>20013</v>
      </c>
      <c r="Q11652" t="s">
        <v>395</v>
      </c>
      <c r="R11652" t="s">
        <v>21650</v>
      </c>
      <c r="S11652">
        <v>17822</v>
      </c>
    </row>
    <row r="11653" spans="1:19">
      <c r="A11653" t="s">
        <v>134</v>
      </c>
      <c r="B11653" t="s">
        <v>150</v>
      </c>
      <c r="C11653" t="s">
        <v>266</v>
      </c>
      <c r="D11653" t="s">
        <v>395</v>
      </c>
      <c r="F11653">
        <f>HYPERLINK("https://www.wikidata.org/wiki/Q67944206", "Q67944206")</f>
        <v>0</v>
      </c>
      <c r="G11653" t="s">
        <v>4721</v>
      </c>
      <c r="H11653" t="s">
        <v>8863</v>
      </c>
      <c r="I11653" t="s">
        <v>5528</v>
      </c>
      <c r="J11653" t="s">
        <v>15186</v>
      </c>
      <c r="K11653" t="s">
        <v>19508</v>
      </c>
      <c r="M11653">
        <f>HYPERLINK("https://www.senat.fr/senateur-3eme-republique/claeys_leon1385r3.html", "claeys_leon1385r3")</f>
        <v>0</v>
      </c>
      <c r="N11653">
        <f>HYPERLINK("https://www.wikidata.org/wiki/Q3270827", "Q3270827")</f>
        <v>0</v>
      </c>
      <c r="O11653" t="s">
        <v>20013</v>
      </c>
      <c r="Q11653" t="s">
        <v>395</v>
      </c>
      <c r="R11653" t="s">
        <v>21650</v>
      </c>
      <c r="S11653">
        <v>17822</v>
      </c>
    </row>
    <row r="11654" spans="1:19">
      <c r="A11654" t="s">
        <v>134</v>
      </c>
      <c r="B11654" t="s">
        <v>150</v>
      </c>
      <c r="C11654" t="s">
        <v>266</v>
      </c>
      <c r="D11654" t="s">
        <v>395</v>
      </c>
      <c r="F11654">
        <f>HYPERLINK("https://www.wikidata.org/wiki/Q67944206", "Q67944206")</f>
        <v>0</v>
      </c>
      <c r="G11654" t="s">
        <v>2865</v>
      </c>
      <c r="H11654" t="s">
        <v>8906</v>
      </c>
      <c r="I11654" t="s">
        <v>9474</v>
      </c>
      <c r="J11654" t="s">
        <v>15226</v>
      </c>
      <c r="K11654" t="s">
        <v>19540</v>
      </c>
      <c r="M11654">
        <f>HYPERLINK("https://www.senat.fr/senateur-3eme-republique/trystram_jean_baptiste1413r3.html", "trystram_jean_baptiste1413r3")</f>
        <v>0</v>
      </c>
      <c r="N11654">
        <f>HYPERLINK("https://www.wikidata.org/wiki/Q3164471", "Q3164471")</f>
        <v>0</v>
      </c>
      <c r="O11654" t="s">
        <v>20013</v>
      </c>
      <c r="Q11654" t="s">
        <v>395</v>
      </c>
      <c r="R11654" t="s">
        <v>21650</v>
      </c>
      <c r="S11654">
        <v>17822</v>
      </c>
    </row>
    <row r="11655" spans="1:19">
      <c r="A11655" t="s">
        <v>134</v>
      </c>
      <c r="B11655" t="s">
        <v>150</v>
      </c>
      <c r="C11655" t="s">
        <v>266</v>
      </c>
      <c r="D11655" t="s">
        <v>395</v>
      </c>
      <c r="F11655">
        <f>HYPERLINK("https://www.wikidata.org/wiki/Q67944206", "Q67944206")</f>
        <v>0</v>
      </c>
      <c r="G11655" t="s">
        <v>4722</v>
      </c>
      <c r="H11655" t="s">
        <v>8864</v>
      </c>
      <c r="I11655" t="s">
        <v>9426</v>
      </c>
      <c r="J11655" t="s">
        <v>15187</v>
      </c>
      <c r="K11655" t="s">
        <v>19509</v>
      </c>
      <c r="M11655">
        <f>HYPERLINK("https://www.senat.fr/senateur-3eme-republique/chovet_alphonse0889r3.html", "chovet_alphonse0889r3")</f>
        <v>0</v>
      </c>
      <c r="N11655">
        <f>HYPERLINK("https://www.wikidata.org/wiki/Q2839737", "Q2839737")</f>
        <v>0</v>
      </c>
      <c r="O11655" t="s">
        <v>19989</v>
      </c>
      <c r="Q11655" t="s">
        <v>395</v>
      </c>
      <c r="R11655" t="s">
        <v>21650</v>
      </c>
      <c r="S11655">
        <v>17822</v>
      </c>
    </row>
    <row r="11656" spans="1:19">
      <c r="A11656" t="s">
        <v>134</v>
      </c>
      <c r="B11656" t="s">
        <v>150</v>
      </c>
      <c r="C11656" t="s">
        <v>266</v>
      </c>
      <c r="D11656" t="s">
        <v>395</v>
      </c>
      <c r="F11656">
        <f>HYPERLINK("https://www.wikidata.org/wiki/Q67944206", "Q67944206")</f>
        <v>0</v>
      </c>
      <c r="G11656" t="s">
        <v>4596</v>
      </c>
      <c r="H11656" t="s">
        <v>8740</v>
      </c>
      <c r="I11656" t="s">
        <v>9388</v>
      </c>
      <c r="J11656" t="s">
        <v>15075</v>
      </c>
      <c r="K11656" t="s">
        <v>19395</v>
      </c>
      <c r="M11656">
        <f>HYPERLINK("https://www.senat.fr/senateur-3eme-republique/cuvinot_paul0878r3.html", "cuvinot_paul0878r3")</f>
        <v>0</v>
      </c>
      <c r="N11656">
        <f>HYPERLINK("https://www.wikidata.org/wiki/Q2415176", "Q2415176")</f>
        <v>0</v>
      </c>
      <c r="O11656" t="s">
        <v>19989</v>
      </c>
      <c r="Q11656" t="s">
        <v>395</v>
      </c>
      <c r="R11656" t="s">
        <v>21665</v>
      </c>
      <c r="S11656">
        <v>3289</v>
      </c>
    </row>
    <row r="11657" spans="1:19">
      <c r="A11657" t="s">
        <v>134</v>
      </c>
      <c r="B11657" t="s">
        <v>150</v>
      </c>
      <c r="C11657" t="s">
        <v>266</v>
      </c>
      <c r="D11657" t="s">
        <v>395</v>
      </c>
      <c r="F11657">
        <f>HYPERLINK("https://www.wikidata.org/wiki/Q67944206", "Q67944206")</f>
        <v>0</v>
      </c>
      <c r="G11657" t="s">
        <v>4818</v>
      </c>
      <c r="H11657" t="s">
        <v>8959</v>
      </c>
      <c r="I11657" t="s">
        <v>6584</v>
      </c>
      <c r="J11657" t="s">
        <v>13680</v>
      </c>
      <c r="K11657" t="s">
        <v>19581</v>
      </c>
      <c r="M11657">
        <f>HYPERLINK("https://www.senat.fr/senateur-3eme-republique/bouffier_albert1134r3.html", "bouffier_albert1134r3")</f>
        <v>0</v>
      </c>
      <c r="N11657">
        <f>HYPERLINK("https://www.wikidata.org/wiki/Q2830979", "Q2830979")</f>
        <v>0</v>
      </c>
      <c r="O11657" t="s">
        <v>19965</v>
      </c>
      <c r="Q11657" t="s">
        <v>395</v>
      </c>
      <c r="R11657" t="s">
        <v>21668</v>
      </c>
      <c r="S11657">
        <v>1119</v>
      </c>
    </row>
    <row r="11658" spans="1:19">
      <c r="A11658" t="s">
        <v>134</v>
      </c>
      <c r="B11658" t="s">
        <v>150</v>
      </c>
      <c r="C11658" t="s">
        <v>266</v>
      </c>
      <c r="D11658" t="s">
        <v>395</v>
      </c>
      <c r="F11658">
        <f>HYPERLINK("https://www.wikidata.org/wiki/Q67944206", "Q67944206")</f>
        <v>0</v>
      </c>
      <c r="G11658" t="s">
        <v>4819</v>
      </c>
      <c r="H11658" t="s">
        <v>8960</v>
      </c>
      <c r="I11658" t="s">
        <v>9385</v>
      </c>
      <c r="J11658" t="s">
        <v>15274</v>
      </c>
      <c r="K11658" t="s">
        <v>19582</v>
      </c>
      <c r="M11658">
        <f>HYPERLINK("https://www.senat.fr/senateur-3eme-republique/aubry_charles0694r3.html", "aubry_charles0694r3")</f>
        <v>0</v>
      </c>
      <c r="N11658">
        <f>HYPERLINK("https://www.wikidata.org/wiki/Q2959577", "Q2959577")</f>
        <v>0</v>
      </c>
      <c r="O11658" t="s">
        <v>20034</v>
      </c>
      <c r="Q11658" t="s">
        <v>395</v>
      </c>
      <c r="R11658" t="s">
        <v>19582</v>
      </c>
      <c r="S11658">
        <v>996</v>
      </c>
    </row>
    <row r="11659" spans="1:19">
      <c r="A11659" t="s">
        <v>134</v>
      </c>
      <c r="B11659" t="s">
        <v>150</v>
      </c>
      <c r="C11659" t="s">
        <v>266</v>
      </c>
      <c r="D11659" t="s">
        <v>395</v>
      </c>
      <c r="F11659">
        <f>HYPERLINK("https://www.wikidata.org/wiki/Q67944206", "Q67944206")</f>
        <v>0</v>
      </c>
      <c r="G11659" t="s">
        <v>4820</v>
      </c>
      <c r="H11659" t="s">
        <v>8961</v>
      </c>
      <c r="I11659" t="s">
        <v>11184</v>
      </c>
      <c r="J11659" t="s">
        <v>15275</v>
      </c>
      <c r="K11659" t="s">
        <v>19583</v>
      </c>
      <c r="M11659">
        <f>HYPERLINK("https://www.senat.fr/senateur-3eme-republique/piot_edme0550r3.html", "piot_edme0550r3")</f>
        <v>0</v>
      </c>
      <c r="N11659">
        <f>HYPERLINK("https://www.wikidata.org/wiki/Q3047703", "Q3047703")</f>
        <v>0</v>
      </c>
      <c r="Q11659" t="s">
        <v>395</v>
      </c>
      <c r="R11659" t="s">
        <v>21675</v>
      </c>
      <c r="S11659">
        <v>2190</v>
      </c>
    </row>
    <row r="11660" spans="1:19">
      <c r="A11660" t="s">
        <v>134</v>
      </c>
      <c r="B11660" t="s">
        <v>150</v>
      </c>
      <c r="C11660" t="s">
        <v>266</v>
      </c>
      <c r="D11660" t="s">
        <v>395</v>
      </c>
      <c r="F11660">
        <f>HYPERLINK("https://www.wikidata.org/wiki/Q67944206", "Q67944206")</f>
        <v>0</v>
      </c>
      <c r="G11660" t="s">
        <v>4821</v>
      </c>
      <c r="H11660" t="s">
        <v>8962</v>
      </c>
      <c r="I11660" t="s">
        <v>9748</v>
      </c>
      <c r="J11660" t="s">
        <v>14672</v>
      </c>
      <c r="K11660" t="s">
        <v>19584</v>
      </c>
      <c r="M11660">
        <f>HYPERLINK("https://www.senat.fr/senateur-3eme-republique/delcros_elie1088r3.html", "delcros_elie1088r3")</f>
        <v>0</v>
      </c>
      <c r="N11660">
        <f>HYPERLINK("https://www.wikidata.org/wiki/Q3587731", "Q3587731")</f>
        <v>0</v>
      </c>
      <c r="O11660" t="s">
        <v>20001</v>
      </c>
      <c r="Q11660" t="s">
        <v>20827</v>
      </c>
      <c r="R11660" t="s">
        <v>21668</v>
      </c>
      <c r="S11660">
        <v>1070</v>
      </c>
    </row>
    <row r="11661" spans="1:19">
      <c r="A11661" t="s">
        <v>134</v>
      </c>
      <c r="B11661" t="s">
        <v>150</v>
      </c>
      <c r="C11661" t="s">
        <v>266</v>
      </c>
      <c r="D11661" t="s">
        <v>395</v>
      </c>
      <c r="F11661">
        <f>HYPERLINK("https://www.wikidata.org/wiki/Q67944206", "Q67944206")</f>
        <v>0</v>
      </c>
      <c r="G11661" t="s">
        <v>4822</v>
      </c>
      <c r="H11661" t="s">
        <v>8963</v>
      </c>
      <c r="I11661" t="s">
        <v>9426</v>
      </c>
      <c r="J11661" t="s">
        <v>15276</v>
      </c>
      <c r="K11661" t="s">
        <v>19585</v>
      </c>
      <c r="M11661">
        <f>HYPERLINK("https://www.senat.fr/senateur-3eme-republique/renaudat_alphonse0232r3.html", "renaudat_alphonse0232r3")</f>
        <v>0</v>
      </c>
      <c r="N11661">
        <f>HYPERLINK("https://www.wikidata.org/wiki/Q2839946", "Q2839946")</f>
        <v>0</v>
      </c>
      <c r="O11661" t="s">
        <v>8449</v>
      </c>
      <c r="Q11661" t="s">
        <v>19207</v>
      </c>
      <c r="R11661" t="s">
        <v>21675</v>
      </c>
      <c r="S11661">
        <v>2140</v>
      </c>
    </row>
    <row r="11662" spans="1:19">
      <c r="A11662" t="s">
        <v>134</v>
      </c>
      <c r="B11662" t="s">
        <v>150</v>
      </c>
      <c r="C11662" t="s">
        <v>266</v>
      </c>
      <c r="D11662" t="s">
        <v>395</v>
      </c>
      <c r="F11662">
        <f>HYPERLINK("https://www.wikidata.org/wiki/Q67944206", "Q67944206")</f>
        <v>0</v>
      </c>
      <c r="G11662" t="s">
        <v>4823</v>
      </c>
      <c r="H11662" t="s">
        <v>8964</v>
      </c>
      <c r="I11662" t="s">
        <v>9457</v>
      </c>
      <c r="J11662" t="s">
        <v>15277</v>
      </c>
      <c r="K11662" t="s">
        <v>19586</v>
      </c>
      <c r="M11662">
        <f>HYPERLINK("https://www.senat.fr/senateur-3eme-republique/ponthier_de_chamaillard_henri0809r3.html", "ponthier_de_chamaillard_henri0809r3")</f>
        <v>0</v>
      </c>
      <c r="N11662">
        <f>HYPERLINK("https://www.wikidata.org/wiki/Q3131821", "Q3131821")</f>
        <v>0</v>
      </c>
      <c r="O11662" t="s">
        <v>20011</v>
      </c>
      <c r="Q11662" t="s">
        <v>20830</v>
      </c>
      <c r="R11662" t="s">
        <v>21675</v>
      </c>
      <c r="S11662">
        <v>2120</v>
      </c>
    </row>
    <row r="11663" spans="1:19">
      <c r="A11663" t="s">
        <v>134</v>
      </c>
      <c r="B11663" t="s">
        <v>150</v>
      </c>
      <c r="C11663" t="s">
        <v>266</v>
      </c>
      <c r="D11663" t="s">
        <v>395</v>
      </c>
      <c r="F11663">
        <f>HYPERLINK("https://www.wikidata.org/wiki/Q67944206", "Q67944206")</f>
        <v>0</v>
      </c>
      <c r="G11663" t="s">
        <v>2657</v>
      </c>
      <c r="H11663" t="s">
        <v>7197</v>
      </c>
      <c r="I11663" t="s">
        <v>10344</v>
      </c>
      <c r="J11663" t="s">
        <v>11632</v>
      </c>
      <c r="K11663" t="s">
        <v>17698</v>
      </c>
      <c r="L11663">
        <f>HYPERLINK("https://www2.assemblee-nationale.fr/sycomore/fiche/(num_dept)/6230", "6230")</f>
        <v>0</v>
      </c>
      <c r="M11663">
        <f>HYPERLINK("https://www.senat.fr/senateur-3eme-republique/saint_romme_mathias1205r3.html", "saint_romme_mathias1205r3")</f>
        <v>0</v>
      </c>
      <c r="N11663">
        <f>HYPERLINK("https://www.wikidata.org/wiki/Q3298594", "Q3298594")</f>
        <v>0</v>
      </c>
      <c r="O11663" t="s">
        <v>20006</v>
      </c>
      <c r="Q11663" t="s">
        <v>21128</v>
      </c>
      <c r="R11663" t="s">
        <v>21665</v>
      </c>
      <c r="S11663">
        <v>3198</v>
      </c>
    </row>
    <row r="11664" spans="1:19">
      <c r="A11664" t="s">
        <v>134</v>
      </c>
      <c r="B11664" t="s">
        <v>150</v>
      </c>
      <c r="C11664" t="s">
        <v>266</v>
      </c>
      <c r="D11664" t="s">
        <v>395</v>
      </c>
      <c r="F11664">
        <f>HYPERLINK("https://www.wikidata.org/wiki/Q67944206", "Q67944206")</f>
        <v>0</v>
      </c>
      <c r="G11664" t="s">
        <v>4824</v>
      </c>
      <c r="H11664" t="s">
        <v>8965</v>
      </c>
      <c r="I11664" t="s">
        <v>9385</v>
      </c>
      <c r="J11664" t="s">
        <v>15278</v>
      </c>
      <c r="K11664" t="s">
        <v>19587</v>
      </c>
      <c r="M11664">
        <f>HYPERLINK("https://www.senat.fr/senateur-3eme-republique/bidault_charles0308r3.html", "bidault_charles0308r3")</f>
        <v>0</v>
      </c>
      <c r="N11664">
        <f>HYPERLINK("https://www.wikidata.org/wiki/Q2958551", "Q2958551")</f>
        <v>0</v>
      </c>
      <c r="O11664" t="s">
        <v>20008</v>
      </c>
      <c r="Q11664" t="s">
        <v>21128</v>
      </c>
      <c r="R11664" t="s">
        <v>21665</v>
      </c>
      <c r="S11664">
        <v>3198</v>
      </c>
    </row>
    <row r="11665" spans="1:19">
      <c r="A11665" t="s">
        <v>134</v>
      </c>
      <c r="B11665" t="s">
        <v>150</v>
      </c>
      <c r="C11665" t="s">
        <v>266</v>
      </c>
      <c r="D11665" t="s">
        <v>395</v>
      </c>
      <c r="F11665">
        <f>HYPERLINK("https://www.wikidata.org/wiki/Q67944206", "Q67944206")</f>
        <v>0</v>
      </c>
      <c r="G11665" t="s">
        <v>3814</v>
      </c>
      <c r="H11665" t="s">
        <v>8098</v>
      </c>
      <c r="I11665" t="s">
        <v>6200</v>
      </c>
      <c r="J11665" t="s">
        <v>14380</v>
      </c>
      <c r="K11665" t="s">
        <v>18732</v>
      </c>
      <c r="L11665">
        <f>HYPERLINK("https://www2.assemblee-nationale.fr/sycomore/fiche/(num_dept)/7465", "7465")</f>
        <v>0</v>
      </c>
      <c r="M11665">
        <f>HYPERLINK("https://www.senat.fr/senateur-3eme-republique/vuillod_jean0440r3.html", "vuillod_jean0440r3")</f>
        <v>0</v>
      </c>
      <c r="N11665">
        <f>HYPERLINK("https://www.wikidata.org/wiki/Q8312093", "Q8312093")</f>
        <v>0</v>
      </c>
      <c r="O11665" t="s">
        <v>20041</v>
      </c>
      <c r="Q11665" t="s">
        <v>21129</v>
      </c>
      <c r="R11665" t="s">
        <v>21665</v>
      </c>
      <c r="S11665">
        <v>3170</v>
      </c>
    </row>
    <row r="11666" spans="1:19">
      <c r="A11666" t="s">
        <v>134</v>
      </c>
      <c r="B11666" t="s">
        <v>150</v>
      </c>
      <c r="C11666" t="s">
        <v>266</v>
      </c>
      <c r="D11666" t="s">
        <v>395</v>
      </c>
      <c r="F11666">
        <f>HYPERLINK("https://www.wikidata.org/wiki/Q67944206", "Q67944206")</f>
        <v>0</v>
      </c>
      <c r="G11666" t="s">
        <v>4825</v>
      </c>
      <c r="H11666" t="s">
        <v>8966</v>
      </c>
      <c r="I11666" t="s">
        <v>11225</v>
      </c>
      <c r="J11666" t="s">
        <v>15279</v>
      </c>
      <c r="K11666" t="s">
        <v>19588</v>
      </c>
      <c r="M11666">
        <f>HYPERLINK("https://www.senat.fr/senateur-3eme-republique/saillard_albin0682r3.html", "saillard_albin0682r3")</f>
        <v>0</v>
      </c>
      <c r="N11666">
        <f>HYPERLINK("https://www.wikidata.org/wiki/Q2831891", "Q2831891")</f>
        <v>0</v>
      </c>
      <c r="O11666" t="s">
        <v>19973</v>
      </c>
      <c r="Q11666" t="s">
        <v>20833</v>
      </c>
      <c r="R11666" t="s">
        <v>21675</v>
      </c>
      <c r="S11666">
        <v>2043</v>
      </c>
    </row>
    <row r="11667" spans="1:19">
      <c r="A11667" t="s">
        <v>134</v>
      </c>
      <c r="B11667" t="s">
        <v>150</v>
      </c>
      <c r="C11667" t="s">
        <v>266</v>
      </c>
      <c r="D11667" t="s">
        <v>395</v>
      </c>
      <c r="F11667">
        <f>HYPERLINK("https://www.wikidata.org/wiki/Q67944206", "Q67944206")</f>
        <v>0</v>
      </c>
      <c r="G11667" t="s">
        <v>4826</v>
      </c>
      <c r="H11667" t="s">
        <v>8897</v>
      </c>
      <c r="I11667" t="s">
        <v>10131</v>
      </c>
      <c r="J11667" t="s">
        <v>15280</v>
      </c>
      <c r="K11667" t="s">
        <v>19589</v>
      </c>
      <c r="M11667">
        <f>HYPERLINK("https://www.senat.fr/senateur-3eme-republique/allemand_cesar0058r3.html", "allemand_cesar0058r3")</f>
        <v>0</v>
      </c>
      <c r="N11667">
        <f>HYPERLINK("https://www.wikidata.org/wiki/Q3010406", "Q3010406")</f>
        <v>0</v>
      </c>
      <c r="O11667" t="s">
        <v>20033</v>
      </c>
      <c r="Q11667" t="s">
        <v>21130</v>
      </c>
      <c r="R11667" t="s">
        <v>21675</v>
      </c>
      <c r="S11667">
        <v>2008</v>
      </c>
    </row>
    <row r="11668" spans="1:19">
      <c r="A11668" t="s">
        <v>134</v>
      </c>
      <c r="B11668" t="s">
        <v>150</v>
      </c>
      <c r="C11668" t="s">
        <v>266</v>
      </c>
      <c r="D11668" t="s">
        <v>395</v>
      </c>
      <c r="F11668">
        <f>HYPERLINK("https://www.wikidata.org/wiki/Q67944206", "Q67944206")</f>
        <v>0</v>
      </c>
      <c r="G11668" t="s">
        <v>2707</v>
      </c>
      <c r="H11668" t="s">
        <v>6277</v>
      </c>
      <c r="I11668" t="s">
        <v>10377</v>
      </c>
      <c r="J11668" t="s">
        <v>13348</v>
      </c>
      <c r="K11668" t="s">
        <v>17748</v>
      </c>
      <c r="L11668">
        <f>HYPERLINK("https://www2.assemblee-nationale.fr/sycomore/fiche/(num_dept)/7616", "7616")</f>
        <v>0</v>
      </c>
      <c r="M11668">
        <f>HYPERLINK("https://www.senat.fr/senateur-3eme-republique/le_roux_paul1745r3.html", "le_roux_paul1745r3")</f>
        <v>0</v>
      </c>
      <c r="N11668">
        <f>HYPERLINK("https://www.wikidata.org/wiki/Q3371651", "Q3371651")</f>
        <v>0</v>
      </c>
      <c r="O11668" t="s">
        <v>19972</v>
      </c>
      <c r="Q11668" t="s">
        <v>18053</v>
      </c>
      <c r="R11668" t="s">
        <v>21668</v>
      </c>
      <c r="S11668">
        <v>930</v>
      </c>
    </row>
    <row r="11669" spans="1:19">
      <c r="A11669" t="s">
        <v>134</v>
      </c>
      <c r="B11669" t="s">
        <v>150</v>
      </c>
      <c r="C11669" t="s">
        <v>266</v>
      </c>
      <c r="D11669" t="s">
        <v>395</v>
      </c>
      <c r="F11669">
        <f>HYPERLINK("https://www.wikidata.org/wiki/Q67944206", "Q67944206")</f>
        <v>0</v>
      </c>
      <c r="G11669" t="s">
        <v>4334</v>
      </c>
      <c r="H11669" t="s">
        <v>8485</v>
      </c>
      <c r="I11669" t="s">
        <v>9388</v>
      </c>
      <c r="J11669" t="s">
        <v>14829</v>
      </c>
      <c r="K11669" t="s">
        <v>19170</v>
      </c>
      <c r="M11669">
        <f>HYPERLINK("https://www.senat.fr/senateur-3eme-republique/strauss_paul1334r3.html", "strauss_paul1334r3")</f>
        <v>0</v>
      </c>
      <c r="N11669">
        <f>HYPERLINK("https://www.wikidata.org/wiki/Q3372237", "Q3372237")</f>
        <v>0</v>
      </c>
      <c r="O11669" t="s">
        <v>19969</v>
      </c>
      <c r="Q11669" t="s">
        <v>13109</v>
      </c>
      <c r="R11669" t="s">
        <v>21668</v>
      </c>
      <c r="S11669">
        <v>916</v>
      </c>
    </row>
    <row r="11670" spans="1:19">
      <c r="A11670" t="s">
        <v>134</v>
      </c>
      <c r="B11670" t="s">
        <v>150</v>
      </c>
      <c r="C11670" t="s">
        <v>266</v>
      </c>
      <c r="D11670" t="s">
        <v>395</v>
      </c>
      <c r="F11670">
        <f>HYPERLINK("https://www.wikidata.org/wiki/Q67944206", "Q67944206")</f>
        <v>0</v>
      </c>
      <c r="G11670" t="s">
        <v>4827</v>
      </c>
      <c r="H11670" t="s">
        <v>8967</v>
      </c>
      <c r="I11670" t="s">
        <v>9453</v>
      </c>
      <c r="J11670" t="s">
        <v>15281</v>
      </c>
      <c r="K11670" t="s">
        <v>19590</v>
      </c>
      <c r="M11670">
        <f>HYPERLINK("https://www.senat.fr/senateur-3eme-republique/latappy_arthur0340r3.html", "latappy_arthur0340r3")</f>
        <v>0</v>
      </c>
      <c r="N11670">
        <f>HYPERLINK("https://www.wikidata.org/wiki/Q2865189", "Q2865189")</f>
        <v>0</v>
      </c>
      <c r="O11670" t="s">
        <v>19995</v>
      </c>
      <c r="Q11670" t="s">
        <v>20835</v>
      </c>
      <c r="R11670" t="s">
        <v>21665</v>
      </c>
      <c r="S11670">
        <v>3079</v>
      </c>
    </row>
    <row r="11671" spans="1:19">
      <c r="A11671" t="s">
        <v>134</v>
      </c>
      <c r="B11671" t="s">
        <v>150</v>
      </c>
      <c r="C11671" t="s">
        <v>266</v>
      </c>
      <c r="D11671" t="s">
        <v>395</v>
      </c>
      <c r="F11671">
        <f>HYPERLINK("https://www.wikidata.org/wiki/Q67944206", "Q67944206")</f>
        <v>0</v>
      </c>
      <c r="G11671" t="s">
        <v>4828</v>
      </c>
      <c r="H11671" t="s">
        <v>8968</v>
      </c>
      <c r="I11671" t="s">
        <v>9449</v>
      </c>
      <c r="J11671" t="s">
        <v>13323</v>
      </c>
      <c r="K11671" t="s">
        <v>19591</v>
      </c>
      <c r="M11671">
        <f>HYPERLINK("https://www.senat.fr/senateur-3eme-republique/viseur_jules0959r3.html", "viseur_jules0959r3")</f>
        <v>0</v>
      </c>
      <c r="N11671">
        <f>HYPERLINK("https://www.wikidata.org/wiki/Q3188961", "Q3188961")</f>
        <v>0</v>
      </c>
      <c r="O11671" t="s">
        <v>19968</v>
      </c>
      <c r="Q11671" t="s">
        <v>20835</v>
      </c>
      <c r="R11671" t="s">
        <v>21668</v>
      </c>
      <c r="S11671">
        <v>909</v>
      </c>
    </row>
    <row r="11672" spans="1:19">
      <c r="A11672" t="s">
        <v>134</v>
      </c>
      <c r="B11672" t="s">
        <v>150</v>
      </c>
      <c r="C11672" t="s">
        <v>266</v>
      </c>
      <c r="D11672" t="s">
        <v>395</v>
      </c>
      <c r="F11672">
        <f>HYPERLINK("https://www.wikidata.org/wiki/Q67944206", "Q67944206")</f>
        <v>0</v>
      </c>
      <c r="G11672" t="s">
        <v>1052</v>
      </c>
      <c r="H11672" t="s">
        <v>5799</v>
      </c>
      <c r="I11672" t="s">
        <v>9449</v>
      </c>
      <c r="J11672" t="s">
        <v>11789</v>
      </c>
      <c r="K11672" t="s">
        <v>16190</v>
      </c>
      <c r="L11672">
        <f>HYPERLINK("https://www2.assemblee-nationale.fr/sycomore/fiche/(num_dept)/6832", "6832")</f>
        <v>0</v>
      </c>
      <c r="M11672">
        <f>HYPERLINK("https://www.senat.fr/senateur-3eme-republique/siegfried_jules1584r3.html", "siegfried_jules1584r3")</f>
        <v>0</v>
      </c>
      <c r="N11672">
        <f>HYPERLINK("https://www.wikidata.org/wiki/Q3188910", "Q3188910")</f>
        <v>0</v>
      </c>
      <c r="O11672" t="s">
        <v>19978</v>
      </c>
      <c r="Q11672" t="s">
        <v>18330</v>
      </c>
      <c r="R11672" t="s">
        <v>21668</v>
      </c>
      <c r="S11672">
        <v>902</v>
      </c>
    </row>
    <row r="11673" spans="1:19">
      <c r="A11673" t="s">
        <v>134</v>
      </c>
      <c r="B11673" t="s">
        <v>150</v>
      </c>
      <c r="C11673" t="s">
        <v>266</v>
      </c>
      <c r="D11673" t="s">
        <v>395</v>
      </c>
      <c r="F11673">
        <f>HYPERLINK("https://www.wikidata.org/wiki/Q67944206", "Q67944206")</f>
        <v>0</v>
      </c>
      <c r="G11673" t="s">
        <v>4829</v>
      </c>
      <c r="H11673" t="s">
        <v>8969</v>
      </c>
      <c r="I11673" t="s">
        <v>6495</v>
      </c>
      <c r="J11673" t="s">
        <v>15282</v>
      </c>
      <c r="K11673" t="s">
        <v>19592</v>
      </c>
      <c r="M11673">
        <f>HYPERLINK("https://www.senat.fr/senateur-3eme-republique/bourgeat_louis1724r3.html", "bourgeat_louis1724r3")</f>
        <v>0</v>
      </c>
      <c r="N11673">
        <f>HYPERLINK("https://www.wikidata.org/wiki/Q3261332", "Q3261332")</f>
        <v>0</v>
      </c>
      <c r="O11673" t="s">
        <v>20045</v>
      </c>
      <c r="Q11673" t="s">
        <v>21131</v>
      </c>
      <c r="R11673" t="s">
        <v>21668</v>
      </c>
      <c r="S11673">
        <v>818</v>
      </c>
    </row>
    <row r="11674" spans="1:19">
      <c r="A11674" t="s">
        <v>134</v>
      </c>
      <c r="B11674" t="s">
        <v>150</v>
      </c>
      <c r="C11674" t="s">
        <v>266</v>
      </c>
      <c r="D11674" t="s">
        <v>395</v>
      </c>
      <c r="F11674">
        <f>HYPERLINK("https://www.wikidata.org/wiki/Q67944206", "Q67944206")</f>
        <v>0</v>
      </c>
      <c r="G11674" t="s">
        <v>4830</v>
      </c>
      <c r="H11674" t="s">
        <v>8970</v>
      </c>
      <c r="I11674" t="s">
        <v>11226</v>
      </c>
      <c r="J11674" t="s">
        <v>15283</v>
      </c>
      <c r="K11674" t="s">
        <v>17543</v>
      </c>
      <c r="M11674">
        <f>HYPERLINK("https://www.senat.fr/senateur-3eme-republique/pozzi_samuel0661r3.html", "pozzi_samuel0661r3")</f>
        <v>0</v>
      </c>
      <c r="N11674">
        <f>HYPERLINK("https://www.wikidata.org/wiki/Q3471213", "Q3471213")</f>
        <v>0</v>
      </c>
      <c r="O11674" t="s">
        <v>20010</v>
      </c>
      <c r="Q11674" t="s">
        <v>21132</v>
      </c>
      <c r="R11674" t="s">
        <v>21675</v>
      </c>
      <c r="S11674">
        <v>1819</v>
      </c>
    </row>
    <row r="11675" spans="1:19">
      <c r="A11675" t="s">
        <v>134</v>
      </c>
      <c r="B11675" t="s">
        <v>150</v>
      </c>
      <c r="C11675" t="s">
        <v>266</v>
      </c>
      <c r="D11675" t="s">
        <v>395</v>
      </c>
      <c r="F11675">
        <f>HYPERLINK("https://www.wikidata.org/wiki/Q67944206", "Q67944206")</f>
        <v>0</v>
      </c>
      <c r="G11675" t="s">
        <v>3055</v>
      </c>
      <c r="H11675" t="s">
        <v>6149</v>
      </c>
      <c r="I11675" t="s">
        <v>9538</v>
      </c>
      <c r="J11675" t="s">
        <v>13681</v>
      </c>
      <c r="K11675" t="s">
        <v>18062</v>
      </c>
      <c r="L11675">
        <f>HYPERLINK("https://www2.assemblee-nationale.fr/sycomore/fiche/(num_dept)/2799", "2799")</f>
        <v>0</v>
      </c>
      <c r="M11675">
        <f>HYPERLINK("https://www.senat.fr/senateur-3eme-republique/duval_cesar1318r3.html", "duval_cesar1318r3")</f>
        <v>0</v>
      </c>
      <c r="N11675">
        <f>HYPERLINK("https://www.wikidata.org/wiki/Q3010446", "Q3010446")</f>
        <v>0</v>
      </c>
      <c r="O11675" t="s">
        <v>20018</v>
      </c>
      <c r="Q11675" t="s">
        <v>21133</v>
      </c>
      <c r="R11675" t="s">
        <v>21668</v>
      </c>
      <c r="S11675">
        <v>720</v>
      </c>
    </row>
    <row r="11676" spans="1:19">
      <c r="A11676" t="s">
        <v>134</v>
      </c>
      <c r="B11676" t="s">
        <v>150</v>
      </c>
      <c r="C11676" t="s">
        <v>266</v>
      </c>
      <c r="D11676" t="s">
        <v>395</v>
      </c>
      <c r="F11676">
        <f>HYPERLINK("https://www.wikidata.org/wiki/Q67944206", "Q67944206")</f>
        <v>0</v>
      </c>
      <c r="G11676" t="s">
        <v>3396</v>
      </c>
      <c r="H11676" t="s">
        <v>7785</v>
      </c>
      <c r="I11676" t="s">
        <v>10806</v>
      </c>
      <c r="J11676" t="s">
        <v>14005</v>
      </c>
      <c r="K11676" t="s">
        <v>18373</v>
      </c>
      <c r="L11676">
        <f>HYPERLINK("https://www2.assemblee-nationale.fr/sycomore/fiche/(num_dept)/7857", "7857")</f>
        <v>0</v>
      </c>
      <c r="M11676">
        <f>HYPERLINK("https://www.senat.fr/senateur-3eme-republique/linard_desire0173r3.html", "linard_desire0173r3")</f>
        <v>0</v>
      </c>
      <c r="N11676">
        <f>HYPERLINK("https://www.wikidata.org/wiki/Q3045178", "Q3045178")</f>
        <v>0</v>
      </c>
      <c r="O11676" t="s">
        <v>19959</v>
      </c>
      <c r="Q11676" t="s">
        <v>21133</v>
      </c>
      <c r="R11676" t="s">
        <v>18373</v>
      </c>
      <c r="S11676">
        <v>83</v>
      </c>
    </row>
    <row r="11677" spans="1:19">
      <c r="A11677" t="s">
        <v>134</v>
      </c>
      <c r="B11677" t="s">
        <v>150</v>
      </c>
      <c r="C11677" t="s">
        <v>266</v>
      </c>
      <c r="D11677" t="s">
        <v>395</v>
      </c>
      <c r="F11677">
        <f>HYPERLINK("https://www.wikidata.org/wiki/Q67944206", "Q67944206")</f>
        <v>0</v>
      </c>
      <c r="G11677" t="s">
        <v>4831</v>
      </c>
      <c r="H11677" t="s">
        <v>8971</v>
      </c>
      <c r="I11677" t="s">
        <v>9483</v>
      </c>
      <c r="J11677" t="s">
        <v>15284</v>
      </c>
      <c r="K11677" t="s">
        <v>441</v>
      </c>
      <c r="M11677">
        <f>HYPERLINK("https://www.senat.fr/senateur-3eme-republique/meric_victor1732r3.html", "meric_victor1732r3")</f>
        <v>0</v>
      </c>
      <c r="N11677">
        <f>HYPERLINK("https://www.wikidata.org/wiki/Q3557471", "Q3557471")</f>
        <v>0</v>
      </c>
      <c r="O11677" t="s">
        <v>20042</v>
      </c>
      <c r="Q11677" t="s">
        <v>21134</v>
      </c>
      <c r="R11677" t="s">
        <v>21668</v>
      </c>
      <c r="S11677">
        <v>699</v>
      </c>
    </row>
    <row r="11678" spans="1:19">
      <c r="A11678" t="s">
        <v>134</v>
      </c>
      <c r="B11678" t="s">
        <v>150</v>
      </c>
      <c r="C11678" t="s">
        <v>266</v>
      </c>
      <c r="D11678" t="s">
        <v>395</v>
      </c>
      <c r="F11678">
        <f>HYPERLINK("https://www.wikidata.org/wiki/Q67944206", "Q67944206")</f>
        <v>0</v>
      </c>
      <c r="G11678" t="s">
        <v>4832</v>
      </c>
      <c r="H11678" t="s">
        <v>8972</v>
      </c>
      <c r="I11678" t="s">
        <v>9472</v>
      </c>
      <c r="J11678" t="s">
        <v>15285</v>
      </c>
      <c r="K11678" t="s">
        <v>19593</v>
      </c>
      <c r="M11678">
        <f>HYPERLINK("https://www.senat.fr/senateur-3eme-republique/gay_de_savary_hippolyte1696r3.html", "gay_de_savary_hippolyte1696r3")</f>
        <v>0</v>
      </c>
      <c r="N11678">
        <f>HYPERLINK("https://www.wikidata.org/wiki/Q2825179", "Q2825179")</f>
        <v>0</v>
      </c>
      <c r="O11678" t="s">
        <v>19962</v>
      </c>
      <c r="Q11678" t="s">
        <v>21135</v>
      </c>
      <c r="R11678" t="s">
        <v>21668</v>
      </c>
      <c r="S11678">
        <v>678</v>
      </c>
    </row>
    <row r="11679" spans="1:19">
      <c r="A11679" t="s">
        <v>134</v>
      </c>
      <c r="B11679" t="s">
        <v>150</v>
      </c>
      <c r="C11679" t="s">
        <v>266</v>
      </c>
      <c r="D11679" t="s">
        <v>395</v>
      </c>
      <c r="F11679">
        <f>HYPERLINK("https://www.wikidata.org/wiki/Q67944206", "Q67944206")</f>
        <v>0</v>
      </c>
      <c r="G11679" t="s">
        <v>3075</v>
      </c>
      <c r="H11679" t="s">
        <v>7525</v>
      </c>
      <c r="I11679" t="s">
        <v>9455</v>
      </c>
      <c r="J11679" t="s">
        <v>13699</v>
      </c>
      <c r="K11679" t="s">
        <v>18082</v>
      </c>
      <c r="L11679">
        <f>HYPERLINK("https://www2.assemblee-nationale.fr/sycomore/fiche/(num_dept)/3674", "3674")</f>
        <v>0</v>
      </c>
      <c r="M11679">
        <f>HYPERLINK("https://www.senat.fr/senateur-3eme-republique/guillemaut_lucien1225r3.html", "guillemaut_lucien1225r3")</f>
        <v>0</v>
      </c>
      <c r="N11679">
        <f>HYPERLINK("https://www.wikidata.org/wiki/Q3265536", "Q3265536")</f>
        <v>0</v>
      </c>
      <c r="O11679" t="s">
        <v>19994</v>
      </c>
      <c r="Q11679" t="s">
        <v>21136</v>
      </c>
      <c r="R11679" t="s">
        <v>21668</v>
      </c>
      <c r="S11679">
        <v>671</v>
      </c>
    </row>
    <row r="11680" spans="1:19">
      <c r="A11680" t="s">
        <v>134</v>
      </c>
      <c r="B11680" t="s">
        <v>150</v>
      </c>
      <c r="C11680" t="s">
        <v>266</v>
      </c>
      <c r="D11680" t="s">
        <v>395</v>
      </c>
      <c r="F11680">
        <f>HYPERLINK("https://www.wikidata.org/wiki/Q67944206", "Q67944206")</f>
        <v>0</v>
      </c>
      <c r="G11680" t="s">
        <v>4833</v>
      </c>
      <c r="H11680" t="s">
        <v>8973</v>
      </c>
      <c r="I11680" t="s">
        <v>9612</v>
      </c>
      <c r="J11680" t="s">
        <v>15286</v>
      </c>
      <c r="K11680" t="s">
        <v>19594</v>
      </c>
      <c r="M11680">
        <f>HYPERLINK("https://www.senat.fr/senateur-3eme-republique/bonnefille_frederic1664r3.html", "bonnefille_frederic1664r3")</f>
        <v>0</v>
      </c>
      <c r="N11680">
        <f>HYPERLINK("https://www.wikidata.org/wiki/Q3089637", "Q3089637")</f>
        <v>0</v>
      </c>
      <c r="O11680" t="s">
        <v>19976</v>
      </c>
      <c r="Q11680" t="s">
        <v>21136</v>
      </c>
      <c r="R11680" t="s">
        <v>21668</v>
      </c>
      <c r="S11680">
        <v>671</v>
      </c>
    </row>
    <row r="11681" spans="1:19">
      <c r="A11681" t="s">
        <v>134</v>
      </c>
      <c r="B11681" t="s">
        <v>150</v>
      </c>
      <c r="C11681" t="s">
        <v>266</v>
      </c>
      <c r="D11681" t="s">
        <v>395</v>
      </c>
      <c r="F11681">
        <f>HYPERLINK("https://www.wikidata.org/wiki/Q67944206", "Q67944206")</f>
        <v>0</v>
      </c>
      <c r="G11681" t="s">
        <v>3678</v>
      </c>
      <c r="H11681" t="s">
        <v>5286</v>
      </c>
      <c r="I11681" t="s">
        <v>9553</v>
      </c>
      <c r="J11681" t="s">
        <v>14255</v>
      </c>
      <c r="K11681" t="s">
        <v>18616</v>
      </c>
      <c r="L11681">
        <f>HYPERLINK("https://www2.assemblee-nationale.fr/sycomore/fiche/(num_dept)/647", "647")</f>
        <v>0</v>
      </c>
      <c r="M11681">
        <f>HYPERLINK("https://www.senat.fr/senateur-3eme-republique/berard_alexandre0019r3.html", "berard_alexandre0019r3")</f>
        <v>0</v>
      </c>
      <c r="N11681">
        <f>HYPERLINK("https://www.wikidata.org/wiki/Q2833511", "Q2833511")</f>
        <v>0</v>
      </c>
      <c r="O11681" t="s">
        <v>19986</v>
      </c>
      <c r="Q11681" t="s">
        <v>20840</v>
      </c>
      <c r="R11681" t="s">
        <v>18258</v>
      </c>
      <c r="S11681">
        <v>3562</v>
      </c>
    </row>
    <row r="11682" spans="1:19">
      <c r="A11682" t="s">
        <v>134</v>
      </c>
      <c r="B11682" t="s">
        <v>150</v>
      </c>
      <c r="C11682" t="s">
        <v>266</v>
      </c>
      <c r="D11682" t="s">
        <v>395</v>
      </c>
      <c r="F11682">
        <f>HYPERLINK("https://www.wikidata.org/wiki/Q67944206", "Q67944206")</f>
        <v>0</v>
      </c>
      <c r="G11682" t="s">
        <v>3872</v>
      </c>
      <c r="H11682" t="s">
        <v>8140</v>
      </c>
      <c r="I11682" t="s">
        <v>6200</v>
      </c>
      <c r="J11682" t="s">
        <v>14431</v>
      </c>
      <c r="K11682" t="s">
        <v>18783</v>
      </c>
      <c r="L11682">
        <f>HYPERLINK("https://www2.assemblee-nationale.fr/sycomore/fiche/(num_dept)/790", "790")</f>
        <v>0</v>
      </c>
      <c r="M11682">
        <f>HYPERLINK("https://www.senat.fr/senateur-3eme-republique/bienvenu_martin_jean_baptiste1840r3.html", "bienvenu_martin_jean_baptiste1840r3")</f>
        <v>0</v>
      </c>
      <c r="N11682">
        <f>HYPERLINK("https://www.wikidata.org/wiki/Q325552", "Q325552")</f>
        <v>0</v>
      </c>
      <c r="O11682" t="s">
        <v>20034</v>
      </c>
      <c r="Q11682" t="s">
        <v>20840</v>
      </c>
      <c r="R11682" t="s">
        <v>21684</v>
      </c>
      <c r="S11682">
        <v>2582</v>
      </c>
    </row>
    <row r="11683" spans="1:19">
      <c r="A11683" t="s">
        <v>134</v>
      </c>
      <c r="B11683" t="s">
        <v>150</v>
      </c>
      <c r="C11683" t="s">
        <v>266</v>
      </c>
      <c r="D11683" t="s">
        <v>395</v>
      </c>
      <c r="F11683">
        <f>HYPERLINK("https://www.wikidata.org/wiki/Q67944206", "Q67944206")</f>
        <v>0</v>
      </c>
      <c r="G11683" t="s">
        <v>3720</v>
      </c>
      <c r="H11683" t="s">
        <v>5504</v>
      </c>
      <c r="I11683" t="s">
        <v>9442</v>
      </c>
      <c r="J11683" t="s">
        <v>14295</v>
      </c>
      <c r="K11683" t="s">
        <v>15930</v>
      </c>
      <c r="L11683">
        <f>HYPERLINK("https://www2.assemblee-nationale.fr/sycomore/fiche/(num_dept)/5564", "5564")</f>
        <v>0</v>
      </c>
      <c r="M11683">
        <f>HYPERLINK("https://www.senat.fr/senateur-3eme-republique/noel_charles0885r3.html", "noel_charles0885r3")</f>
        <v>0</v>
      </c>
      <c r="N11683">
        <f>HYPERLINK("https://www.wikidata.org/wiki/Q2959917", "Q2959917")</f>
        <v>0</v>
      </c>
      <c r="O11683" t="s">
        <v>19989</v>
      </c>
      <c r="Q11683" t="s">
        <v>20840</v>
      </c>
      <c r="R11683" t="s">
        <v>21665</v>
      </c>
      <c r="S11683">
        <v>2799</v>
      </c>
    </row>
    <row r="11684" spans="1:19">
      <c r="A11684" t="s">
        <v>134</v>
      </c>
      <c r="B11684" t="s">
        <v>150</v>
      </c>
      <c r="C11684" t="s">
        <v>266</v>
      </c>
      <c r="D11684" t="s">
        <v>395</v>
      </c>
      <c r="F11684">
        <f>HYPERLINK("https://www.wikidata.org/wiki/Q67944206", "Q67944206")</f>
        <v>0</v>
      </c>
      <c r="G11684" t="s">
        <v>4834</v>
      </c>
      <c r="H11684" t="s">
        <v>8974</v>
      </c>
      <c r="I11684" t="s">
        <v>9385</v>
      </c>
      <c r="J11684" t="s">
        <v>15287</v>
      </c>
      <c r="K11684" t="s">
        <v>19527</v>
      </c>
      <c r="M11684">
        <f>HYPERLINK("https://www.senat.fr/senateur-3eme-republique/goutant_charles0174r3.html", "goutant_charles0174r3")</f>
        <v>0</v>
      </c>
      <c r="N11684">
        <f>HYPERLINK("https://www.wikidata.org/wiki/Q2959245", "Q2959245")</f>
        <v>0</v>
      </c>
      <c r="O11684" t="s">
        <v>19959</v>
      </c>
      <c r="Q11684" t="s">
        <v>18610</v>
      </c>
      <c r="R11684" t="s">
        <v>21675</v>
      </c>
      <c r="S11684">
        <v>1630</v>
      </c>
    </row>
    <row r="11685" spans="1:19">
      <c r="A11685" t="s">
        <v>134</v>
      </c>
      <c r="B11685" t="s">
        <v>150</v>
      </c>
      <c r="C11685" t="s">
        <v>266</v>
      </c>
      <c r="D11685" t="s">
        <v>395</v>
      </c>
      <c r="F11685">
        <f>HYPERLINK("https://www.wikidata.org/wiki/Q67944206", "Q67944206")</f>
        <v>0</v>
      </c>
      <c r="G11685" t="s">
        <v>4835</v>
      </c>
      <c r="H11685" t="s">
        <v>8975</v>
      </c>
      <c r="I11685" t="s">
        <v>11227</v>
      </c>
      <c r="J11685" t="s">
        <v>15288</v>
      </c>
      <c r="K11685" t="s">
        <v>19595</v>
      </c>
      <c r="M11685">
        <f>HYPERLINK("https://www.senat.fr/senateur-3eme-republique/bazire_elphege1045r3.html", "bazire_elphege1045r3")</f>
        <v>0</v>
      </c>
      <c r="N11685">
        <f>HYPERLINK("https://www.wikidata.org/wiki/Q3051673", "Q3051673")</f>
        <v>0</v>
      </c>
      <c r="O11685" t="s">
        <v>19985</v>
      </c>
      <c r="Q11685" t="s">
        <v>21137</v>
      </c>
      <c r="R11685" t="s">
        <v>21665</v>
      </c>
      <c r="S11685">
        <v>2722</v>
      </c>
    </row>
    <row r="11686" spans="1:19">
      <c r="A11686" t="s">
        <v>134</v>
      </c>
      <c r="B11686" t="s">
        <v>150</v>
      </c>
      <c r="C11686" t="s">
        <v>266</v>
      </c>
      <c r="D11686" t="s">
        <v>395</v>
      </c>
      <c r="F11686">
        <f>HYPERLINK("https://www.wikidata.org/wiki/Q67944206", "Q67944206")</f>
        <v>0</v>
      </c>
      <c r="G11686" t="s">
        <v>4836</v>
      </c>
      <c r="H11686" t="s">
        <v>8976</v>
      </c>
      <c r="I11686" t="s">
        <v>9375</v>
      </c>
      <c r="J11686" t="s">
        <v>15289</v>
      </c>
      <c r="K11686" t="s">
        <v>19596</v>
      </c>
      <c r="M11686">
        <f>HYPERLINK("https://www.senat.fr/senateur-3eme-republique/fortier_edouard1596r3.html", "fortier_edouard1596r3")</f>
        <v>0</v>
      </c>
      <c r="N11686">
        <f>HYPERLINK("https://www.wikidata.org/wiki/Q3579839", "Q3579839")</f>
        <v>0</v>
      </c>
      <c r="O11686" t="s">
        <v>19978</v>
      </c>
      <c r="Q11686" t="s">
        <v>21137</v>
      </c>
      <c r="R11686" t="s">
        <v>21668</v>
      </c>
      <c r="S11686">
        <v>552</v>
      </c>
    </row>
    <row r="11687" spans="1:19">
      <c r="A11687" t="s">
        <v>134</v>
      </c>
      <c r="B11687" t="s">
        <v>150</v>
      </c>
      <c r="C11687" t="s">
        <v>266</v>
      </c>
      <c r="D11687" t="s">
        <v>395</v>
      </c>
      <c r="F11687">
        <f>HYPERLINK("https://www.wikidata.org/wiki/Q67944206", "Q67944206")</f>
        <v>0</v>
      </c>
      <c r="G11687" t="s">
        <v>4837</v>
      </c>
      <c r="H11687" t="s">
        <v>8977</v>
      </c>
      <c r="I11687" t="s">
        <v>9385</v>
      </c>
      <c r="J11687" t="s">
        <v>15290</v>
      </c>
      <c r="K11687" t="s">
        <v>19597</v>
      </c>
      <c r="M11687">
        <f>HYPERLINK("https://www.senat.fr/senateur-3eme-republique/d_aunay_charles1263r3.html", "d_aunay_charles1263r3")</f>
        <v>0</v>
      </c>
      <c r="N11687">
        <f>HYPERLINK("https://www.wikidata.org/wiki/Q2959607", "Q2959607")</f>
        <v>0</v>
      </c>
      <c r="O11687" t="s">
        <v>20032</v>
      </c>
      <c r="Q11687" t="s">
        <v>21138</v>
      </c>
      <c r="R11687" t="s">
        <v>21665</v>
      </c>
      <c r="S11687">
        <v>2701</v>
      </c>
    </row>
    <row r="11688" spans="1:19">
      <c r="A11688" t="s">
        <v>134</v>
      </c>
      <c r="B11688" t="s">
        <v>150</v>
      </c>
      <c r="C11688" t="s">
        <v>266</v>
      </c>
      <c r="D11688" t="s">
        <v>395</v>
      </c>
      <c r="F11688">
        <f>HYPERLINK("https://www.wikidata.org/wiki/Q67944206", "Q67944206")</f>
        <v>0</v>
      </c>
      <c r="G11688" t="s">
        <v>3304</v>
      </c>
      <c r="H11688" t="s">
        <v>7713</v>
      </c>
      <c r="I11688" t="s">
        <v>6200</v>
      </c>
      <c r="J11688" t="s">
        <v>13918</v>
      </c>
      <c r="K11688" t="s">
        <v>18288</v>
      </c>
      <c r="L11688">
        <f>HYPERLINK("https://www2.assemblee-nationale.fr/sycomore/fiche/(num_dept)/7918", "7918")</f>
        <v>0</v>
      </c>
      <c r="M11688">
        <f>HYPERLINK("https://www.senat.fr/senateur-3eme-republique/chantagrel_jean0998r3.html", "chantagrel_jean0998r3")</f>
        <v>0</v>
      </c>
      <c r="N11688">
        <f>HYPERLINK("https://www.wikidata.org/wiki/Q3171215", "Q3171215")</f>
        <v>0</v>
      </c>
      <c r="O11688" t="s">
        <v>20005</v>
      </c>
      <c r="Q11688" t="s">
        <v>20843</v>
      </c>
      <c r="R11688" t="s">
        <v>21668</v>
      </c>
      <c r="S11688">
        <v>482</v>
      </c>
    </row>
    <row r="11689" spans="1:19">
      <c r="A11689" t="s">
        <v>134</v>
      </c>
      <c r="B11689" t="s">
        <v>150</v>
      </c>
      <c r="C11689" t="s">
        <v>266</v>
      </c>
      <c r="D11689" t="s">
        <v>395</v>
      </c>
      <c r="F11689">
        <f>HYPERLINK("https://www.wikidata.org/wiki/Q67944206", "Q67944206")</f>
        <v>0</v>
      </c>
      <c r="G11689" t="s">
        <v>3262</v>
      </c>
      <c r="H11689" t="s">
        <v>7680</v>
      </c>
      <c r="I11689" t="s">
        <v>10737</v>
      </c>
      <c r="J11689" t="s">
        <v>13878</v>
      </c>
      <c r="K11689" t="s">
        <v>18250</v>
      </c>
      <c r="L11689">
        <f>HYPERLINK("https://www2.assemblee-nationale.fr/sycomore/fiche/(num_dept)/4889", "4889")</f>
        <v>0</v>
      </c>
      <c r="M11689">
        <f>HYPERLINK("https://www.senat.fr/senateur-3eme-republique/magnien_gabriel1229r3.html", "magnien_gabriel1229r3")</f>
        <v>0</v>
      </c>
      <c r="N11689">
        <f>HYPERLINK("https://www.wikidata.org/wiki/Q3093845", "Q3093845")</f>
        <v>0</v>
      </c>
      <c r="O11689" t="s">
        <v>19994</v>
      </c>
      <c r="Q11689" t="s">
        <v>21139</v>
      </c>
      <c r="R11689" t="s">
        <v>21668</v>
      </c>
      <c r="S11689">
        <v>475</v>
      </c>
    </row>
    <row r="11690" spans="1:19">
      <c r="A11690" t="s">
        <v>134</v>
      </c>
      <c r="B11690" t="s">
        <v>150</v>
      </c>
      <c r="C11690" t="s">
        <v>266</v>
      </c>
      <c r="D11690" t="s">
        <v>395</v>
      </c>
      <c r="F11690">
        <f>HYPERLINK("https://www.wikidata.org/wiki/Q67944206", "Q67944206")</f>
        <v>0</v>
      </c>
      <c r="G11690" t="s">
        <v>3509</v>
      </c>
      <c r="H11690" t="s">
        <v>7876</v>
      </c>
      <c r="I11690" t="s">
        <v>9442</v>
      </c>
      <c r="J11690" t="s">
        <v>14106</v>
      </c>
      <c r="K11690" t="s">
        <v>18471</v>
      </c>
      <c r="L11690">
        <f>HYPERLINK("https://www2.assemblee-nationale.fr/sycomore/fiche/(num_dept)/7444", "7444")</f>
        <v>0</v>
      </c>
      <c r="M11690">
        <f>HYPERLINK("https://www.senat.fr/senateur-3eme-republique/valle_ernest0643r3.html", "valle_ernest0643r3")</f>
        <v>0</v>
      </c>
      <c r="N11690">
        <f>HYPERLINK("https://www.wikidata.org/wiki/Q3057194", "Q3057194")</f>
        <v>0</v>
      </c>
      <c r="O11690" t="s">
        <v>20025</v>
      </c>
      <c r="Q11690" t="s">
        <v>21140</v>
      </c>
      <c r="R11690" t="s">
        <v>21665</v>
      </c>
      <c r="S11690">
        <v>2603</v>
      </c>
    </row>
    <row r="11691" spans="1:19">
      <c r="A11691" t="s">
        <v>134</v>
      </c>
      <c r="B11691" t="s">
        <v>150</v>
      </c>
      <c r="C11691" t="s">
        <v>266</v>
      </c>
      <c r="D11691" t="s">
        <v>395</v>
      </c>
      <c r="F11691">
        <f>HYPERLINK("https://www.wikidata.org/wiki/Q67944206", "Q67944206")</f>
        <v>0</v>
      </c>
      <c r="G11691" t="s">
        <v>3506</v>
      </c>
      <c r="H11691" t="s">
        <v>7873</v>
      </c>
      <c r="I11691" t="s">
        <v>10854</v>
      </c>
      <c r="J11691" t="s">
        <v>14104</v>
      </c>
      <c r="K11691" t="s">
        <v>18468</v>
      </c>
      <c r="L11691">
        <f>HYPERLINK("https://www2.assemblee-nationale.fr/sycomore/fiche/(num_dept)/7062", "7062")</f>
        <v>0</v>
      </c>
      <c r="M11691">
        <f>HYPERLINK("https://www.senat.fr/senateur-3eme-republique/thorel_jules0739r3.html", "thorel_jules0739r3")</f>
        <v>0</v>
      </c>
      <c r="N11691">
        <f>HYPERLINK("https://www.wikidata.org/wiki/Q3188936", "Q3188936")</f>
        <v>0</v>
      </c>
      <c r="O11691" t="s">
        <v>19992</v>
      </c>
      <c r="Q11691" t="s">
        <v>21141</v>
      </c>
      <c r="R11691" t="s">
        <v>21675</v>
      </c>
      <c r="S11691">
        <v>1476</v>
      </c>
    </row>
    <row r="11692" spans="1:19">
      <c r="A11692" t="s">
        <v>134</v>
      </c>
      <c r="B11692" t="s">
        <v>150</v>
      </c>
      <c r="C11692" t="s">
        <v>266</v>
      </c>
      <c r="D11692" t="s">
        <v>395</v>
      </c>
      <c r="F11692">
        <f>HYPERLINK("https://www.wikidata.org/wiki/Q67944206", "Q67944206")</f>
        <v>0</v>
      </c>
      <c r="G11692" t="s">
        <v>2808</v>
      </c>
      <c r="H11692" t="s">
        <v>7310</v>
      </c>
      <c r="I11692" t="s">
        <v>9437</v>
      </c>
      <c r="J11692" t="s">
        <v>13448</v>
      </c>
      <c r="K11692" t="s">
        <v>17840</v>
      </c>
      <c r="L11692">
        <f>HYPERLINK("https://www2.assemblee-nationale.fr/sycomore/fiche/(num_dept)/8117", "8117")</f>
        <v>0</v>
      </c>
      <c r="M11692">
        <f>HYPERLINK("https://www.senat.fr/senateur-3eme-republique/loubet_emile0714r3.html", "loubet_emile0714r3")</f>
        <v>0</v>
      </c>
      <c r="N11692">
        <f>HYPERLINK("https://www.wikidata.org/wiki/Q169502", "Q169502")</f>
        <v>0</v>
      </c>
      <c r="O11692" t="s">
        <v>20044</v>
      </c>
      <c r="Q11692" t="s">
        <v>21142</v>
      </c>
      <c r="R11692" t="s">
        <v>21650</v>
      </c>
      <c r="S11692">
        <v>17083</v>
      </c>
    </row>
    <row r="11693" spans="1:19">
      <c r="A11693" t="s">
        <v>134</v>
      </c>
      <c r="B11693" t="s">
        <v>150</v>
      </c>
      <c r="C11693" t="s">
        <v>266</v>
      </c>
      <c r="D11693" t="s">
        <v>395</v>
      </c>
      <c r="F11693">
        <f>HYPERLINK("https://www.wikidata.org/wiki/Q67944206", "Q67944206")</f>
        <v>0</v>
      </c>
      <c r="G11693" t="s">
        <v>4838</v>
      </c>
      <c r="H11693" t="s">
        <v>8978</v>
      </c>
      <c r="I11693" t="s">
        <v>9458</v>
      </c>
      <c r="J11693" t="s">
        <v>14284</v>
      </c>
      <c r="K11693" t="s">
        <v>17701</v>
      </c>
      <c r="M11693">
        <f>HYPERLINK("https://www.senat.fr/senateur-3eme-republique/maquennehen_alfred1650r3.html", "maquennehen_alfred1650r3")</f>
        <v>0</v>
      </c>
      <c r="N11693">
        <f>HYPERLINK("https://www.wikidata.org/wiki/Q2835302", "Q2835302")</f>
        <v>0</v>
      </c>
      <c r="O11693" t="s">
        <v>20012</v>
      </c>
      <c r="Q11693" t="s">
        <v>20847</v>
      </c>
      <c r="R11693" t="s">
        <v>21663</v>
      </c>
      <c r="S11693">
        <v>3625</v>
      </c>
    </row>
    <row r="11694" spans="1:19">
      <c r="A11694" t="s">
        <v>134</v>
      </c>
      <c r="B11694" t="s">
        <v>150</v>
      </c>
      <c r="C11694" t="s">
        <v>266</v>
      </c>
      <c r="D11694" t="s">
        <v>395</v>
      </c>
      <c r="F11694">
        <f>HYPERLINK("https://www.wikidata.org/wiki/Q67944206", "Q67944206")</f>
        <v>0</v>
      </c>
      <c r="G11694" t="s">
        <v>4839</v>
      </c>
      <c r="H11694" t="s">
        <v>8979</v>
      </c>
      <c r="I11694" t="s">
        <v>11228</v>
      </c>
      <c r="J11694" t="s">
        <v>15291</v>
      </c>
      <c r="K11694" t="s">
        <v>19598</v>
      </c>
      <c r="M11694">
        <f>HYPERLINK("https://www.senat.fr/senateur-3eme-republique/bassinet_athanase1557r3.html", "bassinet_athanase1557r3")</f>
        <v>0</v>
      </c>
      <c r="N11694">
        <f>HYPERLINK("https://www.wikidata.org/wiki/Q13080814", "Q13080814")</f>
        <v>0</v>
      </c>
      <c r="O11694" t="s">
        <v>19969</v>
      </c>
      <c r="Q11694" t="s">
        <v>18146</v>
      </c>
      <c r="R11694" t="s">
        <v>21668</v>
      </c>
      <c r="S11694">
        <v>349</v>
      </c>
    </row>
    <row r="11695" spans="1:19">
      <c r="A11695" t="s">
        <v>134</v>
      </c>
      <c r="B11695" t="s">
        <v>150</v>
      </c>
      <c r="C11695" t="s">
        <v>266</v>
      </c>
      <c r="D11695" t="s">
        <v>395</v>
      </c>
      <c r="F11695">
        <f>HYPERLINK("https://www.wikidata.org/wiki/Q67944206", "Q67944206")</f>
        <v>0</v>
      </c>
      <c r="G11695" t="s">
        <v>2503</v>
      </c>
      <c r="H11695" t="s">
        <v>7073</v>
      </c>
      <c r="I11695" t="s">
        <v>6495</v>
      </c>
      <c r="J11695" t="s">
        <v>13147</v>
      </c>
      <c r="K11695" t="s">
        <v>17555</v>
      </c>
      <c r="L11695">
        <f>HYPERLINK("https://www2.assemblee-nationale.fr/sycomore/fiche/(num_dept)/831", "831")</f>
        <v>0</v>
      </c>
      <c r="M11695">
        <f>HYPERLINK("https://www.senat.fr/senateur-3eme-republique/bizarelli_louis0715r3.html", "bizarelli_louis0715r3")</f>
        <v>0</v>
      </c>
      <c r="N11695">
        <f>HYPERLINK("https://www.wikidata.org/wiki/Q3261277", "Q3261277")</f>
        <v>0</v>
      </c>
      <c r="O11695" t="s">
        <v>20044</v>
      </c>
      <c r="Q11695" t="s">
        <v>18093</v>
      </c>
      <c r="R11695" t="s">
        <v>21685</v>
      </c>
      <c r="S11695">
        <v>1167</v>
      </c>
    </row>
    <row r="11696" spans="1:19">
      <c r="A11696" t="s">
        <v>134</v>
      </c>
      <c r="B11696" t="s">
        <v>150</v>
      </c>
      <c r="C11696" t="s">
        <v>266</v>
      </c>
      <c r="D11696" t="s">
        <v>395</v>
      </c>
      <c r="F11696">
        <f>HYPERLINK("https://www.wikidata.org/wiki/Q67944206", "Q67944206")</f>
        <v>0</v>
      </c>
      <c r="G11696" t="s">
        <v>4840</v>
      </c>
      <c r="H11696" t="s">
        <v>8980</v>
      </c>
      <c r="I11696" t="s">
        <v>9458</v>
      </c>
      <c r="J11696" t="s">
        <v>15292</v>
      </c>
      <c r="K11696" t="s">
        <v>19599</v>
      </c>
      <c r="M11696">
        <f>HYPERLINK("https://www.senat.fr/senateur-3eme-republique/thuillier_alfred1559r3.html", "thuillier_alfred1559r3")</f>
        <v>0</v>
      </c>
      <c r="N11696">
        <f>HYPERLINK("https://www.wikidata.org/wiki/Q13080802", "Q13080802")</f>
        <v>0</v>
      </c>
      <c r="O11696" t="s">
        <v>19969</v>
      </c>
      <c r="Q11696" t="s">
        <v>20852</v>
      </c>
      <c r="R11696" t="s">
        <v>21668</v>
      </c>
      <c r="S11696">
        <v>244</v>
      </c>
    </row>
    <row r="11697" spans="1:19">
      <c r="A11697" t="s">
        <v>134</v>
      </c>
      <c r="B11697" t="s">
        <v>150</v>
      </c>
      <c r="C11697" t="s">
        <v>266</v>
      </c>
      <c r="D11697" t="s">
        <v>395</v>
      </c>
      <c r="F11697">
        <f>HYPERLINK("https://www.wikidata.org/wiki/Q67944206", "Q67944206")</f>
        <v>0</v>
      </c>
      <c r="G11697" t="s">
        <v>3030</v>
      </c>
      <c r="H11697" t="s">
        <v>7487</v>
      </c>
      <c r="I11697" t="s">
        <v>6495</v>
      </c>
      <c r="J11697" t="s">
        <v>13658</v>
      </c>
      <c r="K11697" t="s">
        <v>18041</v>
      </c>
      <c r="L11697">
        <f>HYPERLINK("https://www2.assemblee-nationale.fr/sycomore/fiche/(num_dept)/5289", "5289")</f>
        <v>0</v>
      </c>
      <c r="M11697">
        <f>HYPERLINK("https://www.senat.fr/senateur-3eme-republique/million_louis1142r3.html", "million_louis1142r3")</f>
        <v>0</v>
      </c>
      <c r="N11697">
        <f>HYPERLINK("https://www.wikidata.org/wiki/Q3262708", "Q3262708")</f>
        <v>0</v>
      </c>
      <c r="O11697" t="s">
        <v>19965</v>
      </c>
      <c r="Q11697" t="s">
        <v>19562</v>
      </c>
      <c r="R11697" t="s">
        <v>21668</v>
      </c>
      <c r="S11697">
        <v>202</v>
      </c>
    </row>
    <row r="11698" spans="1:19">
      <c r="A11698" t="s">
        <v>134</v>
      </c>
      <c r="B11698" t="s">
        <v>150</v>
      </c>
      <c r="C11698" t="s">
        <v>266</v>
      </c>
      <c r="D11698" t="s">
        <v>395</v>
      </c>
      <c r="F11698">
        <f>HYPERLINK("https://www.wikidata.org/wiki/Q67944206", "Q67944206")</f>
        <v>0</v>
      </c>
      <c r="G11698" t="s">
        <v>4841</v>
      </c>
      <c r="H11698" t="s">
        <v>8981</v>
      </c>
      <c r="I11698" t="s">
        <v>9440</v>
      </c>
      <c r="J11698" t="s">
        <v>15293</v>
      </c>
      <c r="K11698" t="s">
        <v>19600</v>
      </c>
      <c r="M11698">
        <f>HYPERLINK("https://www.senat.fr/senateur-3eme-republique/knight_amedee0700r3.html", "knight_amedee0700r3")</f>
        <v>0</v>
      </c>
      <c r="N11698">
        <f>HYPERLINK("https://www.wikidata.org/wiki/Q2844676", "Q2844676")</f>
        <v>0</v>
      </c>
      <c r="O11698" t="s">
        <v>20035</v>
      </c>
      <c r="Q11698" t="s">
        <v>21143</v>
      </c>
      <c r="R11698" t="s">
        <v>21665</v>
      </c>
      <c r="S11698">
        <v>2368</v>
      </c>
    </row>
    <row r="11699" spans="1:19">
      <c r="A11699" t="s">
        <v>134</v>
      </c>
      <c r="B11699" t="s">
        <v>150</v>
      </c>
      <c r="C11699" t="s">
        <v>266</v>
      </c>
      <c r="D11699" t="s">
        <v>395</v>
      </c>
      <c r="F11699">
        <f>HYPERLINK("https://www.wikidata.org/wiki/Q67944206", "Q67944206")</f>
        <v>0</v>
      </c>
      <c r="G11699" t="s">
        <v>4483</v>
      </c>
      <c r="H11699" t="s">
        <v>8629</v>
      </c>
      <c r="I11699" t="s">
        <v>9516</v>
      </c>
      <c r="J11699" t="s">
        <v>14968</v>
      </c>
      <c r="K11699" t="s">
        <v>19296</v>
      </c>
      <c r="M11699">
        <f>HYPERLINK("https://www.senat.fr/senateur-3eme-republique/duboys_fresney_etienne0952r3.html", "duboys_fresney_etienne0952r3")</f>
        <v>0</v>
      </c>
      <c r="N11699">
        <f>HYPERLINK("https://www.wikidata.org/wiki/Q3592145", "Q3592145")</f>
        <v>0</v>
      </c>
      <c r="O11699" t="s">
        <v>19984</v>
      </c>
      <c r="Q11699" t="s">
        <v>21144</v>
      </c>
      <c r="R11699" t="s">
        <v>21665</v>
      </c>
      <c r="S11699">
        <v>2309</v>
      </c>
    </row>
    <row r="11700" spans="1:19">
      <c r="A11700" t="s">
        <v>134</v>
      </c>
      <c r="B11700" t="s">
        <v>150</v>
      </c>
      <c r="C11700" t="s">
        <v>266</v>
      </c>
      <c r="D11700" t="s">
        <v>395</v>
      </c>
      <c r="F11700">
        <f>HYPERLINK("https://www.wikidata.org/wiki/Q67944206", "Q67944206")</f>
        <v>0</v>
      </c>
      <c r="G11700" t="s">
        <v>4842</v>
      </c>
      <c r="H11700" t="s">
        <v>8982</v>
      </c>
      <c r="I11700" t="s">
        <v>9534</v>
      </c>
      <c r="J11700" t="s">
        <v>11655</v>
      </c>
      <c r="K11700" t="s">
        <v>19601</v>
      </c>
      <c r="M11700">
        <f>HYPERLINK("https://www.senat.fr/senateur-3eme-republique/ciceron_adolphe0844r3.html", "ciceron_adolphe0844r3")</f>
        <v>0</v>
      </c>
      <c r="N11700">
        <f>HYPERLINK("https://www.wikidata.org/wiki/Q16219216", "Q16219216")</f>
        <v>0</v>
      </c>
      <c r="O11700" t="s">
        <v>20028</v>
      </c>
      <c r="Q11700" t="s">
        <v>18501</v>
      </c>
      <c r="R11700" t="s">
        <v>21675</v>
      </c>
      <c r="S11700">
        <v>1091</v>
      </c>
    </row>
    <row r="11701" spans="1:19">
      <c r="A11701" t="s">
        <v>134</v>
      </c>
      <c r="B11701" t="s">
        <v>150</v>
      </c>
      <c r="C11701" t="s">
        <v>266</v>
      </c>
      <c r="D11701" t="s">
        <v>395</v>
      </c>
      <c r="F11701">
        <f>HYPERLINK("https://www.wikidata.org/wiki/Q67944206", "Q67944206")</f>
        <v>0</v>
      </c>
      <c r="G11701" t="s">
        <v>3021</v>
      </c>
      <c r="H11701" t="s">
        <v>7478</v>
      </c>
      <c r="I11701" t="s">
        <v>9426</v>
      </c>
      <c r="J11701" t="s">
        <v>13649</v>
      </c>
      <c r="K11701" t="s">
        <v>18033</v>
      </c>
      <c r="L11701">
        <f>HYPERLINK("https://www2.assemblee-nationale.fr/sycomore/fiche/(num_dept)/7987", "7987")</f>
        <v>0</v>
      </c>
      <c r="M11701">
        <f>HYPERLINK("https://www.senat.fr/senateur-3eme-republique/leporche_alphonse1246r3.html", "leporche_alphonse1246r3")</f>
        <v>0</v>
      </c>
      <c r="N11701">
        <f>HYPERLINK("https://www.wikidata.org/wiki/Q2839867", "Q2839867")</f>
        <v>0</v>
      </c>
      <c r="O11701" t="s">
        <v>19956</v>
      </c>
      <c r="Q11701" t="s">
        <v>21145</v>
      </c>
      <c r="R11701" t="s">
        <v>21650</v>
      </c>
      <c r="S11701">
        <v>16707</v>
      </c>
    </row>
    <row r="11702" spans="1:19">
      <c r="A11702" t="s">
        <v>134</v>
      </c>
      <c r="B11702" t="s">
        <v>150</v>
      </c>
      <c r="C11702" t="s">
        <v>266</v>
      </c>
      <c r="D11702" t="s">
        <v>395</v>
      </c>
      <c r="F11702">
        <f>HYPERLINK("https://www.wikidata.org/wiki/Q67944206", "Q67944206")</f>
        <v>0</v>
      </c>
      <c r="G11702" t="s">
        <v>3083</v>
      </c>
      <c r="H11702" t="s">
        <v>7530</v>
      </c>
      <c r="I11702" t="s">
        <v>10619</v>
      </c>
      <c r="J11702" t="s">
        <v>13706</v>
      </c>
      <c r="K11702" t="s">
        <v>18089</v>
      </c>
      <c r="L11702">
        <f>HYPERLINK("https://www2.assemblee-nationale.fr/sycomore/fiche/(num_dept)/8238", "8238")</f>
        <v>0</v>
      </c>
      <c r="M11702">
        <f>HYPERLINK("https://www.senat.fr/senateur-3eme-republique/legludic_prosper1251r3.html", "legludic_prosper1251r3")</f>
        <v>0</v>
      </c>
      <c r="N11702">
        <f>HYPERLINK("https://www.wikidata.org/wiki/Q3407790", "Q3407790")</f>
        <v>0</v>
      </c>
      <c r="O11702" t="s">
        <v>19956</v>
      </c>
      <c r="Q11702" t="s">
        <v>21145</v>
      </c>
      <c r="R11702" t="s">
        <v>21668</v>
      </c>
      <c r="S11702">
        <v>4</v>
      </c>
    </row>
    <row r="11703" spans="1:19">
      <c r="A11703" t="s">
        <v>134</v>
      </c>
      <c r="B11703" t="s">
        <v>150</v>
      </c>
      <c r="C11703" t="s">
        <v>266</v>
      </c>
      <c r="D11703" t="s">
        <v>395</v>
      </c>
      <c r="F11703">
        <f>HYPERLINK("https://www.wikidata.org/wiki/Q67944206", "Q67944206")</f>
        <v>0</v>
      </c>
      <c r="G11703" t="s">
        <v>4291</v>
      </c>
      <c r="H11703" t="s">
        <v>8450</v>
      </c>
      <c r="I11703" t="s">
        <v>9728</v>
      </c>
      <c r="J11703" t="s">
        <v>14790</v>
      </c>
      <c r="K11703" t="s">
        <v>19134</v>
      </c>
      <c r="M11703">
        <f>HYPERLINK("https://www.senat.fr/senateur-3eme-republique/millaud_edouard1120r3.html", "millaud_edouard1120r3")</f>
        <v>0</v>
      </c>
      <c r="N11703">
        <f>HYPERLINK("https://www.wikidata.org/wiki/Q3579963", "Q3579963")</f>
        <v>0</v>
      </c>
      <c r="O11703" t="s">
        <v>19965</v>
      </c>
      <c r="Q11703" t="s">
        <v>21145</v>
      </c>
      <c r="R11703" t="s">
        <v>21663</v>
      </c>
      <c r="S11703">
        <v>3266</v>
      </c>
    </row>
    <row r="11704" spans="1:19">
      <c r="A11704" t="s">
        <v>134</v>
      </c>
      <c r="B11704" t="s">
        <v>150</v>
      </c>
      <c r="C11704" t="s">
        <v>266</v>
      </c>
      <c r="D11704" t="s">
        <v>395</v>
      </c>
      <c r="F11704">
        <f>HYPERLINK("https://www.wikidata.org/wiki/Q67944206", "Q67944206")</f>
        <v>0</v>
      </c>
      <c r="G11704" t="s">
        <v>4635</v>
      </c>
      <c r="H11704" t="s">
        <v>8778</v>
      </c>
      <c r="I11704" t="s">
        <v>6495</v>
      </c>
      <c r="J11704" t="s">
        <v>15090</v>
      </c>
      <c r="K11704" t="s">
        <v>19430</v>
      </c>
      <c r="M11704">
        <f>HYPERLINK("https://www.senat.fr/senateur-3eme-republique/cordelet_louis1239r3.html", "cordelet_louis1239r3")</f>
        <v>0</v>
      </c>
      <c r="N11704">
        <f>HYPERLINK("https://www.wikidata.org/wiki/Q3261588", "Q3261588")</f>
        <v>0</v>
      </c>
      <c r="O11704" t="s">
        <v>19956</v>
      </c>
      <c r="Q11704" t="s">
        <v>21145</v>
      </c>
      <c r="R11704" t="s">
        <v>21663</v>
      </c>
      <c r="S11704">
        <v>3266</v>
      </c>
    </row>
    <row r="11705" spans="1:19">
      <c r="A11705" t="s">
        <v>134</v>
      </c>
      <c r="B11705" t="s">
        <v>150</v>
      </c>
      <c r="C11705" t="s">
        <v>266</v>
      </c>
      <c r="D11705" t="s">
        <v>395</v>
      </c>
      <c r="F11705">
        <f>HYPERLINK("https://www.wikidata.org/wiki/Q67944206", "Q67944206")</f>
        <v>0</v>
      </c>
      <c r="G11705" t="s">
        <v>4297</v>
      </c>
      <c r="H11705" t="s">
        <v>6183</v>
      </c>
      <c r="I11705" t="s">
        <v>9465</v>
      </c>
      <c r="J11705" t="s">
        <v>14796</v>
      </c>
      <c r="K11705" t="s">
        <v>19139</v>
      </c>
      <c r="M11705">
        <f>HYPERLINK("https://www.senat.fr/senateur-3eme-republique/guerin_eugene1709r3.html", "guerin_eugene1709r3")</f>
        <v>0</v>
      </c>
      <c r="N11705">
        <f>HYPERLINK("https://www.wikidata.org/wiki/Q3059913", "Q3059913")</f>
        <v>0</v>
      </c>
      <c r="O11705" t="s">
        <v>20047</v>
      </c>
      <c r="Q11705" t="s">
        <v>21145</v>
      </c>
      <c r="R11705" t="s">
        <v>21663</v>
      </c>
      <c r="S11705">
        <v>3266</v>
      </c>
    </row>
    <row r="11706" spans="1:19">
      <c r="A11706" t="s">
        <v>135</v>
      </c>
      <c r="B11706" t="s">
        <v>150</v>
      </c>
      <c r="C11706" t="s">
        <v>267</v>
      </c>
      <c r="D11706" t="s">
        <v>396</v>
      </c>
      <c r="F11706">
        <f>HYPERLINK("https://www.wikidata.org/wiki/Q28496159", "Q28496159")</f>
        <v>0</v>
      </c>
      <c r="G11706" t="s">
        <v>3652</v>
      </c>
      <c r="H11706" t="s">
        <v>7983</v>
      </c>
      <c r="I11706" t="s">
        <v>10919</v>
      </c>
      <c r="J11706" t="s">
        <v>14232</v>
      </c>
      <c r="K11706" t="s">
        <v>17637</v>
      </c>
      <c r="L11706">
        <f>HYPERLINK("https://www2.assemblee-nationale.fr/sycomore/fiche/(num_dept)/651", "651")</f>
        <v>0</v>
      </c>
      <c r="M11706">
        <f>HYPERLINK("https://www.senat.fr/senateur-3eme-republique/beraud_auguste1703r3.html", "beraud_auguste1703r3")</f>
        <v>0</v>
      </c>
      <c r="N11706">
        <f>HYPERLINK("https://www.wikidata.org/wiki/Q2871095", "Q2871095")</f>
        <v>0</v>
      </c>
      <c r="O11706" t="s">
        <v>20047</v>
      </c>
      <c r="Q11706" t="s">
        <v>396</v>
      </c>
      <c r="R11706" t="s">
        <v>17637</v>
      </c>
      <c r="S11706">
        <v>1831</v>
      </c>
    </row>
    <row r="11707" spans="1:19">
      <c r="A11707" t="s">
        <v>135</v>
      </c>
      <c r="B11707" t="s">
        <v>150</v>
      </c>
      <c r="C11707" t="s">
        <v>267</v>
      </c>
      <c r="D11707" t="s">
        <v>396</v>
      </c>
      <c r="F11707">
        <f>HYPERLINK("https://www.wikidata.org/wiki/Q28496159", "Q28496159")</f>
        <v>0</v>
      </c>
      <c r="G11707" t="s">
        <v>3679</v>
      </c>
      <c r="H11707" t="s">
        <v>8004</v>
      </c>
      <c r="I11707" t="s">
        <v>10931</v>
      </c>
      <c r="J11707" t="s">
        <v>14087</v>
      </c>
      <c r="K11707" t="s">
        <v>18617</v>
      </c>
      <c r="L11707">
        <f>HYPERLINK("https://www2.assemblee-nationale.fr/sycomore/fiche/(num_dept)/654", "654")</f>
        <v>0</v>
      </c>
      <c r="M11707">
        <f>HYPERLINK("https://www.senat.fr/senateur-3eme-republique/berdoly_martial1057r3.html", "berdoly_martial1057r3")</f>
        <v>0</v>
      </c>
      <c r="N11707">
        <f>HYPERLINK("https://www.wikidata.org/wiki/Q733735", "Q733735")</f>
        <v>0</v>
      </c>
      <c r="O11707" t="s">
        <v>19970</v>
      </c>
      <c r="Q11707" t="s">
        <v>396</v>
      </c>
      <c r="R11707" t="s">
        <v>21686</v>
      </c>
      <c r="S11707">
        <v>2063</v>
      </c>
    </row>
    <row r="11708" spans="1:19">
      <c r="A11708" t="s">
        <v>135</v>
      </c>
      <c r="B11708" t="s">
        <v>150</v>
      </c>
      <c r="C11708" t="s">
        <v>267</v>
      </c>
      <c r="D11708" t="s">
        <v>396</v>
      </c>
      <c r="F11708">
        <f>HYPERLINK("https://www.wikidata.org/wiki/Q28496159", "Q28496159")</f>
        <v>0</v>
      </c>
      <c r="G11708" t="s">
        <v>3532</v>
      </c>
      <c r="H11708" t="s">
        <v>7893</v>
      </c>
      <c r="I11708" t="s">
        <v>10570</v>
      </c>
      <c r="J11708" t="s">
        <v>14126</v>
      </c>
      <c r="K11708" t="s">
        <v>18491</v>
      </c>
      <c r="L11708">
        <f>HYPERLINK("https://www2.assemblee-nationale.fr/sycomore/fiche/(num_dept)/777", "777")</f>
        <v>0</v>
      </c>
      <c r="M11708">
        <f>HYPERLINK("https://www.senat.fr/senateur-3eme-republique/bezine_paul1849r3.html", "bezine_paul1849r3")</f>
        <v>0</v>
      </c>
      <c r="N11708">
        <f>HYPERLINK("https://www.wikidata.org/wiki/Q3370642", "Q3370642")</f>
        <v>0</v>
      </c>
      <c r="O11708" t="s">
        <v>20034</v>
      </c>
      <c r="Q11708" t="s">
        <v>396</v>
      </c>
      <c r="R11708" t="s">
        <v>21650</v>
      </c>
      <c r="S11708">
        <v>16702</v>
      </c>
    </row>
    <row r="11709" spans="1:19">
      <c r="A11709" t="s">
        <v>135</v>
      </c>
      <c r="B11709" t="s">
        <v>150</v>
      </c>
      <c r="C11709" t="s">
        <v>267</v>
      </c>
      <c r="D11709" t="s">
        <v>396</v>
      </c>
      <c r="F11709">
        <f>HYPERLINK("https://www.wikidata.org/wiki/Q28496159", "Q28496159")</f>
        <v>0</v>
      </c>
      <c r="G11709" t="s">
        <v>3882</v>
      </c>
      <c r="H11709" t="s">
        <v>8145</v>
      </c>
      <c r="I11709" t="s">
        <v>11010</v>
      </c>
      <c r="J11709" t="s">
        <v>14440</v>
      </c>
      <c r="K11709" t="s">
        <v>18791</v>
      </c>
      <c r="L11709">
        <f>HYPERLINK("https://www2.assemblee-nationale.fr/sycomore/fiche/(num_dept)/961", "961")</f>
        <v>0</v>
      </c>
      <c r="M11709">
        <f>HYPERLINK("https://www.senat.fr/senateur-3eme-republique/bontemps_charles1170r3.html", "bontemps_charles1170r3")</f>
        <v>0</v>
      </c>
      <c r="N11709">
        <f>HYPERLINK("https://www.wikidata.org/wiki/Q2958577", "Q2958577")</f>
        <v>0</v>
      </c>
      <c r="O11709" t="s">
        <v>20036</v>
      </c>
      <c r="Q11709" t="s">
        <v>396</v>
      </c>
      <c r="R11709" t="s">
        <v>21687</v>
      </c>
      <c r="S11709">
        <v>1115</v>
      </c>
    </row>
    <row r="11710" spans="1:19">
      <c r="A11710" t="s">
        <v>135</v>
      </c>
      <c r="B11710" t="s">
        <v>150</v>
      </c>
      <c r="C11710" t="s">
        <v>267</v>
      </c>
      <c r="D11710" t="s">
        <v>396</v>
      </c>
      <c r="F11710">
        <f>HYPERLINK("https://www.wikidata.org/wiki/Q28496159", "Q28496159")</f>
        <v>0</v>
      </c>
      <c r="G11710" t="s">
        <v>2525</v>
      </c>
      <c r="H11710" t="s">
        <v>7088</v>
      </c>
      <c r="I11710" t="s">
        <v>10267</v>
      </c>
      <c r="J11710" t="s">
        <v>13169</v>
      </c>
      <c r="K11710" t="s">
        <v>17575</v>
      </c>
      <c r="L11710">
        <f>HYPERLINK("https://www2.assemblee-nationale.fr/sycomore/fiche/(num_dept)/1271", "1271")</f>
        <v>0</v>
      </c>
      <c r="M11710">
        <f>HYPERLINK("https://www.senat.fr/senateur-3eme-republique/brugnot_alfred1798r3.html", "brugnot_alfred1798r3")</f>
        <v>0</v>
      </c>
      <c r="N11710">
        <f>HYPERLINK("https://www.wikidata.org/wiki/Q2834995", "Q2834995")</f>
        <v>0</v>
      </c>
      <c r="O11710" t="s">
        <v>20017</v>
      </c>
      <c r="Q11710" t="s">
        <v>396</v>
      </c>
      <c r="R11710" t="s">
        <v>21650</v>
      </c>
      <c r="S11710">
        <v>16702</v>
      </c>
    </row>
    <row r="11711" spans="1:19">
      <c r="A11711" t="s">
        <v>135</v>
      </c>
      <c r="B11711" t="s">
        <v>150</v>
      </c>
      <c r="C11711" t="s">
        <v>267</v>
      </c>
      <c r="D11711" t="s">
        <v>396</v>
      </c>
      <c r="F11711">
        <f>HYPERLINK("https://www.wikidata.org/wiki/Q28496159", "Q28496159")</f>
        <v>0</v>
      </c>
      <c r="G11711" t="s">
        <v>2482</v>
      </c>
      <c r="H11711" t="s">
        <v>7055</v>
      </c>
      <c r="I11711" t="s">
        <v>10236</v>
      </c>
      <c r="J11711" t="s">
        <v>13126</v>
      </c>
      <c r="K11711" t="s">
        <v>17536</v>
      </c>
      <c r="L11711">
        <f>HYPERLINK("https://www2.assemblee-nationale.fr/sycomore/fiche/(num_dept)/1672", "1672")</f>
        <v>0</v>
      </c>
      <c r="M11711">
        <f>HYPERLINK("https://www.senat.fr/senateur-3eme-republique/charmes_francis0370r3.html", "charmes_francis0370r3")</f>
        <v>0</v>
      </c>
      <c r="N11711">
        <f>HYPERLINK("https://www.wikidata.org/wiki/Q2341785", "Q2341785")</f>
        <v>0</v>
      </c>
      <c r="O11711" t="s">
        <v>19966</v>
      </c>
      <c r="Q11711" t="s">
        <v>396</v>
      </c>
      <c r="R11711" t="s">
        <v>21675</v>
      </c>
      <c r="S11711">
        <v>1070</v>
      </c>
    </row>
    <row r="11712" spans="1:19">
      <c r="A11712" t="s">
        <v>135</v>
      </c>
      <c r="B11712" t="s">
        <v>150</v>
      </c>
      <c r="C11712" t="s">
        <v>267</v>
      </c>
      <c r="D11712" t="s">
        <v>396</v>
      </c>
      <c r="F11712">
        <f>HYPERLINK("https://www.wikidata.org/wiki/Q28496159", "Q28496159")</f>
        <v>0</v>
      </c>
      <c r="G11712" t="s">
        <v>3055</v>
      </c>
      <c r="H11712" t="s">
        <v>6149</v>
      </c>
      <c r="I11712" t="s">
        <v>9538</v>
      </c>
      <c r="J11712" t="s">
        <v>13681</v>
      </c>
      <c r="K11712" t="s">
        <v>18062</v>
      </c>
      <c r="L11712">
        <f>HYPERLINK("https://www2.assemblee-nationale.fr/sycomore/fiche/(num_dept)/2799", "2799")</f>
        <v>0</v>
      </c>
      <c r="M11712">
        <f>HYPERLINK("https://www.senat.fr/senateur-3eme-republique/duval_cesar1318r3.html", "duval_cesar1318r3")</f>
        <v>0</v>
      </c>
      <c r="N11712">
        <f>HYPERLINK("https://www.wikidata.org/wiki/Q3010446", "Q3010446")</f>
        <v>0</v>
      </c>
      <c r="O11712" t="s">
        <v>20018</v>
      </c>
      <c r="Q11712" t="s">
        <v>396</v>
      </c>
      <c r="R11712" t="s">
        <v>21663</v>
      </c>
      <c r="S11712">
        <v>3261</v>
      </c>
    </row>
    <row r="11713" spans="1:19">
      <c r="A11713" t="s">
        <v>135</v>
      </c>
      <c r="B11713" t="s">
        <v>150</v>
      </c>
      <c r="C11713" t="s">
        <v>267</v>
      </c>
      <c r="D11713" t="s">
        <v>396</v>
      </c>
      <c r="F11713">
        <f>HYPERLINK("https://www.wikidata.org/wiki/Q28496159", "Q28496159")</f>
        <v>0</v>
      </c>
      <c r="G11713" t="s">
        <v>2579</v>
      </c>
      <c r="H11713" t="s">
        <v>7132</v>
      </c>
      <c r="I11713" t="s">
        <v>6585</v>
      </c>
      <c r="J11713" t="s">
        <v>13223</v>
      </c>
      <c r="K11713" t="s">
        <v>17626</v>
      </c>
      <c r="L11713">
        <f>HYPERLINK("https://www2.assemblee-nationale.fr/sycomore/fiche/(num_dept)/3040", "3040")</f>
        <v>0</v>
      </c>
      <c r="M11713">
        <f>HYPERLINK("https://www.senat.fr/senateur-3eme-republique/folliet_andre1312r3.html", "folliet_andre1312r3")</f>
        <v>0</v>
      </c>
      <c r="N11713">
        <f>HYPERLINK("https://www.wikidata.org/wiki/Q2847756", "Q2847756")</f>
        <v>0</v>
      </c>
      <c r="O11713" t="s">
        <v>20018</v>
      </c>
      <c r="Q11713" t="s">
        <v>396</v>
      </c>
      <c r="R11713" t="s">
        <v>21650</v>
      </c>
      <c r="S11713">
        <v>16702</v>
      </c>
    </row>
    <row r="11714" spans="1:19">
      <c r="A11714" t="s">
        <v>135</v>
      </c>
      <c r="B11714" t="s">
        <v>150</v>
      </c>
      <c r="C11714" t="s">
        <v>267</v>
      </c>
      <c r="D11714" t="s">
        <v>396</v>
      </c>
      <c r="F11714">
        <f>HYPERLINK("https://www.wikidata.org/wiki/Q28496159", "Q28496159")</f>
        <v>0</v>
      </c>
      <c r="G11714" t="s">
        <v>955</v>
      </c>
      <c r="H11714" t="s">
        <v>5707</v>
      </c>
      <c r="I11714" t="s">
        <v>9602</v>
      </c>
      <c r="J11714" t="s">
        <v>11696</v>
      </c>
      <c r="K11714" t="s">
        <v>16097</v>
      </c>
      <c r="L11714">
        <f>HYPERLINK("https://www2.assemblee-nationale.fr/sycomore/fiche/(num_dept)/3056", "3056")</f>
        <v>0</v>
      </c>
      <c r="M11714">
        <f>HYPERLINK("https://www.senat.fr/senateur-3eme-republique/forgemol_de_bostquenard_edmond1600r3.html", "forgemol_de_bostquenard_edmond1600r3")</f>
        <v>0</v>
      </c>
      <c r="N11714">
        <f>HYPERLINK("https://www.wikidata.org/wiki/Q3047823", "Q3047823")</f>
        <v>0</v>
      </c>
      <c r="O11714" t="s">
        <v>20026</v>
      </c>
      <c r="Q11714" t="s">
        <v>396</v>
      </c>
      <c r="R11714" t="s">
        <v>21663</v>
      </c>
      <c r="S11714">
        <v>3261</v>
      </c>
    </row>
    <row r="11715" spans="1:19">
      <c r="A11715" t="s">
        <v>135</v>
      </c>
      <c r="B11715" t="s">
        <v>150</v>
      </c>
      <c r="C11715" t="s">
        <v>267</v>
      </c>
      <c r="D11715" t="s">
        <v>396</v>
      </c>
      <c r="F11715">
        <f>HYPERLINK("https://www.wikidata.org/wiki/Q28496159", "Q28496159")</f>
        <v>0</v>
      </c>
      <c r="G11715" t="s">
        <v>2584</v>
      </c>
      <c r="H11715" t="s">
        <v>7136</v>
      </c>
      <c r="I11715" t="s">
        <v>9388</v>
      </c>
      <c r="J11715" t="s">
        <v>13228</v>
      </c>
      <c r="K11715" t="s">
        <v>17631</v>
      </c>
      <c r="L11715">
        <f>HYPERLINK("https://www2.assemblee-nationale.fr/sycomore/fiche/(num_dept)/3159", "3159")</f>
        <v>0</v>
      </c>
      <c r="M11715">
        <f>HYPERLINK("https://www.senat.fr/senateur-3eme-republique/frogier_de_ponlevoy_paul1811r3.html", "frogier_de_ponlevoy_paul1811r3")</f>
        <v>0</v>
      </c>
      <c r="N11715">
        <f>HYPERLINK("https://www.wikidata.org/wiki/Q3371249", "Q3371249")</f>
        <v>0</v>
      </c>
      <c r="O11715" t="s">
        <v>20017</v>
      </c>
      <c r="Q11715" t="s">
        <v>396</v>
      </c>
      <c r="R11715" t="s">
        <v>21650</v>
      </c>
      <c r="S11715">
        <v>16702</v>
      </c>
    </row>
    <row r="11716" spans="1:19">
      <c r="A11716" t="s">
        <v>135</v>
      </c>
      <c r="B11716" t="s">
        <v>150</v>
      </c>
      <c r="C11716" t="s">
        <v>267</v>
      </c>
      <c r="D11716" t="s">
        <v>396</v>
      </c>
      <c r="F11716">
        <f>HYPERLINK("https://www.wikidata.org/wiki/Q28496159", "Q28496159")</f>
        <v>0</v>
      </c>
      <c r="G11716" t="s">
        <v>3656</v>
      </c>
      <c r="H11716" t="s">
        <v>6914</v>
      </c>
      <c r="I11716" t="s">
        <v>6495</v>
      </c>
      <c r="J11716" t="s">
        <v>14236</v>
      </c>
      <c r="K11716" t="s">
        <v>18596</v>
      </c>
      <c r="L11716">
        <f>HYPERLINK("https://www2.assemblee-nationale.fr/sycomore/fiche/(num_dept)/3162", "3162")</f>
        <v>0</v>
      </c>
      <c r="M11716">
        <f>HYPERLINK("https://www.senat.fr/senateur-3eme-republique/froment_louis1678r3.html", "froment_louis1678r3")</f>
        <v>0</v>
      </c>
      <c r="N11716">
        <f>HYPERLINK("https://www.wikidata.org/wiki/Q3261963", "Q3261963")</f>
        <v>0</v>
      </c>
      <c r="O11716" t="s">
        <v>20012</v>
      </c>
      <c r="Q11716" t="s">
        <v>396</v>
      </c>
      <c r="R11716" t="s">
        <v>21650</v>
      </c>
      <c r="S11716">
        <v>16702</v>
      </c>
    </row>
    <row r="11717" spans="1:19">
      <c r="A11717" t="s">
        <v>135</v>
      </c>
      <c r="B11717" t="s">
        <v>150</v>
      </c>
      <c r="C11717" t="s">
        <v>267</v>
      </c>
      <c r="D11717" t="s">
        <v>396</v>
      </c>
      <c r="F11717">
        <f>HYPERLINK("https://www.wikidata.org/wiki/Q28496159", "Q28496159")</f>
        <v>0</v>
      </c>
      <c r="G11717" t="s">
        <v>3448</v>
      </c>
      <c r="H11717" t="s">
        <v>7822</v>
      </c>
      <c r="I11717" t="s">
        <v>9385</v>
      </c>
      <c r="J11717" t="s">
        <v>14052</v>
      </c>
      <c r="K11717" t="s">
        <v>18420</v>
      </c>
      <c r="L11717">
        <f>HYPERLINK("https://www2.assemblee-nationale.fr/sycomore/fiche/(num_dept)/3385", "3385")</f>
        <v>0</v>
      </c>
      <c r="M11717">
        <f>HYPERLINK("https://www.senat.fr/senateur-3eme-republique/gervais_charles1585r3.html", "gervais_charles1585r3")</f>
        <v>0</v>
      </c>
      <c r="N11717">
        <f>HYPERLINK("https://www.wikidata.org/wiki/Q3188616", "Q3188616")</f>
        <v>0</v>
      </c>
      <c r="O11717" t="s">
        <v>19978</v>
      </c>
      <c r="Q11717" t="s">
        <v>396</v>
      </c>
      <c r="R11717" t="s">
        <v>399</v>
      </c>
      <c r="S11717">
        <v>3262</v>
      </c>
    </row>
    <row r="11718" spans="1:19">
      <c r="A11718" t="s">
        <v>135</v>
      </c>
      <c r="B11718" t="s">
        <v>150</v>
      </c>
      <c r="C11718" t="s">
        <v>267</v>
      </c>
      <c r="D11718" t="s">
        <v>396</v>
      </c>
      <c r="F11718">
        <f>HYPERLINK("https://www.wikidata.org/wiki/Q28496159", "Q28496159")</f>
        <v>0</v>
      </c>
      <c r="G11718" t="s">
        <v>3449</v>
      </c>
      <c r="H11718" t="s">
        <v>7823</v>
      </c>
      <c r="I11718" t="s">
        <v>5528</v>
      </c>
      <c r="J11718" t="s">
        <v>13985</v>
      </c>
      <c r="K11718" t="s">
        <v>18421</v>
      </c>
      <c r="L11718">
        <f>HYPERLINK("https://www2.assemblee-nationale.fr/sycomore/fiche/(num_dept)/3411", "3411")</f>
        <v>0</v>
      </c>
      <c r="M11718">
        <f>HYPERLINK("https://www.senat.fr/senateur-3eme-republique/gillot_leon1209r3.html", "gillot_leon1209r3")</f>
        <v>0</v>
      </c>
      <c r="N11718">
        <f>HYPERLINK("https://www.wikidata.org/wiki/Q3270992", "Q3270992")</f>
        <v>0</v>
      </c>
      <c r="O11718" t="s">
        <v>19994</v>
      </c>
      <c r="Q11718" t="s">
        <v>396</v>
      </c>
      <c r="R11718" t="s">
        <v>21688</v>
      </c>
      <c r="S11718">
        <v>2861</v>
      </c>
    </row>
    <row r="11719" spans="1:19">
      <c r="A11719" t="s">
        <v>135</v>
      </c>
      <c r="B11719" t="s">
        <v>150</v>
      </c>
      <c r="C11719" t="s">
        <v>267</v>
      </c>
      <c r="D11719" t="s">
        <v>396</v>
      </c>
      <c r="F11719">
        <f>HYPERLINK("https://www.wikidata.org/wiki/Q28496159", "Q28496159")</f>
        <v>0</v>
      </c>
      <c r="G11719" t="s">
        <v>3561</v>
      </c>
      <c r="H11719" t="s">
        <v>7914</v>
      </c>
      <c r="I11719" t="s">
        <v>10883</v>
      </c>
      <c r="J11719" t="s">
        <v>14150</v>
      </c>
      <c r="K11719" t="s">
        <v>18517</v>
      </c>
      <c r="L11719">
        <f>HYPERLINK("https://www2.assemblee-nationale.fr/sycomore/fiche/(num_dept)/3489", "3489")</f>
        <v>0</v>
      </c>
      <c r="M11719">
        <f>HYPERLINK("https://www.senat.fr/senateur-3eme-republique/gotteron_andre1785r3.html", "gotteron_andre1785r3")</f>
        <v>0</v>
      </c>
      <c r="N11719">
        <f>HYPERLINK("https://www.wikidata.org/wiki/Q2847866", "Q2847866")</f>
        <v>0</v>
      </c>
      <c r="O11719" t="s">
        <v>19977</v>
      </c>
      <c r="Q11719" t="s">
        <v>396</v>
      </c>
      <c r="R11719" t="s">
        <v>21663</v>
      </c>
      <c r="S11719">
        <v>3261</v>
      </c>
    </row>
    <row r="11720" spans="1:19">
      <c r="A11720" t="s">
        <v>135</v>
      </c>
      <c r="B11720" t="s">
        <v>150</v>
      </c>
      <c r="C11720" t="s">
        <v>267</v>
      </c>
      <c r="D11720" t="s">
        <v>396</v>
      </c>
      <c r="F11720">
        <f>HYPERLINK("https://www.wikidata.org/wiki/Q28496159", "Q28496159")</f>
        <v>0</v>
      </c>
      <c r="G11720" t="s">
        <v>3075</v>
      </c>
      <c r="H11720" t="s">
        <v>7525</v>
      </c>
      <c r="I11720" t="s">
        <v>9455</v>
      </c>
      <c r="J11720" t="s">
        <v>13699</v>
      </c>
      <c r="K11720" t="s">
        <v>18082</v>
      </c>
      <c r="L11720">
        <f>HYPERLINK("https://www2.assemblee-nationale.fr/sycomore/fiche/(num_dept)/3674", "3674")</f>
        <v>0</v>
      </c>
      <c r="M11720">
        <f>HYPERLINK("https://www.senat.fr/senateur-3eme-republique/guillemaut_lucien1225r3.html", "guillemaut_lucien1225r3")</f>
        <v>0</v>
      </c>
      <c r="N11720">
        <f>HYPERLINK("https://www.wikidata.org/wiki/Q3265536", "Q3265536")</f>
        <v>0</v>
      </c>
      <c r="O11720" t="s">
        <v>19994</v>
      </c>
      <c r="Q11720" t="s">
        <v>396</v>
      </c>
      <c r="R11720" t="s">
        <v>21663</v>
      </c>
      <c r="S11720">
        <v>3261</v>
      </c>
    </row>
    <row r="11721" spans="1:19">
      <c r="A11721" t="s">
        <v>135</v>
      </c>
      <c r="B11721" t="s">
        <v>150</v>
      </c>
      <c r="C11721" t="s">
        <v>267</v>
      </c>
      <c r="D11721" t="s">
        <v>396</v>
      </c>
      <c r="F11721">
        <f>HYPERLINK("https://www.wikidata.org/wiki/Q28496159", "Q28496159")</f>
        <v>0</v>
      </c>
      <c r="G11721" t="s">
        <v>3458</v>
      </c>
      <c r="H11721" t="s">
        <v>7831</v>
      </c>
      <c r="I11721" t="s">
        <v>9457</v>
      </c>
      <c r="J11721" t="s">
        <v>14060</v>
      </c>
      <c r="K11721" t="s">
        <v>18428</v>
      </c>
      <c r="L11721">
        <f>HYPERLINK("https://www2.assemblee-nationale.fr/sycomore/fiche/(num_dept)/3763", "3763")</f>
        <v>0</v>
      </c>
      <c r="M11721">
        <f>HYPERLINK("https://www.senat.fr/senateur-3eme-republique/haulon_seraphin1068r3.html", "haulon_seraphin1068r3")</f>
        <v>0</v>
      </c>
      <c r="N11721">
        <f>HYPERLINK("https://www.wikidata.org/wiki/Q3511110", "Q3511110")</f>
        <v>0</v>
      </c>
      <c r="O11721" t="s">
        <v>19970</v>
      </c>
      <c r="Q11721" t="s">
        <v>396</v>
      </c>
      <c r="R11721" t="s">
        <v>21650</v>
      </c>
      <c r="S11721">
        <v>16702</v>
      </c>
    </row>
    <row r="11722" spans="1:19">
      <c r="A11722" t="s">
        <v>135</v>
      </c>
      <c r="B11722" t="s">
        <v>150</v>
      </c>
      <c r="C11722" t="s">
        <v>267</v>
      </c>
      <c r="D11722" t="s">
        <v>396</v>
      </c>
      <c r="F11722">
        <f>HYPERLINK("https://www.wikidata.org/wiki/Q28496159", "Q28496159")</f>
        <v>0</v>
      </c>
      <c r="G11722" t="s">
        <v>3262</v>
      </c>
      <c r="H11722" t="s">
        <v>7680</v>
      </c>
      <c r="I11722" t="s">
        <v>10737</v>
      </c>
      <c r="J11722" t="s">
        <v>13878</v>
      </c>
      <c r="K11722" t="s">
        <v>18250</v>
      </c>
      <c r="L11722">
        <f>HYPERLINK("https://www2.assemblee-nationale.fr/sycomore/fiche/(num_dept)/4889", "4889")</f>
        <v>0</v>
      </c>
      <c r="M11722">
        <f>HYPERLINK("https://www.senat.fr/senateur-3eme-republique/magnien_gabriel1229r3.html", "magnien_gabriel1229r3")</f>
        <v>0</v>
      </c>
      <c r="N11722">
        <f>HYPERLINK("https://www.wikidata.org/wiki/Q3093845", "Q3093845")</f>
        <v>0</v>
      </c>
      <c r="O11722" t="s">
        <v>19994</v>
      </c>
      <c r="Q11722" t="s">
        <v>396</v>
      </c>
      <c r="R11722" t="s">
        <v>21663</v>
      </c>
      <c r="S11722">
        <v>3261</v>
      </c>
    </row>
    <row r="11723" spans="1:19">
      <c r="A11723" t="s">
        <v>135</v>
      </c>
      <c r="B11723" t="s">
        <v>150</v>
      </c>
      <c r="C11723" t="s">
        <v>267</v>
      </c>
      <c r="D11723" t="s">
        <v>396</v>
      </c>
      <c r="F11723">
        <f>HYPERLINK("https://www.wikidata.org/wiki/Q28496159", "Q28496159")</f>
        <v>0</v>
      </c>
      <c r="G11723" t="s">
        <v>3581</v>
      </c>
      <c r="H11723" t="s">
        <v>7931</v>
      </c>
      <c r="I11723" t="s">
        <v>6495</v>
      </c>
      <c r="J11723" t="s">
        <v>14168</v>
      </c>
      <c r="K11723" t="s">
        <v>18537</v>
      </c>
      <c r="L11723">
        <f>HYPERLINK("https://www2.assemblee-nationale.fr/sycomore/fiche/(num_dept)/5384", "5384")</f>
        <v>0</v>
      </c>
      <c r="M11723">
        <f>HYPERLINK("https://www.senat.fr/senateur-3eme-republique/de_montfort_louis1574r3.html", "de_montfort_louis1574r3")</f>
        <v>0</v>
      </c>
      <c r="N11723">
        <f>HYPERLINK("https://www.wikidata.org/wiki/Q3263531", "Q3263531")</f>
        <v>0</v>
      </c>
      <c r="O11723" t="s">
        <v>19978</v>
      </c>
      <c r="Q11723" t="s">
        <v>396</v>
      </c>
      <c r="R11723" t="s">
        <v>21663</v>
      </c>
      <c r="S11723">
        <v>3261</v>
      </c>
    </row>
    <row r="11724" spans="1:19">
      <c r="A11724" t="s">
        <v>135</v>
      </c>
      <c r="B11724" t="s">
        <v>150</v>
      </c>
      <c r="C11724" t="s">
        <v>267</v>
      </c>
      <c r="D11724" t="s">
        <v>396</v>
      </c>
      <c r="F11724">
        <f>HYPERLINK("https://www.wikidata.org/wiki/Q28496159", "Q28496159")</f>
        <v>0</v>
      </c>
      <c r="G11724" t="s">
        <v>3722</v>
      </c>
      <c r="H11724" t="s">
        <v>8031</v>
      </c>
      <c r="I11724" t="s">
        <v>10947</v>
      </c>
      <c r="J11724" t="s">
        <v>14297</v>
      </c>
      <c r="K11724" t="s">
        <v>18651</v>
      </c>
      <c r="L11724">
        <f>HYPERLINK("https://www2.assemblee-nationale.fr/sycomore/fiche/(num_dept)/5745", "5745")</f>
        <v>0</v>
      </c>
      <c r="M11724">
        <f>HYPERLINK("https://www.senat.fr/senateur-3eme-republique/pedebidou_adolphe1079r3.html", "pedebidou_adolphe1079r3")</f>
        <v>0</v>
      </c>
      <c r="N11724">
        <f>HYPERLINK("https://www.wikidata.org/wiki/Q2839931", "Q2839931")</f>
        <v>0</v>
      </c>
      <c r="O11724" t="s">
        <v>20027</v>
      </c>
      <c r="Q11724" t="s">
        <v>396</v>
      </c>
      <c r="R11724" t="s">
        <v>21663</v>
      </c>
      <c r="S11724">
        <v>3261</v>
      </c>
    </row>
    <row r="11725" spans="1:19">
      <c r="A11725" t="s">
        <v>135</v>
      </c>
      <c r="B11725" t="s">
        <v>150</v>
      </c>
      <c r="C11725" t="s">
        <v>267</v>
      </c>
      <c r="D11725" t="s">
        <v>396</v>
      </c>
      <c r="F11725">
        <f>HYPERLINK("https://www.wikidata.org/wiki/Q28496159", "Q28496159")</f>
        <v>0</v>
      </c>
      <c r="G11725" t="s">
        <v>3489</v>
      </c>
      <c r="H11725" t="s">
        <v>5776</v>
      </c>
      <c r="I11725" t="s">
        <v>9401</v>
      </c>
      <c r="J11725" t="s">
        <v>14088</v>
      </c>
      <c r="K11725" t="s">
        <v>18453</v>
      </c>
      <c r="L11725">
        <f>HYPERLINK("https://www2.assemblee-nationale.fr/sycomore/fiche/(num_dept)/5810", "5810")</f>
        <v>0</v>
      </c>
      <c r="M11725">
        <f>HYPERLINK("https://www.senat.fr/senateur-3eme-republique/perrier_antoine1304r3.html", "perrier_antoine1304r3")</f>
        <v>0</v>
      </c>
      <c r="N11725">
        <f>HYPERLINK("https://www.wikidata.org/wiki/Q2856600", "Q2856600")</f>
        <v>0</v>
      </c>
      <c r="O11725" t="s">
        <v>19988</v>
      </c>
      <c r="Q11725" t="s">
        <v>396</v>
      </c>
      <c r="R11725" t="s">
        <v>21663</v>
      </c>
      <c r="S11725">
        <v>3261</v>
      </c>
    </row>
    <row r="11726" spans="1:19">
      <c r="A11726" t="s">
        <v>135</v>
      </c>
      <c r="B11726" t="s">
        <v>150</v>
      </c>
      <c r="C11726" t="s">
        <v>267</v>
      </c>
      <c r="D11726" t="s">
        <v>396</v>
      </c>
      <c r="F11726">
        <f>HYPERLINK("https://www.wikidata.org/wiki/Q28496159", "Q28496159")</f>
        <v>0</v>
      </c>
      <c r="G11726" t="s">
        <v>3879</v>
      </c>
      <c r="H11726" t="s">
        <v>7691</v>
      </c>
      <c r="I11726" t="s">
        <v>10592</v>
      </c>
      <c r="J11726" t="s">
        <v>14437</v>
      </c>
      <c r="K11726" t="s">
        <v>15669</v>
      </c>
      <c r="L11726">
        <f>HYPERLINK("https://www2.assemblee-nationale.fr/sycomore/fiche/(num_dept)/5904", "5904")</f>
        <v>0</v>
      </c>
      <c r="M11726">
        <f>HYPERLINK("https://www.senat.fr/senateur-3eme-republique/pichon_louis0791r3.html", "pichon_louis0791r3")</f>
        <v>0</v>
      </c>
      <c r="N11726">
        <f>HYPERLINK("https://www.wikidata.org/wiki/Q3262900", "Q3262900")</f>
        <v>0</v>
      </c>
      <c r="O11726" t="s">
        <v>20011</v>
      </c>
      <c r="Q11726" t="s">
        <v>396</v>
      </c>
      <c r="R11726" t="s">
        <v>21675</v>
      </c>
      <c r="S11726">
        <v>1070</v>
      </c>
    </row>
    <row r="11727" spans="1:19">
      <c r="A11727" t="s">
        <v>135</v>
      </c>
      <c r="B11727" t="s">
        <v>150</v>
      </c>
      <c r="C11727" t="s">
        <v>267</v>
      </c>
      <c r="D11727" t="s">
        <v>396</v>
      </c>
      <c r="F11727">
        <f>HYPERLINK("https://www.wikidata.org/wiki/Q28496159", "Q28496159")</f>
        <v>0</v>
      </c>
      <c r="G11727" t="s">
        <v>3493</v>
      </c>
      <c r="H11727" t="s">
        <v>7799</v>
      </c>
      <c r="I11727" t="s">
        <v>9523</v>
      </c>
      <c r="J11727" t="s">
        <v>14092</v>
      </c>
      <c r="K11727" t="s">
        <v>18457</v>
      </c>
      <c r="L11727">
        <f>HYPERLINK("https://www2.assemblee-nationale.fr/sycomore/fiche/(num_dept)/6215", "6215")</f>
        <v>0</v>
      </c>
      <c r="M11727">
        <f>HYPERLINK("https://www.senat.fr/senateur-3eme-republique/saint_germain_marcel1823r3.html", "saint_germain_marcel1823r3")</f>
        <v>0</v>
      </c>
      <c r="N11727">
        <f>HYPERLINK("https://www.wikidata.org/wiki/Q16798548", "Q16798548")</f>
        <v>0</v>
      </c>
      <c r="Q11727" t="s">
        <v>396</v>
      </c>
      <c r="R11727" t="s">
        <v>21663</v>
      </c>
      <c r="S11727">
        <v>3261</v>
      </c>
    </row>
    <row r="11728" spans="1:19">
      <c r="A11728" t="s">
        <v>135</v>
      </c>
      <c r="B11728" t="s">
        <v>150</v>
      </c>
      <c r="C11728" t="s">
        <v>267</v>
      </c>
      <c r="D11728" t="s">
        <v>396</v>
      </c>
      <c r="F11728">
        <f>HYPERLINK("https://www.wikidata.org/wiki/Q28496159", "Q28496159")</f>
        <v>0</v>
      </c>
      <c r="G11728" t="s">
        <v>3164</v>
      </c>
      <c r="H11728" t="s">
        <v>6292</v>
      </c>
      <c r="I11728" t="s">
        <v>10674</v>
      </c>
      <c r="J11728" t="s">
        <v>13785</v>
      </c>
      <c r="K11728" t="s">
        <v>18160</v>
      </c>
      <c r="L11728">
        <f>HYPERLINK("https://www2.assemblee-nationale.fr/sycomore/fiche/(num_dept)/6496", "6496")</f>
        <v>0</v>
      </c>
      <c r="M11728">
        <f>HYPERLINK("https://www.senat.fr/senateur-3eme-republique/prevet_charles1608r3.html", "prevet_charles1608r3")</f>
        <v>0</v>
      </c>
      <c r="N11728">
        <f>HYPERLINK("https://www.wikidata.org/wiki/Q2960051", "Q2960051")</f>
        <v>0</v>
      </c>
      <c r="O11728" t="s">
        <v>20026</v>
      </c>
      <c r="Q11728" t="s">
        <v>396</v>
      </c>
      <c r="R11728" t="s">
        <v>21650</v>
      </c>
      <c r="S11728">
        <v>16702</v>
      </c>
    </row>
    <row r="11729" spans="1:19">
      <c r="A11729" t="s">
        <v>135</v>
      </c>
      <c r="B11729" t="s">
        <v>150</v>
      </c>
      <c r="C11729" t="s">
        <v>267</v>
      </c>
      <c r="D11729" t="s">
        <v>396</v>
      </c>
      <c r="F11729">
        <f>HYPERLINK("https://www.wikidata.org/wiki/Q28496159", "Q28496159")</f>
        <v>0</v>
      </c>
      <c r="G11729" t="s">
        <v>3498</v>
      </c>
      <c r="H11729" t="s">
        <v>7867</v>
      </c>
      <c r="I11729" t="s">
        <v>9605</v>
      </c>
      <c r="J11729" t="s">
        <v>14096</v>
      </c>
      <c r="K11729" t="s">
        <v>18460</v>
      </c>
      <c r="L11729">
        <f>HYPERLINK("https://www2.assemblee-nationale.fr/sycomore/fiche/(num_dept)/6564", "6564")</f>
        <v>0</v>
      </c>
      <c r="M11729">
        <f>HYPERLINK("https://www.senat.fr/senateur-3eme-republique/quintaa_justin1048r3.html", "quintaa_justin1048r3")</f>
        <v>0</v>
      </c>
      <c r="N11729">
        <f>HYPERLINK("https://www.wikidata.org/wiki/Q3190491", "Q3190491")</f>
        <v>0</v>
      </c>
      <c r="O11729" t="s">
        <v>19970</v>
      </c>
      <c r="Q11729" t="s">
        <v>396</v>
      </c>
      <c r="R11729" t="s">
        <v>18460</v>
      </c>
      <c r="S11729">
        <v>181</v>
      </c>
    </row>
    <row r="11730" spans="1:19">
      <c r="A11730" t="s">
        <v>135</v>
      </c>
      <c r="B11730" t="s">
        <v>150</v>
      </c>
      <c r="C11730" t="s">
        <v>267</v>
      </c>
      <c r="D11730" t="s">
        <v>396</v>
      </c>
      <c r="F11730">
        <f>HYPERLINK("https://www.wikidata.org/wiki/Q28496159", "Q28496159")</f>
        <v>0</v>
      </c>
      <c r="G11730" t="s">
        <v>3174</v>
      </c>
      <c r="H11730" t="s">
        <v>7605</v>
      </c>
      <c r="I11730" t="s">
        <v>9375</v>
      </c>
      <c r="J11730" t="s">
        <v>13795</v>
      </c>
      <c r="K11730" t="s">
        <v>18170</v>
      </c>
      <c r="L11730">
        <f>HYPERLINK("https://www2.assemblee-nationale.fr/sycomore/fiche/(num_dept)/7464", "7464")</f>
        <v>0</v>
      </c>
      <c r="M11730">
        <f>HYPERLINK("https://www.senat.fr/senateur-3eme-republique/vilar_edouard1097r3.html", "vilar_edouard1097r3")</f>
        <v>0</v>
      </c>
      <c r="N11730">
        <f>HYPERLINK("https://www.wikidata.org/wiki/Q3580059", "Q3580059")</f>
        <v>0</v>
      </c>
      <c r="O11730" t="s">
        <v>20001</v>
      </c>
      <c r="Q11730" t="s">
        <v>396</v>
      </c>
      <c r="R11730" t="s">
        <v>21663</v>
      </c>
      <c r="S11730">
        <v>3261</v>
      </c>
    </row>
    <row r="11731" spans="1:19">
      <c r="A11731" t="s">
        <v>135</v>
      </c>
      <c r="B11731" t="s">
        <v>150</v>
      </c>
      <c r="C11731" t="s">
        <v>267</v>
      </c>
      <c r="D11731" t="s">
        <v>396</v>
      </c>
      <c r="F11731">
        <f>HYPERLINK("https://www.wikidata.org/wiki/Q28496159", "Q28496159")</f>
        <v>0</v>
      </c>
      <c r="G11731" t="s">
        <v>2699</v>
      </c>
      <c r="H11731" t="s">
        <v>7231</v>
      </c>
      <c r="I11731" t="s">
        <v>10372</v>
      </c>
      <c r="J11731" t="s">
        <v>13340</v>
      </c>
      <c r="K11731" t="s">
        <v>17740</v>
      </c>
      <c r="L11731">
        <f>HYPERLINK("https://www2.assemblee-nationale.fr/sycomore/fiche/(num_dept)/7467", "7467")</f>
        <v>0</v>
      </c>
      <c r="M11731">
        <f>HYPERLINK("https://www.senat.fr/senateur-3eme-republique/waddington_richard1606r3.html", "waddington_richard1606r3")</f>
        <v>0</v>
      </c>
      <c r="N11731">
        <f>HYPERLINK("https://www.wikidata.org/wiki/Q2150850", "Q2150850")</f>
        <v>0</v>
      </c>
      <c r="O11731" t="s">
        <v>19978</v>
      </c>
      <c r="Q11731" t="s">
        <v>396</v>
      </c>
      <c r="R11731" t="s">
        <v>21663</v>
      </c>
      <c r="S11731">
        <v>3261</v>
      </c>
    </row>
    <row r="11732" spans="1:19">
      <c r="A11732" t="s">
        <v>135</v>
      </c>
      <c r="B11732" t="s">
        <v>150</v>
      </c>
      <c r="C11732" t="s">
        <v>267</v>
      </c>
      <c r="D11732" t="s">
        <v>396</v>
      </c>
      <c r="F11732">
        <f>HYPERLINK("https://www.wikidata.org/wiki/Q28496159", "Q28496159")</f>
        <v>0</v>
      </c>
      <c r="G11732" t="s">
        <v>3512</v>
      </c>
      <c r="H11732" t="s">
        <v>7879</v>
      </c>
      <c r="I11732" t="s">
        <v>9457</v>
      </c>
      <c r="J11732" t="s">
        <v>14108</v>
      </c>
      <c r="K11732" t="s">
        <v>18474</v>
      </c>
      <c r="L11732">
        <f>HYPERLINK("https://www2.assemblee-nationale.fr/sycomore/fiche/(num_dept)/7525", "7525")</f>
        <v>0</v>
      </c>
      <c r="M11732">
        <f>HYPERLINK("https://www.senat.fr/senateur-3eme-republique/lavertujon_henri1778r3.html", "lavertujon_henri1778r3")</f>
        <v>0</v>
      </c>
      <c r="N11732">
        <f>HYPERLINK("https://www.wikidata.org/wiki/Q3131428", "Q3131428")</f>
        <v>0</v>
      </c>
      <c r="O11732" t="s">
        <v>19977</v>
      </c>
      <c r="Q11732" t="s">
        <v>396</v>
      </c>
      <c r="R11732" t="s">
        <v>18474</v>
      </c>
      <c r="S11732">
        <v>2782</v>
      </c>
    </row>
    <row r="11733" spans="1:19">
      <c r="A11733" t="s">
        <v>135</v>
      </c>
      <c r="B11733" t="s">
        <v>150</v>
      </c>
      <c r="C11733" t="s">
        <v>267</v>
      </c>
      <c r="D11733" t="s">
        <v>396</v>
      </c>
      <c r="F11733">
        <f>HYPERLINK("https://www.wikidata.org/wiki/Q28496159", "Q28496159")</f>
        <v>0</v>
      </c>
      <c r="G11733" t="s">
        <v>2707</v>
      </c>
      <c r="H11733" t="s">
        <v>6277</v>
      </c>
      <c r="I11733" t="s">
        <v>10377</v>
      </c>
      <c r="J11733" t="s">
        <v>13348</v>
      </c>
      <c r="K11733" t="s">
        <v>17748</v>
      </c>
      <c r="L11733">
        <f>HYPERLINK("https://www2.assemblee-nationale.fr/sycomore/fiche/(num_dept)/7616", "7616")</f>
        <v>0</v>
      </c>
      <c r="M11733">
        <f>HYPERLINK("https://www.senat.fr/senateur-3eme-republique/le_roux_paul1745r3.html", "le_roux_paul1745r3")</f>
        <v>0</v>
      </c>
      <c r="N11733">
        <f>HYPERLINK("https://www.wikidata.org/wiki/Q3371651", "Q3371651")</f>
        <v>0</v>
      </c>
      <c r="O11733" t="s">
        <v>19972</v>
      </c>
      <c r="Q11733" t="s">
        <v>396</v>
      </c>
      <c r="R11733" t="s">
        <v>21663</v>
      </c>
      <c r="S11733">
        <v>3261</v>
      </c>
    </row>
    <row r="11734" spans="1:19">
      <c r="A11734" t="s">
        <v>135</v>
      </c>
      <c r="B11734" t="s">
        <v>150</v>
      </c>
      <c r="C11734" t="s">
        <v>267</v>
      </c>
      <c r="D11734" t="s">
        <v>396</v>
      </c>
      <c r="F11734">
        <f>HYPERLINK("https://www.wikidata.org/wiki/Q28496159", "Q28496159")</f>
        <v>0</v>
      </c>
      <c r="G11734" t="s">
        <v>3304</v>
      </c>
      <c r="H11734" t="s">
        <v>7713</v>
      </c>
      <c r="I11734" t="s">
        <v>6200</v>
      </c>
      <c r="J11734" t="s">
        <v>13918</v>
      </c>
      <c r="K11734" t="s">
        <v>18288</v>
      </c>
      <c r="L11734">
        <f>HYPERLINK("https://www2.assemblee-nationale.fr/sycomore/fiche/(num_dept)/7918", "7918")</f>
        <v>0</v>
      </c>
      <c r="M11734">
        <f>HYPERLINK("https://www.senat.fr/senateur-3eme-republique/chantagrel_jean0998r3.html", "chantagrel_jean0998r3")</f>
        <v>0</v>
      </c>
      <c r="N11734">
        <f>HYPERLINK("https://www.wikidata.org/wiki/Q3171215", "Q3171215")</f>
        <v>0</v>
      </c>
      <c r="O11734" t="s">
        <v>20005</v>
      </c>
      <c r="Q11734" t="s">
        <v>396</v>
      </c>
      <c r="R11734" t="s">
        <v>21650</v>
      </c>
      <c r="S11734">
        <v>16702</v>
      </c>
    </row>
    <row r="11735" spans="1:19">
      <c r="A11735" t="s">
        <v>135</v>
      </c>
      <c r="B11735" t="s">
        <v>150</v>
      </c>
      <c r="C11735" t="s">
        <v>267</v>
      </c>
      <c r="D11735" t="s">
        <v>396</v>
      </c>
      <c r="F11735">
        <f>HYPERLINK("https://www.wikidata.org/wiki/Q28496159", "Q28496159")</f>
        <v>0</v>
      </c>
      <c r="G11735" t="s">
        <v>2737</v>
      </c>
      <c r="H11735" t="s">
        <v>7256</v>
      </c>
      <c r="I11735" t="s">
        <v>9472</v>
      </c>
      <c r="J11735" t="s">
        <v>13378</v>
      </c>
      <c r="K11735" t="s">
        <v>17776</v>
      </c>
      <c r="L11735">
        <f>HYPERLINK("https://www2.assemblee-nationale.fr/sycomore/fiche/(num_dept)/7956", "7956")</f>
        <v>0</v>
      </c>
      <c r="M11735">
        <f>HYPERLINK("https://www.senat.fr/senateur-3eme-republique/gomot_hippolyte0986r3.html", "gomot_hippolyte0986r3")</f>
        <v>0</v>
      </c>
      <c r="N11735">
        <f>HYPERLINK("https://www.wikidata.org/wiki/Q3136064", "Q3136064")</f>
        <v>0</v>
      </c>
      <c r="O11735" t="s">
        <v>20005</v>
      </c>
      <c r="Q11735" t="s">
        <v>396</v>
      </c>
      <c r="R11735" t="s">
        <v>21663</v>
      </c>
      <c r="S11735">
        <v>3261</v>
      </c>
    </row>
    <row r="11736" spans="1:19">
      <c r="A11736" t="s">
        <v>135</v>
      </c>
      <c r="B11736" t="s">
        <v>150</v>
      </c>
      <c r="C11736" t="s">
        <v>267</v>
      </c>
      <c r="D11736" t="s">
        <v>396</v>
      </c>
      <c r="F11736">
        <f>HYPERLINK("https://www.wikidata.org/wiki/Q28496159", "Q28496159")</f>
        <v>0</v>
      </c>
      <c r="G11736" t="s">
        <v>3201</v>
      </c>
      <c r="H11736" t="s">
        <v>6484</v>
      </c>
      <c r="I11736" t="s">
        <v>9506</v>
      </c>
      <c r="J11736" t="s">
        <v>13821</v>
      </c>
      <c r="K11736" t="s">
        <v>18195</v>
      </c>
      <c r="L11736">
        <f>HYPERLINK("https://www2.assemblee-nationale.fr/sycomore/fiche/(num_dept)/7971", "7971")</f>
        <v>0</v>
      </c>
      <c r="M11736">
        <f>HYPERLINK("https://www.senat.fr/senateur-3eme-republique/jouffrault_camille1624r3.html", "jouffrault_camille1624r3")</f>
        <v>0</v>
      </c>
      <c r="N11736">
        <f>HYPERLINK("https://www.wikidata.org/wiki/Q2934967", "Q2934967")</f>
        <v>0</v>
      </c>
      <c r="O11736" t="s">
        <v>20021</v>
      </c>
      <c r="Q11736" t="s">
        <v>396</v>
      </c>
      <c r="R11736" t="s">
        <v>21650</v>
      </c>
      <c r="S11736">
        <v>16702</v>
      </c>
    </row>
    <row r="11737" spans="1:19">
      <c r="A11737" t="s">
        <v>135</v>
      </c>
      <c r="B11737" t="s">
        <v>150</v>
      </c>
      <c r="C11737" t="s">
        <v>267</v>
      </c>
      <c r="D11737" t="s">
        <v>396</v>
      </c>
      <c r="F11737">
        <f>HYPERLINK("https://www.wikidata.org/wiki/Q28496159", "Q28496159")</f>
        <v>0</v>
      </c>
      <c r="G11737" t="s">
        <v>2878</v>
      </c>
      <c r="H11737" t="s">
        <v>7363</v>
      </c>
      <c r="I11737" t="s">
        <v>10496</v>
      </c>
      <c r="J11737" t="s">
        <v>11305</v>
      </c>
      <c r="K11737" t="s">
        <v>17902</v>
      </c>
      <c r="L11737">
        <f>HYPERLINK("https://www2.assemblee-nationale.fr/sycomore/fiche/(num_dept)/8209", "8209")</f>
        <v>0</v>
      </c>
      <c r="M11737">
        <f>HYPERLINK("https://www.senat.fr/senateur-3eme-republique/deprez_louis0925r3.html", "deprez_louis0925r3")</f>
        <v>0</v>
      </c>
      <c r="N11737">
        <f>HYPERLINK("https://www.wikidata.org/wiki/Q2847076", "Q2847076")</f>
        <v>0</v>
      </c>
      <c r="O11737" t="s">
        <v>19968</v>
      </c>
      <c r="Q11737" t="s">
        <v>396</v>
      </c>
      <c r="R11737" t="s">
        <v>21650</v>
      </c>
      <c r="S11737">
        <v>16702</v>
      </c>
    </row>
    <row r="11738" spans="1:19">
      <c r="A11738" t="s">
        <v>135</v>
      </c>
      <c r="B11738" t="s">
        <v>150</v>
      </c>
      <c r="C11738" t="s">
        <v>267</v>
      </c>
      <c r="D11738" t="s">
        <v>396</v>
      </c>
      <c r="F11738">
        <f>HYPERLINK("https://www.wikidata.org/wiki/Q28496159", "Q28496159")</f>
        <v>0</v>
      </c>
      <c r="G11738" t="s">
        <v>2894</v>
      </c>
      <c r="H11738" t="s">
        <v>7378</v>
      </c>
      <c r="I11738" t="s">
        <v>9389</v>
      </c>
      <c r="J11738" t="s">
        <v>13529</v>
      </c>
      <c r="K11738" t="s">
        <v>17917</v>
      </c>
      <c r="L11738">
        <f>HYPERLINK("https://www2.assemblee-nationale.fr/sycomore/fiche/(num_dept)/8230", "8230")</f>
        <v>0</v>
      </c>
      <c r="M11738">
        <f>HYPERLINK("https://www.senat.fr/senateur-3eme-republique/guyot_emile1127r3.html", "guyot_emile1127r3")</f>
        <v>0</v>
      </c>
      <c r="N11738">
        <f>HYPERLINK("https://www.wikidata.org/wiki/Q3588551", "Q3588551")</f>
        <v>0</v>
      </c>
      <c r="O11738" t="s">
        <v>19965</v>
      </c>
      <c r="Q11738" t="s">
        <v>396</v>
      </c>
      <c r="R11738" t="s">
        <v>21650</v>
      </c>
      <c r="S11738">
        <v>16702</v>
      </c>
    </row>
    <row r="11739" spans="1:19">
      <c r="A11739" t="s">
        <v>135</v>
      </c>
      <c r="B11739" t="s">
        <v>150</v>
      </c>
      <c r="C11739" t="s">
        <v>267</v>
      </c>
      <c r="D11739" t="s">
        <v>396</v>
      </c>
      <c r="F11739">
        <f>HYPERLINK("https://www.wikidata.org/wiki/Q28496159", "Q28496159")</f>
        <v>0</v>
      </c>
      <c r="G11739" t="s">
        <v>3076</v>
      </c>
      <c r="H11739" t="s">
        <v>7526</v>
      </c>
      <c r="I11739" t="s">
        <v>10613</v>
      </c>
      <c r="J11739" t="s">
        <v>13700</v>
      </c>
      <c r="K11739" t="s">
        <v>18083</v>
      </c>
      <c r="L11739">
        <f>HYPERLINK("https://www2.assemblee-nationale.fr/sycomore/fiche/(num_dept)/8235", "8235")</f>
        <v>0</v>
      </c>
      <c r="M11739">
        <f>HYPERLINK("https://www.senat.fr/senateur-3eme-republique/martin_felix1214r3.html", "martin_felix1214r3")</f>
        <v>0</v>
      </c>
      <c r="N11739">
        <f>HYPERLINK("https://www.wikidata.org/wiki/Q3092530", "Q3092530")</f>
        <v>0</v>
      </c>
      <c r="O11739" t="s">
        <v>19994</v>
      </c>
      <c r="Q11739" t="s">
        <v>396</v>
      </c>
      <c r="R11739" t="s">
        <v>21663</v>
      </c>
      <c r="S11739">
        <v>3261</v>
      </c>
    </row>
    <row r="11740" spans="1:19">
      <c r="A11740" t="s">
        <v>135</v>
      </c>
      <c r="B11740" t="s">
        <v>150</v>
      </c>
      <c r="C11740" t="s">
        <v>267</v>
      </c>
      <c r="D11740" t="s">
        <v>396</v>
      </c>
      <c r="F11740">
        <f>HYPERLINK("https://www.wikidata.org/wiki/Q28496159", "Q28496159")</f>
        <v>0</v>
      </c>
      <c r="G11740" t="s">
        <v>3083</v>
      </c>
      <c r="H11740" t="s">
        <v>7530</v>
      </c>
      <c r="I11740" t="s">
        <v>10619</v>
      </c>
      <c r="J11740" t="s">
        <v>13706</v>
      </c>
      <c r="K11740" t="s">
        <v>18089</v>
      </c>
      <c r="L11740">
        <f>HYPERLINK("https://www2.assemblee-nationale.fr/sycomore/fiche/(num_dept)/8238", "8238")</f>
        <v>0</v>
      </c>
      <c r="M11740">
        <f>HYPERLINK("https://www.senat.fr/senateur-3eme-republique/legludic_prosper1251r3.html", "legludic_prosper1251r3")</f>
        <v>0</v>
      </c>
      <c r="N11740">
        <f>HYPERLINK("https://www.wikidata.org/wiki/Q3407790", "Q3407790")</f>
        <v>0</v>
      </c>
      <c r="O11740" t="s">
        <v>19956</v>
      </c>
      <c r="Q11740" t="s">
        <v>396</v>
      </c>
      <c r="R11740" t="s">
        <v>21650</v>
      </c>
      <c r="S11740">
        <v>16702</v>
      </c>
    </row>
    <row r="11741" spans="1:19">
      <c r="A11741" t="s">
        <v>135</v>
      </c>
      <c r="B11741" t="s">
        <v>150</v>
      </c>
      <c r="C11741" t="s">
        <v>267</v>
      </c>
      <c r="D11741" t="s">
        <v>396</v>
      </c>
      <c r="F11741">
        <f>HYPERLINK("https://www.wikidata.org/wiki/Q28496159", "Q28496159")</f>
        <v>0</v>
      </c>
      <c r="G11741" t="s">
        <v>2924</v>
      </c>
      <c r="H11741" t="s">
        <v>7403</v>
      </c>
      <c r="I11741" t="s">
        <v>10528</v>
      </c>
      <c r="J11741" t="s">
        <v>13557</v>
      </c>
      <c r="K11741" t="s">
        <v>17943</v>
      </c>
      <c r="L11741">
        <f>HYPERLINK("https://www2.assemblee-nationale.fr/sycomore/fiche/(num_dept)/8271", "8271")</f>
        <v>0</v>
      </c>
      <c r="M11741">
        <f>HYPERLINK("https://www.senat.fr/senateur-3eme-republique/bernot_achille1669r3.html", "bernot_achille1669r3")</f>
        <v>0</v>
      </c>
      <c r="N11741">
        <f>HYPERLINK("https://www.wikidata.org/wiki/Q2823026", "Q2823026")</f>
        <v>0</v>
      </c>
      <c r="O11741" t="s">
        <v>20012</v>
      </c>
      <c r="Q11741" t="s">
        <v>396</v>
      </c>
      <c r="R11741" t="s">
        <v>21650</v>
      </c>
      <c r="S11741">
        <v>16702</v>
      </c>
    </row>
    <row r="11742" spans="1:19">
      <c r="A11742" t="s">
        <v>135</v>
      </c>
      <c r="B11742" t="s">
        <v>150</v>
      </c>
      <c r="C11742" t="s">
        <v>267</v>
      </c>
      <c r="D11742" t="s">
        <v>396</v>
      </c>
      <c r="F11742">
        <f>HYPERLINK("https://www.wikidata.org/wiki/Q28496159", "Q28496159")</f>
        <v>0</v>
      </c>
      <c r="G11742" t="s">
        <v>3341</v>
      </c>
      <c r="H11742" t="s">
        <v>7745</v>
      </c>
      <c r="I11742" t="s">
        <v>10778</v>
      </c>
      <c r="J11742" t="s">
        <v>13954</v>
      </c>
      <c r="K11742" t="s">
        <v>18323</v>
      </c>
      <c r="L11742">
        <f>HYPERLINK("https://www2.assemblee-nationale.fr/sycomore/fiche/(num_dept)/9610", "9610")</f>
        <v>0</v>
      </c>
      <c r="M11742">
        <f>HYPERLINK("https://www.senat.fr/senateur-3eme-republique/barriere_charles1004r3.html", "barriere_charles1004r3")</f>
        <v>0</v>
      </c>
      <c r="N11742">
        <f>HYPERLINK("https://www.wikidata.org/wiki/Q2958482", "Q2958482")</f>
        <v>0</v>
      </c>
      <c r="O11742" t="s">
        <v>20005</v>
      </c>
      <c r="Q11742" t="s">
        <v>396</v>
      </c>
      <c r="R11742" t="s">
        <v>21663</v>
      </c>
      <c r="S11742">
        <v>3261</v>
      </c>
    </row>
    <row r="11743" spans="1:19">
      <c r="A11743" t="s">
        <v>135</v>
      </c>
      <c r="B11743" t="s">
        <v>150</v>
      </c>
      <c r="C11743" t="s">
        <v>267</v>
      </c>
      <c r="D11743" t="s">
        <v>396</v>
      </c>
      <c r="F11743">
        <f>HYPERLINK("https://www.wikidata.org/wiki/Q28496159", "Q28496159")</f>
        <v>0</v>
      </c>
      <c r="G11743" t="s">
        <v>4843</v>
      </c>
      <c r="H11743" t="s">
        <v>8983</v>
      </c>
      <c r="I11743" t="s">
        <v>9465</v>
      </c>
      <c r="J11743" t="s">
        <v>15294</v>
      </c>
      <c r="K11743" t="s">
        <v>19602</v>
      </c>
      <c r="M11743">
        <f>HYPERLINK("https://www.senat.fr/senateur-3eme-republique/fagot_eugene0162r3.html", "fagot_eugene0162r3")</f>
        <v>0</v>
      </c>
      <c r="N11743">
        <f>HYPERLINK("https://www.wikidata.org/wiki/Q3059852", "Q3059852")</f>
        <v>0</v>
      </c>
      <c r="O11743" t="s">
        <v>19959</v>
      </c>
      <c r="Q11743" t="s">
        <v>396</v>
      </c>
      <c r="R11743" t="s">
        <v>21675</v>
      </c>
      <c r="S11743">
        <v>1070</v>
      </c>
    </row>
    <row r="11744" spans="1:19">
      <c r="A11744" t="s">
        <v>135</v>
      </c>
      <c r="B11744" t="s">
        <v>150</v>
      </c>
      <c r="C11744" t="s">
        <v>267</v>
      </c>
      <c r="D11744" t="s">
        <v>396</v>
      </c>
      <c r="F11744">
        <f>HYPERLINK("https://www.wikidata.org/wiki/Q28496159", "Q28496159")</f>
        <v>0</v>
      </c>
      <c r="G11744" t="s">
        <v>4694</v>
      </c>
      <c r="H11744" t="s">
        <v>8834</v>
      </c>
      <c r="I11744" t="s">
        <v>6166</v>
      </c>
      <c r="J11744" t="s">
        <v>13574</v>
      </c>
      <c r="K11744" t="s">
        <v>18580</v>
      </c>
      <c r="M11744">
        <f>HYPERLINK("https://www.senat.fr/senateur-3eme-republique/garran_de_balzan_francois1634r3.html", "garran_de_balzan_francois1634r3")</f>
        <v>0</v>
      </c>
      <c r="N11744">
        <f>HYPERLINK("https://www.wikidata.org/wiki/Q3084690", "Q3084690")</f>
        <v>0</v>
      </c>
      <c r="O11744" t="s">
        <v>20021</v>
      </c>
      <c r="Q11744" t="s">
        <v>396</v>
      </c>
      <c r="R11744" t="s">
        <v>21650</v>
      </c>
      <c r="S11744">
        <v>16702</v>
      </c>
    </row>
    <row r="11745" spans="1:19">
      <c r="A11745" t="s">
        <v>135</v>
      </c>
      <c r="B11745" t="s">
        <v>150</v>
      </c>
      <c r="C11745" t="s">
        <v>267</v>
      </c>
      <c r="D11745" t="s">
        <v>396</v>
      </c>
      <c r="F11745">
        <f>HYPERLINK("https://www.wikidata.org/wiki/Q28496159", "Q28496159")</f>
        <v>0</v>
      </c>
      <c r="G11745" t="s">
        <v>4244</v>
      </c>
      <c r="H11745" t="s">
        <v>5856</v>
      </c>
      <c r="I11745" t="s">
        <v>9533</v>
      </c>
      <c r="J11745" t="s">
        <v>14750</v>
      </c>
      <c r="K11745" t="s">
        <v>19096</v>
      </c>
      <c r="M11745">
        <f>HYPERLINK("https://www.senat.fr/senateur-3eme-republique/girard_theodore1638r3.html", "girard_theodore1638r3")</f>
        <v>0</v>
      </c>
      <c r="N11745">
        <f>HYPERLINK("https://www.wikidata.org/wiki/Q3526426", "Q3526426")</f>
        <v>0</v>
      </c>
      <c r="O11745" t="s">
        <v>20021</v>
      </c>
      <c r="Q11745" t="s">
        <v>396</v>
      </c>
      <c r="R11745" t="s">
        <v>21663</v>
      </c>
      <c r="S11745">
        <v>3261</v>
      </c>
    </row>
    <row r="11746" spans="1:19">
      <c r="A11746" t="s">
        <v>135</v>
      </c>
      <c r="B11746" t="s">
        <v>150</v>
      </c>
      <c r="C11746" t="s">
        <v>267</v>
      </c>
      <c r="D11746" t="s">
        <v>396</v>
      </c>
      <c r="F11746">
        <f>HYPERLINK("https://www.wikidata.org/wiki/Q28496159", "Q28496159")</f>
        <v>0</v>
      </c>
      <c r="G11746" t="s">
        <v>4844</v>
      </c>
      <c r="H11746" t="s">
        <v>8984</v>
      </c>
      <c r="I11746" t="s">
        <v>10074</v>
      </c>
      <c r="J11746" t="s">
        <v>15295</v>
      </c>
      <c r="K11746" t="s">
        <v>19603</v>
      </c>
      <c r="M11746">
        <f>HYPERLINK("https://www.senat.fr/senateur-3eme-republique/lambert_arsene0799r3.html", "lambert_arsene0799r3")</f>
        <v>0</v>
      </c>
      <c r="N11746">
        <f>HYPERLINK("https://www.wikidata.org/wiki/Q2864455", "Q2864455")</f>
        <v>0</v>
      </c>
      <c r="O11746" t="s">
        <v>20011</v>
      </c>
      <c r="Q11746" t="s">
        <v>396</v>
      </c>
      <c r="R11746" t="s">
        <v>19603</v>
      </c>
      <c r="S11746">
        <v>348</v>
      </c>
    </row>
    <row r="11747" spans="1:19">
      <c r="A11747" t="s">
        <v>135</v>
      </c>
      <c r="B11747" t="s">
        <v>150</v>
      </c>
      <c r="C11747" t="s">
        <v>267</v>
      </c>
      <c r="D11747" t="s">
        <v>396</v>
      </c>
      <c r="F11747">
        <f>HYPERLINK("https://www.wikidata.org/wiki/Q28496159", "Q28496159")</f>
        <v>0</v>
      </c>
      <c r="G11747" t="s">
        <v>4845</v>
      </c>
      <c r="H11747" t="s">
        <v>8985</v>
      </c>
      <c r="I11747" t="s">
        <v>9470</v>
      </c>
      <c r="J11747" t="s">
        <v>15296</v>
      </c>
      <c r="K11747" t="s">
        <v>19604</v>
      </c>
      <c r="M11747">
        <f>HYPERLINK("https://www.senat.fr/senateur-3eme-republique/outhenin_chalandre_gaston1177r3.html", "outhenin_chalandre_gaston1177r3")</f>
        <v>0</v>
      </c>
      <c r="N11747">
        <f>HYPERLINK("https://www.wikidata.org/wiki/Q3099106", "Q3099106")</f>
        <v>0</v>
      </c>
      <c r="O11747" t="s">
        <v>20036</v>
      </c>
      <c r="Q11747" t="s">
        <v>396</v>
      </c>
      <c r="R11747" t="s">
        <v>19604</v>
      </c>
      <c r="S11747">
        <v>2662</v>
      </c>
    </row>
    <row r="11748" spans="1:19">
      <c r="A11748" t="s">
        <v>135</v>
      </c>
      <c r="B11748" t="s">
        <v>150</v>
      </c>
      <c r="C11748" t="s">
        <v>267</v>
      </c>
      <c r="D11748" t="s">
        <v>396</v>
      </c>
      <c r="F11748">
        <f>HYPERLINK("https://www.wikidata.org/wiki/Q28496159", "Q28496159")</f>
        <v>0</v>
      </c>
      <c r="G11748" t="s">
        <v>4846</v>
      </c>
      <c r="H11748" t="s">
        <v>8986</v>
      </c>
      <c r="I11748" t="s">
        <v>9421</v>
      </c>
      <c r="J11748" t="s">
        <v>15297</v>
      </c>
      <c r="K11748" t="s">
        <v>19605</v>
      </c>
      <c r="M11748">
        <f>HYPERLINK("https://www.senat.fr/senateur-3eme-republique/gauthier_gustave1184r3.html", "gauthier_gustave1184r3")</f>
        <v>0</v>
      </c>
      <c r="N11748">
        <f>HYPERLINK("https://www.wikidata.org/wiki/Q3121198", "Q3121198")</f>
        <v>0</v>
      </c>
      <c r="O11748" t="s">
        <v>20036</v>
      </c>
      <c r="Q11748" t="s">
        <v>396</v>
      </c>
      <c r="R11748" t="s">
        <v>21663</v>
      </c>
      <c r="S11748">
        <v>3261</v>
      </c>
    </row>
    <row r="11749" spans="1:19">
      <c r="A11749" t="s">
        <v>135</v>
      </c>
      <c r="B11749" t="s">
        <v>150</v>
      </c>
      <c r="C11749" t="s">
        <v>267</v>
      </c>
      <c r="D11749" t="s">
        <v>396</v>
      </c>
      <c r="F11749">
        <f>HYPERLINK("https://www.wikidata.org/wiki/Q28496159", "Q28496159")</f>
        <v>0</v>
      </c>
      <c r="G11749" t="s">
        <v>4774</v>
      </c>
      <c r="H11749" t="s">
        <v>8917</v>
      </c>
      <c r="I11749" t="s">
        <v>6158</v>
      </c>
      <c r="J11749" t="s">
        <v>15236</v>
      </c>
      <c r="K11749" t="s">
        <v>16303</v>
      </c>
      <c r="M11749">
        <f>HYPERLINK("https://www.senat.fr/senateur-3eme-republique/francoz_felix1307r3.html", "francoz_felix1307r3")</f>
        <v>0</v>
      </c>
      <c r="N11749">
        <f>HYPERLINK("https://www.wikidata.org/wiki/Q3092438", "Q3092438")</f>
        <v>0</v>
      </c>
      <c r="O11749" t="s">
        <v>20018</v>
      </c>
      <c r="Q11749" t="s">
        <v>396</v>
      </c>
      <c r="R11749" t="s">
        <v>21650</v>
      </c>
      <c r="S11749">
        <v>16702</v>
      </c>
    </row>
    <row r="11750" spans="1:19">
      <c r="A11750" t="s">
        <v>135</v>
      </c>
      <c r="B11750" t="s">
        <v>150</v>
      </c>
      <c r="C11750" t="s">
        <v>267</v>
      </c>
      <c r="D11750" t="s">
        <v>396</v>
      </c>
      <c r="F11750">
        <f>HYPERLINK("https://www.wikidata.org/wiki/Q28496159", "Q28496159")</f>
        <v>0</v>
      </c>
      <c r="G11750" t="s">
        <v>4799</v>
      </c>
      <c r="H11750" t="s">
        <v>8608</v>
      </c>
      <c r="I11750" t="s">
        <v>9602</v>
      </c>
      <c r="J11750" t="s">
        <v>15260</v>
      </c>
      <c r="K11750" t="s">
        <v>19568</v>
      </c>
      <c r="M11750">
        <f>HYPERLINK("https://www.senat.fr/senateur-3eme-republique/teisserenc_de_bort_edmond1790r3.html", "teisserenc_de_bort_edmond1790r3")</f>
        <v>0</v>
      </c>
      <c r="N11750">
        <f>HYPERLINK("https://www.wikidata.org/wiki/Q3047999", "Q3047999")</f>
        <v>0</v>
      </c>
      <c r="O11750" t="s">
        <v>19977</v>
      </c>
      <c r="Q11750" t="s">
        <v>396</v>
      </c>
      <c r="R11750" t="s">
        <v>21650</v>
      </c>
      <c r="S11750">
        <v>16702</v>
      </c>
    </row>
    <row r="11751" spans="1:19">
      <c r="A11751" t="s">
        <v>135</v>
      </c>
      <c r="B11751" t="s">
        <v>150</v>
      </c>
      <c r="C11751" t="s">
        <v>267</v>
      </c>
      <c r="D11751" t="s">
        <v>396</v>
      </c>
      <c r="F11751">
        <f>HYPERLINK("https://www.wikidata.org/wiki/Q28496159", "Q28496159")</f>
        <v>0</v>
      </c>
      <c r="G11751" t="s">
        <v>4847</v>
      </c>
      <c r="H11751" t="s">
        <v>8987</v>
      </c>
      <c r="I11751" t="s">
        <v>9385</v>
      </c>
      <c r="J11751" t="s">
        <v>15298</v>
      </c>
      <c r="K11751" t="s">
        <v>19606</v>
      </c>
      <c r="M11751">
        <f>HYPERLINK("https://www.senat.fr/senateur-3eme-republique/vagnat_charles0075r3.html", "vagnat_charles0075r3")</f>
        <v>0</v>
      </c>
      <c r="N11751">
        <f>HYPERLINK("https://www.wikidata.org/wiki/Q2960358", "Q2960358")</f>
        <v>0</v>
      </c>
      <c r="O11751" t="s">
        <v>19981</v>
      </c>
      <c r="Q11751" t="s">
        <v>396</v>
      </c>
      <c r="R11751" t="s">
        <v>21675</v>
      </c>
      <c r="S11751">
        <v>1070</v>
      </c>
    </row>
    <row r="11752" spans="1:19">
      <c r="A11752" t="s">
        <v>135</v>
      </c>
      <c r="B11752" t="s">
        <v>150</v>
      </c>
      <c r="C11752" t="s">
        <v>267</v>
      </c>
      <c r="D11752" t="s">
        <v>396</v>
      </c>
      <c r="F11752">
        <f>HYPERLINK("https://www.wikidata.org/wiki/Q28496159", "Q28496159")</f>
        <v>0</v>
      </c>
      <c r="G11752" t="s">
        <v>4240</v>
      </c>
      <c r="H11752" t="s">
        <v>8886</v>
      </c>
      <c r="I11752" t="s">
        <v>6200</v>
      </c>
      <c r="J11752" t="s">
        <v>14747</v>
      </c>
      <c r="K11752" t="s">
        <v>19092</v>
      </c>
      <c r="M11752">
        <f>HYPERLINK("https://www.senat.fr/senateur-3eme-republique/dupuy_jean1084r3.html", "dupuy_jean1084r3")</f>
        <v>0</v>
      </c>
      <c r="N11752">
        <f>HYPERLINK("https://www.wikidata.org/wiki/Q3171883", "Q3171883")</f>
        <v>0</v>
      </c>
      <c r="O11752" t="s">
        <v>20027</v>
      </c>
      <c r="Q11752" t="s">
        <v>396</v>
      </c>
      <c r="R11752" t="s">
        <v>21663</v>
      </c>
      <c r="S11752">
        <v>3261</v>
      </c>
    </row>
    <row r="11753" spans="1:19">
      <c r="A11753" t="s">
        <v>135</v>
      </c>
      <c r="B11753" t="s">
        <v>150</v>
      </c>
      <c r="C11753" t="s">
        <v>267</v>
      </c>
      <c r="D11753" t="s">
        <v>396</v>
      </c>
      <c r="F11753">
        <f>HYPERLINK("https://www.wikidata.org/wiki/Q28496159", "Q28496159")</f>
        <v>0</v>
      </c>
      <c r="G11753" t="s">
        <v>4263</v>
      </c>
      <c r="H11753" t="s">
        <v>6235</v>
      </c>
      <c r="I11753" t="s">
        <v>9552</v>
      </c>
      <c r="J11753" t="s">
        <v>14764</v>
      </c>
      <c r="K11753" t="s">
        <v>19111</v>
      </c>
      <c r="M11753">
        <f>HYPERLINK("https://www.senat.fr/senateur-3eme-republique/mercier_auguste1293r3.html", "mercier_auguste1293r3")</f>
        <v>0</v>
      </c>
      <c r="N11753">
        <f>HYPERLINK("https://www.wikidata.org/wiki/Q766801", "Q766801")</f>
        <v>0</v>
      </c>
      <c r="O11753" t="s">
        <v>20023</v>
      </c>
      <c r="Q11753" t="s">
        <v>396</v>
      </c>
      <c r="R11753" t="s">
        <v>21665</v>
      </c>
      <c r="S11753">
        <v>2169</v>
      </c>
    </row>
    <row r="11754" spans="1:19">
      <c r="A11754" t="s">
        <v>135</v>
      </c>
      <c r="B11754" t="s">
        <v>150</v>
      </c>
      <c r="C11754" t="s">
        <v>267</v>
      </c>
      <c r="D11754" t="s">
        <v>396</v>
      </c>
      <c r="F11754">
        <f>HYPERLINK("https://www.wikidata.org/wiki/Q28496159", "Q28496159")</f>
        <v>0</v>
      </c>
      <c r="G11754" t="s">
        <v>4848</v>
      </c>
      <c r="H11754" t="s">
        <v>8988</v>
      </c>
      <c r="I11754" t="s">
        <v>9483</v>
      </c>
      <c r="J11754" t="s">
        <v>15299</v>
      </c>
      <c r="K11754" t="s">
        <v>19607</v>
      </c>
      <c r="M11754">
        <f>HYPERLINK("https://www.senat.fr/senateur-3eme-republique/petitjean_victor1267r3.html", "petitjean_victor1267r3")</f>
        <v>0</v>
      </c>
      <c r="N11754">
        <f>HYPERLINK("https://www.wikidata.org/wiki/Q3557497", "Q3557497")</f>
        <v>0</v>
      </c>
      <c r="O11754" t="s">
        <v>20032</v>
      </c>
      <c r="Q11754" t="s">
        <v>396</v>
      </c>
      <c r="R11754" t="s">
        <v>21665</v>
      </c>
      <c r="S11754">
        <v>2169</v>
      </c>
    </row>
    <row r="11755" spans="1:19">
      <c r="A11755" t="s">
        <v>135</v>
      </c>
      <c r="B11755" t="s">
        <v>150</v>
      </c>
      <c r="C11755" t="s">
        <v>267</v>
      </c>
      <c r="D11755" t="s">
        <v>396</v>
      </c>
      <c r="F11755">
        <f>HYPERLINK("https://www.wikidata.org/wiki/Q28496159", "Q28496159")</f>
        <v>0</v>
      </c>
      <c r="G11755" t="s">
        <v>4488</v>
      </c>
      <c r="H11755" t="s">
        <v>8634</v>
      </c>
      <c r="I11755" t="s">
        <v>9385</v>
      </c>
      <c r="J11755" t="s">
        <v>14972</v>
      </c>
      <c r="K11755" t="s">
        <v>19301</v>
      </c>
      <c r="M11755">
        <f>HYPERLINK("https://www.senat.fr/senateur-3eme-republique/poriquet_charles0901r3.html", "poriquet_charles0901r3")</f>
        <v>0</v>
      </c>
      <c r="N11755">
        <f>HYPERLINK("https://www.wikidata.org/wiki/Q2958272", "Q2958272")</f>
        <v>0</v>
      </c>
      <c r="O11755" t="s">
        <v>19957</v>
      </c>
      <c r="Q11755" t="s">
        <v>396</v>
      </c>
      <c r="R11755" t="s">
        <v>21663</v>
      </c>
      <c r="S11755">
        <v>3261</v>
      </c>
    </row>
    <row r="11756" spans="1:19">
      <c r="A11756" t="s">
        <v>135</v>
      </c>
      <c r="B11756" t="s">
        <v>150</v>
      </c>
      <c r="C11756" t="s">
        <v>267</v>
      </c>
      <c r="D11756" t="s">
        <v>396</v>
      </c>
      <c r="F11756">
        <f>HYPERLINK("https://www.wikidata.org/wiki/Q28496159", "Q28496159")</f>
        <v>0</v>
      </c>
      <c r="G11756" t="s">
        <v>4766</v>
      </c>
      <c r="H11756" t="s">
        <v>8909</v>
      </c>
      <c r="I11756" t="s">
        <v>5528</v>
      </c>
      <c r="J11756" t="s">
        <v>15229</v>
      </c>
      <c r="K11756" t="s">
        <v>19543</v>
      </c>
      <c r="M11756">
        <f>HYPERLINK("https://www.senat.fr/senateur-3eme-republique/labbe_leon0918r3.html", "labbe_leon0918r3")</f>
        <v>0</v>
      </c>
      <c r="N11756">
        <f>HYPERLINK("https://www.wikidata.org/wiki/Q3271106", "Q3271106")</f>
        <v>0</v>
      </c>
      <c r="O11756" t="s">
        <v>19957</v>
      </c>
      <c r="Q11756" t="s">
        <v>396</v>
      </c>
      <c r="R11756" t="s">
        <v>21663</v>
      </c>
      <c r="S11756">
        <v>3261</v>
      </c>
    </row>
    <row r="11757" spans="1:19">
      <c r="A11757" t="s">
        <v>135</v>
      </c>
      <c r="B11757" t="s">
        <v>150</v>
      </c>
      <c r="C11757" t="s">
        <v>267</v>
      </c>
      <c r="D11757" t="s">
        <v>396</v>
      </c>
      <c r="F11757">
        <f>HYPERLINK("https://www.wikidata.org/wiki/Q28496159", "Q28496159")</f>
        <v>0</v>
      </c>
      <c r="G11757" t="s">
        <v>4801</v>
      </c>
      <c r="H11757" t="s">
        <v>8941</v>
      </c>
      <c r="I11757" t="s">
        <v>9388</v>
      </c>
      <c r="J11757" t="s">
        <v>15262</v>
      </c>
      <c r="K11757" t="s">
        <v>19569</v>
      </c>
      <c r="M11757">
        <f>HYPERLINK("https://www.senat.fr/senateur-3eme-republique/fleury_paul0896r3.html", "fleury_paul0896r3")</f>
        <v>0</v>
      </c>
      <c r="N11757">
        <f>HYPERLINK("https://www.wikidata.org/wiki/Q3371217", "Q3371217")</f>
        <v>0</v>
      </c>
      <c r="O11757" t="s">
        <v>19957</v>
      </c>
      <c r="Q11757" t="s">
        <v>396</v>
      </c>
      <c r="R11757" t="s">
        <v>21663</v>
      </c>
      <c r="S11757">
        <v>3261</v>
      </c>
    </row>
    <row r="11758" spans="1:19">
      <c r="A11758" t="s">
        <v>135</v>
      </c>
      <c r="B11758" t="s">
        <v>150</v>
      </c>
      <c r="C11758" t="s">
        <v>267</v>
      </c>
      <c r="D11758" t="s">
        <v>396</v>
      </c>
      <c r="F11758">
        <f>HYPERLINK("https://www.wikidata.org/wiki/Q28496159", "Q28496159")</f>
        <v>0</v>
      </c>
      <c r="G11758" t="s">
        <v>4744</v>
      </c>
      <c r="H11758" t="s">
        <v>8887</v>
      </c>
      <c r="I11758" t="s">
        <v>9376</v>
      </c>
      <c r="J11758" t="s">
        <v>15207</v>
      </c>
      <c r="K11758" t="s">
        <v>19524</v>
      </c>
      <c r="M11758">
        <f>HYPERLINK("https://www.senat.fr/senateur-3eme-republique/bouilliez_ferdinand0940r3.html", "bouilliez_ferdinand0940r3")</f>
        <v>0</v>
      </c>
      <c r="N11758">
        <f>HYPERLINK("https://www.wikidata.org/wiki/Q15973871", "Q15973871")</f>
        <v>0</v>
      </c>
      <c r="O11758" t="s">
        <v>19968</v>
      </c>
      <c r="Q11758" t="s">
        <v>396</v>
      </c>
      <c r="R11758" t="s">
        <v>21650</v>
      </c>
      <c r="S11758">
        <v>16702</v>
      </c>
    </row>
    <row r="11759" spans="1:19">
      <c r="A11759" t="s">
        <v>135</v>
      </c>
      <c r="B11759" t="s">
        <v>150</v>
      </c>
      <c r="C11759" t="s">
        <v>267</v>
      </c>
      <c r="D11759" t="s">
        <v>396</v>
      </c>
      <c r="F11759">
        <f>HYPERLINK("https://www.wikidata.org/wiki/Q28496159", "Q28496159")</f>
        <v>0</v>
      </c>
      <c r="G11759" t="s">
        <v>4768</v>
      </c>
      <c r="H11759" t="s">
        <v>8911</v>
      </c>
      <c r="I11759" t="s">
        <v>6166</v>
      </c>
      <c r="J11759" t="s">
        <v>15231</v>
      </c>
      <c r="K11759" t="s">
        <v>19545</v>
      </c>
      <c r="M11759">
        <f>HYPERLINK("https://www.senat.fr/senateur-3eme-republique/ringot_francois0974r3.html", "ringot_francois0974r3")</f>
        <v>0</v>
      </c>
      <c r="N11759">
        <f>HYPERLINK("https://www.wikidata.org/wiki/Q3085698", "Q3085698")</f>
        <v>0</v>
      </c>
      <c r="O11759" t="s">
        <v>19968</v>
      </c>
      <c r="Q11759" t="s">
        <v>396</v>
      </c>
      <c r="R11759" t="s">
        <v>21663</v>
      </c>
      <c r="S11759">
        <v>3261</v>
      </c>
    </row>
    <row r="11760" spans="1:19">
      <c r="A11760" t="s">
        <v>135</v>
      </c>
      <c r="B11760" t="s">
        <v>150</v>
      </c>
      <c r="C11760" t="s">
        <v>267</v>
      </c>
      <c r="D11760" t="s">
        <v>396</v>
      </c>
      <c r="F11760">
        <f>HYPERLINK("https://www.wikidata.org/wiki/Q28496159", "Q28496159")</f>
        <v>0</v>
      </c>
      <c r="G11760" t="s">
        <v>4491</v>
      </c>
      <c r="H11760" t="s">
        <v>8637</v>
      </c>
      <c r="I11760" t="s">
        <v>9552</v>
      </c>
      <c r="J11760" t="s">
        <v>14975</v>
      </c>
      <c r="K11760" t="s">
        <v>19304</v>
      </c>
      <c r="M11760">
        <f>HYPERLINK("https://www.senat.fr/senateur-3eme-republique/huguet_auguste0972r3.html", "huguet_auguste0972r3")</f>
        <v>0</v>
      </c>
      <c r="N11760">
        <f>HYPERLINK("https://www.wikidata.org/wiki/Q2871223", "Q2871223")</f>
        <v>0</v>
      </c>
      <c r="O11760" t="s">
        <v>19968</v>
      </c>
      <c r="Q11760" t="s">
        <v>396</v>
      </c>
      <c r="R11760" t="s">
        <v>21663</v>
      </c>
      <c r="S11760">
        <v>3261</v>
      </c>
    </row>
    <row r="11761" spans="1:19">
      <c r="A11761" t="s">
        <v>135</v>
      </c>
      <c r="B11761" t="s">
        <v>150</v>
      </c>
      <c r="C11761" t="s">
        <v>267</v>
      </c>
      <c r="D11761" t="s">
        <v>396</v>
      </c>
      <c r="F11761">
        <f>HYPERLINK("https://www.wikidata.org/wiki/Q28496159", "Q28496159")</f>
        <v>0</v>
      </c>
      <c r="G11761" t="s">
        <v>4828</v>
      </c>
      <c r="H11761" t="s">
        <v>8968</v>
      </c>
      <c r="I11761" t="s">
        <v>9449</v>
      </c>
      <c r="J11761" t="s">
        <v>13323</v>
      </c>
      <c r="K11761" t="s">
        <v>19591</v>
      </c>
      <c r="M11761">
        <f>HYPERLINK("https://www.senat.fr/senateur-3eme-republique/viseur_jules0959r3.html", "viseur_jules0959r3")</f>
        <v>0</v>
      </c>
      <c r="N11761">
        <f>HYPERLINK("https://www.wikidata.org/wiki/Q3188961", "Q3188961")</f>
        <v>0</v>
      </c>
      <c r="O11761" t="s">
        <v>19968</v>
      </c>
      <c r="Q11761" t="s">
        <v>396</v>
      </c>
      <c r="R11761" t="s">
        <v>21663</v>
      </c>
      <c r="S11761">
        <v>3261</v>
      </c>
    </row>
    <row r="11762" spans="1:19">
      <c r="A11762" t="s">
        <v>135</v>
      </c>
      <c r="B11762" t="s">
        <v>150</v>
      </c>
      <c r="C11762" t="s">
        <v>267</v>
      </c>
      <c r="D11762" t="s">
        <v>396</v>
      </c>
      <c r="F11762">
        <f>HYPERLINK("https://www.wikidata.org/wiki/Q28496159", "Q28496159")</f>
        <v>0</v>
      </c>
      <c r="G11762" t="s">
        <v>4849</v>
      </c>
      <c r="H11762" t="s">
        <v>8989</v>
      </c>
      <c r="I11762" t="s">
        <v>9483</v>
      </c>
      <c r="J11762" t="s">
        <v>15300</v>
      </c>
      <c r="K11762" t="s">
        <v>19608</v>
      </c>
      <c r="M11762">
        <f>HYPERLINK("https://www.senat.fr/senateur-3eme-republique/bataille_victor0993r3.html", "bataille_victor0993r3")</f>
        <v>0</v>
      </c>
      <c r="N11762">
        <f>HYPERLINK("https://www.wikidata.org/wiki/Q3557148", "Q3557148")</f>
        <v>0</v>
      </c>
      <c r="O11762" t="s">
        <v>20005</v>
      </c>
      <c r="Q11762" t="s">
        <v>396</v>
      </c>
      <c r="R11762" t="s">
        <v>19608</v>
      </c>
      <c r="S11762">
        <v>3077</v>
      </c>
    </row>
    <row r="11763" spans="1:19">
      <c r="A11763" t="s">
        <v>135</v>
      </c>
      <c r="B11763" t="s">
        <v>150</v>
      </c>
      <c r="C11763" t="s">
        <v>267</v>
      </c>
      <c r="D11763" t="s">
        <v>396</v>
      </c>
      <c r="F11763">
        <f>HYPERLINK("https://www.wikidata.org/wiki/Q28496159", "Q28496159")</f>
        <v>0</v>
      </c>
      <c r="G11763" t="s">
        <v>4821</v>
      </c>
      <c r="H11763" t="s">
        <v>8962</v>
      </c>
      <c r="I11763" t="s">
        <v>9748</v>
      </c>
      <c r="J11763" t="s">
        <v>14672</v>
      </c>
      <c r="K11763" t="s">
        <v>19584</v>
      </c>
      <c r="M11763">
        <f>HYPERLINK("https://www.senat.fr/senateur-3eme-republique/delcros_elie1088r3.html", "delcros_elie1088r3")</f>
        <v>0</v>
      </c>
      <c r="N11763">
        <f>HYPERLINK("https://www.wikidata.org/wiki/Q3587731", "Q3587731")</f>
        <v>0</v>
      </c>
      <c r="O11763" t="s">
        <v>20001</v>
      </c>
      <c r="Q11763" t="s">
        <v>396</v>
      </c>
      <c r="R11763" t="s">
        <v>21650</v>
      </c>
      <c r="S11763">
        <v>16702</v>
      </c>
    </row>
    <row r="11764" spans="1:19">
      <c r="A11764" t="s">
        <v>135</v>
      </c>
      <c r="B11764" t="s">
        <v>150</v>
      </c>
      <c r="C11764" t="s">
        <v>267</v>
      </c>
      <c r="D11764" t="s">
        <v>396</v>
      </c>
      <c r="F11764">
        <f>HYPERLINK("https://www.wikidata.org/wiki/Q28496159", "Q28496159")</f>
        <v>0</v>
      </c>
      <c r="G11764" t="s">
        <v>4850</v>
      </c>
      <c r="H11764" t="s">
        <v>8990</v>
      </c>
      <c r="I11764" t="s">
        <v>5528</v>
      </c>
      <c r="J11764" t="s">
        <v>11526</v>
      </c>
      <c r="K11764" t="s">
        <v>19609</v>
      </c>
      <c r="M11764">
        <f>HYPERLINK("https://www.senat.fr/senateur-3eme-republique/repiquet_leon1148r3.html", "repiquet_leon1148r3")</f>
        <v>0</v>
      </c>
      <c r="N11764">
        <f>HYPERLINK("https://www.wikidata.org/wiki/Q3271293", "Q3271293")</f>
        <v>0</v>
      </c>
      <c r="O11764" t="s">
        <v>19965</v>
      </c>
      <c r="Q11764" t="s">
        <v>396</v>
      </c>
      <c r="R11764" t="s">
        <v>21663</v>
      </c>
      <c r="S11764">
        <v>3261</v>
      </c>
    </row>
    <row r="11765" spans="1:19">
      <c r="A11765" t="s">
        <v>135</v>
      </c>
      <c r="B11765" t="s">
        <v>150</v>
      </c>
      <c r="C11765" t="s">
        <v>267</v>
      </c>
      <c r="D11765" t="s">
        <v>396</v>
      </c>
      <c r="F11765">
        <f>HYPERLINK("https://www.wikidata.org/wiki/Q28496159", "Q28496159")</f>
        <v>0</v>
      </c>
      <c r="G11765" t="s">
        <v>4818</v>
      </c>
      <c r="H11765" t="s">
        <v>8959</v>
      </c>
      <c r="I11765" t="s">
        <v>6584</v>
      </c>
      <c r="J11765" t="s">
        <v>13680</v>
      </c>
      <c r="K11765" t="s">
        <v>19581</v>
      </c>
      <c r="M11765">
        <f>HYPERLINK("https://www.senat.fr/senateur-3eme-republique/bouffier_albert1134r3.html", "bouffier_albert1134r3")</f>
        <v>0</v>
      </c>
      <c r="N11765">
        <f>HYPERLINK("https://www.wikidata.org/wiki/Q2830979", "Q2830979")</f>
        <v>0</v>
      </c>
      <c r="O11765" t="s">
        <v>19965</v>
      </c>
      <c r="Q11765" t="s">
        <v>396</v>
      </c>
      <c r="R11765" t="s">
        <v>21650</v>
      </c>
      <c r="S11765">
        <v>16702</v>
      </c>
    </row>
    <row r="11766" spans="1:19">
      <c r="A11766" t="s">
        <v>135</v>
      </c>
      <c r="B11766" t="s">
        <v>150</v>
      </c>
      <c r="C11766" t="s">
        <v>267</v>
      </c>
      <c r="D11766" t="s">
        <v>396</v>
      </c>
      <c r="F11766">
        <f>HYPERLINK("https://www.wikidata.org/wiki/Q28496159", "Q28496159")</f>
        <v>0</v>
      </c>
      <c r="G11766" t="s">
        <v>4851</v>
      </c>
      <c r="H11766" t="s">
        <v>8991</v>
      </c>
      <c r="I11766" t="s">
        <v>10017</v>
      </c>
      <c r="J11766" t="s">
        <v>15301</v>
      </c>
      <c r="K11766" t="s">
        <v>19610</v>
      </c>
      <c r="M11766">
        <f>HYPERLINK("https://www.senat.fr/senateur-3eme-republique/gourju_antonin1136r3.html", "gourju_antonin1136r3")</f>
        <v>0</v>
      </c>
      <c r="N11766">
        <f>HYPERLINK("https://www.wikidata.org/wiki/Q2857119", "Q2857119")</f>
        <v>0</v>
      </c>
      <c r="O11766" t="s">
        <v>19965</v>
      </c>
      <c r="Q11766" t="s">
        <v>396</v>
      </c>
      <c r="R11766" t="s">
        <v>21683</v>
      </c>
      <c r="S11766">
        <v>7286</v>
      </c>
    </row>
    <row r="11767" spans="1:19">
      <c r="A11767" t="s">
        <v>135</v>
      </c>
      <c r="B11767" t="s">
        <v>150</v>
      </c>
      <c r="C11767" t="s">
        <v>267</v>
      </c>
      <c r="D11767" t="s">
        <v>396</v>
      </c>
      <c r="F11767">
        <f>HYPERLINK("https://www.wikidata.org/wiki/Q28496159", "Q28496159")</f>
        <v>0</v>
      </c>
      <c r="G11767" t="s">
        <v>4257</v>
      </c>
      <c r="H11767" t="s">
        <v>8426</v>
      </c>
      <c r="I11767" t="s">
        <v>9385</v>
      </c>
      <c r="J11767" t="s">
        <v>14761</v>
      </c>
      <c r="K11767" t="s">
        <v>19106</v>
      </c>
      <c r="M11767">
        <f>HYPERLINK("https://www.senat.fr/senateur-3eme-republique/demole_charles1218r3.html", "demole_charles1218r3")</f>
        <v>0</v>
      </c>
      <c r="N11767">
        <f>HYPERLINK("https://www.wikidata.org/wiki/Q2958875", "Q2958875")</f>
        <v>0</v>
      </c>
      <c r="O11767" t="s">
        <v>19994</v>
      </c>
      <c r="Q11767" t="s">
        <v>396</v>
      </c>
      <c r="R11767" t="s">
        <v>21650</v>
      </c>
      <c r="S11767">
        <v>16702</v>
      </c>
    </row>
    <row r="11768" spans="1:19">
      <c r="A11768" t="s">
        <v>135</v>
      </c>
      <c r="B11768" t="s">
        <v>150</v>
      </c>
      <c r="C11768" t="s">
        <v>267</v>
      </c>
      <c r="D11768" t="s">
        <v>396</v>
      </c>
      <c r="F11768">
        <f>HYPERLINK("https://www.wikidata.org/wiki/Q28496159", "Q28496159")</f>
        <v>0</v>
      </c>
      <c r="G11768" t="s">
        <v>4739</v>
      </c>
      <c r="H11768" t="s">
        <v>8881</v>
      </c>
      <c r="I11768" t="s">
        <v>9385</v>
      </c>
      <c r="J11768" t="s">
        <v>15202</v>
      </c>
      <c r="K11768" t="s">
        <v>19520</v>
      </c>
      <c r="M11768">
        <f>HYPERLINK("https://www.senat.fr/senateur-3eme-republique/forest_charles1300r3.html", "forest_charles1300r3")</f>
        <v>0</v>
      </c>
      <c r="N11768">
        <f>HYPERLINK("https://www.wikidata.org/wiki/Q2959076", "Q2959076")</f>
        <v>0</v>
      </c>
      <c r="O11768" t="s">
        <v>19988</v>
      </c>
      <c r="Q11768" t="s">
        <v>396</v>
      </c>
      <c r="R11768" t="s">
        <v>21650</v>
      </c>
      <c r="S11768">
        <v>16702</v>
      </c>
    </row>
    <row r="11769" spans="1:19">
      <c r="A11769" t="s">
        <v>135</v>
      </c>
      <c r="B11769" t="s">
        <v>150</v>
      </c>
      <c r="C11769" t="s">
        <v>267</v>
      </c>
      <c r="D11769" t="s">
        <v>396</v>
      </c>
      <c r="F11769">
        <f>HYPERLINK("https://www.wikidata.org/wiki/Q28496159", "Q28496159")</f>
        <v>0</v>
      </c>
      <c r="G11769" t="s">
        <v>4745</v>
      </c>
      <c r="H11769" t="s">
        <v>8888</v>
      </c>
      <c r="I11769" t="s">
        <v>6166</v>
      </c>
      <c r="J11769" t="s">
        <v>15208</v>
      </c>
      <c r="K11769" t="s">
        <v>19525</v>
      </c>
      <c r="M11769">
        <f>HYPERLINK("https://www.senat.fr/senateur-3eme-republique/gravin_francois1296r3.html", "gravin_francois1296r3")</f>
        <v>0</v>
      </c>
      <c r="N11769">
        <f>HYPERLINK("https://www.wikidata.org/wiki/Q3084765", "Q3084765")</f>
        <v>0</v>
      </c>
      <c r="O11769" t="s">
        <v>19988</v>
      </c>
      <c r="Q11769" t="s">
        <v>396</v>
      </c>
      <c r="R11769" t="s">
        <v>21663</v>
      </c>
      <c r="S11769">
        <v>3261</v>
      </c>
    </row>
    <row r="11770" spans="1:19">
      <c r="A11770" t="s">
        <v>135</v>
      </c>
      <c r="B11770" t="s">
        <v>150</v>
      </c>
      <c r="C11770" t="s">
        <v>267</v>
      </c>
      <c r="D11770" t="s">
        <v>396</v>
      </c>
      <c r="F11770">
        <f>HYPERLINK("https://www.wikidata.org/wiki/Q28496159", "Q28496159")</f>
        <v>0</v>
      </c>
      <c r="G11770" t="s">
        <v>4852</v>
      </c>
      <c r="H11770" t="s">
        <v>8992</v>
      </c>
      <c r="I11770" t="s">
        <v>5528</v>
      </c>
      <c r="J11770" t="s">
        <v>15302</v>
      </c>
      <c r="K11770" t="s">
        <v>19611</v>
      </c>
      <c r="M11770">
        <f>HYPERLINK("https://www.senat.fr/senateur-3eme-republique/piettre_leon1347r3.html", "piettre_leon1347r3")</f>
        <v>0</v>
      </c>
      <c r="N11770">
        <f>HYPERLINK("https://www.wikidata.org/wiki/Q13084812", "Q13084812")</f>
        <v>0</v>
      </c>
      <c r="O11770" t="s">
        <v>19969</v>
      </c>
      <c r="Q11770" t="s">
        <v>396</v>
      </c>
      <c r="R11770" t="s">
        <v>21663</v>
      </c>
      <c r="S11770">
        <v>3261</v>
      </c>
    </row>
    <row r="11771" spans="1:19">
      <c r="A11771" t="s">
        <v>135</v>
      </c>
      <c r="B11771" t="s">
        <v>150</v>
      </c>
      <c r="C11771" t="s">
        <v>267</v>
      </c>
      <c r="D11771" t="s">
        <v>396</v>
      </c>
      <c r="F11771">
        <f>HYPERLINK("https://www.wikidata.org/wiki/Q28496159", "Q28496159")</f>
        <v>0</v>
      </c>
      <c r="G11771" t="s">
        <v>4840</v>
      </c>
      <c r="H11771" t="s">
        <v>8980</v>
      </c>
      <c r="I11771" t="s">
        <v>9458</v>
      </c>
      <c r="J11771" t="s">
        <v>15292</v>
      </c>
      <c r="K11771" t="s">
        <v>19599</v>
      </c>
      <c r="M11771">
        <f>HYPERLINK("https://www.senat.fr/senateur-3eme-republique/thuillier_alfred1559r3.html", "thuillier_alfred1559r3")</f>
        <v>0</v>
      </c>
      <c r="N11771">
        <f>HYPERLINK("https://www.wikidata.org/wiki/Q13080802", "Q13080802")</f>
        <v>0</v>
      </c>
      <c r="O11771" t="s">
        <v>19969</v>
      </c>
      <c r="Q11771" t="s">
        <v>396</v>
      </c>
      <c r="R11771" t="s">
        <v>21650</v>
      </c>
      <c r="S11771">
        <v>16702</v>
      </c>
    </row>
    <row r="11772" spans="1:19">
      <c r="A11772" t="s">
        <v>135</v>
      </c>
      <c r="B11772" t="s">
        <v>150</v>
      </c>
      <c r="C11772" t="s">
        <v>267</v>
      </c>
      <c r="D11772" t="s">
        <v>396</v>
      </c>
      <c r="F11772">
        <f>HYPERLINK("https://www.wikidata.org/wiki/Q28496159", "Q28496159")</f>
        <v>0</v>
      </c>
      <c r="G11772" t="s">
        <v>4746</v>
      </c>
      <c r="H11772" t="s">
        <v>8889</v>
      </c>
      <c r="I11772" t="s">
        <v>9553</v>
      </c>
      <c r="J11772" t="s">
        <v>15209</v>
      </c>
      <c r="K11772" t="s">
        <v>19526</v>
      </c>
      <c r="M11772">
        <f>HYPERLINK("https://www.senat.fr/senateur-3eme-republique/lefevre_alexandre1371r3.html", "lefevre_alexandre1371r3")</f>
        <v>0</v>
      </c>
      <c r="N11772">
        <f>HYPERLINK("https://www.wikidata.org/wiki/Q16216425", "Q16216425")</f>
        <v>0</v>
      </c>
      <c r="O11772" t="s">
        <v>19969</v>
      </c>
      <c r="Q11772" t="s">
        <v>396</v>
      </c>
      <c r="R11772" t="s">
        <v>21663</v>
      </c>
      <c r="S11772">
        <v>3261</v>
      </c>
    </row>
    <row r="11773" spans="1:19">
      <c r="A11773" t="s">
        <v>135</v>
      </c>
      <c r="B11773" t="s">
        <v>150</v>
      </c>
      <c r="C11773" t="s">
        <v>267</v>
      </c>
      <c r="D11773" t="s">
        <v>396</v>
      </c>
      <c r="F11773">
        <f>HYPERLINK("https://www.wikidata.org/wiki/Q28496159", "Q28496159")</f>
        <v>0</v>
      </c>
      <c r="G11773" t="s">
        <v>4839</v>
      </c>
      <c r="H11773" t="s">
        <v>8979</v>
      </c>
      <c r="I11773" t="s">
        <v>11228</v>
      </c>
      <c r="J11773" t="s">
        <v>15291</v>
      </c>
      <c r="K11773" t="s">
        <v>19598</v>
      </c>
      <c r="M11773">
        <f>HYPERLINK("https://www.senat.fr/senateur-3eme-republique/bassinet_athanase1557r3.html", "bassinet_athanase1557r3")</f>
        <v>0</v>
      </c>
      <c r="N11773">
        <f>HYPERLINK("https://www.wikidata.org/wiki/Q13080814", "Q13080814")</f>
        <v>0</v>
      </c>
      <c r="O11773" t="s">
        <v>19969</v>
      </c>
      <c r="Q11773" t="s">
        <v>396</v>
      </c>
      <c r="R11773" t="s">
        <v>21689</v>
      </c>
      <c r="S11773">
        <v>3288</v>
      </c>
    </row>
    <row r="11774" spans="1:19">
      <c r="A11774" t="s">
        <v>135</v>
      </c>
      <c r="B11774" t="s">
        <v>150</v>
      </c>
      <c r="C11774" t="s">
        <v>267</v>
      </c>
      <c r="D11774" t="s">
        <v>396</v>
      </c>
      <c r="F11774">
        <f>HYPERLINK("https://www.wikidata.org/wiki/Q28496159", "Q28496159")</f>
        <v>0</v>
      </c>
      <c r="G11774" t="s">
        <v>4853</v>
      </c>
      <c r="H11774" t="s">
        <v>8993</v>
      </c>
      <c r="I11774" t="s">
        <v>9385</v>
      </c>
      <c r="J11774" t="s">
        <v>15303</v>
      </c>
      <c r="K11774" t="s">
        <v>19612</v>
      </c>
      <c r="M11774">
        <f>HYPERLINK("https://www.senat.fr/senateur-3eme-republique/expert_bezancon_charles1414r3.html", "expert_bezancon_charles1414r3")</f>
        <v>0</v>
      </c>
      <c r="N11774">
        <f>HYPERLINK("https://www.wikidata.org/wiki/Q13077259", "Q13077259")</f>
        <v>0</v>
      </c>
      <c r="O11774" t="s">
        <v>19969</v>
      </c>
      <c r="Q11774" t="s">
        <v>396</v>
      </c>
      <c r="R11774" t="s">
        <v>21663</v>
      </c>
      <c r="S11774">
        <v>3261</v>
      </c>
    </row>
    <row r="11775" spans="1:19">
      <c r="A11775" t="s">
        <v>135</v>
      </c>
      <c r="B11775" t="s">
        <v>150</v>
      </c>
      <c r="C11775" t="s">
        <v>267</v>
      </c>
      <c r="D11775" t="s">
        <v>396</v>
      </c>
      <c r="F11775">
        <f>HYPERLINK("https://www.wikidata.org/wiki/Q28496159", "Q28496159")</f>
        <v>0</v>
      </c>
      <c r="G11775" t="s">
        <v>4732</v>
      </c>
      <c r="H11775" t="s">
        <v>8874</v>
      </c>
      <c r="I11775" t="s">
        <v>6166</v>
      </c>
      <c r="J11775" t="s">
        <v>13779</v>
      </c>
      <c r="K11775" t="s">
        <v>19487</v>
      </c>
      <c r="M11775">
        <f>HYPERLINK("https://www.senat.fr/senateur-3eme-republique/poirrier_francois1358r3.html", "poirrier_francois1358r3")</f>
        <v>0</v>
      </c>
      <c r="N11775">
        <f>HYPERLINK("https://www.wikidata.org/wiki/Q13080874", "Q13080874")</f>
        <v>0</v>
      </c>
      <c r="O11775" t="s">
        <v>19969</v>
      </c>
      <c r="Q11775" t="s">
        <v>396</v>
      </c>
      <c r="R11775" t="s">
        <v>21663</v>
      </c>
      <c r="S11775">
        <v>3261</v>
      </c>
    </row>
    <row r="11776" spans="1:19">
      <c r="A11776" t="s">
        <v>135</v>
      </c>
      <c r="B11776" t="s">
        <v>150</v>
      </c>
      <c r="C11776" t="s">
        <v>267</v>
      </c>
      <c r="D11776" t="s">
        <v>396</v>
      </c>
      <c r="F11776">
        <f>HYPERLINK("https://www.wikidata.org/wiki/Q28496159", "Q28496159")</f>
        <v>0</v>
      </c>
      <c r="G11776" t="s">
        <v>4245</v>
      </c>
      <c r="H11776" t="s">
        <v>8418</v>
      </c>
      <c r="I11776" t="s">
        <v>9385</v>
      </c>
      <c r="J11776" t="s">
        <v>14751</v>
      </c>
      <c r="K11776" t="s">
        <v>19097</v>
      </c>
      <c r="M11776">
        <f>HYPERLINK("https://www.senat.fr/senateur-3eme-republique/de_saulces_de_freycinet_louis1713r3.html", "de_saulces_de_freycinet_louis1713r3")</f>
        <v>0</v>
      </c>
      <c r="N11776">
        <f>HYPERLINK("https://www.wikidata.org/wiki/Q317957", "Q317957")</f>
        <v>0</v>
      </c>
      <c r="O11776" t="s">
        <v>19969</v>
      </c>
      <c r="Q11776" t="s">
        <v>396</v>
      </c>
      <c r="R11776" t="s">
        <v>21663</v>
      </c>
      <c r="S11776">
        <v>3261</v>
      </c>
    </row>
    <row r="11777" spans="1:19">
      <c r="A11777" t="s">
        <v>135</v>
      </c>
      <c r="B11777" t="s">
        <v>150</v>
      </c>
      <c r="C11777" t="s">
        <v>267</v>
      </c>
      <c r="D11777" t="s">
        <v>396</v>
      </c>
      <c r="F11777">
        <f>HYPERLINK("https://www.wikidata.org/wiki/Q28496159", "Q28496159")</f>
        <v>0</v>
      </c>
      <c r="G11777" t="s">
        <v>4334</v>
      </c>
      <c r="H11777" t="s">
        <v>8485</v>
      </c>
      <c r="I11777" t="s">
        <v>9388</v>
      </c>
      <c r="J11777" t="s">
        <v>14829</v>
      </c>
      <c r="K11777" t="s">
        <v>19170</v>
      </c>
      <c r="M11777">
        <f>HYPERLINK("https://www.senat.fr/senateur-3eme-republique/strauss_paul1334r3.html", "strauss_paul1334r3")</f>
        <v>0</v>
      </c>
      <c r="N11777">
        <f>HYPERLINK("https://www.wikidata.org/wiki/Q3372237", "Q3372237")</f>
        <v>0</v>
      </c>
      <c r="O11777" t="s">
        <v>19969</v>
      </c>
      <c r="Q11777" t="s">
        <v>396</v>
      </c>
      <c r="R11777" t="s">
        <v>21663</v>
      </c>
      <c r="S11777">
        <v>3261</v>
      </c>
    </row>
    <row r="11778" spans="1:19">
      <c r="A11778" t="s">
        <v>135</v>
      </c>
      <c r="B11778" t="s">
        <v>150</v>
      </c>
      <c r="C11778" t="s">
        <v>267</v>
      </c>
      <c r="D11778" t="s">
        <v>396</v>
      </c>
      <c r="F11778">
        <f>HYPERLINK("https://www.wikidata.org/wiki/Q28496159", "Q28496159")</f>
        <v>0</v>
      </c>
      <c r="G11778" t="s">
        <v>4854</v>
      </c>
      <c r="H11778" t="s">
        <v>8994</v>
      </c>
      <c r="I11778" t="s">
        <v>9465</v>
      </c>
      <c r="J11778" t="s">
        <v>13344</v>
      </c>
      <c r="K11778" t="s">
        <v>19613</v>
      </c>
      <c r="M11778">
        <f>HYPERLINK("https://www.senat.fr/senateur-3eme-republique/thomas_eugene1583r3.html", "thomas_eugene1583r3")</f>
        <v>0</v>
      </c>
      <c r="N11778">
        <f>HYPERLINK("https://www.wikidata.org/wiki/Q3060192", "Q3060192")</f>
        <v>0</v>
      </c>
      <c r="O11778" t="s">
        <v>20026</v>
      </c>
      <c r="Q11778" t="s">
        <v>396</v>
      </c>
      <c r="R11778" t="s">
        <v>19613</v>
      </c>
      <c r="S11778">
        <v>1295</v>
      </c>
    </row>
    <row r="11779" spans="1:19">
      <c r="A11779" t="s">
        <v>135</v>
      </c>
      <c r="B11779" t="s">
        <v>150</v>
      </c>
      <c r="C11779" t="s">
        <v>267</v>
      </c>
      <c r="D11779" t="s">
        <v>396</v>
      </c>
      <c r="F11779">
        <f>HYPERLINK("https://www.wikidata.org/wiki/Q28496159", "Q28496159")</f>
        <v>0</v>
      </c>
      <c r="G11779" t="s">
        <v>4747</v>
      </c>
      <c r="H11779" t="s">
        <v>8890</v>
      </c>
      <c r="I11779" t="s">
        <v>9388</v>
      </c>
      <c r="J11779" t="s">
        <v>15210</v>
      </c>
      <c r="K11779" t="s">
        <v>19527</v>
      </c>
      <c r="M11779">
        <f>HYPERLINK("https://www.senat.fr/senateur-3eme-republique/maret_paul1644r3.html", "maret_paul1644r3")</f>
        <v>0</v>
      </c>
      <c r="N11779">
        <f>HYPERLINK("https://www.wikidata.org/wiki/Q3371773", "Q3371773")</f>
        <v>0</v>
      </c>
      <c r="O11779" t="s">
        <v>19976</v>
      </c>
      <c r="Q11779" t="s">
        <v>396</v>
      </c>
      <c r="R11779" t="s">
        <v>21650</v>
      </c>
      <c r="S11779">
        <v>16702</v>
      </c>
    </row>
    <row r="11780" spans="1:19">
      <c r="A11780" t="s">
        <v>135</v>
      </c>
      <c r="B11780" t="s">
        <v>150</v>
      </c>
      <c r="C11780" t="s">
        <v>267</v>
      </c>
      <c r="D11780" t="s">
        <v>396</v>
      </c>
      <c r="F11780">
        <f>HYPERLINK("https://www.wikidata.org/wiki/Q28496159", "Q28496159")</f>
        <v>0</v>
      </c>
      <c r="G11780" t="s">
        <v>4763</v>
      </c>
      <c r="H11780" t="s">
        <v>8905</v>
      </c>
      <c r="I11780" t="s">
        <v>11221</v>
      </c>
      <c r="J11780" t="s">
        <v>15225</v>
      </c>
      <c r="K11780" t="s">
        <v>19539</v>
      </c>
      <c r="M11780">
        <f>HYPERLINK("https://www.senat.fr/senateur-3eme-republique/courcel_alphonse_chodron_de1653r3.html", "courcel_alphonse_chodron_de1653r3")</f>
        <v>0</v>
      </c>
      <c r="N11780">
        <f>HYPERLINK("https://www.wikidata.org/wiki/Q2839741", "Q2839741")</f>
        <v>0</v>
      </c>
      <c r="O11780" t="s">
        <v>19976</v>
      </c>
      <c r="Q11780" t="s">
        <v>396</v>
      </c>
      <c r="R11780" t="s">
        <v>21663</v>
      </c>
      <c r="S11780">
        <v>3261</v>
      </c>
    </row>
    <row r="11781" spans="1:19">
      <c r="A11781" t="s">
        <v>135</v>
      </c>
      <c r="B11781" t="s">
        <v>150</v>
      </c>
      <c r="C11781" t="s">
        <v>267</v>
      </c>
      <c r="D11781" t="s">
        <v>396</v>
      </c>
      <c r="F11781">
        <f>HYPERLINK("https://www.wikidata.org/wiki/Q28496159", "Q28496159")</f>
        <v>0</v>
      </c>
      <c r="G11781" t="s">
        <v>4833</v>
      </c>
      <c r="H11781" t="s">
        <v>8973</v>
      </c>
      <c r="I11781" t="s">
        <v>9612</v>
      </c>
      <c r="J11781" t="s">
        <v>15286</v>
      </c>
      <c r="K11781" t="s">
        <v>19594</v>
      </c>
      <c r="M11781">
        <f>HYPERLINK("https://www.senat.fr/senateur-3eme-republique/bonnefille_frederic1664r3.html", "bonnefille_frederic1664r3")</f>
        <v>0</v>
      </c>
      <c r="N11781">
        <f>HYPERLINK("https://www.wikidata.org/wiki/Q3089637", "Q3089637")</f>
        <v>0</v>
      </c>
      <c r="O11781" t="s">
        <v>19976</v>
      </c>
      <c r="Q11781" t="s">
        <v>396</v>
      </c>
      <c r="R11781" t="s">
        <v>21650</v>
      </c>
      <c r="S11781">
        <v>16702</v>
      </c>
    </row>
    <row r="11782" spans="1:19">
      <c r="A11782" t="s">
        <v>135</v>
      </c>
      <c r="B11782" t="s">
        <v>150</v>
      </c>
      <c r="C11782" t="s">
        <v>267</v>
      </c>
      <c r="D11782" t="s">
        <v>396</v>
      </c>
      <c r="F11782">
        <f>HYPERLINK("https://www.wikidata.org/wiki/Q28496159", "Q28496159")</f>
        <v>0</v>
      </c>
      <c r="G11782" t="s">
        <v>4855</v>
      </c>
      <c r="H11782" t="s">
        <v>8995</v>
      </c>
      <c r="I11782" t="s">
        <v>6495</v>
      </c>
      <c r="J11782" t="s">
        <v>15304</v>
      </c>
      <c r="K11782" t="s">
        <v>19614</v>
      </c>
      <c r="M11782">
        <f>HYPERLINK("https://www.senat.fr/senateur-3eme-republique/legrand_louis1628r3.html", "legrand_louis1628r3")</f>
        <v>0</v>
      </c>
      <c r="N11782">
        <f>HYPERLINK("https://www.wikidata.org/wiki/Q3262509", "Q3262509")</f>
        <v>0</v>
      </c>
      <c r="O11782" t="s">
        <v>19976</v>
      </c>
      <c r="Q11782" t="s">
        <v>396</v>
      </c>
      <c r="R11782" t="s">
        <v>21663</v>
      </c>
      <c r="S11782">
        <v>3261</v>
      </c>
    </row>
    <row r="11783" spans="1:19">
      <c r="A11783" t="s">
        <v>135</v>
      </c>
      <c r="B11783" t="s">
        <v>150</v>
      </c>
      <c r="C11783" t="s">
        <v>267</v>
      </c>
      <c r="D11783" t="s">
        <v>396</v>
      </c>
      <c r="F11783">
        <f>HYPERLINK("https://www.wikidata.org/wiki/Q28496159", "Q28496159")</f>
        <v>0</v>
      </c>
      <c r="G11783" t="s">
        <v>4836</v>
      </c>
      <c r="H11783" t="s">
        <v>8976</v>
      </c>
      <c r="I11783" t="s">
        <v>9375</v>
      </c>
      <c r="J11783" t="s">
        <v>15289</v>
      </c>
      <c r="K11783" t="s">
        <v>19596</v>
      </c>
      <c r="M11783">
        <f>HYPERLINK("https://www.senat.fr/senateur-3eme-republique/fortier_edouard1596r3.html", "fortier_edouard1596r3")</f>
        <v>0</v>
      </c>
      <c r="N11783">
        <f>HYPERLINK("https://www.wikidata.org/wiki/Q3579839", "Q3579839")</f>
        <v>0</v>
      </c>
      <c r="O11783" t="s">
        <v>19978</v>
      </c>
      <c r="Q11783" t="s">
        <v>396</v>
      </c>
      <c r="R11783" t="s">
        <v>21663</v>
      </c>
      <c r="S11783">
        <v>3261</v>
      </c>
    </row>
    <row r="11784" spans="1:19">
      <c r="A11784" t="s">
        <v>135</v>
      </c>
      <c r="B11784" t="s">
        <v>150</v>
      </c>
      <c r="C11784" t="s">
        <v>267</v>
      </c>
      <c r="D11784" t="s">
        <v>396</v>
      </c>
      <c r="F11784">
        <f>HYPERLINK("https://www.wikidata.org/wiki/Q28496159", "Q28496159")</f>
        <v>0</v>
      </c>
      <c r="G11784" t="s">
        <v>4856</v>
      </c>
      <c r="H11784" t="s">
        <v>8996</v>
      </c>
      <c r="I11784" t="s">
        <v>9388</v>
      </c>
      <c r="J11784" t="s">
        <v>15305</v>
      </c>
      <c r="K11784" t="s">
        <v>19615</v>
      </c>
      <c r="M11784">
        <f>HYPERLINK("https://www.senat.fr/senateur-3eme-republique/tellier_paul1654r3.html", "tellier_paul1654r3")</f>
        <v>0</v>
      </c>
      <c r="N11784">
        <f>HYPERLINK("https://www.wikidata.org/wiki/Q3372259", "Q3372259")</f>
        <v>0</v>
      </c>
      <c r="O11784" t="s">
        <v>20012</v>
      </c>
      <c r="Q11784" t="s">
        <v>396</v>
      </c>
      <c r="R11784" t="s">
        <v>19615</v>
      </c>
      <c r="S11784">
        <v>1792</v>
      </c>
    </row>
    <row r="11785" spans="1:19">
      <c r="A11785" t="s">
        <v>135</v>
      </c>
      <c r="B11785" t="s">
        <v>150</v>
      </c>
      <c r="C11785" t="s">
        <v>267</v>
      </c>
      <c r="D11785" t="s">
        <v>396</v>
      </c>
      <c r="F11785">
        <f>HYPERLINK("https://www.wikidata.org/wiki/Q28496159", "Q28496159")</f>
        <v>0</v>
      </c>
      <c r="G11785" t="s">
        <v>4292</v>
      </c>
      <c r="H11785" t="s">
        <v>8451</v>
      </c>
      <c r="I11785" t="s">
        <v>9728</v>
      </c>
      <c r="J11785" t="s">
        <v>14791</v>
      </c>
      <c r="K11785" t="s">
        <v>19135</v>
      </c>
      <c r="M11785">
        <f>HYPERLINK("https://www.senat.fr/senateur-3eme-republique/barbey_edouard1693r3.html", "barbey_edouard1693r3")</f>
        <v>0</v>
      </c>
      <c r="N11785">
        <f>HYPERLINK("https://www.wikidata.org/wiki/Q1857743", "Q1857743")</f>
        <v>0</v>
      </c>
      <c r="O11785" t="s">
        <v>19962</v>
      </c>
      <c r="Q11785" t="s">
        <v>396</v>
      </c>
      <c r="R11785" t="s">
        <v>21650</v>
      </c>
      <c r="S11785">
        <v>16702</v>
      </c>
    </row>
    <row r="11786" spans="1:19">
      <c r="A11786" t="s">
        <v>135</v>
      </c>
      <c r="B11786" t="s">
        <v>150</v>
      </c>
      <c r="C11786" t="s">
        <v>267</v>
      </c>
      <c r="D11786" t="s">
        <v>396</v>
      </c>
      <c r="F11786">
        <f>HYPERLINK("https://www.wikidata.org/wiki/Q28496159", "Q28496159")</f>
        <v>0</v>
      </c>
      <c r="G11786" t="s">
        <v>4832</v>
      </c>
      <c r="H11786" t="s">
        <v>8972</v>
      </c>
      <c r="I11786" t="s">
        <v>9472</v>
      </c>
      <c r="J11786" t="s">
        <v>15285</v>
      </c>
      <c r="K11786" t="s">
        <v>19593</v>
      </c>
      <c r="M11786">
        <f>HYPERLINK("https://www.senat.fr/senateur-3eme-republique/gay_de_savary_hippolyte1696r3.html", "gay_de_savary_hippolyte1696r3")</f>
        <v>0</v>
      </c>
      <c r="N11786">
        <f>HYPERLINK("https://www.wikidata.org/wiki/Q2825179", "Q2825179")</f>
        <v>0</v>
      </c>
      <c r="O11786" t="s">
        <v>19962</v>
      </c>
      <c r="Q11786" t="s">
        <v>396</v>
      </c>
      <c r="R11786" t="s">
        <v>21663</v>
      </c>
      <c r="S11786">
        <v>3261</v>
      </c>
    </row>
    <row r="11787" spans="1:19">
      <c r="A11787" t="s">
        <v>135</v>
      </c>
      <c r="B11787" t="s">
        <v>150</v>
      </c>
      <c r="C11787" t="s">
        <v>267</v>
      </c>
      <c r="D11787" t="s">
        <v>396</v>
      </c>
      <c r="F11787">
        <f>HYPERLINK("https://www.wikidata.org/wiki/Q28496159", "Q28496159")</f>
        <v>0</v>
      </c>
      <c r="G11787" t="s">
        <v>4857</v>
      </c>
      <c r="H11787" t="s">
        <v>8997</v>
      </c>
      <c r="I11787" t="s">
        <v>6495</v>
      </c>
      <c r="J11787" t="s">
        <v>15306</v>
      </c>
      <c r="K11787" t="s">
        <v>19616</v>
      </c>
      <c r="M11787">
        <f>HYPERLINK("https://www.senat.fr/senateur-3eme-republique/boularan_louis1684r3.html", "boularan_louis1684r3")</f>
        <v>0</v>
      </c>
      <c r="N11787">
        <f>HYPERLINK("https://www.wikidata.org/wiki/Q3261326", "Q3261326")</f>
        <v>0</v>
      </c>
      <c r="O11787" t="s">
        <v>19962</v>
      </c>
      <c r="Q11787" t="s">
        <v>396</v>
      </c>
      <c r="R11787" t="s">
        <v>21663</v>
      </c>
      <c r="S11787">
        <v>3261</v>
      </c>
    </row>
    <row r="11788" spans="1:19">
      <c r="A11788" t="s">
        <v>135</v>
      </c>
      <c r="B11788" t="s">
        <v>150</v>
      </c>
      <c r="C11788" t="s">
        <v>267</v>
      </c>
      <c r="D11788" t="s">
        <v>396</v>
      </c>
      <c r="F11788">
        <f>HYPERLINK("https://www.wikidata.org/wiki/Q28496159", "Q28496159")</f>
        <v>0</v>
      </c>
      <c r="G11788" t="s">
        <v>4829</v>
      </c>
      <c r="H11788" t="s">
        <v>8969</v>
      </c>
      <c r="I11788" t="s">
        <v>6495</v>
      </c>
      <c r="J11788" t="s">
        <v>15282</v>
      </c>
      <c r="K11788" t="s">
        <v>19592</v>
      </c>
      <c r="M11788">
        <f>HYPERLINK("https://www.senat.fr/senateur-3eme-republique/bourgeat_louis1724r3.html", "bourgeat_louis1724r3")</f>
        <v>0</v>
      </c>
      <c r="N11788">
        <f>HYPERLINK("https://www.wikidata.org/wiki/Q3261332", "Q3261332")</f>
        <v>0</v>
      </c>
      <c r="O11788" t="s">
        <v>20045</v>
      </c>
      <c r="Q11788" t="s">
        <v>396</v>
      </c>
      <c r="R11788" t="s">
        <v>21650</v>
      </c>
      <c r="S11788">
        <v>16702</v>
      </c>
    </row>
    <row r="11789" spans="1:19">
      <c r="A11789" t="s">
        <v>135</v>
      </c>
      <c r="B11789" t="s">
        <v>150</v>
      </c>
      <c r="C11789" t="s">
        <v>267</v>
      </c>
      <c r="D11789" t="s">
        <v>396</v>
      </c>
      <c r="F11789">
        <f>HYPERLINK("https://www.wikidata.org/wiki/Q28496159", "Q28496159")</f>
        <v>0</v>
      </c>
      <c r="G11789" t="s">
        <v>4748</v>
      </c>
      <c r="H11789" t="s">
        <v>8891</v>
      </c>
      <c r="I11789" t="s">
        <v>5528</v>
      </c>
      <c r="J11789" t="s">
        <v>15211</v>
      </c>
      <c r="K11789" t="s">
        <v>19528</v>
      </c>
      <c r="M11789">
        <f>HYPERLINK("https://www.senat.fr/senateur-3eme-republique/rolland_leon1715r3.html", "rolland_leon1715r3")</f>
        <v>0</v>
      </c>
      <c r="N11789">
        <f>HYPERLINK("https://www.wikidata.org/wiki/Q3271308", "Q3271308")</f>
        <v>0</v>
      </c>
      <c r="O11789" t="s">
        <v>20045</v>
      </c>
      <c r="Q11789" t="s">
        <v>396</v>
      </c>
      <c r="R11789" t="s">
        <v>21663</v>
      </c>
      <c r="S11789">
        <v>3261</v>
      </c>
    </row>
    <row r="11790" spans="1:19">
      <c r="A11790" t="s">
        <v>135</v>
      </c>
      <c r="B11790" t="s">
        <v>150</v>
      </c>
      <c r="C11790" t="s">
        <v>267</v>
      </c>
      <c r="D11790" t="s">
        <v>396</v>
      </c>
      <c r="F11790">
        <f>HYPERLINK("https://www.wikidata.org/wiki/Q28496159", "Q28496159")</f>
        <v>0</v>
      </c>
      <c r="G11790" t="s">
        <v>4760</v>
      </c>
      <c r="H11790" t="s">
        <v>8902</v>
      </c>
      <c r="I11790" t="s">
        <v>9612</v>
      </c>
      <c r="J11790" t="s">
        <v>15223</v>
      </c>
      <c r="K11790" t="s">
        <v>19537</v>
      </c>
      <c r="M11790">
        <f>HYPERLINK("https://www.senat.fr/senateur-3eme-republique/japy_frederic1817r3.html", "japy_frederic1817r3")</f>
        <v>0</v>
      </c>
      <c r="N11790">
        <f>HYPERLINK("https://www.wikidata.org/wiki/Q3089541", "Q3089541")</f>
        <v>0</v>
      </c>
      <c r="O11790" t="s">
        <v>20400</v>
      </c>
      <c r="Q11790" t="s">
        <v>396</v>
      </c>
      <c r="R11790" t="s">
        <v>21650</v>
      </c>
      <c r="S11790">
        <v>16702</v>
      </c>
    </row>
    <row r="11791" spans="1:19">
      <c r="A11791" t="s">
        <v>135</v>
      </c>
      <c r="B11791" t="s">
        <v>150</v>
      </c>
      <c r="C11791" t="s">
        <v>267</v>
      </c>
      <c r="D11791" t="s">
        <v>396</v>
      </c>
      <c r="F11791">
        <f>HYPERLINK("https://www.wikidata.org/wiki/Q28496159", "Q28496159")</f>
        <v>0</v>
      </c>
      <c r="G11791" t="s">
        <v>4831</v>
      </c>
      <c r="H11791" t="s">
        <v>8971</v>
      </c>
      <c r="I11791" t="s">
        <v>9483</v>
      </c>
      <c r="J11791" t="s">
        <v>15284</v>
      </c>
      <c r="K11791" t="s">
        <v>441</v>
      </c>
      <c r="M11791">
        <f>HYPERLINK("https://www.senat.fr/senateur-3eme-republique/meric_victor1732r3.html", "meric_victor1732r3")</f>
        <v>0</v>
      </c>
      <c r="N11791">
        <f>HYPERLINK("https://www.wikidata.org/wiki/Q3557471", "Q3557471")</f>
        <v>0</v>
      </c>
      <c r="O11791" t="s">
        <v>20042</v>
      </c>
      <c r="Q11791" t="s">
        <v>396</v>
      </c>
      <c r="R11791" t="s">
        <v>21650</v>
      </c>
      <c r="S11791">
        <v>16702</v>
      </c>
    </row>
    <row r="11792" spans="1:19">
      <c r="A11792" t="s">
        <v>135</v>
      </c>
      <c r="B11792" t="s">
        <v>150</v>
      </c>
      <c r="C11792" t="s">
        <v>267</v>
      </c>
      <c r="D11792" t="s">
        <v>396</v>
      </c>
      <c r="F11792">
        <f>HYPERLINK("https://www.wikidata.org/wiki/Q28496159", "Q28496159")</f>
        <v>0</v>
      </c>
      <c r="G11792" t="s">
        <v>4858</v>
      </c>
      <c r="H11792" t="s">
        <v>8998</v>
      </c>
      <c r="I11792" t="s">
        <v>6495</v>
      </c>
      <c r="J11792" t="s">
        <v>15307</v>
      </c>
      <c r="K11792" t="s">
        <v>19617</v>
      </c>
      <c r="M11792">
        <f>HYPERLINK("https://www.senat.fr/senateur-3eme-republique/sigallas_louis1738r3.html", "sigallas_louis1738r3")</f>
        <v>0</v>
      </c>
      <c r="N11792">
        <f>HYPERLINK("https://www.wikidata.org/wiki/Q3263115", "Q3263115")</f>
        <v>0</v>
      </c>
      <c r="O11792" t="s">
        <v>20042</v>
      </c>
      <c r="Q11792" t="s">
        <v>396</v>
      </c>
      <c r="R11792" t="s">
        <v>21663</v>
      </c>
      <c r="S11792">
        <v>3261</v>
      </c>
    </row>
    <row r="11793" spans="1:19">
      <c r="A11793" t="s">
        <v>135</v>
      </c>
      <c r="B11793" t="s">
        <v>150</v>
      </c>
      <c r="C11793" t="s">
        <v>267</v>
      </c>
      <c r="D11793" t="s">
        <v>396</v>
      </c>
      <c r="F11793">
        <f>HYPERLINK("https://www.wikidata.org/wiki/Q28496159", "Q28496159")</f>
        <v>0</v>
      </c>
      <c r="G11793" t="s">
        <v>4696</v>
      </c>
      <c r="H11793" t="s">
        <v>8836</v>
      </c>
      <c r="I11793" t="s">
        <v>9440</v>
      </c>
      <c r="J11793" t="s">
        <v>15165</v>
      </c>
      <c r="K11793" t="s">
        <v>19469</v>
      </c>
      <c r="M11793">
        <f>HYPERLINK("https://www.senat.fr/senateur-3eme-republique/de_bejarry_amedee1748r3.html", "de_bejarry_amedee1748r3")</f>
        <v>0</v>
      </c>
      <c r="N11793">
        <f>HYPERLINK("https://www.wikidata.org/wiki/Q2844725", "Q2844725")</f>
        <v>0</v>
      </c>
      <c r="O11793" t="s">
        <v>19972</v>
      </c>
      <c r="Q11793" t="s">
        <v>396</v>
      </c>
      <c r="R11793" t="s">
        <v>21663</v>
      </c>
      <c r="S11793">
        <v>3261</v>
      </c>
    </row>
    <row r="11794" spans="1:19">
      <c r="A11794" t="s">
        <v>135</v>
      </c>
      <c r="B11794" t="s">
        <v>150</v>
      </c>
      <c r="C11794" t="s">
        <v>267</v>
      </c>
      <c r="D11794" t="s">
        <v>396</v>
      </c>
      <c r="F11794">
        <f>HYPERLINK("https://www.wikidata.org/wiki/Q28496159", "Q28496159")</f>
        <v>0</v>
      </c>
      <c r="G11794" t="s">
        <v>4680</v>
      </c>
      <c r="H11794" t="s">
        <v>8743</v>
      </c>
      <c r="I11794" t="s">
        <v>9414</v>
      </c>
      <c r="J11794" t="s">
        <v>15150</v>
      </c>
      <c r="K11794" t="s">
        <v>19470</v>
      </c>
      <c r="M11794">
        <f>HYPERLINK("https://www.senat.fr/senateur-3eme-republique/halgan_emmanuel1753r3.html", "halgan_emmanuel1753r3")</f>
        <v>0</v>
      </c>
      <c r="N11794">
        <f>HYPERLINK("https://www.wikidata.org/wiki/Q3052727", "Q3052727")</f>
        <v>0</v>
      </c>
      <c r="O11794" t="s">
        <v>19972</v>
      </c>
      <c r="Q11794" t="s">
        <v>396</v>
      </c>
      <c r="R11794" t="s">
        <v>21663</v>
      </c>
      <c r="S11794">
        <v>3261</v>
      </c>
    </row>
    <row r="11795" spans="1:19">
      <c r="A11795" t="s">
        <v>135</v>
      </c>
      <c r="B11795" t="s">
        <v>150</v>
      </c>
      <c r="C11795" t="s">
        <v>267</v>
      </c>
      <c r="D11795" t="s">
        <v>396</v>
      </c>
      <c r="F11795">
        <f>HYPERLINK("https://www.wikidata.org/wiki/Q28496159", "Q28496159")</f>
        <v>0</v>
      </c>
      <c r="G11795" t="s">
        <v>4859</v>
      </c>
      <c r="H11795" t="s">
        <v>8999</v>
      </c>
      <c r="I11795" t="s">
        <v>11204</v>
      </c>
      <c r="J11795" t="s">
        <v>15308</v>
      </c>
      <c r="K11795" t="s">
        <v>19618</v>
      </c>
      <c r="M11795">
        <f>HYPERLINK("https://www.senat.fr/senateur-3eme-republique/contancin_celestin1770r3.html", "contancin_celestin1770r3")</f>
        <v>0</v>
      </c>
      <c r="N11795">
        <f>HYPERLINK("https://www.wikidata.org/wiki/Q3010063", "Q3010063")</f>
        <v>0</v>
      </c>
      <c r="O11795" t="s">
        <v>19982</v>
      </c>
      <c r="Q11795" t="s">
        <v>396</v>
      </c>
      <c r="R11795" t="s">
        <v>20863</v>
      </c>
      <c r="S11795">
        <v>147</v>
      </c>
    </row>
    <row r="11796" spans="1:19">
      <c r="A11796" t="s">
        <v>135</v>
      </c>
      <c r="B11796" t="s">
        <v>150</v>
      </c>
      <c r="C11796" t="s">
        <v>267</v>
      </c>
      <c r="D11796" t="s">
        <v>396</v>
      </c>
      <c r="F11796">
        <f>HYPERLINK("https://www.wikidata.org/wiki/Q28496159", "Q28496159")</f>
        <v>0</v>
      </c>
      <c r="G11796" t="s">
        <v>4751</v>
      </c>
      <c r="H11796" t="s">
        <v>8894</v>
      </c>
      <c r="I11796" t="s">
        <v>9411</v>
      </c>
      <c r="J11796" t="s">
        <v>15214</v>
      </c>
      <c r="K11796" t="s">
        <v>19530</v>
      </c>
      <c r="M11796">
        <f>HYPERLINK("https://www.senat.fr/senateur-3eme-republique/couteaux_aristide1764r3.html", "couteaux_aristide1764r3")</f>
        <v>0</v>
      </c>
      <c r="N11796">
        <f>HYPERLINK("https://www.wikidata.org/wiki/Q2861354", "Q2861354")</f>
        <v>0</v>
      </c>
      <c r="O11796" t="s">
        <v>19982</v>
      </c>
      <c r="Q11796" t="s">
        <v>396</v>
      </c>
      <c r="R11796" t="s">
        <v>21650</v>
      </c>
      <c r="S11796">
        <v>16702</v>
      </c>
    </row>
    <row r="11797" spans="1:19">
      <c r="A11797" t="s">
        <v>135</v>
      </c>
      <c r="B11797" t="s">
        <v>150</v>
      </c>
      <c r="C11797" t="s">
        <v>267</v>
      </c>
      <c r="D11797" t="s">
        <v>396</v>
      </c>
      <c r="F11797">
        <f>HYPERLINK("https://www.wikidata.org/wiki/Q28496159", "Q28496159")</f>
        <v>0</v>
      </c>
      <c r="G11797" t="s">
        <v>4752</v>
      </c>
      <c r="H11797" t="s">
        <v>8895</v>
      </c>
      <c r="I11797" t="s">
        <v>10037</v>
      </c>
      <c r="J11797" t="s">
        <v>15215</v>
      </c>
      <c r="K11797" t="s">
        <v>19531</v>
      </c>
      <c r="M11797">
        <f>HYPERLINK("https://www.senat.fr/senateur-3eme-republique/thezard_leopold1759r3.html", "thezard_leopold1759r3")</f>
        <v>0</v>
      </c>
      <c r="N11797">
        <f>HYPERLINK("https://www.wikidata.org/wiki/Q3271895", "Q3271895")</f>
        <v>0</v>
      </c>
      <c r="O11797" t="s">
        <v>19982</v>
      </c>
      <c r="Q11797" t="s">
        <v>396</v>
      </c>
      <c r="R11797" t="s">
        <v>21650</v>
      </c>
      <c r="S11797">
        <v>16702</v>
      </c>
    </row>
    <row r="11798" spans="1:19">
      <c r="A11798" t="s">
        <v>135</v>
      </c>
      <c r="B11798" t="s">
        <v>150</v>
      </c>
      <c r="C11798" t="s">
        <v>267</v>
      </c>
      <c r="D11798" t="s">
        <v>396</v>
      </c>
      <c r="F11798">
        <f>HYPERLINK("https://www.wikidata.org/wiki/Q28496159", "Q28496159")</f>
        <v>0</v>
      </c>
      <c r="G11798" t="s">
        <v>4807</v>
      </c>
      <c r="H11798" t="s">
        <v>8947</v>
      </c>
      <c r="I11798" t="s">
        <v>6495</v>
      </c>
      <c r="J11798" t="s">
        <v>15267</v>
      </c>
      <c r="K11798" t="s">
        <v>19574</v>
      </c>
      <c r="M11798">
        <f>HYPERLINK("https://www.senat.fr/senateur-3eme-republique/parisot_louis1804r3.html", "parisot_louis1804r3")</f>
        <v>0</v>
      </c>
      <c r="N11798">
        <f>HYPERLINK("https://www.wikidata.org/wiki/Q3262842", "Q3262842")</f>
        <v>0</v>
      </c>
      <c r="O11798" t="s">
        <v>20017</v>
      </c>
      <c r="Q11798" t="s">
        <v>396</v>
      </c>
      <c r="R11798" t="s">
        <v>21650</v>
      </c>
      <c r="S11798">
        <v>16702</v>
      </c>
    </row>
    <row r="11799" spans="1:19">
      <c r="A11799" t="s">
        <v>135</v>
      </c>
      <c r="B11799" t="s">
        <v>150</v>
      </c>
      <c r="C11799" t="s">
        <v>267</v>
      </c>
      <c r="D11799" t="s">
        <v>396</v>
      </c>
      <c r="F11799">
        <f>HYPERLINK("https://www.wikidata.org/wiki/Q28496159", "Q28496159")</f>
        <v>0</v>
      </c>
      <c r="G11799" t="s">
        <v>4860</v>
      </c>
      <c r="H11799" t="s">
        <v>9000</v>
      </c>
      <c r="I11799" t="s">
        <v>9451</v>
      </c>
      <c r="J11799" t="s">
        <v>15309</v>
      </c>
      <c r="K11799" t="s">
        <v>19619</v>
      </c>
      <c r="M11799">
        <f>HYPERLINK("https://www.senat.fr/senateur-3eme-republique/collinot_theophile1839r3.html", "collinot_theophile1839r3")</f>
        <v>0</v>
      </c>
      <c r="N11799">
        <f>HYPERLINK("https://www.wikidata.org/wiki/Q3526645", "Q3526645")</f>
        <v>0</v>
      </c>
      <c r="O11799" t="s">
        <v>20034</v>
      </c>
      <c r="Q11799" t="s">
        <v>396</v>
      </c>
      <c r="R11799" t="s">
        <v>19619</v>
      </c>
      <c r="S11799">
        <v>1884</v>
      </c>
    </row>
    <row r="11800" spans="1:19">
      <c r="A11800" t="s">
        <v>135</v>
      </c>
      <c r="B11800" t="s">
        <v>150</v>
      </c>
      <c r="C11800" t="s">
        <v>267</v>
      </c>
      <c r="D11800" t="s">
        <v>396</v>
      </c>
      <c r="F11800">
        <f>HYPERLINK("https://www.wikidata.org/wiki/Q28496159", "Q28496159")</f>
        <v>0</v>
      </c>
      <c r="G11800" t="s">
        <v>4861</v>
      </c>
      <c r="H11800" t="s">
        <v>9001</v>
      </c>
      <c r="I11800" t="s">
        <v>6158</v>
      </c>
      <c r="J11800" t="s">
        <v>15310</v>
      </c>
      <c r="K11800" t="s">
        <v>19620</v>
      </c>
      <c r="M11800">
        <f>HYPERLINK("https://www.senat.fr/senateur-3eme-republique/lordereau_felix1844r3.html", "lordereau_felix1844r3")</f>
        <v>0</v>
      </c>
      <c r="N11800">
        <f>HYPERLINK("https://www.wikidata.org/wiki/Q3092515", "Q3092515")</f>
        <v>0</v>
      </c>
      <c r="O11800" t="s">
        <v>20034</v>
      </c>
      <c r="Q11800" t="s">
        <v>396</v>
      </c>
      <c r="R11800" t="s">
        <v>21663</v>
      </c>
      <c r="S11800">
        <v>3261</v>
      </c>
    </row>
    <row r="11801" spans="1:19">
      <c r="A11801" t="s">
        <v>135</v>
      </c>
      <c r="B11801" t="s">
        <v>150</v>
      </c>
      <c r="C11801" t="s">
        <v>267</v>
      </c>
      <c r="D11801" t="s">
        <v>396</v>
      </c>
      <c r="F11801">
        <f>HYPERLINK("https://www.wikidata.org/wiki/Q28496159", "Q28496159")</f>
        <v>0</v>
      </c>
      <c r="G11801" t="s">
        <v>4261</v>
      </c>
      <c r="H11801" t="s">
        <v>8430</v>
      </c>
      <c r="I11801" t="s">
        <v>9449</v>
      </c>
      <c r="J11801" t="s">
        <v>14763</v>
      </c>
      <c r="K11801" t="s">
        <v>17673</v>
      </c>
      <c r="M11801">
        <f>HYPERLINK("https://www.senat.fr/senateur-3eme-republique/godin_jules1831r3.html", "godin_jules1831r3")</f>
        <v>0</v>
      </c>
      <c r="N11801">
        <f>HYPERLINK("https://www.wikidata.org/wiki/Q3188626", "Q3188626")</f>
        <v>0</v>
      </c>
      <c r="Q11801" t="s">
        <v>396</v>
      </c>
      <c r="R11801" t="s">
        <v>21650</v>
      </c>
      <c r="S11801">
        <v>16702</v>
      </c>
    </row>
    <row r="11802" spans="1:19">
      <c r="A11802" t="s">
        <v>135</v>
      </c>
      <c r="B11802" t="s">
        <v>150</v>
      </c>
      <c r="C11802" t="s">
        <v>267</v>
      </c>
      <c r="D11802" t="s">
        <v>396</v>
      </c>
      <c r="F11802">
        <f>HYPERLINK("https://www.wikidata.org/wiki/Q28496159", "Q28496159")</f>
        <v>0</v>
      </c>
      <c r="G11802" t="s">
        <v>4862</v>
      </c>
      <c r="H11802" t="s">
        <v>9002</v>
      </c>
      <c r="I11802" t="s">
        <v>9385</v>
      </c>
      <c r="J11802" t="s">
        <v>15311</v>
      </c>
      <c r="K11802" t="s">
        <v>19621</v>
      </c>
      <c r="M11802">
        <f>HYPERLINK("https://www.senat.fr/senateur-3eme-republique/riou_charles0894r3.html", "riou_charles0894r3")</f>
        <v>0</v>
      </c>
      <c r="N11802">
        <f>HYPERLINK("https://www.wikidata.org/wiki/Q20027652", "Q20027652")</f>
        <v>0</v>
      </c>
      <c r="O11802" t="s">
        <v>19961</v>
      </c>
      <c r="Q11802" t="s">
        <v>20857</v>
      </c>
      <c r="R11802" t="s">
        <v>21665</v>
      </c>
      <c r="S11802">
        <v>2127</v>
      </c>
    </row>
    <row r="11803" spans="1:19">
      <c r="A11803" t="s">
        <v>135</v>
      </c>
      <c r="B11803" t="s">
        <v>150</v>
      </c>
      <c r="C11803" t="s">
        <v>267</v>
      </c>
      <c r="D11803" t="s">
        <v>396</v>
      </c>
      <c r="F11803">
        <f>HYPERLINK("https://www.wikidata.org/wiki/Q28496159", "Q28496159")</f>
        <v>0</v>
      </c>
      <c r="G11803" t="s">
        <v>3063</v>
      </c>
      <c r="H11803" t="s">
        <v>7516</v>
      </c>
      <c r="I11803" t="s">
        <v>9438</v>
      </c>
      <c r="J11803" t="s">
        <v>13687</v>
      </c>
      <c r="K11803" t="s">
        <v>18070</v>
      </c>
      <c r="L11803">
        <f>HYPERLINK("https://www2.assemblee-nationale.fr/sycomore/fiche/(num_dept)/3405", "3405")</f>
        <v>0</v>
      </c>
      <c r="M11803">
        <f>HYPERLINK("https://www.senat.fr/senateur-3eme-republique/giguet_honore0009r3.html", "giguet_honore0009r3")</f>
        <v>0</v>
      </c>
      <c r="N11803">
        <f>HYPERLINK("https://www.wikidata.org/wiki/Q3140225", "Q3140225")</f>
        <v>0</v>
      </c>
      <c r="O11803" t="s">
        <v>19986</v>
      </c>
      <c r="Q11803" t="s">
        <v>20858</v>
      </c>
      <c r="R11803" t="s">
        <v>21675</v>
      </c>
      <c r="S11803">
        <v>1021</v>
      </c>
    </row>
    <row r="11804" spans="1:19">
      <c r="A11804" t="s">
        <v>135</v>
      </c>
      <c r="B11804" t="s">
        <v>150</v>
      </c>
      <c r="C11804" t="s">
        <v>267</v>
      </c>
      <c r="D11804" t="s">
        <v>396</v>
      </c>
      <c r="F11804">
        <f>HYPERLINK("https://www.wikidata.org/wiki/Q28496159", "Q28496159")</f>
        <v>0</v>
      </c>
      <c r="G11804" t="s">
        <v>2603</v>
      </c>
      <c r="H11804" t="s">
        <v>7152</v>
      </c>
      <c r="I11804" t="s">
        <v>10306</v>
      </c>
      <c r="J11804" t="s">
        <v>13246</v>
      </c>
      <c r="K11804" t="s">
        <v>17649</v>
      </c>
      <c r="L11804">
        <f>HYPERLINK("https://www2.assemblee-nationale.fr/sycomore/fiche/(num_dept)/4091", "4091")</f>
        <v>0</v>
      </c>
      <c r="M11804">
        <f>HYPERLINK("https://www.senat.fr/senateur-3eme-republique/leclerc_de_juigne_charles1283r3.html", "leclerc_de_juigne_charles1283r3")</f>
        <v>0</v>
      </c>
      <c r="N11804">
        <f>HYPERLINK("https://www.wikidata.org/wiki/Q2960767", "Q2960767")</f>
        <v>0</v>
      </c>
      <c r="O11804" t="s">
        <v>20023</v>
      </c>
      <c r="Q11804" t="s">
        <v>20858</v>
      </c>
      <c r="R11804" t="s">
        <v>17649</v>
      </c>
      <c r="S11804">
        <v>209</v>
      </c>
    </row>
    <row r="11805" spans="1:19">
      <c r="A11805" t="s">
        <v>135</v>
      </c>
      <c r="B11805" t="s">
        <v>150</v>
      </c>
      <c r="C11805" t="s">
        <v>267</v>
      </c>
      <c r="D11805" t="s">
        <v>396</v>
      </c>
      <c r="F11805">
        <f>HYPERLINK("https://www.wikidata.org/wiki/Q28496159", "Q28496159")</f>
        <v>0</v>
      </c>
      <c r="G11805" t="s">
        <v>4863</v>
      </c>
      <c r="H11805" t="s">
        <v>9003</v>
      </c>
      <c r="I11805" t="s">
        <v>9440</v>
      </c>
      <c r="J11805" t="s">
        <v>14069</v>
      </c>
      <c r="K11805" t="s">
        <v>12992</v>
      </c>
      <c r="M11805">
        <f>HYPERLINK("https://www.senat.fr/senateur-3eme-republique/delport_amedee0611r3.html", "delport_amedee0611r3")</f>
        <v>0</v>
      </c>
      <c r="N11805">
        <f>HYPERLINK("https://www.wikidata.org/wiki/Q13080805", "Q13080805")</f>
        <v>0</v>
      </c>
      <c r="O11805" t="s">
        <v>19974</v>
      </c>
      <c r="Q11805" t="s">
        <v>20859</v>
      </c>
      <c r="R11805" t="s">
        <v>12992</v>
      </c>
      <c r="S11805">
        <v>248</v>
      </c>
    </row>
    <row r="11806" spans="1:19">
      <c r="A11806" t="s">
        <v>135</v>
      </c>
      <c r="B11806" t="s">
        <v>150</v>
      </c>
      <c r="C11806" t="s">
        <v>267</v>
      </c>
      <c r="D11806" t="s">
        <v>396</v>
      </c>
      <c r="F11806">
        <f>HYPERLINK("https://www.wikidata.org/wiki/Q28496159", "Q28496159")</f>
        <v>0</v>
      </c>
      <c r="G11806" t="s">
        <v>4864</v>
      </c>
      <c r="H11806" t="s">
        <v>8543</v>
      </c>
      <c r="I11806" t="s">
        <v>9385</v>
      </c>
      <c r="J11806" t="s">
        <v>14425</v>
      </c>
      <c r="K11806" t="s">
        <v>19622</v>
      </c>
      <c r="M11806">
        <f>HYPERLINK("https://www.senat.fr/senateur-3eme-republique/berenger_charles0122r3.html", "berenger_charles0122r3")</f>
        <v>0</v>
      </c>
      <c r="N11806">
        <f>HYPERLINK("https://www.wikidata.org/wiki/Q2373686", "Q2373686")</f>
        <v>0</v>
      </c>
      <c r="O11806" t="s">
        <v>20024</v>
      </c>
      <c r="Q11806" t="s">
        <v>21146</v>
      </c>
      <c r="R11806" t="s">
        <v>21675</v>
      </c>
      <c r="S11806">
        <v>1000</v>
      </c>
    </row>
    <row r="11807" spans="1:19">
      <c r="A11807" t="s">
        <v>135</v>
      </c>
      <c r="B11807" t="s">
        <v>150</v>
      </c>
      <c r="C11807" t="s">
        <v>267</v>
      </c>
      <c r="D11807" t="s">
        <v>396</v>
      </c>
      <c r="F11807">
        <f>HYPERLINK("https://www.wikidata.org/wiki/Q28496159", "Q28496159")</f>
        <v>0</v>
      </c>
      <c r="G11807" t="s">
        <v>4865</v>
      </c>
      <c r="H11807" t="s">
        <v>9004</v>
      </c>
      <c r="I11807" t="s">
        <v>9458</v>
      </c>
      <c r="J11807" t="s">
        <v>15312</v>
      </c>
      <c r="K11807" t="s">
        <v>19623</v>
      </c>
      <c r="M11807">
        <f>HYPERLINK("https://www.senat.fr/senateur-3eme-republique/leroy_alfred0926r3.html", "leroy_alfred0926r3")</f>
        <v>0</v>
      </c>
      <c r="N11807">
        <f>HYPERLINK("https://www.wikidata.org/wiki/Q2835270", "Q2835270")</f>
        <v>0</v>
      </c>
      <c r="O11807" t="s">
        <v>19968</v>
      </c>
      <c r="Q11807" t="s">
        <v>19571</v>
      </c>
      <c r="R11807" t="s">
        <v>19623</v>
      </c>
      <c r="S11807">
        <v>466</v>
      </c>
    </row>
    <row r="11808" spans="1:19">
      <c r="A11808" t="s">
        <v>135</v>
      </c>
      <c r="B11808" t="s">
        <v>150</v>
      </c>
      <c r="C11808" t="s">
        <v>267</v>
      </c>
      <c r="D11808" t="s">
        <v>396</v>
      </c>
      <c r="F11808">
        <f>HYPERLINK("https://www.wikidata.org/wiki/Q28496159", "Q28496159")</f>
        <v>0</v>
      </c>
      <c r="G11808" t="s">
        <v>3342</v>
      </c>
      <c r="H11808" t="s">
        <v>5387</v>
      </c>
      <c r="I11808" t="s">
        <v>9385</v>
      </c>
      <c r="J11808" t="s">
        <v>13955</v>
      </c>
      <c r="K11808" t="s">
        <v>18324</v>
      </c>
      <c r="L11808">
        <f>HYPERLINK("https://www2.assemblee-nationale.fr/sycomore/fiche/(num_dept)/10133", "10133")</f>
        <v>0</v>
      </c>
      <c r="M11808">
        <f>HYPERLINK("https://www.senat.fr/senateur-3eme-republique/dupuy_charles0513r3.html", "dupuy_charles0513r3")</f>
        <v>0</v>
      </c>
      <c r="N11808">
        <f>HYPERLINK("https://www.wikidata.org/wiki/Q356032", "Q356032")</f>
        <v>0</v>
      </c>
      <c r="O11808" t="s">
        <v>19993</v>
      </c>
      <c r="Q11808" t="s">
        <v>20863</v>
      </c>
      <c r="R11808" t="s">
        <v>21665</v>
      </c>
      <c r="S11808">
        <v>2022</v>
      </c>
    </row>
    <row r="11809" spans="1:19">
      <c r="A11809" t="s">
        <v>135</v>
      </c>
      <c r="B11809" t="s">
        <v>150</v>
      </c>
      <c r="C11809" t="s">
        <v>267</v>
      </c>
      <c r="D11809" t="s">
        <v>396</v>
      </c>
      <c r="F11809">
        <f>HYPERLINK("https://www.wikidata.org/wiki/Q28496159", "Q28496159")</f>
        <v>0</v>
      </c>
      <c r="G11809" t="s">
        <v>4866</v>
      </c>
      <c r="H11809" t="s">
        <v>9005</v>
      </c>
      <c r="I11809" t="s">
        <v>5528</v>
      </c>
      <c r="J11809" t="s">
        <v>15313</v>
      </c>
      <c r="K11809" t="s">
        <v>16339</v>
      </c>
      <c r="M11809">
        <f>HYPERLINK("https://www.senat.fr/senateur-3eme-republique/renard_leon0642r3.html", "renard_leon0642r3")</f>
        <v>0</v>
      </c>
      <c r="N11809">
        <f>HYPERLINK("https://www.wikidata.org/wiki/Q3271289", "Q3271289")</f>
        <v>0</v>
      </c>
      <c r="O11809" t="s">
        <v>19979</v>
      </c>
      <c r="Q11809" t="s">
        <v>21147</v>
      </c>
      <c r="R11809" t="s">
        <v>21675</v>
      </c>
      <c r="S11809">
        <v>888</v>
      </c>
    </row>
    <row r="11810" spans="1:19">
      <c r="A11810" t="s">
        <v>135</v>
      </c>
      <c r="B11810" t="s">
        <v>150</v>
      </c>
      <c r="C11810" t="s">
        <v>267</v>
      </c>
      <c r="D11810" t="s">
        <v>396</v>
      </c>
      <c r="F11810">
        <f>HYPERLINK("https://www.wikidata.org/wiki/Q28496159", "Q28496159")</f>
        <v>0</v>
      </c>
      <c r="G11810" t="s">
        <v>2632</v>
      </c>
      <c r="H11810" t="s">
        <v>7177</v>
      </c>
      <c r="I11810" t="s">
        <v>10326</v>
      </c>
      <c r="J11810" t="s">
        <v>13274</v>
      </c>
      <c r="K11810" t="s">
        <v>17676</v>
      </c>
      <c r="L11810">
        <f>HYPERLINK("https://www2.assemblee-nationale.fr/sycomore/fiche/(num_dept)/5247", "5247")</f>
        <v>0</v>
      </c>
      <c r="M11810">
        <f>HYPERLINK("https://www.senat.fr/senateur-3eme-republique/mezieres_alfred0932r3.html", "mezieres_alfred0932r3")</f>
        <v>0</v>
      </c>
      <c r="N11810">
        <f>HYPERLINK("https://www.wikidata.org/wiki/Q2835365", "Q2835365")</f>
        <v>0</v>
      </c>
      <c r="O11810" t="s">
        <v>20007</v>
      </c>
      <c r="Q11810" t="s">
        <v>21148</v>
      </c>
      <c r="R11810" t="s">
        <v>21665</v>
      </c>
      <c r="S11810">
        <v>1959</v>
      </c>
    </row>
    <row r="11811" spans="1:19">
      <c r="A11811" t="s">
        <v>135</v>
      </c>
      <c r="B11811" t="s">
        <v>150</v>
      </c>
      <c r="C11811" t="s">
        <v>267</v>
      </c>
      <c r="D11811" t="s">
        <v>396</v>
      </c>
      <c r="F11811">
        <f>HYPERLINK("https://www.wikidata.org/wiki/Q28496159", "Q28496159")</f>
        <v>0</v>
      </c>
      <c r="G11811" t="s">
        <v>2550</v>
      </c>
      <c r="H11811" t="s">
        <v>7109</v>
      </c>
      <c r="I11811" t="s">
        <v>10282</v>
      </c>
      <c r="J11811" t="s">
        <v>13194</v>
      </c>
      <c r="K11811" t="s">
        <v>17599</v>
      </c>
      <c r="L11811">
        <f>HYPERLINK("https://www2.assemblee-nationale.fr/sycomore/fiche/(num_dept)/2359", "2359")</f>
        <v>0</v>
      </c>
      <c r="M11811">
        <f>HYPERLINK("https://www.senat.fr/senateur-3eme-republique/demarcay_maurice1771r3.html", "demarcay_maurice1771r3")</f>
        <v>0</v>
      </c>
      <c r="N11811">
        <f>HYPERLINK("https://www.wikidata.org/wiki/Q3300667", "Q3300667")</f>
        <v>0</v>
      </c>
      <c r="O11811" t="s">
        <v>19982</v>
      </c>
      <c r="Q11811" t="s">
        <v>20865</v>
      </c>
      <c r="R11811" t="s">
        <v>17599</v>
      </c>
      <c r="S11811">
        <v>2549</v>
      </c>
    </row>
    <row r="11812" spans="1:19">
      <c r="A11812" t="s">
        <v>135</v>
      </c>
      <c r="B11812" t="s">
        <v>150</v>
      </c>
      <c r="C11812" t="s">
        <v>267</v>
      </c>
      <c r="D11812" t="s">
        <v>396</v>
      </c>
      <c r="F11812">
        <f>HYPERLINK("https://www.wikidata.org/wiki/Q28496159", "Q28496159")</f>
        <v>0</v>
      </c>
      <c r="G11812" t="s">
        <v>4867</v>
      </c>
      <c r="H11812" t="s">
        <v>9006</v>
      </c>
      <c r="I11812" t="s">
        <v>9389</v>
      </c>
      <c r="J11812" t="s">
        <v>14554</v>
      </c>
      <c r="K11812" t="s">
        <v>19572</v>
      </c>
      <c r="M11812">
        <f>HYPERLINK("https://www.senat.fr/senateur-3eme-republique/forichon_emile0279r3.html", "forichon_emile0279r3")</f>
        <v>0</v>
      </c>
      <c r="N11812">
        <f>HYPERLINK("https://www.wikidata.org/wiki/Q3588504", "Q3588504")</f>
        <v>0</v>
      </c>
      <c r="O11812" t="s">
        <v>19975</v>
      </c>
      <c r="Q11812" t="s">
        <v>21149</v>
      </c>
      <c r="R11812" t="s">
        <v>21665</v>
      </c>
      <c r="S11812">
        <v>1917</v>
      </c>
    </row>
    <row r="11813" spans="1:19">
      <c r="A11813" t="s">
        <v>135</v>
      </c>
      <c r="B11813" t="s">
        <v>150</v>
      </c>
      <c r="C11813" t="s">
        <v>267</v>
      </c>
      <c r="D11813" t="s">
        <v>396</v>
      </c>
      <c r="F11813">
        <f>HYPERLINK("https://www.wikidata.org/wiki/Q28496159", "Q28496159")</f>
        <v>0</v>
      </c>
      <c r="G11813" t="s">
        <v>2531</v>
      </c>
      <c r="H11813" t="s">
        <v>7091</v>
      </c>
      <c r="I11813" t="s">
        <v>10270</v>
      </c>
      <c r="J11813" t="s">
        <v>13175</v>
      </c>
      <c r="K11813" t="s">
        <v>17581</v>
      </c>
      <c r="L11813">
        <f>HYPERLINK("https://www2.assemblee-nationale.fr/sycomore/fiche/(num_dept)/1494", "1494")</f>
        <v>0</v>
      </c>
      <c r="M11813">
        <f>HYPERLINK("https://www.senat.fr/senateur-3eme-republique/cassou_jean1049r3.html", "cassou_jean1049r3")</f>
        <v>0</v>
      </c>
      <c r="N11813">
        <f>HYPERLINK("https://www.wikidata.org/wiki/Q3171155", "Q3171155")</f>
        <v>0</v>
      </c>
      <c r="O11813" t="s">
        <v>19970</v>
      </c>
      <c r="Q11813" t="s">
        <v>21150</v>
      </c>
      <c r="R11813" t="s">
        <v>17581</v>
      </c>
      <c r="S11813">
        <v>1907</v>
      </c>
    </row>
    <row r="11814" spans="1:19">
      <c r="A11814" t="s">
        <v>135</v>
      </c>
      <c r="B11814" t="s">
        <v>150</v>
      </c>
      <c r="C11814" t="s">
        <v>267</v>
      </c>
      <c r="D11814" t="s">
        <v>396</v>
      </c>
      <c r="F11814">
        <f>HYPERLINK("https://www.wikidata.org/wiki/Q28496159", "Q28496159")</f>
        <v>0</v>
      </c>
      <c r="G11814" t="s">
        <v>3290</v>
      </c>
      <c r="H11814" t="s">
        <v>7702</v>
      </c>
      <c r="I11814" t="s">
        <v>6584</v>
      </c>
      <c r="J11814" t="s">
        <v>13904</v>
      </c>
      <c r="K11814" t="s">
        <v>18275</v>
      </c>
      <c r="L11814">
        <f>HYPERLINK("https://www2.assemblee-nationale.fr/sycomore/fiche/(num_dept)/7443", "7443")</f>
        <v>0</v>
      </c>
      <c r="M11814">
        <f>HYPERLINK("https://www.senat.fr/senateur-3eme-republique/viger_albert0500r3.html", "viger_albert0500r3")</f>
        <v>0</v>
      </c>
      <c r="N11814">
        <f>HYPERLINK("https://www.wikidata.org/wiki/Q2153536", "Q2153536")</f>
        <v>0</v>
      </c>
      <c r="O11814" t="s">
        <v>19958</v>
      </c>
      <c r="Q11814" t="s">
        <v>21150</v>
      </c>
      <c r="R11814" t="s">
        <v>21665</v>
      </c>
      <c r="S11814">
        <v>1896</v>
      </c>
    </row>
    <row r="11815" spans="1:19">
      <c r="A11815" t="s">
        <v>135</v>
      </c>
      <c r="B11815" t="s">
        <v>150</v>
      </c>
      <c r="C11815" t="s">
        <v>267</v>
      </c>
      <c r="D11815" t="s">
        <v>396</v>
      </c>
      <c r="F11815">
        <f>HYPERLINK("https://www.wikidata.org/wiki/Q28496159", "Q28496159")</f>
        <v>0</v>
      </c>
      <c r="G11815" t="s">
        <v>4868</v>
      </c>
      <c r="H11815" t="s">
        <v>9007</v>
      </c>
      <c r="I11815" t="s">
        <v>9375</v>
      </c>
      <c r="J11815" t="s">
        <v>15314</v>
      </c>
      <c r="K11815" t="s">
        <v>19624</v>
      </c>
      <c r="M11815">
        <f>HYPERLINK("https://www.senat.fr/senateur-3eme-republique/giresse_edouard0736r3.html", "giresse_edouard0736r3")</f>
        <v>0</v>
      </c>
      <c r="N11815">
        <f>HYPERLINK("https://www.wikidata.org/wiki/Q3579863", "Q3579863")</f>
        <v>0</v>
      </c>
      <c r="O11815" t="s">
        <v>20043</v>
      </c>
      <c r="Q11815" t="s">
        <v>21151</v>
      </c>
      <c r="R11815" t="s">
        <v>21665</v>
      </c>
      <c r="S11815">
        <v>1868</v>
      </c>
    </row>
    <row r="11816" spans="1:19">
      <c r="A11816" t="s">
        <v>135</v>
      </c>
      <c r="B11816" t="s">
        <v>150</v>
      </c>
      <c r="C11816" t="s">
        <v>267</v>
      </c>
      <c r="D11816" t="s">
        <v>396</v>
      </c>
      <c r="F11816">
        <f>HYPERLINK("https://www.wikidata.org/wiki/Q28496159", "Q28496159")</f>
        <v>0</v>
      </c>
      <c r="G11816" t="s">
        <v>4869</v>
      </c>
      <c r="H11816" t="s">
        <v>9008</v>
      </c>
      <c r="I11816" t="s">
        <v>6166</v>
      </c>
      <c r="J11816" t="s">
        <v>11681</v>
      </c>
      <c r="K11816" t="s">
        <v>19625</v>
      </c>
      <c r="M11816">
        <f>HYPERLINK("https://www.senat.fr/senateur-3eme-republique/beaupin_francois1237r3.html", "beaupin_francois1237r3")</f>
        <v>0</v>
      </c>
      <c r="N11816">
        <f>HYPERLINK("https://www.wikidata.org/wiki/Q3083924", "Q3083924")</f>
        <v>0</v>
      </c>
      <c r="O11816" t="s">
        <v>20032</v>
      </c>
      <c r="Q11816" t="s">
        <v>20866</v>
      </c>
      <c r="R11816" t="s">
        <v>21665</v>
      </c>
      <c r="S11816">
        <v>1861</v>
      </c>
    </row>
    <row r="11817" spans="1:19">
      <c r="A11817" t="s">
        <v>135</v>
      </c>
      <c r="B11817" t="s">
        <v>150</v>
      </c>
      <c r="C11817" t="s">
        <v>267</v>
      </c>
      <c r="D11817" t="s">
        <v>396</v>
      </c>
      <c r="F11817">
        <f>HYPERLINK("https://www.wikidata.org/wiki/Q28496159", "Q28496159")</f>
        <v>0</v>
      </c>
      <c r="G11817" t="s">
        <v>497</v>
      </c>
      <c r="H11817" t="s">
        <v>5262</v>
      </c>
      <c r="I11817" t="s">
        <v>9368</v>
      </c>
      <c r="J11817" t="s">
        <v>11249</v>
      </c>
      <c r="K11817" t="s">
        <v>15649</v>
      </c>
      <c r="L11817">
        <f>HYPERLINK("https://www2.assemblee-nationale.fr/sycomore/fiche/(num_dept)/67", "67")</f>
        <v>0</v>
      </c>
      <c r="M11817">
        <f>HYPERLINK("https://www.senat.fr/senateur-3eme-republique/alasseur_gustave0506r3.html", "alasseur_gustave0506r3")</f>
        <v>0</v>
      </c>
      <c r="N11817">
        <f>HYPERLINK("https://www.wikidata.org/wiki/Q3121099", "Q3121099")</f>
        <v>0</v>
      </c>
      <c r="O11817" t="s">
        <v>19958</v>
      </c>
      <c r="Q11817" t="s">
        <v>19357</v>
      </c>
      <c r="R11817" t="s">
        <v>21665</v>
      </c>
      <c r="S11817">
        <v>1840</v>
      </c>
    </row>
    <row r="11818" spans="1:19">
      <c r="A11818" t="s">
        <v>135</v>
      </c>
      <c r="B11818" t="s">
        <v>150</v>
      </c>
      <c r="C11818" t="s">
        <v>267</v>
      </c>
      <c r="D11818" t="s">
        <v>396</v>
      </c>
      <c r="F11818">
        <f>HYPERLINK("https://www.wikidata.org/wiki/Q28496159", "Q28496159")</f>
        <v>0</v>
      </c>
      <c r="G11818" t="s">
        <v>3495</v>
      </c>
      <c r="H11818" t="s">
        <v>7865</v>
      </c>
      <c r="I11818" t="s">
        <v>9446</v>
      </c>
      <c r="J11818" t="s">
        <v>14093</v>
      </c>
      <c r="K11818" t="s">
        <v>18181</v>
      </c>
      <c r="L11818">
        <f>HYPERLINK("https://www2.assemblee-nationale.fr/sycomore/fiche/(num_dept)/6424", "6424")</f>
        <v>0</v>
      </c>
      <c r="M11818">
        <f>HYPERLINK("https://www.senat.fr/senateur-3eme-republique/de_breil_de_pontbriand_fernand1284r3.html", "de_breil_de_pontbriand_fernand1284r3")</f>
        <v>0</v>
      </c>
      <c r="N11818">
        <f>HYPERLINK("https://www.wikidata.org/wiki/Q3069390", "Q3069390")</f>
        <v>0</v>
      </c>
      <c r="O11818" t="s">
        <v>20023</v>
      </c>
      <c r="Q11818" t="s">
        <v>21152</v>
      </c>
      <c r="R11818" t="s">
        <v>21665</v>
      </c>
      <c r="S11818">
        <v>1826</v>
      </c>
    </row>
    <row r="11819" spans="1:19">
      <c r="A11819" t="s">
        <v>135</v>
      </c>
      <c r="B11819" t="s">
        <v>150</v>
      </c>
      <c r="C11819" t="s">
        <v>267</v>
      </c>
      <c r="D11819" t="s">
        <v>396</v>
      </c>
      <c r="F11819">
        <f>HYPERLINK("https://www.wikidata.org/wiki/Q28496159", "Q28496159")</f>
        <v>0</v>
      </c>
      <c r="G11819" t="s">
        <v>3052</v>
      </c>
      <c r="H11819" t="s">
        <v>7507</v>
      </c>
      <c r="I11819" t="s">
        <v>10601</v>
      </c>
      <c r="J11819" t="s">
        <v>13678</v>
      </c>
      <c r="K11819" t="s">
        <v>18059</v>
      </c>
      <c r="L11819">
        <f>HYPERLINK("https://www2.assemblee-nationale.fr/sycomore/fiche/(num_dept)/5987", "5987")</f>
        <v>0</v>
      </c>
      <c r="M11819">
        <f>HYPERLINK("https://www.senat.fr/senateur-3eme-republique/pochon_joseph0015r3.html", "pochon_joseph0015r3")</f>
        <v>0</v>
      </c>
      <c r="N11819">
        <f>HYPERLINK("https://www.wikidata.org/wiki/Q3185501", "Q3185501")</f>
        <v>0</v>
      </c>
      <c r="O11819" t="s">
        <v>19986</v>
      </c>
      <c r="Q11819" t="s">
        <v>21153</v>
      </c>
      <c r="R11819" t="s">
        <v>21675</v>
      </c>
      <c r="S11819">
        <v>720</v>
      </c>
    </row>
    <row r="11820" spans="1:19">
      <c r="A11820" t="s">
        <v>135</v>
      </c>
      <c r="B11820" t="s">
        <v>150</v>
      </c>
      <c r="C11820" t="s">
        <v>267</v>
      </c>
      <c r="D11820" t="s">
        <v>396</v>
      </c>
      <c r="F11820">
        <f>HYPERLINK("https://www.wikidata.org/wiki/Q28496159", "Q28496159")</f>
        <v>0</v>
      </c>
      <c r="G11820" t="s">
        <v>4870</v>
      </c>
      <c r="H11820" t="s">
        <v>9009</v>
      </c>
      <c r="I11820" t="s">
        <v>9534</v>
      </c>
      <c r="J11820" t="s">
        <v>15315</v>
      </c>
      <c r="K11820" t="s">
        <v>19626</v>
      </c>
      <c r="M11820">
        <f>HYPERLINK("https://www.senat.fr/senateur-3eme-republique/de_saint_germain_adolphe0559r3.html", "de_saint_germain_adolphe0559r3")</f>
        <v>0</v>
      </c>
      <c r="N11820">
        <f>HYPERLINK("https://www.wikidata.org/wiki/Q2824935", "Q2824935")</f>
        <v>0</v>
      </c>
      <c r="O11820" t="s">
        <v>19998</v>
      </c>
      <c r="Q11820" t="s">
        <v>20868</v>
      </c>
      <c r="R11820" t="s">
        <v>21690</v>
      </c>
      <c r="S11820">
        <v>1963</v>
      </c>
    </row>
    <row r="11821" spans="1:19">
      <c r="A11821" t="s">
        <v>135</v>
      </c>
      <c r="B11821" t="s">
        <v>150</v>
      </c>
      <c r="C11821" t="s">
        <v>267</v>
      </c>
      <c r="D11821" t="s">
        <v>396</v>
      </c>
      <c r="F11821">
        <f>HYPERLINK("https://www.wikidata.org/wiki/Q28496159", "Q28496159")</f>
        <v>0</v>
      </c>
      <c r="G11821" t="s">
        <v>4871</v>
      </c>
      <c r="H11821" t="s">
        <v>9010</v>
      </c>
      <c r="I11821" t="s">
        <v>6200</v>
      </c>
      <c r="J11821" t="s">
        <v>15316</v>
      </c>
      <c r="K11821" t="s">
        <v>19627</v>
      </c>
      <c r="M11821">
        <f>HYPERLINK("https://www.senat.fr/senateur-3eme-republique/costes_jean0612r3.html", "costes_jean0612r3")</f>
        <v>0</v>
      </c>
      <c r="N11821">
        <f>HYPERLINK("https://www.wikidata.org/wiki/Q3171435", "Q3171435")</f>
        <v>0</v>
      </c>
      <c r="O11821" t="s">
        <v>19974</v>
      </c>
      <c r="Q11821" t="s">
        <v>20870</v>
      </c>
      <c r="R11821" t="s">
        <v>21665</v>
      </c>
      <c r="S11821">
        <v>1798</v>
      </c>
    </row>
    <row r="11822" spans="1:19">
      <c r="A11822" t="s">
        <v>135</v>
      </c>
      <c r="B11822" t="s">
        <v>150</v>
      </c>
      <c r="C11822" t="s">
        <v>267</v>
      </c>
      <c r="D11822" t="s">
        <v>396</v>
      </c>
      <c r="F11822">
        <f>HYPERLINK("https://www.wikidata.org/wiki/Q28496159", "Q28496159")</f>
        <v>0</v>
      </c>
      <c r="G11822" t="s">
        <v>4872</v>
      </c>
      <c r="H11822" t="s">
        <v>9011</v>
      </c>
      <c r="I11822" t="s">
        <v>11229</v>
      </c>
      <c r="J11822" t="s">
        <v>15317</v>
      </c>
      <c r="K11822" t="s">
        <v>19628</v>
      </c>
      <c r="M11822">
        <f>HYPERLINK("https://www.senat.fr/senateur-3eme-republique/raquet_hemir1687r3.html", "raquet_hemir1687r3")</f>
        <v>0</v>
      </c>
      <c r="N11822">
        <f>HYPERLINK("https://www.wikidata.org/wiki/Q3131880", "Q3131880")</f>
        <v>0</v>
      </c>
      <c r="O11822" t="s">
        <v>20012</v>
      </c>
      <c r="Q11822" t="s">
        <v>20870</v>
      </c>
      <c r="R11822" t="s">
        <v>21663</v>
      </c>
      <c r="S11822">
        <v>2890</v>
      </c>
    </row>
    <row r="11823" spans="1:19">
      <c r="A11823" t="s">
        <v>135</v>
      </c>
      <c r="B11823" t="s">
        <v>150</v>
      </c>
      <c r="C11823" t="s">
        <v>267</v>
      </c>
      <c r="D11823" t="s">
        <v>396</v>
      </c>
      <c r="F11823">
        <f>HYPERLINK("https://www.wikidata.org/wiki/Q28496159", "Q28496159")</f>
        <v>0</v>
      </c>
      <c r="G11823" t="s">
        <v>4873</v>
      </c>
      <c r="H11823" t="s">
        <v>9012</v>
      </c>
      <c r="I11823" t="s">
        <v>11213</v>
      </c>
      <c r="J11823" t="s">
        <v>15318</v>
      </c>
      <c r="K11823" t="s">
        <v>19629</v>
      </c>
      <c r="M11823">
        <f>HYPERLINK("https://www.senat.fr/senateur-3eme-republique/de_goulaine_geoffroy0906r3.html", "de_goulaine_geoffroy0906r3")</f>
        <v>0</v>
      </c>
      <c r="N11823">
        <f>HYPERLINK("https://www.wikidata.org/wiki/Q3101167", "Q3101167")</f>
        <v>0</v>
      </c>
      <c r="O11823" t="s">
        <v>19961</v>
      </c>
      <c r="Q11823" t="s">
        <v>20871</v>
      </c>
      <c r="R11823" t="s">
        <v>21665</v>
      </c>
      <c r="S11823">
        <v>1791</v>
      </c>
    </row>
    <row r="11824" spans="1:19">
      <c r="A11824" t="s">
        <v>135</v>
      </c>
      <c r="B11824" t="s">
        <v>150</v>
      </c>
      <c r="C11824" t="s">
        <v>267</v>
      </c>
      <c r="D11824" t="s">
        <v>396</v>
      </c>
      <c r="F11824">
        <f>HYPERLINK("https://www.wikidata.org/wiki/Q28496159", "Q28496159")</f>
        <v>0</v>
      </c>
      <c r="G11824" t="s">
        <v>4874</v>
      </c>
      <c r="H11824" t="s">
        <v>8806</v>
      </c>
      <c r="I11824" t="s">
        <v>5630</v>
      </c>
      <c r="J11824" t="s">
        <v>15319</v>
      </c>
      <c r="K11824" t="s">
        <v>19630</v>
      </c>
      <c r="M11824">
        <f>HYPERLINK("https://www.senat.fr/senateur-3eme-republique/lacombe_bertrand0390r3.html", "lacombe_bertrand0390r3")</f>
        <v>0</v>
      </c>
      <c r="N11824">
        <f>HYPERLINK("https://www.wikidata.org/wiki/Q2899588", "Q2899588")</f>
        <v>0</v>
      </c>
      <c r="O11824" t="s">
        <v>20031</v>
      </c>
      <c r="Q11824" t="s">
        <v>21154</v>
      </c>
      <c r="R11824" t="s">
        <v>21675</v>
      </c>
      <c r="S11824">
        <v>678</v>
      </c>
    </row>
    <row r="11825" spans="1:19">
      <c r="A11825" t="s">
        <v>135</v>
      </c>
      <c r="B11825" t="s">
        <v>150</v>
      </c>
      <c r="C11825" t="s">
        <v>267</v>
      </c>
      <c r="D11825" t="s">
        <v>396</v>
      </c>
      <c r="F11825">
        <f>HYPERLINK("https://www.wikidata.org/wiki/Q28496159", "Q28496159")</f>
        <v>0</v>
      </c>
      <c r="G11825" t="s">
        <v>4875</v>
      </c>
      <c r="H11825" t="s">
        <v>9013</v>
      </c>
      <c r="I11825" t="s">
        <v>9449</v>
      </c>
      <c r="J11825" t="s">
        <v>15320</v>
      </c>
      <c r="K11825" t="s">
        <v>19631</v>
      </c>
      <c r="M11825">
        <f>HYPERLINK("https://www.senat.fr/senateur-3eme-republique/de_cuverville_jules0800r3.html", "de_cuverville_jules0800r3")</f>
        <v>0</v>
      </c>
      <c r="N11825">
        <f>HYPERLINK("https://www.wikidata.org/wiki/Q954793", "Q954793")</f>
        <v>0</v>
      </c>
      <c r="O11825" t="s">
        <v>20011</v>
      </c>
      <c r="Q11825" t="s">
        <v>20874</v>
      </c>
      <c r="R11825" t="s">
        <v>21675</v>
      </c>
      <c r="S11825">
        <v>643</v>
      </c>
    </row>
    <row r="11826" spans="1:19">
      <c r="A11826" t="s">
        <v>135</v>
      </c>
      <c r="B11826" t="s">
        <v>150</v>
      </c>
      <c r="C11826" t="s">
        <v>267</v>
      </c>
      <c r="D11826" t="s">
        <v>396</v>
      </c>
      <c r="F11826">
        <f>HYPERLINK("https://www.wikidata.org/wiki/Q28496159", "Q28496159")</f>
        <v>0</v>
      </c>
      <c r="G11826" t="s">
        <v>4876</v>
      </c>
      <c r="H11826" t="s">
        <v>9014</v>
      </c>
      <c r="I11826" t="s">
        <v>9457</v>
      </c>
      <c r="J11826" t="s">
        <v>15257</v>
      </c>
      <c r="K11826" t="s">
        <v>19543</v>
      </c>
      <c r="M11826">
        <f>HYPERLINK("https://www.senat.fr/senateur-3eme-republique/le_cour_grandmaison_henri1289r3.html", "le_cour_grandmaison_henri1289r3")</f>
        <v>0</v>
      </c>
      <c r="N11826">
        <f>HYPERLINK("https://www.wikidata.org/wiki/Q3131438", "Q3131438")</f>
        <v>0</v>
      </c>
      <c r="O11826" t="s">
        <v>20023</v>
      </c>
      <c r="Q11826" t="s">
        <v>21155</v>
      </c>
      <c r="R11826" t="s">
        <v>21665</v>
      </c>
      <c r="S11826">
        <v>1728</v>
      </c>
    </row>
    <row r="11827" spans="1:19">
      <c r="A11827" t="s">
        <v>135</v>
      </c>
      <c r="B11827" t="s">
        <v>150</v>
      </c>
      <c r="C11827" t="s">
        <v>267</v>
      </c>
      <c r="D11827" t="s">
        <v>396</v>
      </c>
      <c r="F11827">
        <f>HYPERLINK("https://www.wikidata.org/wiki/Q28496159", "Q28496159")</f>
        <v>0</v>
      </c>
      <c r="G11827" t="s">
        <v>4877</v>
      </c>
      <c r="H11827" t="s">
        <v>9015</v>
      </c>
      <c r="I11827" t="s">
        <v>9388</v>
      </c>
      <c r="J11827" t="s">
        <v>15321</v>
      </c>
      <c r="K11827" t="s">
        <v>16442</v>
      </c>
      <c r="M11827">
        <f>HYPERLINK("https://www.senat.fr/senateur-3eme-republique/rouvier_paul0406r3.html", "rouvier_paul0406r3")</f>
        <v>0</v>
      </c>
      <c r="N11827">
        <f>HYPERLINK("https://www.wikidata.org/wiki/Q3372135", "Q3372135")</f>
        <v>0</v>
      </c>
      <c r="O11827" t="s">
        <v>20037</v>
      </c>
      <c r="Q11827" t="s">
        <v>21156</v>
      </c>
      <c r="R11827" t="s">
        <v>21675</v>
      </c>
      <c r="S11827">
        <v>615</v>
      </c>
    </row>
    <row r="11828" spans="1:19">
      <c r="A11828" t="s">
        <v>135</v>
      </c>
      <c r="B11828" t="s">
        <v>150</v>
      </c>
      <c r="C11828" t="s">
        <v>267</v>
      </c>
      <c r="D11828" t="s">
        <v>396</v>
      </c>
      <c r="F11828">
        <f>HYPERLINK("https://www.wikidata.org/wiki/Q28496159", "Q28496159")</f>
        <v>0</v>
      </c>
      <c r="G11828" t="s">
        <v>3465</v>
      </c>
      <c r="H11828" t="s">
        <v>7838</v>
      </c>
      <c r="I11828" t="s">
        <v>9506</v>
      </c>
      <c r="J11828" t="s">
        <v>14066</v>
      </c>
      <c r="K11828" t="s">
        <v>18434</v>
      </c>
      <c r="L11828">
        <f>HYPERLINK("https://www2.assemblee-nationale.fr/sycomore/fiche/(num_dept)/4062", "4062")</f>
        <v>0</v>
      </c>
      <c r="M11828">
        <f>HYPERLINK("https://www.senat.fr/senateur-3eme-republique/jouffray_camille1192r3.html", "jouffray_camille1192r3")</f>
        <v>0</v>
      </c>
      <c r="N11828">
        <f>HYPERLINK("https://www.wikidata.org/wiki/Q2934968", "Q2934968")</f>
        <v>0</v>
      </c>
      <c r="O11828" t="s">
        <v>20006</v>
      </c>
      <c r="Q11828" t="s">
        <v>21157</v>
      </c>
      <c r="R11828" t="s">
        <v>21665</v>
      </c>
      <c r="S11828">
        <v>1672</v>
      </c>
    </row>
    <row r="11829" spans="1:19">
      <c r="A11829" t="s">
        <v>135</v>
      </c>
      <c r="B11829" t="s">
        <v>150</v>
      </c>
      <c r="C11829" t="s">
        <v>267</v>
      </c>
      <c r="D11829" t="s">
        <v>396</v>
      </c>
      <c r="F11829">
        <f>HYPERLINK("https://www.wikidata.org/wiki/Q28496159", "Q28496159")</f>
        <v>0</v>
      </c>
      <c r="G11829" t="s">
        <v>4878</v>
      </c>
      <c r="H11829" t="s">
        <v>8548</v>
      </c>
      <c r="I11829" t="s">
        <v>9385</v>
      </c>
      <c r="J11829" t="s">
        <v>15322</v>
      </c>
      <c r="K11829" t="s">
        <v>18345</v>
      </c>
      <c r="M11829">
        <f>HYPERLINK("https://www.senat.fr/senateur-3eme-republique/de_la_jaille_charles1272r3.html", "de_la_jaille_charles1272r3")</f>
        <v>0</v>
      </c>
      <c r="N11829">
        <f>HYPERLINK("https://www.wikidata.org/wiki/Q2960758", "Q2960758")</f>
        <v>0</v>
      </c>
      <c r="O11829" t="s">
        <v>20023</v>
      </c>
      <c r="Q11829" t="s">
        <v>21157</v>
      </c>
      <c r="R11829" t="s">
        <v>21665</v>
      </c>
      <c r="S11829">
        <v>1672</v>
      </c>
    </row>
    <row r="11830" spans="1:19">
      <c r="A11830" t="s">
        <v>135</v>
      </c>
      <c r="B11830" t="s">
        <v>150</v>
      </c>
      <c r="C11830" t="s">
        <v>267</v>
      </c>
      <c r="D11830" t="s">
        <v>396</v>
      </c>
      <c r="F11830">
        <f>HYPERLINK("https://www.wikidata.org/wiki/Q28496159", "Q28496159")</f>
        <v>0</v>
      </c>
      <c r="G11830" t="s">
        <v>4879</v>
      </c>
      <c r="H11830" t="s">
        <v>9016</v>
      </c>
      <c r="I11830" t="s">
        <v>6200</v>
      </c>
      <c r="J11830" t="s">
        <v>15323</v>
      </c>
      <c r="K11830" t="s">
        <v>19632</v>
      </c>
      <c r="M11830">
        <f>HYPERLINK("https://www.senat.fr/senateur-3eme-republique/cocula_jean0604r3.html", "cocula_jean0604r3")</f>
        <v>0</v>
      </c>
      <c r="N11830">
        <f>HYPERLINK("https://www.wikidata.org/wiki/Q3171360", "Q3171360")</f>
        <v>0</v>
      </c>
      <c r="O11830" t="s">
        <v>19974</v>
      </c>
      <c r="Q11830" t="s">
        <v>21158</v>
      </c>
      <c r="R11830" t="s">
        <v>21665</v>
      </c>
      <c r="S11830">
        <v>1644</v>
      </c>
    </row>
    <row r="11831" spans="1:19">
      <c r="A11831" t="s">
        <v>135</v>
      </c>
      <c r="B11831" t="s">
        <v>150</v>
      </c>
      <c r="C11831" t="s">
        <v>267</v>
      </c>
      <c r="D11831" t="s">
        <v>396</v>
      </c>
      <c r="F11831">
        <f>HYPERLINK("https://www.wikidata.org/wiki/Q28496159", "Q28496159")</f>
        <v>0</v>
      </c>
      <c r="G11831" t="s">
        <v>3732</v>
      </c>
      <c r="H11831" t="s">
        <v>8040</v>
      </c>
      <c r="I11831" t="s">
        <v>6759</v>
      </c>
      <c r="J11831" t="s">
        <v>14307</v>
      </c>
      <c r="K11831" t="s">
        <v>18661</v>
      </c>
      <c r="L11831">
        <f>HYPERLINK("https://www2.assemblee-nationale.fr/sycomore/fiche/(num_dept)/7149", "7149")</f>
        <v>0</v>
      </c>
      <c r="M11831">
        <f>HYPERLINK("https://www.senat.fr/senateur-3eme-republique/de_treveneuc_robert0572r3.html", "de_treveneuc_robert0572r3")</f>
        <v>0</v>
      </c>
      <c r="N11831">
        <f>HYPERLINK("https://www.wikidata.org/wiki/Q3436738", "Q3436738")</f>
        <v>0</v>
      </c>
      <c r="O11831" t="s">
        <v>19964</v>
      </c>
      <c r="Q11831" t="s">
        <v>20879</v>
      </c>
      <c r="R11831" t="s">
        <v>21675</v>
      </c>
      <c r="S11831">
        <v>503</v>
      </c>
    </row>
    <row r="11832" spans="1:19">
      <c r="A11832" t="s">
        <v>135</v>
      </c>
      <c r="B11832" t="s">
        <v>150</v>
      </c>
      <c r="C11832" t="s">
        <v>267</v>
      </c>
      <c r="D11832" t="s">
        <v>396</v>
      </c>
      <c r="F11832">
        <f>HYPERLINK("https://www.wikidata.org/wiki/Q28496159", "Q28496159")</f>
        <v>0</v>
      </c>
      <c r="G11832" t="s">
        <v>4880</v>
      </c>
      <c r="H11832" t="s">
        <v>9017</v>
      </c>
      <c r="I11832" t="s">
        <v>6860</v>
      </c>
      <c r="J11832" t="s">
        <v>15324</v>
      </c>
      <c r="K11832" t="s">
        <v>19633</v>
      </c>
      <c r="M11832">
        <f>HYPERLINK("https://www.senat.fr/senateur-3eme-republique/guillier_pierre0656r3.html", "guillier_pierre0656r3")</f>
        <v>0</v>
      </c>
      <c r="N11832">
        <f>HYPERLINK("https://www.wikidata.org/wiki/Q3385377", "Q3385377")</f>
        <v>0</v>
      </c>
      <c r="O11832" t="s">
        <v>20010</v>
      </c>
      <c r="Q11832" t="s">
        <v>21159</v>
      </c>
      <c r="R11832" t="s">
        <v>21675</v>
      </c>
      <c r="S11832">
        <v>454</v>
      </c>
    </row>
    <row r="11833" spans="1:19">
      <c r="A11833" t="s">
        <v>135</v>
      </c>
      <c r="B11833" t="s">
        <v>150</v>
      </c>
      <c r="C11833" t="s">
        <v>267</v>
      </c>
      <c r="D11833" t="s">
        <v>396</v>
      </c>
      <c r="F11833">
        <f>HYPERLINK("https://www.wikidata.org/wiki/Q28496159", "Q28496159")</f>
        <v>0</v>
      </c>
      <c r="G11833" t="s">
        <v>2646</v>
      </c>
      <c r="H11833" t="s">
        <v>6757</v>
      </c>
      <c r="I11833" t="s">
        <v>10335</v>
      </c>
      <c r="J11833" t="s">
        <v>13288</v>
      </c>
      <c r="K11833" t="s">
        <v>16054</v>
      </c>
      <c r="L11833">
        <f>HYPERLINK("https://www2.assemblee-nationale.fr/sycomore/fiche/(num_dept)/5941", "5941")</f>
        <v>0</v>
      </c>
      <c r="M11833">
        <f>HYPERLINK("https://www.senat.fr/senateur-3eme-republique/pinault_eugene0540r3.html", "pinault_eugene0540r3")</f>
        <v>0</v>
      </c>
      <c r="N11833">
        <f>HYPERLINK("https://www.wikidata.org/wiki/Q3060101", "Q3060101")</f>
        <v>0</v>
      </c>
      <c r="O11833" t="s">
        <v>19998</v>
      </c>
      <c r="Q11833" t="s">
        <v>20881</v>
      </c>
      <c r="R11833" t="s">
        <v>21665</v>
      </c>
      <c r="S11833">
        <v>1532</v>
      </c>
    </row>
    <row r="11834" spans="1:19">
      <c r="A11834" t="s">
        <v>135</v>
      </c>
      <c r="B11834" t="s">
        <v>150</v>
      </c>
      <c r="C11834" t="s">
        <v>267</v>
      </c>
      <c r="D11834" t="s">
        <v>396</v>
      </c>
      <c r="F11834">
        <f>HYPERLINK("https://www.wikidata.org/wiki/Q28496159", "Q28496159")</f>
        <v>0</v>
      </c>
      <c r="G11834" t="s">
        <v>3411</v>
      </c>
      <c r="H11834" t="s">
        <v>7797</v>
      </c>
      <c r="I11834" t="s">
        <v>10816</v>
      </c>
      <c r="J11834" t="s">
        <v>14017</v>
      </c>
      <c r="K11834" t="s">
        <v>18385</v>
      </c>
      <c r="L11834">
        <f>HYPERLINK("https://www2.assemblee-nationale.fr/sycomore/fiche/(num_dept)/1018", "1018")</f>
        <v>0</v>
      </c>
      <c r="M11834">
        <f>HYPERLINK("https://www.senat.fr/senateur-3eme-republique/boudenoot_louis0930r3.html", "boudenoot_louis0930r3")</f>
        <v>0</v>
      </c>
      <c r="N11834">
        <f>HYPERLINK("https://www.wikidata.org/wiki/Q3261324", "Q3261324")</f>
        <v>0</v>
      </c>
      <c r="O11834" t="s">
        <v>19968</v>
      </c>
      <c r="Q11834" t="s">
        <v>21160</v>
      </c>
      <c r="R11834" t="s">
        <v>21663</v>
      </c>
      <c r="S11834">
        <v>2617</v>
      </c>
    </row>
    <row r="11835" spans="1:19">
      <c r="A11835" t="s">
        <v>135</v>
      </c>
      <c r="B11835" t="s">
        <v>150</v>
      </c>
      <c r="C11835" t="s">
        <v>267</v>
      </c>
      <c r="D11835" t="s">
        <v>396</v>
      </c>
      <c r="F11835">
        <f>HYPERLINK("https://www.wikidata.org/wiki/Q28496159", "Q28496159")</f>
        <v>0</v>
      </c>
      <c r="G11835" t="s">
        <v>4881</v>
      </c>
      <c r="H11835" t="s">
        <v>9018</v>
      </c>
      <c r="I11835" t="s">
        <v>9534</v>
      </c>
      <c r="J11835" t="s">
        <v>15325</v>
      </c>
      <c r="K11835" t="s">
        <v>19634</v>
      </c>
      <c r="M11835">
        <f>HYPERLINK("https://www.senat.fr/senateur-3eme-republique/porquier_adolphe0815r3.html", "porquier_adolphe0815r3")</f>
        <v>0</v>
      </c>
      <c r="N11835">
        <f>HYPERLINK("https://www.wikidata.org/wiki/Q2824893", "Q2824893")</f>
        <v>0</v>
      </c>
      <c r="O11835" t="s">
        <v>20011</v>
      </c>
      <c r="Q11835" t="s">
        <v>19551</v>
      </c>
      <c r="R11835" t="s">
        <v>21675</v>
      </c>
      <c r="S11835">
        <v>412</v>
      </c>
    </row>
    <row r="11836" spans="1:19">
      <c r="A11836" t="s">
        <v>135</v>
      </c>
      <c r="B11836" t="s">
        <v>150</v>
      </c>
      <c r="C11836" t="s">
        <v>267</v>
      </c>
      <c r="D11836" t="s">
        <v>396</v>
      </c>
      <c r="F11836">
        <f>HYPERLINK("https://www.wikidata.org/wiki/Q28496159", "Q28496159")</f>
        <v>0</v>
      </c>
      <c r="G11836" t="s">
        <v>3667</v>
      </c>
      <c r="H11836" t="s">
        <v>5296</v>
      </c>
      <c r="I11836" t="s">
        <v>10925</v>
      </c>
      <c r="J11836" t="s">
        <v>14246</v>
      </c>
      <c r="K11836" t="s">
        <v>16434</v>
      </c>
      <c r="L11836">
        <f>HYPERLINK("https://www2.assemblee-nationale.fr/sycomore/fiche/(num_dept)/849", "849")</f>
        <v>0</v>
      </c>
      <c r="M11836">
        <f>HYPERLINK("https://www.senat.fr/senateur-3eme-republique/blanc_louis0729r3.html", "blanc_louis0729r3")</f>
        <v>0</v>
      </c>
      <c r="N11836">
        <f>HYPERLINK("https://www.wikidata.org/wiki/Q3261279", "Q3261279")</f>
        <v>0</v>
      </c>
      <c r="O11836" t="s">
        <v>20044</v>
      </c>
      <c r="Q11836" t="s">
        <v>21161</v>
      </c>
      <c r="R11836" t="s">
        <v>21675</v>
      </c>
      <c r="S11836">
        <v>321</v>
      </c>
    </row>
    <row r="11837" spans="1:19">
      <c r="A11837" t="s">
        <v>135</v>
      </c>
      <c r="B11837" t="s">
        <v>150</v>
      </c>
      <c r="C11837" t="s">
        <v>267</v>
      </c>
      <c r="D11837" t="s">
        <v>396</v>
      </c>
      <c r="F11837">
        <f>HYPERLINK("https://www.wikidata.org/wiki/Q28496159", "Q28496159")</f>
        <v>0</v>
      </c>
      <c r="G11837" t="s">
        <v>2539</v>
      </c>
      <c r="H11837" t="s">
        <v>7099</v>
      </c>
      <c r="I11837" t="s">
        <v>6175</v>
      </c>
      <c r="J11837" t="s">
        <v>13183</v>
      </c>
      <c r="K11837" t="s">
        <v>17588</v>
      </c>
      <c r="L11837">
        <f>HYPERLINK("https://www2.assemblee-nationale.fr/sycomore/fiche/(num_dept)/1844", "1844")</f>
        <v>0</v>
      </c>
      <c r="M11837">
        <f>HYPERLINK("https://www.senat.fr/senateur-3eme-republique/clemenceau_georges1741r3.html", "clemenceau_georges1741r3")</f>
        <v>0</v>
      </c>
      <c r="N11837">
        <f>HYPERLINK("https://www.wikidata.org/wiki/Q171730", "Q171730")</f>
        <v>0</v>
      </c>
      <c r="O11837" t="s">
        <v>20042</v>
      </c>
      <c r="Q11837" t="s">
        <v>21162</v>
      </c>
      <c r="R11837" t="s">
        <v>21663</v>
      </c>
      <c r="S11837">
        <v>2463</v>
      </c>
    </row>
    <row r="11838" spans="1:19">
      <c r="A11838" t="s">
        <v>135</v>
      </c>
      <c r="B11838" t="s">
        <v>150</v>
      </c>
      <c r="C11838" t="s">
        <v>267</v>
      </c>
      <c r="D11838" t="s">
        <v>396</v>
      </c>
      <c r="F11838">
        <f>HYPERLINK("https://www.wikidata.org/wiki/Q28496159", "Q28496159")</f>
        <v>0</v>
      </c>
      <c r="G11838" t="s">
        <v>4027</v>
      </c>
      <c r="H11838" t="s">
        <v>5361</v>
      </c>
      <c r="I11838" t="s">
        <v>9457</v>
      </c>
      <c r="J11838" t="s">
        <v>14570</v>
      </c>
      <c r="K11838" t="s">
        <v>18913</v>
      </c>
      <c r="L11838">
        <f>HYPERLINK("https://www2.assemblee-nationale.fr/sycomore/fiche/(num_dept)/2172", "2172")</f>
        <v>0</v>
      </c>
      <c r="M11838">
        <f>HYPERLINK("https://www.senat.fr/senateur-3eme-republique/david_henri0377r3.html", "david_henri0377r3")</f>
        <v>0</v>
      </c>
      <c r="N11838">
        <f>HYPERLINK("https://www.wikidata.org/wiki/Q3130917", "Q3130917")</f>
        <v>0</v>
      </c>
      <c r="O11838" t="s">
        <v>20039</v>
      </c>
      <c r="Q11838" t="s">
        <v>20883</v>
      </c>
      <c r="R11838" t="s">
        <v>21665</v>
      </c>
      <c r="S11838">
        <v>1350</v>
      </c>
    </row>
    <row r="11839" spans="1:19">
      <c r="A11839" t="s">
        <v>135</v>
      </c>
      <c r="B11839" t="s">
        <v>150</v>
      </c>
      <c r="C11839" t="s">
        <v>267</v>
      </c>
      <c r="D11839" t="s">
        <v>396</v>
      </c>
      <c r="F11839">
        <f>HYPERLINK("https://www.wikidata.org/wiki/Q28496159", "Q28496159")</f>
        <v>0</v>
      </c>
      <c r="G11839" t="s">
        <v>998</v>
      </c>
      <c r="H11839" t="s">
        <v>5750</v>
      </c>
      <c r="I11839" t="s">
        <v>9458</v>
      </c>
      <c r="J11839" t="s">
        <v>11736</v>
      </c>
      <c r="K11839" t="s">
        <v>16139</v>
      </c>
      <c r="L11839">
        <f>HYPERLINK("https://www2.assemblee-nationale.fr/sycomore/fiche/(num_dept)/5071", "5071")</f>
        <v>0</v>
      </c>
      <c r="M11839">
        <f>HYPERLINK("https://www.senat.fr/senateur-3eme-republique/masse_alfred1255r3.html", "masse_alfred1255r3")</f>
        <v>0</v>
      </c>
      <c r="N11839">
        <f>HYPERLINK("https://www.wikidata.org/wiki/Q2835313", "Q2835313")</f>
        <v>0</v>
      </c>
      <c r="O11839" t="s">
        <v>20032</v>
      </c>
      <c r="Q11839" t="s">
        <v>18994</v>
      </c>
      <c r="R11839" t="s">
        <v>21683</v>
      </c>
      <c r="S11839">
        <v>6453</v>
      </c>
    </row>
    <row r="11840" spans="1:19">
      <c r="A11840" t="s">
        <v>135</v>
      </c>
      <c r="B11840" t="s">
        <v>150</v>
      </c>
      <c r="C11840" t="s">
        <v>267</v>
      </c>
      <c r="D11840" t="s">
        <v>396</v>
      </c>
      <c r="F11840">
        <f>HYPERLINK("https://www.wikidata.org/wiki/Q28496159", "Q28496159")</f>
        <v>0</v>
      </c>
      <c r="G11840" t="s">
        <v>4882</v>
      </c>
      <c r="H11840" t="s">
        <v>9019</v>
      </c>
      <c r="I11840" t="s">
        <v>9506</v>
      </c>
      <c r="J11840" t="s">
        <v>15326</v>
      </c>
      <c r="K11840" t="s">
        <v>19635</v>
      </c>
      <c r="M11840">
        <f>HYPERLINK("https://www.senat.fr/senateur-3eme-republique/dethil_camille1725r3.html", "dethil_camille1725r3")</f>
        <v>0</v>
      </c>
      <c r="N11840">
        <f>HYPERLINK("https://www.wikidata.org/wiki/Q1029162", "Q1029162")</f>
        <v>0</v>
      </c>
      <c r="O11840" t="s">
        <v>20045</v>
      </c>
      <c r="Q11840" t="s">
        <v>21163</v>
      </c>
      <c r="R11840" t="s">
        <v>19635</v>
      </c>
      <c r="S11840">
        <v>22</v>
      </c>
    </row>
    <row r="11841" spans="1:19">
      <c r="A11841" t="s">
        <v>135</v>
      </c>
      <c r="B11841" t="s">
        <v>150</v>
      </c>
      <c r="C11841" t="s">
        <v>267</v>
      </c>
      <c r="D11841" t="s">
        <v>396</v>
      </c>
      <c r="F11841">
        <f>HYPERLINK("https://www.wikidata.org/wiki/Q28496159", "Q28496159")</f>
        <v>0</v>
      </c>
      <c r="G11841" t="s">
        <v>4883</v>
      </c>
      <c r="H11841" t="s">
        <v>9020</v>
      </c>
      <c r="I11841" t="s">
        <v>9465</v>
      </c>
      <c r="J11841" t="s">
        <v>15327</v>
      </c>
      <c r="K11841" t="s">
        <v>19636</v>
      </c>
      <c r="M11841">
        <f>HYPERLINK("https://www.senat.fr/senateur-3eme-republique/pic_paris_eugene0305r3.html", "pic_paris_eugene0305r3")</f>
        <v>0</v>
      </c>
      <c r="N11841">
        <f>HYPERLINK("https://www.wikidata.org/wiki/Q3060094", "Q3060094")</f>
        <v>0</v>
      </c>
      <c r="O11841" t="s">
        <v>20008</v>
      </c>
      <c r="Q11841" t="s">
        <v>13097</v>
      </c>
      <c r="R11841" t="s">
        <v>21665</v>
      </c>
      <c r="S11841">
        <v>1238</v>
      </c>
    </row>
    <row r="11842" spans="1:19">
      <c r="A11842" t="s">
        <v>135</v>
      </c>
      <c r="B11842" t="s">
        <v>150</v>
      </c>
      <c r="C11842" t="s">
        <v>267</v>
      </c>
      <c r="D11842" t="s">
        <v>396</v>
      </c>
      <c r="F11842">
        <f>HYPERLINK("https://www.wikidata.org/wiki/Q28496159", "Q28496159")</f>
        <v>0</v>
      </c>
      <c r="G11842" t="s">
        <v>2821</v>
      </c>
      <c r="H11842" t="s">
        <v>5638</v>
      </c>
      <c r="I11842" t="s">
        <v>9483</v>
      </c>
      <c r="J11842" t="s">
        <v>13461</v>
      </c>
      <c r="K11842" t="s">
        <v>17852</v>
      </c>
      <c r="L11842">
        <f>HYPERLINK("https://www2.assemblee-nationale.fr/sycomore/fiche/(num_dept)/8133", "8133")</f>
        <v>0</v>
      </c>
      <c r="M11842">
        <f>HYPERLINK("https://www.senat.fr/senateur-3eme-republique/bougues_victor0094r3.html", "bougues_victor0094r3")</f>
        <v>0</v>
      </c>
      <c r="N11842">
        <f>HYPERLINK("https://www.wikidata.org/wiki/Q3557176", "Q3557176")</f>
        <v>0</v>
      </c>
      <c r="O11842" t="s">
        <v>20016</v>
      </c>
      <c r="Q11842" t="s">
        <v>20887</v>
      </c>
      <c r="R11842" t="s">
        <v>21665</v>
      </c>
      <c r="S11842">
        <v>1217</v>
      </c>
    </row>
    <row r="11843" spans="1:19">
      <c r="A11843" t="s">
        <v>135</v>
      </c>
      <c r="B11843" t="s">
        <v>150</v>
      </c>
      <c r="C11843" t="s">
        <v>267</v>
      </c>
      <c r="D11843" t="s">
        <v>396</v>
      </c>
      <c r="F11843">
        <f>HYPERLINK("https://www.wikidata.org/wiki/Q28496159", "Q28496159")</f>
        <v>0</v>
      </c>
      <c r="G11843" t="s">
        <v>4884</v>
      </c>
      <c r="H11843" t="s">
        <v>9021</v>
      </c>
      <c r="I11843" t="s">
        <v>11230</v>
      </c>
      <c r="J11843" t="s">
        <v>15328</v>
      </c>
      <c r="K11843" t="s">
        <v>282</v>
      </c>
      <c r="M11843">
        <f>HYPERLINK("https://www.senat.fr/senateur-3eme-republique/faure_maurice0716r3.html", "faure_maurice0716r3")</f>
        <v>0</v>
      </c>
      <c r="N11843">
        <f>HYPERLINK("https://www.wikidata.org/wiki/Q3300775", "Q3300775")</f>
        <v>0</v>
      </c>
      <c r="O11843" t="s">
        <v>20044</v>
      </c>
      <c r="Q11843" t="s">
        <v>21164</v>
      </c>
      <c r="R11843" t="s">
        <v>21675</v>
      </c>
      <c r="S11843">
        <v>111</v>
      </c>
    </row>
    <row r="11844" spans="1:19">
      <c r="A11844" t="s">
        <v>136</v>
      </c>
      <c r="B11844" t="s">
        <v>150</v>
      </c>
      <c r="C11844" t="s">
        <v>268</v>
      </c>
      <c r="D11844" t="s">
        <v>397</v>
      </c>
      <c r="F11844">
        <f>HYPERLINK("https://www.wikidata.org/wiki/Q35203776", "Q35203776")</f>
        <v>0</v>
      </c>
      <c r="G11844" t="s">
        <v>861</v>
      </c>
      <c r="H11844" t="s">
        <v>5617</v>
      </c>
      <c r="I11844" t="s">
        <v>6495</v>
      </c>
      <c r="J11844" t="s">
        <v>11607</v>
      </c>
      <c r="K11844" t="s">
        <v>16009</v>
      </c>
      <c r="L11844">
        <f>HYPERLINK("https://www2.assemblee-nationale.fr/sycomore/fiche/(num_dept)/139", "139")</f>
        <v>0</v>
      </c>
      <c r="M11844">
        <f>HYPERLINK("https://www.senat.fr/senateur-3eme-republique/andrieux_louis0059r3.html", "andrieux_louis0059r3")</f>
        <v>0</v>
      </c>
      <c r="N11844">
        <f>HYPERLINK("https://www.wikidata.org/wiki/Q1507996", "Q1507996")</f>
        <v>0</v>
      </c>
      <c r="O11844" t="s">
        <v>20033</v>
      </c>
      <c r="Q11844" t="s">
        <v>397</v>
      </c>
      <c r="R11844" t="s">
        <v>21611</v>
      </c>
      <c r="S11844">
        <v>23</v>
      </c>
    </row>
    <row r="11845" spans="1:19">
      <c r="A11845" t="s">
        <v>136</v>
      </c>
      <c r="B11845" t="s">
        <v>150</v>
      </c>
      <c r="C11845" t="s">
        <v>268</v>
      </c>
      <c r="D11845" t="s">
        <v>397</v>
      </c>
      <c r="F11845">
        <f>HYPERLINK("https://www.wikidata.org/wiki/Q35203776", "Q35203776")</f>
        <v>0</v>
      </c>
      <c r="G11845" t="s">
        <v>2498</v>
      </c>
      <c r="H11845" t="s">
        <v>5948</v>
      </c>
      <c r="I11845" t="s">
        <v>10247</v>
      </c>
      <c r="J11845" t="s">
        <v>13142</v>
      </c>
      <c r="K11845" t="s">
        <v>17550</v>
      </c>
      <c r="L11845">
        <f>HYPERLINK("https://www2.assemblee-nationale.fr/sycomore/fiche/(num_dept)/685", "685")</f>
        <v>0</v>
      </c>
      <c r="M11845">
        <f>HYPERLINK("https://www.senat.fr/senateur-3eme-republique/bernard_jean0686r3.html", "bernard_jean0686r3")</f>
        <v>0</v>
      </c>
      <c r="N11845">
        <f>HYPERLINK("https://www.wikidata.org/wiki/Q3170720", "Q3170720")</f>
        <v>0</v>
      </c>
      <c r="O11845" t="s">
        <v>19973</v>
      </c>
      <c r="Q11845" t="s">
        <v>397</v>
      </c>
      <c r="R11845" t="s">
        <v>21650</v>
      </c>
      <c r="S11845">
        <v>15631</v>
      </c>
    </row>
    <row r="11846" spans="1:19">
      <c r="A11846" t="s">
        <v>136</v>
      </c>
      <c r="B11846" t="s">
        <v>150</v>
      </c>
      <c r="C11846" t="s">
        <v>268</v>
      </c>
      <c r="D11846" t="s">
        <v>397</v>
      </c>
      <c r="F11846">
        <f>HYPERLINK("https://www.wikidata.org/wiki/Q35203776", "Q35203776")</f>
        <v>0</v>
      </c>
      <c r="G11846" t="s">
        <v>3667</v>
      </c>
      <c r="H11846" t="s">
        <v>5296</v>
      </c>
      <c r="I11846" t="s">
        <v>10925</v>
      </c>
      <c r="J11846" t="s">
        <v>14246</v>
      </c>
      <c r="K11846" t="s">
        <v>16434</v>
      </c>
      <c r="L11846">
        <f>HYPERLINK("https://www2.assemblee-nationale.fr/sycomore/fiche/(num_dept)/849", "849")</f>
        <v>0</v>
      </c>
      <c r="M11846">
        <f>HYPERLINK("https://www.senat.fr/senateur-3eme-republique/blanc_louis0729r3.html", "blanc_louis0729r3")</f>
        <v>0</v>
      </c>
      <c r="N11846">
        <f>HYPERLINK("https://www.wikidata.org/wiki/Q3261279", "Q3261279")</f>
        <v>0</v>
      </c>
      <c r="O11846" t="s">
        <v>20044</v>
      </c>
      <c r="Q11846" t="s">
        <v>397</v>
      </c>
      <c r="R11846" t="s">
        <v>21678</v>
      </c>
      <c r="S11846">
        <v>3289</v>
      </c>
    </row>
    <row r="11847" spans="1:19">
      <c r="A11847" t="s">
        <v>136</v>
      </c>
      <c r="B11847" t="s">
        <v>150</v>
      </c>
      <c r="C11847" t="s">
        <v>268</v>
      </c>
      <c r="D11847" t="s">
        <v>397</v>
      </c>
      <c r="F11847">
        <f>HYPERLINK("https://www.wikidata.org/wiki/Q35203776", "Q35203776")</f>
        <v>0</v>
      </c>
      <c r="G11847" t="s">
        <v>2508</v>
      </c>
      <c r="H11847" t="s">
        <v>7076</v>
      </c>
      <c r="I11847" t="s">
        <v>10254</v>
      </c>
      <c r="J11847" t="s">
        <v>13152</v>
      </c>
      <c r="K11847" t="s">
        <v>17560</v>
      </c>
      <c r="L11847">
        <f>HYPERLINK("https://www2.assemblee-nationale.fr/sycomore/fiche/(num_dept)/915", "915")</f>
        <v>0</v>
      </c>
      <c r="M11847">
        <f>HYPERLINK("https://www.senat.fr/senateur-3eme-republique/boissy_d_anglas_francois0142r3.html", "boissy_d_anglas_francois0142r3")</f>
        <v>0</v>
      </c>
      <c r="N11847">
        <f>HYPERLINK("https://www.wikidata.org/wiki/Q3084012", "Q3084012")</f>
        <v>0</v>
      </c>
      <c r="O11847" t="s">
        <v>19991</v>
      </c>
      <c r="Q11847" t="s">
        <v>397</v>
      </c>
      <c r="R11847" t="s">
        <v>21678</v>
      </c>
      <c r="S11847">
        <v>3289</v>
      </c>
    </row>
    <row r="11848" spans="1:19">
      <c r="A11848" t="s">
        <v>136</v>
      </c>
      <c r="B11848" t="s">
        <v>150</v>
      </c>
      <c r="C11848" t="s">
        <v>268</v>
      </c>
      <c r="D11848" t="s">
        <v>397</v>
      </c>
      <c r="F11848">
        <f>HYPERLINK("https://www.wikidata.org/wiki/Q35203776", "Q35203776")</f>
        <v>0</v>
      </c>
      <c r="G11848" t="s">
        <v>3535</v>
      </c>
      <c r="H11848" t="s">
        <v>7896</v>
      </c>
      <c r="I11848" t="s">
        <v>10869</v>
      </c>
      <c r="J11848" t="s">
        <v>14014</v>
      </c>
      <c r="K11848" t="s">
        <v>18493</v>
      </c>
      <c r="L11848">
        <f>HYPERLINK("https://www2.assemblee-nationale.fr/sycomore/fiche/(num_dept)/941", "941")</f>
        <v>0</v>
      </c>
      <c r="M11848">
        <f>HYPERLINK("https://www.senat.fr/senateur-3eme-republique/bonnefoy_sibour_georges0827r3.html", "bonnefoy_sibour_georges0827r3")</f>
        <v>0</v>
      </c>
      <c r="N11848">
        <f>HYPERLINK("https://www.wikidata.org/wiki/Q1508807", "Q1508807")</f>
        <v>0</v>
      </c>
      <c r="O11848" t="s">
        <v>20014</v>
      </c>
      <c r="Q11848" t="s">
        <v>397</v>
      </c>
      <c r="R11848" t="s">
        <v>21678</v>
      </c>
      <c r="S11848">
        <v>3289</v>
      </c>
    </row>
    <row r="11849" spans="1:19">
      <c r="A11849" t="s">
        <v>136</v>
      </c>
      <c r="B11849" t="s">
        <v>150</v>
      </c>
      <c r="C11849" t="s">
        <v>268</v>
      </c>
      <c r="D11849" t="s">
        <v>397</v>
      </c>
      <c r="F11849">
        <f>HYPERLINK("https://www.wikidata.org/wiki/Q35203776", "Q35203776")</f>
        <v>0</v>
      </c>
      <c r="G11849" t="s">
        <v>3895</v>
      </c>
      <c r="H11849" t="s">
        <v>8155</v>
      </c>
      <c r="I11849" t="s">
        <v>11018</v>
      </c>
      <c r="J11849" t="s">
        <v>14452</v>
      </c>
      <c r="K11849" t="s">
        <v>18803</v>
      </c>
      <c r="L11849">
        <f>HYPERLINK("https://www2.assemblee-nationale.fr/sycomore/fiche/(num_dept)/981", "981")</f>
        <v>0</v>
      </c>
      <c r="M11849">
        <f>HYPERLINK("https://www.senat.fr/senateur-3eme-republique/borne_charles0678r3.html", "borne_charles0678r3")</f>
        <v>0</v>
      </c>
      <c r="N11849">
        <f>HYPERLINK("https://www.wikidata.org/wiki/Q2958581", "Q2958581")</f>
        <v>0</v>
      </c>
      <c r="O11849" t="s">
        <v>19973</v>
      </c>
      <c r="Q11849" t="s">
        <v>397</v>
      </c>
      <c r="R11849" t="s">
        <v>21678</v>
      </c>
      <c r="S11849">
        <v>3289</v>
      </c>
    </row>
    <row r="11850" spans="1:19">
      <c r="A11850" t="s">
        <v>136</v>
      </c>
      <c r="B11850" t="s">
        <v>150</v>
      </c>
      <c r="C11850" t="s">
        <v>268</v>
      </c>
      <c r="D11850" t="s">
        <v>397</v>
      </c>
      <c r="F11850">
        <f>HYPERLINK("https://www.wikidata.org/wiki/Q35203776", "Q35203776")</f>
        <v>0</v>
      </c>
      <c r="G11850" t="s">
        <v>2482</v>
      </c>
      <c r="H11850" t="s">
        <v>7055</v>
      </c>
      <c r="I11850" t="s">
        <v>10236</v>
      </c>
      <c r="J11850" t="s">
        <v>13126</v>
      </c>
      <c r="K11850" t="s">
        <v>17536</v>
      </c>
      <c r="L11850">
        <f>HYPERLINK("https://www2.assemblee-nationale.fr/sycomore/fiche/(num_dept)/1672", "1672")</f>
        <v>0</v>
      </c>
      <c r="M11850">
        <f>HYPERLINK("https://www.senat.fr/senateur-3eme-republique/charmes_francis0370r3.html", "charmes_francis0370r3")</f>
        <v>0</v>
      </c>
      <c r="N11850">
        <f>HYPERLINK("https://www.wikidata.org/wiki/Q2341785", "Q2341785")</f>
        <v>0</v>
      </c>
      <c r="O11850" t="s">
        <v>19966</v>
      </c>
      <c r="Q11850" t="s">
        <v>397</v>
      </c>
      <c r="R11850" t="s">
        <v>21650</v>
      </c>
      <c r="S11850">
        <v>15631</v>
      </c>
    </row>
    <row r="11851" spans="1:19">
      <c r="A11851" t="s">
        <v>136</v>
      </c>
      <c r="B11851" t="s">
        <v>150</v>
      </c>
      <c r="C11851" t="s">
        <v>268</v>
      </c>
      <c r="D11851" t="s">
        <v>397</v>
      </c>
      <c r="F11851">
        <f>HYPERLINK("https://www.wikidata.org/wiki/Q35203776", "Q35203776")</f>
        <v>0</v>
      </c>
      <c r="G11851" t="s">
        <v>3241</v>
      </c>
      <c r="H11851" t="s">
        <v>7665</v>
      </c>
      <c r="I11851" t="s">
        <v>10726</v>
      </c>
      <c r="J11851" t="s">
        <v>13859</v>
      </c>
      <c r="K11851" t="s">
        <v>18231</v>
      </c>
      <c r="L11851">
        <f>HYPERLINK("https://www2.assemblee-nationale.fr/sycomore/fiche/(num_dept)/2063", "2063")</f>
        <v>0</v>
      </c>
      <c r="M11851">
        <f>HYPERLINK("https://www.senat.fr/senateur-3eme-republique/cremieux_fernand0821r3.html", "cremieux_fernand0821r3")</f>
        <v>0</v>
      </c>
      <c r="N11851">
        <f>HYPERLINK("https://www.wikidata.org/wiki/Q1406493", "Q1406493")</f>
        <v>0</v>
      </c>
      <c r="O11851" t="s">
        <v>20014</v>
      </c>
      <c r="Q11851" t="s">
        <v>397</v>
      </c>
      <c r="R11851" t="s">
        <v>21678</v>
      </c>
      <c r="S11851">
        <v>3289</v>
      </c>
    </row>
    <row r="11852" spans="1:19">
      <c r="A11852" t="s">
        <v>136</v>
      </c>
      <c r="B11852" t="s">
        <v>150</v>
      </c>
      <c r="C11852" t="s">
        <v>268</v>
      </c>
      <c r="D11852" t="s">
        <v>397</v>
      </c>
      <c r="F11852">
        <f>HYPERLINK("https://www.wikidata.org/wiki/Q35203776", "Q35203776")</f>
        <v>0</v>
      </c>
      <c r="G11852" t="s">
        <v>3242</v>
      </c>
      <c r="H11852" t="s">
        <v>7666</v>
      </c>
      <c r="I11852" t="s">
        <v>10727</v>
      </c>
      <c r="J11852" t="s">
        <v>13860</v>
      </c>
      <c r="K11852" t="s">
        <v>16223</v>
      </c>
      <c r="L11852">
        <f>HYPERLINK("https://www2.assemblee-nationale.fr/sycomore/fiche/(num_dept)/2309", "2309")</f>
        <v>0</v>
      </c>
      <c r="M11852">
        <f>HYPERLINK("https://www.senat.fr/senateur-3eme-republique/dellestable_antoine0462r3.html", "dellestable_antoine0462r3")</f>
        <v>0</v>
      </c>
      <c r="N11852">
        <f>HYPERLINK("https://www.wikidata.org/wiki/Q2853848", "Q2853848")</f>
        <v>0</v>
      </c>
      <c r="O11852" t="s">
        <v>20020</v>
      </c>
      <c r="Q11852" t="s">
        <v>397</v>
      </c>
      <c r="R11852" t="s">
        <v>21678</v>
      </c>
      <c r="S11852">
        <v>3289</v>
      </c>
    </row>
    <row r="11853" spans="1:19">
      <c r="A11853" t="s">
        <v>136</v>
      </c>
      <c r="B11853" t="s">
        <v>150</v>
      </c>
      <c r="C11853" t="s">
        <v>268</v>
      </c>
      <c r="D11853" t="s">
        <v>397</v>
      </c>
      <c r="F11853">
        <f>HYPERLINK("https://www.wikidata.org/wiki/Q35203776", "Q35203776")</f>
        <v>0</v>
      </c>
      <c r="G11853" t="s">
        <v>3648</v>
      </c>
      <c r="H11853" t="s">
        <v>7979</v>
      </c>
      <c r="I11853" t="s">
        <v>10918</v>
      </c>
      <c r="J11853" t="s">
        <v>14228</v>
      </c>
      <c r="K11853" t="s">
        <v>18590</v>
      </c>
      <c r="L11853">
        <f>HYPERLINK("https://www2.assemblee-nationale.fr/sycomore/fiche/(num_dept)/2386", "2386")</f>
        <v>0</v>
      </c>
      <c r="M11853">
        <f>HYPERLINK("https://www.senat.fr/senateur-3eme-republique/denoix_arnaud0671r3.html", "denoix_arnaud0671r3")</f>
        <v>0</v>
      </c>
      <c r="N11853">
        <f>HYPERLINK("https://www.wikidata.org/wiki/Q2863097", "Q2863097")</f>
        <v>0</v>
      </c>
      <c r="O11853" t="s">
        <v>20010</v>
      </c>
      <c r="Q11853" t="s">
        <v>397</v>
      </c>
      <c r="R11853" t="s">
        <v>21678</v>
      </c>
      <c r="S11853">
        <v>3289</v>
      </c>
    </row>
    <row r="11854" spans="1:19">
      <c r="A11854" t="s">
        <v>136</v>
      </c>
      <c r="B11854" t="s">
        <v>150</v>
      </c>
      <c r="C11854" t="s">
        <v>268</v>
      </c>
      <c r="D11854" t="s">
        <v>397</v>
      </c>
      <c r="F11854">
        <f>HYPERLINK("https://www.wikidata.org/wiki/Q35203776", "Q35203776")</f>
        <v>0</v>
      </c>
      <c r="G11854" t="s">
        <v>2950</v>
      </c>
      <c r="H11854" t="s">
        <v>7424</v>
      </c>
      <c r="I11854" t="s">
        <v>9612</v>
      </c>
      <c r="J11854" t="s">
        <v>13583</v>
      </c>
      <c r="K11854" t="s">
        <v>17968</v>
      </c>
      <c r="L11854">
        <f>HYPERLINK("https://www2.assemblee-nationale.fr/sycomore/fiche/(num_dept)/2445", "2445")</f>
        <v>0</v>
      </c>
      <c r="M11854">
        <f>HYPERLINK("https://www.senat.fr/senateur-3eme-republique/desmons_frederic0832r3.html", "desmons_frederic0832r3")</f>
        <v>0</v>
      </c>
      <c r="N11854">
        <f>HYPERLINK("https://www.wikidata.org/wiki/Q346783", "Q346783")</f>
        <v>0</v>
      </c>
      <c r="O11854" t="s">
        <v>20014</v>
      </c>
      <c r="Q11854" t="s">
        <v>397</v>
      </c>
      <c r="R11854" t="s">
        <v>21650</v>
      </c>
      <c r="S11854">
        <v>15631</v>
      </c>
    </row>
    <row r="11855" spans="1:19">
      <c r="A11855" t="s">
        <v>136</v>
      </c>
      <c r="B11855" t="s">
        <v>150</v>
      </c>
      <c r="C11855" t="s">
        <v>268</v>
      </c>
      <c r="D11855" t="s">
        <v>397</v>
      </c>
      <c r="F11855">
        <f>HYPERLINK("https://www.wikidata.org/wiki/Q35203776", "Q35203776")</f>
        <v>0</v>
      </c>
      <c r="G11855" t="s">
        <v>3057</v>
      </c>
      <c r="H11855" t="s">
        <v>7511</v>
      </c>
      <c r="I11855" t="s">
        <v>10602</v>
      </c>
      <c r="J11855" t="s">
        <v>13683</v>
      </c>
      <c r="K11855" t="s">
        <v>18064</v>
      </c>
      <c r="L11855">
        <f>HYPERLINK("https://www2.assemblee-nationale.fr/sycomore/fiche/(num_dept)/3076", "3076")</f>
        <v>0</v>
      </c>
      <c r="M11855">
        <f>HYPERLINK("https://www.senat.fr/senateur-3eme-republique/fougeirol_edouard0132r3.html", "fougeirol_edouard0132r3")</f>
        <v>0</v>
      </c>
      <c r="N11855">
        <f>HYPERLINK("https://www.wikidata.org/wiki/Q3579840", "Q3579840")</f>
        <v>0</v>
      </c>
      <c r="O11855" t="s">
        <v>19991</v>
      </c>
      <c r="Q11855" t="s">
        <v>397</v>
      </c>
      <c r="R11855" t="s">
        <v>21650</v>
      </c>
      <c r="S11855">
        <v>15631</v>
      </c>
    </row>
    <row r="11856" spans="1:19">
      <c r="A11856" t="s">
        <v>136</v>
      </c>
      <c r="B11856" t="s">
        <v>150</v>
      </c>
      <c r="C11856" t="s">
        <v>268</v>
      </c>
      <c r="D11856" t="s">
        <v>397</v>
      </c>
      <c r="F11856">
        <f>HYPERLINK("https://www.wikidata.org/wiki/Q35203776", "Q35203776")</f>
        <v>0</v>
      </c>
      <c r="G11856" t="s">
        <v>3777</v>
      </c>
      <c r="H11856" t="s">
        <v>8070</v>
      </c>
      <c r="I11856" t="s">
        <v>9500</v>
      </c>
      <c r="J11856" t="s">
        <v>14347</v>
      </c>
      <c r="K11856" t="s">
        <v>18699</v>
      </c>
      <c r="L11856">
        <f>HYPERLINK("https://www2.assemblee-nationale.fr/sycomore/fiche/(num_dept)/3170", "3170")</f>
        <v>0</v>
      </c>
      <c r="M11856">
        <f>HYPERLINK("https://www.senat.fr/senateur-3eme-republique/fruchier_lazare0067r3.html", "fruchier_lazare0067r3")</f>
        <v>0</v>
      </c>
      <c r="N11856">
        <f>HYPERLINK("https://www.wikidata.org/wiki/Q3220003", "Q3220003")</f>
        <v>0</v>
      </c>
      <c r="O11856" t="s">
        <v>20033</v>
      </c>
      <c r="Q11856" t="s">
        <v>397</v>
      </c>
      <c r="R11856" t="s">
        <v>21650</v>
      </c>
      <c r="S11856">
        <v>15631</v>
      </c>
    </row>
    <row r="11857" spans="1:19">
      <c r="A11857" t="s">
        <v>136</v>
      </c>
      <c r="B11857" t="s">
        <v>150</v>
      </c>
      <c r="C11857" t="s">
        <v>268</v>
      </c>
      <c r="D11857" t="s">
        <v>397</v>
      </c>
      <c r="F11857">
        <f>HYPERLINK("https://www.wikidata.org/wiki/Q35203776", "Q35203776")</f>
        <v>0</v>
      </c>
      <c r="G11857" t="s">
        <v>3558</v>
      </c>
      <c r="H11857" t="s">
        <v>7912</v>
      </c>
      <c r="I11857" t="s">
        <v>10881</v>
      </c>
      <c r="J11857" t="s">
        <v>14147</v>
      </c>
      <c r="K11857" t="s">
        <v>18514</v>
      </c>
      <c r="L11857">
        <f>HYPERLINK("https://www2.assemblee-nationale.fr/sycomore/fiche/(num_dept)/3191", "3191")</f>
        <v>0</v>
      </c>
      <c r="M11857">
        <f>HYPERLINK("https://www.senat.fr/senateur-3eme-republique/gacon_jules0043r3.html", "gacon_jules0043r3")</f>
        <v>0</v>
      </c>
      <c r="N11857">
        <f>HYPERLINK("https://www.wikidata.org/wiki/Q3188598", "Q3188598")</f>
        <v>0</v>
      </c>
      <c r="O11857" t="s">
        <v>19999</v>
      </c>
      <c r="Q11857" t="s">
        <v>397</v>
      </c>
      <c r="R11857" t="s">
        <v>21678</v>
      </c>
      <c r="S11857">
        <v>3289</v>
      </c>
    </row>
    <row r="11858" spans="1:19">
      <c r="A11858" t="s">
        <v>136</v>
      </c>
      <c r="B11858" t="s">
        <v>150</v>
      </c>
      <c r="C11858" t="s">
        <v>268</v>
      </c>
      <c r="D11858" t="s">
        <v>397</v>
      </c>
      <c r="F11858">
        <f>HYPERLINK("https://www.wikidata.org/wiki/Q35203776", "Q35203776")</f>
        <v>0</v>
      </c>
      <c r="G11858" t="s">
        <v>3444</v>
      </c>
      <c r="H11858" t="s">
        <v>7529</v>
      </c>
      <c r="I11858" t="s">
        <v>10830</v>
      </c>
      <c r="J11858" t="s">
        <v>14048</v>
      </c>
      <c r="K11858" t="s">
        <v>18416</v>
      </c>
      <c r="L11858">
        <f>HYPERLINK("https://www2.assemblee-nationale.fr/sycomore/fiche/(num_dept)/3261", "3261")</f>
        <v>0</v>
      </c>
      <c r="M11858">
        <f>HYPERLINK("https://www.senat.fr/senateur-3eme-republique/garnier_frederic0419r3.html", "garnier_frederic0419r3")</f>
        <v>0</v>
      </c>
      <c r="N11858">
        <f>HYPERLINK("https://www.wikidata.org/wiki/Q3089831", "Q3089831")</f>
        <v>0</v>
      </c>
      <c r="O11858" t="s">
        <v>20037</v>
      </c>
      <c r="Q11858" t="s">
        <v>397</v>
      </c>
      <c r="R11858" t="s">
        <v>18416</v>
      </c>
      <c r="S11858">
        <v>945</v>
      </c>
    </row>
    <row r="11859" spans="1:19">
      <c r="A11859" t="s">
        <v>136</v>
      </c>
      <c r="B11859" t="s">
        <v>150</v>
      </c>
      <c r="C11859" t="s">
        <v>268</v>
      </c>
      <c r="D11859" t="s">
        <v>397</v>
      </c>
      <c r="F11859">
        <f>HYPERLINK("https://www.wikidata.org/wiki/Q35203776", "Q35203776")</f>
        <v>0</v>
      </c>
      <c r="G11859" t="s">
        <v>1257</v>
      </c>
      <c r="H11859" t="s">
        <v>5981</v>
      </c>
      <c r="I11859" t="s">
        <v>9593</v>
      </c>
      <c r="J11859" t="s">
        <v>11987</v>
      </c>
      <c r="K11859" t="s">
        <v>16390</v>
      </c>
      <c r="L11859">
        <f>HYPERLINK("https://www2.assemblee-nationale.fr/sycomore/fiche/(num_dept)/3398", "3398")</f>
        <v>0</v>
      </c>
      <c r="M11859">
        <f>HYPERLINK("https://www.senat.fr/senateur-3eme-republique/giaccobi_jules0472r3.html", "giaccobi_jules0472r3")</f>
        <v>0</v>
      </c>
      <c r="N11859">
        <f>HYPERLINK("https://www.wikidata.org/wiki/Q3293802", "Q3293802")</f>
        <v>0</v>
      </c>
      <c r="O11859" t="s">
        <v>19955</v>
      </c>
      <c r="Q11859" t="s">
        <v>397</v>
      </c>
      <c r="R11859" t="s">
        <v>21678</v>
      </c>
      <c r="S11859">
        <v>3289</v>
      </c>
    </row>
    <row r="11860" spans="1:19">
      <c r="A11860" t="s">
        <v>136</v>
      </c>
      <c r="B11860" t="s">
        <v>150</v>
      </c>
      <c r="C11860" t="s">
        <v>268</v>
      </c>
      <c r="D11860" t="s">
        <v>397</v>
      </c>
      <c r="F11860">
        <f>HYPERLINK("https://www.wikidata.org/wiki/Q35203776", "Q35203776")</f>
        <v>0</v>
      </c>
      <c r="G11860" t="s">
        <v>3063</v>
      </c>
      <c r="H11860" t="s">
        <v>7516</v>
      </c>
      <c r="I11860" t="s">
        <v>9438</v>
      </c>
      <c r="J11860" t="s">
        <v>13687</v>
      </c>
      <c r="K11860" t="s">
        <v>18070</v>
      </c>
      <c r="L11860">
        <f>HYPERLINK("https://www2.assemblee-nationale.fr/sycomore/fiche/(num_dept)/3405", "3405")</f>
        <v>0</v>
      </c>
      <c r="M11860">
        <f>HYPERLINK("https://www.senat.fr/senateur-3eme-republique/giguet_honore0009r3.html", "giguet_honore0009r3")</f>
        <v>0</v>
      </c>
      <c r="N11860">
        <f>HYPERLINK("https://www.wikidata.org/wiki/Q3140225", "Q3140225")</f>
        <v>0</v>
      </c>
      <c r="O11860" t="s">
        <v>19986</v>
      </c>
      <c r="Q11860" t="s">
        <v>397</v>
      </c>
      <c r="R11860" t="s">
        <v>21650</v>
      </c>
      <c r="S11860">
        <v>15631</v>
      </c>
    </row>
    <row r="11861" spans="1:19">
      <c r="A11861" t="s">
        <v>136</v>
      </c>
      <c r="B11861" t="s">
        <v>150</v>
      </c>
      <c r="C11861" t="s">
        <v>268</v>
      </c>
      <c r="D11861" t="s">
        <v>397</v>
      </c>
      <c r="F11861">
        <f>HYPERLINK("https://www.wikidata.org/wiki/Q35203776", "Q35203776")</f>
        <v>0</v>
      </c>
      <c r="G11861" t="s">
        <v>3360</v>
      </c>
      <c r="H11861" t="s">
        <v>6817</v>
      </c>
      <c r="I11861" t="s">
        <v>9407</v>
      </c>
      <c r="J11861" t="s">
        <v>13972</v>
      </c>
      <c r="K11861" t="s">
        <v>18341</v>
      </c>
      <c r="L11861">
        <f>HYPERLINK("https://www2.assemblee-nationale.fr/sycomore/fiche/(num_dept)/3585", "3585")</f>
        <v>0</v>
      </c>
      <c r="M11861">
        <f>HYPERLINK("https://www.senat.fr/senateur-3eme-republique/grimaud_joseph0083r3.html", "grimaud_joseph0083r3")</f>
        <v>0</v>
      </c>
      <c r="N11861">
        <f>HYPERLINK("https://www.wikidata.org/wiki/Q3185036", "Q3185036")</f>
        <v>0</v>
      </c>
      <c r="O11861" t="s">
        <v>19981</v>
      </c>
      <c r="Q11861" t="s">
        <v>397</v>
      </c>
      <c r="R11861" t="s">
        <v>21650</v>
      </c>
      <c r="S11861">
        <v>15631</v>
      </c>
    </row>
    <row r="11862" spans="1:19">
      <c r="A11862" t="s">
        <v>136</v>
      </c>
      <c r="B11862" t="s">
        <v>150</v>
      </c>
      <c r="C11862" t="s">
        <v>268</v>
      </c>
      <c r="D11862" t="s">
        <v>397</v>
      </c>
      <c r="F11862">
        <f>HYPERLINK("https://www.wikidata.org/wiki/Q35203776", "Q35203776")</f>
        <v>0</v>
      </c>
      <c r="G11862" t="s">
        <v>3067</v>
      </c>
      <c r="H11862" t="s">
        <v>7519</v>
      </c>
      <c r="I11862" t="s">
        <v>10607</v>
      </c>
      <c r="J11862" t="s">
        <v>13691</v>
      </c>
      <c r="K11862" t="s">
        <v>18074</v>
      </c>
      <c r="L11862">
        <f>HYPERLINK("https://www2.assemblee-nationale.fr/sycomore/fiche/(num_dept)/4209", "4209")</f>
        <v>0</v>
      </c>
      <c r="M11862">
        <f>HYPERLINK("https://www.senat.fr/senateur-3eme-republique/labrousse_philippe0456r3.html", "labrousse_philippe0456r3")</f>
        <v>0</v>
      </c>
      <c r="N11862">
        <f>HYPERLINK("https://www.wikidata.org/wiki/Q3380114", "Q3380114")</f>
        <v>0</v>
      </c>
      <c r="O11862" t="s">
        <v>20020</v>
      </c>
      <c r="Q11862" t="s">
        <v>397</v>
      </c>
      <c r="R11862" t="s">
        <v>21650</v>
      </c>
      <c r="S11862">
        <v>15631</v>
      </c>
    </row>
    <row r="11863" spans="1:19">
      <c r="A11863" t="s">
        <v>136</v>
      </c>
      <c r="B11863" t="s">
        <v>150</v>
      </c>
      <c r="C11863" t="s">
        <v>268</v>
      </c>
      <c r="D11863" t="s">
        <v>397</v>
      </c>
      <c r="F11863">
        <f>HYPERLINK("https://www.wikidata.org/wiki/Q35203776", "Q35203776")</f>
        <v>0</v>
      </c>
      <c r="G11863" t="s">
        <v>3575</v>
      </c>
      <c r="H11863" t="s">
        <v>7927</v>
      </c>
      <c r="I11863" t="s">
        <v>9458</v>
      </c>
      <c r="J11863" t="s">
        <v>14162</v>
      </c>
      <c r="K11863" t="s">
        <v>18531</v>
      </c>
      <c r="L11863">
        <f>HYPERLINK("https://www2.assemblee-nationale.fr/sycomore/fiche/(num_dept)/4867", "4867")</f>
        <v>0</v>
      </c>
      <c r="M11863">
        <f>HYPERLINK("https://www.senat.fr/senateur-3eme-republique/macherez_alfred0029r3.html", "macherez_alfred0029r3")</f>
        <v>0</v>
      </c>
      <c r="N11863">
        <f>HYPERLINK("https://www.wikidata.org/wiki/Q2835290", "Q2835290")</f>
        <v>0</v>
      </c>
      <c r="O11863" t="s">
        <v>20015</v>
      </c>
      <c r="Q11863" t="s">
        <v>397</v>
      </c>
      <c r="R11863" t="s">
        <v>21650</v>
      </c>
      <c r="S11863">
        <v>15631</v>
      </c>
    </row>
    <row r="11864" spans="1:19">
      <c r="A11864" t="s">
        <v>136</v>
      </c>
      <c r="B11864" t="s">
        <v>150</v>
      </c>
      <c r="C11864" t="s">
        <v>268</v>
      </c>
      <c r="D11864" t="s">
        <v>397</v>
      </c>
      <c r="F11864">
        <f>HYPERLINK("https://www.wikidata.org/wiki/Q35203776", "Q35203776")</f>
        <v>0</v>
      </c>
      <c r="G11864" t="s">
        <v>2622</v>
      </c>
      <c r="H11864" t="s">
        <v>7169</v>
      </c>
      <c r="I11864" t="s">
        <v>10319</v>
      </c>
      <c r="J11864" t="s">
        <v>13265</v>
      </c>
      <c r="K11864" t="s">
        <v>17666</v>
      </c>
      <c r="L11864">
        <f>HYPERLINK("https://www2.assemblee-nationale.fr/sycomore/fiche/(num_dept)/4926", "4926")</f>
        <v>0</v>
      </c>
      <c r="M11864">
        <f>HYPERLINK("https://www.senat.fr/senateur-3eme-republique/malezieux_francois0025r3.html", "malezieux_francois0025r3")</f>
        <v>0</v>
      </c>
      <c r="N11864">
        <f>HYPERLINK("https://www.wikidata.org/wiki/Q3085262", "Q3085262")</f>
        <v>0</v>
      </c>
      <c r="O11864" t="s">
        <v>20015</v>
      </c>
      <c r="Q11864" t="s">
        <v>397</v>
      </c>
      <c r="R11864" t="s">
        <v>21650</v>
      </c>
      <c r="S11864">
        <v>15631</v>
      </c>
    </row>
    <row r="11865" spans="1:19">
      <c r="A11865" t="s">
        <v>136</v>
      </c>
      <c r="B11865" t="s">
        <v>150</v>
      </c>
      <c r="C11865" t="s">
        <v>268</v>
      </c>
      <c r="D11865" t="s">
        <v>397</v>
      </c>
      <c r="F11865">
        <f>HYPERLINK("https://www.wikidata.org/wiki/Q35203776", "Q35203776")</f>
        <v>0</v>
      </c>
      <c r="G11865" t="s">
        <v>4074</v>
      </c>
      <c r="H11865" t="s">
        <v>8292</v>
      </c>
      <c r="I11865" t="s">
        <v>6860</v>
      </c>
      <c r="J11865" t="s">
        <v>14613</v>
      </c>
      <c r="K11865" t="s">
        <v>18951</v>
      </c>
      <c r="L11865">
        <f>HYPERLINK("https://www2.assemblee-nationale.fr/sycomore/fiche/(num_dept)/5148", "5148")</f>
        <v>0</v>
      </c>
      <c r="M11865">
        <f>HYPERLINK("https://www.senat.fr/senateur-3eme-republique/maziere_pierre0644r3.html", "maziere_pierre0644r3")</f>
        <v>0</v>
      </c>
      <c r="N11865">
        <f>HYPERLINK("https://www.wikidata.org/wiki/Q3386232", "Q3386232")</f>
        <v>0</v>
      </c>
      <c r="O11865" t="s">
        <v>19979</v>
      </c>
      <c r="Q11865" t="s">
        <v>397</v>
      </c>
      <c r="R11865" t="s">
        <v>21678</v>
      </c>
      <c r="S11865">
        <v>3289</v>
      </c>
    </row>
    <row r="11866" spans="1:19">
      <c r="A11866" t="s">
        <v>136</v>
      </c>
      <c r="B11866" t="s">
        <v>150</v>
      </c>
      <c r="C11866" t="s">
        <v>268</v>
      </c>
      <c r="D11866" t="s">
        <v>397</v>
      </c>
      <c r="F11866">
        <f>HYPERLINK("https://www.wikidata.org/wiki/Q35203776", "Q35203776")</f>
        <v>0</v>
      </c>
      <c r="G11866" t="s">
        <v>3362</v>
      </c>
      <c r="H11866" t="s">
        <v>7759</v>
      </c>
      <c r="I11866" t="s">
        <v>9483</v>
      </c>
      <c r="J11866" t="s">
        <v>13974</v>
      </c>
      <c r="K11866" t="s">
        <v>18342</v>
      </c>
      <c r="L11866">
        <f>HYPERLINK("https://www2.assemblee-nationale.fr/sycomore/fiche/(num_dept)/5287", "5287")</f>
        <v>0</v>
      </c>
      <c r="M11866">
        <f>HYPERLINK("https://www.senat.fr/senateur-3eme-republique/milliard_victor0760r3.html", "milliard_victor0760r3")</f>
        <v>0</v>
      </c>
      <c r="N11866">
        <f>HYPERLINK("https://www.wikidata.org/wiki/Q3557460", "Q3557460")</f>
        <v>0</v>
      </c>
      <c r="O11866" t="s">
        <v>19992</v>
      </c>
      <c r="Q11866" t="s">
        <v>397</v>
      </c>
      <c r="R11866" t="s">
        <v>21678</v>
      </c>
      <c r="S11866">
        <v>3289</v>
      </c>
    </row>
    <row r="11867" spans="1:19">
      <c r="A11867" t="s">
        <v>136</v>
      </c>
      <c r="B11867" t="s">
        <v>150</v>
      </c>
      <c r="C11867" t="s">
        <v>268</v>
      </c>
      <c r="D11867" t="s">
        <v>397</v>
      </c>
      <c r="F11867">
        <f>HYPERLINK("https://www.wikidata.org/wiki/Q35203776", "Q35203776")</f>
        <v>0</v>
      </c>
      <c r="G11867" t="s">
        <v>2634</v>
      </c>
      <c r="H11867" t="s">
        <v>7179</v>
      </c>
      <c r="I11867" t="s">
        <v>10328</v>
      </c>
      <c r="J11867" t="s">
        <v>13276</v>
      </c>
      <c r="K11867" t="s">
        <v>17678</v>
      </c>
      <c r="L11867">
        <f>HYPERLINK("https://www2.assemblee-nationale.fr/sycomore/fiche/(num_dept)/5302", "5302")</f>
        <v>0</v>
      </c>
      <c r="M11867">
        <f>HYPERLINK("https://www.senat.fr/senateur-3eme-republique/mir_eugene0269r3.html", "mir_eugene0269r3")</f>
        <v>0</v>
      </c>
      <c r="N11867">
        <f>HYPERLINK("https://www.wikidata.org/wiki/Q3060037", "Q3060037")</f>
        <v>0</v>
      </c>
      <c r="O11867" t="s">
        <v>19960</v>
      </c>
      <c r="Q11867" t="s">
        <v>397</v>
      </c>
      <c r="R11867" t="s">
        <v>21678</v>
      </c>
      <c r="S11867">
        <v>3289</v>
      </c>
    </row>
    <row r="11868" spans="1:19">
      <c r="A11868" t="s">
        <v>136</v>
      </c>
      <c r="B11868" t="s">
        <v>150</v>
      </c>
      <c r="C11868" t="s">
        <v>268</v>
      </c>
      <c r="D11868" t="s">
        <v>397</v>
      </c>
      <c r="F11868">
        <f>HYPERLINK("https://www.wikidata.org/wiki/Q35203776", "Q35203776")</f>
        <v>0</v>
      </c>
      <c r="G11868" t="s">
        <v>2639</v>
      </c>
      <c r="H11868" t="s">
        <v>7184</v>
      </c>
      <c r="I11868" t="s">
        <v>9552</v>
      </c>
      <c r="J11868" t="s">
        <v>13281</v>
      </c>
      <c r="K11868" t="s">
        <v>17683</v>
      </c>
      <c r="L11868">
        <f>HYPERLINK("https://www2.assemblee-nationale.fr/sycomore/fiche/(num_dept)/5601", "5601")</f>
        <v>0</v>
      </c>
      <c r="M11868">
        <f>HYPERLINK("https://www.senat.fr/senateur-3eme-republique/ollivier_auguste0590r3.html", "ollivier_auguste0590r3")</f>
        <v>0</v>
      </c>
      <c r="N11868">
        <f>HYPERLINK("https://www.wikidata.org/wiki/Q2871344", "Q2871344")</f>
        <v>0</v>
      </c>
      <c r="O11868" t="s">
        <v>19964</v>
      </c>
      <c r="Q11868" t="s">
        <v>397</v>
      </c>
      <c r="R11868" t="s">
        <v>21650</v>
      </c>
      <c r="S11868">
        <v>15631</v>
      </c>
    </row>
    <row r="11869" spans="1:19">
      <c r="A11869" t="s">
        <v>136</v>
      </c>
      <c r="B11869" t="s">
        <v>150</v>
      </c>
      <c r="C11869" t="s">
        <v>268</v>
      </c>
      <c r="D11869" t="s">
        <v>397</v>
      </c>
      <c r="F11869">
        <f>HYPERLINK("https://www.wikidata.org/wiki/Q35203776", "Q35203776")</f>
        <v>0</v>
      </c>
      <c r="G11869" t="s">
        <v>2965</v>
      </c>
      <c r="H11869" t="s">
        <v>5848</v>
      </c>
      <c r="I11869" t="s">
        <v>9388</v>
      </c>
      <c r="J11869" t="s">
        <v>13597</v>
      </c>
      <c r="K11869" t="s">
        <v>17983</v>
      </c>
      <c r="L11869">
        <f>HYPERLINK("https://www2.assemblee-nationale.fr/sycomore/fiche/(num_dept)/5873", "5873")</f>
        <v>0</v>
      </c>
      <c r="M11869">
        <f>HYPERLINK("https://www.senat.fr/senateur-3eme-republique/peytral_paul0322r3.html", "peytral_paul0322r3")</f>
        <v>0</v>
      </c>
      <c r="N11869">
        <f>HYPERLINK("https://www.wikidata.org/wiki/Q179491", "Q179491")</f>
        <v>0</v>
      </c>
      <c r="O11869" t="s">
        <v>19990</v>
      </c>
      <c r="Q11869" t="s">
        <v>397</v>
      </c>
      <c r="R11869" t="s">
        <v>21678</v>
      </c>
      <c r="S11869">
        <v>3289</v>
      </c>
    </row>
    <row r="11870" spans="1:19">
      <c r="A11870" t="s">
        <v>136</v>
      </c>
      <c r="B11870" t="s">
        <v>150</v>
      </c>
      <c r="C11870" t="s">
        <v>268</v>
      </c>
      <c r="D11870" t="s">
        <v>397</v>
      </c>
      <c r="F11870">
        <f>HYPERLINK("https://www.wikidata.org/wiki/Q35203776", "Q35203776")</f>
        <v>0</v>
      </c>
      <c r="G11870" t="s">
        <v>3879</v>
      </c>
      <c r="H11870" t="s">
        <v>7691</v>
      </c>
      <c r="I11870" t="s">
        <v>10592</v>
      </c>
      <c r="J11870" t="s">
        <v>14437</v>
      </c>
      <c r="K11870" t="s">
        <v>15669</v>
      </c>
      <c r="L11870">
        <f>HYPERLINK("https://www2.assemblee-nationale.fr/sycomore/fiche/(num_dept)/5904", "5904")</f>
        <v>0</v>
      </c>
      <c r="M11870">
        <f>HYPERLINK("https://www.senat.fr/senateur-3eme-republique/pichon_louis0791r3.html", "pichon_louis0791r3")</f>
        <v>0</v>
      </c>
      <c r="N11870">
        <f>HYPERLINK("https://www.wikidata.org/wiki/Q3262900", "Q3262900")</f>
        <v>0</v>
      </c>
      <c r="O11870" t="s">
        <v>20011</v>
      </c>
      <c r="Q11870" t="s">
        <v>397</v>
      </c>
      <c r="R11870" t="s">
        <v>21678</v>
      </c>
      <c r="S11870">
        <v>3289</v>
      </c>
    </row>
    <row r="11871" spans="1:19">
      <c r="A11871" t="s">
        <v>136</v>
      </c>
      <c r="B11871" t="s">
        <v>150</v>
      </c>
      <c r="C11871" t="s">
        <v>268</v>
      </c>
      <c r="D11871" t="s">
        <v>397</v>
      </c>
      <c r="F11871">
        <f>HYPERLINK("https://www.wikidata.org/wiki/Q35203776", "Q35203776")</f>
        <v>0</v>
      </c>
      <c r="G11871" t="s">
        <v>3052</v>
      </c>
      <c r="H11871" t="s">
        <v>7507</v>
      </c>
      <c r="I11871" t="s">
        <v>10601</v>
      </c>
      <c r="J11871" t="s">
        <v>13678</v>
      </c>
      <c r="K11871" t="s">
        <v>18059</v>
      </c>
      <c r="L11871">
        <f>HYPERLINK("https://www2.assemblee-nationale.fr/sycomore/fiche/(num_dept)/5987", "5987")</f>
        <v>0</v>
      </c>
      <c r="M11871">
        <f>HYPERLINK("https://www.senat.fr/senateur-3eme-republique/pochon_joseph0015r3.html", "pochon_joseph0015r3")</f>
        <v>0</v>
      </c>
      <c r="N11871">
        <f>HYPERLINK("https://www.wikidata.org/wiki/Q3185501", "Q3185501")</f>
        <v>0</v>
      </c>
      <c r="O11871" t="s">
        <v>19986</v>
      </c>
      <c r="Q11871" t="s">
        <v>397</v>
      </c>
      <c r="R11871" t="s">
        <v>21650</v>
      </c>
      <c r="S11871">
        <v>15631</v>
      </c>
    </row>
    <row r="11872" spans="1:19">
      <c r="A11872" t="s">
        <v>136</v>
      </c>
      <c r="B11872" t="s">
        <v>150</v>
      </c>
      <c r="C11872" t="s">
        <v>268</v>
      </c>
      <c r="D11872" t="s">
        <v>397</v>
      </c>
      <c r="F11872">
        <f>HYPERLINK("https://www.wikidata.org/wiki/Q35203776", "Q35203776")</f>
        <v>0</v>
      </c>
      <c r="G11872" t="s">
        <v>2650</v>
      </c>
      <c r="H11872" t="s">
        <v>7191</v>
      </c>
      <c r="I11872" t="s">
        <v>7642</v>
      </c>
      <c r="J11872" t="s">
        <v>13292</v>
      </c>
      <c r="K11872" t="s">
        <v>17691</v>
      </c>
      <c r="L11872">
        <f>HYPERLINK("https://www2.assemblee-nationale.fr/sycomore/fiche/(num_dept)/6152", "6152")</f>
        <v>0</v>
      </c>
      <c r="M11872">
        <f>HYPERLINK("https://www.senat.fr/senateur-3eme-republique/rouvier_maurice0115r3.html", "rouvier_maurice0115r3")</f>
        <v>0</v>
      </c>
      <c r="N11872">
        <f>HYPERLINK("https://www.wikidata.org/wiki/Q471293", "Q471293")</f>
        <v>0</v>
      </c>
      <c r="O11872" t="s">
        <v>20024</v>
      </c>
      <c r="Q11872" t="s">
        <v>397</v>
      </c>
      <c r="R11872" t="s">
        <v>17691</v>
      </c>
      <c r="S11872">
        <v>3076</v>
      </c>
    </row>
    <row r="11873" spans="1:19">
      <c r="A11873" t="s">
        <v>136</v>
      </c>
      <c r="B11873" t="s">
        <v>150</v>
      </c>
      <c r="C11873" t="s">
        <v>268</v>
      </c>
      <c r="D11873" t="s">
        <v>397</v>
      </c>
      <c r="F11873">
        <f>HYPERLINK("https://www.wikidata.org/wiki/Q35203776", "Q35203776")</f>
        <v>0</v>
      </c>
      <c r="G11873" t="s">
        <v>3594</v>
      </c>
      <c r="H11873" t="s">
        <v>7941</v>
      </c>
      <c r="I11873" t="s">
        <v>10897</v>
      </c>
      <c r="J11873" t="s">
        <v>13493</v>
      </c>
      <c r="K11873" t="s">
        <v>18546</v>
      </c>
      <c r="L11873">
        <f>HYPERLINK("https://www2.assemblee-nationale.fr/sycomore/fiche/(num_dept)/6590", "6590")</f>
        <v>0</v>
      </c>
      <c r="M11873">
        <f>HYPERLINK("https://www.senat.fr/senateur-3eme-republique/rambourgt_eugene0229r3.html", "rambourgt_eugene0229r3")</f>
        <v>0</v>
      </c>
      <c r="N11873">
        <f>HYPERLINK("https://www.wikidata.org/wiki/Q3060124", "Q3060124")</f>
        <v>0</v>
      </c>
      <c r="O11873" t="s">
        <v>8449</v>
      </c>
      <c r="Q11873" t="s">
        <v>397</v>
      </c>
      <c r="R11873" t="s">
        <v>21678</v>
      </c>
      <c r="S11873">
        <v>3289</v>
      </c>
    </row>
    <row r="11874" spans="1:19">
      <c r="A11874" t="s">
        <v>136</v>
      </c>
      <c r="B11874" t="s">
        <v>150</v>
      </c>
      <c r="C11874" t="s">
        <v>268</v>
      </c>
      <c r="D11874" t="s">
        <v>397</v>
      </c>
      <c r="F11874">
        <f>HYPERLINK("https://www.wikidata.org/wiki/Q35203776", "Q35203776")</f>
        <v>0</v>
      </c>
      <c r="G11874" t="s">
        <v>3643</v>
      </c>
      <c r="H11874" t="s">
        <v>7600</v>
      </c>
      <c r="I11874" t="s">
        <v>10786</v>
      </c>
      <c r="J11874" t="s">
        <v>14223</v>
      </c>
      <c r="K11874" t="s">
        <v>18585</v>
      </c>
      <c r="L11874">
        <f>HYPERLINK("https://www2.assemblee-nationale.fr/sycomore/fiche/(num_dept)/6728", "6728")</f>
        <v>0</v>
      </c>
      <c r="M11874">
        <f>HYPERLINK("https://www.senat.fr/senateur-3eme-republique/ricard_henri0543r3.html", "ricard_henri0543r3")</f>
        <v>0</v>
      </c>
      <c r="N11874">
        <f>HYPERLINK("https://www.wikidata.org/wiki/Q3131907", "Q3131907")</f>
        <v>0</v>
      </c>
      <c r="Q11874" t="s">
        <v>397</v>
      </c>
      <c r="R11874" t="s">
        <v>21691</v>
      </c>
      <c r="S11874">
        <v>2846</v>
      </c>
    </row>
    <row r="11875" spans="1:19">
      <c r="A11875" t="s">
        <v>136</v>
      </c>
      <c r="B11875" t="s">
        <v>150</v>
      </c>
      <c r="C11875" t="s">
        <v>268</v>
      </c>
      <c r="D11875" t="s">
        <v>397</v>
      </c>
      <c r="F11875">
        <f>HYPERLINK("https://www.wikidata.org/wiki/Q35203776", "Q35203776")</f>
        <v>0</v>
      </c>
      <c r="G11875" t="s">
        <v>3506</v>
      </c>
      <c r="H11875" t="s">
        <v>7873</v>
      </c>
      <c r="I11875" t="s">
        <v>10854</v>
      </c>
      <c r="J11875" t="s">
        <v>14104</v>
      </c>
      <c r="K11875" t="s">
        <v>18468</v>
      </c>
      <c r="L11875">
        <f>HYPERLINK("https://www2.assemblee-nationale.fr/sycomore/fiche/(num_dept)/7062", "7062")</f>
        <v>0</v>
      </c>
      <c r="M11875">
        <f>HYPERLINK("https://www.senat.fr/senateur-3eme-republique/thorel_jules0739r3.html", "thorel_jules0739r3")</f>
        <v>0</v>
      </c>
      <c r="N11875">
        <f>HYPERLINK("https://www.wikidata.org/wiki/Q3188936", "Q3188936")</f>
        <v>0</v>
      </c>
      <c r="O11875" t="s">
        <v>19992</v>
      </c>
      <c r="Q11875" t="s">
        <v>397</v>
      </c>
      <c r="R11875" t="s">
        <v>21650</v>
      </c>
      <c r="S11875">
        <v>15631</v>
      </c>
    </row>
    <row r="11876" spans="1:19">
      <c r="A11876" t="s">
        <v>136</v>
      </c>
      <c r="B11876" t="s">
        <v>150</v>
      </c>
      <c r="C11876" t="s">
        <v>268</v>
      </c>
      <c r="D11876" t="s">
        <v>397</v>
      </c>
      <c r="F11876">
        <f>HYPERLINK("https://www.wikidata.org/wiki/Q35203776", "Q35203776")</f>
        <v>0</v>
      </c>
      <c r="G11876" t="s">
        <v>3732</v>
      </c>
      <c r="H11876" t="s">
        <v>8040</v>
      </c>
      <c r="I11876" t="s">
        <v>6759</v>
      </c>
      <c r="J11876" t="s">
        <v>14307</v>
      </c>
      <c r="K11876" t="s">
        <v>18661</v>
      </c>
      <c r="L11876">
        <f>HYPERLINK("https://www2.assemblee-nationale.fr/sycomore/fiche/(num_dept)/7149", "7149")</f>
        <v>0</v>
      </c>
      <c r="M11876">
        <f>HYPERLINK("https://www.senat.fr/senateur-3eme-republique/de_treveneuc_robert0572r3.html", "de_treveneuc_robert0572r3")</f>
        <v>0</v>
      </c>
      <c r="N11876">
        <f>HYPERLINK("https://www.wikidata.org/wiki/Q3436738", "Q3436738")</f>
        <v>0</v>
      </c>
      <c r="O11876" t="s">
        <v>19964</v>
      </c>
      <c r="Q11876" t="s">
        <v>397</v>
      </c>
      <c r="R11876" t="s">
        <v>21678</v>
      </c>
      <c r="S11876">
        <v>3289</v>
      </c>
    </row>
    <row r="11877" spans="1:19">
      <c r="A11877" t="s">
        <v>136</v>
      </c>
      <c r="B11877" t="s">
        <v>150</v>
      </c>
      <c r="C11877" t="s">
        <v>268</v>
      </c>
      <c r="D11877" t="s">
        <v>397</v>
      </c>
      <c r="F11877">
        <f>HYPERLINK("https://www.wikidata.org/wiki/Q35203776", "Q35203776")</f>
        <v>0</v>
      </c>
      <c r="G11877" t="s">
        <v>3605</v>
      </c>
      <c r="H11877" t="s">
        <v>7949</v>
      </c>
      <c r="I11877" t="s">
        <v>10170</v>
      </c>
      <c r="J11877" t="s">
        <v>14190</v>
      </c>
      <c r="K11877" t="s">
        <v>18556</v>
      </c>
      <c r="L11877">
        <f>HYPERLINK("https://www2.assemblee-nationale.fr/sycomore/fiche/(num_dept)/7434", "7434")</f>
        <v>0</v>
      </c>
      <c r="M11877">
        <f>HYPERLINK("https://www.senat.fr/senateur-3eme-republique/ville_pierre0048r3.html", "ville_pierre0048r3")</f>
        <v>0</v>
      </c>
      <c r="N11877">
        <f>HYPERLINK("https://www.wikidata.org/wiki/Q3387297", "Q3387297")</f>
        <v>0</v>
      </c>
      <c r="O11877" t="s">
        <v>19999</v>
      </c>
      <c r="Q11877" t="s">
        <v>397</v>
      </c>
      <c r="R11877" t="s">
        <v>21678</v>
      </c>
      <c r="S11877">
        <v>3289</v>
      </c>
    </row>
    <row r="11878" spans="1:19">
      <c r="A11878" t="s">
        <v>136</v>
      </c>
      <c r="B11878" t="s">
        <v>150</v>
      </c>
      <c r="C11878" t="s">
        <v>268</v>
      </c>
      <c r="D11878" t="s">
        <v>397</v>
      </c>
      <c r="F11878">
        <f>HYPERLINK("https://www.wikidata.org/wiki/Q35203776", "Q35203776")</f>
        <v>0</v>
      </c>
      <c r="G11878" t="s">
        <v>3860</v>
      </c>
      <c r="H11878" t="s">
        <v>8130</v>
      </c>
      <c r="I11878" t="s">
        <v>11003</v>
      </c>
      <c r="J11878" t="s">
        <v>14419</v>
      </c>
      <c r="K11878" t="s">
        <v>18772</v>
      </c>
      <c r="L11878">
        <f>HYPERLINK("https://www2.assemblee-nationale.fr/sycomore/fiche/(num_dept)/7439", "7439")</f>
        <v>0</v>
      </c>
      <c r="M11878">
        <f>HYPERLINK("https://www.senat.fr/senateur-3eme-republique/vidal_de_saint_urbain_gabriel0294r3.html", "vidal_de_saint_urbain_gabriel0294r3")</f>
        <v>0</v>
      </c>
      <c r="N11878">
        <f>HYPERLINK("https://www.wikidata.org/wiki/Q3093994", "Q3093994")</f>
        <v>0</v>
      </c>
      <c r="O11878" t="s">
        <v>19967</v>
      </c>
      <c r="Q11878" t="s">
        <v>397</v>
      </c>
      <c r="R11878" t="s">
        <v>21678</v>
      </c>
      <c r="S11878">
        <v>3289</v>
      </c>
    </row>
    <row r="11879" spans="1:19">
      <c r="A11879" t="s">
        <v>136</v>
      </c>
      <c r="B11879" t="s">
        <v>150</v>
      </c>
      <c r="C11879" t="s">
        <v>268</v>
      </c>
      <c r="D11879" t="s">
        <v>397</v>
      </c>
      <c r="F11879">
        <f>HYPERLINK("https://www.wikidata.org/wiki/Q35203776", "Q35203776")</f>
        <v>0</v>
      </c>
      <c r="G11879" t="s">
        <v>2706</v>
      </c>
      <c r="H11879" t="s">
        <v>6341</v>
      </c>
      <c r="I11879" t="s">
        <v>10376</v>
      </c>
      <c r="J11879" t="s">
        <v>13347</v>
      </c>
      <c r="K11879" t="s">
        <v>17747</v>
      </c>
      <c r="L11879">
        <f>HYPERLINK("https://www2.assemblee-nationale.fr/sycomore/fiche/(num_dept)/7613", "7613")</f>
        <v>0</v>
      </c>
      <c r="M11879">
        <f>HYPERLINK("https://www.senat.fr/senateur-3eme-republique/le_provost_de_launay_louis0584r3.html", "le_provost_de_launay_louis0584r3")</f>
        <v>0</v>
      </c>
      <c r="N11879">
        <f>HYPERLINK("https://www.wikidata.org/wiki/Q3262484", "Q3262484")</f>
        <v>0</v>
      </c>
      <c r="O11879" t="s">
        <v>19964</v>
      </c>
      <c r="Q11879" t="s">
        <v>397</v>
      </c>
      <c r="R11879" t="s">
        <v>21678</v>
      </c>
      <c r="S11879">
        <v>3289</v>
      </c>
    </row>
    <row r="11880" spans="1:19">
      <c r="A11880" t="s">
        <v>136</v>
      </c>
      <c r="B11880" t="s">
        <v>150</v>
      </c>
      <c r="C11880" t="s">
        <v>268</v>
      </c>
      <c r="D11880" t="s">
        <v>397</v>
      </c>
      <c r="F11880">
        <f>HYPERLINK("https://www.wikidata.org/wiki/Q35203776", "Q35203776")</f>
        <v>0</v>
      </c>
      <c r="G11880" t="s">
        <v>3010</v>
      </c>
      <c r="H11880" t="s">
        <v>7470</v>
      </c>
      <c r="I11880" t="s">
        <v>9483</v>
      </c>
      <c r="J11880" t="s">
        <v>13638</v>
      </c>
      <c r="K11880" t="s">
        <v>18023</v>
      </c>
      <c r="L11880">
        <f>HYPERLINK("https://www2.assemblee-nationale.fr/sycomore/fiche/(num_dept)/7839", "7839")</f>
        <v>0</v>
      </c>
      <c r="M11880">
        <f>HYPERLINK("https://www.senat.fr/senateur-3eme-republique/leydet_victor0316r3.html", "leydet_victor0316r3")</f>
        <v>0</v>
      </c>
      <c r="N11880">
        <f>HYPERLINK("https://www.wikidata.org/wiki/Q2522455", "Q2522455")</f>
        <v>0</v>
      </c>
      <c r="O11880" t="s">
        <v>19990</v>
      </c>
      <c r="Q11880" t="s">
        <v>397</v>
      </c>
      <c r="R11880" t="s">
        <v>21650</v>
      </c>
      <c r="S11880">
        <v>15631</v>
      </c>
    </row>
    <row r="11881" spans="1:19">
      <c r="A11881" t="s">
        <v>136</v>
      </c>
      <c r="B11881" t="s">
        <v>150</v>
      </c>
      <c r="C11881" t="s">
        <v>268</v>
      </c>
      <c r="D11881" t="s">
        <v>397</v>
      </c>
      <c r="F11881">
        <f>HYPERLINK("https://www.wikidata.org/wiki/Q35203776", "Q35203776")</f>
        <v>0</v>
      </c>
      <c r="G11881" t="s">
        <v>4019</v>
      </c>
      <c r="H11881" t="s">
        <v>8253</v>
      </c>
      <c r="I11881" t="s">
        <v>6860</v>
      </c>
      <c r="J11881" t="s">
        <v>14563</v>
      </c>
      <c r="K11881" t="s">
        <v>16740</v>
      </c>
      <c r="L11881">
        <f>HYPERLINK("https://www2.assemblee-nationale.fr/sycomore/fiche/(num_dept)/7855", "7855")</f>
        <v>0</v>
      </c>
      <c r="M11881">
        <f>HYPERLINK("https://www.senat.fr/senateur-3eme-republique/limouzain_laplanche_pierre0400r3.html", "limouzain_laplanche_pierre0400r3")</f>
        <v>0</v>
      </c>
      <c r="N11881">
        <f>HYPERLINK("https://www.wikidata.org/wiki/Q3385965", "Q3385965")</f>
        <v>0</v>
      </c>
      <c r="O11881" t="s">
        <v>20031</v>
      </c>
      <c r="Q11881" t="s">
        <v>397</v>
      </c>
      <c r="R11881" t="s">
        <v>21678</v>
      </c>
      <c r="S11881">
        <v>3289</v>
      </c>
    </row>
    <row r="11882" spans="1:19">
      <c r="A11882" t="s">
        <v>136</v>
      </c>
      <c r="B11882" t="s">
        <v>150</v>
      </c>
      <c r="C11882" t="s">
        <v>268</v>
      </c>
      <c r="D11882" t="s">
        <v>397</v>
      </c>
      <c r="F11882">
        <f>HYPERLINK("https://www.wikidata.org/wiki/Q35203776", "Q35203776")</f>
        <v>0</v>
      </c>
      <c r="G11882" t="s">
        <v>2773</v>
      </c>
      <c r="H11882" t="s">
        <v>7285</v>
      </c>
      <c r="I11882" t="s">
        <v>10426</v>
      </c>
      <c r="J11882" t="s">
        <v>11653</v>
      </c>
      <c r="K11882" t="s">
        <v>17812</v>
      </c>
      <c r="L11882">
        <f>HYPERLINK("https://www2.assemblee-nationale.fr/sycomore/fiche/(num_dept)/8069", "8069")</f>
        <v>0</v>
      </c>
      <c r="M11882">
        <f>HYPERLINK("https://www.senat.fr/senateur-3eme-republique/pradal_victor0138r3.html", "pradal_victor0138r3")</f>
        <v>0</v>
      </c>
      <c r="N11882">
        <f>HYPERLINK("https://www.wikidata.org/wiki/Q3557514", "Q3557514")</f>
        <v>0</v>
      </c>
      <c r="O11882" t="s">
        <v>19991</v>
      </c>
      <c r="Q11882" t="s">
        <v>397</v>
      </c>
      <c r="R11882" t="s">
        <v>21650</v>
      </c>
      <c r="S11882">
        <v>15631</v>
      </c>
    </row>
    <row r="11883" spans="1:19">
      <c r="A11883" t="s">
        <v>136</v>
      </c>
      <c r="B11883" t="s">
        <v>150</v>
      </c>
      <c r="C11883" t="s">
        <v>268</v>
      </c>
      <c r="D11883" t="s">
        <v>397</v>
      </c>
      <c r="F11883">
        <f>HYPERLINK("https://www.wikidata.org/wiki/Q35203776", "Q35203776")</f>
        <v>0</v>
      </c>
      <c r="G11883" t="s">
        <v>2782</v>
      </c>
      <c r="H11883" t="s">
        <v>6905</v>
      </c>
      <c r="I11883" t="s">
        <v>9388</v>
      </c>
      <c r="J11883" t="s">
        <v>13422</v>
      </c>
      <c r="K11883" t="s">
        <v>17819</v>
      </c>
      <c r="L11883">
        <f>HYPERLINK("https://www2.assemblee-nationale.fr/sycomore/fiche/(num_dept)/8081", "8081")</f>
        <v>0</v>
      </c>
      <c r="M11883">
        <f>HYPERLINK("https://www.senat.fr/senateur-3eme-republique/duchesne_fournet_paul0346r3.html", "duchesne_fournet_paul0346r3")</f>
        <v>0</v>
      </c>
      <c r="N11883">
        <f>HYPERLINK("https://www.wikidata.org/wiki/Q3371115", "Q3371115")</f>
        <v>0</v>
      </c>
      <c r="O11883" t="s">
        <v>20009</v>
      </c>
      <c r="Q11883" t="s">
        <v>397</v>
      </c>
      <c r="R11883" t="s">
        <v>21650</v>
      </c>
      <c r="S11883">
        <v>15631</v>
      </c>
    </row>
    <row r="11884" spans="1:19">
      <c r="A11884" t="s">
        <v>136</v>
      </c>
      <c r="B11884" t="s">
        <v>150</v>
      </c>
      <c r="C11884" t="s">
        <v>268</v>
      </c>
      <c r="D11884" t="s">
        <v>397</v>
      </c>
      <c r="F11884">
        <f>HYPERLINK("https://www.wikidata.org/wiki/Q35203776", "Q35203776")</f>
        <v>0</v>
      </c>
      <c r="G11884" t="s">
        <v>2789</v>
      </c>
      <c r="H11884" t="s">
        <v>7295</v>
      </c>
      <c r="I11884" t="s">
        <v>6200</v>
      </c>
      <c r="J11884" t="s">
        <v>13429</v>
      </c>
      <c r="K11884" t="s">
        <v>17824</v>
      </c>
      <c r="L11884">
        <f>HYPERLINK("https://www2.assemblee-nationale.fr/sycomore/fiche/(num_dept)/8090", "8090")</f>
        <v>0</v>
      </c>
      <c r="M11884">
        <f>HYPERLINK("https://www.senat.fr/senateur-3eme-republique/girault_jean0426r3.html", "girault_jean0426r3")</f>
        <v>0</v>
      </c>
      <c r="N11884">
        <f>HYPERLINK("https://www.wikidata.org/wiki/Q3172313", "Q3172313")</f>
        <v>0</v>
      </c>
      <c r="O11884" t="s">
        <v>19996</v>
      </c>
      <c r="Q11884" t="s">
        <v>397</v>
      </c>
      <c r="R11884" t="s">
        <v>21650</v>
      </c>
      <c r="S11884">
        <v>15631</v>
      </c>
    </row>
    <row r="11885" spans="1:19">
      <c r="A11885" t="s">
        <v>136</v>
      </c>
      <c r="B11885" t="s">
        <v>150</v>
      </c>
      <c r="C11885" t="s">
        <v>268</v>
      </c>
      <c r="D11885" t="s">
        <v>397</v>
      </c>
      <c r="F11885">
        <f>HYPERLINK("https://www.wikidata.org/wiki/Q35203776", "Q35203776")</f>
        <v>0</v>
      </c>
      <c r="G11885" t="s">
        <v>2795</v>
      </c>
      <c r="H11885" t="s">
        <v>7300</v>
      </c>
      <c r="I11885" t="s">
        <v>10442</v>
      </c>
      <c r="J11885" t="s">
        <v>13435</v>
      </c>
      <c r="K11885" t="s">
        <v>17830</v>
      </c>
      <c r="L11885">
        <f>HYPERLINK("https://www2.assemblee-nationale.fr/sycomore/fiche/(num_dept)/8101", "8101")</f>
        <v>0</v>
      </c>
      <c r="M11885">
        <f>HYPERLINK("https://www.senat.fr/senateur-3eme-republique/hugot_louis0531r3.html", "hugot_louis0531r3")</f>
        <v>0</v>
      </c>
      <c r="N11885">
        <f>HYPERLINK("https://www.wikidata.org/wiki/Q3262207", "Q3262207")</f>
        <v>0</v>
      </c>
      <c r="Q11885" t="s">
        <v>397</v>
      </c>
      <c r="R11885" t="s">
        <v>21650</v>
      </c>
      <c r="S11885">
        <v>15631</v>
      </c>
    </row>
    <row r="11886" spans="1:19">
      <c r="A11886" t="s">
        <v>136</v>
      </c>
      <c r="B11886" t="s">
        <v>150</v>
      </c>
      <c r="C11886" t="s">
        <v>268</v>
      </c>
      <c r="D11886" t="s">
        <v>397</v>
      </c>
      <c r="F11886">
        <f>HYPERLINK("https://www.wikidata.org/wiki/Q35203776", "Q35203776")</f>
        <v>0</v>
      </c>
      <c r="G11886" t="s">
        <v>2804</v>
      </c>
      <c r="H11886" t="s">
        <v>7307</v>
      </c>
      <c r="I11886" t="s">
        <v>10450</v>
      </c>
      <c r="J11886" t="s">
        <v>13444</v>
      </c>
      <c r="K11886" t="s">
        <v>17838</v>
      </c>
      <c r="L11886">
        <f>HYPERLINK("https://www2.assemblee-nationale.fr/sycomore/fiche/(num_dept)/8113", "8113")</f>
        <v>0</v>
      </c>
      <c r="M11886">
        <f>HYPERLINK("https://www.senat.fr/senateur-3eme-republique/dusolier_alcide0667r3.html", "dusolier_alcide0667r3")</f>
        <v>0</v>
      </c>
      <c r="N11886">
        <f>HYPERLINK("https://www.wikidata.org/wiki/Q765905", "Q765905")</f>
        <v>0</v>
      </c>
      <c r="O11886" t="s">
        <v>20010</v>
      </c>
      <c r="Q11886" t="s">
        <v>397</v>
      </c>
      <c r="R11886" t="s">
        <v>21650</v>
      </c>
      <c r="S11886">
        <v>15631</v>
      </c>
    </row>
    <row r="11887" spans="1:19">
      <c r="A11887" t="s">
        <v>136</v>
      </c>
      <c r="B11887" t="s">
        <v>150</v>
      </c>
      <c r="C11887" t="s">
        <v>268</v>
      </c>
      <c r="D11887" t="s">
        <v>397</v>
      </c>
      <c r="F11887">
        <f>HYPERLINK("https://www.wikidata.org/wiki/Q35203776", "Q35203776")</f>
        <v>0</v>
      </c>
      <c r="G11887" t="s">
        <v>4662</v>
      </c>
      <c r="H11887" t="s">
        <v>8803</v>
      </c>
      <c r="I11887" t="s">
        <v>9516</v>
      </c>
      <c r="J11887" t="s">
        <v>15133</v>
      </c>
      <c r="K11887" t="s">
        <v>19454</v>
      </c>
      <c r="M11887">
        <f>HYPERLINK("https://www.senat.fr/senateur-3eme-republique/goujon_etienne0018r3.html", "goujon_etienne0018r3")</f>
        <v>0</v>
      </c>
      <c r="N11887">
        <f>HYPERLINK("https://www.wikidata.org/wiki/Q3592185", "Q3592185")</f>
        <v>0</v>
      </c>
      <c r="O11887" t="s">
        <v>19986</v>
      </c>
      <c r="Q11887" t="s">
        <v>397</v>
      </c>
      <c r="R11887" t="s">
        <v>21650</v>
      </c>
      <c r="S11887">
        <v>15631</v>
      </c>
    </row>
    <row r="11888" spans="1:19">
      <c r="A11888" t="s">
        <v>136</v>
      </c>
      <c r="B11888" t="s">
        <v>150</v>
      </c>
      <c r="C11888" t="s">
        <v>268</v>
      </c>
      <c r="D11888" t="s">
        <v>397</v>
      </c>
      <c r="F11888">
        <f>HYPERLINK("https://www.wikidata.org/wiki/Q35203776", "Q35203776")</f>
        <v>0</v>
      </c>
      <c r="G11888" t="s">
        <v>4699</v>
      </c>
      <c r="H11888" t="s">
        <v>8839</v>
      </c>
      <c r="I11888" t="s">
        <v>9385</v>
      </c>
      <c r="J11888" t="s">
        <v>15168</v>
      </c>
      <c r="K11888" t="s">
        <v>19487</v>
      </c>
      <c r="M11888">
        <f>HYPERLINK("https://www.senat.fr/senateur-3eme-republique/sebline_charles0033r3.html", "sebline_charles0033r3")</f>
        <v>0</v>
      </c>
      <c r="N11888">
        <f>HYPERLINK("https://www.wikidata.org/wiki/Q2960281", "Q2960281")</f>
        <v>0</v>
      </c>
      <c r="O11888" t="s">
        <v>20015</v>
      </c>
      <c r="Q11888" t="s">
        <v>397</v>
      </c>
      <c r="R11888" t="s">
        <v>21678</v>
      </c>
      <c r="S11888">
        <v>3289</v>
      </c>
    </row>
    <row r="11889" spans="1:19">
      <c r="A11889" t="s">
        <v>136</v>
      </c>
      <c r="B11889" t="s">
        <v>150</v>
      </c>
      <c r="C11889" t="s">
        <v>268</v>
      </c>
      <c r="D11889" t="s">
        <v>397</v>
      </c>
      <c r="F11889">
        <f>HYPERLINK("https://www.wikidata.org/wiki/Q35203776", "Q35203776")</f>
        <v>0</v>
      </c>
      <c r="G11889" t="s">
        <v>4885</v>
      </c>
      <c r="H11889" t="s">
        <v>9022</v>
      </c>
      <c r="I11889" t="s">
        <v>9385</v>
      </c>
      <c r="J11889" t="s">
        <v>15329</v>
      </c>
      <c r="K11889" t="s">
        <v>19053</v>
      </c>
      <c r="M11889">
        <f>HYPERLINK("https://www.senat.fr/senateur-3eme-republique/gentilliez_charles0037r3.html", "gentilliez_charles0037r3")</f>
        <v>0</v>
      </c>
      <c r="N11889">
        <f>HYPERLINK("https://www.wikidata.org/wiki/Q2959187", "Q2959187")</f>
        <v>0</v>
      </c>
      <c r="O11889" t="s">
        <v>20015</v>
      </c>
      <c r="Q11889" t="s">
        <v>397</v>
      </c>
      <c r="R11889" t="s">
        <v>21678</v>
      </c>
      <c r="S11889">
        <v>3289</v>
      </c>
    </row>
    <row r="11890" spans="1:19">
      <c r="A11890" t="s">
        <v>136</v>
      </c>
      <c r="B11890" t="s">
        <v>150</v>
      </c>
      <c r="C11890" t="s">
        <v>268</v>
      </c>
      <c r="D11890" t="s">
        <v>397</v>
      </c>
      <c r="F11890">
        <f>HYPERLINK("https://www.wikidata.org/wiki/Q35203776", "Q35203776")</f>
        <v>0</v>
      </c>
      <c r="G11890" t="s">
        <v>4886</v>
      </c>
      <c r="H11890" t="s">
        <v>9023</v>
      </c>
      <c r="I11890" t="s">
        <v>9438</v>
      </c>
      <c r="J11890" t="s">
        <v>15330</v>
      </c>
      <c r="K11890" t="s">
        <v>430</v>
      </c>
      <c r="M11890">
        <f>HYPERLINK("https://www.senat.fr/senateur-3eme-republique/sauvan_honore0123r3.html", "sauvan_honore0123r3")</f>
        <v>0</v>
      </c>
      <c r="N11890">
        <f>HYPERLINK("https://www.wikidata.org/wiki/Q3140255", "Q3140255")</f>
        <v>0</v>
      </c>
      <c r="O11890" t="s">
        <v>20024</v>
      </c>
      <c r="Q11890" t="s">
        <v>397</v>
      </c>
      <c r="R11890" t="s">
        <v>21678</v>
      </c>
      <c r="S11890">
        <v>3289</v>
      </c>
    </row>
    <row r="11891" spans="1:19">
      <c r="A11891" t="s">
        <v>136</v>
      </c>
      <c r="B11891" t="s">
        <v>150</v>
      </c>
      <c r="C11891" t="s">
        <v>268</v>
      </c>
      <c r="D11891" t="s">
        <v>397</v>
      </c>
      <c r="F11891">
        <f>HYPERLINK("https://www.wikidata.org/wiki/Q35203776", "Q35203776")</f>
        <v>0</v>
      </c>
      <c r="G11891" t="s">
        <v>4834</v>
      </c>
      <c r="H11891" t="s">
        <v>8974</v>
      </c>
      <c r="I11891" t="s">
        <v>9385</v>
      </c>
      <c r="J11891" t="s">
        <v>15287</v>
      </c>
      <c r="K11891" t="s">
        <v>19527</v>
      </c>
      <c r="M11891">
        <f>HYPERLINK("https://www.senat.fr/senateur-3eme-republique/goutant_charles0174r3.html", "goutant_charles0174r3")</f>
        <v>0</v>
      </c>
      <c r="N11891">
        <f>HYPERLINK("https://www.wikidata.org/wiki/Q2959245", "Q2959245")</f>
        <v>0</v>
      </c>
      <c r="O11891" t="s">
        <v>19959</v>
      </c>
      <c r="Q11891" t="s">
        <v>397</v>
      </c>
      <c r="R11891" t="s">
        <v>21650</v>
      </c>
      <c r="S11891">
        <v>15631</v>
      </c>
    </row>
    <row r="11892" spans="1:19">
      <c r="A11892" t="s">
        <v>136</v>
      </c>
      <c r="B11892" t="s">
        <v>150</v>
      </c>
      <c r="C11892" t="s">
        <v>268</v>
      </c>
      <c r="D11892" t="s">
        <v>397</v>
      </c>
      <c r="F11892">
        <f>HYPERLINK("https://www.wikidata.org/wiki/Q35203776", "Q35203776")</f>
        <v>0</v>
      </c>
      <c r="G11892" t="s">
        <v>4843</v>
      </c>
      <c r="H11892" t="s">
        <v>8983</v>
      </c>
      <c r="I11892" t="s">
        <v>9465</v>
      </c>
      <c r="J11892" t="s">
        <v>15294</v>
      </c>
      <c r="K11892" t="s">
        <v>19602</v>
      </c>
      <c r="M11892">
        <f>HYPERLINK("https://www.senat.fr/senateur-3eme-republique/fagot_eugene0162r3.html", "fagot_eugene0162r3")</f>
        <v>0</v>
      </c>
      <c r="N11892">
        <f>HYPERLINK("https://www.wikidata.org/wiki/Q3059852", "Q3059852")</f>
        <v>0</v>
      </c>
      <c r="O11892" t="s">
        <v>19959</v>
      </c>
      <c r="Q11892" t="s">
        <v>397</v>
      </c>
      <c r="R11892" t="s">
        <v>21678</v>
      </c>
      <c r="S11892">
        <v>3289</v>
      </c>
    </row>
    <row r="11893" spans="1:19">
      <c r="A11893" t="s">
        <v>136</v>
      </c>
      <c r="B11893" t="s">
        <v>150</v>
      </c>
      <c r="C11893" t="s">
        <v>268</v>
      </c>
      <c r="D11893" t="s">
        <v>397</v>
      </c>
      <c r="F11893">
        <f>HYPERLINK("https://www.wikidata.org/wiki/Q35203776", "Q35203776")</f>
        <v>0</v>
      </c>
      <c r="G11893" t="s">
        <v>4887</v>
      </c>
      <c r="H11893" t="s">
        <v>9024</v>
      </c>
      <c r="I11893" t="s">
        <v>6584</v>
      </c>
      <c r="J11893" t="s">
        <v>15331</v>
      </c>
      <c r="K11893" t="s">
        <v>19637</v>
      </c>
      <c r="M11893">
        <f>HYPERLINK("https://www.senat.fr/senateur-3eme-republique/gerard_albert0168r3.html", "gerard_albert0168r3")</f>
        <v>0</v>
      </c>
      <c r="N11893">
        <f>HYPERLINK("https://www.wikidata.org/wiki/Q2831224", "Q2831224")</f>
        <v>0</v>
      </c>
      <c r="O11893" t="s">
        <v>19959</v>
      </c>
      <c r="Q11893" t="s">
        <v>397</v>
      </c>
      <c r="R11893" t="s">
        <v>21678</v>
      </c>
      <c r="S11893">
        <v>3289</v>
      </c>
    </row>
    <row r="11894" spans="1:19">
      <c r="A11894" t="s">
        <v>136</v>
      </c>
      <c r="B11894" t="s">
        <v>150</v>
      </c>
      <c r="C11894" t="s">
        <v>268</v>
      </c>
      <c r="D11894" t="s">
        <v>397</v>
      </c>
      <c r="F11894">
        <f>HYPERLINK("https://www.wikidata.org/wiki/Q35203776", "Q35203776")</f>
        <v>0</v>
      </c>
      <c r="G11894" t="s">
        <v>4642</v>
      </c>
      <c r="H11894" t="s">
        <v>8785</v>
      </c>
      <c r="I11894" t="s">
        <v>9388</v>
      </c>
      <c r="J11894" t="s">
        <v>15116</v>
      </c>
      <c r="K11894" t="s">
        <v>18281</v>
      </c>
      <c r="M11894">
        <f>HYPERLINK("https://www.senat.fr/senateur-3eme-republique/frezoul_paul0182r3.html", "frezoul_paul0182r3")</f>
        <v>0</v>
      </c>
      <c r="N11894">
        <f>HYPERLINK("https://www.wikidata.org/wiki/Q3371247", "Q3371247")</f>
        <v>0</v>
      </c>
      <c r="O11894" t="s">
        <v>20019</v>
      </c>
      <c r="Q11894" t="s">
        <v>397</v>
      </c>
      <c r="R11894" t="s">
        <v>21650</v>
      </c>
      <c r="S11894">
        <v>15631</v>
      </c>
    </row>
    <row r="11895" spans="1:19">
      <c r="A11895" t="s">
        <v>136</v>
      </c>
      <c r="B11895" t="s">
        <v>150</v>
      </c>
      <c r="C11895" t="s">
        <v>268</v>
      </c>
      <c r="D11895" t="s">
        <v>397</v>
      </c>
      <c r="F11895">
        <f>HYPERLINK("https://www.wikidata.org/wiki/Q35203776", "Q35203776")</f>
        <v>0</v>
      </c>
      <c r="G11895" t="s">
        <v>4781</v>
      </c>
      <c r="H11895" t="s">
        <v>8924</v>
      </c>
      <c r="I11895" t="s">
        <v>9552</v>
      </c>
      <c r="J11895" t="s">
        <v>15242</v>
      </c>
      <c r="K11895" t="s">
        <v>19555</v>
      </c>
      <c r="M11895">
        <f>HYPERLINK("https://www.senat.fr/senateur-3eme-republique/delpech_auguste0187r3.html", "delpech_auguste0187r3")</f>
        <v>0</v>
      </c>
      <c r="N11895">
        <f>HYPERLINK("https://www.wikidata.org/wiki/Q2871149", "Q2871149")</f>
        <v>0</v>
      </c>
      <c r="O11895" t="s">
        <v>20019</v>
      </c>
      <c r="Q11895" t="s">
        <v>397</v>
      </c>
      <c r="R11895" t="s">
        <v>21650</v>
      </c>
      <c r="S11895">
        <v>15631</v>
      </c>
    </row>
    <row r="11896" spans="1:19">
      <c r="A11896" t="s">
        <v>136</v>
      </c>
      <c r="B11896" t="s">
        <v>150</v>
      </c>
      <c r="C11896" t="s">
        <v>268</v>
      </c>
      <c r="D11896" t="s">
        <v>397</v>
      </c>
      <c r="F11896">
        <f>HYPERLINK("https://www.wikidata.org/wiki/Q35203776", "Q35203776")</f>
        <v>0</v>
      </c>
      <c r="G11896" t="s">
        <v>4616</v>
      </c>
      <c r="H11896" t="s">
        <v>8759</v>
      </c>
      <c r="I11896" t="s">
        <v>9389</v>
      </c>
      <c r="J11896" t="s">
        <v>13833</v>
      </c>
      <c r="K11896" t="s">
        <v>19414</v>
      </c>
      <c r="M11896">
        <f>HYPERLINK("https://www.senat.fr/senateur-3eme-republique/gayot_emile0221r3.html", "gayot_emile0221r3")</f>
        <v>0</v>
      </c>
      <c r="N11896">
        <f>HYPERLINK("https://www.wikidata.org/wiki/Q3588530", "Q3588530")</f>
        <v>0</v>
      </c>
      <c r="O11896" t="s">
        <v>8449</v>
      </c>
      <c r="Q11896" t="s">
        <v>397</v>
      </c>
      <c r="R11896" t="s">
        <v>21650</v>
      </c>
      <c r="S11896">
        <v>15631</v>
      </c>
    </row>
    <row r="11897" spans="1:19">
      <c r="A11897" t="s">
        <v>136</v>
      </c>
      <c r="B11897" t="s">
        <v>150</v>
      </c>
      <c r="C11897" t="s">
        <v>268</v>
      </c>
      <c r="D11897" t="s">
        <v>397</v>
      </c>
      <c r="F11897">
        <f>HYPERLINK("https://www.wikidata.org/wiki/Q35203776", "Q35203776")</f>
        <v>0</v>
      </c>
      <c r="G11897" t="s">
        <v>4822</v>
      </c>
      <c r="H11897" t="s">
        <v>8963</v>
      </c>
      <c r="I11897" t="s">
        <v>9426</v>
      </c>
      <c r="J11897" t="s">
        <v>15276</v>
      </c>
      <c r="K11897" t="s">
        <v>19585</v>
      </c>
      <c r="M11897">
        <f>HYPERLINK("https://www.senat.fr/senateur-3eme-republique/renaudat_alphonse0232r3.html", "renaudat_alphonse0232r3")</f>
        <v>0</v>
      </c>
      <c r="N11897">
        <f>HYPERLINK("https://www.wikidata.org/wiki/Q2839946", "Q2839946")</f>
        <v>0</v>
      </c>
      <c r="O11897" t="s">
        <v>8449</v>
      </c>
      <c r="Q11897" t="s">
        <v>397</v>
      </c>
      <c r="R11897" t="s">
        <v>21678</v>
      </c>
      <c r="S11897">
        <v>3289</v>
      </c>
    </row>
    <row r="11898" spans="1:19">
      <c r="A11898" t="s">
        <v>136</v>
      </c>
      <c r="B11898" t="s">
        <v>150</v>
      </c>
      <c r="C11898" t="s">
        <v>268</v>
      </c>
      <c r="D11898" t="s">
        <v>397</v>
      </c>
      <c r="F11898">
        <f>HYPERLINK("https://www.wikidata.org/wiki/Q35203776", "Q35203776")</f>
        <v>0</v>
      </c>
      <c r="G11898" t="s">
        <v>4293</v>
      </c>
      <c r="H11898" t="s">
        <v>8452</v>
      </c>
      <c r="I11898" t="s">
        <v>7790</v>
      </c>
      <c r="J11898" t="s">
        <v>14792</v>
      </c>
      <c r="K11898" t="s">
        <v>19136</v>
      </c>
      <c r="M11898">
        <f>HYPERLINK("https://www.senat.fr/senateur-3eme-republique/gauthier_armand0264r3.html", "gauthier_armand0264r3")</f>
        <v>0</v>
      </c>
      <c r="N11898">
        <f>HYPERLINK("https://www.wikidata.org/wiki/Q2861852", "Q2861852")</f>
        <v>0</v>
      </c>
      <c r="O11898" t="s">
        <v>19960</v>
      </c>
      <c r="Q11898" t="s">
        <v>397</v>
      </c>
      <c r="R11898" t="s">
        <v>21678</v>
      </c>
      <c r="S11898">
        <v>3289</v>
      </c>
    </row>
    <row r="11899" spans="1:19">
      <c r="A11899" t="s">
        <v>136</v>
      </c>
      <c r="B11899" t="s">
        <v>150</v>
      </c>
      <c r="C11899" t="s">
        <v>268</v>
      </c>
      <c r="D11899" t="s">
        <v>397</v>
      </c>
      <c r="F11899">
        <f>HYPERLINK("https://www.wikidata.org/wiki/Q35203776", "Q35203776")</f>
        <v>0</v>
      </c>
      <c r="G11899" t="s">
        <v>4765</v>
      </c>
      <c r="H11899" t="s">
        <v>8908</v>
      </c>
      <c r="I11899" t="s">
        <v>9389</v>
      </c>
      <c r="J11899" t="s">
        <v>15228</v>
      </c>
      <c r="K11899" t="s">
        <v>19542</v>
      </c>
      <c r="M11899">
        <f>HYPERLINK("https://www.senat.fr/senateur-3eme-republique/monsservin_emile0283r3.html", "monsservin_emile0283r3")</f>
        <v>0</v>
      </c>
      <c r="N11899">
        <f>HYPERLINK("https://www.wikidata.org/wiki/Q3588665", "Q3588665")</f>
        <v>0</v>
      </c>
      <c r="O11899" t="s">
        <v>19967</v>
      </c>
      <c r="Q11899" t="s">
        <v>397</v>
      </c>
      <c r="R11899" t="s">
        <v>21650</v>
      </c>
      <c r="S11899">
        <v>15631</v>
      </c>
    </row>
    <row r="11900" spans="1:19">
      <c r="A11900" t="s">
        <v>136</v>
      </c>
      <c r="B11900" t="s">
        <v>150</v>
      </c>
      <c r="C11900" t="s">
        <v>268</v>
      </c>
      <c r="D11900" t="s">
        <v>397</v>
      </c>
      <c r="F11900">
        <f>HYPERLINK("https://www.wikidata.org/wiki/Q35203776", "Q35203776")</f>
        <v>0</v>
      </c>
      <c r="G11900" t="s">
        <v>4782</v>
      </c>
      <c r="H11900" t="s">
        <v>8925</v>
      </c>
      <c r="I11900" t="s">
        <v>9401</v>
      </c>
      <c r="J11900" t="s">
        <v>15243</v>
      </c>
      <c r="K11900" t="s">
        <v>19556</v>
      </c>
      <c r="M11900">
        <f>HYPERLINK("https://www.senat.fr/senateur-3eme-republique/ouvrier_antoine0287r3.html", "ouvrier_antoine0287r3")</f>
        <v>0</v>
      </c>
      <c r="N11900">
        <f>HYPERLINK("https://www.wikidata.org/wiki/Q2854298", "Q2854298")</f>
        <v>0</v>
      </c>
      <c r="O11900" t="s">
        <v>19967</v>
      </c>
      <c r="Q11900" t="s">
        <v>397</v>
      </c>
      <c r="R11900" t="s">
        <v>21650</v>
      </c>
      <c r="S11900">
        <v>15631</v>
      </c>
    </row>
    <row r="11901" spans="1:19">
      <c r="A11901" t="s">
        <v>136</v>
      </c>
      <c r="B11901" t="s">
        <v>150</v>
      </c>
      <c r="C11901" t="s">
        <v>268</v>
      </c>
      <c r="D11901" t="s">
        <v>397</v>
      </c>
      <c r="F11901">
        <f>HYPERLINK("https://www.wikidata.org/wiki/Q35203776", "Q35203776")</f>
        <v>0</v>
      </c>
      <c r="G11901" t="s">
        <v>4888</v>
      </c>
      <c r="H11901" t="s">
        <v>8945</v>
      </c>
      <c r="I11901" t="s">
        <v>9606</v>
      </c>
      <c r="J11901" t="s">
        <v>15332</v>
      </c>
      <c r="K11901" t="s">
        <v>19638</v>
      </c>
      <c r="M11901">
        <f>HYPERLINK("https://www.senat.fr/senateur-3eme-republique/bayol_jean_marie0328r3.html", "bayol_jean_marie0328r3")</f>
        <v>0</v>
      </c>
      <c r="N11901">
        <f>HYPERLINK("https://www.wikidata.org/wiki/Q1685032", "Q1685032")</f>
        <v>0</v>
      </c>
      <c r="O11901" t="s">
        <v>19990</v>
      </c>
      <c r="Q11901" t="s">
        <v>397</v>
      </c>
      <c r="R11901" t="s">
        <v>19638</v>
      </c>
      <c r="S11901">
        <v>1003</v>
      </c>
    </row>
    <row r="11902" spans="1:19">
      <c r="A11902" t="s">
        <v>136</v>
      </c>
      <c r="B11902" t="s">
        <v>150</v>
      </c>
      <c r="C11902" t="s">
        <v>268</v>
      </c>
      <c r="D11902" t="s">
        <v>397</v>
      </c>
      <c r="F11902">
        <f>HYPERLINK("https://www.wikidata.org/wiki/Q35203776", "Q35203776")</f>
        <v>0</v>
      </c>
      <c r="G11902" t="s">
        <v>4665</v>
      </c>
      <c r="H11902" t="s">
        <v>8807</v>
      </c>
      <c r="I11902" t="s">
        <v>11213</v>
      </c>
      <c r="J11902" t="s">
        <v>15136</v>
      </c>
      <c r="K11902" t="s">
        <v>19457</v>
      </c>
      <c r="M11902">
        <f>HYPERLINK("https://www.senat.fr/senateur-3eme-republique/velten_geoffroy0311r3.html", "velten_geoffroy0311r3")</f>
        <v>0</v>
      </c>
      <c r="N11902">
        <f>HYPERLINK("https://www.wikidata.org/wiki/Q1503086", "Q1503086")</f>
        <v>0</v>
      </c>
      <c r="O11902" t="s">
        <v>19990</v>
      </c>
      <c r="Q11902" t="s">
        <v>397</v>
      </c>
      <c r="R11902" t="s">
        <v>21650</v>
      </c>
      <c r="S11902">
        <v>15631</v>
      </c>
    </row>
    <row r="11903" spans="1:19">
      <c r="A11903" t="s">
        <v>136</v>
      </c>
      <c r="B11903" t="s">
        <v>150</v>
      </c>
      <c r="C11903" t="s">
        <v>268</v>
      </c>
      <c r="D11903" t="s">
        <v>397</v>
      </c>
      <c r="F11903">
        <f>HYPERLINK("https://www.wikidata.org/wiki/Q35203776", "Q35203776")</f>
        <v>0</v>
      </c>
      <c r="G11903" t="s">
        <v>4755</v>
      </c>
      <c r="H11903" t="s">
        <v>8898</v>
      </c>
      <c r="I11903" t="s">
        <v>9472</v>
      </c>
      <c r="J11903" t="s">
        <v>15218</v>
      </c>
      <c r="K11903" t="s">
        <v>19534</v>
      </c>
      <c r="M11903">
        <f>HYPERLINK("https://www.senat.fr/senateur-3eme-republique/turgis_hippolyte0354r3.html", "turgis_hippolyte0354r3")</f>
        <v>0</v>
      </c>
      <c r="N11903">
        <f>HYPERLINK("https://www.wikidata.org/wiki/Q3136134", "Q3136134")</f>
        <v>0</v>
      </c>
      <c r="O11903" t="s">
        <v>20009</v>
      </c>
      <c r="Q11903" t="s">
        <v>397</v>
      </c>
      <c r="R11903" t="s">
        <v>21650</v>
      </c>
      <c r="S11903">
        <v>15631</v>
      </c>
    </row>
    <row r="11904" spans="1:19">
      <c r="A11904" t="s">
        <v>136</v>
      </c>
      <c r="B11904" t="s">
        <v>150</v>
      </c>
      <c r="C11904" t="s">
        <v>268</v>
      </c>
      <c r="D11904" t="s">
        <v>397</v>
      </c>
      <c r="F11904">
        <f>HYPERLINK("https://www.wikidata.org/wiki/Q35203776", "Q35203776")</f>
        <v>0</v>
      </c>
      <c r="G11904" t="s">
        <v>4260</v>
      </c>
      <c r="H11904" t="s">
        <v>8429</v>
      </c>
      <c r="I11904" t="s">
        <v>6495</v>
      </c>
      <c r="J11904" t="s">
        <v>13303</v>
      </c>
      <c r="K11904" t="s">
        <v>19109</v>
      </c>
      <c r="M11904">
        <f>HYPERLINK("https://www.senat.fr/senateur-3eme-republique/tillaye_louis0336r3.html", "tillaye_louis0336r3")</f>
        <v>0</v>
      </c>
      <c r="N11904">
        <f>HYPERLINK("https://www.wikidata.org/wiki/Q3261486", "Q3261486")</f>
        <v>0</v>
      </c>
      <c r="O11904" t="s">
        <v>20009</v>
      </c>
      <c r="Q11904" t="s">
        <v>397</v>
      </c>
      <c r="R11904" t="s">
        <v>21678</v>
      </c>
      <c r="S11904">
        <v>3289</v>
      </c>
    </row>
    <row r="11905" spans="1:19">
      <c r="A11905" t="s">
        <v>136</v>
      </c>
      <c r="B11905" t="s">
        <v>150</v>
      </c>
      <c r="C11905" t="s">
        <v>268</v>
      </c>
      <c r="D11905" t="s">
        <v>397</v>
      </c>
      <c r="F11905">
        <f>HYPERLINK("https://www.wikidata.org/wiki/Q35203776", "Q35203776")</f>
        <v>0</v>
      </c>
      <c r="G11905" t="s">
        <v>4889</v>
      </c>
      <c r="H11905" t="s">
        <v>9025</v>
      </c>
      <c r="I11905" t="s">
        <v>9465</v>
      </c>
      <c r="J11905" t="s">
        <v>15333</v>
      </c>
      <c r="K11905" t="s">
        <v>19639</v>
      </c>
      <c r="M11905">
        <f>HYPERLINK("https://www.senat.fr/senateur-3eme-republique/lintilhac_eugene0361r3.html", "lintilhac_eugene0361r3")</f>
        <v>0</v>
      </c>
      <c r="N11905">
        <f>HYPERLINK("https://www.wikidata.org/wiki/Q3059994", "Q3059994")</f>
        <v>0</v>
      </c>
      <c r="O11905" t="s">
        <v>19966</v>
      </c>
      <c r="Q11905" t="s">
        <v>397</v>
      </c>
      <c r="R11905" t="s">
        <v>21678</v>
      </c>
      <c r="S11905">
        <v>3289</v>
      </c>
    </row>
    <row r="11906" spans="1:19">
      <c r="A11906" t="s">
        <v>136</v>
      </c>
      <c r="B11906" t="s">
        <v>150</v>
      </c>
      <c r="C11906" t="s">
        <v>268</v>
      </c>
      <c r="D11906" t="s">
        <v>397</v>
      </c>
      <c r="F11906">
        <f>HYPERLINK("https://www.wikidata.org/wiki/Q35203776", "Q35203776")</f>
        <v>0</v>
      </c>
      <c r="G11906" t="s">
        <v>4874</v>
      </c>
      <c r="H11906" t="s">
        <v>8806</v>
      </c>
      <c r="I11906" t="s">
        <v>5630</v>
      </c>
      <c r="J11906" t="s">
        <v>15319</v>
      </c>
      <c r="K11906" t="s">
        <v>19630</v>
      </c>
      <c r="M11906">
        <f>HYPERLINK("https://www.senat.fr/senateur-3eme-republique/lacombe_bertrand0390r3.html", "lacombe_bertrand0390r3")</f>
        <v>0</v>
      </c>
      <c r="N11906">
        <f>HYPERLINK("https://www.wikidata.org/wiki/Q2899588", "Q2899588")</f>
        <v>0</v>
      </c>
      <c r="O11906" t="s">
        <v>20031</v>
      </c>
      <c r="Q11906" t="s">
        <v>397</v>
      </c>
      <c r="R11906" t="s">
        <v>21650</v>
      </c>
      <c r="S11906">
        <v>15631</v>
      </c>
    </row>
    <row r="11907" spans="1:19">
      <c r="A11907" t="s">
        <v>136</v>
      </c>
      <c r="B11907" t="s">
        <v>150</v>
      </c>
      <c r="C11907" t="s">
        <v>268</v>
      </c>
      <c r="D11907" t="s">
        <v>397</v>
      </c>
      <c r="F11907">
        <f>HYPERLINK("https://www.wikidata.org/wiki/Q35203776", "Q35203776")</f>
        <v>0</v>
      </c>
      <c r="G11907" t="s">
        <v>4890</v>
      </c>
      <c r="H11907" t="s">
        <v>9026</v>
      </c>
      <c r="I11907" t="s">
        <v>9449</v>
      </c>
      <c r="J11907" t="s">
        <v>15334</v>
      </c>
      <c r="K11907" t="s">
        <v>17574</v>
      </c>
      <c r="M11907">
        <f>HYPERLINK("https://www.senat.fr/senateur-3eme-republique/brisson_jules0396r3.html", "brisson_jules0396r3")</f>
        <v>0</v>
      </c>
      <c r="N11907">
        <f>HYPERLINK("https://www.wikidata.org/wiki/Q3188458", "Q3188458")</f>
        <v>0</v>
      </c>
      <c r="O11907" t="s">
        <v>20031</v>
      </c>
      <c r="Q11907" t="s">
        <v>397</v>
      </c>
      <c r="R11907" t="s">
        <v>21678</v>
      </c>
      <c r="S11907">
        <v>3289</v>
      </c>
    </row>
    <row r="11908" spans="1:19">
      <c r="A11908" t="s">
        <v>136</v>
      </c>
      <c r="B11908" t="s">
        <v>150</v>
      </c>
      <c r="C11908" t="s">
        <v>268</v>
      </c>
      <c r="D11908" t="s">
        <v>397</v>
      </c>
      <c r="F11908">
        <f>HYPERLINK("https://www.wikidata.org/wiki/Q35203776", "Q35203776")</f>
        <v>0</v>
      </c>
      <c r="G11908" t="s">
        <v>4877</v>
      </c>
      <c r="H11908" t="s">
        <v>9015</v>
      </c>
      <c r="I11908" t="s">
        <v>9388</v>
      </c>
      <c r="J11908" t="s">
        <v>15321</v>
      </c>
      <c r="K11908" t="s">
        <v>16442</v>
      </c>
      <c r="M11908">
        <f>HYPERLINK("https://www.senat.fr/senateur-3eme-republique/rouvier_paul0406r3.html", "rouvier_paul0406r3")</f>
        <v>0</v>
      </c>
      <c r="N11908">
        <f>HYPERLINK("https://www.wikidata.org/wiki/Q3372135", "Q3372135")</f>
        <v>0</v>
      </c>
      <c r="O11908" t="s">
        <v>20037</v>
      </c>
      <c r="Q11908" t="s">
        <v>397</v>
      </c>
      <c r="R11908" t="s">
        <v>21650</v>
      </c>
      <c r="S11908">
        <v>15631</v>
      </c>
    </row>
    <row r="11909" spans="1:19">
      <c r="A11909" t="s">
        <v>136</v>
      </c>
      <c r="B11909" t="s">
        <v>150</v>
      </c>
      <c r="C11909" t="s">
        <v>268</v>
      </c>
      <c r="D11909" t="s">
        <v>397</v>
      </c>
      <c r="F11909">
        <f>HYPERLINK("https://www.wikidata.org/wiki/Q35203776", "Q35203776")</f>
        <v>0</v>
      </c>
      <c r="G11909" t="s">
        <v>4786</v>
      </c>
      <c r="H11909" t="s">
        <v>8929</v>
      </c>
      <c r="I11909" t="s">
        <v>9552</v>
      </c>
      <c r="J11909" t="s">
        <v>15247</v>
      </c>
      <c r="K11909" t="s">
        <v>19558</v>
      </c>
      <c r="M11909">
        <f>HYPERLINK("https://www.senat.fr/senateur-3eme-republique/calvet_auguste0412r3.html", "calvet_auguste0412r3")</f>
        <v>0</v>
      </c>
      <c r="N11909">
        <f>HYPERLINK("https://www.wikidata.org/wiki/Q2871100", "Q2871100")</f>
        <v>0</v>
      </c>
      <c r="O11909" t="s">
        <v>20037</v>
      </c>
      <c r="Q11909" t="s">
        <v>397</v>
      </c>
      <c r="R11909" t="s">
        <v>21650</v>
      </c>
      <c r="S11909">
        <v>15631</v>
      </c>
    </row>
    <row r="11910" spans="1:19">
      <c r="A11910" t="s">
        <v>136</v>
      </c>
      <c r="B11910" t="s">
        <v>150</v>
      </c>
      <c r="C11910" t="s">
        <v>268</v>
      </c>
      <c r="D11910" t="s">
        <v>397</v>
      </c>
      <c r="F11910">
        <f>HYPERLINK("https://www.wikidata.org/wiki/Q35203776", "Q35203776")</f>
        <v>0</v>
      </c>
      <c r="G11910" t="s">
        <v>4236</v>
      </c>
      <c r="H11910" t="s">
        <v>8413</v>
      </c>
      <c r="I11910" t="s">
        <v>9437</v>
      </c>
      <c r="J11910" t="s">
        <v>14743</v>
      </c>
      <c r="K11910" t="s">
        <v>19088</v>
      </c>
      <c r="M11910">
        <f>HYPERLINK("https://www.senat.fr/senateur-3eme-republique/combes_emile0416r3.html", "combes_emile0416r3")</f>
        <v>0</v>
      </c>
      <c r="N11910">
        <f>HYPERLINK("https://www.wikidata.org/wiki/Q275020", "Q275020")</f>
        <v>0</v>
      </c>
      <c r="O11910" t="s">
        <v>20037</v>
      </c>
      <c r="Q11910" t="s">
        <v>397</v>
      </c>
      <c r="R11910" t="s">
        <v>21678</v>
      </c>
      <c r="S11910">
        <v>3289</v>
      </c>
    </row>
    <row r="11911" spans="1:19">
      <c r="A11911" t="s">
        <v>136</v>
      </c>
      <c r="B11911" t="s">
        <v>150</v>
      </c>
      <c r="C11911" t="s">
        <v>268</v>
      </c>
      <c r="D11911" t="s">
        <v>397</v>
      </c>
      <c r="F11911">
        <f>HYPERLINK("https://www.wikidata.org/wiki/Q35203776", "Q35203776")</f>
        <v>0</v>
      </c>
      <c r="G11911" t="s">
        <v>4891</v>
      </c>
      <c r="H11911" t="s">
        <v>9027</v>
      </c>
      <c r="I11911" t="s">
        <v>9385</v>
      </c>
      <c r="J11911" t="s">
        <v>15335</v>
      </c>
      <c r="K11911" t="s">
        <v>15733</v>
      </c>
      <c r="M11911">
        <f>HYPERLINK("https://www.senat.fr/senateur-3eme-republique/daumy_charles0436r3.html", "daumy_charles0436r3")</f>
        <v>0</v>
      </c>
      <c r="N11911">
        <f>HYPERLINK("https://www.wikidata.org/wiki/Q2958839", "Q2958839")</f>
        <v>0</v>
      </c>
      <c r="O11911" t="s">
        <v>19996</v>
      </c>
      <c r="Q11911" t="s">
        <v>397</v>
      </c>
      <c r="R11911" t="s">
        <v>15733</v>
      </c>
      <c r="S11911">
        <v>2740</v>
      </c>
    </row>
    <row r="11912" spans="1:19">
      <c r="A11912" t="s">
        <v>136</v>
      </c>
      <c r="B11912" t="s">
        <v>150</v>
      </c>
      <c r="C11912" t="s">
        <v>268</v>
      </c>
      <c r="D11912" t="s">
        <v>397</v>
      </c>
      <c r="F11912">
        <f>HYPERLINK("https://www.wikidata.org/wiki/Q35203776", "Q35203776")</f>
        <v>0</v>
      </c>
      <c r="G11912" t="s">
        <v>4706</v>
      </c>
      <c r="H11912" t="s">
        <v>8847</v>
      </c>
      <c r="I11912" t="s">
        <v>6495</v>
      </c>
      <c r="J11912" t="s">
        <v>15174</v>
      </c>
      <c r="K11912" t="s">
        <v>19494</v>
      </c>
      <c r="M11912">
        <f>HYPERLINK("https://www.senat.fr/senateur-3eme-republique/pauliat_louis0443r3.html", "pauliat_louis0443r3")</f>
        <v>0</v>
      </c>
      <c r="N11912">
        <f>HYPERLINK("https://www.wikidata.org/wiki/Q3262853", "Q3262853")</f>
        <v>0</v>
      </c>
      <c r="O11912" t="s">
        <v>19996</v>
      </c>
      <c r="Q11912" t="s">
        <v>397</v>
      </c>
      <c r="R11912" t="s">
        <v>21678</v>
      </c>
      <c r="S11912">
        <v>3289</v>
      </c>
    </row>
    <row r="11913" spans="1:19">
      <c r="A11913" t="s">
        <v>136</v>
      </c>
      <c r="B11913" t="s">
        <v>150</v>
      </c>
      <c r="C11913" t="s">
        <v>268</v>
      </c>
      <c r="D11913" t="s">
        <v>397</v>
      </c>
      <c r="F11913">
        <f>HYPERLINK("https://www.wikidata.org/wiki/Q35203776", "Q35203776")</f>
        <v>0</v>
      </c>
      <c r="G11913" t="s">
        <v>4697</v>
      </c>
      <c r="H11913" t="s">
        <v>8837</v>
      </c>
      <c r="I11913" t="s">
        <v>11216</v>
      </c>
      <c r="J11913" t="s">
        <v>15166</v>
      </c>
      <c r="K11913" t="s">
        <v>19485</v>
      </c>
      <c r="M11913">
        <f>HYPERLINK("https://www.senat.fr/senateur-3eme-republique/chaver_biere_leonce0466r3.html", "chaver_biere_leonce0466r3")</f>
        <v>0</v>
      </c>
      <c r="N11913">
        <f>HYPERLINK("https://www.wikidata.org/wiki/Q3271636", "Q3271636")</f>
        <v>0</v>
      </c>
      <c r="O11913" t="s">
        <v>20020</v>
      </c>
      <c r="Q11913" t="s">
        <v>397</v>
      </c>
      <c r="R11913" t="s">
        <v>21650</v>
      </c>
      <c r="S11913">
        <v>15631</v>
      </c>
    </row>
    <row r="11914" spans="1:19">
      <c r="A11914" t="s">
        <v>136</v>
      </c>
      <c r="B11914" t="s">
        <v>150</v>
      </c>
      <c r="C11914" t="s">
        <v>268</v>
      </c>
      <c r="D11914" t="s">
        <v>397</v>
      </c>
      <c r="F11914">
        <f>HYPERLINK("https://www.wikidata.org/wiki/Q35203776", "Q35203776")</f>
        <v>0</v>
      </c>
      <c r="G11914" t="s">
        <v>4769</v>
      </c>
      <c r="H11914" t="s">
        <v>8912</v>
      </c>
      <c r="I11914" t="s">
        <v>11222</v>
      </c>
      <c r="J11914" t="s">
        <v>15232</v>
      </c>
      <c r="K11914" t="s">
        <v>19546</v>
      </c>
      <c r="M11914">
        <f>HYPERLINK("https://www.senat.fr/senateur-3eme-republique/muracciole_ange0487r3.html", "muracciole_ange0487r3")</f>
        <v>0</v>
      </c>
      <c r="N11914">
        <f>HYPERLINK("https://www.wikidata.org/wiki/Q2849293", "Q2849293")</f>
        <v>0</v>
      </c>
      <c r="O11914" t="s">
        <v>19955</v>
      </c>
      <c r="Q11914" t="s">
        <v>397</v>
      </c>
      <c r="R11914" t="s">
        <v>21650</v>
      </c>
      <c r="S11914">
        <v>15631</v>
      </c>
    </row>
    <row r="11915" spans="1:19">
      <c r="A11915" t="s">
        <v>136</v>
      </c>
      <c r="B11915" t="s">
        <v>150</v>
      </c>
      <c r="C11915" t="s">
        <v>268</v>
      </c>
      <c r="D11915" t="s">
        <v>397</v>
      </c>
      <c r="F11915">
        <f>HYPERLINK("https://www.wikidata.org/wiki/Q35203776", "Q35203776")</f>
        <v>0</v>
      </c>
      <c r="G11915" t="s">
        <v>4614</v>
      </c>
      <c r="H11915" t="s">
        <v>8757</v>
      </c>
      <c r="I11915" t="s">
        <v>9457</v>
      </c>
      <c r="J11915" t="s">
        <v>15090</v>
      </c>
      <c r="K11915" t="s">
        <v>19412</v>
      </c>
      <c r="M11915">
        <f>HYPERLINK("https://www.senat.fr/senateur-3eme-republique/de_carne_henri0565r3.html", "de_carne_henri0565r3")</f>
        <v>0</v>
      </c>
      <c r="N11915">
        <f>HYPERLINK("https://www.wikidata.org/wiki/Q3132234", "Q3132234")</f>
        <v>0</v>
      </c>
      <c r="O11915" t="s">
        <v>19964</v>
      </c>
      <c r="Q11915" t="s">
        <v>397</v>
      </c>
      <c r="R11915" t="s">
        <v>21650</v>
      </c>
      <c r="S11915">
        <v>15631</v>
      </c>
    </row>
    <row r="11916" spans="1:19">
      <c r="A11916" t="s">
        <v>136</v>
      </c>
      <c r="B11916" t="s">
        <v>150</v>
      </c>
      <c r="C11916" t="s">
        <v>268</v>
      </c>
      <c r="D11916" t="s">
        <v>397</v>
      </c>
      <c r="F11916">
        <f>HYPERLINK("https://www.wikidata.org/wiki/Q35203776", "Q35203776")</f>
        <v>0</v>
      </c>
      <c r="G11916" t="s">
        <v>4779</v>
      </c>
      <c r="H11916" t="s">
        <v>8922</v>
      </c>
      <c r="I11916" t="s">
        <v>9385</v>
      </c>
      <c r="J11916" t="s">
        <v>15241</v>
      </c>
      <c r="K11916" t="s">
        <v>19553</v>
      </c>
      <c r="M11916">
        <f>HYPERLINK("https://www.senat.fr/senateur-3eme-republique/haugoumar_des_portes_charles0576r3.html", "haugoumar_des_portes_charles0576r3")</f>
        <v>0</v>
      </c>
      <c r="N11916">
        <f>HYPERLINK("https://www.wikidata.org/wiki/Q2959323", "Q2959323")</f>
        <v>0</v>
      </c>
      <c r="O11916" t="s">
        <v>19964</v>
      </c>
      <c r="Q11916" t="s">
        <v>397</v>
      </c>
      <c r="R11916" t="s">
        <v>21650</v>
      </c>
      <c r="S11916">
        <v>15631</v>
      </c>
    </row>
    <row r="11917" spans="1:19">
      <c r="A11917" t="s">
        <v>136</v>
      </c>
      <c r="B11917" t="s">
        <v>150</v>
      </c>
      <c r="C11917" t="s">
        <v>268</v>
      </c>
      <c r="D11917" t="s">
        <v>397</v>
      </c>
      <c r="F11917">
        <f>HYPERLINK("https://www.wikidata.org/wiki/Q35203776", "Q35203776")</f>
        <v>0</v>
      </c>
      <c r="G11917" t="s">
        <v>4789</v>
      </c>
      <c r="H11917" t="s">
        <v>8932</v>
      </c>
      <c r="I11917" t="s">
        <v>9376</v>
      </c>
      <c r="J11917" t="s">
        <v>15250</v>
      </c>
      <c r="K11917" t="s">
        <v>19559</v>
      </c>
      <c r="M11917">
        <f>HYPERLINK("https://www.senat.fr/senateur-3eme-republique/villard_ferdinand0618r3.html", "villard_ferdinand0618r3")</f>
        <v>0</v>
      </c>
      <c r="N11917">
        <f>HYPERLINK("https://www.wikidata.org/wiki/Q3068662", "Q3068662")</f>
        <v>0</v>
      </c>
      <c r="O11917" t="s">
        <v>19979</v>
      </c>
      <c r="Q11917" t="s">
        <v>397</v>
      </c>
      <c r="R11917" t="s">
        <v>21650</v>
      </c>
      <c r="S11917">
        <v>15631</v>
      </c>
    </row>
    <row r="11918" spans="1:19">
      <c r="A11918" t="s">
        <v>136</v>
      </c>
      <c r="B11918" t="s">
        <v>150</v>
      </c>
      <c r="C11918" t="s">
        <v>268</v>
      </c>
      <c r="D11918" t="s">
        <v>397</v>
      </c>
      <c r="F11918">
        <f>HYPERLINK("https://www.wikidata.org/wiki/Q35203776", "Q35203776")</f>
        <v>0</v>
      </c>
      <c r="G11918" t="s">
        <v>4790</v>
      </c>
      <c r="H11918" t="s">
        <v>8933</v>
      </c>
      <c r="I11918" t="s">
        <v>9474</v>
      </c>
      <c r="J11918" t="s">
        <v>15251</v>
      </c>
      <c r="K11918" t="s">
        <v>19560</v>
      </c>
      <c r="M11918">
        <f>HYPERLINK("https://www.senat.fr/senateur-3eme-republique/dufoussat_jean_baptiste0624r3.html", "dufoussat_jean_baptiste0624r3")</f>
        <v>0</v>
      </c>
      <c r="N11918">
        <f>HYPERLINK("https://www.wikidata.org/wiki/Q3164042", "Q3164042")</f>
        <v>0</v>
      </c>
      <c r="O11918" t="s">
        <v>19979</v>
      </c>
      <c r="Q11918" t="s">
        <v>397</v>
      </c>
      <c r="R11918" t="s">
        <v>21650</v>
      </c>
      <c r="S11918">
        <v>15631</v>
      </c>
    </row>
    <row r="11919" spans="1:19">
      <c r="A11919" t="s">
        <v>136</v>
      </c>
      <c r="B11919" t="s">
        <v>150</v>
      </c>
      <c r="C11919" t="s">
        <v>268</v>
      </c>
      <c r="D11919" t="s">
        <v>397</v>
      </c>
      <c r="F11919">
        <f>HYPERLINK("https://www.wikidata.org/wiki/Q35203776", "Q35203776")</f>
        <v>0</v>
      </c>
      <c r="G11919" t="s">
        <v>4892</v>
      </c>
      <c r="H11919" t="s">
        <v>9028</v>
      </c>
      <c r="I11919" t="s">
        <v>6200</v>
      </c>
      <c r="J11919" t="s">
        <v>15336</v>
      </c>
      <c r="K11919" t="s">
        <v>19640</v>
      </c>
      <c r="M11919">
        <f>HYPERLINK("https://www.senat.fr/senateur-3eme-republique/peyrot_jean0662r3.html", "peyrot_jean0662r3")</f>
        <v>0</v>
      </c>
      <c r="N11919">
        <f>HYPERLINK("https://www.wikidata.org/wiki/Q3173948", "Q3173948")</f>
        <v>0</v>
      </c>
      <c r="O11919" t="s">
        <v>20010</v>
      </c>
      <c r="Q11919" t="s">
        <v>397</v>
      </c>
      <c r="R11919" t="s">
        <v>21678</v>
      </c>
      <c r="S11919">
        <v>3289</v>
      </c>
    </row>
    <row r="11920" spans="1:19">
      <c r="A11920" t="s">
        <v>136</v>
      </c>
      <c r="B11920" t="s">
        <v>150</v>
      </c>
      <c r="C11920" t="s">
        <v>268</v>
      </c>
      <c r="D11920" t="s">
        <v>397</v>
      </c>
      <c r="F11920">
        <f>HYPERLINK("https://www.wikidata.org/wiki/Q35203776", "Q35203776")</f>
        <v>0</v>
      </c>
      <c r="G11920" t="s">
        <v>4880</v>
      </c>
      <c r="H11920" t="s">
        <v>9017</v>
      </c>
      <c r="I11920" t="s">
        <v>6860</v>
      </c>
      <c r="J11920" t="s">
        <v>15324</v>
      </c>
      <c r="K11920" t="s">
        <v>19633</v>
      </c>
      <c r="M11920">
        <f>HYPERLINK("https://www.senat.fr/senateur-3eme-republique/guillier_pierre0656r3.html", "guillier_pierre0656r3")</f>
        <v>0</v>
      </c>
      <c r="N11920">
        <f>HYPERLINK("https://www.wikidata.org/wiki/Q3385377", "Q3385377")</f>
        <v>0</v>
      </c>
      <c r="O11920" t="s">
        <v>20010</v>
      </c>
      <c r="Q11920" t="s">
        <v>397</v>
      </c>
      <c r="R11920" t="s">
        <v>21678</v>
      </c>
      <c r="S11920">
        <v>3289</v>
      </c>
    </row>
    <row r="11921" spans="1:19">
      <c r="A11921" t="s">
        <v>136</v>
      </c>
      <c r="B11921" t="s">
        <v>150</v>
      </c>
      <c r="C11921" t="s">
        <v>268</v>
      </c>
      <c r="D11921" t="s">
        <v>397</v>
      </c>
      <c r="F11921">
        <f>HYPERLINK("https://www.wikidata.org/wiki/Q35203776", "Q35203776")</f>
        <v>0</v>
      </c>
      <c r="G11921" t="s">
        <v>4825</v>
      </c>
      <c r="H11921" t="s">
        <v>8966</v>
      </c>
      <c r="I11921" t="s">
        <v>11225</v>
      </c>
      <c r="J11921" t="s">
        <v>15279</v>
      </c>
      <c r="K11921" t="s">
        <v>19588</v>
      </c>
      <c r="M11921">
        <f>HYPERLINK("https://www.senat.fr/senateur-3eme-republique/saillard_albin0682r3.html", "saillard_albin0682r3")</f>
        <v>0</v>
      </c>
      <c r="N11921">
        <f>HYPERLINK("https://www.wikidata.org/wiki/Q2831891", "Q2831891")</f>
        <v>0</v>
      </c>
      <c r="O11921" t="s">
        <v>19973</v>
      </c>
      <c r="Q11921" t="s">
        <v>397</v>
      </c>
      <c r="R11921" t="s">
        <v>21650</v>
      </c>
      <c r="S11921">
        <v>15631</v>
      </c>
    </row>
    <row r="11922" spans="1:19">
      <c r="A11922" t="s">
        <v>136</v>
      </c>
      <c r="B11922" t="s">
        <v>150</v>
      </c>
      <c r="C11922" t="s">
        <v>268</v>
      </c>
      <c r="D11922" t="s">
        <v>397</v>
      </c>
      <c r="F11922">
        <f>HYPERLINK("https://www.wikidata.org/wiki/Q35203776", "Q35203776")</f>
        <v>0</v>
      </c>
      <c r="G11922" t="s">
        <v>4672</v>
      </c>
      <c r="H11922" t="s">
        <v>8814</v>
      </c>
      <c r="I11922" t="s">
        <v>9407</v>
      </c>
      <c r="J11922" t="s">
        <v>15143</v>
      </c>
      <c r="K11922" t="s">
        <v>19463</v>
      </c>
      <c r="M11922">
        <f>HYPERLINK("https://www.senat.fr/senateur-3eme-republique/fayard_joseph0721r3.html", "fayard_joseph0721r3")</f>
        <v>0</v>
      </c>
      <c r="N11922">
        <f>HYPERLINK("https://www.wikidata.org/wiki/Q3184937", "Q3184937")</f>
        <v>0</v>
      </c>
      <c r="O11922" t="s">
        <v>20044</v>
      </c>
      <c r="Q11922" t="s">
        <v>397</v>
      </c>
      <c r="R11922" t="s">
        <v>21650</v>
      </c>
      <c r="S11922">
        <v>15631</v>
      </c>
    </row>
    <row r="11923" spans="1:19">
      <c r="A11923" t="s">
        <v>136</v>
      </c>
      <c r="B11923" t="s">
        <v>150</v>
      </c>
      <c r="C11923" t="s">
        <v>268</v>
      </c>
      <c r="D11923" t="s">
        <v>397</v>
      </c>
      <c r="F11923">
        <f>HYPERLINK("https://www.wikidata.org/wiki/Q35203776", "Q35203776")</f>
        <v>0</v>
      </c>
      <c r="G11923" t="s">
        <v>4884</v>
      </c>
      <c r="H11923" t="s">
        <v>9021</v>
      </c>
      <c r="I11923" t="s">
        <v>11230</v>
      </c>
      <c r="J11923" t="s">
        <v>15328</v>
      </c>
      <c r="K11923" t="s">
        <v>282</v>
      </c>
      <c r="M11923">
        <f>HYPERLINK("https://www.senat.fr/senateur-3eme-republique/faure_maurice0716r3.html", "faure_maurice0716r3")</f>
        <v>0</v>
      </c>
      <c r="N11923">
        <f>HYPERLINK("https://www.wikidata.org/wiki/Q3300775", "Q3300775")</f>
        <v>0</v>
      </c>
      <c r="O11923" t="s">
        <v>20044</v>
      </c>
      <c r="Q11923" t="s">
        <v>397</v>
      </c>
      <c r="R11923" t="s">
        <v>21678</v>
      </c>
      <c r="S11923">
        <v>3289</v>
      </c>
    </row>
    <row r="11924" spans="1:19">
      <c r="A11924" t="s">
        <v>136</v>
      </c>
      <c r="B11924" t="s">
        <v>150</v>
      </c>
      <c r="C11924" t="s">
        <v>268</v>
      </c>
      <c r="D11924" t="s">
        <v>397</v>
      </c>
      <c r="F11924">
        <f>HYPERLINK("https://www.wikidata.org/wiki/Q35203776", "Q35203776")</f>
        <v>0</v>
      </c>
      <c r="G11924" t="s">
        <v>4798</v>
      </c>
      <c r="H11924" t="s">
        <v>8940</v>
      </c>
      <c r="I11924" t="s">
        <v>6584</v>
      </c>
      <c r="J11924" t="s">
        <v>15259</v>
      </c>
      <c r="K11924" t="s">
        <v>19567</v>
      </c>
      <c r="M11924">
        <f>HYPERLINK("https://www.senat.fr/senateur-3eme-republique/parissot_albert0757r3.html", "parissot_albert0757r3")</f>
        <v>0</v>
      </c>
      <c r="N11924">
        <f>HYPERLINK("https://www.wikidata.org/wiki/Q2831450", "Q2831450")</f>
        <v>0</v>
      </c>
      <c r="O11924" t="s">
        <v>19992</v>
      </c>
      <c r="Q11924" t="s">
        <v>397</v>
      </c>
      <c r="R11924" t="s">
        <v>21650</v>
      </c>
      <c r="S11924">
        <v>15631</v>
      </c>
    </row>
    <row r="11925" spans="1:19">
      <c r="A11925" t="s">
        <v>136</v>
      </c>
      <c r="B11925" t="s">
        <v>150</v>
      </c>
      <c r="C11925" t="s">
        <v>268</v>
      </c>
      <c r="D11925" t="s">
        <v>397</v>
      </c>
      <c r="F11925">
        <f>HYPERLINK("https://www.wikidata.org/wiki/Q35203776", "Q35203776")</f>
        <v>0</v>
      </c>
      <c r="G11925" t="s">
        <v>4446</v>
      </c>
      <c r="H11925" t="s">
        <v>8593</v>
      </c>
      <c r="I11925" t="s">
        <v>9389</v>
      </c>
      <c r="J11925" t="s">
        <v>14936</v>
      </c>
      <c r="K11925" t="s">
        <v>19267</v>
      </c>
      <c r="M11925">
        <f>HYPERLINK("https://www.senat.fr/senateur-3eme-republique/labiche_emile0771r3.html", "labiche_emile0771r3")</f>
        <v>0</v>
      </c>
      <c r="N11925">
        <f>HYPERLINK("https://www.wikidata.org/wiki/Q3588592", "Q3588592")</f>
        <v>0</v>
      </c>
      <c r="O11925" t="s">
        <v>19971</v>
      </c>
      <c r="Q11925" t="s">
        <v>397</v>
      </c>
      <c r="R11925" t="s">
        <v>21650</v>
      </c>
      <c r="S11925">
        <v>15631</v>
      </c>
    </row>
    <row r="11926" spans="1:19">
      <c r="A11926" t="s">
        <v>136</v>
      </c>
      <c r="B11926" t="s">
        <v>150</v>
      </c>
      <c r="C11926" t="s">
        <v>268</v>
      </c>
      <c r="D11926" t="s">
        <v>397</v>
      </c>
      <c r="F11926">
        <f>HYPERLINK("https://www.wikidata.org/wiki/Q35203776", "Q35203776")</f>
        <v>0</v>
      </c>
      <c r="G11926" t="s">
        <v>4728</v>
      </c>
      <c r="H11926" t="s">
        <v>8870</v>
      </c>
      <c r="I11926" t="s">
        <v>6495</v>
      </c>
      <c r="J11926" t="s">
        <v>15192</v>
      </c>
      <c r="K11926" t="s">
        <v>19512</v>
      </c>
      <c r="M11926">
        <f>HYPERLINK("https://www.senat.fr/senateur-3eme-republique/vinet_louis0767r3.html", "vinet_louis0767r3")</f>
        <v>0</v>
      </c>
      <c r="N11926">
        <f>HYPERLINK("https://www.wikidata.org/wiki/Q3263292", "Q3263292")</f>
        <v>0</v>
      </c>
      <c r="O11926" t="s">
        <v>19971</v>
      </c>
      <c r="Q11926" t="s">
        <v>397</v>
      </c>
      <c r="R11926" t="s">
        <v>21678</v>
      </c>
      <c r="S11926">
        <v>3289</v>
      </c>
    </row>
    <row r="11927" spans="1:19">
      <c r="A11927" t="s">
        <v>136</v>
      </c>
      <c r="B11927" t="s">
        <v>150</v>
      </c>
      <c r="C11927" t="s">
        <v>268</v>
      </c>
      <c r="D11927" t="s">
        <v>397</v>
      </c>
      <c r="F11927">
        <f>HYPERLINK("https://www.wikidata.org/wiki/Q35203776", "Q35203776")</f>
        <v>0</v>
      </c>
      <c r="G11927" t="s">
        <v>4881</v>
      </c>
      <c r="H11927" t="s">
        <v>9018</v>
      </c>
      <c r="I11927" t="s">
        <v>9534</v>
      </c>
      <c r="J11927" t="s">
        <v>15325</v>
      </c>
      <c r="K11927" t="s">
        <v>19634</v>
      </c>
      <c r="M11927">
        <f>HYPERLINK("https://www.senat.fr/senateur-3eme-republique/porquier_adolphe0815r3.html", "porquier_adolphe0815r3")</f>
        <v>0</v>
      </c>
      <c r="N11927">
        <f>HYPERLINK("https://www.wikidata.org/wiki/Q2824893", "Q2824893")</f>
        <v>0</v>
      </c>
      <c r="O11927" t="s">
        <v>20011</v>
      </c>
      <c r="Q11927" t="s">
        <v>397</v>
      </c>
      <c r="R11927" t="s">
        <v>21650</v>
      </c>
      <c r="S11927">
        <v>15631</v>
      </c>
    </row>
    <row r="11928" spans="1:19">
      <c r="A11928" t="s">
        <v>136</v>
      </c>
      <c r="B11928" t="s">
        <v>150</v>
      </c>
      <c r="C11928" t="s">
        <v>268</v>
      </c>
      <c r="D11928" t="s">
        <v>397</v>
      </c>
      <c r="F11928">
        <f>HYPERLINK("https://www.wikidata.org/wiki/Q35203776", "Q35203776")</f>
        <v>0</v>
      </c>
      <c r="G11928" t="s">
        <v>4823</v>
      </c>
      <c r="H11928" t="s">
        <v>8964</v>
      </c>
      <c r="I11928" t="s">
        <v>9457</v>
      </c>
      <c r="J11928" t="s">
        <v>15277</v>
      </c>
      <c r="K11928" t="s">
        <v>19586</v>
      </c>
      <c r="M11928">
        <f>HYPERLINK("https://www.senat.fr/senateur-3eme-republique/ponthier_de_chamaillard_henri0809r3.html", "ponthier_de_chamaillard_henri0809r3")</f>
        <v>0</v>
      </c>
      <c r="N11928">
        <f>HYPERLINK("https://www.wikidata.org/wiki/Q3131821", "Q3131821")</f>
        <v>0</v>
      </c>
      <c r="O11928" t="s">
        <v>20011</v>
      </c>
      <c r="Q11928" t="s">
        <v>397</v>
      </c>
      <c r="R11928" t="s">
        <v>21650</v>
      </c>
      <c r="S11928">
        <v>15631</v>
      </c>
    </row>
    <row r="11929" spans="1:19">
      <c r="A11929" t="s">
        <v>136</v>
      </c>
      <c r="B11929" t="s">
        <v>150</v>
      </c>
      <c r="C11929" t="s">
        <v>268</v>
      </c>
      <c r="D11929" t="s">
        <v>397</v>
      </c>
      <c r="F11929">
        <f>HYPERLINK("https://www.wikidata.org/wiki/Q35203776", "Q35203776")</f>
        <v>0</v>
      </c>
      <c r="G11929" t="s">
        <v>4875</v>
      </c>
      <c r="H11929" t="s">
        <v>9013</v>
      </c>
      <c r="I11929" t="s">
        <v>9449</v>
      </c>
      <c r="J11929" t="s">
        <v>15320</v>
      </c>
      <c r="K11929" t="s">
        <v>19631</v>
      </c>
      <c r="M11929">
        <f>HYPERLINK("https://www.senat.fr/senateur-3eme-republique/de_cuverville_jules0800r3.html", "de_cuverville_jules0800r3")</f>
        <v>0</v>
      </c>
      <c r="N11929">
        <f>HYPERLINK("https://www.wikidata.org/wiki/Q954793", "Q954793")</f>
        <v>0</v>
      </c>
      <c r="O11929" t="s">
        <v>20011</v>
      </c>
      <c r="Q11929" t="s">
        <v>397</v>
      </c>
      <c r="R11929" t="s">
        <v>21650</v>
      </c>
      <c r="S11929">
        <v>15631</v>
      </c>
    </row>
    <row r="11930" spans="1:19">
      <c r="A11930" t="s">
        <v>136</v>
      </c>
      <c r="B11930" t="s">
        <v>150</v>
      </c>
      <c r="C11930" t="s">
        <v>268</v>
      </c>
      <c r="D11930" t="s">
        <v>397</v>
      </c>
      <c r="F11930">
        <f>HYPERLINK("https://www.wikidata.org/wiki/Q35203776", "Q35203776")</f>
        <v>0</v>
      </c>
      <c r="G11930" t="s">
        <v>4778</v>
      </c>
      <c r="H11930" t="s">
        <v>8921</v>
      </c>
      <c r="I11930" t="s">
        <v>6495</v>
      </c>
      <c r="J11930" t="s">
        <v>15240</v>
      </c>
      <c r="K11930" t="s">
        <v>19552</v>
      </c>
      <c r="M11930">
        <f>HYPERLINK("https://www.senat.fr/senateur-3eme-republique/delobeau_louis0784r3.html", "delobeau_louis0784r3")</f>
        <v>0</v>
      </c>
      <c r="N11930">
        <f>HYPERLINK("https://www.wikidata.org/wiki/Q3261689", "Q3261689")</f>
        <v>0</v>
      </c>
      <c r="O11930" t="s">
        <v>20011</v>
      </c>
      <c r="Q11930" t="s">
        <v>397</v>
      </c>
      <c r="R11930" t="s">
        <v>21678</v>
      </c>
      <c r="S11930">
        <v>3289</v>
      </c>
    </row>
    <row r="11931" spans="1:19">
      <c r="A11931" t="s">
        <v>136</v>
      </c>
      <c r="B11931" t="s">
        <v>150</v>
      </c>
      <c r="C11931" t="s">
        <v>268</v>
      </c>
      <c r="D11931" t="s">
        <v>397</v>
      </c>
      <c r="F11931">
        <f>HYPERLINK("https://www.wikidata.org/wiki/Q35203776", "Q35203776")</f>
        <v>0</v>
      </c>
      <c r="G11931" t="s">
        <v>4893</v>
      </c>
      <c r="H11931" t="s">
        <v>9029</v>
      </c>
      <c r="I11931" t="s">
        <v>6584</v>
      </c>
      <c r="J11931" t="s">
        <v>15337</v>
      </c>
      <c r="K11931" t="s">
        <v>19641</v>
      </c>
      <c r="M11931">
        <f>HYPERLINK("https://www.senat.fr/senateur-3eme-republique/thounens_albert0217r3.html", "thounens_albert0217r3")</f>
        <v>0</v>
      </c>
      <c r="N11931">
        <f>HYPERLINK("https://www.wikidata.org/wiki/Q20027620", "Q20027620")</f>
        <v>0</v>
      </c>
      <c r="O11931" t="s">
        <v>19987</v>
      </c>
      <c r="Q11931" t="s">
        <v>397</v>
      </c>
      <c r="R11931" t="s">
        <v>21665</v>
      </c>
      <c r="S11931">
        <v>1098</v>
      </c>
    </row>
    <row r="11932" spans="1:19">
      <c r="A11932" t="s">
        <v>136</v>
      </c>
      <c r="B11932" t="s">
        <v>150</v>
      </c>
      <c r="C11932" t="s">
        <v>268</v>
      </c>
      <c r="D11932" t="s">
        <v>397</v>
      </c>
      <c r="F11932">
        <f>HYPERLINK("https://www.wikidata.org/wiki/Q35203776", "Q35203776")</f>
        <v>0</v>
      </c>
      <c r="G11932" t="s">
        <v>4842</v>
      </c>
      <c r="H11932" t="s">
        <v>8982</v>
      </c>
      <c r="I11932" t="s">
        <v>9534</v>
      </c>
      <c r="J11932" t="s">
        <v>11655</v>
      </c>
      <c r="K11932" t="s">
        <v>19601</v>
      </c>
      <c r="M11932">
        <f>HYPERLINK("https://www.senat.fr/senateur-3eme-republique/ciceron_adolphe0844r3.html", "ciceron_adolphe0844r3")</f>
        <v>0</v>
      </c>
      <c r="N11932">
        <f>HYPERLINK("https://www.wikidata.org/wiki/Q16219216", "Q16219216")</f>
        <v>0</v>
      </c>
      <c r="O11932" t="s">
        <v>20028</v>
      </c>
      <c r="Q11932" t="s">
        <v>397</v>
      </c>
      <c r="R11932" t="s">
        <v>21650</v>
      </c>
      <c r="S11932">
        <v>15631</v>
      </c>
    </row>
    <row r="11933" spans="1:19">
      <c r="A11933" t="s">
        <v>136</v>
      </c>
      <c r="B11933" t="s">
        <v>150</v>
      </c>
      <c r="C11933" t="s">
        <v>268</v>
      </c>
      <c r="D11933" t="s">
        <v>397</v>
      </c>
      <c r="F11933">
        <f>HYPERLINK("https://www.wikidata.org/wiki/Q35203776", "Q35203776")</f>
        <v>0</v>
      </c>
      <c r="G11933" t="s">
        <v>4847</v>
      </c>
      <c r="H11933" t="s">
        <v>8987</v>
      </c>
      <c r="I11933" t="s">
        <v>9385</v>
      </c>
      <c r="J11933" t="s">
        <v>15298</v>
      </c>
      <c r="K11933" t="s">
        <v>19606</v>
      </c>
      <c r="M11933">
        <f>HYPERLINK("https://www.senat.fr/senateur-3eme-republique/vagnat_charles0075r3.html", "vagnat_charles0075r3")</f>
        <v>0</v>
      </c>
      <c r="N11933">
        <f>HYPERLINK("https://www.wikidata.org/wiki/Q2960358", "Q2960358")</f>
        <v>0</v>
      </c>
      <c r="O11933" t="s">
        <v>19981</v>
      </c>
      <c r="Q11933" t="s">
        <v>397</v>
      </c>
      <c r="R11933" t="s">
        <v>21678</v>
      </c>
      <c r="S11933">
        <v>3289</v>
      </c>
    </row>
    <row r="11934" spans="1:19">
      <c r="A11934" t="s">
        <v>136</v>
      </c>
      <c r="B11934" t="s">
        <v>150</v>
      </c>
      <c r="C11934" t="s">
        <v>268</v>
      </c>
      <c r="D11934" t="s">
        <v>397</v>
      </c>
      <c r="F11934">
        <f>HYPERLINK("https://www.wikidata.org/wiki/Q35203776", "Q35203776")</f>
        <v>0</v>
      </c>
      <c r="G11934" t="s">
        <v>4741</v>
      </c>
      <c r="H11934" t="s">
        <v>8883</v>
      </c>
      <c r="I11934" t="s">
        <v>9533</v>
      </c>
      <c r="J11934" t="s">
        <v>15204</v>
      </c>
      <c r="K11934" t="s">
        <v>19425</v>
      </c>
      <c r="M11934">
        <f>HYPERLINK("https://www.senat.fr/senateur-3eme-republique/drouhet_theodore0848r3.html", "drouhet_theodore0848r3")</f>
        <v>0</v>
      </c>
      <c r="N11934">
        <f>HYPERLINK("https://www.wikidata.org/wiki/Q3526415", "Q3526415")</f>
        <v>0</v>
      </c>
      <c r="O11934" t="s">
        <v>19963</v>
      </c>
      <c r="Q11934" t="s">
        <v>397</v>
      </c>
      <c r="R11934" t="s">
        <v>21650</v>
      </c>
      <c r="S11934">
        <v>15631</v>
      </c>
    </row>
    <row r="11935" spans="1:19">
      <c r="A11935" t="s">
        <v>136</v>
      </c>
      <c r="B11935" t="s">
        <v>150</v>
      </c>
      <c r="C11935" t="s">
        <v>268</v>
      </c>
      <c r="D11935" t="s">
        <v>397</v>
      </c>
      <c r="F11935">
        <f>HYPERLINK("https://www.wikidata.org/wiki/Q35203776", "Q35203776")</f>
        <v>0</v>
      </c>
      <c r="G11935" t="s">
        <v>4894</v>
      </c>
      <c r="H11935" t="s">
        <v>9030</v>
      </c>
      <c r="I11935" t="s">
        <v>9552</v>
      </c>
      <c r="J11935" t="s">
        <v>15338</v>
      </c>
      <c r="K11935" t="s">
        <v>19642</v>
      </c>
      <c r="M11935">
        <f>HYPERLINK("https://www.senat.fr/senateur-3eme-republique/potie_auguste1410r3.html", "potie_auguste1410r3")</f>
        <v>0</v>
      </c>
      <c r="N11935">
        <f>HYPERLINK("https://www.wikidata.org/wiki/Q2871364", "Q2871364")</f>
        <v>0</v>
      </c>
      <c r="O11935" t="s">
        <v>20013</v>
      </c>
      <c r="Q11935" t="s">
        <v>397</v>
      </c>
      <c r="R11935" t="s">
        <v>21665</v>
      </c>
      <c r="S11935">
        <v>1098</v>
      </c>
    </row>
    <row r="11936" spans="1:19">
      <c r="A11936" t="s">
        <v>136</v>
      </c>
      <c r="B11936" t="s">
        <v>150</v>
      </c>
      <c r="C11936" t="s">
        <v>268</v>
      </c>
      <c r="D11936" t="s">
        <v>397</v>
      </c>
      <c r="F11936">
        <f>HYPERLINK("https://www.wikidata.org/wiki/Q35203776", "Q35203776")</f>
        <v>0</v>
      </c>
      <c r="G11936" t="s">
        <v>4895</v>
      </c>
      <c r="H11936" t="s">
        <v>9031</v>
      </c>
      <c r="I11936" t="s">
        <v>6175</v>
      </c>
      <c r="J11936" t="s">
        <v>15339</v>
      </c>
      <c r="K11936" t="s">
        <v>19643</v>
      </c>
      <c r="M11936">
        <f>HYPERLINK("https://www.senat.fr/senateur-3eme-republique/le_chevalier_georges1247r3.html", "le_chevalier_georges1247r3")</f>
        <v>0</v>
      </c>
      <c r="N11936">
        <f>HYPERLINK("https://www.wikidata.org/wiki/Q3103046", "Q3103046")</f>
        <v>0</v>
      </c>
      <c r="O11936" t="s">
        <v>19956</v>
      </c>
      <c r="Q11936" t="s">
        <v>397</v>
      </c>
      <c r="R11936" t="s">
        <v>21663</v>
      </c>
      <c r="S11936">
        <v>2190</v>
      </c>
    </row>
    <row r="11937" spans="1:19">
      <c r="A11937" t="s">
        <v>136</v>
      </c>
      <c r="B11937" t="s">
        <v>150</v>
      </c>
      <c r="C11937" t="s">
        <v>268</v>
      </c>
      <c r="D11937" t="s">
        <v>397</v>
      </c>
      <c r="F11937">
        <f>HYPERLINK("https://www.wikidata.org/wiki/Q35203776", "Q35203776")</f>
        <v>0</v>
      </c>
      <c r="G11937" t="s">
        <v>4896</v>
      </c>
      <c r="H11937" t="s">
        <v>9032</v>
      </c>
      <c r="I11937" t="s">
        <v>9445</v>
      </c>
      <c r="J11937" t="s">
        <v>15340</v>
      </c>
      <c r="K11937" t="s">
        <v>19644</v>
      </c>
      <c r="M11937">
        <f>HYPERLINK("https://www.senat.fr/senateur-3eme-republique/chabrie_adrien1726r3.html", "chabrie_adrien1726r3")</f>
        <v>0</v>
      </c>
      <c r="N11937">
        <f>HYPERLINK("https://www.wikidata.org/wiki/Q2825138", "Q2825138")</f>
        <v>0</v>
      </c>
      <c r="O11937" t="s">
        <v>20045</v>
      </c>
      <c r="Q11937" t="s">
        <v>397</v>
      </c>
      <c r="R11937" t="s">
        <v>21663</v>
      </c>
      <c r="S11937">
        <v>2190</v>
      </c>
    </row>
    <row r="11938" spans="1:19">
      <c r="A11938" t="s">
        <v>136</v>
      </c>
      <c r="B11938" t="s">
        <v>150</v>
      </c>
      <c r="C11938" t="s">
        <v>268</v>
      </c>
      <c r="D11938" t="s">
        <v>397</v>
      </c>
      <c r="F11938">
        <f>HYPERLINK("https://www.wikidata.org/wiki/Q35203776", "Q35203776")</f>
        <v>0</v>
      </c>
      <c r="G11938" t="s">
        <v>4820</v>
      </c>
      <c r="H11938" t="s">
        <v>8961</v>
      </c>
      <c r="I11938" t="s">
        <v>11184</v>
      </c>
      <c r="J11938" t="s">
        <v>15275</v>
      </c>
      <c r="K11938" t="s">
        <v>19583</v>
      </c>
      <c r="M11938">
        <f>HYPERLINK("https://www.senat.fr/senateur-3eme-republique/piot_edme0550r3.html", "piot_edme0550r3")</f>
        <v>0</v>
      </c>
      <c r="N11938">
        <f>HYPERLINK("https://www.wikidata.org/wiki/Q3047703", "Q3047703")</f>
        <v>0</v>
      </c>
      <c r="Q11938" t="s">
        <v>397</v>
      </c>
      <c r="R11938" t="s">
        <v>21650</v>
      </c>
      <c r="S11938">
        <v>15631</v>
      </c>
    </row>
    <row r="11939" spans="1:19">
      <c r="A11939" t="s">
        <v>136</v>
      </c>
      <c r="B11939" t="s">
        <v>150</v>
      </c>
      <c r="C11939" t="s">
        <v>268</v>
      </c>
      <c r="D11939" t="s">
        <v>397</v>
      </c>
      <c r="F11939">
        <f>HYPERLINK("https://www.wikidata.org/wiki/Q35203776", "Q35203776")</f>
        <v>0</v>
      </c>
      <c r="G11939" t="s">
        <v>4795</v>
      </c>
      <c r="H11939" t="s">
        <v>8937</v>
      </c>
      <c r="I11939" t="s">
        <v>9388</v>
      </c>
      <c r="J11939" t="s">
        <v>15256</v>
      </c>
      <c r="K11939" t="s">
        <v>19564</v>
      </c>
      <c r="M11939">
        <f>HYPERLINK("https://www.senat.fr/senateur-3eme-republique/gerente_paul0838r3.html", "gerente_paul0838r3")</f>
        <v>0</v>
      </c>
      <c r="N11939">
        <f>HYPERLINK("https://www.wikidata.org/wiki/Q20027762", "Q20027762")</f>
        <v>0</v>
      </c>
      <c r="Q11939" t="s">
        <v>397</v>
      </c>
      <c r="R11939" t="s">
        <v>21650</v>
      </c>
      <c r="S11939">
        <v>15631</v>
      </c>
    </row>
    <row r="11940" spans="1:19">
      <c r="A11940" t="s">
        <v>136</v>
      </c>
      <c r="B11940" t="s">
        <v>150</v>
      </c>
      <c r="C11940" t="s">
        <v>268</v>
      </c>
      <c r="D11940" t="s">
        <v>397</v>
      </c>
      <c r="F11940">
        <f>HYPERLINK("https://www.wikidata.org/wiki/Q35203776", "Q35203776")</f>
        <v>0</v>
      </c>
      <c r="G11940" t="s">
        <v>4897</v>
      </c>
      <c r="H11940" t="s">
        <v>9033</v>
      </c>
      <c r="I11940" t="s">
        <v>6941</v>
      </c>
      <c r="J11940" t="s">
        <v>15341</v>
      </c>
      <c r="K11940" t="s">
        <v>15651</v>
      </c>
      <c r="M11940">
        <f>HYPERLINK("https://www.senat.fr/senateur-3eme-republique/boissier_michel0054r3.html", "boissier_michel0054r3")</f>
        <v>0</v>
      </c>
      <c r="N11940">
        <f>HYPERLINK("https://www.wikidata.org/wiki/Q3309039", "Q3309039")</f>
        <v>0</v>
      </c>
      <c r="O11940" t="s">
        <v>19999</v>
      </c>
      <c r="Q11940" t="s">
        <v>21165</v>
      </c>
      <c r="R11940" t="s">
        <v>18395</v>
      </c>
      <c r="S11940">
        <v>3621</v>
      </c>
    </row>
    <row r="11941" spans="1:19">
      <c r="A11941" t="s">
        <v>136</v>
      </c>
      <c r="B11941" t="s">
        <v>150</v>
      </c>
      <c r="C11941" t="s">
        <v>268</v>
      </c>
      <c r="D11941" t="s">
        <v>397</v>
      </c>
      <c r="F11941">
        <f>HYPERLINK("https://www.wikidata.org/wiki/Q35203776", "Q35203776")</f>
        <v>0</v>
      </c>
      <c r="G11941" t="s">
        <v>2999</v>
      </c>
      <c r="H11941" t="s">
        <v>7462</v>
      </c>
      <c r="I11941" t="s">
        <v>9453</v>
      </c>
      <c r="J11941" t="s">
        <v>13629</v>
      </c>
      <c r="K11941" t="s">
        <v>18013</v>
      </c>
      <c r="L11941">
        <f>HYPERLINK("https://www2.assemblee-nationale.fr/sycomore/fiche/(num_dept)/8247", "8247")</f>
        <v>0</v>
      </c>
      <c r="M11941">
        <f>HYPERLINK("https://www.senat.fr/senateur-3eme-republique/ranc_arthur1342r3.html", "ranc_arthur1342r3")</f>
        <v>0</v>
      </c>
      <c r="N11941">
        <f>HYPERLINK("https://www.wikidata.org/wiki/Q2021981", "Q2021981")</f>
        <v>0</v>
      </c>
      <c r="O11941" t="s">
        <v>19955</v>
      </c>
      <c r="Q11941" t="s">
        <v>20892</v>
      </c>
      <c r="R11941" t="s">
        <v>18013</v>
      </c>
      <c r="S11941">
        <v>1881</v>
      </c>
    </row>
    <row r="11942" spans="1:19">
      <c r="A11942" t="s">
        <v>136</v>
      </c>
      <c r="B11942" t="s">
        <v>150</v>
      </c>
      <c r="C11942" t="s">
        <v>268</v>
      </c>
      <c r="D11942" t="s">
        <v>397</v>
      </c>
      <c r="F11942">
        <f>HYPERLINK("https://www.wikidata.org/wiki/Q35203776", "Q35203776")</f>
        <v>0</v>
      </c>
      <c r="G11942" t="s">
        <v>4059</v>
      </c>
      <c r="H11942" t="s">
        <v>8282</v>
      </c>
      <c r="I11942" t="s">
        <v>11086</v>
      </c>
      <c r="J11942" t="s">
        <v>14599</v>
      </c>
      <c r="K11942" t="s">
        <v>18937</v>
      </c>
      <c r="L11942">
        <f>HYPERLINK("https://www2.assemblee-nationale.fr/sycomore/fiche/(num_dept)/2214", "2214")</f>
        <v>0</v>
      </c>
      <c r="M11942">
        <f>HYPERLINK("https://www.senat.fr/senateur-3eme-republique/defarge_adolphe0068r3.html", "defarge_adolphe0068r3")</f>
        <v>0</v>
      </c>
      <c r="N11942">
        <f>HYPERLINK("https://www.wikidata.org/wiki/Q2824801", "Q2824801")</f>
        <v>0</v>
      </c>
      <c r="O11942" t="s">
        <v>20033</v>
      </c>
      <c r="Q11942" t="s">
        <v>20893</v>
      </c>
      <c r="R11942" t="s">
        <v>18937</v>
      </c>
      <c r="S11942">
        <v>2689</v>
      </c>
    </row>
    <row r="11943" spans="1:19">
      <c r="A11943" t="s">
        <v>136</v>
      </c>
      <c r="B11943" t="s">
        <v>150</v>
      </c>
      <c r="C11943" t="s">
        <v>268</v>
      </c>
      <c r="D11943" t="s">
        <v>397</v>
      </c>
      <c r="F11943">
        <f>HYPERLINK("https://www.wikidata.org/wiki/Q35203776", "Q35203776")</f>
        <v>0</v>
      </c>
      <c r="G11943" t="s">
        <v>2588</v>
      </c>
      <c r="H11943" t="s">
        <v>7139</v>
      </c>
      <c r="I11943" t="s">
        <v>9472</v>
      </c>
      <c r="J11943" t="s">
        <v>13232</v>
      </c>
      <c r="K11943" t="s">
        <v>17635</v>
      </c>
      <c r="L11943">
        <f>HYPERLINK("https://www2.assemblee-nationale.fr/sycomore/fiche/(num_dept)/3278", "3278")</f>
        <v>0</v>
      </c>
      <c r="M11943">
        <f>HYPERLINK("https://www.senat.fr/senateur-3eme-republique/gassier_hippolyte0060r3.html", "gassier_hippolyte0060r3")</f>
        <v>0</v>
      </c>
      <c r="N11943">
        <f>HYPERLINK("https://www.wikidata.org/wiki/Q3136062", "Q3136062")</f>
        <v>0</v>
      </c>
      <c r="O11943" t="s">
        <v>20033</v>
      </c>
      <c r="Q11943" t="s">
        <v>20893</v>
      </c>
      <c r="R11943" t="s">
        <v>17635</v>
      </c>
      <c r="S11943">
        <v>1538</v>
      </c>
    </row>
    <row r="11944" spans="1:19">
      <c r="A11944" t="s">
        <v>136</v>
      </c>
      <c r="B11944" t="s">
        <v>150</v>
      </c>
      <c r="C11944" t="s">
        <v>268</v>
      </c>
      <c r="D11944" t="s">
        <v>397</v>
      </c>
      <c r="F11944">
        <f>HYPERLINK("https://www.wikidata.org/wiki/Q35203776", "Q35203776")</f>
        <v>0</v>
      </c>
      <c r="G11944" t="s">
        <v>3369</v>
      </c>
      <c r="H11944" t="s">
        <v>7766</v>
      </c>
      <c r="I11944" t="s">
        <v>9692</v>
      </c>
      <c r="J11944" t="s">
        <v>13981</v>
      </c>
      <c r="K11944" t="s">
        <v>18349</v>
      </c>
      <c r="L11944">
        <f>HYPERLINK("https://www2.assemblee-nationale.fr/sycomore/fiche/(num_dept)/5994", "5994")</f>
        <v>0</v>
      </c>
      <c r="M11944">
        <f>HYPERLINK("https://www.senat.fr/senateur-3eme-republique/poincare_raymond1024r3.html", "poincare_raymond1024r3")</f>
        <v>0</v>
      </c>
      <c r="N11944">
        <f>HYPERLINK("https://www.wikidata.org/wiki/Q191974", "Q191974")</f>
        <v>0</v>
      </c>
      <c r="O11944" t="s">
        <v>20030</v>
      </c>
      <c r="Q11944" t="s">
        <v>20893</v>
      </c>
      <c r="R11944" t="s">
        <v>21665</v>
      </c>
      <c r="S11944">
        <v>1049</v>
      </c>
    </row>
    <row r="11945" spans="1:19">
      <c r="A11945" t="s">
        <v>136</v>
      </c>
      <c r="B11945" t="s">
        <v>150</v>
      </c>
      <c r="C11945" t="s">
        <v>268</v>
      </c>
      <c r="D11945" t="s">
        <v>397</v>
      </c>
      <c r="F11945">
        <f>HYPERLINK("https://www.wikidata.org/wiki/Q35203776", "Q35203776")</f>
        <v>0</v>
      </c>
      <c r="G11945" t="s">
        <v>4898</v>
      </c>
      <c r="H11945" t="s">
        <v>9034</v>
      </c>
      <c r="I11945" t="s">
        <v>6495</v>
      </c>
      <c r="J11945" t="s">
        <v>15342</v>
      </c>
      <c r="K11945" t="s">
        <v>19645</v>
      </c>
      <c r="M11945">
        <f>HYPERLINK("https://www.senat.fr/senateur-3eme-republique/aguillon_louis1636r3.html", "aguillon_louis1636r3")</f>
        <v>0</v>
      </c>
      <c r="N11945">
        <f>HYPERLINK("https://www.wikidata.org/wiki/Q3260983", "Q3260983")</f>
        <v>0</v>
      </c>
      <c r="O11945" t="s">
        <v>20021</v>
      </c>
      <c r="Q11945" t="s">
        <v>21166</v>
      </c>
      <c r="R11945" t="s">
        <v>21663</v>
      </c>
      <c r="S11945">
        <v>2120</v>
      </c>
    </row>
    <row r="11946" spans="1:19">
      <c r="A11946" t="s">
        <v>136</v>
      </c>
      <c r="B11946" t="s">
        <v>150</v>
      </c>
      <c r="C11946" t="s">
        <v>268</v>
      </c>
      <c r="D11946" t="s">
        <v>397</v>
      </c>
      <c r="F11946">
        <f>HYPERLINK("https://www.wikidata.org/wiki/Q35203776", "Q35203776")</f>
        <v>0</v>
      </c>
      <c r="G11946" t="s">
        <v>3870</v>
      </c>
      <c r="H11946" t="s">
        <v>8138</v>
      </c>
      <c r="I11946" t="s">
        <v>6584</v>
      </c>
      <c r="J11946" t="s">
        <v>14429</v>
      </c>
      <c r="K11946" t="s">
        <v>18300</v>
      </c>
      <c r="L11946">
        <f>HYPERLINK("https://www2.assemblee-nationale.fr/sycomore/fiche/(num_dept)/2211", "2211")</f>
        <v>0</v>
      </c>
      <c r="M11946">
        <f>HYPERLINK("https://www.senat.fr/senateur-3eme-republique/decrais_albert0207r3.html", "decrais_albert0207r3")</f>
        <v>0</v>
      </c>
      <c r="N11946">
        <f>HYPERLINK("https://www.wikidata.org/wiki/Q2831089", "Q2831089")</f>
        <v>0</v>
      </c>
      <c r="O11946" t="s">
        <v>19987</v>
      </c>
      <c r="Q11946" t="s">
        <v>21167</v>
      </c>
      <c r="R11946" t="s">
        <v>21665</v>
      </c>
      <c r="S11946">
        <v>986</v>
      </c>
    </row>
    <row r="11947" spans="1:19">
      <c r="A11947" t="s">
        <v>136</v>
      </c>
      <c r="B11947" t="s">
        <v>150</v>
      </c>
      <c r="C11947" t="s">
        <v>268</v>
      </c>
      <c r="D11947" t="s">
        <v>397</v>
      </c>
      <c r="F11947">
        <f>HYPERLINK("https://www.wikidata.org/wiki/Q35203776", "Q35203776")</f>
        <v>0</v>
      </c>
      <c r="G11947" t="s">
        <v>3598</v>
      </c>
      <c r="H11947" t="s">
        <v>7943</v>
      </c>
      <c r="I11947" t="s">
        <v>7642</v>
      </c>
      <c r="J11947" t="s">
        <v>14184</v>
      </c>
      <c r="K11947" t="s">
        <v>18550</v>
      </c>
      <c r="L11947">
        <f>HYPERLINK("https://www2.assemblee-nationale.fr/sycomore/fiche/(num_dept)/6834", "6834")</f>
        <v>0</v>
      </c>
      <c r="M11947">
        <f>HYPERLINK("https://www.senat.fr/senateur-3eme-republique/signard_maurice1168r3.html", "signard_maurice1168r3")</f>
        <v>0</v>
      </c>
      <c r="N11947">
        <f>HYPERLINK("https://www.wikidata.org/wiki/Q3301410", "Q3301410")</f>
        <v>0</v>
      </c>
      <c r="O11947" t="s">
        <v>20036</v>
      </c>
      <c r="Q11947" t="s">
        <v>20897</v>
      </c>
      <c r="R11947" t="s">
        <v>21650</v>
      </c>
      <c r="S11947">
        <v>15491</v>
      </c>
    </row>
    <row r="11948" spans="1:19">
      <c r="A11948" t="s">
        <v>136</v>
      </c>
      <c r="B11948" t="s">
        <v>150</v>
      </c>
      <c r="C11948" t="s">
        <v>268</v>
      </c>
      <c r="D11948" t="s">
        <v>397</v>
      </c>
      <c r="F11948">
        <f>HYPERLINK("https://www.wikidata.org/wiki/Q35203776", "Q35203776")</f>
        <v>0</v>
      </c>
      <c r="G11948" t="s">
        <v>2629</v>
      </c>
      <c r="H11948" t="s">
        <v>7175</v>
      </c>
      <c r="I11948" t="s">
        <v>9449</v>
      </c>
      <c r="J11948" t="s">
        <v>13271</v>
      </c>
      <c r="K11948" t="s">
        <v>17673</v>
      </c>
      <c r="L11948">
        <f>HYPERLINK("https://www2.assemblee-nationale.fr/sycomore/fiche/(num_dept)/5168", "5168")</f>
        <v>0</v>
      </c>
      <c r="M11948">
        <f>HYPERLINK("https://www.senat.fr/senateur-3eme-republique/meline_jules1799r3.html", "meline_jules1799r3")</f>
        <v>0</v>
      </c>
      <c r="N11948">
        <f>HYPERLINK("https://www.wikidata.org/wiki/Q459914", "Q459914")</f>
        <v>0</v>
      </c>
      <c r="O11948" t="s">
        <v>20017</v>
      </c>
      <c r="Q11948" t="s">
        <v>17790</v>
      </c>
      <c r="R11948" t="s">
        <v>21663</v>
      </c>
      <c r="S11948">
        <v>2008</v>
      </c>
    </row>
    <row r="11949" spans="1:19">
      <c r="A11949" t="s">
        <v>136</v>
      </c>
      <c r="B11949" t="s">
        <v>150</v>
      </c>
      <c r="C11949" t="s">
        <v>268</v>
      </c>
      <c r="D11949" t="s">
        <v>397</v>
      </c>
      <c r="F11949">
        <f>HYPERLINK("https://www.wikidata.org/wiki/Q35203776", "Q35203776")</f>
        <v>0</v>
      </c>
      <c r="G11949" t="s">
        <v>3047</v>
      </c>
      <c r="H11949" t="s">
        <v>7503</v>
      </c>
      <c r="I11949" t="s">
        <v>9421</v>
      </c>
      <c r="J11949" t="s">
        <v>13674</v>
      </c>
      <c r="K11949" t="s">
        <v>18055</v>
      </c>
      <c r="L11949">
        <f>HYPERLINK("https://www2.assemblee-nationale.fr/sycomore/fiche/(num_dept)/6001", "6001")</f>
        <v>0</v>
      </c>
      <c r="M11949">
        <f>HYPERLINK("https://www.senat.fr/senateur-3eme-republique/rivet_gustave1198r3.html", "rivet_gustave1198r3")</f>
        <v>0</v>
      </c>
      <c r="N11949">
        <f>HYPERLINK("https://www.wikidata.org/wiki/Q3121310", "Q3121310")</f>
        <v>0</v>
      </c>
      <c r="O11949" t="s">
        <v>20006</v>
      </c>
      <c r="Q11949" t="s">
        <v>21168</v>
      </c>
      <c r="R11949" t="s">
        <v>21665</v>
      </c>
      <c r="S11949">
        <v>895</v>
      </c>
    </row>
    <row r="11950" spans="1:19">
      <c r="A11950" t="s">
        <v>136</v>
      </c>
      <c r="B11950" t="s">
        <v>150</v>
      </c>
      <c r="C11950" t="s">
        <v>268</v>
      </c>
      <c r="D11950" t="s">
        <v>397</v>
      </c>
      <c r="F11950">
        <f>HYPERLINK("https://www.wikidata.org/wiki/Q35203776", "Q35203776")</f>
        <v>0</v>
      </c>
      <c r="G11950" t="s">
        <v>3883</v>
      </c>
      <c r="H11950" t="s">
        <v>8146</v>
      </c>
      <c r="I11950" t="s">
        <v>9552</v>
      </c>
      <c r="J11950" t="s">
        <v>14441</v>
      </c>
      <c r="K11950" t="s">
        <v>18792</v>
      </c>
      <c r="L11950">
        <f>HYPERLINK("https://www2.assemblee-nationale.fr/sycomore/fiche/(num_dept)/6790", "6790")</f>
        <v>0</v>
      </c>
      <c r="M11950">
        <f>HYPERLINK("https://www.senat.fr/senateur-3eme-republique/rispal_auguste1614r3.html", "rispal_auguste1614r3")</f>
        <v>0</v>
      </c>
      <c r="N11950">
        <f>HYPERLINK("https://www.wikidata.org/wiki/Q2871383", "Q2871383")</f>
        <v>0</v>
      </c>
      <c r="O11950" t="s">
        <v>19978</v>
      </c>
      <c r="Q11950" t="s">
        <v>20902</v>
      </c>
      <c r="R11950" t="s">
        <v>21663</v>
      </c>
      <c r="S11950">
        <v>1980</v>
      </c>
    </row>
    <row r="11951" spans="1:19">
      <c r="A11951" t="s">
        <v>136</v>
      </c>
      <c r="B11951" t="s">
        <v>150</v>
      </c>
      <c r="C11951" t="s">
        <v>268</v>
      </c>
      <c r="D11951" t="s">
        <v>397</v>
      </c>
      <c r="F11951">
        <f>HYPERLINK("https://www.wikidata.org/wiki/Q35203776", "Q35203776")</f>
        <v>0</v>
      </c>
      <c r="G11951" t="s">
        <v>4899</v>
      </c>
      <c r="H11951" t="s">
        <v>9035</v>
      </c>
      <c r="I11951" t="s">
        <v>9636</v>
      </c>
      <c r="J11951" t="s">
        <v>15343</v>
      </c>
      <c r="K11951" t="s">
        <v>19646</v>
      </c>
      <c r="M11951">
        <f>HYPERLINK("https://www.senat.fr/senateur-3eme-republique/delahaye_dominique1161r3.html", "delahaye_dominique1161r3")</f>
        <v>0</v>
      </c>
      <c r="N11951">
        <f>HYPERLINK("https://www.wikidata.org/wiki/Q3035090", "Q3035090")</f>
        <v>0</v>
      </c>
      <c r="O11951" t="s">
        <v>19980</v>
      </c>
      <c r="Q11951" t="s">
        <v>21169</v>
      </c>
      <c r="R11951" t="s">
        <v>21665</v>
      </c>
      <c r="S11951">
        <v>860</v>
      </c>
    </row>
    <row r="11952" spans="1:19">
      <c r="A11952" t="s">
        <v>136</v>
      </c>
      <c r="B11952" t="s">
        <v>150</v>
      </c>
      <c r="C11952" t="s">
        <v>268</v>
      </c>
      <c r="D11952" t="s">
        <v>397</v>
      </c>
      <c r="F11952">
        <f>HYPERLINK("https://www.wikidata.org/wiki/Q35203776", "Q35203776")</f>
        <v>0</v>
      </c>
      <c r="G11952" t="s">
        <v>4900</v>
      </c>
      <c r="H11952" t="s">
        <v>9036</v>
      </c>
      <c r="I11952" t="s">
        <v>7790</v>
      </c>
      <c r="J11952" t="s">
        <v>15344</v>
      </c>
      <c r="K11952" t="s">
        <v>19647</v>
      </c>
      <c r="M11952">
        <f>HYPERLINK("https://www.senat.fr/senateur-3eme-republique/gassis_armand0816r3.html", "gassis_armand0816r3")</f>
        <v>0</v>
      </c>
      <c r="N11952">
        <f>HYPERLINK("https://www.wikidata.org/wiki/Q2861849", "Q2861849")</f>
        <v>0</v>
      </c>
      <c r="O11952" t="s">
        <v>20011</v>
      </c>
      <c r="Q11952" t="s">
        <v>21170</v>
      </c>
      <c r="R11952" t="s">
        <v>21678</v>
      </c>
      <c r="S11952">
        <v>2995</v>
      </c>
    </row>
    <row r="11953" spans="1:19">
      <c r="A11953" t="s">
        <v>136</v>
      </c>
      <c r="B11953" t="s">
        <v>150</v>
      </c>
      <c r="C11953" t="s">
        <v>268</v>
      </c>
      <c r="D11953" t="s">
        <v>397</v>
      </c>
      <c r="F11953">
        <f>HYPERLINK("https://www.wikidata.org/wiki/Q35203776", "Q35203776")</f>
        <v>0</v>
      </c>
      <c r="G11953" t="s">
        <v>4753</v>
      </c>
      <c r="H11953" t="s">
        <v>8896</v>
      </c>
      <c r="I11953" t="s">
        <v>7419</v>
      </c>
      <c r="J11953" t="s">
        <v>15216</v>
      </c>
      <c r="K11953" t="s">
        <v>19532</v>
      </c>
      <c r="M11953">
        <f>HYPERLINK("https://www.senat.fr/senateur-3eme-republique/regismanset_jacques1588r3.html", "regismanset_jacques1588r3")</f>
        <v>0</v>
      </c>
      <c r="N11953">
        <f>HYPERLINK("https://www.wikidata.org/wiki/Q3159847", "Q3159847")</f>
        <v>0</v>
      </c>
      <c r="O11953" t="s">
        <v>20026</v>
      </c>
      <c r="Q11953" t="s">
        <v>21171</v>
      </c>
      <c r="R11953" t="s">
        <v>21663</v>
      </c>
      <c r="S11953">
        <v>1882</v>
      </c>
    </row>
    <row r="11954" spans="1:19">
      <c r="A11954" t="s">
        <v>136</v>
      </c>
      <c r="B11954" t="s">
        <v>150</v>
      </c>
      <c r="C11954" t="s">
        <v>268</v>
      </c>
      <c r="D11954" t="s">
        <v>397</v>
      </c>
      <c r="F11954">
        <f>HYPERLINK("https://www.wikidata.org/wiki/Q35203776", "Q35203776")</f>
        <v>0</v>
      </c>
      <c r="G11954" t="s">
        <v>4901</v>
      </c>
      <c r="H11954" t="s">
        <v>9037</v>
      </c>
      <c r="I11954" t="s">
        <v>9552</v>
      </c>
      <c r="J11954" t="s">
        <v>15345</v>
      </c>
      <c r="K11954" t="s">
        <v>19648</v>
      </c>
      <c r="M11954">
        <f>HYPERLINK("https://www.senat.fr/senateur-3eme-republique/blanchier_auguste0391r3.html", "blanchier_auguste0391r3")</f>
        <v>0</v>
      </c>
      <c r="N11954">
        <f>HYPERLINK("https://www.wikidata.org/wiki/Q2871064", "Q2871064")</f>
        <v>0</v>
      </c>
      <c r="O11954" t="s">
        <v>20031</v>
      </c>
      <c r="Q11954" t="s">
        <v>21172</v>
      </c>
      <c r="R11954" t="s">
        <v>21678</v>
      </c>
      <c r="S11954">
        <v>2953</v>
      </c>
    </row>
    <row r="11955" spans="1:19">
      <c r="A11955" t="s">
        <v>136</v>
      </c>
      <c r="B11955" t="s">
        <v>150</v>
      </c>
      <c r="C11955" t="s">
        <v>268</v>
      </c>
      <c r="D11955" t="s">
        <v>397</v>
      </c>
      <c r="F11955">
        <f>HYPERLINK("https://www.wikidata.org/wiki/Q35203776", "Q35203776")</f>
        <v>0</v>
      </c>
      <c r="G11955" t="s">
        <v>4902</v>
      </c>
      <c r="H11955" t="s">
        <v>9038</v>
      </c>
      <c r="I11955" t="s">
        <v>9414</v>
      </c>
      <c r="J11955" t="s">
        <v>15346</v>
      </c>
      <c r="K11955" t="s">
        <v>19649</v>
      </c>
      <c r="M11955">
        <f>HYPERLINK("https://www.senat.fr/senateur-3eme-republique/de_las_cases_emmanuel0855r3.html", "de_las_cases_emmanuel0855r3")</f>
        <v>0</v>
      </c>
      <c r="N11955">
        <f>HYPERLINK("https://www.wikidata.org/wiki/Q3052905", "Q3052905")</f>
        <v>0</v>
      </c>
      <c r="O11955" t="s">
        <v>20004</v>
      </c>
      <c r="Q11955" t="s">
        <v>21172</v>
      </c>
      <c r="R11955" t="s">
        <v>21665</v>
      </c>
      <c r="S11955">
        <v>762</v>
      </c>
    </row>
    <row r="11956" spans="1:19">
      <c r="A11956" t="s">
        <v>136</v>
      </c>
      <c r="B11956" t="s">
        <v>150</v>
      </c>
      <c r="C11956" t="s">
        <v>268</v>
      </c>
      <c r="D11956" t="s">
        <v>397</v>
      </c>
      <c r="F11956">
        <f>HYPERLINK("https://www.wikidata.org/wiki/Q35203776", "Q35203776")</f>
        <v>0</v>
      </c>
      <c r="G11956" t="s">
        <v>4903</v>
      </c>
      <c r="H11956" t="s">
        <v>9039</v>
      </c>
      <c r="I11956" t="s">
        <v>6158</v>
      </c>
      <c r="J11956" t="s">
        <v>15347</v>
      </c>
      <c r="K11956" t="s">
        <v>19650</v>
      </c>
      <c r="M11956">
        <f>HYPERLINK("https://www.senat.fr/senateur-3eme-republique/chatteleyn_felix1420r3.html", "chatteleyn_felix1420r3")</f>
        <v>0</v>
      </c>
      <c r="N11956">
        <f>HYPERLINK("https://www.wikidata.org/wiki/Q3092400", "Q3092400")</f>
        <v>0</v>
      </c>
      <c r="O11956" t="s">
        <v>20013</v>
      </c>
      <c r="Q11956" t="s">
        <v>21173</v>
      </c>
      <c r="R11956" t="s">
        <v>21665</v>
      </c>
      <c r="S11956">
        <v>727</v>
      </c>
    </row>
    <row r="11957" spans="1:19">
      <c r="A11957" t="s">
        <v>136</v>
      </c>
      <c r="B11957" t="s">
        <v>150</v>
      </c>
      <c r="C11957" t="s">
        <v>268</v>
      </c>
      <c r="D11957" t="s">
        <v>397</v>
      </c>
      <c r="F11957">
        <f>HYPERLINK("https://www.wikidata.org/wiki/Q35203776", "Q35203776")</f>
        <v>0</v>
      </c>
      <c r="G11957" t="s">
        <v>3831</v>
      </c>
      <c r="H11957" t="s">
        <v>8111</v>
      </c>
      <c r="I11957" t="s">
        <v>9483</v>
      </c>
      <c r="J11957" t="s">
        <v>14394</v>
      </c>
      <c r="K11957" t="s">
        <v>18748</v>
      </c>
      <c r="L11957">
        <f>HYPERLINK("https://www2.assemblee-nationale.fr/sycomore/fiche/(num_dept)/3343", "3343")</f>
        <v>0</v>
      </c>
      <c r="M11957">
        <f>HYPERLINK("https://www.senat.fr/senateur-3eme-republique/genoux_prachee_victor1171r3.html", "genoux_prachee_victor1171r3")</f>
        <v>0</v>
      </c>
      <c r="N11957">
        <f>HYPERLINK("https://www.wikidata.org/wiki/Q3557323", "Q3557323")</f>
        <v>0</v>
      </c>
      <c r="O11957" t="s">
        <v>20036</v>
      </c>
      <c r="Q11957" t="s">
        <v>21174</v>
      </c>
      <c r="R11957" t="s">
        <v>21689</v>
      </c>
      <c r="S11957">
        <v>1818</v>
      </c>
    </row>
    <row r="11958" spans="1:19">
      <c r="A11958" t="s">
        <v>136</v>
      </c>
      <c r="B11958" t="s">
        <v>150</v>
      </c>
      <c r="C11958" t="s">
        <v>268</v>
      </c>
      <c r="D11958" t="s">
        <v>397</v>
      </c>
      <c r="F11958">
        <f>HYPERLINK("https://www.wikidata.org/wiki/Q35203776", "Q35203776")</f>
        <v>0</v>
      </c>
      <c r="G11958" t="s">
        <v>3832</v>
      </c>
      <c r="H11958" t="s">
        <v>8112</v>
      </c>
      <c r="I11958" t="s">
        <v>10993</v>
      </c>
      <c r="J11958" t="s">
        <v>11898</v>
      </c>
      <c r="K11958" t="s">
        <v>18135</v>
      </c>
      <c r="L11958">
        <f>HYPERLINK("https://www2.assemblee-nationale.fr/sycomore/fiche/(num_dept)/6229", "6229")</f>
        <v>0</v>
      </c>
      <c r="M11958">
        <f>HYPERLINK("https://www.senat.fr/senateur-3eme-republique/saint_quentin_louis0355r3.html", "saint_quentin_louis0355r3")</f>
        <v>0</v>
      </c>
      <c r="N11958">
        <f>HYPERLINK("https://www.wikidata.org/wiki/Q3261753", "Q3261753")</f>
        <v>0</v>
      </c>
      <c r="O11958" t="s">
        <v>20009</v>
      </c>
      <c r="Q11958" t="s">
        <v>21175</v>
      </c>
      <c r="R11958" t="s">
        <v>21678</v>
      </c>
      <c r="S11958">
        <v>2841</v>
      </c>
    </row>
    <row r="11959" spans="1:19">
      <c r="A11959" t="s">
        <v>136</v>
      </c>
      <c r="B11959" t="s">
        <v>150</v>
      </c>
      <c r="C11959" t="s">
        <v>268</v>
      </c>
      <c r="D11959" t="s">
        <v>397</v>
      </c>
      <c r="F11959">
        <f>HYPERLINK("https://www.wikidata.org/wiki/Q35203776", "Q35203776")</f>
        <v>0</v>
      </c>
      <c r="G11959" t="s">
        <v>4904</v>
      </c>
      <c r="H11959" t="s">
        <v>9040</v>
      </c>
      <c r="I11959" t="s">
        <v>9552</v>
      </c>
      <c r="J11959" t="s">
        <v>15348</v>
      </c>
      <c r="K11959" t="s">
        <v>19651</v>
      </c>
      <c r="M11959">
        <f>HYPERLINK("https://www.senat.fr/senateur-3eme-republique/barbaza_auguste0272r3.html", "barbaza_auguste0272r3")</f>
        <v>0</v>
      </c>
      <c r="N11959">
        <f>HYPERLINK("https://www.wikidata.org/wiki/Q2871044", "Q2871044")</f>
        <v>0</v>
      </c>
      <c r="O11959" t="s">
        <v>19960</v>
      </c>
      <c r="Q11959" t="s">
        <v>21175</v>
      </c>
      <c r="R11959" t="s">
        <v>21678</v>
      </c>
      <c r="S11959">
        <v>2841</v>
      </c>
    </row>
    <row r="11960" spans="1:19">
      <c r="A11960" t="s">
        <v>136</v>
      </c>
      <c r="B11960" t="s">
        <v>150</v>
      </c>
      <c r="C11960" t="s">
        <v>268</v>
      </c>
      <c r="D11960" t="s">
        <v>397</v>
      </c>
      <c r="F11960">
        <f>HYPERLINK("https://www.wikidata.org/wiki/Q35203776", "Q35203776")</f>
        <v>0</v>
      </c>
      <c r="G11960" t="s">
        <v>4905</v>
      </c>
      <c r="H11960" t="s">
        <v>9041</v>
      </c>
      <c r="I11960" t="s">
        <v>9465</v>
      </c>
      <c r="J11960" t="s">
        <v>15349</v>
      </c>
      <c r="K11960" t="s">
        <v>19652</v>
      </c>
      <c r="M11960">
        <f>HYPERLINK("https://www.senat.fr/senateur-3eme-republique/brager_de_la_ville_moysan_eugene0529r3.html", "brager_de_la_ville_moysan_eugene0529r3")</f>
        <v>0</v>
      </c>
      <c r="N11960">
        <f>HYPERLINK("https://www.wikidata.org/wiki/Q3059747", "Q3059747")</f>
        <v>0</v>
      </c>
      <c r="O11960" t="s">
        <v>19998</v>
      </c>
      <c r="Q11960" t="s">
        <v>21176</v>
      </c>
      <c r="R11960" t="s">
        <v>21665</v>
      </c>
      <c r="S11960">
        <v>601</v>
      </c>
    </row>
    <row r="11961" spans="1:19">
      <c r="A11961" t="s">
        <v>136</v>
      </c>
      <c r="B11961" t="s">
        <v>150</v>
      </c>
      <c r="C11961" t="s">
        <v>268</v>
      </c>
      <c r="D11961" t="s">
        <v>397</v>
      </c>
      <c r="F11961">
        <f>HYPERLINK("https://www.wikidata.org/wiki/Q35203776", "Q35203776")</f>
        <v>0</v>
      </c>
      <c r="G11961" t="s">
        <v>4906</v>
      </c>
      <c r="H11961" t="s">
        <v>9042</v>
      </c>
      <c r="I11961" t="s">
        <v>7265</v>
      </c>
      <c r="J11961" t="s">
        <v>13668</v>
      </c>
      <c r="K11961" t="s">
        <v>19653</v>
      </c>
      <c r="M11961">
        <f>HYPERLINK("https://www.senat.fr/senateur-3eme-republique/berger_philippe1818r3.html", "berger_philippe1818r3")</f>
        <v>0</v>
      </c>
      <c r="N11961">
        <f>HYPERLINK("https://www.wikidata.org/wiki/Q3379328", "Q3379328")</f>
        <v>0</v>
      </c>
      <c r="O11961" t="s">
        <v>20400</v>
      </c>
      <c r="Q11961" t="s">
        <v>21176</v>
      </c>
      <c r="R11961" t="s">
        <v>21663</v>
      </c>
      <c r="S11961">
        <v>1693</v>
      </c>
    </row>
    <row r="11962" spans="1:19">
      <c r="A11962" t="s">
        <v>136</v>
      </c>
      <c r="B11962" t="s">
        <v>150</v>
      </c>
      <c r="C11962" t="s">
        <v>268</v>
      </c>
      <c r="D11962" t="s">
        <v>397</v>
      </c>
      <c r="F11962">
        <f>HYPERLINK("https://www.wikidata.org/wiki/Q35203776", "Q35203776")</f>
        <v>0</v>
      </c>
      <c r="G11962" t="s">
        <v>4907</v>
      </c>
      <c r="H11962" t="s">
        <v>9043</v>
      </c>
      <c r="I11962" t="s">
        <v>9523</v>
      </c>
      <c r="J11962" t="s">
        <v>15350</v>
      </c>
      <c r="K11962" t="s">
        <v>19654</v>
      </c>
      <c r="M11962">
        <f>HYPERLINK("https://www.senat.fr/senateur-3eme-republique/courregelongue_marcel0213r3.html", "courregelongue_marcel0213r3")</f>
        <v>0</v>
      </c>
      <c r="N11962">
        <f>HYPERLINK("https://www.wikidata.org/wiki/Q3288830", "Q3288830")</f>
        <v>0</v>
      </c>
      <c r="O11962" t="s">
        <v>19987</v>
      </c>
      <c r="Q11962" t="s">
        <v>21177</v>
      </c>
      <c r="R11962" t="s">
        <v>21665</v>
      </c>
      <c r="S11962">
        <v>594</v>
      </c>
    </row>
    <row r="11963" spans="1:19">
      <c r="A11963" t="s">
        <v>136</v>
      </c>
      <c r="B11963" t="s">
        <v>150</v>
      </c>
      <c r="C11963" t="s">
        <v>268</v>
      </c>
      <c r="D11963" t="s">
        <v>397</v>
      </c>
      <c r="F11963">
        <f>HYPERLINK("https://www.wikidata.org/wiki/Q35203776", "Q35203776")</f>
        <v>0</v>
      </c>
      <c r="G11963" t="s">
        <v>3165</v>
      </c>
      <c r="H11963" t="s">
        <v>5558</v>
      </c>
      <c r="I11963" t="s">
        <v>10675</v>
      </c>
      <c r="J11963" t="s">
        <v>13786</v>
      </c>
      <c r="K11963" t="s">
        <v>18161</v>
      </c>
      <c r="L11963">
        <f>HYPERLINK("https://www2.assemblee-nationale.fr/sycomore/fiche/(num_dept)/6636", "6636")</f>
        <v>0</v>
      </c>
      <c r="M11963">
        <f>HYPERLINK("https://www.senat.fr/senateur-3eme-republique/razimbaud_jules0239r3.html", "razimbaud_jules0239r3")</f>
        <v>0</v>
      </c>
      <c r="N11963">
        <f>HYPERLINK("https://www.wikidata.org/wiki/Q3188871", "Q3188871")</f>
        <v>0</v>
      </c>
      <c r="O11963" t="s">
        <v>7411</v>
      </c>
      <c r="Q11963" t="s">
        <v>20909</v>
      </c>
      <c r="R11963" t="s">
        <v>21665</v>
      </c>
      <c r="S11963">
        <v>559</v>
      </c>
    </row>
    <row r="11964" spans="1:19">
      <c r="A11964" t="s">
        <v>136</v>
      </c>
      <c r="B11964" t="s">
        <v>150</v>
      </c>
      <c r="C11964" t="s">
        <v>268</v>
      </c>
      <c r="D11964" t="s">
        <v>397</v>
      </c>
      <c r="F11964">
        <f>HYPERLINK("https://www.wikidata.org/wiki/Q35203776", "Q35203776")</f>
        <v>0</v>
      </c>
      <c r="G11964" t="s">
        <v>3871</v>
      </c>
      <c r="H11964" t="s">
        <v>8139</v>
      </c>
      <c r="I11964" t="s">
        <v>6175</v>
      </c>
      <c r="J11964" t="s">
        <v>14430</v>
      </c>
      <c r="K11964" t="s">
        <v>18782</v>
      </c>
      <c r="L11964">
        <f>HYPERLINK("https://www2.assemblee-nationale.fr/sycomore/fiche/(num_dept)/2833", "2833")</f>
        <v>0</v>
      </c>
      <c r="M11964">
        <f>HYPERLINK("https://www.senat.fr/senateur-3eme-republique/ermant_georges0030r3.html", "ermant_georges0030r3")</f>
        <v>0</v>
      </c>
      <c r="N11964">
        <f>HYPERLINK("https://www.wikidata.org/wiki/Q3102677", "Q3102677")</f>
        <v>0</v>
      </c>
      <c r="O11964" t="s">
        <v>20015</v>
      </c>
      <c r="Q11964" t="s">
        <v>21178</v>
      </c>
      <c r="R11964" t="s">
        <v>21678</v>
      </c>
      <c r="S11964">
        <v>2673</v>
      </c>
    </row>
    <row r="11965" spans="1:19">
      <c r="A11965" t="s">
        <v>136</v>
      </c>
      <c r="B11965" t="s">
        <v>150</v>
      </c>
      <c r="C11965" t="s">
        <v>268</v>
      </c>
      <c r="D11965" t="s">
        <v>397</v>
      </c>
      <c r="F11965">
        <f>HYPERLINK("https://www.wikidata.org/wiki/Q35203776", "Q35203776")</f>
        <v>0</v>
      </c>
      <c r="G11965" t="s">
        <v>3006</v>
      </c>
      <c r="H11965" t="s">
        <v>7468</v>
      </c>
      <c r="I11965" t="s">
        <v>9414</v>
      </c>
      <c r="J11965" t="s">
        <v>12227</v>
      </c>
      <c r="K11965" t="s">
        <v>18020</v>
      </c>
      <c r="L11965">
        <f>HYPERLINK("https://www2.assemblee-nationale.fr/sycomore/fiche/(num_dept)/188", "188")</f>
        <v>0</v>
      </c>
      <c r="M11965">
        <f>HYPERLINK("https://www.senat.fr/senateur-3eme-republique/arene_emmanuel0489r3.html", "arene_emmanuel0489r3")</f>
        <v>0</v>
      </c>
      <c r="N11965">
        <f>HYPERLINK("https://www.wikidata.org/wiki/Q3052547", "Q3052547")</f>
        <v>0</v>
      </c>
      <c r="O11965" t="s">
        <v>19955</v>
      </c>
      <c r="Q11965" t="s">
        <v>21179</v>
      </c>
      <c r="R11965" t="s">
        <v>21692</v>
      </c>
      <c r="S11965">
        <v>1427</v>
      </c>
    </row>
    <row r="11966" spans="1:19">
      <c r="A11966" t="s">
        <v>136</v>
      </c>
      <c r="B11966" t="s">
        <v>150</v>
      </c>
      <c r="C11966" t="s">
        <v>268</v>
      </c>
      <c r="D11966" t="s">
        <v>397</v>
      </c>
      <c r="F11966">
        <f>HYPERLINK("https://www.wikidata.org/wiki/Q35203776", "Q35203776")</f>
        <v>0</v>
      </c>
      <c r="G11966" t="s">
        <v>2488</v>
      </c>
      <c r="H11966" t="s">
        <v>7061</v>
      </c>
      <c r="I11966" t="s">
        <v>10240</v>
      </c>
      <c r="J11966" t="s">
        <v>13132</v>
      </c>
      <c r="K11966" t="s">
        <v>17541</v>
      </c>
      <c r="L11966">
        <f>HYPERLINK("https://www2.assemblee-nationale.fr/sycomore/fiche/(num_dept)/251", "251")</f>
        <v>0</v>
      </c>
      <c r="M11966">
        <f>HYPERLINK("https://www.senat.fr/senateur-3eme-republique/audiffred_jean_honore1321r3.html", "audiffred_jean_honore1321r3")</f>
        <v>0</v>
      </c>
      <c r="N11966">
        <f>HYPERLINK("https://www.wikidata.org/wiki/Q3166130", "Q3166130")</f>
        <v>0</v>
      </c>
      <c r="O11966" t="s">
        <v>19997</v>
      </c>
      <c r="Q11966" t="s">
        <v>19422</v>
      </c>
      <c r="R11966" t="s">
        <v>21665</v>
      </c>
      <c r="S11966">
        <v>440</v>
      </c>
    </row>
    <row r="11967" spans="1:19">
      <c r="A11967" t="s">
        <v>136</v>
      </c>
      <c r="B11967" t="s">
        <v>150</v>
      </c>
      <c r="C11967" t="s">
        <v>268</v>
      </c>
      <c r="D11967" t="s">
        <v>397</v>
      </c>
      <c r="F11967">
        <f>HYPERLINK("https://www.wikidata.org/wiki/Q35203776", "Q35203776")</f>
        <v>0</v>
      </c>
      <c r="G11967" t="s">
        <v>3842</v>
      </c>
      <c r="H11967" t="s">
        <v>8118</v>
      </c>
      <c r="I11967" t="s">
        <v>9388</v>
      </c>
      <c r="J11967" t="s">
        <v>13983</v>
      </c>
      <c r="K11967" t="s">
        <v>18756</v>
      </c>
      <c r="L11967">
        <f>HYPERLINK("https://www2.assemblee-nationale.fr/sycomore/fiche/(num_dept)/2856", "2856")</f>
        <v>0</v>
      </c>
      <c r="M11967">
        <f>HYPERLINK("https://www.senat.fr/senateur-3eme-republique/d_estournelles_de_constant_paul1252r3.html", "d_estournelles_de_constant_paul1252r3")</f>
        <v>0</v>
      </c>
      <c r="N11967">
        <f>HYPERLINK("https://www.wikidata.org/wiki/Q238731", "Q238731")</f>
        <v>0</v>
      </c>
      <c r="O11967" t="s">
        <v>19956</v>
      </c>
      <c r="Q11967" t="s">
        <v>19224</v>
      </c>
      <c r="R11967" t="s">
        <v>21663</v>
      </c>
      <c r="S11967">
        <v>1511</v>
      </c>
    </row>
    <row r="11968" spans="1:19">
      <c r="A11968" t="s">
        <v>136</v>
      </c>
      <c r="B11968" t="s">
        <v>150</v>
      </c>
      <c r="C11968" t="s">
        <v>268</v>
      </c>
      <c r="D11968" t="s">
        <v>397</v>
      </c>
      <c r="F11968">
        <f>HYPERLINK("https://www.wikidata.org/wiki/Q35203776", "Q35203776")</f>
        <v>0</v>
      </c>
      <c r="G11968" t="s">
        <v>3721</v>
      </c>
      <c r="H11968" t="s">
        <v>8030</v>
      </c>
      <c r="I11968" t="s">
        <v>9449</v>
      </c>
      <c r="J11968" t="s">
        <v>14296</v>
      </c>
      <c r="K11968" t="s">
        <v>18650</v>
      </c>
      <c r="L11968">
        <f>HYPERLINK("https://www2.assemblee-nationale.fr/sycomore/fiche/(num_dept)/5665", "5665")</f>
        <v>0</v>
      </c>
      <c r="M11968">
        <f>HYPERLINK("https://www.senat.fr/senateur-3eme-republique/pams_jules1089r3.html", "pams_jules1089r3")</f>
        <v>0</v>
      </c>
      <c r="N11968">
        <f>HYPERLINK("https://www.wikidata.org/wiki/Q3188830", "Q3188830")</f>
        <v>0</v>
      </c>
      <c r="O11968" t="s">
        <v>20001</v>
      </c>
      <c r="Q11968" t="s">
        <v>19615</v>
      </c>
      <c r="R11968" t="s">
        <v>21663</v>
      </c>
      <c r="S11968">
        <v>1469</v>
      </c>
    </row>
    <row r="11969" spans="1:19">
      <c r="A11969" t="s">
        <v>136</v>
      </c>
      <c r="B11969" t="s">
        <v>150</v>
      </c>
      <c r="C11969" t="s">
        <v>268</v>
      </c>
      <c r="D11969" t="s">
        <v>397</v>
      </c>
      <c r="F11969">
        <f>HYPERLINK("https://www.wikidata.org/wiki/Q35203776", "Q35203776")</f>
        <v>0</v>
      </c>
      <c r="G11969" t="s">
        <v>3687</v>
      </c>
      <c r="H11969" t="s">
        <v>8580</v>
      </c>
      <c r="I11969" t="s">
        <v>6495</v>
      </c>
      <c r="J11969" t="s">
        <v>14263</v>
      </c>
      <c r="K11969" t="s">
        <v>19655</v>
      </c>
      <c r="M11969">
        <f>HYPERLINK("https://www.senat.fr/senateur-3eme-republique/brunet_louis0849r3.html", "brunet_louis0849r3")</f>
        <v>0</v>
      </c>
      <c r="N11969">
        <f>HYPERLINK("https://www.wikidata.org/wiki/Q3261373", "Q3261373")</f>
        <v>0</v>
      </c>
      <c r="O11969" t="s">
        <v>19963</v>
      </c>
      <c r="Q11969" t="s">
        <v>20914</v>
      </c>
      <c r="R11969" t="s">
        <v>19655</v>
      </c>
      <c r="S11969">
        <v>350</v>
      </c>
    </row>
    <row r="11970" spans="1:19">
      <c r="A11970" t="s">
        <v>136</v>
      </c>
      <c r="B11970" t="s">
        <v>150</v>
      </c>
      <c r="C11970" t="s">
        <v>268</v>
      </c>
      <c r="D11970" t="s">
        <v>397</v>
      </c>
      <c r="F11970">
        <f>HYPERLINK("https://www.wikidata.org/wiki/Q35203776", "Q35203776")</f>
        <v>0</v>
      </c>
      <c r="G11970" t="s">
        <v>4908</v>
      </c>
      <c r="H11970" t="s">
        <v>9044</v>
      </c>
      <c r="I11970" t="s">
        <v>9465</v>
      </c>
      <c r="J11970" t="s">
        <v>15351</v>
      </c>
      <c r="K11970" t="s">
        <v>19656</v>
      </c>
      <c r="M11970">
        <f>HYPERLINK("https://www.senat.fr/senateur-3eme-republique/touron_eugene0026r3.html", "touron_eugene0026r3")</f>
        <v>0</v>
      </c>
      <c r="N11970">
        <f>HYPERLINK("https://www.wikidata.org/wiki/Q3060195", "Q3060195")</f>
        <v>0</v>
      </c>
      <c r="O11970" t="s">
        <v>20015</v>
      </c>
      <c r="Q11970" t="s">
        <v>21180</v>
      </c>
      <c r="R11970" t="s">
        <v>21678</v>
      </c>
      <c r="S11970">
        <v>2547</v>
      </c>
    </row>
    <row r="11971" spans="1:19">
      <c r="A11971" t="s">
        <v>136</v>
      </c>
      <c r="B11971" t="s">
        <v>150</v>
      </c>
      <c r="C11971" t="s">
        <v>268</v>
      </c>
      <c r="D11971" t="s">
        <v>397</v>
      </c>
      <c r="F11971">
        <f>HYPERLINK("https://www.wikidata.org/wiki/Q35203776", "Q35203776")</f>
        <v>0</v>
      </c>
      <c r="G11971" t="s">
        <v>4909</v>
      </c>
      <c r="H11971" t="s">
        <v>9045</v>
      </c>
      <c r="I11971" t="s">
        <v>6175</v>
      </c>
      <c r="J11971" t="s">
        <v>15352</v>
      </c>
      <c r="K11971" t="s">
        <v>19657</v>
      </c>
      <c r="M11971">
        <f>HYPERLINK("https://www.senat.fr/senateur-3eme-republique/fessard_georges0775r3.html", "fessard_georges0775r3")</f>
        <v>0</v>
      </c>
      <c r="N11971">
        <f>HYPERLINK("https://www.wikidata.org/wiki/Q3102704", "Q3102704")</f>
        <v>0</v>
      </c>
      <c r="O11971" t="s">
        <v>19971</v>
      </c>
      <c r="Q11971" t="s">
        <v>21180</v>
      </c>
      <c r="R11971" t="s">
        <v>21678</v>
      </c>
      <c r="S11971">
        <v>2547</v>
      </c>
    </row>
    <row r="11972" spans="1:19">
      <c r="A11972" t="s">
        <v>136</v>
      </c>
      <c r="B11972" t="s">
        <v>150</v>
      </c>
      <c r="C11972" t="s">
        <v>268</v>
      </c>
      <c r="D11972" t="s">
        <v>397</v>
      </c>
      <c r="F11972">
        <f>HYPERLINK("https://www.wikidata.org/wiki/Q35203776", "Q35203776")</f>
        <v>0</v>
      </c>
      <c r="G11972" t="s">
        <v>4910</v>
      </c>
      <c r="H11972" t="s">
        <v>9046</v>
      </c>
      <c r="I11972" t="s">
        <v>9458</v>
      </c>
      <c r="J11972" t="s">
        <v>15353</v>
      </c>
      <c r="K11972" t="s">
        <v>19658</v>
      </c>
      <c r="M11972">
        <f>HYPERLINK("https://www.senat.fr/senateur-3eme-republique/mascuraud_alfred1564r3.html", "mascuraud_alfred1564r3")</f>
        <v>0</v>
      </c>
      <c r="N11972">
        <f>HYPERLINK("https://www.wikidata.org/wiki/Q2835312", "Q2835312")</f>
        <v>0</v>
      </c>
      <c r="O11972" t="s">
        <v>19969</v>
      </c>
      <c r="Q11972" t="s">
        <v>21180</v>
      </c>
      <c r="R11972" t="s">
        <v>21663</v>
      </c>
      <c r="S11972">
        <v>1448</v>
      </c>
    </row>
    <row r="11973" spans="1:19">
      <c r="A11973" t="s">
        <v>136</v>
      </c>
      <c r="B11973" t="s">
        <v>150</v>
      </c>
      <c r="C11973" t="s">
        <v>268</v>
      </c>
      <c r="D11973" t="s">
        <v>397</v>
      </c>
      <c r="F11973">
        <f>HYPERLINK("https://www.wikidata.org/wiki/Q35203776", "Q35203776")</f>
        <v>0</v>
      </c>
      <c r="G11973" t="s">
        <v>3731</v>
      </c>
      <c r="H11973" t="s">
        <v>8039</v>
      </c>
      <c r="I11973" t="s">
        <v>9421</v>
      </c>
      <c r="J11973" t="s">
        <v>14306</v>
      </c>
      <c r="K11973" t="s">
        <v>18660</v>
      </c>
      <c r="L11973">
        <f>HYPERLINK("https://www2.assemblee-nationale.fr/sycomore/fiche/(num_dept)/7131", "7131")</f>
        <v>0</v>
      </c>
      <c r="M11973">
        <f>HYPERLINK("https://www.senat.fr/senateur-3eme-republique/trannoy_gustave1655r3.html", "trannoy_gustave1655r3")</f>
        <v>0</v>
      </c>
      <c r="N11973">
        <f>HYPERLINK("https://www.wikidata.org/wiki/Q3121335", "Q3121335")</f>
        <v>0</v>
      </c>
      <c r="O11973" t="s">
        <v>20012</v>
      </c>
      <c r="Q11973" t="s">
        <v>20918</v>
      </c>
      <c r="R11973" t="s">
        <v>18660</v>
      </c>
      <c r="S11973">
        <v>810</v>
      </c>
    </row>
    <row r="11974" spans="1:19">
      <c r="A11974" t="s">
        <v>136</v>
      </c>
      <c r="B11974" t="s">
        <v>150</v>
      </c>
      <c r="C11974" t="s">
        <v>268</v>
      </c>
      <c r="D11974" t="s">
        <v>397</v>
      </c>
      <c r="F11974">
        <f>HYPERLINK("https://www.wikidata.org/wiki/Q35203776", "Q35203776")</f>
        <v>0</v>
      </c>
      <c r="G11974" t="s">
        <v>3787</v>
      </c>
      <c r="H11974" t="s">
        <v>8077</v>
      </c>
      <c r="I11974" t="s">
        <v>9388</v>
      </c>
      <c r="J11974" t="s">
        <v>14357</v>
      </c>
      <c r="K11974" t="s">
        <v>18708</v>
      </c>
      <c r="L11974">
        <f>HYPERLINK("https://www2.assemblee-nationale.fr/sycomore/fiche/(num_dept)/3774", "3774")</f>
        <v>0</v>
      </c>
      <c r="M11974">
        <f>HYPERLINK("https://www.senat.fr/senateur-3eme-republique/hayez_paul1415r3.html", "hayez_paul1415r3")</f>
        <v>0</v>
      </c>
      <c r="N11974">
        <f>HYPERLINK("https://www.wikidata.org/wiki/Q3371447", "Q3371447")</f>
        <v>0</v>
      </c>
      <c r="O11974" t="s">
        <v>20013</v>
      </c>
      <c r="Q11974" t="s">
        <v>21181</v>
      </c>
      <c r="R11974" t="s">
        <v>21665</v>
      </c>
      <c r="S11974">
        <v>279</v>
      </c>
    </row>
    <row r="11975" spans="1:19">
      <c r="A11975" t="s">
        <v>136</v>
      </c>
      <c r="B11975" t="s">
        <v>150</v>
      </c>
      <c r="C11975" t="s">
        <v>268</v>
      </c>
      <c r="D11975" t="s">
        <v>397</v>
      </c>
      <c r="F11975">
        <f>HYPERLINK("https://www.wikidata.org/wiki/Q35203776", "Q35203776")</f>
        <v>0</v>
      </c>
      <c r="G11975" t="s">
        <v>2865</v>
      </c>
      <c r="H11975" t="s">
        <v>8906</v>
      </c>
      <c r="I11975" t="s">
        <v>9474</v>
      </c>
      <c r="J11975" t="s">
        <v>15226</v>
      </c>
      <c r="K11975" t="s">
        <v>19540</v>
      </c>
      <c r="M11975">
        <f>HYPERLINK("https://www.senat.fr/senateur-3eme-republique/trystram_jean_baptiste1413r3.html", "trystram_jean_baptiste1413r3")</f>
        <v>0</v>
      </c>
      <c r="N11975">
        <f>HYPERLINK("https://www.wikidata.org/wiki/Q3164471", "Q3164471")</f>
        <v>0</v>
      </c>
      <c r="O11975" t="s">
        <v>20013</v>
      </c>
      <c r="Q11975" t="s">
        <v>21181</v>
      </c>
      <c r="R11975" t="s">
        <v>21665</v>
      </c>
      <c r="S11975">
        <v>279</v>
      </c>
    </row>
    <row r="11976" spans="1:19">
      <c r="A11976" t="s">
        <v>136</v>
      </c>
      <c r="B11976" t="s">
        <v>150</v>
      </c>
      <c r="C11976" t="s">
        <v>268</v>
      </c>
      <c r="D11976" t="s">
        <v>397</v>
      </c>
      <c r="F11976">
        <f>HYPERLINK("https://www.wikidata.org/wiki/Q35203776", "Q35203776")</f>
        <v>0</v>
      </c>
      <c r="G11976" t="s">
        <v>4911</v>
      </c>
      <c r="H11976" t="s">
        <v>9047</v>
      </c>
      <c r="I11976" t="s">
        <v>9681</v>
      </c>
      <c r="J11976" t="s">
        <v>15354</v>
      </c>
      <c r="K11976" t="s">
        <v>19659</v>
      </c>
      <c r="M11976">
        <f>HYPERLINK("https://www.senat.fr/senateur-3eme-republique/maureau_achille1704r3.html", "maureau_achille1704r3")</f>
        <v>0</v>
      </c>
      <c r="N11976">
        <f>HYPERLINK("https://www.wikidata.org/wiki/Q2823080", "Q2823080")</f>
        <v>0</v>
      </c>
      <c r="O11976" t="s">
        <v>20047</v>
      </c>
      <c r="Q11976" t="s">
        <v>21182</v>
      </c>
      <c r="R11976" t="s">
        <v>21663</v>
      </c>
      <c r="S11976">
        <v>1364</v>
      </c>
    </row>
    <row r="11977" spans="1:19">
      <c r="A11977" t="s">
        <v>136</v>
      </c>
      <c r="B11977" t="s">
        <v>150</v>
      </c>
      <c r="C11977" t="s">
        <v>268</v>
      </c>
      <c r="D11977" t="s">
        <v>397</v>
      </c>
      <c r="F11977">
        <f>HYPERLINK("https://www.wikidata.org/wiki/Q35203776", "Q35203776")</f>
        <v>0</v>
      </c>
      <c r="G11977" t="s">
        <v>3541</v>
      </c>
      <c r="H11977" t="s">
        <v>5337</v>
      </c>
      <c r="I11977" t="s">
        <v>9437</v>
      </c>
      <c r="J11977" t="s">
        <v>14132</v>
      </c>
      <c r="K11977" t="s">
        <v>18497</v>
      </c>
      <c r="L11977">
        <f>HYPERLINK("https://www2.assemblee-nationale.fr/sycomore/fiche/(num_dept)/1727", "1727")</f>
        <v>0</v>
      </c>
      <c r="M11977">
        <f>HYPERLINK("https://www.senat.fr/senateur-3eme-republique/chautemps_emile1313r3.html", "chautemps_emile1313r3")</f>
        <v>0</v>
      </c>
      <c r="N11977">
        <f>HYPERLINK("https://www.wikidata.org/wiki/Q3588410", "Q3588410")</f>
        <v>0</v>
      </c>
      <c r="O11977" t="s">
        <v>20018</v>
      </c>
      <c r="Q11977" t="s">
        <v>20921</v>
      </c>
      <c r="R11977" t="s">
        <v>21689</v>
      </c>
      <c r="S11977">
        <v>1349</v>
      </c>
    </row>
    <row r="11978" spans="1:19">
      <c r="A11978" t="s">
        <v>136</v>
      </c>
      <c r="B11978" t="s">
        <v>150</v>
      </c>
      <c r="C11978" t="s">
        <v>268</v>
      </c>
      <c r="D11978" t="s">
        <v>397</v>
      </c>
      <c r="F11978">
        <f>HYPERLINK("https://www.wikidata.org/wiki/Q35203776", "Q35203776")</f>
        <v>0</v>
      </c>
      <c r="G11978" t="s">
        <v>3872</v>
      </c>
      <c r="H11978" t="s">
        <v>8140</v>
      </c>
      <c r="I11978" t="s">
        <v>6200</v>
      </c>
      <c r="J11978" t="s">
        <v>14431</v>
      </c>
      <c r="K11978" t="s">
        <v>18783</v>
      </c>
      <c r="L11978">
        <f>HYPERLINK("https://www2.assemblee-nationale.fr/sycomore/fiche/(num_dept)/790", "790")</f>
        <v>0</v>
      </c>
      <c r="M11978">
        <f>HYPERLINK("https://www.senat.fr/senateur-3eme-republique/bienvenu_martin_jean_baptiste1840r3.html", "bienvenu_martin_jean_baptiste1840r3")</f>
        <v>0</v>
      </c>
      <c r="N11978">
        <f>HYPERLINK("https://www.wikidata.org/wiki/Q325552", "Q325552")</f>
        <v>0</v>
      </c>
      <c r="O11978" t="s">
        <v>20034</v>
      </c>
      <c r="Q11978" t="s">
        <v>19186</v>
      </c>
      <c r="R11978" t="s">
        <v>21663</v>
      </c>
      <c r="S11978">
        <v>1308</v>
      </c>
    </row>
    <row r="11979" spans="1:19">
      <c r="A11979" t="s">
        <v>136</v>
      </c>
      <c r="B11979" t="s">
        <v>150</v>
      </c>
      <c r="C11979" t="s">
        <v>268</v>
      </c>
      <c r="D11979" t="s">
        <v>397</v>
      </c>
      <c r="F11979">
        <f>HYPERLINK("https://www.wikidata.org/wiki/Q35203776", "Q35203776")</f>
        <v>0</v>
      </c>
      <c r="G11979" t="s">
        <v>4912</v>
      </c>
      <c r="H11979" t="s">
        <v>9048</v>
      </c>
      <c r="I11979" t="s">
        <v>6495</v>
      </c>
      <c r="J11979" t="s">
        <v>15355</v>
      </c>
      <c r="K11979" t="s">
        <v>19660</v>
      </c>
      <c r="M11979">
        <f>HYPERLINK("https://www.senat.fr/senateur-3eme-republique/vieu_louis1694r3.html", "vieu_louis1694r3")</f>
        <v>0</v>
      </c>
      <c r="N11979">
        <f>HYPERLINK("https://www.wikidata.org/wiki/Q3263283", "Q3263283")</f>
        <v>0</v>
      </c>
      <c r="O11979" t="s">
        <v>19962</v>
      </c>
      <c r="Q11979" t="s">
        <v>21183</v>
      </c>
      <c r="R11979" t="s">
        <v>21663</v>
      </c>
      <c r="S11979">
        <v>1294</v>
      </c>
    </row>
    <row r="11980" spans="1:19">
      <c r="A11980" t="s">
        <v>136</v>
      </c>
      <c r="B11980" t="s">
        <v>150</v>
      </c>
      <c r="C11980" t="s">
        <v>268</v>
      </c>
      <c r="D11980" t="s">
        <v>397</v>
      </c>
      <c r="F11980">
        <f>HYPERLINK("https://www.wikidata.org/wiki/Q35203776", "Q35203776")</f>
        <v>0</v>
      </c>
      <c r="G11980" t="s">
        <v>3373</v>
      </c>
      <c r="H11980" t="s">
        <v>7083</v>
      </c>
      <c r="I11980" t="s">
        <v>5528</v>
      </c>
      <c r="J11980" t="s">
        <v>13985</v>
      </c>
      <c r="K11980" t="s">
        <v>18353</v>
      </c>
      <c r="L11980">
        <f>HYPERLINK("https://www2.assemblee-nationale.fr/sycomore/fiche/(num_dept)/1083", "1083")</f>
        <v>0</v>
      </c>
      <c r="M11980">
        <f>HYPERLINK("https://www.senat.fr/senateur-3eme-republique/bourgeois_leon0647r3.html", "bourgeois_leon0647r3")</f>
        <v>0</v>
      </c>
      <c r="N11980">
        <f>HYPERLINK("https://www.wikidata.org/wiki/Q217706", "Q217706")</f>
        <v>0</v>
      </c>
      <c r="O11980" t="s">
        <v>20025</v>
      </c>
      <c r="Q11980" t="s">
        <v>21184</v>
      </c>
      <c r="R11980" t="s">
        <v>21665</v>
      </c>
      <c r="S11980">
        <v>139</v>
      </c>
    </row>
    <row r="11981" spans="1:19">
      <c r="A11981" t="s">
        <v>136</v>
      </c>
      <c r="B11981" t="s">
        <v>150</v>
      </c>
      <c r="C11981" t="s">
        <v>268</v>
      </c>
      <c r="D11981" t="s">
        <v>397</v>
      </c>
      <c r="F11981">
        <f>HYPERLINK("https://www.wikidata.org/wiki/Q35203776", "Q35203776")</f>
        <v>0</v>
      </c>
      <c r="G11981" t="s">
        <v>4913</v>
      </c>
      <c r="H11981" t="s">
        <v>9049</v>
      </c>
      <c r="I11981" t="s">
        <v>9389</v>
      </c>
      <c r="J11981" t="s">
        <v>15356</v>
      </c>
      <c r="K11981" t="s">
        <v>19661</v>
      </c>
      <c r="M11981">
        <f>HYPERLINK("https://www.senat.fr/senateur-3eme-republique/reymond_emile1338r3.html", "reymond_emile1338r3")</f>
        <v>0</v>
      </c>
      <c r="N11981">
        <f>HYPERLINK("https://www.wikidata.org/wiki/Q1337203", "Q1337203")</f>
        <v>0</v>
      </c>
      <c r="O11981" t="s">
        <v>19997</v>
      </c>
      <c r="Q11981" t="s">
        <v>21185</v>
      </c>
      <c r="R11981" t="s">
        <v>21665</v>
      </c>
      <c r="S11981">
        <v>132</v>
      </c>
    </row>
    <row r="11982" spans="1:19">
      <c r="A11982" t="s">
        <v>137</v>
      </c>
      <c r="B11982" t="s">
        <v>150</v>
      </c>
      <c r="C11982" t="s">
        <v>269</v>
      </c>
      <c r="D11982" t="s">
        <v>398</v>
      </c>
      <c r="F11982">
        <f>HYPERLINK("https://www.wikidata.org/wiki/Q111103101", "Q111103101")</f>
        <v>0</v>
      </c>
      <c r="G11982" t="s">
        <v>2488</v>
      </c>
      <c r="H11982" t="s">
        <v>7061</v>
      </c>
      <c r="I11982" t="s">
        <v>10240</v>
      </c>
      <c r="J11982" t="s">
        <v>13132</v>
      </c>
      <c r="K11982" t="s">
        <v>17541</v>
      </c>
      <c r="L11982">
        <f>HYPERLINK("https://www2.assemblee-nationale.fr/sycomore/fiche/(num_dept)/251", "251")</f>
        <v>0</v>
      </c>
      <c r="M11982">
        <f>HYPERLINK("https://www.senat.fr/senateur-3eme-republique/audiffred_jean_honore1321r3.html", "audiffred_jean_honore1321r3")</f>
        <v>0</v>
      </c>
      <c r="N11982">
        <f>HYPERLINK("https://www.wikidata.org/wiki/Q3166130", "Q3166130")</f>
        <v>0</v>
      </c>
      <c r="O11982" t="s">
        <v>19997</v>
      </c>
      <c r="Q11982" t="s">
        <v>398</v>
      </c>
      <c r="R11982" t="s">
        <v>21650</v>
      </c>
      <c r="S11982">
        <v>14532</v>
      </c>
    </row>
    <row r="11983" spans="1:19">
      <c r="A11983" t="s">
        <v>137</v>
      </c>
      <c r="B11983" t="s">
        <v>150</v>
      </c>
      <c r="C11983" t="s">
        <v>269</v>
      </c>
      <c r="D11983" t="s">
        <v>398</v>
      </c>
      <c r="F11983">
        <f>HYPERLINK("https://www.wikidata.org/wiki/Q111103101", "Q111103101")</f>
        <v>0</v>
      </c>
      <c r="G11983" t="s">
        <v>2494</v>
      </c>
      <c r="H11983" t="s">
        <v>7066</v>
      </c>
      <c r="I11983" t="s">
        <v>10245</v>
      </c>
      <c r="J11983" t="s">
        <v>13138</v>
      </c>
      <c r="K11983" t="s">
        <v>17547</v>
      </c>
      <c r="L11983">
        <f>HYPERLINK("https://www2.assemblee-nationale.fr/sycomore/fiche/(num_dept)/587", "587")</f>
        <v>0</v>
      </c>
      <c r="M11983">
        <f>HYPERLINK("https://www.senat.fr/senateur-3eme-republique/belle_antoine0299r3.html", "belle_antoine0299r3")</f>
        <v>0</v>
      </c>
      <c r="N11983">
        <f>HYPERLINK("https://www.wikidata.org/wiki/Q2853457", "Q2853457")</f>
        <v>0</v>
      </c>
      <c r="O11983" t="s">
        <v>20008</v>
      </c>
      <c r="Q11983" t="s">
        <v>398</v>
      </c>
      <c r="R11983" t="s">
        <v>21650</v>
      </c>
      <c r="S11983">
        <v>14532</v>
      </c>
    </row>
    <row r="11984" spans="1:19">
      <c r="A11984" t="s">
        <v>137</v>
      </c>
      <c r="B11984" t="s">
        <v>150</v>
      </c>
      <c r="C11984" t="s">
        <v>269</v>
      </c>
      <c r="D11984" t="s">
        <v>398</v>
      </c>
      <c r="F11984">
        <f>HYPERLINK("https://www.wikidata.org/wiki/Q111103101", "Q111103101")</f>
        <v>0</v>
      </c>
      <c r="G11984" t="s">
        <v>3892</v>
      </c>
      <c r="H11984" t="s">
        <v>8153</v>
      </c>
      <c r="I11984" t="s">
        <v>9388</v>
      </c>
      <c r="J11984" t="s">
        <v>14450</v>
      </c>
      <c r="K11984" t="s">
        <v>18800</v>
      </c>
      <c r="L11984">
        <f>HYPERLINK("https://www2.assemblee-nationale.fr/sycomore/fiche/(num_dept)/716", "716")</f>
        <v>0</v>
      </c>
      <c r="M11984">
        <f>HYPERLINK("https://www.senat.fr/senateur-3eme-republique/bersez_paul1400r3.html", "bersez_paul1400r3")</f>
        <v>0</v>
      </c>
      <c r="N11984">
        <f>HYPERLINK("https://www.wikidata.org/wiki/Q3370626", "Q3370626")</f>
        <v>0</v>
      </c>
      <c r="O11984" t="s">
        <v>20013</v>
      </c>
      <c r="Q11984" t="s">
        <v>398</v>
      </c>
      <c r="R11984" t="s">
        <v>21683</v>
      </c>
      <c r="S11984">
        <v>5116</v>
      </c>
    </row>
    <row r="11985" spans="1:19">
      <c r="A11985" t="s">
        <v>137</v>
      </c>
      <c r="B11985" t="s">
        <v>150</v>
      </c>
      <c r="C11985" t="s">
        <v>269</v>
      </c>
      <c r="D11985" t="s">
        <v>398</v>
      </c>
      <c r="F11985">
        <f>HYPERLINK("https://www.wikidata.org/wiki/Q111103101", "Q111103101")</f>
        <v>0</v>
      </c>
      <c r="G11985" t="s">
        <v>3373</v>
      </c>
      <c r="H11985" t="s">
        <v>7083</v>
      </c>
      <c r="I11985" t="s">
        <v>5528</v>
      </c>
      <c r="J11985" t="s">
        <v>13985</v>
      </c>
      <c r="K11985" t="s">
        <v>18353</v>
      </c>
      <c r="L11985">
        <f>HYPERLINK("https://www2.assemblee-nationale.fr/sycomore/fiche/(num_dept)/1083", "1083")</f>
        <v>0</v>
      </c>
      <c r="M11985">
        <f>HYPERLINK("https://www.senat.fr/senateur-3eme-republique/bourgeois_leon0647r3.html", "bourgeois_leon0647r3")</f>
        <v>0</v>
      </c>
      <c r="N11985">
        <f>HYPERLINK("https://www.wikidata.org/wiki/Q217706", "Q217706")</f>
        <v>0</v>
      </c>
      <c r="O11985" t="s">
        <v>20025</v>
      </c>
      <c r="Q11985" t="s">
        <v>398</v>
      </c>
      <c r="R11985" t="s">
        <v>21683</v>
      </c>
      <c r="S11985">
        <v>5116</v>
      </c>
    </row>
    <row r="11986" spans="1:19">
      <c r="A11986" t="s">
        <v>137</v>
      </c>
      <c r="B11986" t="s">
        <v>150</v>
      </c>
      <c r="C11986" t="s">
        <v>269</v>
      </c>
      <c r="D11986" t="s">
        <v>398</v>
      </c>
      <c r="F11986">
        <f>HYPERLINK("https://www.wikidata.org/wiki/Q111103101", "Q111103101")</f>
        <v>0</v>
      </c>
      <c r="G11986" t="s">
        <v>3540</v>
      </c>
      <c r="H11986" t="s">
        <v>7901</v>
      </c>
      <c r="I11986" t="s">
        <v>10873</v>
      </c>
      <c r="J11986" t="s">
        <v>11726</v>
      </c>
      <c r="K11986" t="s">
        <v>18225</v>
      </c>
      <c r="L11986">
        <f>HYPERLINK("https://www2.assemblee-nationale.fr/sycomore/fiche/(num_dept)/1338", "1338")</f>
        <v>0</v>
      </c>
      <c r="M11986">
        <f>HYPERLINK("https://www.senat.fr/senateur-3eme-republique/cabart_danneville_charles_maurice1036r3.html", "cabart_danneville_charles_maurice1036r3")</f>
        <v>0</v>
      </c>
      <c r="N11986">
        <f>HYPERLINK("https://www.wikidata.org/wiki/Q2959776", "Q2959776")</f>
        <v>0</v>
      </c>
      <c r="O11986" t="s">
        <v>19985</v>
      </c>
      <c r="Q11986" t="s">
        <v>398</v>
      </c>
      <c r="R11986" t="s">
        <v>21650</v>
      </c>
      <c r="S11986">
        <v>14532</v>
      </c>
    </row>
    <row r="11987" spans="1:19">
      <c r="A11987" t="s">
        <v>137</v>
      </c>
      <c r="B11987" t="s">
        <v>150</v>
      </c>
      <c r="C11987" t="s">
        <v>269</v>
      </c>
      <c r="D11987" t="s">
        <v>398</v>
      </c>
      <c r="F11987">
        <f>HYPERLINK("https://www.wikidata.org/wiki/Q111103101", "Q111103101")</f>
        <v>0</v>
      </c>
      <c r="G11987" t="s">
        <v>4056</v>
      </c>
      <c r="H11987" t="s">
        <v>8280</v>
      </c>
      <c r="I11987" t="s">
        <v>11084</v>
      </c>
      <c r="J11987" t="s">
        <v>14596</v>
      </c>
      <c r="K11987" t="s">
        <v>18934</v>
      </c>
      <c r="L11987">
        <f>HYPERLINK("https://www2.assemblee-nationale.fr/sycomore/fiche/(num_dept)/1517", "1517")</f>
        <v>0</v>
      </c>
      <c r="M11987">
        <f>HYPERLINK("https://www.senat.fr/senateur-3eme-republique/catalogne_jacques1059r3.html", "catalogne_jacques1059r3")</f>
        <v>0</v>
      </c>
      <c r="N11987">
        <f>HYPERLINK("https://www.wikidata.org/wiki/Q3012747", "Q3012747")</f>
        <v>0</v>
      </c>
      <c r="O11987" t="s">
        <v>19970</v>
      </c>
      <c r="Q11987" t="s">
        <v>398</v>
      </c>
      <c r="R11987" t="s">
        <v>21663</v>
      </c>
      <c r="S11987">
        <v>1091</v>
      </c>
    </row>
    <row r="11988" spans="1:19">
      <c r="A11988" t="s">
        <v>137</v>
      </c>
      <c r="B11988" t="s">
        <v>150</v>
      </c>
      <c r="C11988" t="s">
        <v>269</v>
      </c>
      <c r="D11988" t="s">
        <v>398</v>
      </c>
      <c r="F11988">
        <f>HYPERLINK("https://www.wikidata.org/wiki/Q111103101", "Q111103101")</f>
        <v>0</v>
      </c>
      <c r="G11988" t="s">
        <v>2533</v>
      </c>
      <c r="H11988" t="s">
        <v>7093</v>
      </c>
      <c r="I11988" t="s">
        <v>9602</v>
      </c>
      <c r="J11988" t="s">
        <v>13177</v>
      </c>
      <c r="K11988" t="s">
        <v>17583</v>
      </c>
      <c r="L11988">
        <f>HYPERLINK("https://www2.assemblee-nationale.fr/sycomore/fiche/(num_dept)/1556", "1556")</f>
        <v>0</v>
      </c>
      <c r="M11988">
        <f>HYPERLINK("https://www.senat.fr/senateur-3eme-republique/caze_edmond0102r3.html", "caze_edmond0102r3")</f>
        <v>0</v>
      </c>
      <c r="N11988">
        <f>HYPERLINK("https://www.wikidata.org/wiki/Q3047779", "Q3047779")</f>
        <v>0</v>
      </c>
      <c r="O11988" t="s">
        <v>20016</v>
      </c>
      <c r="Q11988" t="s">
        <v>398</v>
      </c>
      <c r="R11988" t="s">
        <v>17583</v>
      </c>
      <c r="S11988">
        <v>611</v>
      </c>
    </row>
    <row r="11989" spans="1:19">
      <c r="A11989" t="s">
        <v>137</v>
      </c>
      <c r="B11989" t="s">
        <v>150</v>
      </c>
      <c r="C11989" t="s">
        <v>269</v>
      </c>
      <c r="D11989" t="s">
        <v>398</v>
      </c>
      <c r="F11989">
        <f>HYPERLINK("https://www.wikidata.org/wiki/Q111103101", "Q111103101")</f>
        <v>0</v>
      </c>
      <c r="G11989" t="s">
        <v>3374</v>
      </c>
      <c r="H11989" t="s">
        <v>6432</v>
      </c>
      <c r="I11989" t="s">
        <v>10796</v>
      </c>
      <c r="J11989" t="s">
        <v>13986</v>
      </c>
      <c r="K11989" t="s">
        <v>18354</v>
      </c>
      <c r="L11989">
        <f>HYPERLINK("https://www2.assemblee-nationale.fr/sycomore/fiche/(num_dept)/1802", "1802")</f>
        <v>0</v>
      </c>
      <c r="M11989">
        <f>HYPERLINK("https://www.senat.fr/senateur-3eme-republique/chollet_andre1325r3.html", "chollet_andre1325r3")</f>
        <v>0</v>
      </c>
      <c r="N11989">
        <f>HYPERLINK("https://www.wikidata.org/wiki/Q2847520", "Q2847520")</f>
        <v>0</v>
      </c>
      <c r="O11989" t="s">
        <v>19997</v>
      </c>
      <c r="Q11989" t="s">
        <v>398</v>
      </c>
      <c r="R11989" t="s">
        <v>18354</v>
      </c>
      <c r="S11989">
        <v>2065</v>
      </c>
    </row>
    <row r="11990" spans="1:19">
      <c r="A11990" t="s">
        <v>137</v>
      </c>
      <c r="B11990" t="s">
        <v>150</v>
      </c>
      <c r="C11990" t="s">
        <v>269</v>
      </c>
      <c r="D11990" t="s">
        <v>398</v>
      </c>
      <c r="F11990">
        <f>HYPERLINK("https://www.wikidata.org/wiki/Q111103101", "Q111103101")</f>
        <v>0</v>
      </c>
      <c r="G11990" t="s">
        <v>2545</v>
      </c>
      <c r="H11990" t="s">
        <v>7104</v>
      </c>
      <c r="I11990" t="s">
        <v>10279</v>
      </c>
      <c r="J11990" t="s">
        <v>13189</v>
      </c>
      <c r="K11990" t="s">
        <v>17594</v>
      </c>
      <c r="L11990">
        <f>HYPERLINK("https://www2.assemblee-nationale.fr/sycomore/fiche/(num_dept)/2120", "2120")</f>
        <v>0</v>
      </c>
      <c r="M11990">
        <f>HYPERLINK("https://www.senat.fr/senateur-3eme-republique/danelle_bernardin_jean0870r3.html", "danelle_bernardin_jean0870r3")</f>
        <v>0</v>
      </c>
      <c r="N11990">
        <f>HYPERLINK("https://www.wikidata.org/wiki/Q3171537", "Q3171537")</f>
        <v>0</v>
      </c>
      <c r="O11990" t="s">
        <v>20022</v>
      </c>
      <c r="Q11990" t="s">
        <v>398</v>
      </c>
      <c r="R11990" t="s">
        <v>21650</v>
      </c>
      <c r="S11990">
        <v>14532</v>
      </c>
    </row>
    <row r="11991" spans="1:19">
      <c r="A11991" t="s">
        <v>137</v>
      </c>
      <c r="B11991" t="s">
        <v>150</v>
      </c>
      <c r="C11991" t="s">
        <v>269</v>
      </c>
      <c r="D11991" t="s">
        <v>398</v>
      </c>
      <c r="F11991">
        <f>HYPERLINK("https://www.wikidata.org/wiki/Q111103101", "Q111103101")</f>
        <v>0</v>
      </c>
      <c r="G11991" t="s">
        <v>3962</v>
      </c>
      <c r="H11991" t="s">
        <v>8211</v>
      </c>
      <c r="I11991" t="s">
        <v>6519</v>
      </c>
      <c r="J11991" t="s">
        <v>14513</v>
      </c>
      <c r="K11991" t="s">
        <v>18857</v>
      </c>
      <c r="L11991">
        <f>HYPERLINK("https://www2.assemblee-nationale.fr/sycomore/fiche/(num_dept)/2155", "2155")</f>
        <v>0</v>
      </c>
      <c r="M11991">
        <f>HYPERLINK("https://www.senat.fr/senateur-3eme-republique/daude_gleize_paulin0860r3.html", "daude_gleize_paulin0860r3")</f>
        <v>0</v>
      </c>
      <c r="N11991">
        <f>HYPERLINK("https://www.wikidata.org/wiki/Q3372661", "Q3372661")</f>
        <v>0</v>
      </c>
      <c r="O11991" t="s">
        <v>20004</v>
      </c>
      <c r="Q11991" t="s">
        <v>398</v>
      </c>
      <c r="R11991" t="s">
        <v>21683</v>
      </c>
      <c r="S11991">
        <v>5116</v>
      </c>
    </row>
    <row r="11992" spans="1:19">
      <c r="A11992" t="s">
        <v>137</v>
      </c>
      <c r="B11992" t="s">
        <v>150</v>
      </c>
      <c r="C11992" t="s">
        <v>269</v>
      </c>
      <c r="D11992" t="s">
        <v>398</v>
      </c>
      <c r="F11992">
        <f>HYPERLINK("https://www.wikidata.org/wiki/Q111103101", "Q111103101")</f>
        <v>0</v>
      </c>
      <c r="G11992" t="s">
        <v>4027</v>
      </c>
      <c r="H11992" t="s">
        <v>5361</v>
      </c>
      <c r="I11992" t="s">
        <v>9457</v>
      </c>
      <c r="J11992" t="s">
        <v>14570</v>
      </c>
      <c r="K11992" t="s">
        <v>18913</v>
      </c>
      <c r="L11992">
        <f>HYPERLINK("https://www2.assemblee-nationale.fr/sycomore/fiche/(num_dept)/2172", "2172")</f>
        <v>0</v>
      </c>
      <c r="M11992">
        <f>HYPERLINK("https://www.senat.fr/senateur-3eme-republique/david_henri0377r3.html", "david_henri0377r3")</f>
        <v>0</v>
      </c>
      <c r="N11992">
        <f>HYPERLINK("https://www.wikidata.org/wiki/Q3130917", "Q3130917")</f>
        <v>0</v>
      </c>
      <c r="O11992" t="s">
        <v>20039</v>
      </c>
      <c r="Q11992" t="s">
        <v>398</v>
      </c>
      <c r="R11992" t="s">
        <v>18913</v>
      </c>
      <c r="S11992">
        <v>3134</v>
      </c>
    </row>
    <row r="11993" spans="1:19">
      <c r="A11993" t="s">
        <v>137</v>
      </c>
      <c r="B11993" t="s">
        <v>150</v>
      </c>
      <c r="C11993" t="s">
        <v>269</v>
      </c>
      <c r="D11993" t="s">
        <v>398</v>
      </c>
      <c r="F11993">
        <f>HYPERLINK("https://www.wikidata.org/wiki/Q111103101", "Q111103101")</f>
        <v>0</v>
      </c>
      <c r="G11993" t="s">
        <v>3870</v>
      </c>
      <c r="H11993" t="s">
        <v>8138</v>
      </c>
      <c r="I11993" t="s">
        <v>6584</v>
      </c>
      <c r="J11993" t="s">
        <v>14429</v>
      </c>
      <c r="K11993" t="s">
        <v>18300</v>
      </c>
      <c r="L11993">
        <f>HYPERLINK("https://www2.assemblee-nationale.fr/sycomore/fiche/(num_dept)/2211", "2211")</f>
        <v>0</v>
      </c>
      <c r="M11993">
        <f>HYPERLINK("https://www.senat.fr/senateur-3eme-republique/decrais_albert0207r3.html", "decrais_albert0207r3")</f>
        <v>0</v>
      </c>
      <c r="N11993">
        <f>HYPERLINK("https://www.wikidata.org/wiki/Q2831089", "Q2831089")</f>
        <v>0</v>
      </c>
      <c r="O11993" t="s">
        <v>19987</v>
      </c>
      <c r="Q11993" t="s">
        <v>398</v>
      </c>
      <c r="R11993" t="s">
        <v>21650</v>
      </c>
      <c r="S11993">
        <v>14532</v>
      </c>
    </row>
    <row r="11994" spans="1:19">
      <c r="A11994" t="s">
        <v>137</v>
      </c>
      <c r="B11994" t="s">
        <v>150</v>
      </c>
      <c r="C11994" t="s">
        <v>269</v>
      </c>
      <c r="D11994" t="s">
        <v>398</v>
      </c>
      <c r="F11994">
        <f>HYPERLINK("https://www.wikidata.org/wiki/Q111103101", "Q111103101")</f>
        <v>0</v>
      </c>
      <c r="G11994" t="s">
        <v>2559</v>
      </c>
      <c r="H11994" t="s">
        <v>7117</v>
      </c>
      <c r="I11994" t="s">
        <v>10017</v>
      </c>
      <c r="J11994" t="s">
        <v>13203</v>
      </c>
      <c r="K11994" t="s">
        <v>17607</v>
      </c>
      <c r="L11994">
        <f>HYPERLINK("https://www2.assemblee-nationale.fr/sycomore/fiche/(num_dept)/2632", "2632")</f>
        <v>0</v>
      </c>
      <c r="M11994">
        <f>HYPERLINK("https://www.senat.fr/senateur-3eme-republique/dubost_antonin1187r3.html", "dubost_antonin1187r3")</f>
        <v>0</v>
      </c>
      <c r="N11994">
        <f>HYPERLINK("https://www.wikidata.org/wiki/Q2857118", "Q2857118")</f>
        <v>0</v>
      </c>
      <c r="O11994" t="s">
        <v>20006</v>
      </c>
      <c r="Q11994" t="s">
        <v>398</v>
      </c>
      <c r="R11994" t="s">
        <v>21683</v>
      </c>
      <c r="S11994">
        <v>5116</v>
      </c>
    </row>
    <row r="11995" spans="1:19">
      <c r="A11995" t="s">
        <v>137</v>
      </c>
      <c r="B11995" t="s">
        <v>150</v>
      </c>
      <c r="C11995" t="s">
        <v>269</v>
      </c>
      <c r="D11995" t="s">
        <v>398</v>
      </c>
      <c r="F11995">
        <f>HYPERLINK("https://www.wikidata.org/wiki/Q111103101", "Q111103101")</f>
        <v>0</v>
      </c>
      <c r="G11995" t="s">
        <v>3434</v>
      </c>
      <c r="H11995" t="s">
        <v>7812</v>
      </c>
      <c r="I11995" t="s">
        <v>6154</v>
      </c>
      <c r="J11995" t="s">
        <v>14039</v>
      </c>
      <c r="K11995" t="s">
        <v>18406</v>
      </c>
      <c r="L11995">
        <f>HYPERLINK("https://www2.assemblee-nationale.fr/sycomore/fiche/(num_dept)/2818", "2818")</f>
        <v>0</v>
      </c>
      <c r="M11995">
        <f>HYPERLINK("https://www.senat.fr/senateur-3eme-republique/eliez_evrard_evrard1386r3.html", "eliez_evrard_evrard1386r3")</f>
        <v>0</v>
      </c>
      <c r="N11995">
        <f>HYPERLINK("https://www.wikidata.org/wiki/Q3061659", "Q3061659")</f>
        <v>0</v>
      </c>
      <c r="O11995" t="s">
        <v>20013</v>
      </c>
      <c r="Q11995" t="s">
        <v>398</v>
      </c>
      <c r="R11995" t="s">
        <v>18068</v>
      </c>
      <c r="S11995">
        <v>809</v>
      </c>
    </row>
    <row r="11996" spans="1:19">
      <c r="A11996" t="s">
        <v>137</v>
      </c>
      <c r="B11996" t="s">
        <v>150</v>
      </c>
      <c r="C11996" t="s">
        <v>269</v>
      </c>
      <c r="D11996" t="s">
        <v>398</v>
      </c>
      <c r="F11996">
        <f>HYPERLINK("https://www.wikidata.org/wiki/Q111103101", "Q111103101")</f>
        <v>0</v>
      </c>
      <c r="G11996" t="s">
        <v>3435</v>
      </c>
      <c r="H11996" t="s">
        <v>7813</v>
      </c>
      <c r="I11996" t="s">
        <v>10827</v>
      </c>
      <c r="J11996" t="s">
        <v>11615</v>
      </c>
      <c r="K11996" t="s">
        <v>18407</v>
      </c>
      <c r="L11996">
        <f>HYPERLINK("https://www2.assemblee-nationale.fr/sycomore/fiche/(num_dept)/2823", "2823")</f>
        <v>0</v>
      </c>
      <c r="M11996">
        <f>HYPERLINK("https://www.senat.fr/senateur-3eme-republique/elva_christian0958r3.html", "elva_christian0958r3")</f>
        <v>0</v>
      </c>
      <c r="N11996">
        <f>HYPERLINK("https://www.wikidata.org/wiki/Q2965715", "Q2965715")</f>
        <v>0</v>
      </c>
      <c r="O11996" t="s">
        <v>19984</v>
      </c>
      <c r="Q11996" t="s">
        <v>398</v>
      </c>
      <c r="R11996" t="s">
        <v>21683</v>
      </c>
      <c r="S11996">
        <v>5116</v>
      </c>
    </row>
    <row r="11997" spans="1:19">
      <c r="A11997" t="s">
        <v>137</v>
      </c>
      <c r="B11997" t="s">
        <v>150</v>
      </c>
      <c r="C11997" t="s">
        <v>269</v>
      </c>
      <c r="D11997" t="s">
        <v>398</v>
      </c>
      <c r="F11997">
        <f>HYPERLINK("https://www.wikidata.org/wiki/Q111103101", "Q111103101")</f>
        <v>0</v>
      </c>
      <c r="G11997" t="s">
        <v>2570</v>
      </c>
      <c r="H11997" t="s">
        <v>6156</v>
      </c>
      <c r="I11997" t="s">
        <v>7790</v>
      </c>
      <c r="J11997" t="s">
        <v>13214</v>
      </c>
      <c r="K11997" t="s">
        <v>17617</v>
      </c>
      <c r="L11997">
        <f>HYPERLINK("https://www2.assemblee-nationale.fr/sycomore/fiche/(num_dept)/2901", "2901")</f>
        <v>0</v>
      </c>
      <c r="M11997">
        <f>HYPERLINK("https://www.senat.fr/senateur-3eme-republique/fallieres_armand0754r3.html", "fallieres_armand0754r3")</f>
        <v>0</v>
      </c>
      <c r="N11997">
        <f>HYPERLINK("https://www.wikidata.org/wiki/Q296673", "Q296673")</f>
        <v>0</v>
      </c>
      <c r="O11997" t="s">
        <v>20043</v>
      </c>
      <c r="Q11997" t="s">
        <v>398</v>
      </c>
      <c r="R11997" t="s">
        <v>21650</v>
      </c>
      <c r="S11997">
        <v>14532</v>
      </c>
    </row>
    <row r="11998" spans="1:19">
      <c r="A11998" t="s">
        <v>137</v>
      </c>
      <c r="B11998" t="s">
        <v>150</v>
      </c>
      <c r="C11998" t="s">
        <v>269</v>
      </c>
      <c r="D11998" t="s">
        <v>398</v>
      </c>
      <c r="F11998">
        <f>HYPERLINK("https://www.wikidata.org/wiki/Q111103101", "Q111103101")</f>
        <v>0</v>
      </c>
      <c r="G11998" t="s">
        <v>3838</v>
      </c>
      <c r="H11998" t="s">
        <v>8116</v>
      </c>
      <c r="I11998" t="s">
        <v>10996</v>
      </c>
      <c r="J11998" t="s">
        <v>11776</v>
      </c>
      <c r="K11998" t="s">
        <v>18754</v>
      </c>
      <c r="L11998">
        <f>HYPERLINK("https://www2.assemblee-nationale.fr/sycomore/fiche/(num_dept)/3312", "3312")</f>
        <v>0</v>
      </c>
      <c r="M11998">
        <f>HYPERLINK("https://www.senat.fr/senateur-3eme-republique/gauvin_eusebe0384r3.html", "gauvin_eusebe0384r3")</f>
        <v>0</v>
      </c>
      <c r="N11998">
        <f>HYPERLINK("https://www.wikidata.org/wiki/Q3061098", "Q3061098")</f>
        <v>0</v>
      </c>
      <c r="O11998" t="s">
        <v>20039</v>
      </c>
      <c r="Q11998" t="s">
        <v>398</v>
      </c>
      <c r="R11998" t="s">
        <v>21683</v>
      </c>
      <c r="S11998">
        <v>5116</v>
      </c>
    </row>
    <row r="11999" spans="1:19">
      <c r="A11999" t="s">
        <v>137</v>
      </c>
      <c r="B11999" t="s">
        <v>150</v>
      </c>
      <c r="C11999" t="s">
        <v>269</v>
      </c>
      <c r="D11999" t="s">
        <v>398</v>
      </c>
      <c r="F11999">
        <f>HYPERLINK("https://www.wikidata.org/wiki/Q111103101", "Q111103101")</f>
        <v>0</v>
      </c>
      <c r="G11999" t="s">
        <v>4044</v>
      </c>
      <c r="H11999" t="s">
        <v>8272</v>
      </c>
      <c r="I11999" t="s">
        <v>9442</v>
      </c>
      <c r="J11999" t="s">
        <v>14585</v>
      </c>
      <c r="K11999" t="s">
        <v>18924</v>
      </c>
      <c r="L11999">
        <f>HYPERLINK("https://www2.assemblee-nationale.fr/sycomore/fiche/(num_dept)/3692", "3692")</f>
        <v>0</v>
      </c>
      <c r="M11999">
        <f>HYPERLINK("https://www.senat.fr/senateur-3eme-republique/guingand_ernest0507r3.html", "guingand_ernest0507r3")</f>
        <v>0</v>
      </c>
      <c r="N11999">
        <f>HYPERLINK("https://www.wikidata.org/wiki/Q3056995", "Q3056995")</f>
        <v>0</v>
      </c>
      <c r="O11999" t="s">
        <v>19958</v>
      </c>
      <c r="Q11999" t="s">
        <v>398</v>
      </c>
      <c r="R11999" t="s">
        <v>21683</v>
      </c>
      <c r="S11999">
        <v>5116</v>
      </c>
    </row>
    <row r="12000" spans="1:19">
      <c r="A12000" t="s">
        <v>137</v>
      </c>
      <c r="B12000" t="s">
        <v>150</v>
      </c>
      <c r="C12000" t="s">
        <v>269</v>
      </c>
      <c r="D12000" t="s">
        <v>398</v>
      </c>
      <c r="F12000">
        <f>HYPERLINK("https://www.wikidata.org/wiki/Q111103101", "Q111103101")</f>
        <v>0</v>
      </c>
      <c r="G12000" t="s">
        <v>3787</v>
      </c>
      <c r="H12000" t="s">
        <v>8077</v>
      </c>
      <c r="I12000" t="s">
        <v>9388</v>
      </c>
      <c r="J12000" t="s">
        <v>14357</v>
      </c>
      <c r="K12000" t="s">
        <v>18708</v>
      </c>
      <c r="L12000">
        <f>HYPERLINK("https://www2.assemblee-nationale.fr/sycomore/fiche/(num_dept)/3774", "3774")</f>
        <v>0</v>
      </c>
      <c r="M12000">
        <f>HYPERLINK("https://www.senat.fr/senateur-3eme-republique/hayez_paul1415r3.html", "hayez_paul1415r3")</f>
        <v>0</v>
      </c>
      <c r="N12000">
        <f>HYPERLINK("https://www.wikidata.org/wiki/Q3371447", "Q3371447")</f>
        <v>0</v>
      </c>
      <c r="O12000" t="s">
        <v>20013</v>
      </c>
      <c r="Q12000" t="s">
        <v>398</v>
      </c>
      <c r="R12000" t="s">
        <v>21690</v>
      </c>
      <c r="S12000">
        <v>150</v>
      </c>
    </row>
    <row r="12001" spans="1:19">
      <c r="A12001" t="s">
        <v>137</v>
      </c>
      <c r="B12001" t="s">
        <v>150</v>
      </c>
      <c r="C12001" t="s">
        <v>269</v>
      </c>
      <c r="D12001" t="s">
        <v>398</v>
      </c>
      <c r="F12001">
        <f>HYPERLINK("https://www.wikidata.org/wiki/Q111103101", "Q111103101")</f>
        <v>0</v>
      </c>
      <c r="G12001" t="s">
        <v>3465</v>
      </c>
      <c r="H12001" t="s">
        <v>7838</v>
      </c>
      <c r="I12001" t="s">
        <v>9506</v>
      </c>
      <c r="J12001" t="s">
        <v>14066</v>
      </c>
      <c r="K12001" t="s">
        <v>18434</v>
      </c>
      <c r="L12001">
        <f>HYPERLINK("https://www2.assemblee-nationale.fr/sycomore/fiche/(num_dept)/4062", "4062")</f>
        <v>0</v>
      </c>
      <c r="M12001">
        <f>HYPERLINK("https://www.senat.fr/senateur-3eme-republique/jouffray_camille1192r3.html", "jouffray_camille1192r3")</f>
        <v>0</v>
      </c>
      <c r="N12001">
        <f>HYPERLINK("https://www.wikidata.org/wiki/Q2934968", "Q2934968")</f>
        <v>0</v>
      </c>
      <c r="O12001" t="s">
        <v>20006</v>
      </c>
      <c r="Q12001" t="s">
        <v>398</v>
      </c>
      <c r="R12001" t="s">
        <v>21650</v>
      </c>
      <c r="S12001">
        <v>14532</v>
      </c>
    </row>
    <row r="12002" spans="1:19">
      <c r="A12002" t="s">
        <v>137</v>
      </c>
      <c r="B12002" t="s">
        <v>150</v>
      </c>
      <c r="C12002" t="s">
        <v>269</v>
      </c>
      <c r="D12002" t="s">
        <v>398</v>
      </c>
      <c r="F12002">
        <f>HYPERLINK("https://www.wikidata.org/wiki/Q111103101", "Q111103101")</f>
        <v>0</v>
      </c>
      <c r="G12002" t="s">
        <v>1509</v>
      </c>
      <c r="H12002" t="s">
        <v>6206</v>
      </c>
      <c r="I12002" t="s">
        <v>9376</v>
      </c>
      <c r="J12002" t="s">
        <v>12227</v>
      </c>
      <c r="K12002" t="s">
        <v>16632</v>
      </c>
      <c r="L12002">
        <f>HYPERLINK("https://www2.assemblee-nationale.fr/sycomore/fiche/(num_dept)/4185", "4185")</f>
        <v>0</v>
      </c>
      <c r="M12002">
        <f>HYPERLINK("https://www.senat.fr/senateur-3eme-republique/baston_de_la_riboisiere_ferdinand0556r3.html", "baston_de_la_riboisiere_ferdinand0556r3")</f>
        <v>0</v>
      </c>
      <c r="N12002">
        <f>HYPERLINK("https://www.wikidata.org/wiki/Q3068526", "Q3068526")</f>
        <v>0</v>
      </c>
      <c r="O12002" t="s">
        <v>19998</v>
      </c>
      <c r="Q12002" t="s">
        <v>398</v>
      </c>
      <c r="R12002" t="s">
        <v>21693</v>
      </c>
      <c r="S12002">
        <v>5098</v>
      </c>
    </row>
    <row r="12003" spans="1:19">
      <c r="A12003" t="s">
        <v>137</v>
      </c>
      <c r="B12003" t="s">
        <v>150</v>
      </c>
      <c r="C12003" t="s">
        <v>269</v>
      </c>
      <c r="D12003" t="s">
        <v>398</v>
      </c>
      <c r="F12003">
        <f>HYPERLINK("https://www.wikidata.org/wiki/Q111103101", "Q111103101")</f>
        <v>0</v>
      </c>
      <c r="G12003" t="s">
        <v>3140</v>
      </c>
      <c r="H12003" t="s">
        <v>7579</v>
      </c>
      <c r="I12003" t="s">
        <v>9421</v>
      </c>
      <c r="J12003" t="s">
        <v>13762</v>
      </c>
      <c r="K12003" t="s">
        <v>18139</v>
      </c>
      <c r="L12003">
        <f>HYPERLINK("https://www2.assemblee-nationale.fr/sycomore/fiche/(num_dept)/4298", "4298")</f>
        <v>0</v>
      </c>
      <c r="M12003">
        <f>HYPERLINK("https://www.senat.fr/senateur-3eme-republique/de_lamarzelle_gustave0902r3.html", "de_lamarzelle_gustave0902r3")</f>
        <v>0</v>
      </c>
      <c r="N12003">
        <f>HYPERLINK("https://www.wikidata.org/wiki/Q3121364", "Q3121364")</f>
        <v>0</v>
      </c>
      <c r="O12003" t="s">
        <v>19961</v>
      </c>
      <c r="Q12003" t="s">
        <v>398</v>
      </c>
      <c r="R12003" t="s">
        <v>21683</v>
      </c>
      <c r="S12003">
        <v>5116</v>
      </c>
    </row>
    <row r="12004" spans="1:19">
      <c r="A12004" t="s">
        <v>137</v>
      </c>
      <c r="B12004" t="s">
        <v>150</v>
      </c>
      <c r="C12004" t="s">
        <v>269</v>
      </c>
      <c r="D12004" t="s">
        <v>398</v>
      </c>
      <c r="F12004">
        <f>HYPERLINK("https://www.wikidata.org/wiki/Q111103101", "Q111103101")</f>
        <v>0</v>
      </c>
      <c r="G12004" t="s">
        <v>3713</v>
      </c>
      <c r="H12004" t="s">
        <v>8025</v>
      </c>
      <c r="I12004" t="s">
        <v>10945</v>
      </c>
      <c r="J12004" t="s">
        <v>14288</v>
      </c>
      <c r="K12004" t="s">
        <v>18645</v>
      </c>
      <c r="L12004">
        <f>HYPERLINK("https://www2.assemblee-nationale.fr/sycomore/fiche/(num_dept)/4340", "4340")</f>
        <v>0</v>
      </c>
      <c r="M12004">
        <f>HYPERLINK("https://www.senat.fr/senateur-3eme-republique/lannelongue_odilon0147r3.html", "lannelongue_odilon0147r3")</f>
        <v>0</v>
      </c>
      <c r="N12004">
        <f>HYPERLINK("https://www.wikidata.org/wiki/Q2331612", "Q2331612")</f>
        <v>0</v>
      </c>
      <c r="O12004" t="s">
        <v>20003</v>
      </c>
      <c r="Q12004" t="s">
        <v>398</v>
      </c>
      <c r="R12004" t="s">
        <v>18645</v>
      </c>
      <c r="S12004">
        <v>2174</v>
      </c>
    </row>
    <row r="12005" spans="1:19">
      <c r="A12005" t="s">
        <v>137</v>
      </c>
      <c r="B12005" t="s">
        <v>150</v>
      </c>
      <c r="C12005" t="s">
        <v>269</v>
      </c>
      <c r="D12005" t="s">
        <v>398</v>
      </c>
      <c r="F12005">
        <f>HYPERLINK("https://www.wikidata.org/wiki/Q111103101", "Q111103101")</f>
        <v>0</v>
      </c>
      <c r="G12005" t="s">
        <v>4126</v>
      </c>
      <c r="H12005" t="s">
        <v>8333</v>
      </c>
      <c r="I12005" t="s">
        <v>9457</v>
      </c>
      <c r="J12005" t="s">
        <v>14660</v>
      </c>
      <c r="K12005" t="s">
        <v>18995</v>
      </c>
      <c r="L12005">
        <f>HYPERLINK("https://www2.assemblee-nationale.fr/sycomore/fiche/(num_dept)/4837", "4837")</f>
        <v>0</v>
      </c>
      <c r="M12005">
        <f>HYPERLINK("https://www.senat.fr/senateur-3eme-republique/loze_henri1421r3.html", "loze_henri1421r3")</f>
        <v>0</v>
      </c>
      <c r="N12005">
        <f>HYPERLINK("https://www.wikidata.org/wiki/Q3131524", "Q3131524")</f>
        <v>0</v>
      </c>
      <c r="O12005" t="s">
        <v>20013</v>
      </c>
      <c r="Q12005" t="s">
        <v>398</v>
      </c>
      <c r="R12005" t="s">
        <v>18995</v>
      </c>
      <c r="S12005">
        <v>3306</v>
      </c>
    </row>
    <row r="12006" spans="1:19">
      <c r="A12006" t="s">
        <v>137</v>
      </c>
      <c r="B12006" t="s">
        <v>150</v>
      </c>
      <c r="C12006" t="s">
        <v>269</v>
      </c>
      <c r="D12006" t="s">
        <v>398</v>
      </c>
      <c r="F12006">
        <f>HYPERLINK("https://www.wikidata.org/wiki/Q111103101", "Q111103101")</f>
        <v>0</v>
      </c>
      <c r="G12006" t="s">
        <v>2632</v>
      </c>
      <c r="H12006" t="s">
        <v>7177</v>
      </c>
      <c r="I12006" t="s">
        <v>10326</v>
      </c>
      <c r="J12006" t="s">
        <v>13274</v>
      </c>
      <c r="K12006" t="s">
        <v>17676</v>
      </c>
      <c r="L12006">
        <f>HYPERLINK("https://www2.assemblee-nationale.fr/sycomore/fiche/(num_dept)/5247", "5247")</f>
        <v>0</v>
      </c>
      <c r="M12006">
        <f>HYPERLINK("https://www.senat.fr/senateur-3eme-republique/mezieres_alfred0932r3.html", "mezieres_alfred0932r3")</f>
        <v>0</v>
      </c>
      <c r="N12006">
        <f>HYPERLINK("https://www.wikidata.org/wiki/Q2835365", "Q2835365")</f>
        <v>0</v>
      </c>
      <c r="O12006" t="s">
        <v>20007</v>
      </c>
      <c r="Q12006" t="s">
        <v>398</v>
      </c>
      <c r="R12006" t="s">
        <v>21650</v>
      </c>
      <c r="S12006">
        <v>14532</v>
      </c>
    </row>
    <row r="12007" spans="1:19">
      <c r="A12007" t="s">
        <v>137</v>
      </c>
      <c r="B12007" t="s">
        <v>150</v>
      </c>
      <c r="C12007" t="s">
        <v>269</v>
      </c>
      <c r="D12007" t="s">
        <v>398</v>
      </c>
      <c r="F12007">
        <f>HYPERLINK("https://www.wikidata.org/wiki/Q111103101", "Q111103101")</f>
        <v>0</v>
      </c>
      <c r="G12007" t="s">
        <v>4034</v>
      </c>
      <c r="H12007" t="s">
        <v>8265</v>
      </c>
      <c r="I12007" t="s">
        <v>9401</v>
      </c>
      <c r="J12007" t="s">
        <v>14575</v>
      </c>
      <c r="K12007" t="s">
        <v>18917</v>
      </c>
      <c r="L12007">
        <f>HYPERLINK("https://www2.assemblee-nationale.fr/sycomore/fiche/(num_dept)/5330", "5330")</f>
        <v>0</v>
      </c>
      <c r="M12007">
        <f>HYPERLINK("https://www.senat.fr/senateur-3eme-republique/mollard_antoine0451r3.html", "mollard_antoine0451r3")</f>
        <v>0</v>
      </c>
      <c r="N12007">
        <f>HYPERLINK("https://www.wikidata.org/wiki/Q2854255", "Q2854255")</f>
        <v>0</v>
      </c>
      <c r="O12007" t="s">
        <v>20041</v>
      </c>
      <c r="Q12007" t="s">
        <v>398</v>
      </c>
      <c r="R12007" t="s">
        <v>21683</v>
      </c>
      <c r="S12007">
        <v>5116</v>
      </c>
    </row>
    <row r="12008" spans="1:19">
      <c r="A12008" t="s">
        <v>137</v>
      </c>
      <c r="B12008" t="s">
        <v>150</v>
      </c>
      <c r="C12008" t="s">
        <v>269</v>
      </c>
      <c r="D12008" t="s">
        <v>398</v>
      </c>
      <c r="F12008">
        <f>HYPERLINK("https://www.wikidata.org/wiki/Q111103101", "Q111103101")</f>
        <v>0</v>
      </c>
      <c r="G12008" t="s">
        <v>3998</v>
      </c>
      <c r="H12008" t="s">
        <v>8237</v>
      </c>
      <c r="I12008" t="s">
        <v>11056</v>
      </c>
      <c r="J12008" t="s">
        <v>14545</v>
      </c>
      <c r="K12008" t="s">
        <v>18888</v>
      </c>
      <c r="L12008">
        <f>HYPERLINK("https://www2.assemblee-nationale.fr/sycomore/fiche/(num_dept)/5338", "5338")</f>
        <v>0</v>
      </c>
      <c r="M12008">
        <f>HYPERLINK("https://www.senat.fr/senateur-3eme-republique/monfeuillart_ernest0635r3.html", "monfeuillart_ernest0635r3")</f>
        <v>0</v>
      </c>
      <c r="N12008">
        <f>HYPERLINK("https://www.wikidata.org/wiki/Q3057090", "Q3057090")</f>
        <v>0</v>
      </c>
      <c r="O12008" t="s">
        <v>20025</v>
      </c>
      <c r="Q12008" t="s">
        <v>398</v>
      </c>
      <c r="R12008" t="s">
        <v>21683</v>
      </c>
      <c r="S12008">
        <v>5116</v>
      </c>
    </row>
    <row r="12009" spans="1:19">
      <c r="A12009" t="s">
        <v>137</v>
      </c>
      <c r="B12009" t="s">
        <v>150</v>
      </c>
      <c r="C12009" t="s">
        <v>269</v>
      </c>
      <c r="D12009" t="s">
        <v>398</v>
      </c>
      <c r="F12009">
        <f>HYPERLINK("https://www.wikidata.org/wiki/Q111103101", "Q111103101")</f>
        <v>0</v>
      </c>
      <c r="G12009" t="s">
        <v>3269</v>
      </c>
      <c r="H12009" t="s">
        <v>7684</v>
      </c>
      <c r="I12009" t="s">
        <v>9442</v>
      </c>
      <c r="J12009" t="s">
        <v>13883</v>
      </c>
      <c r="K12009" t="s">
        <v>18257</v>
      </c>
      <c r="L12009">
        <f>HYPERLINK("https://www2.assemblee-nationale.fr/sycomore/fiche/(num_dept)/5343", "5343")</f>
        <v>0</v>
      </c>
      <c r="M12009">
        <f>HYPERLINK("https://www.senat.fr/senateur-3eme-republique/monis_ernest0193r3.html", "monis_ernest0193r3")</f>
        <v>0</v>
      </c>
      <c r="N12009">
        <f>HYPERLINK("https://www.wikidata.org/wiki/Q561583", "Q561583")</f>
        <v>0</v>
      </c>
      <c r="O12009" t="s">
        <v>19987</v>
      </c>
      <c r="Q12009" t="s">
        <v>398</v>
      </c>
      <c r="R12009" t="s">
        <v>21650</v>
      </c>
      <c r="S12009">
        <v>14532</v>
      </c>
    </row>
    <row r="12010" spans="1:19">
      <c r="A12010" t="s">
        <v>137</v>
      </c>
      <c r="B12010" t="s">
        <v>150</v>
      </c>
      <c r="C12010" t="s">
        <v>269</v>
      </c>
      <c r="D12010" t="s">
        <v>398</v>
      </c>
      <c r="F12010">
        <f>HYPERLINK("https://www.wikidata.org/wiki/Q111103101", "Q111103101")</f>
        <v>0</v>
      </c>
      <c r="G12010" t="s">
        <v>3642</v>
      </c>
      <c r="H12010" t="s">
        <v>7974</v>
      </c>
      <c r="I12010" t="s">
        <v>9458</v>
      </c>
      <c r="J12010" t="s">
        <v>14222</v>
      </c>
      <c r="K12010" t="s">
        <v>18202</v>
      </c>
      <c r="L12010">
        <f>HYPERLINK("https://www2.assemblee-nationale.fr/sycomore/fiche/(num_dept)/5433", "5433")</f>
        <v>0</v>
      </c>
      <c r="M12010">
        <f>HYPERLINK("https://www.senat.fr/senateur-3eme-republique/moroux_alfred0263r3.html", "moroux_alfred0263r3")</f>
        <v>0</v>
      </c>
      <c r="N12010">
        <f>HYPERLINK("https://www.wikidata.org/wiki/Q2835349", "Q2835349")</f>
        <v>0</v>
      </c>
      <c r="O12010" t="s">
        <v>19975</v>
      </c>
      <c r="Q12010" t="s">
        <v>398</v>
      </c>
      <c r="R12010" t="s">
        <v>21650</v>
      </c>
      <c r="S12010">
        <v>14532</v>
      </c>
    </row>
    <row r="12011" spans="1:19">
      <c r="A12011" t="s">
        <v>137</v>
      </c>
      <c r="B12011" t="s">
        <v>150</v>
      </c>
      <c r="C12011" t="s">
        <v>269</v>
      </c>
      <c r="D12011" t="s">
        <v>398</v>
      </c>
      <c r="F12011">
        <f>HYPERLINK("https://www.wikidata.org/wiki/Q111103101", "Q111103101")</f>
        <v>0</v>
      </c>
      <c r="G12011" t="s">
        <v>3720</v>
      </c>
      <c r="H12011" t="s">
        <v>5504</v>
      </c>
      <c r="I12011" t="s">
        <v>9442</v>
      </c>
      <c r="J12011" t="s">
        <v>14295</v>
      </c>
      <c r="K12011" t="s">
        <v>15930</v>
      </c>
      <c r="L12011">
        <f>HYPERLINK("https://www2.assemblee-nationale.fr/sycomore/fiche/(num_dept)/5564", "5564")</f>
        <v>0</v>
      </c>
      <c r="M12011">
        <f>HYPERLINK("https://www.senat.fr/senateur-3eme-republique/noel_charles0885r3.html", "noel_charles0885r3")</f>
        <v>0</v>
      </c>
      <c r="N12011">
        <f>HYPERLINK("https://www.wikidata.org/wiki/Q2959917", "Q2959917")</f>
        <v>0</v>
      </c>
      <c r="O12011" t="s">
        <v>19989</v>
      </c>
      <c r="Q12011" t="s">
        <v>398</v>
      </c>
      <c r="R12011" t="s">
        <v>21683</v>
      </c>
      <c r="S12011">
        <v>5116</v>
      </c>
    </row>
    <row r="12012" spans="1:19">
      <c r="A12012" t="s">
        <v>137</v>
      </c>
      <c r="B12012" t="s">
        <v>150</v>
      </c>
      <c r="C12012" t="s">
        <v>269</v>
      </c>
      <c r="D12012" t="s">
        <v>398</v>
      </c>
      <c r="F12012">
        <f>HYPERLINK("https://www.wikidata.org/wiki/Q111103101", "Q111103101")</f>
        <v>0</v>
      </c>
      <c r="G12012" t="s">
        <v>3077</v>
      </c>
      <c r="H12012" t="s">
        <v>7195</v>
      </c>
      <c r="I12012" t="s">
        <v>10614</v>
      </c>
      <c r="J12012" t="s">
        <v>13701</v>
      </c>
      <c r="K12012" t="s">
        <v>18084</v>
      </c>
      <c r="L12012">
        <f>HYPERLINK("https://www2.assemblee-nationale.fr/sycomore/fiche/(num_dept)/5591", "5591")</f>
        <v>0</v>
      </c>
      <c r="M12012">
        <f>HYPERLINK("https://www.senat.fr/senateur-3eme-republique/obissier_louis0200r3.html", "obissier_louis0200r3")</f>
        <v>0</v>
      </c>
      <c r="N12012">
        <f>HYPERLINK("https://www.wikidata.org/wiki/Q16026221", "Q16026221")</f>
        <v>0</v>
      </c>
      <c r="O12012" t="s">
        <v>19987</v>
      </c>
      <c r="Q12012" t="s">
        <v>398</v>
      </c>
      <c r="R12012" t="s">
        <v>21650</v>
      </c>
      <c r="S12012">
        <v>14532</v>
      </c>
    </row>
    <row r="12013" spans="1:19">
      <c r="A12013" t="s">
        <v>137</v>
      </c>
      <c r="B12013" t="s">
        <v>150</v>
      </c>
      <c r="C12013" t="s">
        <v>269</v>
      </c>
      <c r="D12013" t="s">
        <v>398</v>
      </c>
      <c r="F12013">
        <f>HYPERLINK("https://www.wikidata.org/wiki/Q111103101", "Q111103101")</f>
        <v>0</v>
      </c>
      <c r="G12013" t="s">
        <v>3276</v>
      </c>
      <c r="H12013" t="s">
        <v>7691</v>
      </c>
      <c r="I12013" t="s">
        <v>10740</v>
      </c>
      <c r="J12013" t="s">
        <v>13890</v>
      </c>
      <c r="K12013" t="s">
        <v>18262</v>
      </c>
      <c r="L12013">
        <f>HYPERLINK("https://www2.assemblee-nationale.fr/sycomore/fiche/(num_dept)/5905", "5905")</f>
        <v>0</v>
      </c>
      <c r="M12013">
        <f>HYPERLINK("https://www.senat.fr/senateur-3eme-republique/pichon_stephen0429r3.html", "pichon_stephen0429r3")</f>
        <v>0</v>
      </c>
      <c r="N12013">
        <f>HYPERLINK("https://www.wikidata.org/wiki/Q1069292", "Q1069292")</f>
        <v>0</v>
      </c>
      <c r="O12013" t="s">
        <v>20041</v>
      </c>
      <c r="Q12013" t="s">
        <v>398</v>
      </c>
      <c r="R12013" t="s">
        <v>21683</v>
      </c>
      <c r="S12013">
        <v>5116</v>
      </c>
    </row>
    <row r="12014" spans="1:19">
      <c r="A12014" t="s">
        <v>137</v>
      </c>
      <c r="B12014" t="s">
        <v>150</v>
      </c>
      <c r="C12014" t="s">
        <v>269</v>
      </c>
      <c r="D12014" t="s">
        <v>398</v>
      </c>
      <c r="F12014">
        <f>HYPERLINK("https://www.wikidata.org/wiki/Q111103101", "Q111103101")</f>
        <v>0</v>
      </c>
      <c r="G12014" t="s">
        <v>2646</v>
      </c>
      <c r="H12014" t="s">
        <v>6757</v>
      </c>
      <c r="I12014" t="s">
        <v>10335</v>
      </c>
      <c r="J12014" t="s">
        <v>13288</v>
      </c>
      <c r="K12014" t="s">
        <v>16054</v>
      </c>
      <c r="L12014">
        <f>HYPERLINK("https://www2.assemblee-nationale.fr/sycomore/fiche/(num_dept)/5941", "5941")</f>
        <v>0</v>
      </c>
      <c r="M12014">
        <f>HYPERLINK("https://www.senat.fr/senateur-3eme-republique/pinault_eugene0540r3.html", "pinault_eugene0540r3")</f>
        <v>0</v>
      </c>
      <c r="N12014">
        <f>HYPERLINK("https://www.wikidata.org/wiki/Q3060101", "Q3060101")</f>
        <v>0</v>
      </c>
      <c r="O12014" t="s">
        <v>19998</v>
      </c>
      <c r="Q12014" t="s">
        <v>398</v>
      </c>
      <c r="R12014" t="s">
        <v>21650</v>
      </c>
      <c r="S12014">
        <v>14532</v>
      </c>
    </row>
    <row r="12015" spans="1:19">
      <c r="A12015" t="s">
        <v>137</v>
      </c>
      <c r="B12015" t="s">
        <v>150</v>
      </c>
      <c r="C12015" t="s">
        <v>269</v>
      </c>
      <c r="D12015" t="s">
        <v>398</v>
      </c>
      <c r="F12015">
        <f>HYPERLINK("https://www.wikidata.org/wiki/Q111103101", "Q111103101")</f>
        <v>0</v>
      </c>
      <c r="G12015" t="s">
        <v>3369</v>
      </c>
      <c r="H12015" t="s">
        <v>7766</v>
      </c>
      <c r="I12015" t="s">
        <v>9692</v>
      </c>
      <c r="J12015" t="s">
        <v>13981</v>
      </c>
      <c r="K12015" t="s">
        <v>18349</v>
      </c>
      <c r="L12015">
        <f>HYPERLINK("https://www2.assemblee-nationale.fr/sycomore/fiche/(num_dept)/5994", "5994")</f>
        <v>0</v>
      </c>
      <c r="M12015">
        <f>HYPERLINK("https://www.senat.fr/senateur-3eme-republique/poincare_raymond1024r3.html", "poincare_raymond1024r3")</f>
        <v>0</v>
      </c>
      <c r="N12015">
        <f>HYPERLINK("https://www.wikidata.org/wiki/Q191974", "Q191974")</f>
        <v>0</v>
      </c>
      <c r="O12015" t="s">
        <v>20030</v>
      </c>
      <c r="Q12015" t="s">
        <v>398</v>
      </c>
      <c r="R12015" t="s">
        <v>21683</v>
      </c>
      <c r="S12015">
        <v>5116</v>
      </c>
    </row>
    <row r="12016" spans="1:19">
      <c r="A12016" t="s">
        <v>137</v>
      </c>
      <c r="B12016" t="s">
        <v>150</v>
      </c>
      <c r="C12016" t="s">
        <v>269</v>
      </c>
      <c r="D12016" t="s">
        <v>398</v>
      </c>
      <c r="F12016">
        <f>HYPERLINK("https://www.wikidata.org/wiki/Q111103101", "Q111103101")</f>
        <v>0</v>
      </c>
      <c r="G12016" t="s">
        <v>3047</v>
      </c>
      <c r="H12016" t="s">
        <v>7503</v>
      </c>
      <c r="I12016" t="s">
        <v>9421</v>
      </c>
      <c r="J12016" t="s">
        <v>13674</v>
      </c>
      <c r="K12016" t="s">
        <v>18055</v>
      </c>
      <c r="L12016">
        <f>HYPERLINK("https://www2.assemblee-nationale.fr/sycomore/fiche/(num_dept)/6001", "6001")</f>
        <v>0</v>
      </c>
      <c r="M12016">
        <f>HYPERLINK("https://www.senat.fr/senateur-3eme-republique/rivet_gustave1198r3.html", "rivet_gustave1198r3")</f>
        <v>0</v>
      </c>
      <c r="N12016">
        <f>HYPERLINK("https://www.wikidata.org/wiki/Q3121310", "Q3121310")</f>
        <v>0</v>
      </c>
      <c r="O12016" t="s">
        <v>20006</v>
      </c>
      <c r="Q12016" t="s">
        <v>398</v>
      </c>
      <c r="R12016" t="s">
        <v>21683</v>
      </c>
      <c r="S12016">
        <v>5116</v>
      </c>
    </row>
    <row r="12017" spans="1:19">
      <c r="A12017" t="s">
        <v>137</v>
      </c>
      <c r="B12017" t="s">
        <v>150</v>
      </c>
      <c r="C12017" t="s">
        <v>269</v>
      </c>
      <c r="D12017" t="s">
        <v>398</v>
      </c>
      <c r="F12017">
        <f>HYPERLINK("https://www.wikidata.org/wiki/Q111103101", "Q111103101")</f>
        <v>0</v>
      </c>
      <c r="G12017" t="s">
        <v>2657</v>
      </c>
      <c r="H12017" t="s">
        <v>7197</v>
      </c>
      <c r="I12017" t="s">
        <v>10344</v>
      </c>
      <c r="J12017" t="s">
        <v>11632</v>
      </c>
      <c r="K12017" t="s">
        <v>17698</v>
      </c>
      <c r="L12017">
        <f>HYPERLINK("https://www2.assemblee-nationale.fr/sycomore/fiche/(num_dept)/6230", "6230")</f>
        <v>0</v>
      </c>
      <c r="M12017">
        <f>HYPERLINK("https://www.senat.fr/senateur-3eme-republique/saint_romme_mathias1205r3.html", "saint_romme_mathias1205r3")</f>
        <v>0</v>
      </c>
      <c r="N12017">
        <f>HYPERLINK("https://www.wikidata.org/wiki/Q3298594", "Q3298594")</f>
        <v>0</v>
      </c>
      <c r="O12017" t="s">
        <v>20006</v>
      </c>
      <c r="Q12017" t="s">
        <v>398</v>
      </c>
      <c r="R12017" t="s">
        <v>21650</v>
      </c>
      <c r="S12017">
        <v>14532</v>
      </c>
    </row>
    <row r="12018" spans="1:19">
      <c r="A12018" t="s">
        <v>137</v>
      </c>
      <c r="B12018" t="s">
        <v>150</v>
      </c>
      <c r="C12018" t="s">
        <v>269</v>
      </c>
      <c r="D12018" t="s">
        <v>398</v>
      </c>
      <c r="F12018">
        <f>HYPERLINK("https://www.wikidata.org/wiki/Q111103101", "Q111103101")</f>
        <v>0</v>
      </c>
      <c r="G12018" t="s">
        <v>3495</v>
      </c>
      <c r="H12018" t="s">
        <v>7865</v>
      </c>
      <c r="I12018" t="s">
        <v>9446</v>
      </c>
      <c r="J12018" t="s">
        <v>14093</v>
      </c>
      <c r="K12018" t="s">
        <v>18181</v>
      </c>
      <c r="L12018">
        <f>HYPERLINK("https://www2.assemblee-nationale.fr/sycomore/fiche/(num_dept)/6424", "6424")</f>
        <v>0</v>
      </c>
      <c r="M12018">
        <f>HYPERLINK("https://www.senat.fr/senateur-3eme-republique/de_breil_de_pontbriand_fernand1284r3.html", "de_breil_de_pontbriand_fernand1284r3")</f>
        <v>0</v>
      </c>
      <c r="N12018">
        <f>HYPERLINK("https://www.wikidata.org/wiki/Q3069390", "Q3069390")</f>
        <v>0</v>
      </c>
      <c r="O12018" t="s">
        <v>20023</v>
      </c>
      <c r="Q12018" t="s">
        <v>398</v>
      </c>
      <c r="R12018" t="s">
        <v>21650</v>
      </c>
      <c r="S12018">
        <v>14532</v>
      </c>
    </row>
    <row r="12019" spans="1:19">
      <c r="A12019" t="s">
        <v>137</v>
      </c>
      <c r="B12019" t="s">
        <v>150</v>
      </c>
      <c r="C12019" t="s">
        <v>269</v>
      </c>
      <c r="D12019" t="s">
        <v>398</v>
      </c>
      <c r="F12019">
        <f>HYPERLINK("https://www.wikidata.org/wiki/Q111103101", "Q111103101")</f>
        <v>0</v>
      </c>
      <c r="G12019" t="s">
        <v>3165</v>
      </c>
      <c r="H12019" t="s">
        <v>5558</v>
      </c>
      <c r="I12019" t="s">
        <v>10675</v>
      </c>
      <c r="J12019" t="s">
        <v>13786</v>
      </c>
      <c r="K12019" t="s">
        <v>18161</v>
      </c>
      <c r="L12019">
        <f>HYPERLINK("https://www2.assemblee-nationale.fr/sycomore/fiche/(num_dept)/6636", "6636")</f>
        <v>0</v>
      </c>
      <c r="M12019">
        <f>HYPERLINK("https://www.senat.fr/senateur-3eme-republique/razimbaud_jules0239r3.html", "razimbaud_jules0239r3")</f>
        <v>0</v>
      </c>
      <c r="N12019">
        <f>HYPERLINK("https://www.wikidata.org/wiki/Q3188871", "Q3188871")</f>
        <v>0</v>
      </c>
      <c r="O12019" t="s">
        <v>7411</v>
      </c>
      <c r="Q12019" t="s">
        <v>398</v>
      </c>
      <c r="R12019" t="s">
        <v>21650</v>
      </c>
      <c r="S12019">
        <v>14532</v>
      </c>
    </row>
    <row r="12020" spans="1:19">
      <c r="A12020" t="s">
        <v>137</v>
      </c>
      <c r="B12020" t="s">
        <v>150</v>
      </c>
      <c r="C12020" t="s">
        <v>269</v>
      </c>
      <c r="D12020" t="s">
        <v>398</v>
      </c>
      <c r="F12020">
        <f>HYPERLINK("https://www.wikidata.org/wiki/Q111103101", "Q111103101")</f>
        <v>0</v>
      </c>
      <c r="G12020" t="s">
        <v>3650</v>
      </c>
      <c r="H12020" t="s">
        <v>7981</v>
      </c>
      <c r="I12020" t="s">
        <v>7911</v>
      </c>
      <c r="J12020" t="s">
        <v>14230</v>
      </c>
      <c r="K12020" t="s">
        <v>16133</v>
      </c>
      <c r="L12020">
        <f>HYPERLINK("https://www2.assemblee-nationale.fr/sycomore/fiche/(num_dept)/6638", "6638")</f>
        <v>0</v>
      </c>
      <c r="M12020">
        <f>HYPERLINK("https://www.senat.fr/senateur-3eme-republique/real_gabriel1352r3.html", "real_gabriel1352r3")</f>
        <v>0</v>
      </c>
      <c r="N12020">
        <f>HYPERLINK("https://www.wikidata.org/wiki/Q3093943", "Q3093943")</f>
        <v>0</v>
      </c>
      <c r="O12020" t="s">
        <v>19997</v>
      </c>
      <c r="Q12020" t="s">
        <v>398</v>
      </c>
      <c r="R12020" t="s">
        <v>21694</v>
      </c>
      <c r="S12020">
        <v>5034</v>
      </c>
    </row>
    <row r="12021" spans="1:19">
      <c r="A12021" t="s">
        <v>137</v>
      </c>
      <c r="B12021" t="s">
        <v>150</v>
      </c>
      <c r="C12021" t="s">
        <v>269</v>
      </c>
      <c r="D12021" t="s">
        <v>398</v>
      </c>
      <c r="F12021">
        <f>HYPERLINK("https://www.wikidata.org/wiki/Q111103101", "Q111103101")</f>
        <v>0</v>
      </c>
      <c r="G12021" t="s">
        <v>3500</v>
      </c>
      <c r="H12021" t="s">
        <v>7480</v>
      </c>
      <c r="I12021" t="s">
        <v>10849</v>
      </c>
      <c r="J12021" t="s">
        <v>14098</v>
      </c>
      <c r="K12021" t="s">
        <v>18462</v>
      </c>
      <c r="L12021">
        <f>HYPERLINK("https://www2.assemblee-nationale.fr/sycomore/fiche/(num_dept)/6701", "6701")</f>
        <v>0</v>
      </c>
      <c r="M12021">
        <f>HYPERLINK("https://www.senat.fr/senateur-3eme-republique/rey_emile0613r3.html", "rey_emile0613r3")</f>
        <v>0</v>
      </c>
      <c r="N12021">
        <f>HYPERLINK("https://www.wikidata.org/wiki/Q3588712", "Q3588712")</f>
        <v>0</v>
      </c>
      <c r="O12021" t="s">
        <v>19974</v>
      </c>
      <c r="Q12021" t="s">
        <v>398</v>
      </c>
      <c r="R12021" t="s">
        <v>21683</v>
      </c>
      <c r="S12021">
        <v>5116</v>
      </c>
    </row>
    <row r="12022" spans="1:19">
      <c r="A12022" t="s">
        <v>137</v>
      </c>
      <c r="B12022" t="s">
        <v>150</v>
      </c>
      <c r="C12022" t="s">
        <v>269</v>
      </c>
      <c r="D12022" t="s">
        <v>398</v>
      </c>
      <c r="F12022">
        <f>HYPERLINK("https://www.wikidata.org/wiki/Q111103101", "Q111103101")</f>
        <v>0</v>
      </c>
      <c r="G12022" t="s">
        <v>2674</v>
      </c>
      <c r="H12022" t="s">
        <v>7209</v>
      </c>
      <c r="I12022" t="s">
        <v>10355</v>
      </c>
      <c r="J12022" t="s">
        <v>13315</v>
      </c>
      <c r="K12022" t="s">
        <v>17715</v>
      </c>
      <c r="L12022">
        <f>HYPERLINK("https://www2.assemblee-nationale.fr/sycomore/fiche/(num_dept)/6782", "6782")</f>
        <v>0</v>
      </c>
      <c r="M12022">
        <f>HYPERLINK("https://www.senat.fr/senateur-3eme-republique/riotteau_emile1031r3.html", "riotteau_emile1031r3")</f>
        <v>0</v>
      </c>
      <c r="N12022">
        <f>HYPERLINK("https://www.wikidata.org/wiki/Q3588719", "Q3588719")</f>
        <v>0</v>
      </c>
      <c r="O12022" t="s">
        <v>19985</v>
      </c>
      <c r="Q12022" t="s">
        <v>398</v>
      </c>
      <c r="R12022" t="s">
        <v>21683</v>
      </c>
      <c r="S12022">
        <v>5116</v>
      </c>
    </row>
    <row r="12023" spans="1:19">
      <c r="A12023" t="s">
        <v>137</v>
      </c>
      <c r="B12023" t="s">
        <v>150</v>
      </c>
      <c r="C12023" t="s">
        <v>269</v>
      </c>
      <c r="D12023" t="s">
        <v>398</v>
      </c>
      <c r="F12023">
        <f>HYPERLINK("https://www.wikidata.org/wiki/Q111103101", "Q111103101")</f>
        <v>0</v>
      </c>
      <c r="G12023" t="s">
        <v>3603</v>
      </c>
      <c r="H12023" t="s">
        <v>7947</v>
      </c>
      <c r="I12023" t="s">
        <v>6175</v>
      </c>
      <c r="J12023" t="s">
        <v>14188</v>
      </c>
      <c r="K12023" t="s">
        <v>18554</v>
      </c>
      <c r="L12023">
        <f>HYPERLINK("https://www2.assemblee-nationale.fr/sycomore/fiche/(num_dept)/7163", "7163")</f>
        <v>0</v>
      </c>
      <c r="M12023">
        <f>HYPERLINK("https://www.senat.fr/senateur-3eme-republique/trouillot_georges0444r3.html", "trouillot_georges0444r3")</f>
        <v>0</v>
      </c>
      <c r="N12023">
        <f>HYPERLINK("https://www.wikidata.org/wiki/Q3103564", "Q3103564")</f>
        <v>0</v>
      </c>
      <c r="O12023" t="s">
        <v>20041</v>
      </c>
      <c r="Q12023" t="s">
        <v>398</v>
      </c>
      <c r="R12023" t="s">
        <v>21695</v>
      </c>
      <c r="S12023">
        <v>3971</v>
      </c>
    </row>
    <row r="12024" spans="1:19">
      <c r="A12024" t="s">
        <v>137</v>
      </c>
      <c r="B12024" t="s">
        <v>150</v>
      </c>
      <c r="C12024" t="s">
        <v>269</v>
      </c>
      <c r="D12024" t="s">
        <v>398</v>
      </c>
      <c r="F12024">
        <f>HYPERLINK("https://www.wikidata.org/wiki/Q111103101", "Q111103101")</f>
        <v>0</v>
      </c>
      <c r="G12024" t="s">
        <v>3290</v>
      </c>
      <c r="H12024" t="s">
        <v>7702</v>
      </c>
      <c r="I12024" t="s">
        <v>6584</v>
      </c>
      <c r="J12024" t="s">
        <v>13904</v>
      </c>
      <c r="K12024" t="s">
        <v>18275</v>
      </c>
      <c r="L12024">
        <f>HYPERLINK("https://www2.assemblee-nationale.fr/sycomore/fiche/(num_dept)/7443", "7443")</f>
        <v>0</v>
      </c>
      <c r="M12024">
        <f>HYPERLINK("https://www.senat.fr/senateur-3eme-republique/viger_albert0500r3.html", "viger_albert0500r3")</f>
        <v>0</v>
      </c>
      <c r="N12024">
        <f>HYPERLINK("https://www.wikidata.org/wiki/Q2153536", "Q2153536")</f>
        <v>0</v>
      </c>
      <c r="O12024" t="s">
        <v>19958</v>
      </c>
      <c r="Q12024" t="s">
        <v>398</v>
      </c>
      <c r="R12024" t="s">
        <v>21650</v>
      </c>
      <c r="S12024">
        <v>14532</v>
      </c>
    </row>
    <row r="12025" spans="1:19">
      <c r="A12025" t="s">
        <v>137</v>
      </c>
      <c r="B12025" t="s">
        <v>150</v>
      </c>
      <c r="C12025" t="s">
        <v>269</v>
      </c>
      <c r="D12025" t="s">
        <v>398</v>
      </c>
      <c r="F12025">
        <f>HYPERLINK("https://www.wikidata.org/wiki/Q111103101", "Q111103101")</f>
        <v>0</v>
      </c>
      <c r="G12025" t="s">
        <v>3509</v>
      </c>
      <c r="H12025" t="s">
        <v>7876</v>
      </c>
      <c r="I12025" t="s">
        <v>9442</v>
      </c>
      <c r="J12025" t="s">
        <v>14106</v>
      </c>
      <c r="K12025" t="s">
        <v>18471</v>
      </c>
      <c r="L12025">
        <f>HYPERLINK("https://www2.assemblee-nationale.fr/sycomore/fiche/(num_dept)/7444", "7444")</f>
        <v>0</v>
      </c>
      <c r="M12025">
        <f>HYPERLINK("https://www.senat.fr/senateur-3eme-republique/valle_ernest0643r3.html", "valle_ernest0643r3")</f>
        <v>0</v>
      </c>
      <c r="N12025">
        <f>HYPERLINK("https://www.wikidata.org/wiki/Q3057194", "Q3057194")</f>
        <v>0</v>
      </c>
      <c r="O12025" t="s">
        <v>20025</v>
      </c>
      <c r="Q12025" t="s">
        <v>398</v>
      </c>
      <c r="R12025" t="s">
        <v>21683</v>
      </c>
      <c r="S12025">
        <v>5116</v>
      </c>
    </row>
    <row r="12026" spans="1:19">
      <c r="A12026" t="s">
        <v>137</v>
      </c>
      <c r="B12026" t="s">
        <v>150</v>
      </c>
      <c r="C12026" t="s">
        <v>269</v>
      </c>
      <c r="D12026" t="s">
        <v>398</v>
      </c>
      <c r="F12026">
        <f>HYPERLINK("https://www.wikidata.org/wiki/Q111103101", "Q111103101")</f>
        <v>0</v>
      </c>
      <c r="G12026" t="s">
        <v>3072</v>
      </c>
      <c r="H12026" t="s">
        <v>7346</v>
      </c>
      <c r="I12026" t="s">
        <v>9554</v>
      </c>
      <c r="J12026" t="s">
        <v>13696</v>
      </c>
      <c r="K12026" t="s">
        <v>18079</v>
      </c>
      <c r="L12026">
        <f>HYPERLINK("https://www2.assemblee-nationale.fr/sycomore/fiche/(num_dept)/7665", "7665")</f>
        <v>0</v>
      </c>
      <c r="M12026">
        <f>HYPERLINK("https://www.senat.fr/senateur-3eme-republique/lecomte_maxime1379r3.html", "lecomte_maxime1379r3")</f>
        <v>0</v>
      </c>
      <c r="N12026">
        <f>HYPERLINK("https://www.wikidata.org/wiki/Q3302622", "Q3302622")</f>
        <v>0</v>
      </c>
      <c r="O12026" t="s">
        <v>20013</v>
      </c>
      <c r="Q12026" t="s">
        <v>398</v>
      </c>
      <c r="R12026" t="s">
        <v>21650</v>
      </c>
      <c r="S12026">
        <v>14532</v>
      </c>
    </row>
    <row r="12027" spans="1:19">
      <c r="A12027" t="s">
        <v>137</v>
      </c>
      <c r="B12027" t="s">
        <v>150</v>
      </c>
      <c r="C12027" t="s">
        <v>269</v>
      </c>
      <c r="D12027" t="s">
        <v>398</v>
      </c>
      <c r="F12027">
        <f>HYPERLINK("https://www.wikidata.org/wiki/Q111103101", "Q111103101")</f>
        <v>0</v>
      </c>
      <c r="G12027" t="s">
        <v>3621</v>
      </c>
      <c r="H12027" t="s">
        <v>7961</v>
      </c>
      <c r="I12027" t="s">
        <v>9692</v>
      </c>
      <c r="J12027" t="s">
        <v>14203</v>
      </c>
      <c r="K12027" t="s">
        <v>18570</v>
      </c>
      <c r="L12027">
        <f>HYPERLINK("https://www2.assemblee-nationale.fr/sycomore/fiche/(num_dept)/7842", "7842")</f>
        <v>0</v>
      </c>
      <c r="M12027">
        <f>HYPERLINK("https://www.senat.fr/senateur-3eme-republique/leygue_raymond0108r3.html", "leygue_raymond0108r3")</f>
        <v>0</v>
      </c>
      <c r="N12027">
        <f>HYPERLINK("https://www.wikidata.org/wiki/Q3421004", "Q3421004")</f>
        <v>0</v>
      </c>
      <c r="O12027" t="s">
        <v>20016</v>
      </c>
      <c r="Q12027" t="s">
        <v>398</v>
      </c>
      <c r="R12027" t="s">
        <v>21683</v>
      </c>
      <c r="S12027">
        <v>5116</v>
      </c>
    </row>
    <row r="12028" spans="1:19">
      <c r="A12028" t="s">
        <v>137</v>
      </c>
      <c r="B12028" t="s">
        <v>150</v>
      </c>
      <c r="C12028" t="s">
        <v>269</v>
      </c>
      <c r="D12028" t="s">
        <v>398</v>
      </c>
      <c r="F12028">
        <f>HYPERLINK("https://www.wikidata.org/wiki/Q111103101", "Q111103101")</f>
        <v>0</v>
      </c>
      <c r="G12028" t="s">
        <v>2971</v>
      </c>
      <c r="H12028" t="s">
        <v>7439</v>
      </c>
      <c r="I12028" t="s">
        <v>6860</v>
      </c>
      <c r="J12028" t="s">
        <v>13603</v>
      </c>
      <c r="K12028" t="s">
        <v>17989</v>
      </c>
      <c r="L12028">
        <f>HYPERLINK("https://www2.assemblee-nationale.fr/sycomore/fiche/(num_dept)/7901", "7901")</f>
        <v>0</v>
      </c>
      <c r="M12028">
        <f>HYPERLINK("https://www.senat.fr/senateur-3eme-republique/bizot_de_fonteny_pierre0864r3.html", "bizot_de_fonteny_pierre0864r3")</f>
        <v>0</v>
      </c>
      <c r="N12028">
        <f>HYPERLINK("https://www.wikidata.org/wiki/Q3384017", "Q3384017")</f>
        <v>0</v>
      </c>
      <c r="O12028" t="s">
        <v>20022</v>
      </c>
      <c r="Q12028" t="s">
        <v>398</v>
      </c>
      <c r="R12028" t="s">
        <v>21650</v>
      </c>
      <c r="S12028">
        <v>14532</v>
      </c>
    </row>
    <row r="12029" spans="1:19">
      <c r="A12029" t="s">
        <v>137</v>
      </c>
      <c r="B12029" t="s">
        <v>150</v>
      </c>
      <c r="C12029" t="s">
        <v>269</v>
      </c>
      <c r="D12029" t="s">
        <v>398</v>
      </c>
      <c r="F12029">
        <f>HYPERLINK("https://www.wikidata.org/wiki/Q111103101", "Q111103101")</f>
        <v>0</v>
      </c>
      <c r="G12029" t="s">
        <v>3302</v>
      </c>
      <c r="H12029" t="s">
        <v>7711</v>
      </c>
      <c r="I12029" t="s">
        <v>6860</v>
      </c>
      <c r="J12029" t="s">
        <v>13916</v>
      </c>
      <c r="K12029" t="s">
        <v>18286</v>
      </c>
      <c r="L12029">
        <f>HYPERLINK("https://www2.assemblee-nationale.fr/sycomore/fiche/(num_dept)/7904", "7904")</f>
        <v>0</v>
      </c>
      <c r="M12029">
        <f>HYPERLINK("https://www.senat.fr/senateur-3eme-republique/bourganel_pierre1360r3.html", "bourganel_pierre1360r3")</f>
        <v>0</v>
      </c>
      <c r="N12029">
        <f>HYPERLINK("https://www.wikidata.org/wiki/Q3384140", "Q3384140")</f>
        <v>0</v>
      </c>
      <c r="O12029" t="s">
        <v>19997</v>
      </c>
      <c r="Q12029" t="s">
        <v>398</v>
      </c>
      <c r="R12029" t="s">
        <v>21650</v>
      </c>
      <c r="S12029">
        <v>14532</v>
      </c>
    </row>
    <row r="12030" spans="1:19">
      <c r="A12030" t="s">
        <v>137</v>
      </c>
      <c r="B12030" t="s">
        <v>150</v>
      </c>
      <c r="C12030" t="s">
        <v>269</v>
      </c>
      <c r="D12030" t="s">
        <v>398</v>
      </c>
      <c r="F12030">
        <f>HYPERLINK("https://www.wikidata.org/wiki/Q111103101", "Q111103101")</f>
        <v>0</v>
      </c>
      <c r="G12030" t="s">
        <v>3194</v>
      </c>
      <c r="H12030" t="s">
        <v>7623</v>
      </c>
      <c r="I12030" t="s">
        <v>9445</v>
      </c>
      <c r="J12030" t="s">
        <v>13815</v>
      </c>
      <c r="K12030" t="s">
        <v>18190</v>
      </c>
      <c r="L12030">
        <f>HYPERLINK("https://www2.assemblee-nationale.fr/sycomore/fiche/(num_dept)/7952", "7952")</f>
        <v>0</v>
      </c>
      <c r="M12030">
        <f>HYPERLINK("https://www.senat.fr/senateur-3eme-republique/gaudin_de_villaine_adrien1041r3.html", "gaudin_de_villaine_adrien1041r3")</f>
        <v>0</v>
      </c>
      <c r="N12030">
        <f>HYPERLINK("https://www.wikidata.org/wiki/Q2825178", "Q2825178")</f>
        <v>0</v>
      </c>
      <c r="O12030" t="s">
        <v>19985</v>
      </c>
      <c r="Q12030" t="s">
        <v>398</v>
      </c>
      <c r="R12030" t="s">
        <v>21683</v>
      </c>
      <c r="S12030">
        <v>5116</v>
      </c>
    </row>
    <row r="12031" spans="1:19">
      <c r="A12031" t="s">
        <v>137</v>
      </c>
      <c r="B12031" t="s">
        <v>150</v>
      </c>
      <c r="C12031" t="s">
        <v>269</v>
      </c>
      <c r="D12031" t="s">
        <v>398</v>
      </c>
      <c r="F12031">
        <f>HYPERLINK("https://www.wikidata.org/wiki/Q111103101", "Q111103101")</f>
        <v>0</v>
      </c>
      <c r="G12031" t="s">
        <v>3215</v>
      </c>
      <c r="H12031" t="s">
        <v>7643</v>
      </c>
      <c r="I12031" t="s">
        <v>10710</v>
      </c>
      <c r="J12031" t="s">
        <v>13834</v>
      </c>
      <c r="K12031" t="s">
        <v>18206</v>
      </c>
      <c r="L12031">
        <f>HYPERLINK("https://www2.assemblee-nationale.fr/sycomore/fiche/(num_dept)/8009", "8009")</f>
        <v>0</v>
      </c>
      <c r="M12031">
        <f>HYPERLINK("https://www.senat.fr/senateur-3eme-republique/merlet_jules1074r3.html", "merlet_jules1074r3")</f>
        <v>0</v>
      </c>
      <c r="N12031">
        <f>HYPERLINK("https://www.wikidata.org/wiki/Q3188781", "Q3188781")</f>
        <v>0</v>
      </c>
      <c r="O12031" t="s">
        <v>19980</v>
      </c>
      <c r="Q12031" t="s">
        <v>398</v>
      </c>
      <c r="R12031" t="s">
        <v>21650</v>
      </c>
      <c r="S12031">
        <v>14532</v>
      </c>
    </row>
    <row r="12032" spans="1:19">
      <c r="A12032" t="s">
        <v>137</v>
      </c>
      <c r="B12032" t="s">
        <v>150</v>
      </c>
      <c r="C12032" t="s">
        <v>269</v>
      </c>
      <c r="D12032" t="s">
        <v>398</v>
      </c>
      <c r="F12032">
        <f>HYPERLINK("https://www.wikidata.org/wiki/Q111103101", "Q111103101")</f>
        <v>0</v>
      </c>
      <c r="G12032" t="s">
        <v>2821</v>
      </c>
      <c r="H12032" t="s">
        <v>5638</v>
      </c>
      <c r="I12032" t="s">
        <v>9483</v>
      </c>
      <c r="J12032" t="s">
        <v>13461</v>
      </c>
      <c r="K12032" t="s">
        <v>17852</v>
      </c>
      <c r="L12032">
        <f>HYPERLINK("https://www2.assemblee-nationale.fr/sycomore/fiche/(num_dept)/8133", "8133")</f>
        <v>0</v>
      </c>
      <c r="M12032">
        <f>HYPERLINK("https://www.senat.fr/senateur-3eme-republique/bougues_victor0094r3.html", "bougues_victor0094r3")</f>
        <v>0</v>
      </c>
      <c r="N12032">
        <f>HYPERLINK("https://www.wikidata.org/wiki/Q3557176", "Q3557176")</f>
        <v>0</v>
      </c>
      <c r="O12032" t="s">
        <v>20016</v>
      </c>
      <c r="Q12032" t="s">
        <v>398</v>
      </c>
      <c r="R12032" t="s">
        <v>21650</v>
      </c>
      <c r="S12032">
        <v>14532</v>
      </c>
    </row>
    <row r="12033" spans="1:19">
      <c r="A12033" t="s">
        <v>137</v>
      </c>
      <c r="B12033" t="s">
        <v>150</v>
      </c>
      <c r="C12033" t="s">
        <v>269</v>
      </c>
      <c r="D12033" t="s">
        <v>398</v>
      </c>
      <c r="F12033">
        <f>HYPERLINK("https://www.wikidata.org/wiki/Q111103101", "Q111103101")</f>
        <v>0</v>
      </c>
      <c r="G12033" t="s">
        <v>2856</v>
      </c>
      <c r="H12033" t="s">
        <v>7113</v>
      </c>
      <c r="I12033" t="s">
        <v>10480</v>
      </c>
      <c r="J12033" t="s">
        <v>13495</v>
      </c>
      <c r="K12033" t="s">
        <v>17883</v>
      </c>
      <c r="L12033">
        <f>HYPERLINK("https://www2.assemblee-nationale.fr/sycomore/fiche/(num_dept)/8181", "8181")</f>
        <v>0</v>
      </c>
      <c r="M12033">
        <f>HYPERLINK("https://www.senat.fr/senateur-3eme-republique/develle_edmond1012r3.html", "develle_edmond1012r3")</f>
        <v>0</v>
      </c>
      <c r="N12033">
        <f>HYPERLINK("https://www.wikidata.org/wiki/Q3047803", "Q3047803")</f>
        <v>0</v>
      </c>
      <c r="O12033" t="s">
        <v>20030</v>
      </c>
      <c r="Q12033" t="s">
        <v>398</v>
      </c>
      <c r="R12033" t="s">
        <v>21650</v>
      </c>
      <c r="S12033">
        <v>14532</v>
      </c>
    </row>
    <row r="12034" spans="1:19">
      <c r="A12034" t="s">
        <v>137</v>
      </c>
      <c r="B12034" t="s">
        <v>150</v>
      </c>
      <c r="C12034" t="s">
        <v>269</v>
      </c>
      <c r="D12034" t="s">
        <v>398</v>
      </c>
      <c r="F12034">
        <f>HYPERLINK("https://www.wikidata.org/wiki/Q111103101", "Q111103101")</f>
        <v>0</v>
      </c>
      <c r="G12034" t="s">
        <v>2871</v>
      </c>
      <c r="H12034" t="s">
        <v>5856</v>
      </c>
      <c r="I12034" t="s">
        <v>10490</v>
      </c>
      <c r="J12034" t="s">
        <v>13172</v>
      </c>
      <c r="K12034" t="s">
        <v>17896</v>
      </c>
      <c r="L12034">
        <f>HYPERLINK("https://www2.assemblee-nationale.fr/sycomore/fiche/(num_dept)/8201", "8201")</f>
        <v>0</v>
      </c>
      <c r="M12034">
        <f>HYPERLINK("https://www.senat.fr/senateur-3eme-republique/girard_alfred1403r3.html", "girard_alfred1403r3")</f>
        <v>0</v>
      </c>
      <c r="N12034">
        <f>HYPERLINK("https://www.wikidata.org/wiki/Q2835150", "Q2835150")</f>
        <v>0</v>
      </c>
      <c r="O12034" t="s">
        <v>20013</v>
      </c>
      <c r="Q12034" t="s">
        <v>398</v>
      </c>
      <c r="R12034" t="s">
        <v>21650</v>
      </c>
      <c r="S12034">
        <v>14532</v>
      </c>
    </row>
    <row r="12035" spans="1:19">
      <c r="A12035" t="s">
        <v>137</v>
      </c>
      <c r="B12035" t="s">
        <v>150</v>
      </c>
      <c r="C12035" t="s">
        <v>269</v>
      </c>
      <c r="D12035" t="s">
        <v>398</v>
      </c>
      <c r="F12035">
        <f>HYPERLINK("https://www.wikidata.org/wiki/Q111103101", "Q111103101")</f>
        <v>0</v>
      </c>
      <c r="G12035" t="s">
        <v>3342</v>
      </c>
      <c r="H12035" t="s">
        <v>5387</v>
      </c>
      <c r="I12035" t="s">
        <v>9385</v>
      </c>
      <c r="J12035" t="s">
        <v>13955</v>
      </c>
      <c r="K12035" t="s">
        <v>18324</v>
      </c>
      <c r="L12035">
        <f>HYPERLINK("https://www2.assemblee-nationale.fr/sycomore/fiche/(num_dept)/10133", "10133")</f>
        <v>0</v>
      </c>
      <c r="M12035">
        <f>HYPERLINK("https://www.senat.fr/senateur-3eme-republique/dupuy_charles0513r3.html", "dupuy_charles0513r3")</f>
        <v>0</v>
      </c>
      <c r="N12035">
        <f>HYPERLINK("https://www.wikidata.org/wiki/Q356032", "Q356032")</f>
        <v>0</v>
      </c>
      <c r="O12035" t="s">
        <v>19993</v>
      </c>
      <c r="Q12035" t="s">
        <v>398</v>
      </c>
      <c r="R12035" t="s">
        <v>21683</v>
      </c>
      <c r="S12035">
        <v>5116</v>
      </c>
    </row>
    <row r="12036" spans="1:19">
      <c r="A12036" t="s">
        <v>137</v>
      </c>
      <c r="B12036" t="s">
        <v>150</v>
      </c>
      <c r="C12036" t="s">
        <v>269</v>
      </c>
      <c r="D12036" t="s">
        <v>398</v>
      </c>
      <c r="F12036">
        <f>HYPERLINK("https://www.wikidata.org/wiki/Q111103101", "Q111103101")</f>
        <v>0</v>
      </c>
      <c r="G12036" t="s">
        <v>4914</v>
      </c>
      <c r="H12036" t="s">
        <v>9050</v>
      </c>
      <c r="I12036" t="s">
        <v>11013</v>
      </c>
      <c r="J12036" t="s">
        <v>15357</v>
      </c>
      <c r="K12036" t="s">
        <v>19662</v>
      </c>
      <c r="M12036">
        <f>HYPERLINK("https://www.senat.fr/senateur-3eme-republique/flaissieres_simeon0329r3.html", "flaissieres_simeon0329r3")</f>
        <v>0</v>
      </c>
      <c r="N12036">
        <f>HYPERLINK("https://www.wikidata.org/wiki/Q2288636", "Q2288636")</f>
        <v>0</v>
      </c>
      <c r="O12036" t="s">
        <v>19990</v>
      </c>
      <c r="Q12036" t="s">
        <v>398</v>
      </c>
      <c r="R12036" t="s">
        <v>21678</v>
      </c>
      <c r="S12036">
        <v>2190</v>
      </c>
    </row>
    <row r="12037" spans="1:19">
      <c r="A12037" t="s">
        <v>137</v>
      </c>
      <c r="B12037" t="s">
        <v>150</v>
      </c>
      <c r="C12037" t="s">
        <v>269</v>
      </c>
      <c r="D12037" t="s">
        <v>398</v>
      </c>
      <c r="F12037">
        <f>HYPERLINK("https://www.wikidata.org/wiki/Q111103101", "Q111103101")</f>
        <v>0</v>
      </c>
      <c r="G12037" t="s">
        <v>4915</v>
      </c>
      <c r="H12037" t="s">
        <v>9051</v>
      </c>
      <c r="I12037" t="s">
        <v>6175</v>
      </c>
      <c r="J12037" t="s">
        <v>14370</v>
      </c>
      <c r="K12037" t="s">
        <v>19663</v>
      </c>
      <c r="M12037">
        <f>HYPERLINK("https://www.senat.fr/senateur-3eme-republique/genet_georges0420r3.html", "genet_georges0420r3")</f>
        <v>0</v>
      </c>
      <c r="N12037">
        <f>HYPERLINK("https://www.wikidata.org/wiki/Q3102767", "Q3102767")</f>
        <v>0</v>
      </c>
      <c r="O12037" t="s">
        <v>20037</v>
      </c>
      <c r="Q12037" t="s">
        <v>398</v>
      </c>
      <c r="R12037" t="s">
        <v>21678</v>
      </c>
      <c r="S12037">
        <v>2190</v>
      </c>
    </row>
    <row r="12038" spans="1:19">
      <c r="A12038" t="s">
        <v>137</v>
      </c>
      <c r="B12038" t="s">
        <v>150</v>
      </c>
      <c r="C12038" t="s">
        <v>269</v>
      </c>
      <c r="D12038" t="s">
        <v>398</v>
      </c>
      <c r="F12038">
        <f>HYPERLINK("https://www.wikidata.org/wiki/Q111103101", "Q111103101")</f>
        <v>0</v>
      </c>
      <c r="G12038" t="s">
        <v>4916</v>
      </c>
      <c r="H12038" t="s">
        <v>9052</v>
      </c>
      <c r="I12038" t="s">
        <v>9612</v>
      </c>
      <c r="J12038" t="s">
        <v>15358</v>
      </c>
      <c r="K12038" t="s">
        <v>19664</v>
      </c>
      <c r="M12038">
        <f>HYPERLINK("https://www.senat.fr/senateur-3eme-republique/sancet_frederic0154r3.html", "sancet_frederic0154r3")</f>
        <v>0</v>
      </c>
      <c r="N12038">
        <f>HYPERLINK("https://www.wikidata.org/wiki/Q3090186", "Q3090186")</f>
        <v>0</v>
      </c>
      <c r="O12038" t="s">
        <v>20003</v>
      </c>
      <c r="Q12038" t="s">
        <v>398</v>
      </c>
      <c r="R12038" t="s">
        <v>21683</v>
      </c>
      <c r="S12038">
        <v>5116</v>
      </c>
    </row>
    <row r="12039" spans="1:19">
      <c r="A12039" t="s">
        <v>137</v>
      </c>
      <c r="B12039" t="s">
        <v>150</v>
      </c>
      <c r="C12039" t="s">
        <v>269</v>
      </c>
      <c r="D12039" t="s">
        <v>398</v>
      </c>
      <c r="F12039">
        <f>HYPERLINK("https://www.wikidata.org/wiki/Q111103101", "Q111103101")</f>
        <v>0</v>
      </c>
      <c r="G12039" t="s">
        <v>4808</v>
      </c>
      <c r="H12039" t="s">
        <v>8948</v>
      </c>
      <c r="I12039" t="s">
        <v>9388</v>
      </c>
      <c r="J12039" t="s">
        <v>15268</v>
      </c>
      <c r="K12039" t="s">
        <v>19575</v>
      </c>
      <c r="M12039">
        <f>HYPERLINK("https://www.senat.fr/senateur-3eme-republique/destieux_junca_paul0156r3.html", "destieux_junca_paul0156r3")</f>
        <v>0</v>
      </c>
      <c r="N12039">
        <f>HYPERLINK("https://www.wikidata.org/wiki/Q3371060", "Q3371060")</f>
        <v>0</v>
      </c>
      <c r="O12039" t="s">
        <v>20003</v>
      </c>
      <c r="Q12039" t="s">
        <v>398</v>
      </c>
      <c r="R12039" t="s">
        <v>21650</v>
      </c>
      <c r="S12039">
        <v>14532</v>
      </c>
    </row>
    <row r="12040" spans="1:19">
      <c r="A12040" t="s">
        <v>137</v>
      </c>
      <c r="B12040" t="s">
        <v>150</v>
      </c>
      <c r="C12040" t="s">
        <v>269</v>
      </c>
      <c r="D12040" t="s">
        <v>398</v>
      </c>
      <c r="F12040">
        <f>HYPERLINK("https://www.wikidata.org/wiki/Q111103101", "Q111103101")</f>
        <v>0</v>
      </c>
      <c r="G12040" t="s">
        <v>4907</v>
      </c>
      <c r="H12040" t="s">
        <v>9043</v>
      </c>
      <c r="I12040" t="s">
        <v>9523</v>
      </c>
      <c r="J12040" t="s">
        <v>15350</v>
      </c>
      <c r="K12040" t="s">
        <v>19654</v>
      </c>
      <c r="M12040">
        <f>HYPERLINK("https://www.senat.fr/senateur-3eme-republique/courregelongue_marcel0213r3.html", "courregelongue_marcel0213r3")</f>
        <v>0</v>
      </c>
      <c r="N12040">
        <f>HYPERLINK("https://www.wikidata.org/wiki/Q3288830", "Q3288830")</f>
        <v>0</v>
      </c>
      <c r="O12040" t="s">
        <v>19987</v>
      </c>
      <c r="Q12040" t="s">
        <v>398</v>
      </c>
      <c r="R12040" t="s">
        <v>21683</v>
      </c>
      <c r="S12040">
        <v>5116</v>
      </c>
    </row>
    <row r="12041" spans="1:19">
      <c r="A12041" t="s">
        <v>137</v>
      </c>
      <c r="B12041" t="s">
        <v>150</v>
      </c>
      <c r="C12041" t="s">
        <v>269</v>
      </c>
      <c r="D12041" t="s">
        <v>398</v>
      </c>
      <c r="F12041">
        <f>HYPERLINK("https://www.wikidata.org/wiki/Q111103101", "Q111103101")</f>
        <v>0</v>
      </c>
      <c r="G12041" t="s">
        <v>4893</v>
      </c>
      <c r="H12041" t="s">
        <v>9029</v>
      </c>
      <c r="I12041" t="s">
        <v>6584</v>
      </c>
      <c r="J12041" t="s">
        <v>15337</v>
      </c>
      <c r="K12041" t="s">
        <v>19641</v>
      </c>
      <c r="M12041">
        <f>HYPERLINK("https://www.senat.fr/senateur-3eme-republique/thounens_albert0217r3.html", "thounens_albert0217r3")</f>
        <v>0</v>
      </c>
      <c r="N12041">
        <f>HYPERLINK("https://www.wikidata.org/wiki/Q20027620", "Q20027620")</f>
        <v>0</v>
      </c>
      <c r="O12041" t="s">
        <v>19987</v>
      </c>
      <c r="Q12041" t="s">
        <v>398</v>
      </c>
      <c r="R12041" t="s">
        <v>21650</v>
      </c>
      <c r="S12041">
        <v>14532</v>
      </c>
    </row>
    <row r="12042" spans="1:19">
      <c r="A12042" t="s">
        <v>137</v>
      </c>
      <c r="B12042" t="s">
        <v>150</v>
      </c>
      <c r="C12042" t="s">
        <v>269</v>
      </c>
      <c r="D12042" t="s">
        <v>398</v>
      </c>
      <c r="F12042">
        <f>HYPERLINK("https://www.wikidata.org/wiki/Q111103101", "Q111103101")</f>
        <v>0</v>
      </c>
      <c r="G12042" t="s">
        <v>4811</v>
      </c>
      <c r="H12042" t="s">
        <v>8951</v>
      </c>
      <c r="I12042" t="s">
        <v>9506</v>
      </c>
      <c r="J12042" t="s">
        <v>15270</v>
      </c>
      <c r="K12042" t="s">
        <v>15723</v>
      </c>
      <c r="M12042">
        <f>HYPERLINK("https://www.senat.fr/senateur-3eme-republique/ournac_camille0079r3.html", "ournac_camille0079r3")</f>
        <v>0</v>
      </c>
      <c r="N12042">
        <f>HYPERLINK("https://www.wikidata.org/wiki/Q2935021", "Q2935021")</f>
        <v>0</v>
      </c>
      <c r="O12042" t="s">
        <v>20016</v>
      </c>
      <c r="Q12042" t="s">
        <v>398</v>
      </c>
      <c r="R12042" t="s">
        <v>21650</v>
      </c>
      <c r="S12042">
        <v>14532</v>
      </c>
    </row>
    <row r="12043" spans="1:19">
      <c r="A12043" t="s">
        <v>137</v>
      </c>
      <c r="B12043" t="s">
        <v>150</v>
      </c>
      <c r="C12043" t="s">
        <v>269</v>
      </c>
      <c r="D12043" t="s">
        <v>398</v>
      </c>
      <c r="F12043">
        <f>HYPERLINK("https://www.wikidata.org/wiki/Q111103101", "Q111103101")</f>
        <v>0</v>
      </c>
      <c r="G12043" t="s">
        <v>4557</v>
      </c>
      <c r="H12043" t="s">
        <v>8704</v>
      </c>
      <c r="I12043" t="s">
        <v>9442</v>
      </c>
      <c r="J12043" t="s">
        <v>15036</v>
      </c>
      <c r="K12043" t="s">
        <v>19361</v>
      </c>
      <c r="M12043">
        <f>HYPERLINK("https://www.senat.fr/senateur-3eme-republique/vissaguet_ernest0517r3.html", "vissaguet_ernest0517r3")</f>
        <v>0</v>
      </c>
      <c r="N12043">
        <f>HYPERLINK("https://www.wikidata.org/wiki/Q3057205", "Q3057205")</f>
        <v>0</v>
      </c>
      <c r="O12043" t="s">
        <v>19993</v>
      </c>
      <c r="Q12043" t="s">
        <v>398</v>
      </c>
      <c r="R12043" t="s">
        <v>21650</v>
      </c>
      <c r="S12043">
        <v>14532</v>
      </c>
    </row>
    <row r="12044" spans="1:19">
      <c r="A12044" t="s">
        <v>137</v>
      </c>
      <c r="B12044" t="s">
        <v>150</v>
      </c>
      <c r="C12044" t="s">
        <v>269</v>
      </c>
      <c r="D12044" t="s">
        <v>398</v>
      </c>
      <c r="F12044">
        <f>HYPERLINK("https://www.wikidata.org/wiki/Q111103101", "Q111103101")</f>
        <v>0</v>
      </c>
      <c r="G12044" t="s">
        <v>4727</v>
      </c>
      <c r="H12044" t="s">
        <v>8869</v>
      </c>
      <c r="I12044" t="s">
        <v>6200</v>
      </c>
      <c r="J12044" t="s">
        <v>15191</v>
      </c>
      <c r="K12044" t="s">
        <v>17898</v>
      </c>
      <c r="M12044">
        <f>HYPERLINK("https://www.senat.fr/senateur-3eme-republique/darbot_jean0873r3.html", "darbot_jean0873r3")</f>
        <v>0</v>
      </c>
      <c r="N12044">
        <f>HYPERLINK("https://www.wikidata.org/wiki/Q3171549", "Q3171549")</f>
        <v>0</v>
      </c>
      <c r="O12044" t="s">
        <v>20022</v>
      </c>
      <c r="Q12044" t="s">
        <v>398</v>
      </c>
      <c r="R12044" t="s">
        <v>21650</v>
      </c>
      <c r="S12044">
        <v>14532</v>
      </c>
    </row>
    <row r="12045" spans="1:19">
      <c r="A12045" t="s">
        <v>137</v>
      </c>
      <c r="B12045" t="s">
        <v>150</v>
      </c>
      <c r="C12045" t="s">
        <v>269</v>
      </c>
      <c r="D12045" t="s">
        <v>398</v>
      </c>
      <c r="F12045">
        <f>HYPERLINK("https://www.wikidata.org/wiki/Q111103101", "Q111103101")</f>
        <v>0</v>
      </c>
      <c r="G12045" t="s">
        <v>4917</v>
      </c>
      <c r="H12045" t="s">
        <v>9053</v>
      </c>
      <c r="I12045" t="s">
        <v>10485</v>
      </c>
      <c r="J12045" t="s">
        <v>15359</v>
      </c>
      <c r="K12045" t="s">
        <v>19665</v>
      </c>
      <c r="M12045">
        <f>HYPERLINK("https://www.senat.fr/senateur-3eme-republique/delhon_casimir0250r3.html", "delhon_casimir0250r3")</f>
        <v>0</v>
      </c>
      <c r="N12045">
        <f>HYPERLINK("https://www.wikidata.org/wiki/Q2941043", "Q2941043")</f>
        <v>0</v>
      </c>
      <c r="O12045" t="s">
        <v>7411</v>
      </c>
      <c r="Q12045" t="s">
        <v>398</v>
      </c>
      <c r="R12045" t="s">
        <v>21683</v>
      </c>
      <c r="S12045">
        <v>5116</v>
      </c>
    </row>
    <row r="12046" spans="1:19">
      <c r="A12046" t="s">
        <v>137</v>
      </c>
      <c r="B12046" t="s">
        <v>150</v>
      </c>
      <c r="C12046" t="s">
        <v>269</v>
      </c>
      <c r="D12046" t="s">
        <v>398</v>
      </c>
      <c r="F12046">
        <f>HYPERLINK("https://www.wikidata.org/wiki/Q111103101", "Q111103101")</f>
        <v>0</v>
      </c>
      <c r="G12046" t="s">
        <v>4918</v>
      </c>
      <c r="H12046" t="s">
        <v>9054</v>
      </c>
      <c r="I12046" t="s">
        <v>6495</v>
      </c>
      <c r="J12046" t="s">
        <v>15360</v>
      </c>
      <c r="K12046" t="s">
        <v>16332</v>
      </c>
      <c r="M12046">
        <f>HYPERLINK("https://www.senat.fr/senateur-3eme-republique/negre_louis0245r3.html", "negre_louis0245r3")</f>
        <v>0</v>
      </c>
      <c r="N12046">
        <f>HYPERLINK("https://www.wikidata.org/wiki/Q3262809", "Q3262809")</f>
        <v>0</v>
      </c>
      <c r="O12046" t="s">
        <v>7411</v>
      </c>
      <c r="Q12046" t="s">
        <v>398</v>
      </c>
      <c r="R12046" t="s">
        <v>21683</v>
      </c>
      <c r="S12046">
        <v>5116</v>
      </c>
    </row>
    <row r="12047" spans="1:19">
      <c r="A12047" t="s">
        <v>137</v>
      </c>
      <c r="B12047" t="s">
        <v>150</v>
      </c>
      <c r="C12047" t="s">
        <v>269</v>
      </c>
      <c r="D12047" t="s">
        <v>398</v>
      </c>
      <c r="F12047">
        <f>HYPERLINK("https://www.wikidata.org/wiki/Q111103101", "Q111103101")</f>
        <v>0</v>
      </c>
      <c r="G12047" t="s">
        <v>4905</v>
      </c>
      <c r="H12047" t="s">
        <v>9041</v>
      </c>
      <c r="I12047" t="s">
        <v>9465</v>
      </c>
      <c r="J12047" t="s">
        <v>15349</v>
      </c>
      <c r="K12047" t="s">
        <v>19652</v>
      </c>
      <c r="M12047">
        <f>HYPERLINK("https://www.senat.fr/senateur-3eme-republique/brager_de_la_ville_moysan_eugene0529r3.html", "brager_de_la_ville_moysan_eugene0529r3")</f>
        <v>0</v>
      </c>
      <c r="N12047">
        <f>HYPERLINK("https://www.wikidata.org/wiki/Q3059747", "Q3059747")</f>
        <v>0</v>
      </c>
      <c r="O12047" t="s">
        <v>19998</v>
      </c>
      <c r="Q12047" t="s">
        <v>398</v>
      </c>
      <c r="R12047" t="s">
        <v>21683</v>
      </c>
      <c r="S12047">
        <v>5116</v>
      </c>
    </row>
    <row r="12048" spans="1:19">
      <c r="A12048" t="s">
        <v>137</v>
      </c>
      <c r="B12048" t="s">
        <v>150</v>
      </c>
      <c r="C12048" t="s">
        <v>269</v>
      </c>
      <c r="D12048" t="s">
        <v>398</v>
      </c>
      <c r="F12048">
        <f>HYPERLINK("https://www.wikidata.org/wiki/Q111103101", "Q111103101")</f>
        <v>0</v>
      </c>
      <c r="G12048" t="s">
        <v>4867</v>
      </c>
      <c r="H12048" t="s">
        <v>9006</v>
      </c>
      <c r="I12048" t="s">
        <v>9389</v>
      </c>
      <c r="J12048" t="s">
        <v>14554</v>
      </c>
      <c r="K12048" t="s">
        <v>19572</v>
      </c>
      <c r="M12048">
        <f>HYPERLINK("https://www.senat.fr/senateur-3eme-republique/forichon_emile0279r3.html", "forichon_emile0279r3")</f>
        <v>0</v>
      </c>
      <c r="N12048">
        <f>HYPERLINK("https://www.wikidata.org/wiki/Q3588504", "Q3588504")</f>
        <v>0</v>
      </c>
      <c r="O12048" t="s">
        <v>19975</v>
      </c>
      <c r="Q12048" t="s">
        <v>398</v>
      </c>
      <c r="R12048" t="s">
        <v>21650</v>
      </c>
      <c r="S12048">
        <v>14532</v>
      </c>
    </row>
    <row r="12049" spans="1:19">
      <c r="A12049" t="s">
        <v>137</v>
      </c>
      <c r="B12049" t="s">
        <v>150</v>
      </c>
      <c r="C12049" t="s">
        <v>269</v>
      </c>
      <c r="D12049" t="s">
        <v>398</v>
      </c>
      <c r="F12049">
        <f>HYPERLINK("https://www.wikidata.org/wiki/Q111103101", "Q111103101")</f>
        <v>0</v>
      </c>
      <c r="G12049" t="s">
        <v>4224</v>
      </c>
      <c r="H12049" t="s">
        <v>8404</v>
      </c>
      <c r="I12049" t="s">
        <v>9608</v>
      </c>
      <c r="J12049" t="s">
        <v>11706</v>
      </c>
      <c r="K12049" t="s">
        <v>19077</v>
      </c>
      <c r="M12049">
        <f>HYPERLINK("https://www.senat.fr/senateur-3eme-republique/ratier_antony0259r3.html", "ratier_antony0259r3")</f>
        <v>0</v>
      </c>
      <c r="N12049">
        <f>HYPERLINK("https://www.wikidata.org/wiki/Q2342450", "Q2342450")</f>
        <v>0</v>
      </c>
      <c r="O12049" t="s">
        <v>19975</v>
      </c>
      <c r="Q12049" t="s">
        <v>398</v>
      </c>
      <c r="R12049" t="s">
        <v>21683</v>
      </c>
      <c r="S12049">
        <v>5116</v>
      </c>
    </row>
    <row r="12050" spans="1:19">
      <c r="A12050" t="s">
        <v>137</v>
      </c>
      <c r="B12050" t="s">
        <v>150</v>
      </c>
      <c r="C12050" t="s">
        <v>269</v>
      </c>
      <c r="D12050" t="s">
        <v>398</v>
      </c>
      <c r="F12050">
        <f>HYPERLINK("https://www.wikidata.org/wiki/Q111103101", "Q111103101")</f>
        <v>0</v>
      </c>
      <c r="G12050" t="s">
        <v>4824</v>
      </c>
      <c r="H12050" t="s">
        <v>8965</v>
      </c>
      <c r="I12050" t="s">
        <v>9385</v>
      </c>
      <c r="J12050" t="s">
        <v>15278</v>
      </c>
      <c r="K12050" t="s">
        <v>19587</v>
      </c>
      <c r="M12050">
        <f>HYPERLINK("https://www.senat.fr/senateur-3eme-republique/bidault_charles0308r3.html", "bidault_charles0308r3")</f>
        <v>0</v>
      </c>
      <c r="N12050">
        <f>HYPERLINK("https://www.wikidata.org/wiki/Q2958551", "Q2958551")</f>
        <v>0</v>
      </c>
      <c r="O12050" t="s">
        <v>20008</v>
      </c>
      <c r="Q12050" t="s">
        <v>398</v>
      </c>
      <c r="R12050" t="s">
        <v>21650</v>
      </c>
      <c r="S12050">
        <v>14532</v>
      </c>
    </row>
    <row r="12051" spans="1:19">
      <c r="A12051" t="s">
        <v>137</v>
      </c>
      <c r="B12051" t="s">
        <v>150</v>
      </c>
      <c r="C12051" t="s">
        <v>269</v>
      </c>
      <c r="D12051" t="s">
        <v>398</v>
      </c>
      <c r="F12051">
        <f>HYPERLINK("https://www.wikidata.org/wiki/Q111103101", "Q111103101")</f>
        <v>0</v>
      </c>
      <c r="G12051" t="s">
        <v>4883</v>
      </c>
      <c r="H12051" t="s">
        <v>9020</v>
      </c>
      <c r="I12051" t="s">
        <v>9465</v>
      </c>
      <c r="J12051" t="s">
        <v>15327</v>
      </c>
      <c r="K12051" t="s">
        <v>19636</v>
      </c>
      <c r="M12051">
        <f>HYPERLINK("https://www.senat.fr/senateur-3eme-republique/pic_paris_eugene0305r3.html", "pic_paris_eugene0305r3")</f>
        <v>0</v>
      </c>
      <c r="N12051">
        <f>HYPERLINK("https://www.wikidata.org/wiki/Q3060094", "Q3060094")</f>
        <v>0</v>
      </c>
      <c r="O12051" t="s">
        <v>20008</v>
      </c>
      <c r="Q12051" t="s">
        <v>398</v>
      </c>
      <c r="R12051" t="s">
        <v>19636</v>
      </c>
      <c r="S12051">
        <v>4222</v>
      </c>
    </row>
    <row r="12052" spans="1:19">
      <c r="A12052" t="s">
        <v>137</v>
      </c>
      <c r="B12052" t="s">
        <v>150</v>
      </c>
      <c r="C12052" t="s">
        <v>269</v>
      </c>
      <c r="D12052" t="s">
        <v>398</v>
      </c>
      <c r="F12052">
        <f>HYPERLINK("https://www.wikidata.org/wiki/Q111103101", "Q111103101")</f>
        <v>0</v>
      </c>
      <c r="G12052" t="s">
        <v>4827</v>
      </c>
      <c r="H12052" t="s">
        <v>8967</v>
      </c>
      <c r="I12052" t="s">
        <v>9453</v>
      </c>
      <c r="J12052" t="s">
        <v>15281</v>
      </c>
      <c r="K12052" t="s">
        <v>19590</v>
      </c>
      <c r="M12052">
        <f>HYPERLINK("https://www.senat.fr/senateur-3eme-republique/latappy_arthur0340r3.html", "latappy_arthur0340r3")</f>
        <v>0</v>
      </c>
      <c r="N12052">
        <f>HYPERLINK("https://www.wikidata.org/wiki/Q2865189", "Q2865189")</f>
        <v>0</v>
      </c>
      <c r="O12052" t="s">
        <v>19995</v>
      </c>
      <c r="Q12052" t="s">
        <v>398</v>
      </c>
      <c r="R12052" t="s">
        <v>21650</v>
      </c>
      <c r="S12052">
        <v>14532</v>
      </c>
    </row>
    <row r="12053" spans="1:19">
      <c r="A12053" t="s">
        <v>137</v>
      </c>
      <c r="B12053" t="s">
        <v>150</v>
      </c>
      <c r="C12053" t="s">
        <v>269</v>
      </c>
      <c r="D12053" t="s">
        <v>398</v>
      </c>
      <c r="F12053">
        <f>HYPERLINK("https://www.wikidata.org/wiki/Q111103101", "Q111103101")</f>
        <v>0</v>
      </c>
      <c r="G12053" t="s">
        <v>4298</v>
      </c>
      <c r="H12053" t="s">
        <v>8856</v>
      </c>
      <c r="I12053" t="s">
        <v>9483</v>
      </c>
      <c r="J12053" t="s">
        <v>14363</v>
      </c>
      <c r="K12053" t="s">
        <v>17827</v>
      </c>
      <c r="M12053">
        <f>HYPERLINK("https://www.senat.fr/senateur-3eme-republique/lourties_victor0343r3.html", "lourties_victor0343r3")</f>
        <v>0</v>
      </c>
      <c r="N12053">
        <f>HYPERLINK("https://www.wikidata.org/wiki/Q3557428", "Q3557428")</f>
        <v>0</v>
      </c>
      <c r="O12053" t="s">
        <v>19995</v>
      </c>
      <c r="Q12053" t="s">
        <v>398</v>
      </c>
      <c r="R12053" t="s">
        <v>21650</v>
      </c>
      <c r="S12053">
        <v>14532</v>
      </c>
    </row>
    <row r="12054" spans="1:19">
      <c r="A12054" t="s">
        <v>137</v>
      </c>
      <c r="B12054" t="s">
        <v>150</v>
      </c>
      <c r="C12054" t="s">
        <v>269</v>
      </c>
      <c r="D12054" t="s">
        <v>398</v>
      </c>
      <c r="F12054">
        <f>HYPERLINK("https://www.wikidata.org/wiki/Q111103101", "Q111103101")</f>
        <v>0</v>
      </c>
      <c r="G12054" t="s">
        <v>4272</v>
      </c>
      <c r="H12054" t="s">
        <v>8436</v>
      </c>
      <c r="I12054" t="s">
        <v>9512</v>
      </c>
      <c r="J12054" t="s">
        <v>14771</v>
      </c>
      <c r="K12054" t="s">
        <v>19119</v>
      </c>
      <c r="M12054">
        <f>HYPERLINK("https://www.senat.fr/senateur-3eme-republique/millies_lacroix_raphael0351r3.html", "millies_lacroix_raphael0351r3")</f>
        <v>0</v>
      </c>
      <c r="N12054">
        <f>HYPERLINK("https://www.wikidata.org/wiki/Q3419492", "Q3419492")</f>
        <v>0</v>
      </c>
      <c r="O12054" t="s">
        <v>19995</v>
      </c>
      <c r="Q12054" t="s">
        <v>398</v>
      </c>
      <c r="R12054" t="s">
        <v>21683</v>
      </c>
      <c r="S12054">
        <v>5116</v>
      </c>
    </row>
    <row r="12055" spans="1:19">
      <c r="A12055" t="s">
        <v>137</v>
      </c>
      <c r="B12055" t="s">
        <v>150</v>
      </c>
      <c r="C12055" t="s">
        <v>269</v>
      </c>
      <c r="D12055" t="s">
        <v>398</v>
      </c>
      <c r="F12055">
        <f>HYPERLINK("https://www.wikidata.org/wiki/Q111103101", "Q111103101")</f>
        <v>0</v>
      </c>
      <c r="G12055" t="s">
        <v>4913</v>
      </c>
      <c r="H12055" t="s">
        <v>9049</v>
      </c>
      <c r="I12055" t="s">
        <v>9389</v>
      </c>
      <c r="J12055" t="s">
        <v>15356</v>
      </c>
      <c r="K12055" t="s">
        <v>19661</v>
      </c>
      <c r="M12055">
        <f>HYPERLINK("https://www.senat.fr/senateur-3eme-republique/reymond_emile1338r3.html", "reymond_emile1338r3")</f>
        <v>0</v>
      </c>
      <c r="N12055">
        <f>HYPERLINK("https://www.wikidata.org/wiki/Q1337203", "Q1337203")</f>
        <v>0</v>
      </c>
      <c r="O12055" t="s">
        <v>19997</v>
      </c>
      <c r="Q12055" t="s">
        <v>398</v>
      </c>
      <c r="R12055" t="s">
        <v>21650</v>
      </c>
      <c r="S12055">
        <v>14532</v>
      </c>
    </row>
    <row r="12056" spans="1:19">
      <c r="A12056" t="s">
        <v>137</v>
      </c>
      <c r="B12056" t="s">
        <v>150</v>
      </c>
      <c r="C12056" t="s">
        <v>269</v>
      </c>
      <c r="D12056" t="s">
        <v>398</v>
      </c>
      <c r="F12056">
        <f>HYPERLINK("https://www.wikidata.org/wiki/Q111103101", "Q111103101")</f>
        <v>0</v>
      </c>
      <c r="G12056" t="s">
        <v>4876</v>
      </c>
      <c r="H12056" t="s">
        <v>9014</v>
      </c>
      <c r="I12056" t="s">
        <v>9457</v>
      </c>
      <c r="J12056" t="s">
        <v>15257</v>
      </c>
      <c r="K12056" t="s">
        <v>19543</v>
      </c>
      <c r="M12056">
        <f>HYPERLINK("https://www.senat.fr/senateur-3eme-republique/le_cour_grandmaison_henri1289r3.html", "le_cour_grandmaison_henri1289r3")</f>
        <v>0</v>
      </c>
      <c r="N12056">
        <f>HYPERLINK("https://www.wikidata.org/wiki/Q3131438", "Q3131438")</f>
        <v>0</v>
      </c>
      <c r="O12056" t="s">
        <v>20023</v>
      </c>
      <c r="Q12056" t="s">
        <v>398</v>
      </c>
      <c r="R12056" t="s">
        <v>21650</v>
      </c>
      <c r="S12056">
        <v>14532</v>
      </c>
    </row>
    <row r="12057" spans="1:19">
      <c r="A12057" t="s">
        <v>137</v>
      </c>
      <c r="B12057" t="s">
        <v>150</v>
      </c>
      <c r="C12057" t="s">
        <v>269</v>
      </c>
      <c r="D12057" t="s">
        <v>398</v>
      </c>
      <c r="F12057">
        <f>HYPERLINK("https://www.wikidata.org/wiki/Q111103101", "Q111103101")</f>
        <v>0</v>
      </c>
      <c r="G12057" t="s">
        <v>4263</v>
      </c>
      <c r="H12057" t="s">
        <v>6235</v>
      </c>
      <c r="I12057" t="s">
        <v>9552</v>
      </c>
      <c r="J12057" t="s">
        <v>14764</v>
      </c>
      <c r="K12057" t="s">
        <v>19111</v>
      </c>
      <c r="M12057">
        <f>HYPERLINK("https://www.senat.fr/senateur-3eme-republique/mercier_auguste1293r3.html", "mercier_auguste1293r3")</f>
        <v>0</v>
      </c>
      <c r="N12057">
        <f>HYPERLINK("https://www.wikidata.org/wiki/Q766801", "Q766801")</f>
        <v>0</v>
      </c>
      <c r="O12057" t="s">
        <v>20023</v>
      </c>
      <c r="Q12057" t="s">
        <v>398</v>
      </c>
      <c r="R12057" t="s">
        <v>21650</v>
      </c>
      <c r="S12057">
        <v>14532</v>
      </c>
    </row>
    <row r="12058" spans="1:19">
      <c r="A12058" t="s">
        <v>137</v>
      </c>
      <c r="B12058" t="s">
        <v>150</v>
      </c>
      <c r="C12058" t="s">
        <v>269</v>
      </c>
      <c r="D12058" t="s">
        <v>398</v>
      </c>
      <c r="F12058">
        <f>HYPERLINK("https://www.wikidata.org/wiki/Q111103101", "Q111103101")</f>
        <v>0</v>
      </c>
      <c r="G12058" t="s">
        <v>4878</v>
      </c>
      <c r="H12058" t="s">
        <v>8548</v>
      </c>
      <c r="I12058" t="s">
        <v>9385</v>
      </c>
      <c r="J12058" t="s">
        <v>15322</v>
      </c>
      <c r="K12058" t="s">
        <v>18345</v>
      </c>
      <c r="M12058">
        <f>HYPERLINK("https://www.senat.fr/senateur-3eme-republique/de_la_jaille_charles1272r3.html", "de_la_jaille_charles1272r3")</f>
        <v>0</v>
      </c>
      <c r="N12058">
        <f>HYPERLINK("https://www.wikidata.org/wiki/Q2960758", "Q2960758")</f>
        <v>0</v>
      </c>
      <c r="O12058" t="s">
        <v>20023</v>
      </c>
      <c r="Q12058" t="s">
        <v>398</v>
      </c>
      <c r="R12058" t="s">
        <v>21650</v>
      </c>
      <c r="S12058">
        <v>14532</v>
      </c>
    </row>
    <row r="12059" spans="1:19">
      <c r="A12059" t="s">
        <v>137</v>
      </c>
      <c r="B12059" t="s">
        <v>150</v>
      </c>
      <c r="C12059" t="s">
        <v>269</v>
      </c>
      <c r="D12059" t="s">
        <v>398</v>
      </c>
      <c r="F12059">
        <f>HYPERLINK("https://www.wikidata.org/wiki/Q111103101", "Q111103101")</f>
        <v>0</v>
      </c>
      <c r="G12059" t="s">
        <v>4816</v>
      </c>
      <c r="H12059" t="s">
        <v>8956</v>
      </c>
      <c r="I12059" t="s">
        <v>9950</v>
      </c>
      <c r="J12059" t="s">
        <v>15272</v>
      </c>
      <c r="K12059" t="s">
        <v>19579</v>
      </c>
      <c r="M12059">
        <f>HYPERLINK("https://www.senat.fr/senateur-3eme-republique/maillard_augustin1276r3.html", "maillard_augustin1276r3")</f>
        <v>0</v>
      </c>
      <c r="N12059">
        <f>HYPERLINK("https://www.wikidata.org/wiki/Q2871610", "Q2871610")</f>
        <v>0</v>
      </c>
      <c r="O12059" t="s">
        <v>20023</v>
      </c>
      <c r="Q12059" t="s">
        <v>398</v>
      </c>
      <c r="R12059" t="s">
        <v>21650</v>
      </c>
      <c r="S12059">
        <v>14532</v>
      </c>
    </row>
    <row r="12060" spans="1:19">
      <c r="A12060" t="s">
        <v>137</v>
      </c>
      <c r="B12060" t="s">
        <v>150</v>
      </c>
      <c r="C12060" t="s">
        <v>269</v>
      </c>
      <c r="D12060" t="s">
        <v>398</v>
      </c>
      <c r="F12060">
        <f>HYPERLINK("https://www.wikidata.org/wiki/Q111103101", "Q111103101")</f>
        <v>0</v>
      </c>
      <c r="G12060" t="s">
        <v>4657</v>
      </c>
      <c r="H12060" t="s">
        <v>8798</v>
      </c>
      <c r="I12060" t="s">
        <v>10150</v>
      </c>
      <c r="J12060" t="s">
        <v>15129</v>
      </c>
      <c r="K12060" t="s">
        <v>19449</v>
      </c>
      <c r="M12060">
        <f>HYPERLINK("https://www.senat.fr/senateur-3eme-republique/beral_eloi0609r3.html", "beral_eloi0609r3")</f>
        <v>0</v>
      </c>
      <c r="N12060">
        <f>HYPERLINK("https://www.wikidata.org/wiki/Q3051624", "Q3051624")</f>
        <v>0</v>
      </c>
      <c r="O12060" t="s">
        <v>19974</v>
      </c>
      <c r="Q12060" t="s">
        <v>398</v>
      </c>
      <c r="R12060" t="s">
        <v>21650</v>
      </c>
      <c r="S12060">
        <v>14532</v>
      </c>
    </row>
    <row r="12061" spans="1:19">
      <c r="A12061" t="s">
        <v>137</v>
      </c>
      <c r="B12061" t="s">
        <v>150</v>
      </c>
      <c r="C12061" t="s">
        <v>269</v>
      </c>
      <c r="D12061" t="s">
        <v>398</v>
      </c>
      <c r="F12061">
        <f>HYPERLINK("https://www.wikidata.org/wiki/Q111103101", "Q111103101")</f>
        <v>0</v>
      </c>
      <c r="G12061" t="s">
        <v>4879</v>
      </c>
      <c r="H12061" t="s">
        <v>9016</v>
      </c>
      <c r="I12061" t="s">
        <v>6200</v>
      </c>
      <c r="J12061" t="s">
        <v>15323</v>
      </c>
      <c r="K12061" t="s">
        <v>19632</v>
      </c>
      <c r="M12061">
        <f>HYPERLINK("https://www.senat.fr/senateur-3eme-republique/cocula_jean0604r3.html", "cocula_jean0604r3")</f>
        <v>0</v>
      </c>
      <c r="N12061">
        <f>HYPERLINK("https://www.wikidata.org/wiki/Q3171360", "Q3171360")</f>
        <v>0</v>
      </c>
      <c r="O12061" t="s">
        <v>19974</v>
      </c>
      <c r="Q12061" t="s">
        <v>398</v>
      </c>
      <c r="R12061" t="s">
        <v>21650</v>
      </c>
      <c r="S12061">
        <v>14532</v>
      </c>
    </row>
    <row r="12062" spans="1:19">
      <c r="A12062" t="s">
        <v>137</v>
      </c>
      <c r="B12062" t="s">
        <v>150</v>
      </c>
      <c r="C12062" t="s">
        <v>269</v>
      </c>
      <c r="D12062" t="s">
        <v>398</v>
      </c>
      <c r="F12062">
        <f>HYPERLINK("https://www.wikidata.org/wiki/Q111103101", "Q111103101")</f>
        <v>0</v>
      </c>
      <c r="G12062" t="s">
        <v>4868</v>
      </c>
      <c r="H12062" t="s">
        <v>9007</v>
      </c>
      <c r="I12062" t="s">
        <v>9375</v>
      </c>
      <c r="J12062" t="s">
        <v>15314</v>
      </c>
      <c r="K12062" t="s">
        <v>19624</v>
      </c>
      <c r="M12062">
        <f>HYPERLINK("https://www.senat.fr/senateur-3eme-republique/giresse_edouard0736r3.html", "giresse_edouard0736r3")</f>
        <v>0</v>
      </c>
      <c r="N12062">
        <f>HYPERLINK("https://www.wikidata.org/wiki/Q3579863", "Q3579863")</f>
        <v>0</v>
      </c>
      <c r="O12062" t="s">
        <v>20043</v>
      </c>
      <c r="Q12062" t="s">
        <v>398</v>
      </c>
      <c r="R12062" t="s">
        <v>21650</v>
      </c>
      <c r="S12062">
        <v>14532</v>
      </c>
    </row>
    <row r="12063" spans="1:19">
      <c r="A12063" t="s">
        <v>137</v>
      </c>
      <c r="B12063" t="s">
        <v>150</v>
      </c>
      <c r="C12063" t="s">
        <v>269</v>
      </c>
      <c r="D12063" t="s">
        <v>398</v>
      </c>
      <c r="F12063">
        <f>HYPERLINK("https://www.wikidata.org/wiki/Q111103101", "Q111103101")</f>
        <v>0</v>
      </c>
      <c r="G12063" t="s">
        <v>4276</v>
      </c>
      <c r="H12063" t="s">
        <v>5892</v>
      </c>
      <c r="I12063" t="s">
        <v>9407</v>
      </c>
      <c r="J12063" t="s">
        <v>14775</v>
      </c>
      <c r="K12063" t="s">
        <v>19122</v>
      </c>
      <c r="M12063">
        <f>HYPERLINK("https://www.senat.fr/senateur-3eme-republique/chaumie_joseph0747r3.html", "chaumie_joseph0747r3")</f>
        <v>0</v>
      </c>
      <c r="N12063">
        <f>HYPERLINK("https://www.wikidata.org/wiki/Q3184755", "Q3184755")</f>
        <v>0</v>
      </c>
      <c r="O12063" t="s">
        <v>20043</v>
      </c>
      <c r="Q12063" t="s">
        <v>398</v>
      </c>
      <c r="R12063" t="s">
        <v>21650</v>
      </c>
      <c r="S12063">
        <v>14532</v>
      </c>
    </row>
    <row r="12064" spans="1:19">
      <c r="A12064" t="s">
        <v>137</v>
      </c>
      <c r="B12064" t="s">
        <v>150</v>
      </c>
      <c r="C12064" t="s">
        <v>269</v>
      </c>
      <c r="D12064" t="s">
        <v>398</v>
      </c>
      <c r="F12064">
        <f>HYPERLINK("https://www.wikidata.org/wiki/Q111103101", "Q111103101")</f>
        <v>0</v>
      </c>
      <c r="G12064" t="s">
        <v>4902</v>
      </c>
      <c r="H12064" t="s">
        <v>9038</v>
      </c>
      <c r="I12064" t="s">
        <v>9414</v>
      </c>
      <c r="J12064" t="s">
        <v>15346</v>
      </c>
      <c r="K12064" t="s">
        <v>19649</v>
      </c>
      <c r="M12064">
        <f>HYPERLINK("https://www.senat.fr/senateur-3eme-republique/de_las_cases_emmanuel0855r3.html", "de_las_cases_emmanuel0855r3")</f>
        <v>0</v>
      </c>
      <c r="N12064">
        <f>HYPERLINK("https://www.wikidata.org/wiki/Q3052905", "Q3052905")</f>
        <v>0</v>
      </c>
      <c r="O12064" t="s">
        <v>20004</v>
      </c>
      <c r="Q12064" t="s">
        <v>398</v>
      </c>
      <c r="R12064" t="s">
        <v>21683</v>
      </c>
      <c r="S12064">
        <v>5116</v>
      </c>
    </row>
    <row r="12065" spans="1:19">
      <c r="A12065" t="s">
        <v>137</v>
      </c>
      <c r="B12065" t="s">
        <v>150</v>
      </c>
      <c r="C12065" t="s">
        <v>269</v>
      </c>
      <c r="D12065" t="s">
        <v>398</v>
      </c>
      <c r="F12065">
        <f>HYPERLINK("https://www.wikidata.org/wiki/Q111103101", "Q111103101")</f>
        <v>0</v>
      </c>
      <c r="G12065" t="s">
        <v>4803</v>
      </c>
      <c r="H12065" t="s">
        <v>8943</v>
      </c>
      <c r="I12065" t="s">
        <v>6175</v>
      </c>
      <c r="J12065" t="s">
        <v>15263</v>
      </c>
      <c r="K12065" t="s">
        <v>19570</v>
      </c>
      <c r="M12065">
        <f>HYPERLINK("https://www.senat.fr/senateur-3eme-republique/de_blois_georges1060r3.html", "de_blois_georges1060r3")</f>
        <v>0</v>
      </c>
      <c r="N12065">
        <f>HYPERLINK("https://www.wikidata.org/wiki/Q3103672", "Q3103672")</f>
        <v>0</v>
      </c>
      <c r="O12065" t="s">
        <v>19980</v>
      </c>
      <c r="Q12065" t="s">
        <v>398</v>
      </c>
      <c r="R12065" t="s">
        <v>21650</v>
      </c>
      <c r="S12065">
        <v>14532</v>
      </c>
    </row>
    <row r="12066" spans="1:19">
      <c r="A12066" t="s">
        <v>137</v>
      </c>
      <c r="B12066" t="s">
        <v>150</v>
      </c>
      <c r="C12066" t="s">
        <v>269</v>
      </c>
      <c r="D12066" t="s">
        <v>398</v>
      </c>
      <c r="F12066">
        <f>HYPERLINK("https://www.wikidata.org/wiki/Q111103101", "Q111103101")</f>
        <v>0</v>
      </c>
      <c r="G12066" t="s">
        <v>4817</v>
      </c>
      <c r="H12066" t="s">
        <v>8957</v>
      </c>
      <c r="I12066" t="s">
        <v>9423</v>
      </c>
      <c r="J12066" t="s">
        <v>15273</v>
      </c>
      <c r="K12066" t="s">
        <v>19580</v>
      </c>
      <c r="M12066">
        <f>HYPERLINK("https://www.senat.fr/senateur-3eme-republique/bodinier_guillaume1159r3.html", "bodinier_guillaume1159r3")</f>
        <v>0</v>
      </c>
      <c r="N12066">
        <f>HYPERLINK("https://www.wikidata.org/wiki/Q3119691", "Q3119691")</f>
        <v>0</v>
      </c>
      <c r="O12066" t="s">
        <v>19980</v>
      </c>
      <c r="Q12066" t="s">
        <v>398</v>
      </c>
      <c r="R12066" t="s">
        <v>21683</v>
      </c>
      <c r="S12066">
        <v>5116</v>
      </c>
    </row>
    <row r="12067" spans="1:19">
      <c r="A12067" t="s">
        <v>137</v>
      </c>
      <c r="B12067" t="s">
        <v>150</v>
      </c>
      <c r="C12067" t="s">
        <v>269</v>
      </c>
      <c r="D12067" t="s">
        <v>398</v>
      </c>
      <c r="F12067">
        <f>HYPERLINK("https://www.wikidata.org/wiki/Q111103101", "Q111103101")</f>
        <v>0</v>
      </c>
      <c r="G12067" t="s">
        <v>4899</v>
      </c>
      <c r="H12067" t="s">
        <v>9035</v>
      </c>
      <c r="I12067" t="s">
        <v>9636</v>
      </c>
      <c r="J12067" t="s">
        <v>15343</v>
      </c>
      <c r="K12067" t="s">
        <v>19646</v>
      </c>
      <c r="M12067">
        <f>HYPERLINK("https://www.senat.fr/senateur-3eme-republique/delahaye_dominique1161r3.html", "delahaye_dominique1161r3")</f>
        <v>0</v>
      </c>
      <c r="N12067">
        <f>HYPERLINK("https://www.wikidata.org/wiki/Q3035090", "Q3035090")</f>
        <v>0</v>
      </c>
      <c r="O12067" t="s">
        <v>19980</v>
      </c>
      <c r="Q12067" t="s">
        <v>398</v>
      </c>
      <c r="R12067" t="s">
        <v>21683</v>
      </c>
      <c r="S12067">
        <v>5116</v>
      </c>
    </row>
    <row r="12068" spans="1:19">
      <c r="A12068" t="s">
        <v>137</v>
      </c>
      <c r="B12068" t="s">
        <v>150</v>
      </c>
      <c r="C12068" t="s">
        <v>269</v>
      </c>
      <c r="D12068" t="s">
        <v>398</v>
      </c>
      <c r="F12068">
        <f>HYPERLINK("https://www.wikidata.org/wiki/Q111103101", "Q111103101")</f>
        <v>0</v>
      </c>
      <c r="G12068" t="s">
        <v>4835</v>
      </c>
      <c r="H12068" t="s">
        <v>8975</v>
      </c>
      <c r="I12068" t="s">
        <v>11227</v>
      </c>
      <c r="J12068" t="s">
        <v>15288</v>
      </c>
      <c r="K12068" t="s">
        <v>19595</v>
      </c>
      <c r="M12068">
        <f>HYPERLINK("https://www.senat.fr/senateur-3eme-republique/bazire_elphege1045r3.html", "bazire_elphege1045r3")</f>
        <v>0</v>
      </c>
      <c r="N12068">
        <f>HYPERLINK("https://www.wikidata.org/wiki/Q3051673", "Q3051673")</f>
        <v>0</v>
      </c>
      <c r="O12068" t="s">
        <v>19985</v>
      </c>
      <c r="Q12068" t="s">
        <v>398</v>
      </c>
      <c r="R12068" t="s">
        <v>21650</v>
      </c>
      <c r="S12068">
        <v>14532</v>
      </c>
    </row>
    <row r="12069" spans="1:19">
      <c r="A12069" t="s">
        <v>137</v>
      </c>
      <c r="B12069" t="s">
        <v>150</v>
      </c>
      <c r="C12069" t="s">
        <v>269</v>
      </c>
      <c r="D12069" t="s">
        <v>398</v>
      </c>
      <c r="F12069">
        <f>HYPERLINK("https://www.wikidata.org/wiki/Q111103101", "Q111103101")</f>
        <v>0</v>
      </c>
      <c r="G12069" t="s">
        <v>4841</v>
      </c>
      <c r="H12069" t="s">
        <v>8981</v>
      </c>
      <c r="I12069" t="s">
        <v>9440</v>
      </c>
      <c r="J12069" t="s">
        <v>15293</v>
      </c>
      <c r="K12069" t="s">
        <v>19600</v>
      </c>
      <c r="M12069">
        <f>HYPERLINK("https://www.senat.fr/senateur-3eme-republique/knight_amedee0700r3.html", "knight_amedee0700r3")</f>
        <v>0</v>
      </c>
      <c r="N12069">
        <f>HYPERLINK("https://www.wikidata.org/wiki/Q2844676", "Q2844676")</f>
        <v>0</v>
      </c>
      <c r="O12069" t="s">
        <v>20035</v>
      </c>
      <c r="Q12069" t="s">
        <v>398</v>
      </c>
      <c r="R12069" t="s">
        <v>21650</v>
      </c>
      <c r="S12069">
        <v>14532</v>
      </c>
    </row>
    <row r="12070" spans="1:19">
      <c r="A12070" t="s">
        <v>137</v>
      </c>
      <c r="B12070" t="s">
        <v>150</v>
      </c>
      <c r="C12070" t="s">
        <v>269</v>
      </c>
      <c r="D12070" t="s">
        <v>398</v>
      </c>
      <c r="F12070">
        <f>HYPERLINK("https://www.wikidata.org/wiki/Q111103101", "Q111103101")</f>
        <v>0</v>
      </c>
      <c r="G12070" t="s">
        <v>4483</v>
      </c>
      <c r="H12070" t="s">
        <v>8629</v>
      </c>
      <c r="I12070" t="s">
        <v>9516</v>
      </c>
      <c r="J12070" t="s">
        <v>14968</v>
      </c>
      <c r="K12070" t="s">
        <v>19296</v>
      </c>
      <c r="M12070">
        <f>HYPERLINK("https://www.senat.fr/senateur-3eme-republique/duboys_fresney_etienne0952r3.html", "duboys_fresney_etienne0952r3")</f>
        <v>0</v>
      </c>
      <c r="N12070">
        <f>HYPERLINK("https://www.wikidata.org/wiki/Q3592145", "Q3592145")</f>
        <v>0</v>
      </c>
      <c r="O12070" t="s">
        <v>19984</v>
      </c>
      <c r="Q12070" t="s">
        <v>398</v>
      </c>
      <c r="R12070" t="s">
        <v>21650</v>
      </c>
      <c r="S12070">
        <v>14532</v>
      </c>
    </row>
    <row r="12071" spans="1:19">
      <c r="A12071" t="s">
        <v>137</v>
      </c>
      <c r="B12071" t="s">
        <v>150</v>
      </c>
      <c r="C12071" t="s">
        <v>269</v>
      </c>
      <c r="D12071" t="s">
        <v>398</v>
      </c>
      <c r="F12071">
        <f>HYPERLINK("https://www.wikidata.org/wiki/Q111103101", "Q111103101")</f>
        <v>0</v>
      </c>
      <c r="G12071" t="s">
        <v>4919</v>
      </c>
      <c r="H12071" t="s">
        <v>9055</v>
      </c>
      <c r="I12071" t="s">
        <v>9385</v>
      </c>
      <c r="J12071" t="s">
        <v>15361</v>
      </c>
      <c r="K12071" t="s">
        <v>19053</v>
      </c>
      <c r="M12071">
        <f>HYPERLINK("https://www.senat.fr/senateur-3eme-republique/daniel_charles0965r3.html", "daniel_charles0965r3")</f>
        <v>0</v>
      </c>
      <c r="N12071">
        <f>HYPERLINK("https://www.wikidata.org/wiki/Q2958838", "Q2958838")</f>
        <v>0</v>
      </c>
      <c r="O12071" t="s">
        <v>19984</v>
      </c>
      <c r="Q12071" t="s">
        <v>398</v>
      </c>
      <c r="R12071" t="s">
        <v>19053</v>
      </c>
      <c r="S12071">
        <v>4787</v>
      </c>
    </row>
    <row r="12072" spans="1:19">
      <c r="A12072" t="s">
        <v>137</v>
      </c>
      <c r="B12072" t="s">
        <v>150</v>
      </c>
      <c r="C12072" t="s">
        <v>269</v>
      </c>
      <c r="D12072" t="s">
        <v>398</v>
      </c>
      <c r="F12072">
        <f>HYPERLINK("https://www.wikidata.org/wiki/Q111103101", "Q111103101")</f>
        <v>0</v>
      </c>
      <c r="G12072" t="s">
        <v>4659</v>
      </c>
      <c r="H12072" t="s">
        <v>8800</v>
      </c>
      <c r="I12072" t="s">
        <v>9457</v>
      </c>
      <c r="J12072" t="s">
        <v>15130</v>
      </c>
      <c r="K12072" t="s">
        <v>19451</v>
      </c>
      <c r="M12072">
        <f>HYPERLINK("https://www.senat.fr/senateur-3eme-republique/marquis_henri0938r3.html", "marquis_henri0938r3")</f>
        <v>0</v>
      </c>
      <c r="N12072">
        <f>HYPERLINK("https://www.wikidata.org/wiki/Q3131576", "Q3131576")</f>
        <v>0</v>
      </c>
      <c r="O12072" t="s">
        <v>20007</v>
      </c>
      <c r="Q12072" t="s">
        <v>398</v>
      </c>
      <c r="R12072" t="s">
        <v>21650</v>
      </c>
      <c r="S12072">
        <v>14532</v>
      </c>
    </row>
    <row r="12073" spans="1:19">
      <c r="A12073" t="s">
        <v>137</v>
      </c>
      <c r="B12073" t="s">
        <v>150</v>
      </c>
      <c r="C12073" t="s">
        <v>269</v>
      </c>
      <c r="D12073" t="s">
        <v>398</v>
      </c>
      <c r="F12073">
        <f>HYPERLINK("https://www.wikidata.org/wiki/Q111103101", "Q111103101")</f>
        <v>0</v>
      </c>
      <c r="G12073" t="s">
        <v>4265</v>
      </c>
      <c r="H12073" t="s">
        <v>8840</v>
      </c>
      <c r="I12073" t="s">
        <v>9442</v>
      </c>
      <c r="J12073" t="s">
        <v>13544</v>
      </c>
      <c r="K12073" t="s">
        <v>19113</v>
      </c>
      <c r="M12073">
        <f>HYPERLINK("https://www.senat.fr/senateur-3eme-republique/boulanger_ernest1019r3.html", "boulanger_ernest1019r3")</f>
        <v>0</v>
      </c>
      <c r="N12073">
        <f>HYPERLINK("https://www.wikidata.org/wiki/Q3056860", "Q3056860")</f>
        <v>0</v>
      </c>
      <c r="O12073" t="s">
        <v>20030</v>
      </c>
      <c r="Q12073" t="s">
        <v>398</v>
      </c>
      <c r="R12073" t="s">
        <v>21650</v>
      </c>
      <c r="S12073">
        <v>14532</v>
      </c>
    </row>
    <row r="12074" spans="1:19">
      <c r="A12074" t="s">
        <v>137</v>
      </c>
      <c r="B12074" t="s">
        <v>150</v>
      </c>
      <c r="C12074" t="s">
        <v>269</v>
      </c>
      <c r="D12074" t="s">
        <v>398</v>
      </c>
      <c r="F12074">
        <f>HYPERLINK("https://www.wikidata.org/wiki/Q111103101", "Q111103101")</f>
        <v>0</v>
      </c>
      <c r="G12074" t="s">
        <v>4873</v>
      </c>
      <c r="H12074" t="s">
        <v>9012</v>
      </c>
      <c r="I12074" t="s">
        <v>11213</v>
      </c>
      <c r="J12074" t="s">
        <v>15318</v>
      </c>
      <c r="K12074" t="s">
        <v>19629</v>
      </c>
      <c r="M12074">
        <f>HYPERLINK("https://www.senat.fr/senateur-3eme-republique/de_goulaine_geoffroy0906r3.html", "de_goulaine_geoffroy0906r3")</f>
        <v>0</v>
      </c>
      <c r="N12074">
        <f>HYPERLINK("https://www.wikidata.org/wiki/Q3101167", "Q3101167")</f>
        <v>0</v>
      </c>
      <c r="O12074" t="s">
        <v>19961</v>
      </c>
      <c r="Q12074" t="s">
        <v>398</v>
      </c>
      <c r="R12074" t="s">
        <v>21650</v>
      </c>
      <c r="S12074">
        <v>14532</v>
      </c>
    </row>
    <row r="12075" spans="1:19">
      <c r="A12075" t="s">
        <v>137</v>
      </c>
      <c r="B12075" t="s">
        <v>150</v>
      </c>
      <c r="C12075" t="s">
        <v>269</v>
      </c>
      <c r="D12075" t="s">
        <v>398</v>
      </c>
      <c r="F12075">
        <f>HYPERLINK("https://www.wikidata.org/wiki/Q111103101", "Q111103101")</f>
        <v>0</v>
      </c>
      <c r="G12075" t="s">
        <v>4862</v>
      </c>
      <c r="H12075" t="s">
        <v>9002</v>
      </c>
      <c r="I12075" t="s">
        <v>9385</v>
      </c>
      <c r="J12075" t="s">
        <v>15311</v>
      </c>
      <c r="K12075" t="s">
        <v>19621</v>
      </c>
      <c r="M12075">
        <f>HYPERLINK("https://www.senat.fr/senateur-3eme-republique/riou_charles0894r3.html", "riou_charles0894r3")</f>
        <v>0</v>
      </c>
      <c r="N12075">
        <f>HYPERLINK("https://www.wikidata.org/wiki/Q20027652", "Q20027652")</f>
        <v>0</v>
      </c>
      <c r="O12075" t="s">
        <v>19961</v>
      </c>
      <c r="Q12075" t="s">
        <v>398</v>
      </c>
      <c r="R12075" t="s">
        <v>21650</v>
      </c>
      <c r="S12075">
        <v>14532</v>
      </c>
    </row>
    <row r="12076" spans="1:19">
      <c r="A12076" t="s">
        <v>137</v>
      </c>
      <c r="B12076" t="s">
        <v>150</v>
      </c>
      <c r="C12076" t="s">
        <v>269</v>
      </c>
      <c r="D12076" t="s">
        <v>398</v>
      </c>
      <c r="F12076">
        <f>HYPERLINK("https://www.wikidata.org/wiki/Q111103101", "Q111103101")</f>
        <v>0</v>
      </c>
      <c r="G12076" t="s">
        <v>4869</v>
      </c>
      <c r="H12076" t="s">
        <v>9008</v>
      </c>
      <c r="I12076" t="s">
        <v>6166</v>
      </c>
      <c r="J12076" t="s">
        <v>11681</v>
      </c>
      <c r="K12076" t="s">
        <v>19625</v>
      </c>
      <c r="M12076">
        <f>HYPERLINK("https://www.senat.fr/senateur-3eme-republique/beaupin_francois1237r3.html", "beaupin_francois1237r3")</f>
        <v>0</v>
      </c>
      <c r="N12076">
        <f>HYPERLINK("https://www.wikidata.org/wiki/Q3083924", "Q3083924")</f>
        <v>0</v>
      </c>
      <c r="O12076" t="s">
        <v>20032</v>
      </c>
      <c r="Q12076" t="s">
        <v>398</v>
      </c>
      <c r="R12076" t="s">
        <v>21650</v>
      </c>
      <c r="S12076">
        <v>14532</v>
      </c>
    </row>
    <row r="12077" spans="1:19">
      <c r="A12077" t="s">
        <v>137</v>
      </c>
      <c r="B12077" t="s">
        <v>150</v>
      </c>
      <c r="C12077" t="s">
        <v>269</v>
      </c>
      <c r="D12077" t="s">
        <v>398</v>
      </c>
      <c r="F12077">
        <f>HYPERLINK("https://www.wikidata.org/wiki/Q111103101", "Q111103101")</f>
        <v>0</v>
      </c>
      <c r="G12077" t="s">
        <v>4837</v>
      </c>
      <c r="H12077" t="s">
        <v>8977</v>
      </c>
      <c r="I12077" t="s">
        <v>9385</v>
      </c>
      <c r="J12077" t="s">
        <v>15290</v>
      </c>
      <c r="K12077" t="s">
        <v>19597</v>
      </c>
      <c r="M12077">
        <f>HYPERLINK("https://www.senat.fr/senateur-3eme-republique/d_aunay_charles1263r3.html", "d_aunay_charles1263r3")</f>
        <v>0</v>
      </c>
      <c r="N12077">
        <f>HYPERLINK("https://www.wikidata.org/wiki/Q2959607", "Q2959607")</f>
        <v>0</v>
      </c>
      <c r="O12077" t="s">
        <v>20032</v>
      </c>
      <c r="Q12077" t="s">
        <v>398</v>
      </c>
      <c r="R12077" t="s">
        <v>21650</v>
      </c>
      <c r="S12077">
        <v>14532</v>
      </c>
    </row>
    <row r="12078" spans="1:19">
      <c r="A12078" t="s">
        <v>137</v>
      </c>
      <c r="B12078" t="s">
        <v>150</v>
      </c>
      <c r="C12078" t="s">
        <v>269</v>
      </c>
      <c r="D12078" t="s">
        <v>398</v>
      </c>
      <c r="F12078">
        <f>HYPERLINK("https://www.wikidata.org/wiki/Q111103101", "Q111103101")</f>
        <v>0</v>
      </c>
      <c r="G12078" t="s">
        <v>4848</v>
      </c>
      <c r="H12078" t="s">
        <v>8988</v>
      </c>
      <c r="I12078" t="s">
        <v>9483</v>
      </c>
      <c r="J12078" t="s">
        <v>15299</v>
      </c>
      <c r="K12078" t="s">
        <v>19607</v>
      </c>
      <c r="M12078">
        <f>HYPERLINK("https://www.senat.fr/senateur-3eme-republique/petitjean_victor1267r3.html", "petitjean_victor1267r3")</f>
        <v>0</v>
      </c>
      <c r="N12078">
        <f>HYPERLINK("https://www.wikidata.org/wiki/Q3557497", "Q3557497")</f>
        <v>0</v>
      </c>
      <c r="O12078" t="s">
        <v>20032</v>
      </c>
      <c r="Q12078" t="s">
        <v>398</v>
      </c>
      <c r="R12078" t="s">
        <v>21650</v>
      </c>
      <c r="S12078">
        <v>14532</v>
      </c>
    </row>
    <row r="12079" spans="1:19">
      <c r="A12079" t="s">
        <v>137</v>
      </c>
      <c r="B12079" t="s">
        <v>150</v>
      </c>
      <c r="C12079" t="s">
        <v>269</v>
      </c>
      <c r="D12079" t="s">
        <v>398</v>
      </c>
      <c r="F12079">
        <f>HYPERLINK("https://www.wikidata.org/wiki/Q111103101", "Q111103101")</f>
        <v>0</v>
      </c>
      <c r="G12079" t="s">
        <v>2865</v>
      </c>
      <c r="H12079" t="s">
        <v>8906</v>
      </c>
      <c r="I12079" t="s">
        <v>9474</v>
      </c>
      <c r="J12079" t="s">
        <v>15226</v>
      </c>
      <c r="K12079" t="s">
        <v>19540</v>
      </c>
      <c r="M12079">
        <f>HYPERLINK("https://www.senat.fr/senateur-3eme-republique/trystram_jean_baptiste1413r3.html", "trystram_jean_baptiste1413r3")</f>
        <v>0</v>
      </c>
      <c r="N12079">
        <f>HYPERLINK("https://www.wikidata.org/wiki/Q3164471", "Q3164471")</f>
        <v>0</v>
      </c>
      <c r="O12079" t="s">
        <v>20013</v>
      </c>
      <c r="Q12079" t="s">
        <v>398</v>
      </c>
      <c r="R12079" t="s">
        <v>21683</v>
      </c>
      <c r="S12079">
        <v>5116</v>
      </c>
    </row>
    <row r="12080" spans="1:19">
      <c r="A12080" t="s">
        <v>137</v>
      </c>
      <c r="B12080" t="s">
        <v>150</v>
      </c>
      <c r="C12080" t="s">
        <v>269</v>
      </c>
      <c r="D12080" t="s">
        <v>398</v>
      </c>
      <c r="F12080">
        <f>HYPERLINK("https://www.wikidata.org/wiki/Q111103101", "Q111103101")</f>
        <v>0</v>
      </c>
      <c r="G12080" t="s">
        <v>4894</v>
      </c>
      <c r="H12080" t="s">
        <v>9030</v>
      </c>
      <c r="I12080" t="s">
        <v>9552</v>
      </c>
      <c r="J12080" t="s">
        <v>15338</v>
      </c>
      <c r="K12080" t="s">
        <v>19642</v>
      </c>
      <c r="M12080">
        <f>HYPERLINK("https://www.senat.fr/senateur-3eme-republique/potie_auguste1410r3.html", "potie_auguste1410r3")</f>
        <v>0</v>
      </c>
      <c r="N12080">
        <f>HYPERLINK("https://www.wikidata.org/wiki/Q2871364", "Q2871364")</f>
        <v>0</v>
      </c>
      <c r="O12080" t="s">
        <v>20013</v>
      </c>
      <c r="Q12080" t="s">
        <v>398</v>
      </c>
      <c r="R12080" t="s">
        <v>21683</v>
      </c>
      <c r="S12080">
        <v>5116</v>
      </c>
    </row>
    <row r="12081" spans="1:19">
      <c r="A12081" t="s">
        <v>137</v>
      </c>
      <c r="B12081" t="s">
        <v>150</v>
      </c>
      <c r="C12081" t="s">
        <v>269</v>
      </c>
      <c r="D12081" t="s">
        <v>398</v>
      </c>
      <c r="F12081">
        <f>HYPERLINK("https://www.wikidata.org/wiki/Q111103101", "Q111103101")</f>
        <v>0</v>
      </c>
      <c r="G12081" t="s">
        <v>4596</v>
      </c>
      <c r="H12081" t="s">
        <v>8740</v>
      </c>
      <c r="I12081" t="s">
        <v>9388</v>
      </c>
      <c r="J12081" t="s">
        <v>15075</v>
      </c>
      <c r="K12081" t="s">
        <v>19395</v>
      </c>
      <c r="M12081">
        <f>HYPERLINK("https://www.senat.fr/senateur-3eme-republique/cuvinot_paul0878r3.html", "cuvinot_paul0878r3")</f>
        <v>0</v>
      </c>
      <c r="N12081">
        <f>HYPERLINK("https://www.wikidata.org/wiki/Q2415176", "Q2415176")</f>
        <v>0</v>
      </c>
      <c r="O12081" t="s">
        <v>19989</v>
      </c>
      <c r="Q12081" t="s">
        <v>398</v>
      </c>
      <c r="R12081" t="s">
        <v>21650</v>
      </c>
      <c r="S12081">
        <v>14532</v>
      </c>
    </row>
    <row r="12082" spans="1:19">
      <c r="A12082" t="s">
        <v>137</v>
      </c>
      <c r="B12082" t="s">
        <v>150</v>
      </c>
      <c r="C12082" t="s">
        <v>269</v>
      </c>
      <c r="D12082" t="s">
        <v>398</v>
      </c>
      <c r="F12082">
        <f>HYPERLINK("https://www.wikidata.org/wiki/Q111103101", "Q111103101")</f>
        <v>0</v>
      </c>
      <c r="G12082" t="s">
        <v>4920</v>
      </c>
      <c r="H12082" t="s">
        <v>9056</v>
      </c>
      <c r="I12082" t="s">
        <v>9389</v>
      </c>
      <c r="J12082" t="s">
        <v>15362</v>
      </c>
      <c r="K12082" t="s">
        <v>19666</v>
      </c>
      <c r="M12082">
        <f>HYPERLINK("https://www.senat.fr/senateur-3eme-republique/dupont_emile0890r3.html", "dupont_emile0890r3")</f>
        <v>0</v>
      </c>
      <c r="N12082">
        <f>HYPERLINK("https://www.wikidata.org/wiki/Q3588477", "Q3588477")</f>
        <v>0</v>
      </c>
      <c r="O12082" t="s">
        <v>19989</v>
      </c>
      <c r="Q12082" t="s">
        <v>398</v>
      </c>
      <c r="R12082" t="s">
        <v>21683</v>
      </c>
      <c r="S12082">
        <v>5116</v>
      </c>
    </row>
    <row r="12083" spans="1:19">
      <c r="A12083" t="s">
        <v>137</v>
      </c>
      <c r="B12083" t="s">
        <v>150</v>
      </c>
      <c r="C12083" t="s">
        <v>269</v>
      </c>
      <c r="D12083" t="s">
        <v>398</v>
      </c>
      <c r="F12083">
        <f>HYPERLINK("https://www.wikidata.org/wiki/Q111103101", "Q111103101")</f>
        <v>0</v>
      </c>
      <c r="G12083" t="s">
        <v>4819</v>
      </c>
      <c r="H12083" t="s">
        <v>8960</v>
      </c>
      <c r="I12083" t="s">
        <v>9385</v>
      </c>
      <c r="J12083" t="s">
        <v>15274</v>
      </c>
      <c r="K12083" t="s">
        <v>19582</v>
      </c>
      <c r="M12083">
        <f>HYPERLINK("https://www.senat.fr/senateur-3eme-republique/aubry_charles0694r3.html", "aubry_charles0694r3")</f>
        <v>0</v>
      </c>
      <c r="N12083">
        <f>HYPERLINK("https://www.wikidata.org/wiki/Q2959577", "Q2959577")</f>
        <v>0</v>
      </c>
      <c r="Q12083" t="s">
        <v>398</v>
      </c>
      <c r="R12083" t="s">
        <v>21683</v>
      </c>
      <c r="S12083">
        <v>5116</v>
      </c>
    </row>
    <row r="12084" spans="1:19">
      <c r="A12084" t="s">
        <v>137</v>
      </c>
      <c r="B12084" t="s">
        <v>150</v>
      </c>
      <c r="C12084" t="s">
        <v>269</v>
      </c>
      <c r="D12084" t="s">
        <v>398</v>
      </c>
      <c r="F12084">
        <f>HYPERLINK("https://www.wikidata.org/wiki/Q111103101", "Q111103101")</f>
        <v>0</v>
      </c>
      <c r="G12084" t="s">
        <v>3370</v>
      </c>
      <c r="H12084" t="s">
        <v>6472</v>
      </c>
      <c r="I12084" t="s">
        <v>10037</v>
      </c>
      <c r="J12084" t="s">
        <v>13982</v>
      </c>
      <c r="K12084" t="s">
        <v>18350</v>
      </c>
      <c r="L12084">
        <f>HYPERLINK("https://www2.assemblee-nationale.fr/sycomore/fiche/(num_dept)/3472", "3472")</f>
        <v>0</v>
      </c>
      <c r="M12084">
        <f>HYPERLINK("https://www.senat.fr/senateur-3eme-republique/goirand_leopold1625r3.html", "goirand_leopold1625r3")</f>
        <v>0</v>
      </c>
      <c r="N12084">
        <f>HYPERLINK("https://www.wikidata.org/wiki/Q3271812", "Q3271812")</f>
        <v>0</v>
      </c>
      <c r="O12084" t="s">
        <v>20021</v>
      </c>
      <c r="Q12084" t="s">
        <v>21186</v>
      </c>
      <c r="R12084" t="s">
        <v>21663</v>
      </c>
      <c r="S12084">
        <v>1084</v>
      </c>
    </row>
    <row r="12085" spans="1:19">
      <c r="A12085" t="s">
        <v>137</v>
      </c>
      <c r="B12085" t="s">
        <v>150</v>
      </c>
      <c r="C12085" t="s">
        <v>269</v>
      </c>
      <c r="D12085" t="s">
        <v>398</v>
      </c>
      <c r="F12085">
        <f>HYPERLINK("https://www.wikidata.org/wiki/Q111103101", "Q111103101")</f>
        <v>0</v>
      </c>
      <c r="G12085" t="s">
        <v>967</v>
      </c>
      <c r="H12085" t="s">
        <v>5719</v>
      </c>
      <c r="I12085" t="s">
        <v>9407</v>
      </c>
      <c r="J12085" t="s">
        <v>11706</v>
      </c>
      <c r="K12085" t="s">
        <v>16109</v>
      </c>
      <c r="L12085">
        <f>HYPERLINK("https://www2.assemblee-nationale.fr/sycomore/fiche/(num_dept)/3482", "3482")</f>
        <v>0</v>
      </c>
      <c r="M12085">
        <f>HYPERLINK("https://www.senat.fr/senateur-3eme-republique/de_gontaut_biron_joseph1050r3.html", "de_gontaut_biron_joseph1050r3")</f>
        <v>0</v>
      </c>
      <c r="N12085">
        <f>HYPERLINK("https://www.wikidata.org/wiki/Q3185836", "Q3185836")</f>
        <v>0</v>
      </c>
      <c r="O12085" t="s">
        <v>19970</v>
      </c>
      <c r="Q12085" t="s">
        <v>21187</v>
      </c>
      <c r="R12085" t="s">
        <v>21663</v>
      </c>
      <c r="S12085">
        <v>1028</v>
      </c>
    </row>
    <row r="12086" spans="1:19">
      <c r="A12086" t="s">
        <v>137</v>
      </c>
      <c r="B12086" t="s">
        <v>150</v>
      </c>
      <c r="C12086" t="s">
        <v>269</v>
      </c>
      <c r="D12086" t="s">
        <v>398</v>
      </c>
      <c r="F12086">
        <f>HYPERLINK("https://www.wikidata.org/wiki/Q111103101", "Q111103101")</f>
        <v>0</v>
      </c>
      <c r="G12086" t="s">
        <v>4921</v>
      </c>
      <c r="H12086" t="s">
        <v>9057</v>
      </c>
      <c r="I12086" t="s">
        <v>6158</v>
      </c>
      <c r="J12086" t="s">
        <v>15363</v>
      </c>
      <c r="K12086" t="s">
        <v>19667</v>
      </c>
      <c r="M12086">
        <f>HYPERLINK("https://www.senat.fr/senateur-3eme-republique/crepin_felix0850r3.html", "crepin_felix0850r3")</f>
        <v>0</v>
      </c>
      <c r="N12086">
        <f>HYPERLINK("https://www.wikidata.org/wiki/Q3092414", "Q3092414")</f>
        <v>0</v>
      </c>
      <c r="O12086" t="s">
        <v>19963</v>
      </c>
      <c r="Q12086" t="s">
        <v>21188</v>
      </c>
      <c r="R12086" t="s">
        <v>21678</v>
      </c>
      <c r="S12086">
        <v>2113</v>
      </c>
    </row>
    <row r="12087" spans="1:19">
      <c r="A12087" t="s">
        <v>137</v>
      </c>
      <c r="B12087" t="s">
        <v>150</v>
      </c>
      <c r="C12087" t="s">
        <v>269</v>
      </c>
      <c r="D12087" t="s">
        <v>398</v>
      </c>
      <c r="F12087">
        <f>HYPERLINK("https://www.wikidata.org/wiki/Q111103101", "Q111103101")</f>
        <v>0</v>
      </c>
      <c r="G12087" t="s">
        <v>4922</v>
      </c>
      <c r="H12087" t="s">
        <v>9058</v>
      </c>
      <c r="I12087" t="s">
        <v>9470</v>
      </c>
      <c r="J12087" t="s">
        <v>15364</v>
      </c>
      <c r="K12087" t="s">
        <v>19668</v>
      </c>
      <c r="M12087">
        <f>HYPERLINK("https://www.senat.fr/senateur-3eme-republique/belhomme_gaston0756r3.html", "belhomme_gaston0756r3")</f>
        <v>0</v>
      </c>
      <c r="N12087">
        <f>HYPERLINK("https://www.wikidata.org/wiki/Q3098913", "Q3098913")</f>
        <v>0</v>
      </c>
      <c r="O12087" t="s">
        <v>20043</v>
      </c>
      <c r="Q12087" t="s">
        <v>21189</v>
      </c>
      <c r="R12087" t="s">
        <v>21683</v>
      </c>
      <c r="S12087">
        <v>5025</v>
      </c>
    </row>
    <row r="12088" spans="1:19">
      <c r="A12088" t="s">
        <v>137</v>
      </c>
      <c r="B12088" t="s">
        <v>150</v>
      </c>
      <c r="C12088" t="s">
        <v>269</v>
      </c>
      <c r="D12088" t="s">
        <v>398</v>
      </c>
      <c r="F12088">
        <f>HYPERLINK("https://www.wikidata.org/wiki/Q111103101", "Q111103101")</f>
        <v>0</v>
      </c>
      <c r="G12088" t="s">
        <v>4152</v>
      </c>
      <c r="H12088" t="s">
        <v>8355</v>
      </c>
      <c r="I12088" t="s">
        <v>9523</v>
      </c>
      <c r="J12088" t="s">
        <v>14681</v>
      </c>
      <c r="K12088" t="s">
        <v>19018</v>
      </c>
      <c r="L12088">
        <f>HYPERLINK("https://www2.assemblee-nationale.fr/sycomore/fiche/(num_dept)/6654", "6654")</f>
        <v>0</v>
      </c>
      <c r="M12088">
        <f>HYPERLINK("https://www.senat.fr/senateur-3eme-republique/regnier_marcel0044r3.html", "regnier_marcel0044r3")</f>
        <v>0</v>
      </c>
      <c r="N12088">
        <f>HYPERLINK("https://www.wikidata.org/wiki/Q3289373", "Q3289373")</f>
        <v>0</v>
      </c>
      <c r="O12088" t="s">
        <v>19999</v>
      </c>
      <c r="Q12088" t="s">
        <v>20934</v>
      </c>
      <c r="R12088" t="s">
        <v>21683</v>
      </c>
      <c r="S12088">
        <v>4997</v>
      </c>
    </row>
    <row r="12089" spans="1:19">
      <c r="A12089" t="s">
        <v>137</v>
      </c>
      <c r="B12089" t="s">
        <v>150</v>
      </c>
      <c r="C12089" t="s">
        <v>269</v>
      </c>
      <c r="D12089" t="s">
        <v>398</v>
      </c>
      <c r="F12089">
        <f>HYPERLINK("https://www.wikidata.org/wiki/Q111103101", "Q111103101")</f>
        <v>0</v>
      </c>
      <c r="G12089" t="s">
        <v>864</v>
      </c>
      <c r="H12089" t="s">
        <v>5620</v>
      </c>
      <c r="I12089" t="s">
        <v>9562</v>
      </c>
      <c r="J12089" t="s">
        <v>11610</v>
      </c>
      <c r="K12089" t="s">
        <v>16012</v>
      </c>
      <c r="L12089">
        <f>HYPERLINK("https://www2.assemblee-nationale.fr/sycomore/fiche/(num_dept)/222", "222")</f>
        <v>0</v>
      </c>
      <c r="M12089">
        <f>HYPERLINK("https://www.senat.fr/senateur-3eme-republique/astier_placide0139r3.html", "astier_placide0139r3")</f>
        <v>0</v>
      </c>
      <c r="N12089">
        <f>HYPERLINK("https://www.wikidata.org/wiki/Q3390780", "Q3390780")</f>
        <v>0</v>
      </c>
      <c r="O12089" t="s">
        <v>19991</v>
      </c>
      <c r="Q12089" t="s">
        <v>17554</v>
      </c>
      <c r="R12089" t="s">
        <v>21696</v>
      </c>
      <c r="S12089">
        <v>1595</v>
      </c>
    </row>
    <row r="12090" spans="1:19">
      <c r="A12090" t="s">
        <v>137</v>
      </c>
      <c r="B12090" t="s">
        <v>150</v>
      </c>
      <c r="C12090" t="s">
        <v>269</v>
      </c>
      <c r="D12090" t="s">
        <v>398</v>
      </c>
      <c r="F12090">
        <f>HYPERLINK("https://www.wikidata.org/wiki/Q111103101", "Q111103101")</f>
        <v>0</v>
      </c>
      <c r="G12090" t="s">
        <v>2225</v>
      </c>
      <c r="H12090" t="s">
        <v>6834</v>
      </c>
      <c r="I12090" t="s">
        <v>6495</v>
      </c>
      <c r="J12090" t="s">
        <v>12886</v>
      </c>
      <c r="K12090" t="s">
        <v>17298</v>
      </c>
      <c r="L12090">
        <f>HYPERLINK("https://www2.assemblee-nationale.fr/sycomore/fiche/(num_dept)/4826", "4826")</f>
        <v>0</v>
      </c>
      <c r="M12090">
        <f>HYPERLINK("https://www.senat.fr/senateur-3eme-republique/louis_dreyfus_louis0119r3.html", "louis_dreyfus_louis0119r3")</f>
        <v>0</v>
      </c>
      <c r="N12090">
        <f>HYPERLINK("https://www.wikidata.org/wiki/Q3262554", "Q3262554")</f>
        <v>0</v>
      </c>
      <c r="O12090" t="s">
        <v>20024</v>
      </c>
      <c r="Q12090" t="s">
        <v>17554</v>
      </c>
      <c r="R12090" t="s">
        <v>19797</v>
      </c>
      <c r="S12090">
        <v>11367</v>
      </c>
    </row>
    <row r="12091" spans="1:19">
      <c r="A12091" t="s">
        <v>137</v>
      </c>
      <c r="B12091" t="s">
        <v>150</v>
      </c>
      <c r="C12091" t="s">
        <v>269</v>
      </c>
      <c r="D12091" t="s">
        <v>398</v>
      </c>
      <c r="F12091">
        <f>HYPERLINK("https://www.wikidata.org/wiki/Q111103101", "Q111103101")</f>
        <v>0</v>
      </c>
      <c r="G12091" t="s">
        <v>4923</v>
      </c>
      <c r="H12091" t="s">
        <v>9059</v>
      </c>
      <c r="I12091" t="s">
        <v>9472</v>
      </c>
      <c r="J12091" t="s">
        <v>15365</v>
      </c>
      <c r="K12091" t="s">
        <v>17548</v>
      </c>
      <c r="M12091">
        <f>HYPERLINK("https://www.senat.fr/senateur-3eme-republique/langlois_hippolyte0942r3.html", "langlois_hippolyte0942r3")</f>
        <v>0</v>
      </c>
      <c r="N12091">
        <f>HYPERLINK("https://www.wikidata.org/wiki/Q3136079", "Q3136079")</f>
        <v>0</v>
      </c>
      <c r="O12091" t="s">
        <v>20007</v>
      </c>
      <c r="Q12091" t="s">
        <v>20935</v>
      </c>
      <c r="R12091" t="s">
        <v>17548</v>
      </c>
      <c r="S12091">
        <v>2087</v>
      </c>
    </row>
    <row r="12092" spans="1:19">
      <c r="A12092" t="s">
        <v>137</v>
      </c>
      <c r="B12092" t="s">
        <v>150</v>
      </c>
      <c r="C12092" t="s">
        <v>269</v>
      </c>
      <c r="D12092" t="s">
        <v>398</v>
      </c>
      <c r="F12092">
        <f>HYPERLINK("https://www.wikidata.org/wiki/Q111103101", "Q111103101")</f>
        <v>0</v>
      </c>
      <c r="G12092" t="s">
        <v>3787</v>
      </c>
      <c r="H12092" t="s">
        <v>8077</v>
      </c>
      <c r="I12092" t="s">
        <v>9388</v>
      </c>
      <c r="J12092" t="s">
        <v>14357</v>
      </c>
      <c r="K12092" t="s">
        <v>18708</v>
      </c>
      <c r="L12092">
        <f>HYPERLINK("https://www2.assemblee-nationale.fr/sycomore/fiche/(num_dept)/3774", "3774")</f>
        <v>0</v>
      </c>
      <c r="M12092">
        <f>HYPERLINK("https://www.senat.fr/senateur-3eme-republique/hayez_paul1415r3.html", "hayez_paul1415r3")</f>
        <v>0</v>
      </c>
      <c r="N12092">
        <f>HYPERLINK("https://www.wikidata.org/wiki/Q3371447", "Q3371447")</f>
        <v>0</v>
      </c>
      <c r="O12092" t="s">
        <v>20013</v>
      </c>
      <c r="Q12092" t="s">
        <v>18988</v>
      </c>
      <c r="R12092" t="s">
        <v>21683</v>
      </c>
      <c r="S12092">
        <v>4965</v>
      </c>
    </row>
    <row r="12093" spans="1:19">
      <c r="A12093" t="s">
        <v>137</v>
      </c>
      <c r="B12093" t="s">
        <v>150</v>
      </c>
      <c r="C12093" t="s">
        <v>269</v>
      </c>
      <c r="D12093" t="s">
        <v>398</v>
      </c>
      <c r="F12093">
        <f>HYPERLINK("https://www.wikidata.org/wiki/Q111103101", "Q111103101")</f>
        <v>0</v>
      </c>
      <c r="G12093" t="s">
        <v>4870</v>
      </c>
      <c r="H12093" t="s">
        <v>9009</v>
      </c>
      <c r="I12093" t="s">
        <v>9534</v>
      </c>
      <c r="J12093" t="s">
        <v>15315</v>
      </c>
      <c r="K12093" t="s">
        <v>19626</v>
      </c>
      <c r="M12093">
        <f>HYPERLINK("https://www.senat.fr/senateur-3eme-republique/de_saint_germain_adolphe0559r3.html", "de_saint_germain_adolphe0559r3")</f>
        <v>0</v>
      </c>
      <c r="N12093">
        <f>HYPERLINK("https://www.wikidata.org/wiki/Q2824935", "Q2824935")</f>
        <v>0</v>
      </c>
      <c r="O12093" t="s">
        <v>19998</v>
      </c>
      <c r="Q12093" t="s">
        <v>18988</v>
      </c>
      <c r="R12093" t="s">
        <v>21650</v>
      </c>
      <c r="S12093">
        <v>14381</v>
      </c>
    </row>
    <row r="12094" spans="1:19">
      <c r="A12094" t="s">
        <v>137</v>
      </c>
      <c r="B12094" t="s">
        <v>150</v>
      </c>
      <c r="C12094" t="s">
        <v>269</v>
      </c>
      <c r="D12094" t="s">
        <v>398</v>
      </c>
      <c r="F12094">
        <f>HYPERLINK("https://www.wikidata.org/wiki/Q111103101", "Q111103101")</f>
        <v>0</v>
      </c>
      <c r="G12094" t="s">
        <v>3071</v>
      </c>
      <c r="H12094" t="s">
        <v>7522</v>
      </c>
      <c r="I12094" t="s">
        <v>9500</v>
      </c>
      <c r="J12094" t="s">
        <v>13695</v>
      </c>
      <c r="K12094" t="s">
        <v>18078</v>
      </c>
      <c r="L12094">
        <f>HYPERLINK("https://www2.assemblee-nationale.fr/sycomore/fiche/(num_dept)/4172", "4172")</f>
        <v>0</v>
      </c>
      <c r="M12094">
        <f>HYPERLINK("https://www.senat.fr/senateur-3eme-republique/de_la_bourdonnaye_raoul1062r3.html", "de_la_bourdonnaye_raoul1062r3")</f>
        <v>0</v>
      </c>
      <c r="N12094">
        <f>HYPERLINK("https://www.wikidata.org/wiki/Q3292518", "Q3292518")</f>
        <v>0</v>
      </c>
      <c r="O12094" t="s">
        <v>19980</v>
      </c>
      <c r="Q12094" t="s">
        <v>21190</v>
      </c>
      <c r="R12094" t="s">
        <v>18078</v>
      </c>
      <c r="S12094">
        <v>1699</v>
      </c>
    </row>
    <row r="12095" spans="1:19">
      <c r="A12095" t="s">
        <v>137</v>
      </c>
      <c r="B12095" t="s">
        <v>150</v>
      </c>
      <c r="C12095" t="s">
        <v>269</v>
      </c>
      <c r="D12095" t="s">
        <v>398</v>
      </c>
      <c r="F12095">
        <f>HYPERLINK("https://www.wikidata.org/wiki/Q111103101", "Q111103101")</f>
        <v>0</v>
      </c>
      <c r="G12095" t="s">
        <v>3946</v>
      </c>
      <c r="H12095" t="s">
        <v>8198</v>
      </c>
      <c r="I12095" t="s">
        <v>9407</v>
      </c>
      <c r="J12095" t="s">
        <v>12003</v>
      </c>
      <c r="K12095" t="s">
        <v>18847</v>
      </c>
      <c r="L12095">
        <f>HYPERLINK("https://www2.assemblee-nationale.fr/sycomore/fiche/(num_dept)/7720", "7720")</f>
        <v>0</v>
      </c>
      <c r="M12095">
        <f>HYPERLINK("https://www.senat.fr/senateur-3eme-republique/leglos_joseph0273r3.html", "leglos_joseph0273r3")</f>
        <v>0</v>
      </c>
      <c r="N12095">
        <f>HYPERLINK("https://www.wikidata.org/wiki/Q3185240", "Q3185240")</f>
        <v>0</v>
      </c>
      <c r="O12095" t="s">
        <v>19975</v>
      </c>
      <c r="Q12095" t="s">
        <v>21191</v>
      </c>
      <c r="R12095" t="s">
        <v>21683</v>
      </c>
      <c r="S12095">
        <v>4955</v>
      </c>
    </row>
    <row r="12096" spans="1:19">
      <c r="A12096" t="s">
        <v>137</v>
      </c>
      <c r="B12096" t="s">
        <v>150</v>
      </c>
      <c r="C12096" t="s">
        <v>269</v>
      </c>
      <c r="D12096" t="s">
        <v>398</v>
      </c>
      <c r="F12096">
        <f>HYPERLINK("https://www.wikidata.org/wiki/Q111103101", "Q111103101")</f>
        <v>0</v>
      </c>
      <c r="G12096" t="s">
        <v>4924</v>
      </c>
      <c r="H12096" t="s">
        <v>9060</v>
      </c>
      <c r="I12096" t="s">
        <v>9423</v>
      </c>
      <c r="J12096" t="s">
        <v>15366</v>
      </c>
      <c r="K12096" t="s">
        <v>19669</v>
      </c>
      <c r="M12096">
        <f>HYPERLINK("https://www.senat.fr/senateur-3eme-republique/poulle_guillaume1765r3.html", "poulle_guillaume1765r3")</f>
        <v>0</v>
      </c>
      <c r="N12096">
        <f>HYPERLINK("https://www.wikidata.org/wiki/Q3120133", "Q3120133")</f>
        <v>0</v>
      </c>
      <c r="O12096" t="s">
        <v>19982</v>
      </c>
      <c r="Q12096" t="s">
        <v>21192</v>
      </c>
      <c r="R12096" t="s">
        <v>21663</v>
      </c>
      <c r="S12096">
        <v>846</v>
      </c>
    </row>
    <row r="12097" spans="1:19">
      <c r="A12097" t="s">
        <v>137</v>
      </c>
      <c r="B12097" t="s">
        <v>150</v>
      </c>
      <c r="C12097" t="s">
        <v>269</v>
      </c>
      <c r="D12097" t="s">
        <v>398</v>
      </c>
      <c r="F12097">
        <f>HYPERLINK("https://www.wikidata.org/wiki/Q111103101", "Q111103101")</f>
        <v>0</v>
      </c>
      <c r="G12097" t="s">
        <v>645</v>
      </c>
      <c r="H12097" t="s">
        <v>5404</v>
      </c>
      <c r="I12097" t="s">
        <v>6478</v>
      </c>
      <c r="J12097" t="s">
        <v>11395</v>
      </c>
      <c r="K12097" t="s">
        <v>15797</v>
      </c>
      <c r="L12097">
        <f>HYPERLINK("https://www2.assemblee-nationale.fr/sycomore/fiche/(num_dept)/3030", "3030")</f>
        <v>0</v>
      </c>
      <c r="M12097">
        <f>HYPERLINK("https://www.senat.fr/senateur-3eme-republique/fleury_ravarin_henry1128r3.html", "fleury_ravarin_henry1128r3")</f>
        <v>0</v>
      </c>
      <c r="N12097">
        <f>HYPERLINK("https://www.wikidata.org/wiki/Q3132778", "Q3132778")</f>
        <v>0</v>
      </c>
      <c r="O12097" t="s">
        <v>19965</v>
      </c>
      <c r="Q12097" t="s">
        <v>20942</v>
      </c>
      <c r="R12097" t="s">
        <v>21663</v>
      </c>
      <c r="S12097">
        <v>783</v>
      </c>
    </row>
    <row r="12098" spans="1:19">
      <c r="A12098" t="s">
        <v>137</v>
      </c>
      <c r="B12098" t="s">
        <v>150</v>
      </c>
      <c r="C12098" t="s">
        <v>269</v>
      </c>
      <c r="D12098" t="s">
        <v>398</v>
      </c>
      <c r="F12098">
        <f>HYPERLINK("https://www.wikidata.org/wiki/Q111103101", "Q111103101")</f>
        <v>0</v>
      </c>
      <c r="G12098" t="s">
        <v>3873</v>
      </c>
      <c r="H12098" t="s">
        <v>8141</v>
      </c>
      <c r="I12098" t="s">
        <v>7642</v>
      </c>
      <c r="J12098" t="s">
        <v>12605</v>
      </c>
      <c r="K12098" t="s">
        <v>18784</v>
      </c>
      <c r="L12098">
        <f>HYPERLINK("https://www2.assemblee-nationale.fr/sycomore/fiche/(num_dept)/2057", "2057")</f>
        <v>0</v>
      </c>
      <c r="M12098">
        <f>HYPERLINK("https://www.senat.fr/senateur-3eme-republique/couyba_charles1178r3.html", "couyba_charles1178r3")</f>
        <v>0</v>
      </c>
      <c r="N12098">
        <f>HYPERLINK("https://www.wikidata.org/wiki/Q1750410", "Q1750410")</f>
        <v>0</v>
      </c>
      <c r="O12098" t="s">
        <v>20036</v>
      </c>
      <c r="Q12098" t="s">
        <v>21193</v>
      </c>
      <c r="R12098" t="s">
        <v>21663</v>
      </c>
      <c r="S12098">
        <v>726</v>
      </c>
    </row>
    <row r="12099" spans="1:19">
      <c r="A12099" t="s">
        <v>137</v>
      </c>
      <c r="B12099" t="s">
        <v>150</v>
      </c>
      <c r="C12099" t="s">
        <v>269</v>
      </c>
      <c r="D12099" t="s">
        <v>398</v>
      </c>
      <c r="F12099">
        <f>HYPERLINK("https://www.wikidata.org/wiki/Q111103101", "Q111103101")</f>
        <v>0</v>
      </c>
      <c r="G12099" t="s">
        <v>4925</v>
      </c>
      <c r="H12099" t="s">
        <v>9061</v>
      </c>
      <c r="I12099" t="s">
        <v>5528</v>
      </c>
      <c r="J12099" t="s">
        <v>15367</v>
      </c>
      <c r="K12099" t="s">
        <v>19670</v>
      </c>
      <c r="M12099">
        <f>HYPERLINK("https://www.senat.fr/senateur-3eme-republique/monnier_leon0742r3.html", "monnier_leon0742r3")</f>
        <v>0</v>
      </c>
      <c r="N12099">
        <f>HYPERLINK("https://www.wikidata.org/wiki/Q3271207", "Q3271207")</f>
        <v>0</v>
      </c>
      <c r="O12099" t="s">
        <v>19992</v>
      </c>
      <c r="Q12099" t="s">
        <v>18217</v>
      </c>
      <c r="R12099" t="s">
        <v>21678</v>
      </c>
      <c r="S12099">
        <v>1819</v>
      </c>
    </row>
    <row r="12100" spans="1:19">
      <c r="A12100" t="s">
        <v>137</v>
      </c>
      <c r="B12100" t="s">
        <v>150</v>
      </c>
      <c r="C12100" t="s">
        <v>269</v>
      </c>
      <c r="D12100" t="s">
        <v>398</v>
      </c>
      <c r="F12100">
        <f>HYPERLINK("https://www.wikidata.org/wiki/Q111103101", "Q111103101")</f>
        <v>0</v>
      </c>
      <c r="G12100" t="s">
        <v>3253</v>
      </c>
      <c r="H12100" t="s">
        <v>7673</v>
      </c>
      <c r="I12100" t="s">
        <v>9421</v>
      </c>
      <c r="J12100" t="s">
        <v>13870</v>
      </c>
      <c r="K12100" t="s">
        <v>18241</v>
      </c>
      <c r="L12100">
        <f>HYPERLINK("https://www2.assemblee-nationale.fr/sycomore/fiche/(num_dept)/3458", "3458")</f>
        <v>0</v>
      </c>
      <c r="M12100">
        <f>HYPERLINK("https://www.senat.fr/senateur-3eme-republique/gobron_gustave0175r3.html", "gobron_gustave0175r3")</f>
        <v>0</v>
      </c>
      <c r="N12100">
        <f>HYPERLINK("https://www.wikidata.org/wiki/Q3121199", "Q3121199")</f>
        <v>0</v>
      </c>
      <c r="O12100" t="s">
        <v>19959</v>
      </c>
      <c r="Q12100" t="s">
        <v>21194</v>
      </c>
      <c r="R12100" t="s">
        <v>18241</v>
      </c>
      <c r="S12100">
        <v>1697</v>
      </c>
    </row>
    <row r="12101" spans="1:19">
      <c r="A12101" t="s">
        <v>137</v>
      </c>
      <c r="B12101" t="s">
        <v>150</v>
      </c>
      <c r="C12101" t="s">
        <v>269</v>
      </c>
      <c r="D12101" t="s">
        <v>398</v>
      </c>
      <c r="F12101">
        <f>HYPERLINK("https://www.wikidata.org/wiki/Q111103101", "Q111103101")</f>
        <v>0</v>
      </c>
      <c r="G12101" t="s">
        <v>4926</v>
      </c>
      <c r="H12101" t="s">
        <v>9062</v>
      </c>
      <c r="I12101" t="s">
        <v>9388</v>
      </c>
      <c r="J12101" t="s">
        <v>15368</v>
      </c>
      <c r="K12101" t="s">
        <v>19671</v>
      </c>
      <c r="M12101">
        <f>HYPERLINK("https://www.senat.fr/senateur-3eme-republique/boivin_champeaux_paul0348r3.html", "boivin_champeaux_paul0348r3")</f>
        <v>0</v>
      </c>
      <c r="N12101">
        <f>HYPERLINK("https://www.wikidata.org/wiki/Q3370674", "Q3370674")</f>
        <v>0</v>
      </c>
      <c r="O12101" t="s">
        <v>20009</v>
      </c>
      <c r="Q12101" t="s">
        <v>21195</v>
      </c>
      <c r="R12101" t="s">
        <v>21678</v>
      </c>
      <c r="S12101">
        <v>1784</v>
      </c>
    </row>
    <row r="12102" spans="1:19">
      <c r="A12102" t="s">
        <v>137</v>
      </c>
      <c r="B12102" t="s">
        <v>150</v>
      </c>
      <c r="C12102" t="s">
        <v>269</v>
      </c>
      <c r="D12102" t="s">
        <v>398</v>
      </c>
      <c r="F12102">
        <f>HYPERLINK("https://www.wikidata.org/wiki/Q111103101", "Q111103101")</f>
        <v>0</v>
      </c>
      <c r="G12102" t="s">
        <v>4927</v>
      </c>
      <c r="H12102" t="s">
        <v>9063</v>
      </c>
      <c r="I12102" t="s">
        <v>10074</v>
      </c>
      <c r="J12102" t="s">
        <v>15369</v>
      </c>
      <c r="K12102" t="s">
        <v>19672</v>
      </c>
      <c r="M12102">
        <f>HYPERLINK("https://www.senat.fr/senateur-3eme-republique/collet_arsene1645r3.html", "collet_arsene1645r3")</f>
        <v>0</v>
      </c>
      <c r="N12102">
        <f>HYPERLINK("https://www.wikidata.org/wiki/Q2864442", "Q2864442")</f>
        <v>0</v>
      </c>
      <c r="O12102" t="s">
        <v>19976</v>
      </c>
      <c r="Q12102" t="s">
        <v>21195</v>
      </c>
      <c r="R12102" t="s">
        <v>19672</v>
      </c>
      <c r="S12102">
        <v>226</v>
      </c>
    </row>
    <row r="12103" spans="1:19">
      <c r="A12103" t="s">
        <v>137</v>
      </c>
      <c r="B12103" t="s">
        <v>150</v>
      </c>
      <c r="C12103" t="s">
        <v>269</v>
      </c>
      <c r="D12103" t="s">
        <v>398</v>
      </c>
      <c r="F12103">
        <f>HYPERLINK("https://www.wikidata.org/wiki/Q111103101", "Q111103101")</f>
        <v>0</v>
      </c>
      <c r="G12103" t="s">
        <v>4928</v>
      </c>
      <c r="H12103" t="s">
        <v>9064</v>
      </c>
      <c r="I12103" t="s">
        <v>9483</v>
      </c>
      <c r="J12103" t="s">
        <v>15370</v>
      </c>
      <c r="K12103" t="s">
        <v>19673</v>
      </c>
      <c r="M12103">
        <f>HYPERLINK("https://www.senat.fr/senateur-3eme-republique/surreaux_victor1760r3.html", "surreaux_victor1760r3")</f>
        <v>0</v>
      </c>
      <c r="N12103">
        <f>HYPERLINK("https://www.wikidata.org/wiki/Q3557590", "Q3557590")</f>
        <v>0</v>
      </c>
      <c r="O12103" t="s">
        <v>19982</v>
      </c>
      <c r="Q12103" t="s">
        <v>18288</v>
      </c>
      <c r="R12103" t="s">
        <v>21663</v>
      </c>
      <c r="S12103">
        <v>622</v>
      </c>
    </row>
    <row r="12104" spans="1:19">
      <c r="A12104" t="s">
        <v>137</v>
      </c>
      <c r="B12104" t="s">
        <v>150</v>
      </c>
      <c r="C12104" t="s">
        <v>269</v>
      </c>
      <c r="D12104" t="s">
        <v>398</v>
      </c>
      <c r="F12104">
        <f>HYPERLINK("https://www.wikidata.org/wiki/Q111103101", "Q111103101")</f>
        <v>0</v>
      </c>
      <c r="G12104" t="s">
        <v>4929</v>
      </c>
      <c r="H12104" t="s">
        <v>9065</v>
      </c>
      <c r="I12104" t="s">
        <v>9552</v>
      </c>
      <c r="J12104" t="s">
        <v>15371</v>
      </c>
      <c r="K12104" t="s">
        <v>19674</v>
      </c>
      <c r="M12104">
        <f>HYPERLINK("https://www.senat.fr/senateur-3eme-republique/ranson_auguste1566r3.html", "ranson_auguste1566r3")</f>
        <v>0</v>
      </c>
      <c r="N12104">
        <f>HYPERLINK("https://www.wikidata.org/wiki/Q2871369", "Q2871369")</f>
        <v>0</v>
      </c>
      <c r="O12104" t="s">
        <v>19969</v>
      </c>
      <c r="Q12104" t="s">
        <v>21196</v>
      </c>
      <c r="R12104" t="s">
        <v>21663</v>
      </c>
      <c r="S12104">
        <v>587</v>
      </c>
    </row>
    <row r="12105" spans="1:19">
      <c r="A12105" t="s">
        <v>137</v>
      </c>
      <c r="B12105" t="s">
        <v>150</v>
      </c>
      <c r="C12105" t="s">
        <v>269</v>
      </c>
      <c r="D12105" t="s">
        <v>398</v>
      </c>
      <c r="F12105">
        <f>HYPERLINK("https://www.wikidata.org/wiki/Q111103101", "Q111103101")</f>
        <v>0</v>
      </c>
      <c r="G12105" t="s">
        <v>3409</v>
      </c>
      <c r="H12105" t="s">
        <v>7796</v>
      </c>
      <c r="I12105" t="s">
        <v>9401</v>
      </c>
      <c r="J12105" t="s">
        <v>14015</v>
      </c>
      <c r="K12105" t="s">
        <v>18383</v>
      </c>
      <c r="L12105">
        <f>HYPERLINK("https://www2.assemblee-nationale.fr/sycomore/fiche/(num_dept)/965", "965")</f>
        <v>0</v>
      </c>
      <c r="M12105">
        <f>HYPERLINK("https://www.senat.fr/senateur-3eme-republique/bony_cisternes_antoine0999r3.html", "bony_cisternes_antoine0999r3")</f>
        <v>0</v>
      </c>
      <c r="N12105">
        <f>HYPERLINK("https://www.wikidata.org/wiki/Q2853703", "Q2853703")</f>
        <v>0</v>
      </c>
      <c r="O12105" t="s">
        <v>20005</v>
      </c>
      <c r="Q12105" t="s">
        <v>20947</v>
      </c>
      <c r="R12105" t="s">
        <v>21663</v>
      </c>
      <c r="S12105">
        <v>545</v>
      </c>
    </row>
    <row r="12106" spans="1:19">
      <c r="A12106" t="s">
        <v>137</v>
      </c>
      <c r="B12106" t="s">
        <v>150</v>
      </c>
      <c r="C12106" t="s">
        <v>269</v>
      </c>
      <c r="D12106" t="s">
        <v>398</v>
      </c>
      <c r="F12106">
        <f>HYPERLINK("https://www.wikidata.org/wiki/Q111103101", "Q111103101")</f>
        <v>0</v>
      </c>
      <c r="G12106" t="s">
        <v>4135</v>
      </c>
      <c r="H12106" t="s">
        <v>8340</v>
      </c>
      <c r="I12106" t="s">
        <v>11129</v>
      </c>
      <c r="J12106" t="s">
        <v>14666</v>
      </c>
      <c r="K12106" t="s">
        <v>19003</v>
      </c>
      <c r="L12106">
        <f>HYPERLINK("https://www2.assemblee-nationale.fr/sycomore/fiche/(num_dept)/6109", "6109")</f>
        <v>0</v>
      </c>
      <c r="M12106">
        <f>HYPERLINK("https://www.senat.fr/senateur-3eme-republique/rouby_hippolyte0467r3.html", "rouby_hippolyte0467r3")</f>
        <v>0</v>
      </c>
      <c r="N12106">
        <f>HYPERLINK("https://www.wikidata.org/wiki/Q3136121", "Q3136121")</f>
        <v>0</v>
      </c>
      <c r="O12106" t="s">
        <v>20020</v>
      </c>
      <c r="Q12106" t="s">
        <v>20947</v>
      </c>
      <c r="R12106" t="s">
        <v>21678</v>
      </c>
      <c r="S12106">
        <v>1644</v>
      </c>
    </row>
    <row r="12107" spans="1:19">
      <c r="A12107" t="s">
        <v>137</v>
      </c>
      <c r="B12107" t="s">
        <v>150</v>
      </c>
      <c r="C12107" t="s">
        <v>269</v>
      </c>
      <c r="D12107" t="s">
        <v>398</v>
      </c>
      <c r="F12107">
        <f>HYPERLINK("https://www.wikidata.org/wiki/Q111103101", "Q111103101")</f>
        <v>0</v>
      </c>
      <c r="G12107" t="s">
        <v>4930</v>
      </c>
      <c r="H12107" t="s">
        <v>8603</v>
      </c>
      <c r="I12107" t="s">
        <v>9506</v>
      </c>
      <c r="J12107" t="s">
        <v>15372</v>
      </c>
      <c r="K12107" t="s">
        <v>19675</v>
      </c>
      <c r="M12107">
        <f>HYPERLINK("https://www.senat.fr/senateur-3eme-republique/pelissier_camille0061r3.html", "pelissier_camille0061r3")</f>
        <v>0</v>
      </c>
      <c r="N12107">
        <f>HYPERLINK("https://www.wikidata.org/wiki/Q2935036", "Q2935036")</f>
        <v>0</v>
      </c>
      <c r="O12107" t="s">
        <v>20033</v>
      </c>
      <c r="Q12107" t="s">
        <v>20947</v>
      </c>
      <c r="R12107" t="s">
        <v>21678</v>
      </c>
      <c r="S12107">
        <v>1644</v>
      </c>
    </row>
    <row r="12108" spans="1:19">
      <c r="A12108" t="s">
        <v>137</v>
      </c>
      <c r="B12108" t="s">
        <v>150</v>
      </c>
      <c r="C12108" t="s">
        <v>269</v>
      </c>
      <c r="D12108" t="s">
        <v>398</v>
      </c>
      <c r="F12108">
        <f>HYPERLINK("https://www.wikidata.org/wiki/Q111103101", "Q111103101")</f>
        <v>0</v>
      </c>
      <c r="G12108" t="s">
        <v>3959</v>
      </c>
      <c r="H12108" t="s">
        <v>8209</v>
      </c>
      <c r="I12108" t="s">
        <v>9442</v>
      </c>
      <c r="J12108" t="s">
        <v>14510</v>
      </c>
      <c r="K12108" t="s">
        <v>18855</v>
      </c>
      <c r="L12108">
        <f>HYPERLINK("https://www2.assemblee-nationale.fr/sycomore/fiche/(num_dept)/1538", "1538")</f>
        <v>0</v>
      </c>
      <c r="M12108">
        <f>HYPERLINK("https://www.senat.fr/senateur-3eme-republique/cauvin_ernest1658r3.html", "cauvin_ernest1658r3")</f>
        <v>0</v>
      </c>
      <c r="N12108">
        <f>HYPERLINK("https://www.wikidata.org/wiki/Q3056877", "Q3056877")</f>
        <v>0</v>
      </c>
      <c r="O12108" t="s">
        <v>20012</v>
      </c>
      <c r="Q12108" t="s">
        <v>21197</v>
      </c>
      <c r="R12108" t="s">
        <v>21663</v>
      </c>
      <c r="S12108">
        <v>503</v>
      </c>
    </row>
    <row r="12109" spans="1:19">
      <c r="A12109" t="s">
        <v>137</v>
      </c>
      <c r="B12109" t="s">
        <v>150</v>
      </c>
      <c r="C12109" t="s">
        <v>269</v>
      </c>
      <c r="D12109" t="s">
        <v>398</v>
      </c>
      <c r="F12109">
        <f>HYPERLINK("https://www.wikidata.org/wiki/Q111103101", "Q111103101")</f>
        <v>0</v>
      </c>
      <c r="G12109" t="s">
        <v>4931</v>
      </c>
      <c r="H12109" t="s">
        <v>9066</v>
      </c>
      <c r="I12109" t="s">
        <v>6495</v>
      </c>
      <c r="J12109" t="s">
        <v>15373</v>
      </c>
      <c r="K12109" t="s">
        <v>19676</v>
      </c>
      <c r="M12109">
        <f>HYPERLINK("https://www.senat.fr/senateur-3eme-republique/lemarie_louis0562r3.html", "lemarie_louis0562r3")</f>
        <v>0</v>
      </c>
      <c r="N12109">
        <f>HYPERLINK("https://www.wikidata.org/wiki/Q3262514", "Q3262514")</f>
        <v>0</v>
      </c>
      <c r="O12109" t="s">
        <v>19998</v>
      </c>
      <c r="Q12109" t="s">
        <v>21198</v>
      </c>
      <c r="R12109" t="s">
        <v>21683</v>
      </c>
      <c r="S12109">
        <v>4521</v>
      </c>
    </row>
    <row r="12110" spans="1:19">
      <c r="A12110" t="s">
        <v>137</v>
      </c>
      <c r="B12110" t="s">
        <v>150</v>
      </c>
      <c r="C12110" t="s">
        <v>269</v>
      </c>
      <c r="D12110" t="s">
        <v>398</v>
      </c>
      <c r="F12110">
        <f>HYPERLINK("https://www.wikidata.org/wiki/Q111103101", "Q111103101")</f>
        <v>0</v>
      </c>
      <c r="G12110" t="s">
        <v>4932</v>
      </c>
      <c r="H12110" t="s">
        <v>9067</v>
      </c>
      <c r="I12110" t="s">
        <v>5528</v>
      </c>
      <c r="J12110" t="s">
        <v>15374</v>
      </c>
      <c r="K12110" t="s">
        <v>19677</v>
      </c>
      <c r="M12110">
        <f>HYPERLINK("https://www.senat.fr/senateur-3eme-republique/jenouvrier_leon0560r3.html", "jenouvrier_leon0560r3")</f>
        <v>0</v>
      </c>
      <c r="N12110">
        <f>HYPERLINK("https://www.wikidata.org/wiki/Q3271082", "Q3271082")</f>
        <v>0</v>
      </c>
      <c r="O12110" t="s">
        <v>19998</v>
      </c>
      <c r="Q12110" t="s">
        <v>21198</v>
      </c>
      <c r="R12110" t="s">
        <v>21683</v>
      </c>
      <c r="S12110">
        <v>4521</v>
      </c>
    </row>
    <row r="12111" spans="1:19">
      <c r="A12111" t="s">
        <v>137</v>
      </c>
      <c r="B12111" t="s">
        <v>150</v>
      </c>
      <c r="C12111" t="s">
        <v>269</v>
      </c>
      <c r="D12111" t="s">
        <v>398</v>
      </c>
      <c r="F12111">
        <f>HYPERLINK("https://www.wikidata.org/wiki/Q111103101", "Q111103101")</f>
        <v>0</v>
      </c>
      <c r="G12111" t="s">
        <v>3693</v>
      </c>
      <c r="H12111" t="s">
        <v>8015</v>
      </c>
      <c r="I12111" t="s">
        <v>10940</v>
      </c>
      <c r="J12111" t="s">
        <v>14268</v>
      </c>
      <c r="K12111" t="s">
        <v>16493</v>
      </c>
      <c r="L12111">
        <f>HYPERLINK("https://www2.assemblee-nationale.fr/sycomore/fiche/(num_dept)/2224", "2224")</f>
        <v>0</v>
      </c>
      <c r="M12111">
        <f>HYPERLINK("https://www.senat.fr/senateur-3eme-republique/defumade_alphonse0619r3.html", "defumade_alphonse0619r3")</f>
        <v>0</v>
      </c>
      <c r="N12111">
        <f>HYPERLINK("https://www.wikidata.org/wiki/Q2839764", "Q2839764")</f>
        <v>0</v>
      </c>
      <c r="O12111" t="s">
        <v>19979</v>
      </c>
      <c r="Q12111" t="s">
        <v>21199</v>
      </c>
      <c r="R12111" t="s">
        <v>21678</v>
      </c>
      <c r="S12111">
        <v>1553</v>
      </c>
    </row>
    <row r="12112" spans="1:19">
      <c r="A12112" t="s">
        <v>137</v>
      </c>
      <c r="B12112" t="s">
        <v>150</v>
      </c>
      <c r="C12112" t="s">
        <v>269</v>
      </c>
      <c r="D12112" t="s">
        <v>398</v>
      </c>
      <c r="F12112">
        <f>HYPERLINK("https://www.wikidata.org/wiki/Q111103101", "Q111103101")</f>
        <v>0</v>
      </c>
      <c r="G12112" t="s">
        <v>4718</v>
      </c>
      <c r="H12112" t="s">
        <v>8860</v>
      </c>
      <c r="I12112" t="s">
        <v>9388</v>
      </c>
      <c r="J12112" t="s">
        <v>14893</v>
      </c>
      <c r="K12112" t="s">
        <v>19505</v>
      </c>
      <c r="M12112">
        <f>HYPERLINK("https://www.senat.fr/senateur-3eme-republique/le_breton_paul0954r3.html", "le_breton_paul0954r3")</f>
        <v>0</v>
      </c>
      <c r="N12112">
        <f>HYPERLINK("https://www.wikidata.org/wiki/Q3371642", "Q3371642")</f>
        <v>0</v>
      </c>
      <c r="O12112" t="s">
        <v>19984</v>
      </c>
      <c r="Q12112" t="s">
        <v>21200</v>
      </c>
      <c r="R12112" t="s">
        <v>21650</v>
      </c>
      <c r="S12112">
        <v>13881</v>
      </c>
    </row>
    <row r="12113" spans="1:19">
      <c r="A12113" t="s">
        <v>137</v>
      </c>
      <c r="B12113" t="s">
        <v>150</v>
      </c>
      <c r="C12113" t="s">
        <v>269</v>
      </c>
      <c r="D12113" t="s">
        <v>398</v>
      </c>
      <c r="F12113">
        <f>HYPERLINK("https://www.wikidata.org/wiki/Q111103101", "Q111103101")</f>
        <v>0</v>
      </c>
      <c r="G12113" t="s">
        <v>3677</v>
      </c>
      <c r="H12113" t="s">
        <v>8003</v>
      </c>
      <c r="I12113" t="s">
        <v>10930</v>
      </c>
      <c r="J12113" t="s">
        <v>14254</v>
      </c>
      <c r="K12113" t="s">
        <v>18615</v>
      </c>
      <c r="L12113">
        <f>HYPERLINK("https://www2.assemblee-nationale.fr/sycomore/fiche/(num_dept)/642", "642")</f>
        <v>0</v>
      </c>
      <c r="M12113">
        <f>HYPERLINK("https://www.senat.fr/senateur-3eme-republique/bepmale_jean0103r3.html", "bepmale_jean0103r3")</f>
        <v>0</v>
      </c>
      <c r="N12113">
        <f>HYPERLINK("https://www.wikidata.org/wiki/Q3170701", "Q3170701")</f>
        <v>0</v>
      </c>
      <c r="O12113" t="s">
        <v>20016</v>
      </c>
      <c r="Q12113" t="s">
        <v>20949</v>
      </c>
      <c r="R12113" t="s">
        <v>21683</v>
      </c>
      <c r="S12113">
        <v>4444</v>
      </c>
    </row>
    <row r="12114" spans="1:19">
      <c r="A12114" t="s">
        <v>137</v>
      </c>
      <c r="B12114" t="s">
        <v>150</v>
      </c>
      <c r="C12114" t="s">
        <v>269</v>
      </c>
      <c r="D12114" t="s">
        <v>398</v>
      </c>
      <c r="F12114">
        <f>HYPERLINK("https://www.wikidata.org/wiki/Q111103101", "Q111103101")</f>
        <v>0</v>
      </c>
      <c r="G12114" t="s">
        <v>3948</v>
      </c>
      <c r="H12114" t="s">
        <v>5613</v>
      </c>
      <c r="I12114" t="s">
        <v>9438</v>
      </c>
      <c r="J12114" t="s">
        <v>11758</v>
      </c>
      <c r="K12114" t="s">
        <v>18848</v>
      </c>
      <c r="L12114">
        <f>HYPERLINK("https://www2.assemblee-nationale.fr/sycomore/fiche/(num_dept)/7841", "7841")</f>
        <v>0</v>
      </c>
      <c r="M12114">
        <f>HYPERLINK("https://www.senat.fr/senateur-3eme-republique/leygue_honore0095r3.html", "leygue_honore0095r3")</f>
        <v>0</v>
      </c>
      <c r="N12114">
        <f>HYPERLINK("https://www.wikidata.org/wiki/Q3140238", "Q3140238")</f>
        <v>0</v>
      </c>
      <c r="O12114" t="s">
        <v>20016</v>
      </c>
      <c r="Q12114" t="s">
        <v>20949</v>
      </c>
      <c r="R12114" t="s">
        <v>21683</v>
      </c>
      <c r="S12114">
        <v>4444</v>
      </c>
    </row>
    <row r="12115" spans="1:19">
      <c r="A12115" t="s">
        <v>137</v>
      </c>
      <c r="B12115" t="s">
        <v>150</v>
      </c>
      <c r="C12115" t="s">
        <v>269</v>
      </c>
      <c r="D12115" t="s">
        <v>398</v>
      </c>
      <c r="F12115">
        <f>HYPERLINK("https://www.wikidata.org/wiki/Q111103101", "Q111103101")</f>
        <v>0</v>
      </c>
      <c r="G12115" t="s">
        <v>4933</v>
      </c>
      <c r="H12115" t="s">
        <v>9068</v>
      </c>
      <c r="I12115" t="s">
        <v>5528</v>
      </c>
      <c r="J12115" t="s">
        <v>15375</v>
      </c>
      <c r="K12115" t="s">
        <v>18559</v>
      </c>
      <c r="M12115">
        <f>HYPERLINK("https://www.senat.fr/senateur-3eme-republique/raymond_leon1779r3.html", "raymond_leon1779r3")</f>
        <v>0</v>
      </c>
      <c r="N12115">
        <f>HYPERLINK("https://www.wikidata.org/wiki/Q3271287", "Q3271287")</f>
        <v>0</v>
      </c>
      <c r="O12115" t="s">
        <v>19977</v>
      </c>
      <c r="Q12115" t="s">
        <v>20949</v>
      </c>
      <c r="R12115" t="s">
        <v>21663</v>
      </c>
      <c r="S12115">
        <v>419</v>
      </c>
    </row>
    <row r="12116" spans="1:19">
      <c r="A12116" t="s">
        <v>137</v>
      </c>
      <c r="B12116" t="s">
        <v>150</v>
      </c>
      <c r="C12116" t="s">
        <v>269</v>
      </c>
      <c r="D12116" t="s">
        <v>398</v>
      </c>
      <c r="F12116">
        <f>HYPERLINK("https://www.wikidata.org/wiki/Q111103101", "Q111103101")</f>
        <v>0</v>
      </c>
      <c r="G12116" t="s">
        <v>4934</v>
      </c>
      <c r="H12116" t="s">
        <v>9069</v>
      </c>
      <c r="I12116" t="s">
        <v>7419</v>
      </c>
      <c r="J12116" t="s">
        <v>15376</v>
      </c>
      <c r="K12116" t="s">
        <v>18697</v>
      </c>
      <c r="M12116">
        <f>HYPERLINK("https://www.senat.fr/senateur-3eme-republique/servant_jacques1772r3.html", "servant_jacques1772r3")</f>
        <v>0</v>
      </c>
      <c r="N12116">
        <f>HYPERLINK("https://www.wikidata.org/wiki/Q3159995", "Q3159995")</f>
        <v>0</v>
      </c>
      <c r="O12116" t="s">
        <v>19982</v>
      </c>
      <c r="Q12116" t="s">
        <v>20949</v>
      </c>
      <c r="R12116" t="s">
        <v>21663</v>
      </c>
      <c r="S12116">
        <v>419</v>
      </c>
    </row>
    <row r="12117" spans="1:19">
      <c r="A12117" t="s">
        <v>137</v>
      </c>
      <c r="B12117" t="s">
        <v>150</v>
      </c>
      <c r="C12117" t="s">
        <v>269</v>
      </c>
      <c r="D12117" t="s">
        <v>398</v>
      </c>
      <c r="F12117">
        <f>HYPERLINK("https://www.wikidata.org/wiki/Q111103101", "Q111103101")</f>
        <v>0</v>
      </c>
      <c r="G12117" t="s">
        <v>4935</v>
      </c>
      <c r="H12117" t="s">
        <v>9070</v>
      </c>
      <c r="I12117" t="s">
        <v>9457</v>
      </c>
      <c r="J12117" t="s">
        <v>15377</v>
      </c>
      <c r="K12117" t="s">
        <v>19678</v>
      </c>
      <c r="M12117">
        <f>HYPERLINK("https://www.senat.fr/senateur-3eme-republique/poirson_henri1646r3.html", "poirson_henri1646r3")</f>
        <v>0</v>
      </c>
      <c r="N12117">
        <f>HYPERLINK("https://www.wikidata.org/wiki/Q3131810", "Q3131810")</f>
        <v>0</v>
      </c>
      <c r="O12117" t="s">
        <v>19976</v>
      </c>
      <c r="Q12117" t="s">
        <v>18410</v>
      </c>
      <c r="R12117" t="s">
        <v>21663</v>
      </c>
      <c r="S12117">
        <v>384</v>
      </c>
    </row>
    <row r="12118" spans="1:19">
      <c r="A12118" t="s">
        <v>137</v>
      </c>
      <c r="B12118" t="s">
        <v>150</v>
      </c>
      <c r="C12118" t="s">
        <v>269</v>
      </c>
      <c r="D12118" t="s">
        <v>398</v>
      </c>
      <c r="F12118">
        <f>HYPERLINK("https://www.wikidata.org/wiki/Q111103101", "Q111103101")</f>
        <v>0</v>
      </c>
      <c r="G12118" t="s">
        <v>4936</v>
      </c>
      <c r="H12118" t="s">
        <v>9071</v>
      </c>
      <c r="I12118" t="s">
        <v>9503</v>
      </c>
      <c r="J12118" t="s">
        <v>15378</v>
      </c>
      <c r="K12118" t="s">
        <v>19679</v>
      </c>
      <c r="M12118">
        <f>HYPERLINK("https://www.senat.fr/senateur-3eme-republique/philipot_anatole0532r3.html", "philipot_anatole0532r3")</f>
        <v>0</v>
      </c>
      <c r="N12118">
        <f>HYPERLINK("https://www.wikidata.org/wiki/Q2845600", "Q2845600")</f>
        <v>0</v>
      </c>
      <c r="Q12118" t="s">
        <v>18410</v>
      </c>
      <c r="R12118" t="s">
        <v>21678</v>
      </c>
      <c r="S12118">
        <v>1483</v>
      </c>
    </row>
    <row r="12119" spans="1:19">
      <c r="A12119" t="s">
        <v>137</v>
      </c>
      <c r="B12119" t="s">
        <v>150</v>
      </c>
      <c r="C12119" t="s">
        <v>269</v>
      </c>
      <c r="D12119" t="s">
        <v>398</v>
      </c>
      <c r="F12119">
        <f>HYPERLINK("https://www.wikidata.org/wiki/Q111103101", "Q111103101")</f>
        <v>0</v>
      </c>
      <c r="G12119" t="s">
        <v>4185</v>
      </c>
      <c r="H12119" t="s">
        <v>7575</v>
      </c>
      <c r="I12119" t="s">
        <v>9385</v>
      </c>
      <c r="J12119" t="s">
        <v>14703</v>
      </c>
      <c r="K12119" t="s">
        <v>16206</v>
      </c>
      <c r="L12119">
        <f>HYPERLINK("https://www2.assemblee-nationale.fr/sycomore/fiche/(num_dept)/3908", "3908")</f>
        <v>0</v>
      </c>
      <c r="M12119">
        <f>HYPERLINK("https://www.senat.fr/senateur-3eme-republique/humbert_charles1020r3.html", "humbert_charles1020r3")</f>
        <v>0</v>
      </c>
      <c r="N12119">
        <f>HYPERLINK("https://www.wikidata.org/wiki/Q766065", "Q766065")</f>
        <v>0</v>
      </c>
      <c r="O12119" t="s">
        <v>20030</v>
      </c>
      <c r="Q12119" t="s">
        <v>20952</v>
      </c>
      <c r="R12119" t="s">
        <v>21683</v>
      </c>
      <c r="S12119">
        <v>4374</v>
      </c>
    </row>
    <row r="12120" spans="1:19">
      <c r="A12120" t="s">
        <v>137</v>
      </c>
      <c r="B12120" t="s">
        <v>150</v>
      </c>
      <c r="C12120" t="s">
        <v>269</v>
      </c>
      <c r="D12120" t="s">
        <v>398</v>
      </c>
      <c r="F12120">
        <f>HYPERLINK("https://www.wikidata.org/wiki/Q111103101", "Q111103101")</f>
        <v>0</v>
      </c>
      <c r="G12120" t="s">
        <v>3678</v>
      </c>
      <c r="H12120" t="s">
        <v>5286</v>
      </c>
      <c r="I12120" t="s">
        <v>9553</v>
      </c>
      <c r="J12120" t="s">
        <v>14255</v>
      </c>
      <c r="K12120" t="s">
        <v>18616</v>
      </c>
      <c r="L12120">
        <f>HYPERLINK("https://www2.assemblee-nationale.fr/sycomore/fiche/(num_dept)/647", "647")</f>
        <v>0</v>
      </c>
      <c r="M12120">
        <f>HYPERLINK("https://www.senat.fr/senateur-3eme-republique/berard_alexandre0019r3.html", "berard_alexandre0019r3")</f>
        <v>0</v>
      </c>
      <c r="N12120">
        <f>HYPERLINK("https://www.wikidata.org/wiki/Q2833511", "Q2833511")</f>
        <v>0</v>
      </c>
      <c r="O12120" t="s">
        <v>19986</v>
      </c>
      <c r="Q12120" t="s">
        <v>21201</v>
      </c>
      <c r="R12120" t="s">
        <v>21678</v>
      </c>
      <c r="S12120">
        <v>1427</v>
      </c>
    </row>
    <row r="12121" spans="1:19">
      <c r="A12121" t="s">
        <v>137</v>
      </c>
      <c r="B12121" t="s">
        <v>150</v>
      </c>
      <c r="C12121" t="s">
        <v>269</v>
      </c>
      <c r="D12121" t="s">
        <v>398</v>
      </c>
      <c r="F12121">
        <f>HYPERLINK("https://www.wikidata.org/wiki/Q111103101", "Q111103101")</f>
        <v>0</v>
      </c>
      <c r="G12121" t="s">
        <v>4937</v>
      </c>
      <c r="H12121" t="s">
        <v>9072</v>
      </c>
      <c r="I12121" t="s">
        <v>6200</v>
      </c>
      <c r="J12121" t="s">
        <v>15379</v>
      </c>
      <c r="K12121" t="s">
        <v>19680</v>
      </c>
      <c r="M12121">
        <f>HYPERLINK("https://www.senat.fr/senateur-3eme-republique/richard_jean1211r3.html", "richard_jean1211r3")</f>
        <v>0</v>
      </c>
      <c r="N12121">
        <f>HYPERLINK("https://www.wikidata.org/wiki/Q3174311", "Q3174311")</f>
        <v>0</v>
      </c>
      <c r="O12121" t="s">
        <v>19994</v>
      </c>
      <c r="Q12121" t="s">
        <v>20953</v>
      </c>
      <c r="R12121" t="s">
        <v>21663</v>
      </c>
      <c r="S12121">
        <v>314</v>
      </c>
    </row>
    <row r="12122" spans="1:19">
      <c r="A12122" t="s">
        <v>137</v>
      </c>
      <c r="B12122" t="s">
        <v>150</v>
      </c>
      <c r="C12122" t="s">
        <v>269</v>
      </c>
      <c r="D12122" t="s">
        <v>398</v>
      </c>
      <c r="F12122">
        <f>HYPERLINK("https://www.wikidata.org/wiki/Q111103101", "Q111103101")</f>
        <v>0</v>
      </c>
      <c r="G12122" t="s">
        <v>4938</v>
      </c>
      <c r="H12122" t="s">
        <v>9073</v>
      </c>
      <c r="I12122" t="s">
        <v>9553</v>
      </c>
      <c r="J12122" t="s">
        <v>15380</v>
      </c>
      <c r="K12122" t="s">
        <v>19681</v>
      </c>
      <c r="M12122">
        <f>HYPERLINK("https://www.senat.fr/senateur-3eme-republique/grosjean_alexandre0687r3.html", "grosjean_alexandre0687r3")</f>
        <v>0</v>
      </c>
      <c r="N12122">
        <f>HYPERLINK("https://www.wikidata.org/wiki/Q2833723", "Q2833723")</f>
        <v>0</v>
      </c>
      <c r="O12122" t="s">
        <v>19973</v>
      </c>
      <c r="Q12122" t="s">
        <v>20954</v>
      </c>
      <c r="R12122" t="s">
        <v>21678</v>
      </c>
      <c r="S12122">
        <v>1406</v>
      </c>
    </row>
    <row r="12123" spans="1:19">
      <c r="A12123" t="s">
        <v>137</v>
      </c>
      <c r="B12123" t="s">
        <v>150</v>
      </c>
      <c r="C12123" t="s">
        <v>269</v>
      </c>
      <c r="D12123" t="s">
        <v>398</v>
      </c>
      <c r="F12123">
        <f>HYPERLINK("https://www.wikidata.org/wiki/Q111103101", "Q111103101")</f>
        <v>0</v>
      </c>
      <c r="G12123" t="s">
        <v>4939</v>
      </c>
      <c r="H12123" t="s">
        <v>9074</v>
      </c>
      <c r="I12123" t="s">
        <v>9385</v>
      </c>
      <c r="J12123" t="s">
        <v>15381</v>
      </c>
      <c r="K12123" t="s">
        <v>19682</v>
      </c>
      <c r="M12123">
        <f>HYPERLINK("https://www.senat.fr/senateur-3eme-republique/chabert_charles0722r3.html", "chabert_charles0722r3")</f>
        <v>0</v>
      </c>
      <c r="N12123">
        <f>HYPERLINK("https://www.wikidata.org/wiki/Q15974227", "Q15974227")</f>
        <v>0</v>
      </c>
      <c r="O12123" t="s">
        <v>20044</v>
      </c>
      <c r="Q12123" t="s">
        <v>18305</v>
      </c>
      <c r="R12123" t="s">
        <v>21678</v>
      </c>
      <c r="S12123">
        <v>1350</v>
      </c>
    </row>
    <row r="12124" spans="1:19">
      <c r="A12124" t="s">
        <v>137</v>
      </c>
      <c r="B12124" t="s">
        <v>150</v>
      </c>
      <c r="C12124" t="s">
        <v>269</v>
      </c>
      <c r="D12124" t="s">
        <v>398</v>
      </c>
      <c r="F12124">
        <f>HYPERLINK("https://www.wikidata.org/wiki/Q111103101", "Q111103101")</f>
        <v>0</v>
      </c>
      <c r="G12124" t="s">
        <v>4940</v>
      </c>
      <c r="H12124" t="s">
        <v>9075</v>
      </c>
      <c r="I12124" t="s">
        <v>9449</v>
      </c>
      <c r="J12124" t="s">
        <v>15382</v>
      </c>
      <c r="K12124" t="s">
        <v>19683</v>
      </c>
      <c r="M12124">
        <f>HYPERLINK("https://www.senat.fr/senateur-3eme-republique/fortin_jules0810r3.html", "fortin_jules0810r3")</f>
        <v>0</v>
      </c>
      <c r="N12124">
        <f>HYPERLINK("https://www.wikidata.org/wiki/Q3188584", "Q3188584")</f>
        <v>0</v>
      </c>
      <c r="O12124" t="s">
        <v>20011</v>
      </c>
      <c r="Q12124" t="s">
        <v>21202</v>
      </c>
      <c r="R12124" t="s">
        <v>21678</v>
      </c>
      <c r="S12124">
        <v>1294</v>
      </c>
    </row>
    <row r="12125" spans="1:19">
      <c r="A12125" t="s">
        <v>137</v>
      </c>
      <c r="B12125" t="s">
        <v>150</v>
      </c>
      <c r="C12125" t="s">
        <v>269</v>
      </c>
      <c r="D12125" t="s">
        <v>398</v>
      </c>
      <c r="F12125">
        <f>HYPERLINK("https://www.wikidata.org/wiki/Q111103101", "Q111103101")</f>
        <v>0</v>
      </c>
      <c r="G12125" t="s">
        <v>4941</v>
      </c>
      <c r="H12125" t="s">
        <v>9076</v>
      </c>
      <c r="I12125" t="s">
        <v>9457</v>
      </c>
      <c r="J12125" t="s">
        <v>15383</v>
      </c>
      <c r="K12125" t="s">
        <v>19684</v>
      </c>
      <c r="M12125">
        <f>HYPERLINK("https://www.senat.fr/senateur-3eme-republique/sculfort_henri1387r3.html", "sculfort_henri1387r3")</f>
        <v>0</v>
      </c>
      <c r="N12125">
        <f>HYPERLINK("https://www.wikidata.org/wiki/Q3131998", "Q3131998")</f>
        <v>0</v>
      </c>
      <c r="O12125" t="s">
        <v>20013</v>
      </c>
      <c r="Q12125" t="s">
        <v>21202</v>
      </c>
      <c r="R12125" t="s">
        <v>19684</v>
      </c>
      <c r="S12125">
        <v>2134</v>
      </c>
    </row>
    <row r="12126" spans="1:19">
      <c r="A12126" t="s">
        <v>137</v>
      </c>
      <c r="B12126" t="s">
        <v>150</v>
      </c>
      <c r="C12126" t="s">
        <v>269</v>
      </c>
      <c r="D12126" t="s">
        <v>398</v>
      </c>
      <c r="F12126">
        <f>HYPERLINK("https://www.wikidata.org/wiki/Q111103101", "Q111103101")</f>
        <v>0</v>
      </c>
      <c r="G12126" t="s">
        <v>3718</v>
      </c>
      <c r="H12126" t="s">
        <v>8028</v>
      </c>
      <c r="I12126" t="s">
        <v>5528</v>
      </c>
      <c r="J12126" t="s">
        <v>14293</v>
      </c>
      <c r="K12126" t="s">
        <v>18648</v>
      </c>
      <c r="L12126">
        <f>HYPERLINK("https://www2.assemblee-nationale.fr/sycomore/fiche/(num_dept)/5445", "5445")</f>
        <v>0</v>
      </c>
      <c r="M12126">
        <f>HYPERLINK("https://www.senat.fr/senateur-3eme-republique/mougeot_leon0865r3.html", "mougeot_leon0865r3")</f>
        <v>0</v>
      </c>
      <c r="N12126">
        <f>HYPERLINK("https://www.wikidata.org/wiki/Q3271218", "Q3271218")</f>
        <v>0</v>
      </c>
      <c r="O12126" t="s">
        <v>20022</v>
      </c>
      <c r="Q12126" t="s">
        <v>18029</v>
      </c>
      <c r="R12126" t="s">
        <v>21683</v>
      </c>
      <c r="S12126">
        <v>4178</v>
      </c>
    </row>
    <row r="12127" spans="1:19">
      <c r="A12127" t="s">
        <v>138</v>
      </c>
      <c r="B12127" t="s">
        <v>150</v>
      </c>
      <c r="C12127" t="s">
        <v>270</v>
      </c>
      <c r="D12127" t="s">
        <v>399</v>
      </c>
      <c r="F12127">
        <f>HYPERLINK("https://www.wikidata.org/wiki/Q111103102", "Q111103102")</f>
        <v>0</v>
      </c>
      <c r="G12127" t="s">
        <v>3886</v>
      </c>
      <c r="H12127" t="s">
        <v>6058</v>
      </c>
      <c r="I12127" t="s">
        <v>11012</v>
      </c>
      <c r="J12127" t="s">
        <v>14444</v>
      </c>
      <c r="K12127" t="s">
        <v>18795</v>
      </c>
      <c r="L12127">
        <f>HYPERLINK("https://www2.assemblee-nationale.fr/sycomore/fiche/(num_dept)/56", "56")</f>
        <v>0</v>
      </c>
      <c r="M12127">
        <f>HYPERLINK("https://www.senat.fr/senateur-3eme-republique/aimond_emile1666r3.html", "aimond_emile1666r3")</f>
        <v>0</v>
      </c>
      <c r="N12127">
        <f>HYPERLINK("https://www.wikidata.org/wiki/Q3588304", "Q3588304")</f>
        <v>0</v>
      </c>
      <c r="O12127" t="s">
        <v>19976</v>
      </c>
      <c r="Q12127" t="s">
        <v>399</v>
      </c>
      <c r="R12127" t="s">
        <v>18795</v>
      </c>
      <c r="S12127">
        <v>3037</v>
      </c>
    </row>
    <row r="12128" spans="1:19">
      <c r="A12128" t="s">
        <v>138</v>
      </c>
      <c r="B12128" t="s">
        <v>150</v>
      </c>
      <c r="C12128" t="s">
        <v>270</v>
      </c>
      <c r="D12128" t="s">
        <v>399</v>
      </c>
      <c r="F12128">
        <f>HYPERLINK("https://www.wikidata.org/wiki/Q111103102", "Q111103102")</f>
        <v>0</v>
      </c>
      <c r="G12128" t="s">
        <v>3829</v>
      </c>
      <c r="H12128" t="s">
        <v>8109</v>
      </c>
      <c r="I12128" t="s">
        <v>10992</v>
      </c>
      <c r="J12128" t="s">
        <v>14393</v>
      </c>
      <c r="K12128" t="s">
        <v>18746</v>
      </c>
      <c r="L12128">
        <f>HYPERLINK("https://www2.assemblee-nationale.fr/sycomore/fiche/(num_dept)/103", "103")</f>
        <v>0</v>
      </c>
      <c r="M12128">
        <f>HYPERLINK("https://www.senat.fr/senateur-3eme-republique/comte_d_alsace_thierry1812r3.html", "comte_d_alsace_thierry1812r3")</f>
        <v>0</v>
      </c>
      <c r="N12128">
        <f>HYPERLINK("https://www.wikidata.org/wiki/Q3524185", "Q3524185")</f>
        <v>0</v>
      </c>
      <c r="O12128" t="s">
        <v>20017</v>
      </c>
      <c r="Q12128" t="s">
        <v>399</v>
      </c>
      <c r="R12128" t="s">
        <v>21683</v>
      </c>
      <c r="S12128">
        <v>4024</v>
      </c>
    </row>
    <row r="12129" spans="1:19">
      <c r="A12129" t="s">
        <v>138</v>
      </c>
      <c r="B12129" t="s">
        <v>150</v>
      </c>
      <c r="C12129" t="s">
        <v>270</v>
      </c>
      <c r="D12129" t="s">
        <v>399</v>
      </c>
      <c r="F12129">
        <f>HYPERLINK("https://www.wikidata.org/wiki/Q111103102", "Q111103102")</f>
        <v>0</v>
      </c>
      <c r="G12129" t="s">
        <v>3953</v>
      </c>
      <c r="H12129" t="s">
        <v>7891</v>
      </c>
      <c r="I12129" t="s">
        <v>6860</v>
      </c>
      <c r="J12129" t="s">
        <v>14504</v>
      </c>
      <c r="K12129" t="s">
        <v>18851</v>
      </c>
      <c r="L12129">
        <f>HYPERLINK("https://www2.assemblee-nationale.fr/sycomore/fiche/(num_dept)/491", "491")</f>
        <v>0</v>
      </c>
      <c r="M12129">
        <f>HYPERLINK("https://www.senat.fr/senateur-3eme-republique/baudin_pierre0016r3.html", "baudin_pierre0016r3")</f>
        <v>0</v>
      </c>
      <c r="N12129">
        <f>HYPERLINK("https://www.wikidata.org/wiki/Q2993834", "Q2993834")</f>
        <v>0</v>
      </c>
      <c r="O12129" t="s">
        <v>19986</v>
      </c>
      <c r="Q12129" t="s">
        <v>399</v>
      </c>
      <c r="R12129" t="s">
        <v>21678</v>
      </c>
      <c r="S12129">
        <v>1098</v>
      </c>
    </row>
    <row r="12130" spans="1:19">
      <c r="A12130" t="s">
        <v>138</v>
      </c>
      <c r="B12130" t="s">
        <v>150</v>
      </c>
      <c r="C12130" t="s">
        <v>270</v>
      </c>
      <c r="D12130" t="s">
        <v>399</v>
      </c>
      <c r="F12130">
        <f>HYPERLINK("https://www.wikidata.org/wiki/Q111103102", "Q111103102")</f>
        <v>0</v>
      </c>
      <c r="G12130" t="s">
        <v>3872</v>
      </c>
      <c r="H12130" t="s">
        <v>8140</v>
      </c>
      <c r="I12130" t="s">
        <v>6200</v>
      </c>
      <c r="J12130" t="s">
        <v>14431</v>
      </c>
      <c r="K12130" t="s">
        <v>18783</v>
      </c>
      <c r="L12130">
        <f>HYPERLINK("https://www2.assemblee-nationale.fr/sycomore/fiche/(num_dept)/790", "790")</f>
        <v>0</v>
      </c>
      <c r="M12130">
        <f>HYPERLINK("https://www.senat.fr/senateur-3eme-republique/bienvenu_martin_jean_baptiste1840r3.html", "bienvenu_martin_jean_baptiste1840r3")</f>
        <v>0</v>
      </c>
      <c r="N12130">
        <f>HYPERLINK("https://www.wikidata.org/wiki/Q325552", "Q325552")</f>
        <v>0</v>
      </c>
      <c r="O12130" t="s">
        <v>20034</v>
      </c>
      <c r="Q12130" t="s">
        <v>399</v>
      </c>
      <c r="R12130" t="s">
        <v>21683</v>
      </c>
      <c r="S12130">
        <v>4024</v>
      </c>
    </row>
    <row r="12131" spans="1:19">
      <c r="A12131" t="s">
        <v>138</v>
      </c>
      <c r="B12131" t="s">
        <v>150</v>
      </c>
      <c r="C12131" t="s">
        <v>270</v>
      </c>
      <c r="D12131" t="s">
        <v>399</v>
      </c>
      <c r="F12131">
        <f>HYPERLINK("https://www.wikidata.org/wiki/Q111103102", "Q111103102")</f>
        <v>0</v>
      </c>
      <c r="G12131" t="s">
        <v>3409</v>
      </c>
      <c r="H12131" t="s">
        <v>7796</v>
      </c>
      <c r="I12131" t="s">
        <v>9401</v>
      </c>
      <c r="J12131" t="s">
        <v>14015</v>
      </c>
      <c r="K12131" t="s">
        <v>18383</v>
      </c>
      <c r="L12131">
        <f>HYPERLINK("https://www2.assemblee-nationale.fr/sycomore/fiche/(num_dept)/965", "965")</f>
        <v>0</v>
      </c>
      <c r="M12131">
        <f>HYPERLINK("https://www.senat.fr/senateur-3eme-republique/bony_cisternes_antoine0999r3.html", "bony_cisternes_antoine0999r3")</f>
        <v>0</v>
      </c>
      <c r="N12131">
        <f>HYPERLINK("https://www.wikidata.org/wiki/Q2853703", "Q2853703")</f>
        <v>0</v>
      </c>
      <c r="O12131" t="s">
        <v>20005</v>
      </c>
      <c r="Q12131" t="s">
        <v>399</v>
      </c>
      <c r="R12131" t="s">
        <v>21683</v>
      </c>
      <c r="S12131">
        <v>4024</v>
      </c>
    </row>
    <row r="12132" spans="1:19">
      <c r="A12132" t="s">
        <v>138</v>
      </c>
      <c r="B12132" t="s">
        <v>150</v>
      </c>
      <c r="C12132" t="s">
        <v>270</v>
      </c>
      <c r="D12132" t="s">
        <v>399</v>
      </c>
      <c r="F12132">
        <f>HYPERLINK("https://www.wikidata.org/wiki/Q111103102", "Q111103102")</f>
        <v>0</v>
      </c>
      <c r="G12132" t="s">
        <v>3410</v>
      </c>
      <c r="H12132" t="s">
        <v>7544</v>
      </c>
      <c r="I12132" t="s">
        <v>6478</v>
      </c>
      <c r="J12132" t="s">
        <v>14016</v>
      </c>
      <c r="K12132" t="s">
        <v>18384</v>
      </c>
      <c r="L12132">
        <f>HYPERLINK("https://www2.assemblee-nationale.fr/sycomore/fiche/(num_dept)/1008", "1008")</f>
        <v>0</v>
      </c>
      <c r="M12132">
        <f>HYPERLINK("https://www.senat.fr/senateur-3eme-republique/boucher_henry1805r3.html", "boucher_henry1805r3")</f>
        <v>0</v>
      </c>
      <c r="N12132">
        <f>HYPERLINK("https://www.wikidata.org/wiki/Q3132647", "Q3132647")</f>
        <v>0</v>
      </c>
      <c r="O12132" t="s">
        <v>20017</v>
      </c>
      <c r="Q12132" t="s">
        <v>399</v>
      </c>
      <c r="R12132" t="s">
        <v>21683</v>
      </c>
      <c r="S12132">
        <v>4024</v>
      </c>
    </row>
    <row r="12133" spans="1:19">
      <c r="A12133" t="s">
        <v>138</v>
      </c>
      <c r="B12133" t="s">
        <v>150</v>
      </c>
      <c r="C12133" t="s">
        <v>270</v>
      </c>
      <c r="D12133" t="s">
        <v>399</v>
      </c>
      <c r="F12133">
        <f>HYPERLINK("https://www.wikidata.org/wiki/Q111103102", "Q111103102")</f>
        <v>0</v>
      </c>
      <c r="G12133" t="s">
        <v>3411</v>
      </c>
      <c r="H12133" t="s">
        <v>7797</v>
      </c>
      <c r="I12133" t="s">
        <v>10816</v>
      </c>
      <c r="J12133" t="s">
        <v>14017</v>
      </c>
      <c r="K12133" t="s">
        <v>18385</v>
      </c>
      <c r="L12133">
        <f>HYPERLINK("https://www2.assemblee-nationale.fr/sycomore/fiche/(num_dept)/1018", "1018")</f>
        <v>0</v>
      </c>
      <c r="M12133">
        <f>HYPERLINK("https://www.senat.fr/senateur-3eme-republique/boudenoot_louis0930r3.html", "boudenoot_louis0930r3")</f>
        <v>0</v>
      </c>
      <c r="N12133">
        <f>HYPERLINK("https://www.wikidata.org/wiki/Q3261324", "Q3261324")</f>
        <v>0</v>
      </c>
      <c r="O12133" t="s">
        <v>19968</v>
      </c>
      <c r="Q12133" t="s">
        <v>399</v>
      </c>
      <c r="R12133" t="s">
        <v>21683</v>
      </c>
      <c r="S12133">
        <v>4024</v>
      </c>
    </row>
    <row r="12134" spans="1:19">
      <c r="A12134" t="s">
        <v>138</v>
      </c>
      <c r="B12134" t="s">
        <v>150</v>
      </c>
      <c r="C12134" t="s">
        <v>270</v>
      </c>
      <c r="D12134" t="s">
        <v>399</v>
      </c>
      <c r="F12134">
        <f>HYPERLINK("https://www.wikidata.org/wiki/Q111103102", "Q111103102")</f>
        <v>0</v>
      </c>
      <c r="G12134" t="s">
        <v>3235</v>
      </c>
      <c r="H12134" t="s">
        <v>6405</v>
      </c>
      <c r="I12134" t="s">
        <v>10722</v>
      </c>
      <c r="J12134" t="s">
        <v>13853</v>
      </c>
      <c r="K12134" t="s">
        <v>18225</v>
      </c>
      <c r="L12134">
        <f>HYPERLINK("https://www2.assemblee-nationale.fr/sycomore/fiche/(num_dept)/1150", "1150")</f>
        <v>0</v>
      </c>
      <c r="M12134">
        <f>HYPERLINK("https://www.senat.fr/senateur-3eme-republique/boyer_antide0317r3.html", "boyer_antide0317r3")</f>
        <v>0</v>
      </c>
      <c r="N12134">
        <f>HYPERLINK("https://www.wikidata.org/wiki/Q575028", "Q575028")</f>
        <v>0</v>
      </c>
      <c r="O12134" t="s">
        <v>19990</v>
      </c>
      <c r="Q12134" t="s">
        <v>399</v>
      </c>
      <c r="R12134" t="s">
        <v>21678</v>
      </c>
      <c r="S12134">
        <v>1098</v>
      </c>
    </row>
    <row r="12135" spans="1:19">
      <c r="A12135" t="s">
        <v>138</v>
      </c>
      <c r="B12135" t="s">
        <v>150</v>
      </c>
      <c r="C12135" t="s">
        <v>270</v>
      </c>
      <c r="D12135" t="s">
        <v>399</v>
      </c>
      <c r="F12135">
        <f>HYPERLINK("https://www.wikidata.org/wiki/Q111103102", "Q111103102")</f>
        <v>0</v>
      </c>
      <c r="G12135" t="s">
        <v>4056</v>
      </c>
      <c r="H12135" t="s">
        <v>8280</v>
      </c>
      <c r="I12135" t="s">
        <v>11084</v>
      </c>
      <c r="J12135" t="s">
        <v>14596</v>
      </c>
      <c r="K12135" t="s">
        <v>18934</v>
      </c>
      <c r="L12135">
        <f>HYPERLINK("https://www2.assemblee-nationale.fr/sycomore/fiche/(num_dept)/1517", "1517")</f>
        <v>0</v>
      </c>
      <c r="M12135">
        <f>HYPERLINK("https://www.senat.fr/senateur-3eme-republique/catalogne_jacques1059r3.html", "catalogne_jacques1059r3")</f>
        <v>0</v>
      </c>
      <c r="N12135">
        <f>HYPERLINK("https://www.wikidata.org/wiki/Q3012747", "Q3012747")</f>
        <v>0</v>
      </c>
      <c r="O12135" t="s">
        <v>19970</v>
      </c>
      <c r="Q12135" t="s">
        <v>399</v>
      </c>
      <c r="R12135" t="s">
        <v>21683</v>
      </c>
      <c r="S12135">
        <v>4024</v>
      </c>
    </row>
    <row r="12136" spans="1:19">
      <c r="A12136" t="s">
        <v>138</v>
      </c>
      <c r="B12136" t="s">
        <v>150</v>
      </c>
      <c r="C12136" t="s">
        <v>270</v>
      </c>
      <c r="D12136" t="s">
        <v>399</v>
      </c>
      <c r="F12136">
        <f>HYPERLINK("https://www.wikidata.org/wiki/Q111103102", "Q111103102")</f>
        <v>0</v>
      </c>
      <c r="G12136" t="s">
        <v>3959</v>
      </c>
      <c r="H12136" t="s">
        <v>8209</v>
      </c>
      <c r="I12136" t="s">
        <v>9442</v>
      </c>
      <c r="J12136" t="s">
        <v>14510</v>
      </c>
      <c r="K12136" t="s">
        <v>18855</v>
      </c>
      <c r="L12136">
        <f>HYPERLINK("https://www2.assemblee-nationale.fr/sycomore/fiche/(num_dept)/1538", "1538")</f>
        <v>0</v>
      </c>
      <c r="M12136">
        <f>HYPERLINK("https://www.senat.fr/senateur-3eme-republique/cauvin_ernest1658r3.html", "cauvin_ernest1658r3")</f>
        <v>0</v>
      </c>
      <c r="N12136">
        <f>HYPERLINK("https://www.wikidata.org/wiki/Q3056877", "Q3056877")</f>
        <v>0</v>
      </c>
      <c r="O12136" t="s">
        <v>20012</v>
      </c>
      <c r="Q12136" t="s">
        <v>399</v>
      </c>
      <c r="R12136" t="s">
        <v>21683</v>
      </c>
      <c r="S12136">
        <v>4024</v>
      </c>
    </row>
    <row r="12137" spans="1:19">
      <c r="A12137" t="s">
        <v>138</v>
      </c>
      <c r="B12137" t="s">
        <v>150</v>
      </c>
      <c r="C12137" t="s">
        <v>270</v>
      </c>
      <c r="D12137" t="s">
        <v>399</v>
      </c>
      <c r="F12137">
        <f>HYPERLINK("https://www.wikidata.org/wiki/Q111103102", "Q111103102")</f>
        <v>0</v>
      </c>
      <c r="G12137" t="s">
        <v>4106</v>
      </c>
      <c r="H12137" t="s">
        <v>8318</v>
      </c>
      <c r="I12137" t="s">
        <v>11114</v>
      </c>
      <c r="J12137" t="s">
        <v>11285</v>
      </c>
      <c r="K12137" t="s">
        <v>18977</v>
      </c>
      <c r="L12137">
        <f>HYPERLINK("https://www2.assemblee-nationale.fr/sycomore/fiche/(num_dept)/1563", "1563")</f>
        <v>0</v>
      </c>
      <c r="M12137">
        <f>HYPERLINK("https://www.senat.fr/senateur-3eme-republique/cazeneuve_paul1143r3.html", "cazeneuve_paul1143r3")</f>
        <v>0</v>
      </c>
      <c r="N12137">
        <f>HYPERLINK("https://www.wikidata.org/wiki/Q3370828", "Q3370828")</f>
        <v>0</v>
      </c>
      <c r="O12137" t="s">
        <v>19965</v>
      </c>
      <c r="Q12137" t="s">
        <v>399</v>
      </c>
      <c r="R12137" t="s">
        <v>21683</v>
      </c>
      <c r="S12137">
        <v>4024</v>
      </c>
    </row>
    <row r="12138" spans="1:19">
      <c r="A12138" t="s">
        <v>138</v>
      </c>
      <c r="B12138" t="s">
        <v>150</v>
      </c>
      <c r="C12138" t="s">
        <v>270</v>
      </c>
      <c r="D12138" t="s">
        <v>399</v>
      </c>
      <c r="F12138">
        <f>HYPERLINK("https://www.wikidata.org/wiki/Q111103102", "Q111103102")</f>
        <v>0</v>
      </c>
      <c r="G12138" t="s">
        <v>2539</v>
      </c>
      <c r="H12138" t="s">
        <v>7099</v>
      </c>
      <c r="I12138" t="s">
        <v>6175</v>
      </c>
      <c r="J12138" t="s">
        <v>13183</v>
      </c>
      <c r="K12138" t="s">
        <v>17588</v>
      </c>
      <c r="L12138">
        <f>HYPERLINK("https://www2.assemblee-nationale.fr/sycomore/fiche/(num_dept)/1844", "1844")</f>
        <v>0</v>
      </c>
      <c r="M12138">
        <f>HYPERLINK("https://www.senat.fr/senateur-3eme-republique/clemenceau_georges1741r3.html", "clemenceau_georges1741r3")</f>
        <v>0</v>
      </c>
      <c r="N12138">
        <f>HYPERLINK("https://www.wikidata.org/wiki/Q171730", "Q171730")</f>
        <v>0</v>
      </c>
      <c r="O12138" t="s">
        <v>20042</v>
      </c>
      <c r="Q12138" t="s">
        <v>399</v>
      </c>
      <c r="R12138" t="s">
        <v>21650</v>
      </c>
      <c r="S12138">
        <v>13440</v>
      </c>
    </row>
    <row r="12139" spans="1:19">
      <c r="A12139" t="s">
        <v>138</v>
      </c>
      <c r="B12139" t="s">
        <v>150</v>
      </c>
      <c r="C12139" t="s">
        <v>270</v>
      </c>
      <c r="D12139" t="s">
        <v>399</v>
      </c>
      <c r="F12139">
        <f>HYPERLINK("https://www.wikidata.org/wiki/Q111103102", "Q111103102")</f>
        <v>0</v>
      </c>
      <c r="G12139" t="s">
        <v>2540</v>
      </c>
      <c r="H12139" t="s">
        <v>7100</v>
      </c>
      <c r="I12139" t="s">
        <v>10276</v>
      </c>
      <c r="J12139" t="s">
        <v>13184</v>
      </c>
      <c r="K12139" t="s">
        <v>17589</v>
      </c>
      <c r="L12139">
        <f>HYPERLINK("https://www2.assemblee-nationale.fr/sycomore/fiche/(num_dept)/1878", "1878")</f>
        <v>0</v>
      </c>
      <c r="M12139">
        <f>HYPERLINK("https://www.senat.fr/senateur-3eme-republique/codet_jean1786r3.html", "codet_jean1786r3")</f>
        <v>0</v>
      </c>
      <c r="N12139">
        <f>HYPERLINK("https://www.wikidata.org/wiki/Q3171361", "Q3171361")</f>
        <v>0</v>
      </c>
      <c r="O12139" t="s">
        <v>19977</v>
      </c>
      <c r="Q12139" t="s">
        <v>399</v>
      </c>
      <c r="R12139" t="s">
        <v>21683</v>
      </c>
      <c r="S12139">
        <v>4024</v>
      </c>
    </row>
    <row r="12140" spans="1:19">
      <c r="A12140" t="s">
        <v>138</v>
      </c>
      <c r="B12140" t="s">
        <v>150</v>
      </c>
      <c r="C12140" t="s">
        <v>270</v>
      </c>
      <c r="D12140" t="s">
        <v>399</v>
      </c>
      <c r="F12140">
        <f>HYPERLINK("https://www.wikidata.org/wiki/Q111103102", "Q111103102")</f>
        <v>0</v>
      </c>
      <c r="G12140" t="s">
        <v>3863</v>
      </c>
      <c r="H12140" t="s">
        <v>8133</v>
      </c>
      <c r="I12140" t="s">
        <v>9455</v>
      </c>
      <c r="J12140" t="s">
        <v>14422</v>
      </c>
      <c r="K12140" t="s">
        <v>18775</v>
      </c>
      <c r="L12140">
        <f>HYPERLINK("https://www2.assemblee-nationale.fr/sycomore/fiche/(num_dept)/1969", "1969")</f>
        <v>0</v>
      </c>
      <c r="M12140">
        <f>HYPERLINK("https://www.senat.fr/senateur-3eme-republique/cornet_lucien1850r3.html", "cornet_lucien1850r3")</f>
        <v>0</v>
      </c>
      <c r="N12140">
        <f>HYPERLINK("https://www.wikidata.org/wiki/Q3265439", "Q3265439")</f>
        <v>0</v>
      </c>
      <c r="O12140" t="s">
        <v>20034</v>
      </c>
      <c r="Q12140" t="s">
        <v>399</v>
      </c>
      <c r="R12140" t="s">
        <v>21683</v>
      </c>
      <c r="S12140">
        <v>4024</v>
      </c>
    </row>
    <row r="12141" spans="1:19">
      <c r="A12141" t="s">
        <v>138</v>
      </c>
      <c r="B12141" t="s">
        <v>150</v>
      </c>
      <c r="C12141" t="s">
        <v>270</v>
      </c>
      <c r="D12141" t="s">
        <v>399</v>
      </c>
      <c r="F12141">
        <f>HYPERLINK("https://www.wikidata.org/wiki/Q111103102", "Q111103102")</f>
        <v>0</v>
      </c>
      <c r="G12141" t="s">
        <v>3873</v>
      </c>
      <c r="H12141" t="s">
        <v>8141</v>
      </c>
      <c r="I12141" t="s">
        <v>7642</v>
      </c>
      <c r="J12141" t="s">
        <v>12605</v>
      </c>
      <c r="K12141" t="s">
        <v>18784</v>
      </c>
      <c r="L12141">
        <f>HYPERLINK("https://www2.assemblee-nationale.fr/sycomore/fiche/(num_dept)/2057", "2057")</f>
        <v>0</v>
      </c>
      <c r="M12141">
        <f>HYPERLINK("https://www.senat.fr/senateur-3eme-republique/couyba_charles1178r3.html", "couyba_charles1178r3")</f>
        <v>0</v>
      </c>
      <c r="N12141">
        <f>HYPERLINK("https://www.wikidata.org/wiki/Q1750410", "Q1750410")</f>
        <v>0</v>
      </c>
      <c r="O12141" t="s">
        <v>20036</v>
      </c>
      <c r="Q12141" t="s">
        <v>399</v>
      </c>
      <c r="R12141" t="s">
        <v>21650</v>
      </c>
      <c r="S12141">
        <v>13440</v>
      </c>
    </row>
    <row r="12142" spans="1:19">
      <c r="A12142" t="s">
        <v>138</v>
      </c>
      <c r="B12142" t="s">
        <v>150</v>
      </c>
      <c r="C12142" t="s">
        <v>270</v>
      </c>
      <c r="D12142" t="s">
        <v>399</v>
      </c>
      <c r="F12142">
        <f>HYPERLINK("https://www.wikidata.org/wiki/Q111103102", "Q111103102")</f>
        <v>0</v>
      </c>
      <c r="G12142" t="s">
        <v>3055</v>
      </c>
      <c r="H12142" t="s">
        <v>6149</v>
      </c>
      <c r="I12142" t="s">
        <v>9538</v>
      </c>
      <c r="J12142" t="s">
        <v>13681</v>
      </c>
      <c r="K12142" t="s">
        <v>18062</v>
      </c>
      <c r="L12142">
        <f>HYPERLINK("https://www2.assemblee-nationale.fr/sycomore/fiche/(num_dept)/2799", "2799")</f>
        <v>0</v>
      </c>
      <c r="M12142">
        <f>HYPERLINK("https://www.senat.fr/senateur-3eme-republique/duval_cesar1318r3.html", "duval_cesar1318r3")</f>
        <v>0</v>
      </c>
      <c r="N12142">
        <f>HYPERLINK("https://www.wikidata.org/wiki/Q3010446", "Q3010446")</f>
        <v>0</v>
      </c>
      <c r="O12142" t="s">
        <v>20018</v>
      </c>
      <c r="Q12142" t="s">
        <v>399</v>
      </c>
      <c r="R12142" t="s">
        <v>21650</v>
      </c>
      <c r="S12142">
        <v>13440</v>
      </c>
    </row>
    <row r="12143" spans="1:19">
      <c r="A12143" t="s">
        <v>138</v>
      </c>
      <c r="B12143" t="s">
        <v>150</v>
      </c>
      <c r="C12143" t="s">
        <v>270</v>
      </c>
      <c r="D12143" t="s">
        <v>399</v>
      </c>
      <c r="F12143">
        <f>HYPERLINK("https://www.wikidata.org/wiki/Q111103102", "Q111103102")</f>
        <v>0</v>
      </c>
      <c r="G12143" t="s">
        <v>4029</v>
      </c>
      <c r="H12143" t="s">
        <v>8261</v>
      </c>
      <c r="I12143" t="s">
        <v>11071</v>
      </c>
      <c r="J12143" t="s">
        <v>13694</v>
      </c>
      <c r="K12143" t="s">
        <v>18915</v>
      </c>
      <c r="L12143">
        <f>HYPERLINK("https://www2.assemblee-nationale.fr/sycomore/fiche/(num_dept)/2826", "2826")</f>
        <v>0</v>
      </c>
      <c r="M12143">
        <f>HYPERLINK("https://www.senat.fr/senateur-3eme-republique/empereur_cesar1301r3.html", "empereur_cesar1301r3")</f>
        <v>0</v>
      </c>
      <c r="N12143">
        <f>HYPERLINK("https://www.wikidata.org/wiki/Q3010447", "Q3010447")</f>
        <v>0</v>
      </c>
      <c r="O12143" t="s">
        <v>19988</v>
      </c>
      <c r="Q12143" t="s">
        <v>399</v>
      </c>
      <c r="R12143" t="s">
        <v>21683</v>
      </c>
      <c r="S12143">
        <v>4024</v>
      </c>
    </row>
    <row r="12144" spans="1:19">
      <c r="A12144" t="s">
        <v>138</v>
      </c>
      <c r="B12144" t="s">
        <v>150</v>
      </c>
      <c r="C12144" t="s">
        <v>270</v>
      </c>
      <c r="D12144" t="s">
        <v>399</v>
      </c>
      <c r="F12144">
        <f>HYPERLINK("https://www.wikidata.org/wiki/Q111103102", "Q111103102")</f>
        <v>0</v>
      </c>
      <c r="G12144" t="s">
        <v>3842</v>
      </c>
      <c r="H12144" t="s">
        <v>8118</v>
      </c>
      <c r="I12144" t="s">
        <v>9388</v>
      </c>
      <c r="J12144" t="s">
        <v>13983</v>
      </c>
      <c r="K12144" t="s">
        <v>18756</v>
      </c>
      <c r="L12144">
        <f>HYPERLINK("https://www2.assemblee-nationale.fr/sycomore/fiche/(num_dept)/2856", "2856")</f>
        <v>0</v>
      </c>
      <c r="M12144">
        <f>HYPERLINK("https://www.senat.fr/senateur-3eme-republique/d_estournelles_de_constant_paul1252r3.html", "d_estournelles_de_constant_paul1252r3")</f>
        <v>0</v>
      </c>
      <c r="N12144">
        <f>HYPERLINK("https://www.wikidata.org/wiki/Q238731", "Q238731")</f>
        <v>0</v>
      </c>
      <c r="O12144" t="s">
        <v>19956</v>
      </c>
      <c r="Q12144" t="s">
        <v>399</v>
      </c>
      <c r="R12144" t="s">
        <v>21683</v>
      </c>
      <c r="S12144">
        <v>4024</v>
      </c>
    </row>
    <row r="12145" spans="1:19">
      <c r="A12145" t="s">
        <v>138</v>
      </c>
      <c r="B12145" t="s">
        <v>150</v>
      </c>
      <c r="C12145" t="s">
        <v>270</v>
      </c>
      <c r="D12145" t="s">
        <v>399</v>
      </c>
      <c r="F12145">
        <f>HYPERLINK("https://www.wikidata.org/wiki/Q111103102", "Q111103102")</f>
        <v>0</v>
      </c>
      <c r="G12145" t="s">
        <v>3701</v>
      </c>
      <c r="H12145" t="s">
        <v>8021</v>
      </c>
      <c r="I12145" t="s">
        <v>9426</v>
      </c>
      <c r="J12145" t="s">
        <v>14276</v>
      </c>
      <c r="K12145" t="s">
        <v>18635</v>
      </c>
      <c r="L12145">
        <f>HYPERLINK("https://www2.assemblee-nationale.fr/sycomore/fiche/(num_dept)/3013", "3013")</f>
        <v>0</v>
      </c>
      <c r="M12145">
        <f>HYPERLINK("https://www.senat.fr/senateur-3eme-republique/fiquet_alphonse1691r3.html", "fiquet_alphonse1691r3")</f>
        <v>0</v>
      </c>
      <c r="N12145">
        <f>HYPERLINK("https://www.wikidata.org/wiki/Q2839795", "Q2839795")</f>
        <v>0</v>
      </c>
      <c r="O12145" t="s">
        <v>20012</v>
      </c>
      <c r="Q12145" t="s">
        <v>399</v>
      </c>
      <c r="R12145" t="s">
        <v>21697</v>
      </c>
      <c r="S12145">
        <v>2688</v>
      </c>
    </row>
    <row r="12146" spans="1:19">
      <c r="A12146" t="s">
        <v>138</v>
      </c>
      <c r="B12146" t="s">
        <v>150</v>
      </c>
      <c r="C12146" t="s">
        <v>270</v>
      </c>
      <c r="D12146" t="s">
        <v>399</v>
      </c>
      <c r="F12146">
        <f>HYPERLINK("https://www.wikidata.org/wiki/Q111103102", "Q111103102")</f>
        <v>0</v>
      </c>
      <c r="G12146" t="s">
        <v>3776</v>
      </c>
      <c r="H12146" t="s">
        <v>5402</v>
      </c>
      <c r="I12146" t="s">
        <v>9516</v>
      </c>
      <c r="J12146" t="s">
        <v>14346</v>
      </c>
      <c r="K12146" t="s">
        <v>18698</v>
      </c>
      <c r="L12146">
        <f>HYPERLINK("https://www2.assemblee-nationale.fr/sycomore/fiche/(num_dept)/3022", "3022")</f>
        <v>0</v>
      </c>
      <c r="M12146">
        <f>HYPERLINK("https://www.senat.fr/senateur-3eme-republique/flandin_etienne1832r3.html", "flandin_etienne1832r3")</f>
        <v>0</v>
      </c>
      <c r="N12146">
        <f>HYPERLINK("https://www.wikidata.org/wiki/Q3592162", "Q3592162")</f>
        <v>0</v>
      </c>
      <c r="Q12146" t="s">
        <v>399</v>
      </c>
      <c r="R12146" t="s">
        <v>21683</v>
      </c>
      <c r="S12146">
        <v>4024</v>
      </c>
    </row>
    <row r="12147" spans="1:19">
      <c r="A12147" t="s">
        <v>138</v>
      </c>
      <c r="B12147" t="s">
        <v>150</v>
      </c>
      <c r="C12147" t="s">
        <v>270</v>
      </c>
      <c r="D12147" t="s">
        <v>399</v>
      </c>
      <c r="F12147">
        <f>HYPERLINK("https://www.wikidata.org/wiki/Q111103102", "Q111103102")</f>
        <v>0</v>
      </c>
      <c r="G12147" t="s">
        <v>4062</v>
      </c>
      <c r="H12147" t="s">
        <v>8285</v>
      </c>
      <c r="I12147" t="s">
        <v>11088</v>
      </c>
      <c r="J12147" t="s">
        <v>14602</v>
      </c>
      <c r="K12147" t="s">
        <v>16720</v>
      </c>
      <c r="L12147">
        <f>HYPERLINK("https://www2.assemblee-nationale.fr/sycomore/fiche/(num_dept)/3190", "3190")</f>
        <v>0</v>
      </c>
      <c r="M12147">
        <f>HYPERLINK("https://www.senat.fr/senateur-3eme-republique/gabrielli_thadee0481r3.html", "gabrielli_thadee0481r3")</f>
        <v>0</v>
      </c>
      <c r="N12147">
        <f>HYPERLINK("https://www.wikidata.org/wiki/Q3519412", "Q3519412")</f>
        <v>0</v>
      </c>
      <c r="O12147" t="s">
        <v>19955</v>
      </c>
      <c r="Q12147" t="s">
        <v>399</v>
      </c>
      <c r="R12147" t="s">
        <v>21678</v>
      </c>
      <c r="S12147">
        <v>1098</v>
      </c>
    </row>
    <row r="12148" spans="1:19">
      <c r="A12148" t="s">
        <v>138</v>
      </c>
      <c r="B12148" t="s">
        <v>150</v>
      </c>
      <c r="C12148" t="s">
        <v>270</v>
      </c>
      <c r="D12148" t="s">
        <v>399</v>
      </c>
      <c r="F12148">
        <f>HYPERLINK("https://www.wikidata.org/wiki/Q111103102", "Q111103102")</f>
        <v>0</v>
      </c>
      <c r="G12148" t="s">
        <v>3980</v>
      </c>
      <c r="H12148" t="s">
        <v>7822</v>
      </c>
      <c r="I12148" t="s">
        <v>9552</v>
      </c>
      <c r="J12148" t="s">
        <v>14529</v>
      </c>
      <c r="K12148" t="s">
        <v>18872</v>
      </c>
      <c r="L12148">
        <f>HYPERLINK("https://www2.assemblee-nationale.fr/sycomore/fiche/(num_dept)/3384", "3384")</f>
        <v>0</v>
      </c>
      <c r="M12148">
        <f>HYPERLINK("https://www.senat.fr/senateur-3eme-republique/gervais_auguste1416r3.html", "gervais_auguste1416r3")</f>
        <v>0</v>
      </c>
      <c r="N12148">
        <f>HYPERLINK("https://www.wikidata.org/wiki/Q2871200", "Q2871200")</f>
        <v>0</v>
      </c>
      <c r="O12148" t="s">
        <v>19969</v>
      </c>
      <c r="Q12148" t="s">
        <v>399</v>
      </c>
      <c r="R12148" t="s">
        <v>18872</v>
      </c>
      <c r="S12148">
        <v>3161</v>
      </c>
    </row>
    <row r="12149" spans="1:19">
      <c r="A12149" t="s">
        <v>138</v>
      </c>
      <c r="B12149" t="s">
        <v>150</v>
      </c>
      <c r="C12149" t="s">
        <v>270</v>
      </c>
      <c r="D12149" t="s">
        <v>399</v>
      </c>
      <c r="F12149">
        <f>HYPERLINK("https://www.wikidata.org/wiki/Q111103102", "Q111103102")</f>
        <v>0</v>
      </c>
      <c r="G12149" t="s">
        <v>3370</v>
      </c>
      <c r="H12149" t="s">
        <v>6472</v>
      </c>
      <c r="I12149" t="s">
        <v>10037</v>
      </c>
      <c r="J12149" t="s">
        <v>13982</v>
      </c>
      <c r="K12149" t="s">
        <v>18350</v>
      </c>
      <c r="L12149">
        <f>HYPERLINK("https://www2.assemblee-nationale.fr/sycomore/fiche/(num_dept)/3472", "3472")</f>
        <v>0</v>
      </c>
      <c r="M12149">
        <f>HYPERLINK("https://www.senat.fr/senateur-3eme-republique/goirand_leopold1625r3.html", "goirand_leopold1625r3")</f>
        <v>0</v>
      </c>
      <c r="N12149">
        <f>HYPERLINK("https://www.wikidata.org/wiki/Q3271812", "Q3271812")</f>
        <v>0</v>
      </c>
      <c r="O12149" t="s">
        <v>20021</v>
      </c>
      <c r="Q12149" t="s">
        <v>399</v>
      </c>
      <c r="R12149" t="s">
        <v>21650</v>
      </c>
      <c r="S12149">
        <v>13440</v>
      </c>
    </row>
    <row r="12150" spans="1:19">
      <c r="A12150" t="s">
        <v>138</v>
      </c>
      <c r="B12150" t="s">
        <v>150</v>
      </c>
      <c r="C12150" t="s">
        <v>270</v>
      </c>
      <c r="D12150" t="s">
        <v>399</v>
      </c>
      <c r="F12150">
        <f>HYPERLINK("https://www.wikidata.org/wiki/Q111103102", "Q111103102")</f>
        <v>0</v>
      </c>
      <c r="G12150" t="s">
        <v>3638</v>
      </c>
      <c r="H12150" t="s">
        <v>5424</v>
      </c>
      <c r="I12150" t="s">
        <v>9535</v>
      </c>
      <c r="J12150" t="s">
        <v>14218</v>
      </c>
      <c r="K12150" t="s">
        <v>18582</v>
      </c>
      <c r="L12150">
        <f>HYPERLINK("https://www2.assemblee-nationale.fr/sycomore/fiche/(num_dept)/3498", "3498")</f>
        <v>0</v>
      </c>
      <c r="M12150">
        <f>HYPERLINK("https://www.senat.fr/senateur-3eme-republique/goujon_julien1586r3.html", "goujon_julien1586r3")</f>
        <v>0</v>
      </c>
      <c r="N12150">
        <f>HYPERLINK("https://www.wikidata.org/wiki/Q3189509", "Q3189509")</f>
        <v>0</v>
      </c>
      <c r="O12150" t="s">
        <v>19978</v>
      </c>
      <c r="Q12150" t="s">
        <v>399</v>
      </c>
      <c r="R12150" t="s">
        <v>20534</v>
      </c>
      <c r="S12150">
        <v>1169</v>
      </c>
    </row>
    <row r="12151" spans="1:19">
      <c r="A12151" t="s">
        <v>138</v>
      </c>
      <c r="B12151" t="s">
        <v>150</v>
      </c>
      <c r="C12151" t="s">
        <v>270</v>
      </c>
      <c r="D12151" t="s">
        <v>399</v>
      </c>
      <c r="F12151">
        <f>HYPERLINK("https://www.wikidata.org/wiki/Q111103102", "Q111103102")</f>
        <v>0</v>
      </c>
      <c r="G12151" t="s">
        <v>3983</v>
      </c>
      <c r="H12151" t="s">
        <v>8224</v>
      </c>
      <c r="I12151" t="s">
        <v>9388</v>
      </c>
      <c r="J12151" t="s">
        <v>14532</v>
      </c>
      <c r="K12151" t="s">
        <v>18874</v>
      </c>
      <c r="L12151">
        <f>HYPERLINK("https://www2.assemblee-nationale.fr/sycomore/fiche/(num_dept)/3530", "3530")</f>
        <v>0</v>
      </c>
      <c r="M12151">
        <f>HYPERLINK("https://www.senat.fr/senateur-3eme-republique/gouzy_paul1686r3.html", "gouzy_paul1686r3")</f>
        <v>0</v>
      </c>
      <c r="N12151">
        <f>HYPERLINK("https://www.wikidata.org/wiki/Q3371348", "Q3371348")</f>
        <v>0</v>
      </c>
      <c r="O12151" t="s">
        <v>19962</v>
      </c>
      <c r="Q12151" t="s">
        <v>399</v>
      </c>
      <c r="R12151" t="s">
        <v>18874</v>
      </c>
      <c r="S12151">
        <v>3825</v>
      </c>
    </row>
    <row r="12152" spans="1:19">
      <c r="A12152" t="s">
        <v>138</v>
      </c>
      <c r="B12152" t="s">
        <v>150</v>
      </c>
      <c r="C12152" t="s">
        <v>270</v>
      </c>
      <c r="D12152" t="s">
        <v>399</v>
      </c>
      <c r="F12152">
        <f>HYPERLINK("https://www.wikidata.org/wiki/Q111103102", "Q111103102")</f>
        <v>0</v>
      </c>
      <c r="G12152" t="s">
        <v>3075</v>
      </c>
      <c r="H12152" t="s">
        <v>7525</v>
      </c>
      <c r="I12152" t="s">
        <v>9455</v>
      </c>
      <c r="J12152" t="s">
        <v>13699</v>
      </c>
      <c r="K12152" t="s">
        <v>18082</v>
      </c>
      <c r="L12152">
        <f>HYPERLINK("https://www2.assemblee-nationale.fr/sycomore/fiche/(num_dept)/3674", "3674")</f>
        <v>0</v>
      </c>
      <c r="M12152">
        <f>HYPERLINK("https://www.senat.fr/senateur-3eme-republique/guillemaut_lucien1225r3.html", "guillemaut_lucien1225r3")</f>
        <v>0</v>
      </c>
      <c r="N12152">
        <f>HYPERLINK("https://www.wikidata.org/wiki/Q3265536", "Q3265536")</f>
        <v>0</v>
      </c>
      <c r="O12152" t="s">
        <v>19994</v>
      </c>
      <c r="Q12152" t="s">
        <v>399</v>
      </c>
      <c r="R12152" t="s">
        <v>21650</v>
      </c>
      <c r="S12152">
        <v>13440</v>
      </c>
    </row>
    <row r="12153" spans="1:19">
      <c r="A12153" t="s">
        <v>138</v>
      </c>
      <c r="B12153" t="s">
        <v>150</v>
      </c>
      <c r="C12153" t="s">
        <v>270</v>
      </c>
      <c r="D12153" t="s">
        <v>399</v>
      </c>
      <c r="F12153">
        <f>HYPERLINK("https://www.wikidata.org/wiki/Q111103102", "Q111103102")</f>
        <v>0</v>
      </c>
      <c r="G12153" t="s">
        <v>4068</v>
      </c>
      <c r="H12153" t="s">
        <v>8288</v>
      </c>
      <c r="I12153" t="s">
        <v>9449</v>
      </c>
      <c r="J12153" t="s">
        <v>14608</v>
      </c>
      <c r="K12153" t="s">
        <v>18945</v>
      </c>
      <c r="L12153">
        <f>HYPERLINK("https://www2.assemblee-nationale.fr/sycomore/fiche/(num_dept)/4024", "4024")</f>
        <v>0</v>
      </c>
      <c r="M12153">
        <f>HYPERLINK("https://www.senat.fr/senateur-3eme-republique/jeanneney_jules1206r3.html", "jeanneney_jules1206r3")</f>
        <v>0</v>
      </c>
      <c r="N12153">
        <f>HYPERLINK("https://www.wikidata.org/wiki/Q3188688", "Q3188688")</f>
        <v>0</v>
      </c>
      <c r="O12153" t="s">
        <v>20036</v>
      </c>
      <c r="Q12153" t="s">
        <v>399</v>
      </c>
      <c r="R12153" t="s">
        <v>21683</v>
      </c>
      <c r="S12153">
        <v>4024</v>
      </c>
    </row>
    <row r="12154" spans="1:19">
      <c r="A12154" t="s">
        <v>138</v>
      </c>
      <c r="B12154" t="s">
        <v>150</v>
      </c>
      <c r="C12154" t="s">
        <v>270</v>
      </c>
      <c r="D12154" t="s">
        <v>399</v>
      </c>
      <c r="F12154">
        <f>HYPERLINK("https://www.wikidata.org/wiki/Q111103102", "Q111103102")</f>
        <v>0</v>
      </c>
      <c r="G12154" t="s">
        <v>3262</v>
      </c>
      <c r="H12154" t="s">
        <v>7680</v>
      </c>
      <c r="I12154" t="s">
        <v>10737</v>
      </c>
      <c r="J12154" t="s">
        <v>13878</v>
      </c>
      <c r="K12154" t="s">
        <v>18250</v>
      </c>
      <c r="L12154">
        <f>HYPERLINK("https://www2.assemblee-nationale.fr/sycomore/fiche/(num_dept)/4889", "4889")</f>
        <v>0</v>
      </c>
      <c r="M12154">
        <f>HYPERLINK("https://www.senat.fr/senateur-3eme-republique/magnien_gabriel1229r3.html", "magnien_gabriel1229r3")</f>
        <v>0</v>
      </c>
      <c r="N12154">
        <f>HYPERLINK("https://www.wikidata.org/wiki/Q3093845", "Q3093845")</f>
        <v>0</v>
      </c>
      <c r="O12154" t="s">
        <v>19994</v>
      </c>
      <c r="Q12154" t="s">
        <v>399</v>
      </c>
      <c r="R12154" t="s">
        <v>21650</v>
      </c>
      <c r="S12154">
        <v>13440</v>
      </c>
    </row>
    <row r="12155" spans="1:19">
      <c r="A12155" t="s">
        <v>138</v>
      </c>
      <c r="B12155" t="s">
        <v>150</v>
      </c>
      <c r="C12155" t="s">
        <v>270</v>
      </c>
      <c r="D12155" t="s">
        <v>399</v>
      </c>
      <c r="F12155">
        <f>HYPERLINK("https://www.wikidata.org/wiki/Q111103102", "Q111103102")</f>
        <v>0</v>
      </c>
      <c r="G12155" t="s">
        <v>3578</v>
      </c>
      <c r="H12155" t="s">
        <v>7929</v>
      </c>
      <c r="I12155" t="s">
        <v>9534</v>
      </c>
      <c r="J12155" t="s">
        <v>14165</v>
      </c>
      <c r="K12155" t="s">
        <v>18534</v>
      </c>
      <c r="L12155">
        <f>HYPERLINK("https://www2.assemblee-nationale.fr/sycomore/fiche/(num_dept)/5116", "5116")</f>
        <v>0</v>
      </c>
      <c r="M12155">
        <f>HYPERLINK("https://www.senat.fr/senateur-3eme-republique/maujan_adolphe1560r3.html", "maujan_adolphe1560r3")</f>
        <v>0</v>
      </c>
      <c r="N12155">
        <f>HYPERLINK("https://www.wikidata.org/wiki/Q2824874", "Q2824874")</f>
        <v>0</v>
      </c>
      <c r="O12155" t="s">
        <v>19969</v>
      </c>
      <c r="Q12155" t="s">
        <v>399</v>
      </c>
      <c r="R12155" t="s">
        <v>21698</v>
      </c>
      <c r="S12155">
        <v>1937</v>
      </c>
    </row>
    <row r="12156" spans="1:19">
      <c r="A12156" t="s">
        <v>138</v>
      </c>
      <c r="B12156" t="s">
        <v>150</v>
      </c>
      <c r="C12156" t="s">
        <v>270</v>
      </c>
      <c r="D12156" t="s">
        <v>399</v>
      </c>
      <c r="F12156">
        <f>HYPERLINK("https://www.wikidata.org/wiki/Q111103102", "Q111103102")</f>
        <v>0</v>
      </c>
      <c r="G12156" t="s">
        <v>2629</v>
      </c>
      <c r="H12156" t="s">
        <v>7175</v>
      </c>
      <c r="I12156" t="s">
        <v>9449</v>
      </c>
      <c r="J12156" t="s">
        <v>13271</v>
      </c>
      <c r="K12156" t="s">
        <v>17673</v>
      </c>
      <c r="L12156">
        <f>HYPERLINK("https://www2.assemblee-nationale.fr/sycomore/fiche/(num_dept)/5168", "5168")</f>
        <v>0</v>
      </c>
      <c r="M12156">
        <f>HYPERLINK("https://www.senat.fr/senateur-3eme-republique/meline_jules1799r3.html", "meline_jules1799r3")</f>
        <v>0</v>
      </c>
      <c r="N12156">
        <f>HYPERLINK("https://www.wikidata.org/wiki/Q459914", "Q459914")</f>
        <v>0</v>
      </c>
      <c r="O12156" t="s">
        <v>20017</v>
      </c>
      <c r="Q12156" t="s">
        <v>399</v>
      </c>
      <c r="R12156" t="s">
        <v>21683</v>
      </c>
      <c r="S12156">
        <v>4024</v>
      </c>
    </row>
    <row r="12157" spans="1:19">
      <c r="A12157" t="s">
        <v>138</v>
      </c>
      <c r="B12157" t="s">
        <v>150</v>
      </c>
      <c r="C12157" t="s">
        <v>270</v>
      </c>
      <c r="D12157" t="s">
        <v>399</v>
      </c>
      <c r="F12157">
        <f>HYPERLINK("https://www.wikidata.org/wiki/Q111103102", "Q111103102")</f>
        <v>0</v>
      </c>
      <c r="G12157" t="s">
        <v>3997</v>
      </c>
      <c r="H12157" t="s">
        <v>6603</v>
      </c>
      <c r="I12157" t="s">
        <v>11055</v>
      </c>
      <c r="J12157" t="s">
        <v>11345</v>
      </c>
      <c r="K12157" t="s">
        <v>18887</v>
      </c>
      <c r="L12157">
        <f>HYPERLINK("https://www2.assemblee-nationale.fr/sycomore/fiche/(num_dept)/5179", "5179")</f>
        <v>0</v>
      </c>
      <c r="M12157">
        <f>HYPERLINK("https://www.senat.fr/senateur-3eme-republique/menier_gaston1610r3.html", "menier_gaston1610r3")</f>
        <v>0</v>
      </c>
      <c r="N12157">
        <f>HYPERLINK("https://www.wikidata.org/wiki/Q3099085", "Q3099085")</f>
        <v>0</v>
      </c>
      <c r="O12157" t="s">
        <v>20026</v>
      </c>
      <c r="Q12157" t="s">
        <v>399</v>
      </c>
      <c r="R12157" t="s">
        <v>21683</v>
      </c>
      <c r="S12157">
        <v>4024</v>
      </c>
    </row>
    <row r="12158" spans="1:19">
      <c r="A12158" t="s">
        <v>138</v>
      </c>
      <c r="B12158" t="s">
        <v>150</v>
      </c>
      <c r="C12158" t="s">
        <v>270</v>
      </c>
      <c r="D12158" t="s">
        <v>399</v>
      </c>
      <c r="F12158">
        <f>HYPERLINK("https://www.wikidata.org/wiki/Q111103102", "Q111103102")</f>
        <v>0</v>
      </c>
      <c r="G12158" t="s">
        <v>3821</v>
      </c>
      <c r="H12158" t="s">
        <v>6235</v>
      </c>
      <c r="I12158" t="s">
        <v>9449</v>
      </c>
      <c r="J12158" t="s">
        <v>14387</v>
      </c>
      <c r="K12158" t="s">
        <v>18739</v>
      </c>
      <c r="L12158">
        <f>HYPERLINK("https://www2.assemblee-nationale.fr/sycomore/fiche/(num_dept)/5196", "5196")</f>
        <v>0</v>
      </c>
      <c r="M12158">
        <f>HYPERLINK("https://www.senat.fr/senateur-3eme-republique/mercier_jules1308r3.html", "mercier_jules1308r3")</f>
        <v>0</v>
      </c>
      <c r="N12158">
        <f>HYPERLINK("https://www.wikidata.org/wiki/Q3188780", "Q3188780")</f>
        <v>0</v>
      </c>
      <c r="O12158" t="s">
        <v>20018</v>
      </c>
      <c r="Q12158" t="s">
        <v>399</v>
      </c>
      <c r="R12158" t="s">
        <v>21683</v>
      </c>
      <c r="S12158">
        <v>4024</v>
      </c>
    </row>
    <row r="12159" spans="1:19">
      <c r="A12159" t="s">
        <v>138</v>
      </c>
      <c r="B12159" t="s">
        <v>150</v>
      </c>
      <c r="C12159" t="s">
        <v>270</v>
      </c>
      <c r="D12159" t="s">
        <v>399</v>
      </c>
      <c r="F12159">
        <f>HYPERLINK("https://www.wikidata.org/wiki/Q111103102", "Q111103102")</f>
        <v>0</v>
      </c>
      <c r="G12159" t="s">
        <v>3581</v>
      </c>
      <c r="H12159" t="s">
        <v>7931</v>
      </c>
      <c r="I12159" t="s">
        <v>6495</v>
      </c>
      <c r="J12159" t="s">
        <v>14168</v>
      </c>
      <c r="K12159" t="s">
        <v>18537</v>
      </c>
      <c r="L12159">
        <f>HYPERLINK("https://www2.assemblee-nationale.fr/sycomore/fiche/(num_dept)/5384", "5384")</f>
        <v>0</v>
      </c>
      <c r="M12159">
        <f>HYPERLINK("https://www.senat.fr/senateur-3eme-republique/de_montfort_louis1574r3.html", "de_montfort_louis1574r3")</f>
        <v>0</v>
      </c>
      <c r="N12159">
        <f>HYPERLINK("https://www.wikidata.org/wiki/Q3263531", "Q3263531")</f>
        <v>0</v>
      </c>
      <c r="O12159" t="s">
        <v>19978</v>
      </c>
      <c r="Q12159" t="s">
        <v>399</v>
      </c>
      <c r="R12159" t="s">
        <v>21650</v>
      </c>
      <c r="S12159">
        <v>13440</v>
      </c>
    </row>
    <row r="12160" spans="1:19">
      <c r="A12160" t="s">
        <v>138</v>
      </c>
      <c r="B12160" t="s">
        <v>150</v>
      </c>
      <c r="C12160" t="s">
        <v>270</v>
      </c>
      <c r="D12160" t="s">
        <v>399</v>
      </c>
      <c r="F12160">
        <f>HYPERLINK("https://www.wikidata.org/wiki/Q111103102", "Q111103102")</f>
        <v>0</v>
      </c>
      <c r="G12160" t="s">
        <v>3721</v>
      </c>
      <c r="H12160" t="s">
        <v>8030</v>
      </c>
      <c r="I12160" t="s">
        <v>9449</v>
      </c>
      <c r="J12160" t="s">
        <v>14296</v>
      </c>
      <c r="K12160" t="s">
        <v>18650</v>
      </c>
      <c r="L12160">
        <f>HYPERLINK("https://www2.assemblee-nationale.fr/sycomore/fiche/(num_dept)/5665", "5665")</f>
        <v>0</v>
      </c>
      <c r="M12160">
        <f>HYPERLINK("https://www.senat.fr/senateur-3eme-republique/pams_jules1089r3.html", "pams_jules1089r3")</f>
        <v>0</v>
      </c>
      <c r="N12160">
        <f>HYPERLINK("https://www.wikidata.org/wiki/Q3188830", "Q3188830")</f>
        <v>0</v>
      </c>
      <c r="O12160" t="s">
        <v>20001</v>
      </c>
      <c r="Q12160" t="s">
        <v>399</v>
      </c>
      <c r="R12160" t="s">
        <v>21683</v>
      </c>
      <c r="S12160">
        <v>4024</v>
      </c>
    </row>
    <row r="12161" spans="1:19">
      <c r="A12161" t="s">
        <v>138</v>
      </c>
      <c r="B12161" t="s">
        <v>150</v>
      </c>
      <c r="C12161" t="s">
        <v>270</v>
      </c>
      <c r="D12161" t="s">
        <v>399</v>
      </c>
      <c r="F12161">
        <f>HYPERLINK("https://www.wikidata.org/wiki/Q111103102", "Q111103102")</f>
        <v>0</v>
      </c>
      <c r="G12161" t="s">
        <v>3722</v>
      </c>
      <c r="H12161" t="s">
        <v>8031</v>
      </c>
      <c r="I12161" t="s">
        <v>10947</v>
      </c>
      <c r="J12161" t="s">
        <v>14297</v>
      </c>
      <c r="K12161" t="s">
        <v>18651</v>
      </c>
      <c r="L12161">
        <f>HYPERLINK("https://www2.assemblee-nationale.fr/sycomore/fiche/(num_dept)/5745", "5745")</f>
        <v>0</v>
      </c>
      <c r="M12161">
        <f>HYPERLINK("https://www.senat.fr/senateur-3eme-republique/pedebidou_adolphe1079r3.html", "pedebidou_adolphe1079r3")</f>
        <v>0</v>
      </c>
      <c r="N12161">
        <f>HYPERLINK("https://www.wikidata.org/wiki/Q2839931", "Q2839931")</f>
        <v>0</v>
      </c>
      <c r="O12161" t="s">
        <v>20027</v>
      </c>
      <c r="Q12161" t="s">
        <v>399</v>
      </c>
      <c r="R12161" t="s">
        <v>21683</v>
      </c>
      <c r="S12161">
        <v>4024</v>
      </c>
    </row>
    <row r="12162" spans="1:19">
      <c r="A12162" t="s">
        <v>138</v>
      </c>
      <c r="B12162" t="s">
        <v>150</v>
      </c>
      <c r="C12162" t="s">
        <v>270</v>
      </c>
      <c r="D12162" t="s">
        <v>399</v>
      </c>
      <c r="F12162">
        <f>HYPERLINK("https://www.wikidata.org/wiki/Q111103102", "Q111103102")</f>
        <v>0</v>
      </c>
      <c r="G12162" t="s">
        <v>3489</v>
      </c>
      <c r="H12162" t="s">
        <v>5776</v>
      </c>
      <c r="I12162" t="s">
        <v>9401</v>
      </c>
      <c r="J12162" t="s">
        <v>14088</v>
      </c>
      <c r="K12162" t="s">
        <v>18453</v>
      </c>
      <c r="L12162">
        <f>HYPERLINK("https://www2.assemblee-nationale.fr/sycomore/fiche/(num_dept)/5810", "5810")</f>
        <v>0</v>
      </c>
      <c r="M12162">
        <f>HYPERLINK("https://www.senat.fr/senateur-3eme-republique/perrier_antoine1304r3.html", "perrier_antoine1304r3")</f>
        <v>0</v>
      </c>
      <c r="N12162">
        <f>HYPERLINK("https://www.wikidata.org/wiki/Q2856600", "Q2856600")</f>
        <v>0</v>
      </c>
      <c r="O12162" t="s">
        <v>19988</v>
      </c>
      <c r="Q12162" t="s">
        <v>399</v>
      </c>
      <c r="R12162" t="s">
        <v>21650</v>
      </c>
      <c r="S12162">
        <v>13440</v>
      </c>
    </row>
    <row r="12163" spans="1:19">
      <c r="A12163" t="s">
        <v>138</v>
      </c>
      <c r="B12163" t="s">
        <v>150</v>
      </c>
      <c r="C12163" t="s">
        <v>270</v>
      </c>
      <c r="D12163" t="s">
        <v>399</v>
      </c>
      <c r="F12163">
        <f>HYPERLINK("https://www.wikidata.org/wiki/Q111103102", "Q111103102")</f>
        <v>0</v>
      </c>
      <c r="G12163" t="s">
        <v>4136</v>
      </c>
      <c r="H12163" t="s">
        <v>8341</v>
      </c>
      <c r="I12163" t="s">
        <v>6584</v>
      </c>
      <c r="J12163" t="s">
        <v>11772</v>
      </c>
      <c r="K12163" t="s">
        <v>16224</v>
      </c>
      <c r="L12163">
        <f>HYPERLINK("https://www2.assemblee-nationale.fr/sycomore/fiche/(num_dept)/6134", "6134")</f>
        <v>0</v>
      </c>
      <c r="M12163">
        <f>HYPERLINK("https://www.senat.fr/senateur-3eme-republique/rouse_albert1671r3.html", "rouse_albert1671r3")</f>
        <v>0</v>
      </c>
      <c r="N12163">
        <f>HYPERLINK("https://www.wikidata.org/wiki/Q2831515", "Q2831515")</f>
        <v>0</v>
      </c>
      <c r="O12163" t="s">
        <v>20012</v>
      </c>
      <c r="Q12163" t="s">
        <v>399</v>
      </c>
      <c r="R12163" t="s">
        <v>21683</v>
      </c>
      <c r="S12163">
        <v>4024</v>
      </c>
    </row>
    <row r="12164" spans="1:19">
      <c r="A12164" t="s">
        <v>138</v>
      </c>
      <c r="B12164" t="s">
        <v>150</v>
      </c>
      <c r="C12164" t="s">
        <v>270</v>
      </c>
      <c r="D12164" t="s">
        <v>399</v>
      </c>
      <c r="F12164">
        <f>HYPERLINK("https://www.wikidata.org/wiki/Q111103102", "Q111103102")</f>
        <v>0</v>
      </c>
      <c r="G12164" t="s">
        <v>4085</v>
      </c>
      <c r="H12164" t="s">
        <v>8300</v>
      </c>
      <c r="I12164" t="s">
        <v>9638</v>
      </c>
      <c r="J12164" t="s">
        <v>14624</v>
      </c>
      <c r="K12164" t="s">
        <v>18959</v>
      </c>
      <c r="L12164">
        <f>HYPERLINK("https://www2.assemblee-nationale.fr/sycomore/fiche/(num_dept)/6196", "6196")</f>
        <v>0</v>
      </c>
      <c r="M12164">
        <f>HYPERLINK("https://www.senat.fr/senateur-3eme-republique/sabaterie_pierre_jean0994r3.html", "sabaterie_pierre_jean0994r3")</f>
        <v>0</v>
      </c>
      <c r="N12164">
        <f>HYPERLINK("https://www.wikidata.org/wiki/Q3383181", "Q3383181")</f>
        <v>0</v>
      </c>
      <c r="O12164" t="s">
        <v>20005</v>
      </c>
      <c r="Q12164" t="s">
        <v>399</v>
      </c>
      <c r="R12164" t="s">
        <v>21683</v>
      </c>
      <c r="S12164">
        <v>4024</v>
      </c>
    </row>
    <row r="12165" spans="1:19">
      <c r="A12165" t="s">
        <v>138</v>
      </c>
      <c r="B12165" t="s">
        <v>150</v>
      </c>
      <c r="C12165" t="s">
        <v>270</v>
      </c>
      <c r="D12165" t="s">
        <v>399</v>
      </c>
      <c r="F12165">
        <f>HYPERLINK("https://www.wikidata.org/wiki/Q111103102", "Q111103102")</f>
        <v>0</v>
      </c>
      <c r="G12165" t="s">
        <v>3493</v>
      </c>
      <c r="H12165" t="s">
        <v>7799</v>
      </c>
      <c r="I12165" t="s">
        <v>9523</v>
      </c>
      <c r="J12165" t="s">
        <v>14092</v>
      </c>
      <c r="K12165" t="s">
        <v>18457</v>
      </c>
      <c r="L12165">
        <f>HYPERLINK("https://www2.assemblee-nationale.fr/sycomore/fiche/(num_dept)/6215", "6215")</f>
        <v>0</v>
      </c>
      <c r="M12165">
        <f>HYPERLINK("https://www.senat.fr/senateur-3eme-republique/saint_germain_marcel1823r3.html", "saint_germain_marcel1823r3")</f>
        <v>0</v>
      </c>
      <c r="N12165">
        <f>HYPERLINK("https://www.wikidata.org/wiki/Q16798548", "Q16798548")</f>
        <v>0</v>
      </c>
      <c r="Q12165" t="s">
        <v>399</v>
      </c>
      <c r="R12165" t="s">
        <v>21650</v>
      </c>
      <c r="S12165">
        <v>13440</v>
      </c>
    </row>
    <row r="12166" spans="1:19">
      <c r="A12166" t="s">
        <v>138</v>
      </c>
      <c r="B12166" t="s">
        <v>150</v>
      </c>
      <c r="C12166" t="s">
        <v>270</v>
      </c>
      <c r="D12166" t="s">
        <v>399</v>
      </c>
      <c r="F12166">
        <f>HYPERLINK("https://www.wikidata.org/wiki/Q111103102", "Q111103102")</f>
        <v>0</v>
      </c>
      <c r="G12166" t="s">
        <v>2659</v>
      </c>
      <c r="H12166" t="s">
        <v>7199</v>
      </c>
      <c r="I12166" t="s">
        <v>9376</v>
      </c>
      <c r="J12166" t="s">
        <v>13300</v>
      </c>
      <c r="K12166" t="s">
        <v>17700</v>
      </c>
      <c r="L12166">
        <f>HYPERLINK("https://www2.assemblee-nationale.fr/sycomore/fiche/(num_dept)/6297", "6297")</f>
        <v>0</v>
      </c>
      <c r="M12166">
        <f>HYPERLINK("https://www.senat.fr/senateur-3eme-republique/sarrien_ferdinand1219r3.html", "sarrien_ferdinand1219r3")</f>
        <v>0</v>
      </c>
      <c r="N12166">
        <f>HYPERLINK("https://www.wikidata.org/wiki/Q718698", "Q718698")</f>
        <v>0</v>
      </c>
      <c r="O12166" t="s">
        <v>19994</v>
      </c>
      <c r="Q12166" t="s">
        <v>399</v>
      </c>
      <c r="R12166" t="s">
        <v>17700</v>
      </c>
      <c r="S12166">
        <v>2520</v>
      </c>
    </row>
    <row r="12167" spans="1:19">
      <c r="A12167" t="s">
        <v>138</v>
      </c>
      <c r="B12167" t="s">
        <v>150</v>
      </c>
      <c r="C12167" t="s">
        <v>270</v>
      </c>
      <c r="D12167" t="s">
        <v>399</v>
      </c>
      <c r="F12167">
        <f>HYPERLINK("https://www.wikidata.org/wiki/Q111103102", "Q111103102")</f>
        <v>0</v>
      </c>
      <c r="G12167" t="s">
        <v>1615</v>
      </c>
      <c r="H12167" t="s">
        <v>6300</v>
      </c>
      <c r="I12167" t="s">
        <v>9859</v>
      </c>
      <c r="J12167" t="s">
        <v>12322</v>
      </c>
      <c r="K12167" t="s">
        <v>16732</v>
      </c>
      <c r="L12167">
        <f>HYPERLINK("https://www2.assemblee-nationale.fr/sycomore/fiche/(num_dept)/6707", "6707")</f>
        <v>0</v>
      </c>
      <c r="M12167">
        <f>HYPERLINK("https://www.senat.fr/senateur-3eme-republique/reymonenq_victor1733r3.html", "reymonenq_victor1733r3")</f>
        <v>0</v>
      </c>
      <c r="N12167">
        <f>HYPERLINK("https://www.wikidata.org/wiki/Q3557539", "Q3557539")</f>
        <v>0</v>
      </c>
      <c r="O12167" t="s">
        <v>20042</v>
      </c>
      <c r="Q12167" t="s">
        <v>399</v>
      </c>
      <c r="R12167" t="s">
        <v>21693</v>
      </c>
      <c r="S12167">
        <v>4006</v>
      </c>
    </row>
    <row r="12168" spans="1:19">
      <c r="A12168" t="s">
        <v>138</v>
      </c>
      <c r="B12168" t="s">
        <v>150</v>
      </c>
      <c r="C12168" t="s">
        <v>270</v>
      </c>
      <c r="D12168" t="s">
        <v>399</v>
      </c>
      <c r="F12168">
        <f>HYPERLINK("https://www.wikidata.org/wiki/Q111103102", "Q111103102")</f>
        <v>0</v>
      </c>
      <c r="G12168" t="s">
        <v>2671</v>
      </c>
      <c r="H12168" t="s">
        <v>7208</v>
      </c>
      <c r="I12168" t="s">
        <v>9553</v>
      </c>
      <c r="J12168" t="s">
        <v>13312</v>
      </c>
      <c r="K12168" t="s">
        <v>17712</v>
      </c>
      <c r="L12168">
        <f>HYPERLINK("https://www2.assemblee-nationale.fr/sycomore/fiche/(num_dept)/6727", "6727")</f>
        <v>0</v>
      </c>
      <c r="M12168">
        <f>HYPERLINK("https://www.senat.fr/senateur-3eme-republique/ribot_alexandre0941r3.html", "ribot_alexandre0941r3")</f>
        <v>0</v>
      </c>
      <c r="N12168">
        <f>HYPERLINK("https://www.wikidata.org/wiki/Q358387", "Q358387")</f>
        <v>0</v>
      </c>
      <c r="O12168" t="s">
        <v>19968</v>
      </c>
      <c r="Q12168" t="s">
        <v>399</v>
      </c>
      <c r="R12168" t="s">
        <v>21683</v>
      </c>
      <c r="S12168">
        <v>4024</v>
      </c>
    </row>
    <row r="12169" spans="1:19">
      <c r="A12169" t="s">
        <v>138</v>
      </c>
      <c r="B12169" t="s">
        <v>150</v>
      </c>
      <c r="C12169" t="s">
        <v>270</v>
      </c>
      <c r="D12169" t="s">
        <v>399</v>
      </c>
      <c r="F12169">
        <f>HYPERLINK("https://www.wikidata.org/wiki/Q111103102", "Q111103102")</f>
        <v>0</v>
      </c>
      <c r="G12169" t="s">
        <v>3604</v>
      </c>
      <c r="H12169" t="s">
        <v>7948</v>
      </c>
      <c r="I12169" t="s">
        <v>9457</v>
      </c>
      <c r="J12169" t="s">
        <v>14189</v>
      </c>
      <c r="K12169" t="s">
        <v>18555</v>
      </c>
      <c r="L12169">
        <f>HYPERLINK("https://www2.assemblee-nationale.fr/sycomore/fiche/(num_dept)/7193", "7193")</f>
        <v>0</v>
      </c>
      <c r="M12169">
        <f>HYPERLINK("https://www.senat.fr/senateur-3eme-republique/vacherie_henri1791r3.html", "vacherie_henri1791r3")</f>
        <v>0</v>
      </c>
      <c r="N12169">
        <f>HYPERLINK("https://www.wikidata.org/wiki/Q3132113", "Q3132113")</f>
        <v>0</v>
      </c>
      <c r="O12169" t="s">
        <v>19977</v>
      </c>
      <c r="Q12169" t="s">
        <v>399</v>
      </c>
      <c r="R12169" t="s">
        <v>18555</v>
      </c>
      <c r="S12169">
        <v>3107</v>
      </c>
    </row>
    <row r="12170" spans="1:19">
      <c r="A12170" t="s">
        <v>138</v>
      </c>
      <c r="B12170" t="s">
        <v>150</v>
      </c>
      <c r="C12170" t="s">
        <v>270</v>
      </c>
      <c r="D12170" t="s">
        <v>399</v>
      </c>
      <c r="F12170">
        <f>HYPERLINK("https://www.wikidata.org/wiki/Q111103102", "Q111103102")</f>
        <v>0</v>
      </c>
      <c r="G12170" t="s">
        <v>3174</v>
      </c>
      <c r="H12170" t="s">
        <v>7605</v>
      </c>
      <c r="I12170" t="s">
        <v>9375</v>
      </c>
      <c r="J12170" t="s">
        <v>13795</v>
      </c>
      <c r="K12170" t="s">
        <v>18170</v>
      </c>
      <c r="L12170">
        <f>HYPERLINK("https://www2.assemblee-nationale.fr/sycomore/fiche/(num_dept)/7464", "7464")</f>
        <v>0</v>
      </c>
      <c r="M12170">
        <f>HYPERLINK("https://www.senat.fr/senateur-3eme-republique/vilar_edouard1097r3.html", "vilar_edouard1097r3")</f>
        <v>0</v>
      </c>
      <c r="N12170">
        <f>HYPERLINK("https://www.wikidata.org/wiki/Q3580059", "Q3580059")</f>
        <v>0</v>
      </c>
      <c r="O12170" t="s">
        <v>20001</v>
      </c>
      <c r="Q12170" t="s">
        <v>399</v>
      </c>
      <c r="R12170" t="s">
        <v>21683</v>
      </c>
      <c r="S12170">
        <v>4024</v>
      </c>
    </row>
    <row r="12171" spans="1:19">
      <c r="A12171" t="s">
        <v>138</v>
      </c>
      <c r="B12171" t="s">
        <v>150</v>
      </c>
      <c r="C12171" t="s">
        <v>270</v>
      </c>
      <c r="D12171" t="s">
        <v>399</v>
      </c>
      <c r="F12171">
        <f>HYPERLINK("https://www.wikidata.org/wiki/Q111103102", "Q111103102")</f>
        <v>0</v>
      </c>
      <c r="G12171" t="s">
        <v>2699</v>
      </c>
      <c r="H12171" t="s">
        <v>7231</v>
      </c>
      <c r="I12171" t="s">
        <v>10372</v>
      </c>
      <c r="J12171" t="s">
        <v>13340</v>
      </c>
      <c r="K12171" t="s">
        <v>17740</v>
      </c>
      <c r="L12171">
        <f>HYPERLINK("https://www2.assemblee-nationale.fr/sycomore/fiche/(num_dept)/7467", "7467")</f>
        <v>0</v>
      </c>
      <c r="M12171">
        <f>HYPERLINK("https://www.senat.fr/senateur-3eme-republique/waddington_richard1606r3.html", "waddington_richard1606r3")</f>
        <v>0</v>
      </c>
      <c r="N12171">
        <f>HYPERLINK("https://www.wikidata.org/wiki/Q2150850", "Q2150850")</f>
        <v>0</v>
      </c>
      <c r="O12171" t="s">
        <v>19978</v>
      </c>
      <c r="Q12171" t="s">
        <v>399</v>
      </c>
      <c r="R12171" t="s">
        <v>21650</v>
      </c>
      <c r="S12171">
        <v>13440</v>
      </c>
    </row>
    <row r="12172" spans="1:19">
      <c r="A12172" t="s">
        <v>138</v>
      </c>
      <c r="B12172" t="s">
        <v>150</v>
      </c>
      <c r="C12172" t="s">
        <v>270</v>
      </c>
      <c r="D12172" t="s">
        <v>399</v>
      </c>
      <c r="F12172">
        <f>HYPERLINK("https://www.wikidata.org/wiki/Q111103102", "Q111103102")</f>
        <v>0</v>
      </c>
      <c r="G12172" t="s">
        <v>2707</v>
      </c>
      <c r="H12172" t="s">
        <v>6277</v>
      </c>
      <c r="I12172" t="s">
        <v>10377</v>
      </c>
      <c r="J12172" t="s">
        <v>13348</v>
      </c>
      <c r="K12172" t="s">
        <v>17748</v>
      </c>
      <c r="L12172">
        <f>HYPERLINK("https://www2.assemblee-nationale.fr/sycomore/fiche/(num_dept)/7616", "7616")</f>
        <v>0</v>
      </c>
      <c r="M12172">
        <f>HYPERLINK("https://www.senat.fr/senateur-3eme-republique/le_roux_paul1745r3.html", "le_roux_paul1745r3")</f>
        <v>0</v>
      </c>
      <c r="N12172">
        <f>HYPERLINK("https://www.wikidata.org/wiki/Q3371651", "Q3371651")</f>
        <v>0</v>
      </c>
      <c r="O12172" t="s">
        <v>19972</v>
      </c>
      <c r="Q12172" t="s">
        <v>399</v>
      </c>
      <c r="R12172" t="s">
        <v>21683</v>
      </c>
      <c r="S12172">
        <v>4024</v>
      </c>
    </row>
    <row r="12173" spans="1:19">
      <c r="A12173" t="s">
        <v>138</v>
      </c>
      <c r="B12173" t="s">
        <v>150</v>
      </c>
      <c r="C12173" t="s">
        <v>270</v>
      </c>
      <c r="D12173" t="s">
        <v>399</v>
      </c>
      <c r="F12173">
        <f>HYPERLINK("https://www.wikidata.org/wiki/Q111103102", "Q111103102")</f>
        <v>0</v>
      </c>
      <c r="G12173" t="s">
        <v>2737</v>
      </c>
      <c r="H12173" t="s">
        <v>7256</v>
      </c>
      <c r="I12173" t="s">
        <v>9472</v>
      </c>
      <c r="J12173" t="s">
        <v>13378</v>
      </c>
      <c r="K12173" t="s">
        <v>17776</v>
      </c>
      <c r="L12173">
        <f>HYPERLINK("https://www2.assemblee-nationale.fr/sycomore/fiche/(num_dept)/7956", "7956")</f>
        <v>0</v>
      </c>
      <c r="M12173">
        <f>HYPERLINK("https://www.senat.fr/senateur-3eme-republique/gomot_hippolyte0986r3.html", "gomot_hippolyte0986r3")</f>
        <v>0</v>
      </c>
      <c r="N12173">
        <f>HYPERLINK("https://www.wikidata.org/wiki/Q3136064", "Q3136064")</f>
        <v>0</v>
      </c>
      <c r="O12173" t="s">
        <v>20005</v>
      </c>
      <c r="Q12173" t="s">
        <v>399</v>
      </c>
      <c r="R12173" t="s">
        <v>21683</v>
      </c>
      <c r="S12173">
        <v>4024</v>
      </c>
    </row>
    <row r="12174" spans="1:19">
      <c r="A12174" t="s">
        <v>138</v>
      </c>
      <c r="B12174" t="s">
        <v>150</v>
      </c>
      <c r="C12174" t="s">
        <v>270</v>
      </c>
      <c r="D12174" t="s">
        <v>399</v>
      </c>
      <c r="F12174">
        <f>HYPERLINK("https://www.wikidata.org/wiki/Q111103102", "Q111103102")</f>
        <v>0</v>
      </c>
      <c r="G12174" t="s">
        <v>2984</v>
      </c>
      <c r="H12174" t="s">
        <v>7448</v>
      </c>
      <c r="I12174" t="s">
        <v>10557</v>
      </c>
      <c r="J12174" t="s">
        <v>13616</v>
      </c>
      <c r="K12174" t="s">
        <v>18000</v>
      </c>
      <c r="L12174">
        <f>HYPERLINK("https://www2.assemblee-nationale.fr/sycomore/fiche/(num_dept)/8097", "8097")</f>
        <v>0</v>
      </c>
      <c r="M12174">
        <f>HYPERLINK("https://www.senat.fr/senateur-3eme-republique/peraldi_nicolas0476r3.html", "peraldi_nicolas0476r3")</f>
        <v>0</v>
      </c>
      <c r="N12174">
        <f>HYPERLINK("https://www.wikidata.org/wiki/Q3340709", "Q3340709")</f>
        <v>0</v>
      </c>
      <c r="O12174" t="s">
        <v>19955</v>
      </c>
      <c r="Q12174" t="s">
        <v>399</v>
      </c>
      <c r="R12174" t="s">
        <v>21678</v>
      </c>
      <c r="S12174">
        <v>1098</v>
      </c>
    </row>
    <row r="12175" spans="1:19">
      <c r="A12175" t="s">
        <v>138</v>
      </c>
      <c r="B12175" t="s">
        <v>150</v>
      </c>
      <c r="C12175" t="s">
        <v>270</v>
      </c>
      <c r="D12175" t="s">
        <v>399</v>
      </c>
      <c r="F12175">
        <f>HYPERLINK("https://www.wikidata.org/wiki/Q111103102", "Q111103102")</f>
        <v>0</v>
      </c>
      <c r="G12175" t="s">
        <v>3076</v>
      </c>
      <c r="H12175" t="s">
        <v>7526</v>
      </c>
      <c r="I12175" t="s">
        <v>10613</v>
      </c>
      <c r="J12175" t="s">
        <v>13700</v>
      </c>
      <c r="K12175" t="s">
        <v>18083</v>
      </c>
      <c r="L12175">
        <f>HYPERLINK("https://www2.assemblee-nationale.fr/sycomore/fiche/(num_dept)/8235", "8235")</f>
        <v>0</v>
      </c>
      <c r="M12175">
        <f>HYPERLINK("https://www.senat.fr/senateur-3eme-republique/martin_felix1214r3.html", "martin_felix1214r3")</f>
        <v>0</v>
      </c>
      <c r="N12175">
        <f>HYPERLINK("https://www.wikidata.org/wiki/Q3092530", "Q3092530")</f>
        <v>0</v>
      </c>
      <c r="O12175" t="s">
        <v>19994</v>
      </c>
      <c r="Q12175" t="s">
        <v>399</v>
      </c>
      <c r="R12175" t="s">
        <v>21683</v>
      </c>
      <c r="S12175">
        <v>4024</v>
      </c>
    </row>
    <row r="12176" spans="1:19">
      <c r="A12176" t="s">
        <v>138</v>
      </c>
      <c r="B12176" t="s">
        <v>150</v>
      </c>
      <c r="C12176" t="s">
        <v>270</v>
      </c>
      <c r="D12176" t="s">
        <v>399</v>
      </c>
      <c r="F12176">
        <f>HYPERLINK("https://www.wikidata.org/wiki/Q111103102", "Q111103102")</f>
        <v>0</v>
      </c>
      <c r="G12176" t="s">
        <v>2917</v>
      </c>
      <c r="H12176" t="s">
        <v>7397</v>
      </c>
      <c r="I12176" t="s">
        <v>9376</v>
      </c>
      <c r="J12176" t="s">
        <v>13551</v>
      </c>
      <c r="K12176" t="s">
        <v>17937</v>
      </c>
      <c r="L12176">
        <f>HYPERLINK("https://www2.assemblee-nationale.fr/sycomore/fiche/(num_dept)/8264", "8264")</f>
        <v>0</v>
      </c>
      <c r="M12176">
        <f>HYPERLINK("https://www.senat.fr/senateur-3eme-republique/dreyfus_ferdinand1631r3.html", "dreyfus_ferdinand1631r3")</f>
        <v>0</v>
      </c>
      <c r="N12176">
        <f>HYPERLINK("https://www.wikidata.org/wiki/Q2934821", "Q2934821")</f>
        <v>0</v>
      </c>
      <c r="O12176" t="s">
        <v>19976</v>
      </c>
      <c r="Q12176" t="s">
        <v>399</v>
      </c>
      <c r="R12176" t="s">
        <v>17937</v>
      </c>
      <c r="S12176">
        <v>2384</v>
      </c>
    </row>
    <row r="12177" spans="1:19">
      <c r="A12177" t="s">
        <v>138</v>
      </c>
      <c r="B12177" t="s">
        <v>150</v>
      </c>
      <c r="C12177" t="s">
        <v>270</v>
      </c>
      <c r="D12177" t="s">
        <v>399</v>
      </c>
      <c r="F12177">
        <f>HYPERLINK("https://www.wikidata.org/wiki/Q111103102", "Q111103102")</f>
        <v>0</v>
      </c>
      <c r="G12177" t="s">
        <v>4942</v>
      </c>
      <c r="H12177" t="s">
        <v>9077</v>
      </c>
      <c r="I12177" t="s">
        <v>6860</v>
      </c>
      <c r="J12177" t="s">
        <v>15384</v>
      </c>
      <c r="K12177" t="s">
        <v>17699</v>
      </c>
      <c r="M12177">
        <f>HYPERLINK("https://www.senat.fr/senateur-3eme-republique/forsans_pierre1051r3.html", "forsans_pierre1051r3")</f>
        <v>0</v>
      </c>
      <c r="N12177">
        <f>HYPERLINK("https://www.wikidata.org/wiki/Q3385038", "Q3385038")</f>
        <v>0</v>
      </c>
      <c r="O12177" t="s">
        <v>19970</v>
      </c>
      <c r="Q12177" t="s">
        <v>399</v>
      </c>
      <c r="R12177" t="s">
        <v>17699</v>
      </c>
      <c r="S12177">
        <v>3969</v>
      </c>
    </row>
    <row r="12178" spans="1:19">
      <c r="A12178" t="s">
        <v>138</v>
      </c>
      <c r="B12178" t="s">
        <v>150</v>
      </c>
      <c r="C12178" t="s">
        <v>270</v>
      </c>
      <c r="D12178" t="s">
        <v>399</v>
      </c>
      <c r="F12178">
        <f>HYPERLINK("https://www.wikidata.org/wiki/Q111103102", "Q111103102")</f>
        <v>0</v>
      </c>
      <c r="G12178" t="s">
        <v>4943</v>
      </c>
      <c r="H12178" t="s">
        <v>9078</v>
      </c>
      <c r="I12178" t="s">
        <v>7790</v>
      </c>
      <c r="J12178" t="s">
        <v>15385</v>
      </c>
      <c r="K12178" t="s">
        <v>15765</v>
      </c>
      <c r="M12178">
        <f>HYPERLINK("https://www.senat.fr/senateur-3eme-republique/faisans_armand1069r3.html", "faisans_armand1069r3")</f>
        <v>0</v>
      </c>
      <c r="N12178">
        <f>HYPERLINK("https://www.wikidata.org/wiki/Q3131061", "Q3131061")</f>
        <v>0</v>
      </c>
      <c r="O12178" t="s">
        <v>19970</v>
      </c>
      <c r="Q12178" t="s">
        <v>399</v>
      </c>
      <c r="R12178" t="s">
        <v>21683</v>
      </c>
      <c r="S12178">
        <v>4024</v>
      </c>
    </row>
    <row r="12179" spans="1:19">
      <c r="A12179" t="s">
        <v>138</v>
      </c>
      <c r="B12179" t="s">
        <v>150</v>
      </c>
      <c r="C12179" t="s">
        <v>270</v>
      </c>
      <c r="D12179" t="s">
        <v>399</v>
      </c>
      <c r="F12179">
        <f>HYPERLINK("https://www.wikidata.org/wiki/Q111103102", "Q111103102")</f>
        <v>0</v>
      </c>
      <c r="G12179" t="s">
        <v>4244</v>
      </c>
      <c r="H12179" t="s">
        <v>5856</v>
      </c>
      <c r="I12179" t="s">
        <v>9533</v>
      </c>
      <c r="J12179" t="s">
        <v>14750</v>
      </c>
      <c r="K12179" t="s">
        <v>19096</v>
      </c>
      <c r="M12179">
        <f>HYPERLINK("https://www.senat.fr/senateur-3eme-republique/girard_theodore1638r3.html", "girard_theodore1638r3")</f>
        <v>0</v>
      </c>
      <c r="N12179">
        <f>HYPERLINK("https://www.wikidata.org/wiki/Q3526426", "Q3526426")</f>
        <v>0</v>
      </c>
      <c r="O12179" t="s">
        <v>20021</v>
      </c>
      <c r="Q12179" t="s">
        <v>399</v>
      </c>
      <c r="R12179" t="s">
        <v>21650</v>
      </c>
      <c r="S12179">
        <v>13440</v>
      </c>
    </row>
    <row r="12180" spans="1:19">
      <c r="A12180" t="s">
        <v>138</v>
      </c>
      <c r="B12180" t="s">
        <v>150</v>
      </c>
      <c r="C12180" t="s">
        <v>270</v>
      </c>
      <c r="D12180" t="s">
        <v>399</v>
      </c>
      <c r="F12180">
        <f>HYPERLINK("https://www.wikidata.org/wiki/Q111103102", "Q111103102")</f>
        <v>0</v>
      </c>
      <c r="G12180" t="s">
        <v>4898</v>
      </c>
      <c r="H12180" t="s">
        <v>9034</v>
      </c>
      <c r="I12180" t="s">
        <v>6495</v>
      </c>
      <c r="J12180" t="s">
        <v>15342</v>
      </c>
      <c r="K12180" t="s">
        <v>19645</v>
      </c>
      <c r="M12180">
        <f>HYPERLINK("https://www.senat.fr/senateur-3eme-republique/aguillon_louis1636r3.html", "aguillon_louis1636r3")</f>
        <v>0</v>
      </c>
      <c r="N12180">
        <f>HYPERLINK("https://www.wikidata.org/wiki/Q3260983", "Q3260983")</f>
        <v>0</v>
      </c>
      <c r="O12180" t="s">
        <v>20021</v>
      </c>
      <c r="Q12180" t="s">
        <v>399</v>
      </c>
      <c r="R12180" t="s">
        <v>21650</v>
      </c>
      <c r="S12180">
        <v>13440</v>
      </c>
    </row>
    <row r="12181" spans="1:19">
      <c r="A12181" t="s">
        <v>138</v>
      </c>
      <c r="B12181" t="s">
        <v>150</v>
      </c>
      <c r="C12181" t="s">
        <v>270</v>
      </c>
      <c r="D12181" t="s">
        <v>399</v>
      </c>
      <c r="F12181">
        <f>HYPERLINK("https://www.wikidata.org/wiki/Q111103102", "Q111103102")</f>
        <v>0</v>
      </c>
      <c r="G12181" t="s">
        <v>4933</v>
      </c>
      <c r="H12181" t="s">
        <v>9068</v>
      </c>
      <c r="I12181" t="s">
        <v>5528</v>
      </c>
      <c r="J12181" t="s">
        <v>15375</v>
      </c>
      <c r="K12181" t="s">
        <v>18559</v>
      </c>
      <c r="M12181">
        <f>HYPERLINK("https://www.senat.fr/senateur-3eme-republique/raymond_leon1779r3.html", "raymond_leon1779r3")</f>
        <v>0</v>
      </c>
      <c r="N12181">
        <f>HYPERLINK("https://www.wikidata.org/wiki/Q3271287", "Q3271287")</f>
        <v>0</v>
      </c>
      <c r="O12181" t="s">
        <v>19977</v>
      </c>
      <c r="Q12181" t="s">
        <v>399</v>
      </c>
      <c r="R12181" t="s">
        <v>21650</v>
      </c>
      <c r="S12181">
        <v>13440</v>
      </c>
    </row>
    <row r="12182" spans="1:19">
      <c r="A12182" t="s">
        <v>138</v>
      </c>
      <c r="B12182" t="s">
        <v>150</v>
      </c>
      <c r="C12182" t="s">
        <v>270</v>
      </c>
      <c r="D12182" t="s">
        <v>399</v>
      </c>
      <c r="F12182">
        <f>HYPERLINK("https://www.wikidata.org/wiki/Q111103102", "Q111103102")</f>
        <v>0</v>
      </c>
      <c r="G12182" t="s">
        <v>4240</v>
      </c>
      <c r="H12182" t="s">
        <v>8886</v>
      </c>
      <c r="I12182" t="s">
        <v>6200</v>
      </c>
      <c r="J12182" t="s">
        <v>14747</v>
      </c>
      <c r="K12182" t="s">
        <v>19092</v>
      </c>
      <c r="M12182">
        <f>HYPERLINK("https://www.senat.fr/senateur-3eme-republique/dupuy_jean1084r3.html", "dupuy_jean1084r3")</f>
        <v>0</v>
      </c>
      <c r="N12182">
        <f>HYPERLINK("https://www.wikidata.org/wiki/Q3171883", "Q3171883")</f>
        <v>0</v>
      </c>
      <c r="O12182" t="s">
        <v>20027</v>
      </c>
      <c r="Q12182" t="s">
        <v>399</v>
      </c>
      <c r="R12182" t="s">
        <v>21650</v>
      </c>
      <c r="S12182">
        <v>13440</v>
      </c>
    </row>
    <row r="12183" spans="1:19">
      <c r="A12183" t="s">
        <v>138</v>
      </c>
      <c r="B12183" t="s">
        <v>150</v>
      </c>
      <c r="C12183" t="s">
        <v>270</v>
      </c>
      <c r="D12183" t="s">
        <v>399</v>
      </c>
      <c r="F12183">
        <f>HYPERLINK("https://www.wikidata.org/wiki/Q111103102", "Q111103102")</f>
        <v>0</v>
      </c>
      <c r="G12183" t="s">
        <v>4758</v>
      </c>
      <c r="H12183" t="s">
        <v>8901</v>
      </c>
      <c r="I12183" t="s">
        <v>9407</v>
      </c>
      <c r="J12183" t="s">
        <v>15221</v>
      </c>
      <c r="K12183" t="s">
        <v>18329</v>
      </c>
      <c r="M12183">
        <f>HYPERLINK("https://www.senat.fr/senateur-3eme-republique/pauliac_joseph0617r3.html", "pauliac_joseph0617r3")</f>
        <v>0</v>
      </c>
      <c r="N12183">
        <f>HYPERLINK("https://www.wikidata.org/wiki/Q3185462", "Q3185462")</f>
        <v>0</v>
      </c>
      <c r="O12183" t="s">
        <v>19974</v>
      </c>
      <c r="Q12183" t="s">
        <v>399</v>
      </c>
      <c r="R12183" t="s">
        <v>21650</v>
      </c>
      <c r="S12183">
        <v>13440</v>
      </c>
    </row>
    <row r="12184" spans="1:19">
      <c r="A12184" t="s">
        <v>138</v>
      </c>
      <c r="B12184" t="s">
        <v>150</v>
      </c>
      <c r="C12184" t="s">
        <v>270</v>
      </c>
      <c r="D12184" t="s">
        <v>399</v>
      </c>
      <c r="F12184">
        <f>HYPERLINK("https://www.wikidata.org/wiki/Q111103102", "Q111103102")</f>
        <v>0</v>
      </c>
      <c r="G12184" t="s">
        <v>4488</v>
      </c>
      <c r="H12184" t="s">
        <v>8634</v>
      </c>
      <c r="I12184" t="s">
        <v>9385</v>
      </c>
      <c r="J12184" t="s">
        <v>14972</v>
      </c>
      <c r="K12184" t="s">
        <v>19301</v>
      </c>
      <c r="M12184">
        <f>HYPERLINK("https://www.senat.fr/senateur-3eme-republique/poriquet_charles0901r3.html", "poriquet_charles0901r3")</f>
        <v>0</v>
      </c>
      <c r="N12184">
        <f>HYPERLINK("https://www.wikidata.org/wiki/Q2958272", "Q2958272")</f>
        <v>0</v>
      </c>
      <c r="O12184" t="s">
        <v>19957</v>
      </c>
      <c r="Q12184" t="s">
        <v>399</v>
      </c>
      <c r="R12184" t="s">
        <v>21650</v>
      </c>
      <c r="S12184">
        <v>13440</v>
      </c>
    </row>
    <row r="12185" spans="1:19">
      <c r="A12185" t="s">
        <v>138</v>
      </c>
      <c r="B12185" t="s">
        <v>150</v>
      </c>
      <c r="C12185" t="s">
        <v>270</v>
      </c>
      <c r="D12185" t="s">
        <v>399</v>
      </c>
      <c r="F12185">
        <f>HYPERLINK("https://www.wikidata.org/wiki/Q111103102", "Q111103102")</f>
        <v>0</v>
      </c>
      <c r="G12185" t="s">
        <v>4766</v>
      </c>
      <c r="H12185" t="s">
        <v>8909</v>
      </c>
      <c r="I12185" t="s">
        <v>5528</v>
      </c>
      <c r="J12185" t="s">
        <v>15229</v>
      </c>
      <c r="K12185" t="s">
        <v>19543</v>
      </c>
      <c r="M12185">
        <f>HYPERLINK("https://www.senat.fr/senateur-3eme-republique/labbe_leon0918r3.html", "labbe_leon0918r3")</f>
        <v>0</v>
      </c>
      <c r="N12185">
        <f>HYPERLINK("https://www.wikidata.org/wiki/Q3271106", "Q3271106")</f>
        <v>0</v>
      </c>
      <c r="O12185" t="s">
        <v>19957</v>
      </c>
      <c r="Q12185" t="s">
        <v>399</v>
      </c>
      <c r="R12185" t="s">
        <v>21650</v>
      </c>
      <c r="S12185">
        <v>13440</v>
      </c>
    </row>
    <row r="12186" spans="1:19">
      <c r="A12186" t="s">
        <v>138</v>
      </c>
      <c r="B12186" t="s">
        <v>150</v>
      </c>
      <c r="C12186" t="s">
        <v>270</v>
      </c>
      <c r="D12186" t="s">
        <v>399</v>
      </c>
      <c r="F12186">
        <f>HYPERLINK("https://www.wikidata.org/wiki/Q111103102", "Q111103102")</f>
        <v>0</v>
      </c>
      <c r="G12186" t="s">
        <v>4801</v>
      </c>
      <c r="H12186" t="s">
        <v>8941</v>
      </c>
      <c r="I12186" t="s">
        <v>9388</v>
      </c>
      <c r="J12186" t="s">
        <v>15262</v>
      </c>
      <c r="K12186" t="s">
        <v>19569</v>
      </c>
      <c r="M12186">
        <f>HYPERLINK("https://www.senat.fr/senateur-3eme-republique/fleury_paul0896r3.html", "fleury_paul0896r3")</f>
        <v>0</v>
      </c>
      <c r="N12186">
        <f>HYPERLINK("https://www.wikidata.org/wiki/Q3371217", "Q3371217")</f>
        <v>0</v>
      </c>
      <c r="O12186" t="s">
        <v>19957</v>
      </c>
      <c r="Q12186" t="s">
        <v>399</v>
      </c>
      <c r="R12186" t="s">
        <v>21683</v>
      </c>
      <c r="S12186">
        <v>4024</v>
      </c>
    </row>
    <row r="12187" spans="1:19">
      <c r="A12187" t="s">
        <v>138</v>
      </c>
      <c r="B12187" t="s">
        <v>150</v>
      </c>
      <c r="C12187" t="s">
        <v>270</v>
      </c>
      <c r="D12187" t="s">
        <v>399</v>
      </c>
      <c r="F12187">
        <f>HYPERLINK("https://www.wikidata.org/wiki/Q111103102", "Q111103102")</f>
        <v>0</v>
      </c>
      <c r="G12187" t="s">
        <v>4768</v>
      </c>
      <c r="H12187" t="s">
        <v>8911</v>
      </c>
      <c r="I12187" t="s">
        <v>6166</v>
      </c>
      <c r="J12187" t="s">
        <v>15231</v>
      </c>
      <c r="K12187" t="s">
        <v>19545</v>
      </c>
      <c r="M12187">
        <f>HYPERLINK("https://www.senat.fr/senateur-3eme-republique/ringot_francois0974r3.html", "ringot_francois0974r3")</f>
        <v>0</v>
      </c>
      <c r="N12187">
        <f>HYPERLINK("https://www.wikidata.org/wiki/Q3085698", "Q3085698")</f>
        <v>0</v>
      </c>
      <c r="O12187" t="s">
        <v>19968</v>
      </c>
      <c r="Q12187" t="s">
        <v>399</v>
      </c>
      <c r="R12187" t="s">
        <v>21650</v>
      </c>
      <c r="S12187">
        <v>13440</v>
      </c>
    </row>
    <row r="12188" spans="1:19">
      <c r="A12188" t="s">
        <v>138</v>
      </c>
      <c r="B12188" t="s">
        <v>150</v>
      </c>
      <c r="C12188" t="s">
        <v>270</v>
      </c>
      <c r="D12188" t="s">
        <v>399</v>
      </c>
      <c r="F12188">
        <f>HYPERLINK("https://www.wikidata.org/wiki/Q111103102", "Q111103102")</f>
        <v>0</v>
      </c>
      <c r="G12188" t="s">
        <v>4491</v>
      </c>
      <c r="H12188" t="s">
        <v>8637</v>
      </c>
      <c r="I12188" t="s">
        <v>9552</v>
      </c>
      <c r="J12188" t="s">
        <v>14975</v>
      </c>
      <c r="K12188" t="s">
        <v>19304</v>
      </c>
      <c r="M12188">
        <f>HYPERLINK("https://www.senat.fr/senateur-3eme-republique/huguet_auguste0972r3.html", "huguet_auguste0972r3")</f>
        <v>0</v>
      </c>
      <c r="N12188">
        <f>HYPERLINK("https://www.wikidata.org/wiki/Q2871223", "Q2871223")</f>
        <v>0</v>
      </c>
      <c r="O12188" t="s">
        <v>19968</v>
      </c>
      <c r="Q12188" t="s">
        <v>399</v>
      </c>
      <c r="R12188" t="s">
        <v>21650</v>
      </c>
      <c r="S12188">
        <v>13440</v>
      </c>
    </row>
    <row r="12189" spans="1:19">
      <c r="A12189" t="s">
        <v>138</v>
      </c>
      <c r="B12189" t="s">
        <v>150</v>
      </c>
      <c r="C12189" t="s">
        <v>270</v>
      </c>
      <c r="D12189" t="s">
        <v>399</v>
      </c>
      <c r="F12189">
        <f>HYPERLINK("https://www.wikidata.org/wiki/Q111103102", "Q111103102")</f>
        <v>0</v>
      </c>
      <c r="G12189" t="s">
        <v>4828</v>
      </c>
      <c r="H12189" t="s">
        <v>8968</v>
      </c>
      <c r="I12189" t="s">
        <v>9449</v>
      </c>
      <c r="J12189" t="s">
        <v>13323</v>
      </c>
      <c r="K12189" t="s">
        <v>19591</v>
      </c>
      <c r="M12189">
        <f>HYPERLINK("https://www.senat.fr/senateur-3eme-republique/viseur_jules0959r3.html", "viseur_jules0959r3")</f>
        <v>0</v>
      </c>
      <c r="N12189">
        <f>HYPERLINK("https://www.wikidata.org/wiki/Q3188961", "Q3188961")</f>
        <v>0</v>
      </c>
      <c r="O12189" t="s">
        <v>19968</v>
      </c>
      <c r="Q12189" t="s">
        <v>399</v>
      </c>
      <c r="R12189" t="s">
        <v>21650</v>
      </c>
      <c r="S12189">
        <v>13440</v>
      </c>
    </row>
    <row r="12190" spans="1:19">
      <c r="A12190" t="s">
        <v>138</v>
      </c>
      <c r="B12190" t="s">
        <v>150</v>
      </c>
      <c r="C12190" t="s">
        <v>270</v>
      </c>
      <c r="D12190" t="s">
        <v>399</v>
      </c>
      <c r="F12190">
        <f>HYPERLINK("https://www.wikidata.org/wiki/Q111103102", "Q111103102")</f>
        <v>0</v>
      </c>
      <c r="G12190" t="s">
        <v>4944</v>
      </c>
      <c r="H12190" t="s">
        <v>9079</v>
      </c>
      <c r="I12190" t="s">
        <v>5528</v>
      </c>
      <c r="J12190" t="s">
        <v>15386</v>
      </c>
      <c r="K12190" t="s">
        <v>18514</v>
      </c>
      <c r="M12190">
        <f>HYPERLINK("https://www.senat.fr/senateur-3eme-republique/chambige_leon1005r3.html", "chambige_leon1005r3")</f>
        <v>0</v>
      </c>
      <c r="N12190">
        <f>HYPERLINK("https://www.wikidata.org/wiki/Q3270812", "Q3270812")</f>
        <v>0</v>
      </c>
      <c r="O12190" t="s">
        <v>20005</v>
      </c>
      <c r="Q12190" t="s">
        <v>399</v>
      </c>
      <c r="R12190" t="s">
        <v>18514</v>
      </c>
      <c r="S12190">
        <v>2148</v>
      </c>
    </row>
    <row r="12191" spans="1:19">
      <c r="A12191" t="s">
        <v>138</v>
      </c>
      <c r="B12191" t="s">
        <v>150</v>
      </c>
      <c r="C12191" t="s">
        <v>270</v>
      </c>
      <c r="D12191" t="s">
        <v>399</v>
      </c>
      <c r="F12191">
        <f>HYPERLINK("https://www.wikidata.org/wiki/Q111103102", "Q111103102")</f>
        <v>0</v>
      </c>
      <c r="G12191" t="s">
        <v>4291</v>
      </c>
      <c r="H12191" t="s">
        <v>8450</v>
      </c>
      <c r="I12191" t="s">
        <v>9728</v>
      </c>
      <c r="J12191" t="s">
        <v>14790</v>
      </c>
      <c r="K12191" t="s">
        <v>19134</v>
      </c>
      <c r="M12191">
        <f>HYPERLINK("https://www.senat.fr/senateur-3eme-republique/millaud_edouard1120r3.html", "millaud_edouard1120r3")</f>
        <v>0</v>
      </c>
      <c r="N12191">
        <f>HYPERLINK("https://www.wikidata.org/wiki/Q3579963", "Q3579963")</f>
        <v>0</v>
      </c>
      <c r="O12191" t="s">
        <v>19965</v>
      </c>
      <c r="Q12191" t="s">
        <v>399</v>
      </c>
      <c r="R12191" t="s">
        <v>21650</v>
      </c>
      <c r="S12191">
        <v>13440</v>
      </c>
    </row>
    <row r="12192" spans="1:19">
      <c r="A12192" t="s">
        <v>138</v>
      </c>
      <c r="B12192" t="s">
        <v>150</v>
      </c>
      <c r="C12192" t="s">
        <v>270</v>
      </c>
      <c r="D12192" t="s">
        <v>399</v>
      </c>
      <c r="F12192">
        <f>HYPERLINK("https://www.wikidata.org/wiki/Q111103102", "Q111103102")</f>
        <v>0</v>
      </c>
      <c r="G12192" t="s">
        <v>4945</v>
      </c>
      <c r="H12192" t="s">
        <v>9080</v>
      </c>
      <c r="I12192" t="s">
        <v>9401</v>
      </c>
      <c r="J12192" t="s">
        <v>15387</v>
      </c>
      <c r="K12192" t="s">
        <v>19685</v>
      </c>
      <c r="M12192">
        <f>HYPERLINK("https://www.senat.fr/senateur-3eme-republique/ponteille_antoine1149r3.html", "ponteille_antoine1149r3")</f>
        <v>0</v>
      </c>
      <c r="N12192">
        <f>HYPERLINK("https://www.wikidata.org/wiki/Q2856633", "Q2856633")</f>
        <v>0</v>
      </c>
      <c r="O12192" t="s">
        <v>19965</v>
      </c>
      <c r="Q12192" t="s">
        <v>399</v>
      </c>
      <c r="R12192" t="s">
        <v>19685</v>
      </c>
      <c r="S12192">
        <v>3444</v>
      </c>
    </row>
    <row r="12193" spans="1:19">
      <c r="A12193" t="s">
        <v>138</v>
      </c>
      <c r="B12193" t="s">
        <v>150</v>
      </c>
      <c r="C12193" t="s">
        <v>270</v>
      </c>
      <c r="D12193" t="s">
        <v>399</v>
      </c>
      <c r="F12193">
        <f>HYPERLINK("https://www.wikidata.org/wiki/Q111103102", "Q111103102")</f>
        <v>0</v>
      </c>
      <c r="G12193" t="s">
        <v>4946</v>
      </c>
      <c r="H12193" t="s">
        <v>9081</v>
      </c>
      <c r="I12193" t="s">
        <v>6175</v>
      </c>
      <c r="J12193" t="s">
        <v>15388</v>
      </c>
      <c r="K12193" t="s">
        <v>18964</v>
      </c>
      <c r="M12193">
        <f>HYPERLINK("https://www.senat.fr/senateur-3eme-republique/beauvisage_georges1129r3.html", "beauvisage_georges1129r3")</f>
        <v>0</v>
      </c>
      <c r="N12193">
        <f>HYPERLINK("https://www.wikidata.org/wiki/Q3102691", "Q3102691")</f>
        <v>0</v>
      </c>
      <c r="O12193" t="s">
        <v>19965</v>
      </c>
      <c r="Q12193" t="s">
        <v>399</v>
      </c>
      <c r="R12193" t="s">
        <v>21683</v>
      </c>
      <c r="S12193">
        <v>4024</v>
      </c>
    </row>
    <row r="12194" spans="1:19">
      <c r="A12194" t="s">
        <v>138</v>
      </c>
      <c r="B12194" t="s">
        <v>150</v>
      </c>
      <c r="C12194" t="s">
        <v>270</v>
      </c>
      <c r="D12194" t="s">
        <v>399</v>
      </c>
      <c r="F12194">
        <f>HYPERLINK("https://www.wikidata.org/wiki/Q111103102", "Q111103102")</f>
        <v>0</v>
      </c>
      <c r="G12194" t="s">
        <v>4947</v>
      </c>
      <c r="H12194" t="s">
        <v>9082</v>
      </c>
      <c r="I12194" t="s">
        <v>9483</v>
      </c>
      <c r="J12194" t="s">
        <v>15389</v>
      </c>
      <c r="K12194" t="s">
        <v>19686</v>
      </c>
      <c r="M12194">
        <f>HYPERLINK("https://www.senat.fr/senateur-3eme-republique/vermorel_victor1135r3.html", "vermorel_victor1135r3")</f>
        <v>0</v>
      </c>
      <c r="N12194">
        <f>HYPERLINK("https://www.wikidata.org/wiki/Q3557625", "Q3557625")</f>
        <v>0</v>
      </c>
      <c r="O12194" t="s">
        <v>19965</v>
      </c>
      <c r="Q12194" t="s">
        <v>399</v>
      </c>
      <c r="R12194" t="s">
        <v>21683</v>
      </c>
      <c r="S12194">
        <v>4024</v>
      </c>
    </row>
    <row r="12195" spans="1:19">
      <c r="A12195" t="s">
        <v>138</v>
      </c>
      <c r="B12195" t="s">
        <v>150</v>
      </c>
      <c r="C12195" t="s">
        <v>270</v>
      </c>
      <c r="D12195" t="s">
        <v>399</v>
      </c>
      <c r="F12195">
        <f>HYPERLINK("https://www.wikidata.org/wiki/Q111103102", "Q111103102")</f>
        <v>0</v>
      </c>
      <c r="G12195" t="s">
        <v>4937</v>
      </c>
      <c r="H12195" t="s">
        <v>9072</v>
      </c>
      <c r="I12195" t="s">
        <v>6200</v>
      </c>
      <c r="J12195" t="s">
        <v>15379</v>
      </c>
      <c r="K12195" t="s">
        <v>19680</v>
      </c>
      <c r="M12195">
        <f>HYPERLINK("https://www.senat.fr/senateur-3eme-republique/richard_jean1211r3.html", "richard_jean1211r3")</f>
        <v>0</v>
      </c>
      <c r="N12195">
        <f>HYPERLINK("https://www.wikidata.org/wiki/Q3174311", "Q3174311")</f>
        <v>0</v>
      </c>
      <c r="O12195" t="s">
        <v>19994</v>
      </c>
      <c r="Q12195" t="s">
        <v>399</v>
      </c>
      <c r="R12195" t="s">
        <v>21683</v>
      </c>
      <c r="S12195">
        <v>4024</v>
      </c>
    </row>
    <row r="12196" spans="1:19">
      <c r="A12196" t="s">
        <v>138</v>
      </c>
      <c r="B12196" t="s">
        <v>150</v>
      </c>
      <c r="C12196" t="s">
        <v>270</v>
      </c>
      <c r="D12196" t="s">
        <v>399</v>
      </c>
      <c r="F12196">
        <f>HYPERLINK("https://www.wikidata.org/wiki/Q111103102", "Q111103102")</f>
        <v>0</v>
      </c>
      <c r="G12196" t="s">
        <v>4895</v>
      </c>
      <c r="H12196" t="s">
        <v>9031</v>
      </c>
      <c r="I12196" t="s">
        <v>6175</v>
      </c>
      <c r="J12196" t="s">
        <v>15339</v>
      </c>
      <c r="K12196" t="s">
        <v>19643</v>
      </c>
      <c r="M12196">
        <f>HYPERLINK("https://www.senat.fr/senateur-3eme-republique/le_chevalier_georges1247r3.html", "le_chevalier_georges1247r3")</f>
        <v>0</v>
      </c>
      <c r="N12196">
        <f>HYPERLINK("https://www.wikidata.org/wiki/Q3103046", "Q3103046")</f>
        <v>0</v>
      </c>
      <c r="O12196" t="s">
        <v>19956</v>
      </c>
      <c r="Q12196" t="s">
        <v>399</v>
      </c>
      <c r="R12196" t="s">
        <v>21650</v>
      </c>
      <c r="S12196">
        <v>13440</v>
      </c>
    </row>
    <row r="12197" spans="1:19">
      <c r="A12197" t="s">
        <v>138</v>
      </c>
      <c r="B12197" t="s">
        <v>150</v>
      </c>
      <c r="C12197" t="s">
        <v>270</v>
      </c>
      <c r="D12197" t="s">
        <v>399</v>
      </c>
      <c r="F12197">
        <f>HYPERLINK("https://www.wikidata.org/wiki/Q111103102", "Q111103102")</f>
        <v>0</v>
      </c>
      <c r="G12197" t="s">
        <v>4635</v>
      </c>
      <c r="H12197" t="s">
        <v>8778</v>
      </c>
      <c r="I12197" t="s">
        <v>6495</v>
      </c>
      <c r="J12197" t="s">
        <v>15090</v>
      </c>
      <c r="K12197" t="s">
        <v>19430</v>
      </c>
      <c r="M12197">
        <f>HYPERLINK("https://www.senat.fr/senateur-3eme-republique/cordelet_louis1239r3.html", "cordelet_louis1239r3")</f>
        <v>0</v>
      </c>
      <c r="N12197">
        <f>HYPERLINK("https://www.wikidata.org/wiki/Q3261588", "Q3261588")</f>
        <v>0</v>
      </c>
      <c r="O12197" t="s">
        <v>19956</v>
      </c>
      <c r="Q12197" t="s">
        <v>399</v>
      </c>
      <c r="R12197" t="s">
        <v>21683</v>
      </c>
      <c r="S12197">
        <v>4024</v>
      </c>
    </row>
    <row r="12198" spans="1:19">
      <c r="A12198" t="s">
        <v>138</v>
      </c>
      <c r="B12198" t="s">
        <v>150</v>
      </c>
      <c r="C12198" t="s">
        <v>270</v>
      </c>
      <c r="D12198" t="s">
        <v>399</v>
      </c>
      <c r="F12198">
        <f>HYPERLINK("https://www.wikidata.org/wiki/Q111103102", "Q111103102")</f>
        <v>0</v>
      </c>
      <c r="G12198" t="s">
        <v>4745</v>
      </c>
      <c r="H12198" t="s">
        <v>8888</v>
      </c>
      <c r="I12198" t="s">
        <v>6166</v>
      </c>
      <c r="J12198" t="s">
        <v>15208</v>
      </c>
      <c r="K12198" t="s">
        <v>19525</v>
      </c>
      <c r="M12198">
        <f>HYPERLINK("https://www.senat.fr/senateur-3eme-republique/gravin_francois1296r3.html", "gravin_francois1296r3")</f>
        <v>0</v>
      </c>
      <c r="N12198">
        <f>HYPERLINK("https://www.wikidata.org/wiki/Q3084765", "Q3084765")</f>
        <v>0</v>
      </c>
      <c r="O12198" t="s">
        <v>19988</v>
      </c>
      <c r="Q12198" t="s">
        <v>399</v>
      </c>
      <c r="R12198" t="s">
        <v>21650</v>
      </c>
      <c r="S12198">
        <v>13440</v>
      </c>
    </row>
    <row r="12199" spans="1:19">
      <c r="A12199" t="s">
        <v>138</v>
      </c>
      <c r="B12199" t="s">
        <v>150</v>
      </c>
      <c r="C12199" t="s">
        <v>270</v>
      </c>
      <c r="D12199" t="s">
        <v>399</v>
      </c>
      <c r="F12199">
        <f>HYPERLINK("https://www.wikidata.org/wiki/Q111103102", "Q111103102")</f>
        <v>0</v>
      </c>
      <c r="G12199" t="s">
        <v>4746</v>
      </c>
      <c r="H12199" t="s">
        <v>8889</v>
      </c>
      <c r="I12199" t="s">
        <v>9553</v>
      </c>
      <c r="J12199" t="s">
        <v>15209</v>
      </c>
      <c r="K12199" t="s">
        <v>19526</v>
      </c>
      <c r="M12199">
        <f>HYPERLINK("https://www.senat.fr/senateur-3eme-republique/lefevre_alexandre1371r3.html", "lefevre_alexandre1371r3")</f>
        <v>0</v>
      </c>
      <c r="N12199">
        <f>HYPERLINK("https://www.wikidata.org/wiki/Q16216425", "Q16216425")</f>
        <v>0</v>
      </c>
      <c r="O12199" t="s">
        <v>19969</v>
      </c>
      <c r="Q12199" t="s">
        <v>399</v>
      </c>
      <c r="R12199" t="s">
        <v>21650</v>
      </c>
      <c r="S12199">
        <v>13440</v>
      </c>
    </row>
    <row r="12200" spans="1:19">
      <c r="A12200" t="s">
        <v>138</v>
      </c>
      <c r="B12200" t="s">
        <v>150</v>
      </c>
      <c r="C12200" t="s">
        <v>270</v>
      </c>
      <c r="D12200" t="s">
        <v>399</v>
      </c>
      <c r="F12200">
        <f>HYPERLINK("https://www.wikidata.org/wiki/Q111103102", "Q111103102")</f>
        <v>0</v>
      </c>
      <c r="G12200" t="s">
        <v>4732</v>
      </c>
      <c r="H12200" t="s">
        <v>8874</v>
      </c>
      <c r="I12200" t="s">
        <v>6166</v>
      </c>
      <c r="J12200" t="s">
        <v>13779</v>
      </c>
      <c r="K12200" t="s">
        <v>19487</v>
      </c>
      <c r="M12200">
        <f>HYPERLINK("https://www.senat.fr/senateur-3eme-republique/poirrier_francois1358r3.html", "poirrier_francois1358r3")</f>
        <v>0</v>
      </c>
      <c r="N12200">
        <f>HYPERLINK("https://www.wikidata.org/wiki/Q13080874", "Q13080874")</f>
        <v>0</v>
      </c>
      <c r="O12200" t="s">
        <v>19969</v>
      </c>
      <c r="Q12200" t="s">
        <v>399</v>
      </c>
      <c r="R12200" t="s">
        <v>21650</v>
      </c>
      <c r="S12200">
        <v>13440</v>
      </c>
    </row>
    <row r="12201" spans="1:19">
      <c r="A12201" t="s">
        <v>138</v>
      </c>
      <c r="B12201" t="s">
        <v>150</v>
      </c>
      <c r="C12201" t="s">
        <v>270</v>
      </c>
      <c r="D12201" t="s">
        <v>399</v>
      </c>
      <c r="F12201">
        <f>HYPERLINK("https://www.wikidata.org/wiki/Q111103102", "Q111103102")</f>
        <v>0</v>
      </c>
      <c r="G12201" t="s">
        <v>4948</v>
      </c>
      <c r="H12201" t="s">
        <v>9083</v>
      </c>
      <c r="I12201" t="s">
        <v>5528</v>
      </c>
      <c r="J12201" t="s">
        <v>14092</v>
      </c>
      <c r="K12201" t="s">
        <v>19687</v>
      </c>
      <c r="M12201">
        <f>HYPERLINK("https://www.senat.fr/senateur-3eme-republique/barbier_leon1349r3.html", "barbier_leon1349r3")</f>
        <v>0</v>
      </c>
      <c r="N12201">
        <f>HYPERLINK("https://www.wikidata.org/wiki/Q3270703", "Q3270703")</f>
        <v>0</v>
      </c>
      <c r="O12201" t="s">
        <v>19969</v>
      </c>
      <c r="Q12201" t="s">
        <v>399</v>
      </c>
      <c r="R12201" t="s">
        <v>19687</v>
      </c>
      <c r="S12201">
        <v>3826</v>
      </c>
    </row>
    <row r="12202" spans="1:19">
      <c r="A12202" t="s">
        <v>138</v>
      </c>
      <c r="B12202" t="s">
        <v>150</v>
      </c>
      <c r="C12202" t="s">
        <v>270</v>
      </c>
      <c r="D12202" t="s">
        <v>399</v>
      </c>
      <c r="F12202">
        <f>HYPERLINK("https://www.wikidata.org/wiki/Q111103102", "Q111103102")</f>
        <v>0</v>
      </c>
      <c r="G12202" t="s">
        <v>4245</v>
      </c>
      <c r="H12202" t="s">
        <v>8418</v>
      </c>
      <c r="I12202" t="s">
        <v>9385</v>
      </c>
      <c r="J12202" t="s">
        <v>14751</v>
      </c>
      <c r="K12202" t="s">
        <v>19097</v>
      </c>
      <c r="M12202">
        <f>HYPERLINK("https://www.senat.fr/senateur-3eme-republique/de_saulces_de_freycinet_louis1713r3.html", "de_saulces_de_freycinet_louis1713r3")</f>
        <v>0</v>
      </c>
      <c r="N12202">
        <f>HYPERLINK("https://www.wikidata.org/wiki/Q317957", "Q317957")</f>
        <v>0</v>
      </c>
      <c r="O12202" t="s">
        <v>19969</v>
      </c>
      <c r="Q12202" t="s">
        <v>399</v>
      </c>
      <c r="R12202" t="s">
        <v>21650</v>
      </c>
      <c r="S12202">
        <v>13440</v>
      </c>
    </row>
    <row r="12203" spans="1:19">
      <c r="A12203" t="s">
        <v>138</v>
      </c>
      <c r="B12203" t="s">
        <v>150</v>
      </c>
      <c r="C12203" t="s">
        <v>270</v>
      </c>
      <c r="D12203" t="s">
        <v>399</v>
      </c>
      <c r="F12203">
        <f>HYPERLINK("https://www.wikidata.org/wiki/Q111103102", "Q111103102")</f>
        <v>0</v>
      </c>
      <c r="G12203" t="s">
        <v>4910</v>
      </c>
      <c r="H12203" t="s">
        <v>9046</v>
      </c>
      <c r="I12203" t="s">
        <v>9458</v>
      </c>
      <c r="J12203" t="s">
        <v>15353</v>
      </c>
      <c r="K12203" t="s">
        <v>19658</v>
      </c>
      <c r="M12203">
        <f>HYPERLINK("https://www.senat.fr/senateur-3eme-republique/mascuraud_alfred1564r3.html", "mascuraud_alfred1564r3")</f>
        <v>0</v>
      </c>
      <c r="N12203">
        <f>HYPERLINK("https://www.wikidata.org/wiki/Q2835312", "Q2835312")</f>
        <v>0</v>
      </c>
      <c r="O12203" t="s">
        <v>19969</v>
      </c>
      <c r="Q12203" t="s">
        <v>399</v>
      </c>
      <c r="R12203" t="s">
        <v>21683</v>
      </c>
      <c r="S12203">
        <v>4024</v>
      </c>
    </row>
    <row r="12204" spans="1:19">
      <c r="A12204" t="s">
        <v>138</v>
      </c>
      <c r="B12204" t="s">
        <v>150</v>
      </c>
      <c r="C12204" t="s">
        <v>270</v>
      </c>
      <c r="D12204" t="s">
        <v>399</v>
      </c>
      <c r="F12204">
        <f>HYPERLINK("https://www.wikidata.org/wiki/Q111103102", "Q111103102")</f>
        <v>0</v>
      </c>
      <c r="G12204" t="s">
        <v>4929</v>
      </c>
      <c r="H12204" t="s">
        <v>9065</v>
      </c>
      <c r="I12204" t="s">
        <v>9552</v>
      </c>
      <c r="J12204" t="s">
        <v>15371</v>
      </c>
      <c r="K12204" t="s">
        <v>19674</v>
      </c>
      <c r="M12204">
        <f>HYPERLINK("https://www.senat.fr/senateur-3eme-republique/ranson_auguste1566r3.html", "ranson_auguste1566r3")</f>
        <v>0</v>
      </c>
      <c r="N12204">
        <f>HYPERLINK("https://www.wikidata.org/wiki/Q2871369", "Q2871369")</f>
        <v>0</v>
      </c>
      <c r="O12204" t="s">
        <v>19969</v>
      </c>
      <c r="Q12204" t="s">
        <v>399</v>
      </c>
      <c r="R12204" t="s">
        <v>21683</v>
      </c>
      <c r="S12204">
        <v>4024</v>
      </c>
    </row>
    <row r="12205" spans="1:19">
      <c r="A12205" t="s">
        <v>138</v>
      </c>
      <c r="B12205" t="s">
        <v>150</v>
      </c>
      <c r="C12205" t="s">
        <v>270</v>
      </c>
      <c r="D12205" t="s">
        <v>399</v>
      </c>
      <c r="F12205">
        <f>HYPERLINK("https://www.wikidata.org/wiki/Q111103102", "Q111103102")</f>
        <v>0</v>
      </c>
      <c r="G12205" t="s">
        <v>4334</v>
      </c>
      <c r="H12205" t="s">
        <v>8485</v>
      </c>
      <c r="I12205" t="s">
        <v>9388</v>
      </c>
      <c r="J12205" t="s">
        <v>14829</v>
      </c>
      <c r="K12205" t="s">
        <v>19170</v>
      </c>
      <c r="M12205">
        <f>HYPERLINK("https://www.senat.fr/senateur-3eme-republique/strauss_paul1334r3.html", "strauss_paul1334r3")</f>
        <v>0</v>
      </c>
      <c r="N12205">
        <f>HYPERLINK("https://www.wikidata.org/wiki/Q3372237", "Q3372237")</f>
        <v>0</v>
      </c>
      <c r="O12205" t="s">
        <v>19969</v>
      </c>
      <c r="Q12205" t="s">
        <v>399</v>
      </c>
      <c r="R12205" t="s">
        <v>21683</v>
      </c>
      <c r="S12205">
        <v>4024</v>
      </c>
    </row>
    <row r="12206" spans="1:19">
      <c r="A12206" t="s">
        <v>138</v>
      </c>
      <c r="B12206" t="s">
        <v>150</v>
      </c>
      <c r="C12206" t="s">
        <v>270</v>
      </c>
      <c r="D12206" t="s">
        <v>399</v>
      </c>
      <c r="F12206">
        <f>HYPERLINK("https://www.wikidata.org/wiki/Q111103102", "Q111103102")</f>
        <v>0</v>
      </c>
      <c r="G12206" t="s">
        <v>4949</v>
      </c>
      <c r="H12206" t="s">
        <v>9084</v>
      </c>
      <c r="I12206" t="s">
        <v>6166</v>
      </c>
      <c r="J12206" t="s">
        <v>15390</v>
      </c>
      <c r="K12206" t="s">
        <v>15982</v>
      </c>
      <c r="M12206">
        <f>HYPERLINK("https://www.senat.fr/senateur-3eme-republique/farny_francois1603r3.html", "farny_francois1603r3")</f>
        <v>0</v>
      </c>
      <c r="N12206">
        <f>HYPERLINK("https://www.wikidata.org/wiki/Q3084589", "Q3084589")</f>
        <v>0</v>
      </c>
      <c r="O12206" t="s">
        <v>20026</v>
      </c>
      <c r="Q12206" t="s">
        <v>399</v>
      </c>
      <c r="R12206" t="s">
        <v>15982</v>
      </c>
      <c r="S12206">
        <v>3936</v>
      </c>
    </row>
    <row r="12207" spans="1:19">
      <c r="A12207" t="s">
        <v>138</v>
      </c>
      <c r="B12207" t="s">
        <v>150</v>
      </c>
      <c r="C12207" t="s">
        <v>270</v>
      </c>
      <c r="D12207" t="s">
        <v>399</v>
      </c>
      <c r="F12207">
        <f>HYPERLINK("https://www.wikidata.org/wiki/Q111103102", "Q111103102")</f>
        <v>0</v>
      </c>
      <c r="G12207" t="s">
        <v>4753</v>
      </c>
      <c r="H12207" t="s">
        <v>8896</v>
      </c>
      <c r="I12207" t="s">
        <v>7419</v>
      </c>
      <c r="J12207" t="s">
        <v>15216</v>
      </c>
      <c r="K12207" t="s">
        <v>19532</v>
      </c>
      <c r="M12207">
        <f>HYPERLINK("https://www.senat.fr/senateur-3eme-republique/regismanset_jacques1588r3.html", "regismanset_jacques1588r3")</f>
        <v>0</v>
      </c>
      <c r="N12207">
        <f>HYPERLINK("https://www.wikidata.org/wiki/Q3159847", "Q3159847")</f>
        <v>0</v>
      </c>
      <c r="O12207" t="s">
        <v>20026</v>
      </c>
      <c r="Q12207" t="s">
        <v>399</v>
      </c>
      <c r="R12207" t="s">
        <v>21683</v>
      </c>
      <c r="S12207">
        <v>4024</v>
      </c>
    </row>
    <row r="12208" spans="1:19">
      <c r="A12208" t="s">
        <v>138</v>
      </c>
      <c r="B12208" t="s">
        <v>150</v>
      </c>
      <c r="C12208" t="s">
        <v>270</v>
      </c>
      <c r="D12208" t="s">
        <v>399</v>
      </c>
      <c r="F12208">
        <f>HYPERLINK("https://www.wikidata.org/wiki/Q111103102", "Q111103102")</f>
        <v>0</v>
      </c>
      <c r="G12208" t="s">
        <v>4763</v>
      </c>
      <c r="H12208" t="s">
        <v>8905</v>
      </c>
      <c r="I12208" t="s">
        <v>11221</v>
      </c>
      <c r="J12208" t="s">
        <v>15225</v>
      </c>
      <c r="K12208" t="s">
        <v>19539</v>
      </c>
      <c r="M12208">
        <f>HYPERLINK("https://www.senat.fr/senateur-3eme-republique/courcel_alphonse_chodron_de1653r3.html", "courcel_alphonse_chodron_de1653r3")</f>
        <v>0</v>
      </c>
      <c r="N12208">
        <f>HYPERLINK("https://www.wikidata.org/wiki/Q2839741", "Q2839741")</f>
        <v>0</v>
      </c>
      <c r="O12208" t="s">
        <v>19976</v>
      </c>
      <c r="Q12208" t="s">
        <v>399</v>
      </c>
      <c r="R12208" t="s">
        <v>21650</v>
      </c>
      <c r="S12208">
        <v>13440</v>
      </c>
    </row>
    <row r="12209" spans="1:19">
      <c r="A12209" t="s">
        <v>138</v>
      </c>
      <c r="B12209" t="s">
        <v>150</v>
      </c>
      <c r="C12209" t="s">
        <v>270</v>
      </c>
      <c r="D12209" t="s">
        <v>399</v>
      </c>
      <c r="F12209">
        <f>HYPERLINK("https://www.wikidata.org/wiki/Q111103102", "Q111103102")</f>
        <v>0</v>
      </c>
      <c r="G12209" t="s">
        <v>4935</v>
      </c>
      <c r="H12209" t="s">
        <v>9070</v>
      </c>
      <c r="I12209" t="s">
        <v>9457</v>
      </c>
      <c r="J12209" t="s">
        <v>15377</v>
      </c>
      <c r="K12209" t="s">
        <v>19678</v>
      </c>
      <c r="M12209">
        <f>HYPERLINK("https://www.senat.fr/senateur-3eme-republique/poirson_henri1646r3.html", "poirson_henri1646r3")</f>
        <v>0</v>
      </c>
      <c r="N12209">
        <f>HYPERLINK("https://www.wikidata.org/wiki/Q3131810", "Q3131810")</f>
        <v>0</v>
      </c>
      <c r="O12209" t="s">
        <v>19976</v>
      </c>
      <c r="Q12209" t="s">
        <v>399</v>
      </c>
      <c r="R12209" t="s">
        <v>21683</v>
      </c>
      <c r="S12209">
        <v>4024</v>
      </c>
    </row>
    <row r="12210" spans="1:19">
      <c r="A12210" t="s">
        <v>138</v>
      </c>
      <c r="B12210" t="s">
        <v>150</v>
      </c>
      <c r="C12210" t="s">
        <v>270</v>
      </c>
      <c r="D12210" t="s">
        <v>399</v>
      </c>
      <c r="F12210">
        <f>HYPERLINK("https://www.wikidata.org/wiki/Q111103102", "Q111103102")</f>
        <v>0</v>
      </c>
      <c r="G12210" t="s">
        <v>4950</v>
      </c>
      <c r="H12210" t="s">
        <v>8657</v>
      </c>
      <c r="I12210" t="s">
        <v>9500</v>
      </c>
      <c r="J12210" t="s">
        <v>15198</v>
      </c>
      <c r="K12210" t="s">
        <v>19688</v>
      </c>
      <c r="M12210">
        <f>HYPERLINK("https://www.senat.fr/senateur-3eme-republique/ancel_raoul1615r3.html", "ancel_raoul1615r3")</f>
        <v>0</v>
      </c>
      <c r="N12210">
        <f>HYPERLINK("https://www.wikidata.org/wiki/Q3419114", "Q3419114")</f>
        <v>0</v>
      </c>
      <c r="O12210" t="s">
        <v>19978</v>
      </c>
      <c r="Q12210" t="s">
        <v>399</v>
      </c>
      <c r="R12210" t="s">
        <v>19688</v>
      </c>
      <c r="S12210">
        <v>1005</v>
      </c>
    </row>
    <row r="12211" spans="1:19">
      <c r="A12211" t="s">
        <v>138</v>
      </c>
      <c r="B12211" t="s">
        <v>150</v>
      </c>
      <c r="C12211" t="s">
        <v>270</v>
      </c>
      <c r="D12211" t="s">
        <v>399</v>
      </c>
      <c r="F12211">
        <f>HYPERLINK("https://www.wikidata.org/wiki/Q111103102", "Q111103102")</f>
        <v>0</v>
      </c>
      <c r="G12211" t="s">
        <v>4836</v>
      </c>
      <c r="H12211" t="s">
        <v>8976</v>
      </c>
      <c r="I12211" t="s">
        <v>9375</v>
      </c>
      <c r="J12211" t="s">
        <v>15289</v>
      </c>
      <c r="K12211" t="s">
        <v>19596</v>
      </c>
      <c r="M12211">
        <f>HYPERLINK("https://www.senat.fr/senateur-3eme-republique/fortier_edouard1596r3.html", "fortier_edouard1596r3")</f>
        <v>0</v>
      </c>
      <c r="N12211">
        <f>HYPERLINK("https://www.wikidata.org/wiki/Q3579839", "Q3579839")</f>
        <v>0</v>
      </c>
      <c r="O12211" t="s">
        <v>19978</v>
      </c>
      <c r="Q12211" t="s">
        <v>399</v>
      </c>
      <c r="R12211" t="s">
        <v>21650</v>
      </c>
      <c r="S12211">
        <v>13440</v>
      </c>
    </row>
    <row r="12212" spans="1:19">
      <c r="A12212" t="s">
        <v>138</v>
      </c>
      <c r="B12212" t="s">
        <v>150</v>
      </c>
      <c r="C12212" t="s">
        <v>270</v>
      </c>
      <c r="D12212" t="s">
        <v>399</v>
      </c>
      <c r="F12212">
        <f>HYPERLINK("https://www.wikidata.org/wiki/Q111103102", "Q111103102")</f>
        <v>0</v>
      </c>
      <c r="G12212" t="s">
        <v>4838</v>
      </c>
      <c r="H12212" t="s">
        <v>8978</v>
      </c>
      <c r="I12212" t="s">
        <v>9458</v>
      </c>
      <c r="J12212" t="s">
        <v>14284</v>
      </c>
      <c r="K12212" t="s">
        <v>17701</v>
      </c>
      <c r="M12212">
        <f>HYPERLINK("https://www.senat.fr/senateur-3eme-republique/maquennehen_alfred1650r3.html", "maquennehen_alfred1650r3")</f>
        <v>0</v>
      </c>
      <c r="N12212">
        <f>HYPERLINK("https://www.wikidata.org/wiki/Q2835302", "Q2835302")</f>
        <v>0</v>
      </c>
      <c r="O12212" t="s">
        <v>20012</v>
      </c>
      <c r="Q12212" t="s">
        <v>399</v>
      </c>
      <c r="R12212" t="s">
        <v>21650</v>
      </c>
      <c r="S12212">
        <v>13440</v>
      </c>
    </row>
    <row r="12213" spans="1:19">
      <c r="A12213" t="s">
        <v>138</v>
      </c>
      <c r="B12213" t="s">
        <v>150</v>
      </c>
      <c r="C12213" t="s">
        <v>270</v>
      </c>
      <c r="D12213" t="s">
        <v>399</v>
      </c>
      <c r="F12213">
        <f>HYPERLINK("https://www.wikidata.org/wiki/Q111103102", "Q111103102")</f>
        <v>0</v>
      </c>
      <c r="G12213" t="s">
        <v>4832</v>
      </c>
      <c r="H12213" t="s">
        <v>8972</v>
      </c>
      <c r="I12213" t="s">
        <v>9472</v>
      </c>
      <c r="J12213" t="s">
        <v>15285</v>
      </c>
      <c r="K12213" t="s">
        <v>19593</v>
      </c>
      <c r="M12213">
        <f>HYPERLINK("https://www.senat.fr/senateur-3eme-republique/gay_de_savary_hippolyte1696r3.html", "gay_de_savary_hippolyte1696r3")</f>
        <v>0</v>
      </c>
      <c r="N12213">
        <f>HYPERLINK("https://www.wikidata.org/wiki/Q2825179", "Q2825179")</f>
        <v>0</v>
      </c>
      <c r="O12213" t="s">
        <v>19962</v>
      </c>
      <c r="Q12213" t="s">
        <v>399</v>
      </c>
      <c r="R12213" t="s">
        <v>21683</v>
      </c>
      <c r="S12213">
        <v>4024</v>
      </c>
    </row>
    <row r="12214" spans="1:19">
      <c r="A12214" t="s">
        <v>138</v>
      </c>
      <c r="B12214" t="s">
        <v>150</v>
      </c>
      <c r="C12214" t="s">
        <v>270</v>
      </c>
      <c r="D12214" t="s">
        <v>399</v>
      </c>
      <c r="F12214">
        <f>HYPERLINK("https://www.wikidata.org/wiki/Q111103102", "Q111103102")</f>
        <v>0</v>
      </c>
      <c r="G12214" t="s">
        <v>4912</v>
      </c>
      <c r="H12214" t="s">
        <v>9048</v>
      </c>
      <c r="I12214" t="s">
        <v>6495</v>
      </c>
      <c r="J12214" t="s">
        <v>15355</v>
      </c>
      <c r="K12214" t="s">
        <v>19660</v>
      </c>
      <c r="M12214">
        <f>HYPERLINK("https://www.senat.fr/senateur-3eme-republique/vieu_louis1694r3.html", "vieu_louis1694r3")</f>
        <v>0</v>
      </c>
      <c r="N12214">
        <f>HYPERLINK("https://www.wikidata.org/wiki/Q3263283", "Q3263283")</f>
        <v>0</v>
      </c>
      <c r="O12214" t="s">
        <v>19962</v>
      </c>
      <c r="Q12214" t="s">
        <v>399</v>
      </c>
      <c r="R12214" t="s">
        <v>21683</v>
      </c>
      <c r="S12214">
        <v>4024</v>
      </c>
    </row>
    <row r="12215" spans="1:19">
      <c r="A12215" t="s">
        <v>138</v>
      </c>
      <c r="B12215" t="s">
        <v>150</v>
      </c>
      <c r="C12215" t="s">
        <v>270</v>
      </c>
      <c r="D12215" t="s">
        <v>399</v>
      </c>
      <c r="F12215">
        <f>HYPERLINK("https://www.wikidata.org/wiki/Q111103102", "Q111103102")</f>
        <v>0</v>
      </c>
      <c r="G12215" t="s">
        <v>4748</v>
      </c>
      <c r="H12215" t="s">
        <v>8891</v>
      </c>
      <c r="I12215" t="s">
        <v>5528</v>
      </c>
      <c r="J12215" t="s">
        <v>15211</v>
      </c>
      <c r="K12215" t="s">
        <v>19528</v>
      </c>
      <c r="M12215">
        <f>HYPERLINK("https://www.senat.fr/senateur-3eme-republique/rolland_leon1715r3.html", "rolland_leon1715r3")</f>
        <v>0</v>
      </c>
      <c r="N12215">
        <f>HYPERLINK("https://www.wikidata.org/wiki/Q3271308", "Q3271308")</f>
        <v>0</v>
      </c>
      <c r="O12215" t="s">
        <v>20045</v>
      </c>
      <c r="Q12215" t="s">
        <v>399</v>
      </c>
      <c r="R12215" t="s">
        <v>21650</v>
      </c>
      <c r="S12215">
        <v>13440</v>
      </c>
    </row>
    <row r="12216" spans="1:19">
      <c r="A12216" t="s">
        <v>138</v>
      </c>
      <c r="B12216" t="s">
        <v>150</v>
      </c>
      <c r="C12216" t="s">
        <v>270</v>
      </c>
      <c r="D12216" t="s">
        <v>399</v>
      </c>
      <c r="F12216">
        <f>HYPERLINK("https://www.wikidata.org/wiki/Q111103102", "Q111103102")</f>
        <v>0</v>
      </c>
      <c r="G12216" t="s">
        <v>4262</v>
      </c>
      <c r="H12216" t="s">
        <v>8431</v>
      </c>
      <c r="I12216" t="s">
        <v>9605</v>
      </c>
      <c r="J12216" t="s">
        <v>12022</v>
      </c>
      <c r="K12216" t="s">
        <v>19110</v>
      </c>
      <c r="M12216">
        <f>HYPERLINK("https://www.senat.fr/senateur-3eme-republique/de_selves_justin1727r3.html", "de_selves_justin1727r3")</f>
        <v>0</v>
      </c>
      <c r="N12216">
        <f>HYPERLINK("https://www.wikidata.org/wiki/Q2403337", "Q2403337")</f>
        <v>0</v>
      </c>
      <c r="O12216" t="s">
        <v>20045</v>
      </c>
      <c r="Q12216" t="s">
        <v>399</v>
      </c>
      <c r="R12216" t="s">
        <v>21683</v>
      </c>
      <c r="S12216">
        <v>4024</v>
      </c>
    </row>
    <row r="12217" spans="1:19">
      <c r="A12217" t="s">
        <v>138</v>
      </c>
      <c r="B12217" t="s">
        <v>150</v>
      </c>
      <c r="C12217" t="s">
        <v>270</v>
      </c>
      <c r="D12217" t="s">
        <v>399</v>
      </c>
      <c r="F12217">
        <f>HYPERLINK("https://www.wikidata.org/wiki/Q111103102", "Q111103102")</f>
        <v>0</v>
      </c>
      <c r="G12217" t="s">
        <v>4906</v>
      </c>
      <c r="H12217" t="s">
        <v>9042</v>
      </c>
      <c r="I12217" t="s">
        <v>7265</v>
      </c>
      <c r="J12217" t="s">
        <v>13668</v>
      </c>
      <c r="K12217" t="s">
        <v>19653</v>
      </c>
      <c r="M12217">
        <f>HYPERLINK("https://www.senat.fr/senateur-3eme-republique/berger_philippe1818r3.html", "berger_philippe1818r3")</f>
        <v>0</v>
      </c>
      <c r="N12217">
        <f>HYPERLINK("https://www.wikidata.org/wiki/Q3379328", "Q3379328")</f>
        <v>0</v>
      </c>
      <c r="O12217" t="s">
        <v>20400</v>
      </c>
      <c r="Q12217" t="s">
        <v>399</v>
      </c>
      <c r="R12217" t="s">
        <v>19653</v>
      </c>
      <c r="S12217">
        <v>1175</v>
      </c>
    </row>
    <row r="12218" spans="1:19">
      <c r="A12218" t="s">
        <v>138</v>
      </c>
      <c r="B12218" t="s">
        <v>150</v>
      </c>
      <c r="C12218" t="s">
        <v>270</v>
      </c>
      <c r="D12218" t="s">
        <v>399</v>
      </c>
      <c r="F12218">
        <f>HYPERLINK("https://www.wikidata.org/wiki/Q111103102", "Q111103102")</f>
        <v>0</v>
      </c>
      <c r="G12218" t="s">
        <v>4039</v>
      </c>
      <c r="H12218" t="s">
        <v>8551</v>
      </c>
      <c r="I12218" t="s">
        <v>6495</v>
      </c>
      <c r="J12218" t="s">
        <v>14580</v>
      </c>
      <c r="K12218" t="s">
        <v>16212</v>
      </c>
      <c r="M12218">
        <f>HYPERLINK("https://www.senat.fr/senateur-3eme-republique/martin_louis1739r3.html", "martin_louis1739r3")</f>
        <v>0</v>
      </c>
      <c r="N12218">
        <f>HYPERLINK("https://www.wikidata.org/wiki/Q3262650", "Q3262650")</f>
        <v>0</v>
      </c>
      <c r="O12218" t="s">
        <v>20042</v>
      </c>
      <c r="Q12218" t="s">
        <v>399</v>
      </c>
      <c r="R12218" t="s">
        <v>21683</v>
      </c>
      <c r="S12218">
        <v>4024</v>
      </c>
    </row>
    <row r="12219" spans="1:19">
      <c r="A12219" t="s">
        <v>138</v>
      </c>
      <c r="B12219" t="s">
        <v>150</v>
      </c>
      <c r="C12219" t="s">
        <v>270</v>
      </c>
      <c r="D12219" t="s">
        <v>399</v>
      </c>
      <c r="F12219">
        <f>HYPERLINK("https://www.wikidata.org/wiki/Q111103102", "Q111103102")</f>
        <v>0</v>
      </c>
      <c r="G12219" t="s">
        <v>4911</v>
      </c>
      <c r="H12219" t="s">
        <v>9047</v>
      </c>
      <c r="I12219" t="s">
        <v>9681</v>
      </c>
      <c r="J12219" t="s">
        <v>15354</v>
      </c>
      <c r="K12219" t="s">
        <v>19659</v>
      </c>
      <c r="M12219">
        <f>HYPERLINK("https://www.senat.fr/senateur-3eme-republique/maureau_achille1704r3.html", "maureau_achille1704r3")</f>
        <v>0</v>
      </c>
      <c r="N12219">
        <f>HYPERLINK("https://www.wikidata.org/wiki/Q2823080", "Q2823080")</f>
        <v>0</v>
      </c>
      <c r="O12219" t="s">
        <v>20047</v>
      </c>
      <c r="Q12219" t="s">
        <v>399</v>
      </c>
      <c r="R12219" t="s">
        <v>21650</v>
      </c>
      <c r="S12219">
        <v>13440</v>
      </c>
    </row>
    <row r="12220" spans="1:19">
      <c r="A12220" t="s">
        <v>138</v>
      </c>
      <c r="B12220" t="s">
        <v>150</v>
      </c>
      <c r="C12220" t="s">
        <v>270</v>
      </c>
      <c r="D12220" t="s">
        <v>399</v>
      </c>
      <c r="F12220">
        <f>HYPERLINK("https://www.wikidata.org/wiki/Q111103102", "Q111103102")</f>
        <v>0</v>
      </c>
      <c r="G12220" t="s">
        <v>4297</v>
      </c>
      <c r="H12220" t="s">
        <v>6183</v>
      </c>
      <c r="I12220" t="s">
        <v>9465</v>
      </c>
      <c r="J12220" t="s">
        <v>14796</v>
      </c>
      <c r="K12220" t="s">
        <v>19139</v>
      </c>
      <c r="M12220">
        <f>HYPERLINK("https://www.senat.fr/senateur-3eme-republique/guerin_eugene1709r3.html", "guerin_eugene1709r3")</f>
        <v>0</v>
      </c>
      <c r="N12220">
        <f>HYPERLINK("https://www.wikidata.org/wiki/Q3059913", "Q3059913")</f>
        <v>0</v>
      </c>
      <c r="O12220" t="s">
        <v>20047</v>
      </c>
      <c r="Q12220" t="s">
        <v>399</v>
      </c>
      <c r="R12220" t="s">
        <v>21650</v>
      </c>
      <c r="S12220">
        <v>13440</v>
      </c>
    </row>
    <row r="12221" spans="1:19">
      <c r="A12221" t="s">
        <v>138</v>
      </c>
      <c r="B12221" t="s">
        <v>150</v>
      </c>
      <c r="C12221" t="s">
        <v>270</v>
      </c>
      <c r="D12221" t="s">
        <v>399</v>
      </c>
      <c r="F12221">
        <f>HYPERLINK("https://www.wikidata.org/wiki/Q111103102", "Q111103102")</f>
        <v>0</v>
      </c>
      <c r="G12221" t="s">
        <v>4696</v>
      </c>
      <c r="H12221" t="s">
        <v>8836</v>
      </c>
      <c r="I12221" t="s">
        <v>9440</v>
      </c>
      <c r="J12221" t="s">
        <v>15165</v>
      </c>
      <c r="K12221" t="s">
        <v>19469</v>
      </c>
      <c r="M12221">
        <f>HYPERLINK("https://www.senat.fr/senateur-3eme-republique/de_bejarry_amedee1748r3.html", "de_bejarry_amedee1748r3")</f>
        <v>0</v>
      </c>
      <c r="N12221">
        <f>HYPERLINK("https://www.wikidata.org/wiki/Q2844725", "Q2844725")</f>
        <v>0</v>
      </c>
      <c r="O12221" t="s">
        <v>19972</v>
      </c>
      <c r="Q12221" t="s">
        <v>399</v>
      </c>
      <c r="R12221" t="s">
        <v>21650</v>
      </c>
      <c r="S12221">
        <v>13440</v>
      </c>
    </row>
    <row r="12222" spans="1:19">
      <c r="A12222" t="s">
        <v>138</v>
      </c>
      <c r="B12222" t="s">
        <v>150</v>
      </c>
      <c r="C12222" t="s">
        <v>270</v>
      </c>
      <c r="D12222" t="s">
        <v>399</v>
      </c>
      <c r="F12222">
        <f>HYPERLINK("https://www.wikidata.org/wiki/Q111103102", "Q111103102")</f>
        <v>0</v>
      </c>
      <c r="G12222" t="s">
        <v>4680</v>
      </c>
      <c r="H12222" t="s">
        <v>8743</v>
      </c>
      <c r="I12222" t="s">
        <v>9414</v>
      </c>
      <c r="J12222" t="s">
        <v>15150</v>
      </c>
      <c r="K12222" t="s">
        <v>19470</v>
      </c>
      <c r="M12222">
        <f>HYPERLINK("https://www.senat.fr/senateur-3eme-republique/halgan_emmanuel1753r3.html", "halgan_emmanuel1753r3")</f>
        <v>0</v>
      </c>
      <c r="N12222">
        <f>HYPERLINK("https://www.wikidata.org/wiki/Q3052727", "Q3052727")</f>
        <v>0</v>
      </c>
      <c r="O12222" t="s">
        <v>19972</v>
      </c>
      <c r="Q12222" t="s">
        <v>399</v>
      </c>
      <c r="R12222" t="s">
        <v>21650</v>
      </c>
      <c r="S12222">
        <v>13440</v>
      </c>
    </row>
    <row r="12223" spans="1:19">
      <c r="A12223" t="s">
        <v>138</v>
      </c>
      <c r="B12223" t="s">
        <v>150</v>
      </c>
      <c r="C12223" t="s">
        <v>270</v>
      </c>
      <c r="D12223" t="s">
        <v>399</v>
      </c>
      <c r="F12223">
        <f>HYPERLINK("https://www.wikidata.org/wiki/Q111103102", "Q111103102")</f>
        <v>0</v>
      </c>
      <c r="G12223" t="s">
        <v>4934</v>
      </c>
      <c r="H12223" t="s">
        <v>9069</v>
      </c>
      <c r="I12223" t="s">
        <v>7419</v>
      </c>
      <c r="J12223" t="s">
        <v>15376</v>
      </c>
      <c r="K12223" t="s">
        <v>18697</v>
      </c>
      <c r="M12223">
        <f>HYPERLINK("https://www.senat.fr/senateur-3eme-republique/servant_jacques1772r3.html", "servant_jacques1772r3")</f>
        <v>0</v>
      </c>
      <c r="N12223">
        <f>HYPERLINK("https://www.wikidata.org/wiki/Q3159995", "Q3159995")</f>
        <v>0</v>
      </c>
      <c r="O12223" t="s">
        <v>19982</v>
      </c>
      <c r="Q12223" t="s">
        <v>399</v>
      </c>
      <c r="R12223" t="s">
        <v>21650</v>
      </c>
      <c r="S12223">
        <v>13440</v>
      </c>
    </row>
    <row r="12224" spans="1:19">
      <c r="A12224" t="s">
        <v>138</v>
      </c>
      <c r="B12224" t="s">
        <v>150</v>
      </c>
      <c r="C12224" t="s">
        <v>270</v>
      </c>
      <c r="D12224" t="s">
        <v>399</v>
      </c>
      <c r="F12224">
        <f>HYPERLINK("https://www.wikidata.org/wiki/Q111103102", "Q111103102")</f>
        <v>0</v>
      </c>
      <c r="G12224" t="s">
        <v>4928</v>
      </c>
      <c r="H12224" t="s">
        <v>9064</v>
      </c>
      <c r="I12224" t="s">
        <v>9483</v>
      </c>
      <c r="J12224" t="s">
        <v>15370</v>
      </c>
      <c r="K12224" t="s">
        <v>19673</v>
      </c>
      <c r="M12224">
        <f>HYPERLINK("https://www.senat.fr/senateur-3eme-republique/surreaux_victor1760r3.html", "surreaux_victor1760r3")</f>
        <v>0</v>
      </c>
      <c r="N12224">
        <f>HYPERLINK("https://www.wikidata.org/wiki/Q3557590", "Q3557590")</f>
        <v>0</v>
      </c>
      <c r="O12224" t="s">
        <v>19982</v>
      </c>
      <c r="Q12224" t="s">
        <v>399</v>
      </c>
      <c r="R12224" t="s">
        <v>21650</v>
      </c>
      <c r="S12224">
        <v>13440</v>
      </c>
    </row>
    <row r="12225" spans="1:19">
      <c r="A12225" t="s">
        <v>138</v>
      </c>
      <c r="B12225" t="s">
        <v>150</v>
      </c>
      <c r="C12225" t="s">
        <v>270</v>
      </c>
      <c r="D12225" t="s">
        <v>399</v>
      </c>
      <c r="F12225">
        <f>HYPERLINK("https://www.wikidata.org/wiki/Q111103102", "Q111103102")</f>
        <v>0</v>
      </c>
      <c r="G12225" t="s">
        <v>4924</v>
      </c>
      <c r="H12225" t="s">
        <v>9060</v>
      </c>
      <c r="I12225" t="s">
        <v>9423</v>
      </c>
      <c r="J12225" t="s">
        <v>15366</v>
      </c>
      <c r="K12225" t="s">
        <v>19669</v>
      </c>
      <c r="M12225">
        <f>HYPERLINK("https://www.senat.fr/senateur-3eme-republique/poulle_guillaume1765r3.html", "poulle_guillaume1765r3")</f>
        <v>0</v>
      </c>
      <c r="N12225">
        <f>HYPERLINK("https://www.wikidata.org/wiki/Q3120133", "Q3120133")</f>
        <v>0</v>
      </c>
      <c r="O12225" t="s">
        <v>19982</v>
      </c>
      <c r="Q12225" t="s">
        <v>399</v>
      </c>
      <c r="R12225" t="s">
        <v>21683</v>
      </c>
      <c r="S12225">
        <v>4024</v>
      </c>
    </row>
    <row r="12226" spans="1:19">
      <c r="A12226" t="s">
        <v>138</v>
      </c>
      <c r="B12226" t="s">
        <v>150</v>
      </c>
      <c r="C12226" t="s">
        <v>270</v>
      </c>
      <c r="D12226" t="s">
        <v>399</v>
      </c>
      <c r="F12226">
        <f>HYPERLINK("https://www.wikidata.org/wiki/Q111103102", "Q111103102")</f>
        <v>0</v>
      </c>
      <c r="G12226" t="s">
        <v>4951</v>
      </c>
      <c r="H12226" t="s">
        <v>9085</v>
      </c>
      <c r="I12226" t="s">
        <v>6158</v>
      </c>
      <c r="J12226" t="s">
        <v>15391</v>
      </c>
      <c r="K12226" t="s">
        <v>19689</v>
      </c>
      <c r="M12226">
        <f>HYPERLINK("https://www.senat.fr/senateur-3eme-republique/besnard_felix1845r3.html", "besnard_felix1845r3")</f>
        <v>0</v>
      </c>
      <c r="N12226">
        <f>HYPERLINK("https://www.wikidata.org/wiki/Q3092372", "Q3092372")</f>
        <v>0</v>
      </c>
      <c r="O12226" t="s">
        <v>20034</v>
      </c>
      <c r="Q12226" t="s">
        <v>399</v>
      </c>
      <c r="R12226" t="s">
        <v>19689</v>
      </c>
      <c r="S12226">
        <v>1595</v>
      </c>
    </row>
    <row r="12227" spans="1:19">
      <c r="A12227" t="s">
        <v>138</v>
      </c>
      <c r="B12227" t="s">
        <v>150</v>
      </c>
      <c r="C12227" t="s">
        <v>270</v>
      </c>
      <c r="D12227" t="s">
        <v>399</v>
      </c>
      <c r="F12227">
        <f>HYPERLINK("https://www.wikidata.org/wiki/Q111103102", "Q111103102")</f>
        <v>0</v>
      </c>
      <c r="G12227" t="s">
        <v>4952</v>
      </c>
      <c r="H12227" t="s">
        <v>9086</v>
      </c>
      <c r="I12227" t="s">
        <v>6585</v>
      </c>
      <c r="J12227" t="s">
        <v>15392</v>
      </c>
      <c r="K12227" t="s">
        <v>19690</v>
      </c>
      <c r="M12227">
        <f>HYPERLINK("https://www.senat.fr/senateur-3eme-republique/lebert_andre1248r3.html", "lebert_andre1248r3")</f>
        <v>0</v>
      </c>
      <c r="N12227">
        <f>HYPERLINK("https://www.wikidata.org/wiki/Q2848126", "Q2848126")</f>
        <v>0</v>
      </c>
      <c r="O12227" t="s">
        <v>19956</v>
      </c>
      <c r="Q12227" t="s">
        <v>21203</v>
      </c>
      <c r="R12227" t="s">
        <v>21683</v>
      </c>
      <c r="S12227">
        <v>4021</v>
      </c>
    </row>
    <row r="12228" spans="1:19">
      <c r="A12228" t="s">
        <v>138</v>
      </c>
      <c r="B12228" t="s">
        <v>150</v>
      </c>
      <c r="C12228" t="s">
        <v>270</v>
      </c>
      <c r="D12228" t="s">
        <v>399</v>
      </c>
      <c r="F12228">
        <f>HYPERLINK("https://www.wikidata.org/wiki/Q111103102", "Q111103102")</f>
        <v>0</v>
      </c>
      <c r="G12228" t="s">
        <v>3541</v>
      </c>
      <c r="H12228" t="s">
        <v>5337</v>
      </c>
      <c r="I12228" t="s">
        <v>9437</v>
      </c>
      <c r="J12228" t="s">
        <v>14132</v>
      </c>
      <c r="K12228" t="s">
        <v>18497</v>
      </c>
      <c r="L12228">
        <f>HYPERLINK("https://www2.assemblee-nationale.fr/sycomore/fiche/(num_dept)/1727", "1727")</f>
        <v>0</v>
      </c>
      <c r="M12228">
        <f>HYPERLINK("https://www.senat.fr/senateur-3eme-republique/chautemps_emile1313r3.html", "chautemps_emile1313r3")</f>
        <v>0</v>
      </c>
      <c r="N12228">
        <f>HYPERLINK("https://www.wikidata.org/wiki/Q3588410", "Q3588410")</f>
        <v>0</v>
      </c>
      <c r="O12228" t="s">
        <v>20018</v>
      </c>
      <c r="Q12228" t="s">
        <v>21204</v>
      </c>
      <c r="R12228" t="s">
        <v>21650</v>
      </c>
      <c r="S12228">
        <v>13413</v>
      </c>
    </row>
    <row r="12229" spans="1:19">
      <c r="A12229" t="s">
        <v>138</v>
      </c>
      <c r="B12229" t="s">
        <v>150</v>
      </c>
      <c r="C12229" t="s">
        <v>270</v>
      </c>
      <c r="D12229" t="s">
        <v>399</v>
      </c>
      <c r="F12229">
        <f>HYPERLINK("https://www.wikidata.org/wiki/Q111103102", "Q111103102")</f>
        <v>0</v>
      </c>
      <c r="G12229" t="s">
        <v>3831</v>
      </c>
      <c r="H12229" t="s">
        <v>8111</v>
      </c>
      <c r="I12229" t="s">
        <v>9483</v>
      </c>
      <c r="J12229" t="s">
        <v>14394</v>
      </c>
      <c r="K12229" t="s">
        <v>18748</v>
      </c>
      <c r="L12229">
        <f>HYPERLINK("https://www2.assemblee-nationale.fr/sycomore/fiche/(num_dept)/3343", "3343")</f>
        <v>0</v>
      </c>
      <c r="M12229">
        <f>HYPERLINK("https://www.senat.fr/senateur-3eme-republique/genoux_prachee_victor1171r3.html", "genoux_prachee_victor1171r3")</f>
        <v>0</v>
      </c>
      <c r="N12229">
        <f>HYPERLINK("https://www.wikidata.org/wiki/Q3557323", "Q3557323")</f>
        <v>0</v>
      </c>
      <c r="O12229" t="s">
        <v>20036</v>
      </c>
      <c r="Q12229" t="s">
        <v>21204</v>
      </c>
      <c r="R12229" t="s">
        <v>21650</v>
      </c>
      <c r="S12229">
        <v>13413</v>
      </c>
    </row>
    <row r="12230" spans="1:19">
      <c r="A12230" t="s">
        <v>138</v>
      </c>
      <c r="B12230" t="s">
        <v>150</v>
      </c>
      <c r="C12230" t="s">
        <v>270</v>
      </c>
      <c r="D12230" t="s">
        <v>399</v>
      </c>
      <c r="F12230">
        <f>HYPERLINK("https://www.wikidata.org/wiki/Q111103102", "Q111103102")</f>
        <v>0</v>
      </c>
      <c r="G12230" t="s">
        <v>4839</v>
      </c>
      <c r="H12230" t="s">
        <v>8979</v>
      </c>
      <c r="I12230" t="s">
        <v>11228</v>
      </c>
      <c r="J12230" t="s">
        <v>15291</v>
      </c>
      <c r="K12230" t="s">
        <v>19598</v>
      </c>
      <c r="M12230">
        <f>HYPERLINK("https://www.senat.fr/senateur-3eme-republique/bassinet_athanase1557r3.html", "bassinet_athanase1557r3")</f>
        <v>0</v>
      </c>
      <c r="N12230">
        <f>HYPERLINK("https://www.wikidata.org/wiki/Q13080814", "Q13080814")</f>
        <v>0</v>
      </c>
      <c r="O12230" t="s">
        <v>19969</v>
      </c>
      <c r="Q12230" t="s">
        <v>21204</v>
      </c>
      <c r="R12230" t="s">
        <v>21650</v>
      </c>
      <c r="S12230">
        <v>13413</v>
      </c>
    </row>
    <row r="12231" spans="1:19">
      <c r="A12231" t="s">
        <v>138</v>
      </c>
      <c r="B12231" t="s">
        <v>150</v>
      </c>
      <c r="C12231" t="s">
        <v>270</v>
      </c>
      <c r="D12231" t="s">
        <v>399</v>
      </c>
      <c r="F12231">
        <f>HYPERLINK("https://www.wikidata.org/wiki/Q111103102", "Q111103102")</f>
        <v>0</v>
      </c>
      <c r="G12231" t="s">
        <v>3688</v>
      </c>
      <c r="H12231" t="s">
        <v>8010</v>
      </c>
      <c r="I12231" t="s">
        <v>6478</v>
      </c>
      <c r="J12231" t="s">
        <v>14264</v>
      </c>
      <c r="K12231" t="s">
        <v>18625</v>
      </c>
      <c r="L12231">
        <f>HYPERLINK("https://www2.assemblee-nationale.fr/sycomore/fiche/(num_dept)/1512", "1512")</f>
        <v>0</v>
      </c>
      <c r="M12231">
        <f>HYPERLINK("https://www.senat.fr/senateur-3eme-republique/castillard_henri0222r3.html", "castillard_henri0222r3")</f>
        <v>0</v>
      </c>
      <c r="N12231">
        <f>HYPERLINK("https://www.wikidata.org/wiki/Q3130800", "Q3130800")</f>
        <v>0</v>
      </c>
      <c r="O12231" t="s">
        <v>8449</v>
      </c>
      <c r="Q12231" t="s">
        <v>21205</v>
      </c>
      <c r="R12231" t="s">
        <v>21678</v>
      </c>
      <c r="S12231">
        <v>944</v>
      </c>
    </row>
    <row r="12232" spans="1:19">
      <c r="A12232" t="s">
        <v>138</v>
      </c>
      <c r="B12232" t="s">
        <v>150</v>
      </c>
      <c r="C12232" t="s">
        <v>270</v>
      </c>
      <c r="D12232" t="s">
        <v>399</v>
      </c>
      <c r="F12232">
        <f>HYPERLINK("https://www.wikidata.org/wiki/Q111103102", "Q111103102")</f>
        <v>0</v>
      </c>
      <c r="G12232" t="s">
        <v>4953</v>
      </c>
      <c r="H12232" t="s">
        <v>9087</v>
      </c>
      <c r="I12232" t="s">
        <v>9608</v>
      </c>
      <c r="J12232" t="s">
        <v>15393</v>
      </c>
      <c r="K12232" t="s">
        <v>19691</v>
      </c>
      <c r="M12232">
        <f>HYPERLINK("https://www.senat.fr/senateur-3eme-republique/martinet_antony0428r3.html", "martinet_antony0428r3")</f>
        <v>0</v>
      </c>
      <c r="N12232">
        <f>HYPERLINK("https://www.wikidata.org/wiki/Q2857545", "Q2857545")</f>
        <v>0</v>
      </c>
      <c r="O12232" t="s">
        <v>19996</v>
      </c>
      <c r="Q12232" t="s">
        <v>17833</v>
      </c>
      <c r="R12232" t="s">
        <v>21678</v>
      </c>
      <c r="S12232">
        <v>909</v>
      </c>
    </row>
    <row r="12233" spans="1:19">
      <c r="A12233" t="s">
        <v>138</v>
      </c>
      <c r="B12233" t="s">
        <v>150</v>
      </c>
      <c r="C12233" t="s">
        <v>270</v>
      </c>
      <c r="D12233" t="s">
        <v>399</v>
      </c>
      <c r="F12233">
        <f>HYPERLINK("https://www.wikidata.org/wiki/Q111103102", "Q111103102")</f>
        <v>0</v>
      </c>
      <c r="G12233" t="s">
        <v>4954</v>
      </c>
      <c r="H12233" t="s">
        <v>9088</v>
      </c>
      <c r="I12233" t="s">
        <v>9407</v>
      </c>
      <c r="J12233" t="s">
        <v>15394</v>
      </c>
      <c r="K12233" t="s">
        <v>19692</v>
      </c>
      <c r="M12233">
        <f>HYPERLINK("https://www.senat.fr/senateur-3eme-republique/loubet_joseph0625r3.html", "loubet_joseph0625r3")</f>
        <v>0</v>
      </c>
      <c r="N12233">
        <f>HYPERLINK("https://www.wikidata.org/wiki/Q3185259", "Q3185259")</f>
        <v>0</v>
      </c>
      <c r="O12233" t="s">
        <v>19974</v>
      </c>
      <c r="Q12233" t="s">
        <v>18326</v>
      </c>
      <c r="R12233" t="s">
        <v>21683</v>
      </c>
      <c r="S12233">
        <v>3807</v>
      </c>
    </row>
    <row r="12234" spans="1:19">
      <c r="A12234" t="s">
        <v>138</v>
      </c>
      <c r="B12234" t="s">
        <v>150</v>
      </c>
      <c r="C12234" t="s">
        <v>270</v>
      </c>
      <c r="D12234" t="s">
        <v>399</v>
      </c>
      <c r="F12234">
        <f>HYPERLINK("https://www.wikidata.org/wiki/Q111103102", "Q111103102")</f>
        <v>0</v>
      </c>
      <c r="G12234" t="s">
        <v>4955</v>
      </c>
      <c r="H12234" t="s">
        <v>8630</v>
      </c>
      <c r="I12234" t="s">
        <v>7308</v>
      </c>
      <c r="J12234" t="s">
        <v>11491</v>
      </c>
      <c r="K12234" t="s">
        <v>19693</v>
      </c>
      <c r="M12234">
        <f>HYPERLINK("https://www.senat.fr/senateur-3eme-republique/audren_de_kerdrel_roger0915r3.html", "audren_de_kerdrel_roger0915r3")</f>
        <v>0</v>
      </c>
      <c r="N12234">
        <f>HYPERLINK("https://www.wikidata.org/wiki/Q3438659", "Q3438659")</f>
        <v>0</v>
      </c>
      <c r="O12234" t="s">
        <v>19961</v>
      </c>
      <c r="Q12234" t="s">
        <v>21206</v>
      </c>
      <c r="R12234" t="s">
        <v>21683</v>
      </c>
      <c r="S12234">
        <v>3786</v>
      </c>
    </row>
    <row r="12235" spans="1:19">
      <c r="A12235" t="s">
        <v>138</v>
      </c>
      <c r="B12235" t="s">
        <v>150</v>
      </c>
      <c r="C12235" t="s">
        <v>270</v>
      </c>
      <c r="D12235" t="s">
        <v>399</v>
      </c>
      <c r="F12235">
        <f>HYPERLINK("https://www.wikidata.org/wiki/Q111103102", "Q111103102")</f>
        <v>0</v>
      </c>
      <c r="G12235" t="s">
        <v>4205</v>
      </c>
      <c r="H12235" t="s">
        <v>8392</v>
      </c>
      <c r="I12235" t="s">
        <v>9442</v>
      </c>
      <c r="J12235" t="s">
        <v>14717</v>
      </c>
      <c r="K12235" t="s">
        <v>19060</v>
      </c>
      <c r="L12235">
        <f>HYPERLINK("https://www2.assemblee-nationale.fr/sycomore/fiche/(num_dept)/5221", "5221")</f>
        <v>0</v>
      </c>
      <c r="M12235">
        <f>HYPERLINK("https://www.senat.fr/senateur-3eme-republique/messner_ernest0552r3.html", "messner_ernest0552r3")</f>
        <v>0</v>
      </c>
      <c r="N12235">
        <f>HYPERLINK("https://www.wikidata.org/wiki/Q3057085", "Q3057085")</f>
        <v>0</v>
      </c>
      <c r="Q12235" t="s">
        <v>21207</v>
      </c>
      <c r="R12235" t="s">
        <v>21678</v>
      </c>
      <c r="S12235">
        <v>720</v>
      </c>
    </row>
    <row r="12236" spans="1:19">
      <c r="A12236" t="s">
        <v>138</v>
      </c>
      <c r="B12236" t="s">
        <v>150</v>
      </c>
      <c r="C12236" t="s">
        <v>270</v>
      </c>
      <c r="D12236" t="s">
        <v>399</v>
      </c>
      <c r="F12236">
        <f>HYPERLINK("https://www.wikidata.org/wiki/Q111103102", "Q111103102")</f>
        <v>0</v>
      </c>
      <c r="G12236" t="s">
        <v>2554</v>
      </c>
      <c r="H12236" t="s">
        <v>7113</v>
      </c>
      <c r="I12236" t="s">
        <v>9449</v>
      </c>
      <c r="J12236" t="s">
        <v>13198</v>
      </c>
      <c r="K12236" t="s">
        <v>17603</v>
      </c>
      <c r="L12236">
        <f>HYPERLINK("https://www2.assemblee-nationale.fr/sycomore/fiche/(num_dept)/2474", "2474")</f>
        <v>0</v>
      </c>
      <c r="M12236">
        <f>HYPERLINK("https://www.senat.fr/senateur-3eme-republique/develle_jules1013r3.html", "develle_jules1013r3")</f>
        <v>0</v>
      </c>
      <c r="N12236">
        <f>HYPERLINK("https://www.wikidata.org/wiki/Q939193", "Q939193")</f>
        <v>0</v>
      </c>
      <c r="O12236" t="s">
        <v>20030</v>
      </c>
      <c r="Q12236" t="s">
        <v>21208</v>
      </c>
      <c r="R12236" t="s">
        <v>17603</v>
      </c>
      <c r="S12236">
        <v>3532</v>
      </c>
    </row>
    <row r="12237" spans="1:19">
      <c r="A12237" t="s">
        <v>138</v>
      </c>
      <c r="B12237" t="s">
        <v>150</v>
      </c>
      <c r="C12237" t="s">
        <v>270</v>
      </c>
      <c r="D12237" t="s">
        <v>399</v>
      </c>
      <c r="F12237">
        <f>HYPERLINK("https://www.wikidata.org/wiki/Q111103102", "Q111103102")</f>
        <v>0</v>
      </c>
      <c r="G12237" t="s">
        <v>3819</v>
      </c>
      <c r="H12237" t="s">
        <v>8103</v>
      </c>
      <c r="I12237" t="s">
        <v>9470</v>
      </c>
      <c r="J12237" t="s">
        <v>14385</v>
      </c>
      <c r="K12237" t="s">
        <v>18737</v>
      </c>
      <c r="L12237">
        <f>HYPERLINK("https://www2.assemblee-nationale.fr/sycomore/fiche/(num_dept)/2570", "2570")</f>
        <v>0</v>
      </c>
      <c r="M12237">
        <f>HYPERLINK("https://www.senat.fr/senateur-3eme-republique/doumergue_gaston0833r3.html", "doumergue_gaston0833r3")</f>
        <v>0</v>
      </c>
      <c r="N12237">
        <f>HYPERLINK("https://www.wikidata.org/wiki/Q296064", "Q296064")</f>
        <v>0</v>
      </c>
      <c r="O12237" t="s">
        <v>20014</v>
      </c>
      <c r="Q12237" t="s">
        <v>21209</v>
      </c>
      <c r="R12237" t="s">
        <v>21678</v>
      </c>
      <c r="S12237">
        <v>671</v>
      </c>
    </row>
    <row r="12238" spans="1:19">
      <c r="A12238" t="s">
        <v>138</v>
      </c>
      <c r="B12238" t="s">
        <v>150</v>
      </c>
      <c r="C12238" t="s">
        <v>270</v>
      </c>
      <c r="D12238" t="s">
        <v>399</v>
      </c>
      <c r="F12238">
        <f>HYPERLINK("https://www.wikidata.org/wiki/Q111103102", "Q111103102")</f>
        <v>0</v>
      </c>
      <c r="G12238" t="s">
        <v>4102</v>
      </c>
      <c r="H12238" t="s">
        <v>8314</v>
      </c>
      <c r="I12238" t="s">
        <v>11111</v>
      </c>
      <c r="J12238" t="s">
        <v>14640</v>
      </c>
      <c r="K12238" t="s">
        <v>18975</v>
      </c>
      <c r="L12238">
        <f>HYPERLINK("https://www2.assemblee-nationale.fr/sycomore/fiche/(num_dept)/1343", "1343")</f>
        <v>0</v>
      </c>
      <c r="M12238">
        <f>HYPERLINK("https://www.senat.fr/senateur-3eme-republique/cachet_louis0907r3.html", "cachet_louis0907r3")</f>
        <v>0</v>
      </c>
      <c r="N12238">
        <f>HYPERLINK("https://www.wikidata.org/wiki/Q3261399", "Q3261399")</f>
        <v>0</v>
      </c>
      <c r="O12238" t="s">
        <v>19957</v>
      </c>
      <c r="Q12238" t="s">
        <v>21210</v>
      </c>
      <c r="R12238" t="s">
        <v>21699</v>
      </c>
      <c r="S12238">
        <v>1587</v>
      </c>
    </row>
    <row r="12239" spans="1:19">
      <c r="A12239" t="s">
        <v>138</v>
      </c>
      <c r="B12239" t="s">
        <v>150</v>
      </c>
      <c r="C12239" t="s">
        <v>270</v>
      </c>
      <c r="D12239" t="s">
        <v>399</v>
      </c>
      <c r="F12239">
        <f>HYPERLINK("https://www.wikidata.org/wiki/Q111103102", "Q111103102")</f>
        <v>0</v>
      </c>
      <c r="G12239" t="s">
        <v>4347</v>
      </c>
      <c r="H12239" t="s">
        <v>7359</v>
      </c>
      <c r="I12239" t="s">
        <v>9391</v>
      </c>
      <c r="J12239" t="s">
        <v>14839</v>
      </c>
      <c r="K12239" t="s">
        <v>19181</v>
      </c>
      <c r="M12239">
        <f>HYPERLINK("https://www.senat.fr/senateur-3eme-republique/chauveau_claude0544r3.html", "chauveau_claude0544r3")</f>
        <v>0</v>
      </c>
      <c r="N12239">
        <f>HYPERLINK("https://www.wikidata.org/wiki/Q2977185", "Q2977185")</f>
        <v>0</v>
      </c>
      <c r="Q12239" t="s">
        <v>21211</v>
      </c>
      <c r="R12239" t="s">
        <v>21678</v>
      </c>
      <c r="S12239">
        <v>566</v>
      </c>
    </row>
    <row r="12240" spans="1:19">
      <c r="A12240" t="s">
        <v>138</v>
      </c>
      <c r="B12240" t="s">
        <v>150</v>
      </c>
      <c r="C12240" t="s">
        <v>270</v>
      </c>
      <c r="D12240" t="s">
        <v>399</v>
      </c>
      <c r="F12240">
        <f>HYPERLINK("https://www.wikidata.org/wiki/Q111103102", "Q111103102")</f>
        <v>0</v>
      </c>
      <c r="G12240" t="s">
        <v>4956</v>
      </c>
      <c r="H12240" t="s">
        <v>9089</v>
      </c>
      <c r="I12240" t="s">
        <v>9389</v>
      </c>
      <c r="J12240" t="s">
        <v>15395</v>
      </c>
      <c r="K12240" t="s">
        <v>19694</v>
      </c>
      <c r="M12240">
        <f>HYPERLINK("https://www.senat.fr/senateur-3eme-republique/goy_emile1320r3.html", "goy_emile1320r3")</f>
        <v>0</v>
      </c>
      <c r="N12240">
        <f>HYPERLINK("https://www.wikidata.org/wiki/Q3588546", "Q3588546")</f>
        <v>0</v>
      </c>
      <c r="O12240" t="s">
        <v>20018</v>
      </c>
      <c r="Q12240" t="s">
        <v>21212</v>
      </c>
      <c r="R12240" t="s">
        <v>21683</v>
      </c>
      <c r="S12240">
        <v>3478</v>
      </c>
    </row>
    <row r="12241" spans="1:19">
      <c r="A12241" t="s">
        <v>138</v>
      </c>
      <c r="B12241" t="s">
        <v>150</v>
      </c>
      <c r="C12241" t="s">
        <v>270</v>
      </c>
      <c r="D12241" t="s">
        <v>399</v>
      </c>
      <c r="F12241">
        <f>HYPERLINK("https://www.wikidata.org/wiki/Q111103102", "Q111103102")</f>
        <v>0</v>
      </c>
      <c r="G12241" t="s">
        <v>1847</v>
      </c>
      <c r="H12241" t="s">
        <v>6506</v>
      </c>
      <c r="I12241" t="s">
        <v>9969</v>
      </c>
      <c r="J12241" t="s">
        <v>12538</v>
      </c>
      <c r="K12241" t="s">
        <v>16950</v>
      </c>
      <c r="L12241">
        <f>HYPERLINK("https://www2.assemblee-nationale.fr/sycomore/fiche/(num_dept)/5260", "5260")</f>
        <v>0</v>
      </c>
      <c r="M12241">
        <f>HYPERLINK("https://www.senat.fr/senateur-3eme-republique/michel_henri0069r3.html", "michel_henri0069r3")</f>
        <v>0</v>
      </c>
      <c r="N12241">
        <f>HYPERLINK("https://www.wikidata.org/wiki/Q3131640", "Q3131640")</f>
        <v>0</v>
      </c>
      <c r="O12241" t="s">
        <v>20033</v>
      </c>
      <c r="Q12241" t="s">
        <v>20523</v>
      </c>
      <c r="R12241" t="s">
        <v>21678</v>
      </c>
      <c r="S12241">
        <v>496</v>
      </c>
    </row>
    <row r="12242" spans="1:19">
      <c r="A12242" t="s">
        <v>138</v>
      </c>
      <c r="B12242" t="s">
        <v>150</v>
      </c>
      <c r="C12242" t="s">
        <v>270</v>
      </c>
      <c r="D12242" t="s">
        <v>399</v>
      </c>
      <c r="F12242">
        <f>HYPERLINK("https://www.wikidata.org/wiki/Q111103102", "Q111103102")</f>
        <v>0</v>
      </c>
      <c r="G12242" t="s">
        <v>864</v>
      </c>
      <c r="H12242" t="s">
        <v>5620</v>
      </c>
      <c r="I12242" t="s">
        <v>9562</v>
      </c>
      <c r="J12242" t="s">
        <v>11610</v>
      </c>
      <c r="K12242" t="s">
        <v>16012</v>
      </c>
      <c r="L12242">
        <f>HYPERLINK("https://www2.assemblee-nationale.fr/sycomore/fiche/(num_dept)/222", "222")</f>
        <v>0</v>
      </c>
      <c r="M12242">
        <f>HYPERLINK("https://www.senat.fr/senateur-3eme-republique/astier_placide0139r3.html", "astier_placide0139r3")</f>
        <v>0</v>
      </c>
      <c r="N12242">
        <f>HYPERLINK("https://www.wikidata.org/wiki/Q3390780", "Q3390780")</f>
        <v>0</v>
      </c>
      <c r="O12242" t="s">
        <v>19991</v>
      </c>
      <c r="Q12242" t="s">
        <v>21213</v>
      </c>
      <c r="R12242" t="s">
        <v>21678</v>
      </c>
      <c r="S12242">
        <v>461</v>
      </c>
    </row>
    <row r="12243" spans="1:19">
      <c r="A12243" t="s">
        <v>138</v>
      </c>
      <c r="B12243" t="s">
        <v>150</v>
      </c>
      <c r="C12243" t="s">
        <v>270</v>
      </c>
      <c r="D12243" t="s">
        <v>399</v>
      </c>
      <c r="F12243">
        <f>HYPERLINK("https://www.wikidata.org/wiki/Q111103102", "Q111103102")</f>
        <v>0</v>
      </c>
      <c r="G12243" t="s">
        <v>4957</v>
      </c>
      <c r="H12243" t="s">
        <v>9090</v>
      </c>
      <c r="I12243" t="s">
        <v>9389</v>
      </c>
      <c r="J12243" t="s">
        <v>15396</v>
      </c>
      <c r="K12243" t="s">
        <v>18032</v>
      </c>
      <c r="M12243">
        <f>HYPERLINK("https://www.senat.fr/senateur-3eme-republique/bonnelat_emile0439r3.html", "bonnelat_emile0439r3")</f>
        <v>0</v>
      </c>
      <c r="N12243">
        <f>HYPERLINK("https://www.wikidata.org/wiki/Q3588367", "Q3588367")</f>
        <v>0</v>
      </c>
      <c r="O12243" t="s">
        <v>19996</v>
      </c>
      <c r="Q12243" t="s">
        <v>21213</v>
      </c>
      <c r="R12243" t="s">
        <v>21678</v>
      </c>
      <c r="S12243">
        <v>461</v>
      </c>
    </row>
    <row r="12244" spans="1:19">
      <c r="A12244" t="s">
        <v>138</v>
      </c>
      <c r="B12244" t="s">
        <v>150</v>
      </c>
      <c r="C12244" t="s">
        <v>270</v>
      </c>
      <c r="D12244" t="s">
        <v>399</v>
      </c>
      <c r="F12244">
        <f>HYPERLINK("https://www.wikidata.org/wiki/Q111103102", "Q111103102")</f>
        <v>0</v>
      </c>
      <c r="G12244" t="s">
        <v>568</v>
      </c>
      <c r="H12244" t="s">
        <v>5331</v>
      </c>
      <c r="I12244" t="s">
        <v>9421</v>
      </c>
      <c r="J12244" t="s">
        <v>11319</v>
      </c>
      <c r="K12244" t="s">
        <v>15720</v>
      </c>
      <c r="L12244">
        <f>HYPERLINK("https://www2.assemblee-nationale.fr/sycomore/fiche/(num_dept)/1650", "1650")</f>
        <v>0</v>
      </c>
      <c r="M12244">
        <f>HYPERLINK("https://www.senat.fr/senateur-3eme-republique/chapuis_gustave0947r3.html", "chapuis_gustave0947r3")</f>
        <v>0</v>
      </c>
      <c r="N12244">
        <f>HYPERLINK("https://www.wikidata.org/wiki/Q3121135", "Q3121135")</f>
        <v>0</v>
      </c>
      <c r="O12244" t="s">
        <v>20007</v>
      </c>
      <c r="Q12244" t="s">
        <v>18114</v>
      </c>
      <c r="R12244" t="s">
        <v>21683</v>
      </c>
      <c r="S12244">
        <v>3268</v>
      </c>
    </row>
    <row r="12245" spans="1:19">
      <c r="A12245" t="s">
        <v>138</v>
      </c>
      <c r="B12245" t="s">
        <v>150</v>
      </c>
      <c r="C12245" t="s">
        <v>270</v>
      </c>
      <c r="D12245" t="s">
        <v>399</v>
      </c>
      <c r="F12245">
        <f>HYPERLINK("https://www.wikidata.org/wiki/Q111103102", "Q111103102")</f>
        <v>0</v>
      </c>
      <c r="G12245" t="s">
        <v>3897</v>
      </c>
      <c r="H12245" t="s">
        <v>8157</v>
      </c>
      <c r="I12245" t="s">
        <v>11019</v>
      </c>
      <c r="J12245" t="s">
        <v>14454</v>
      </c>
      <c r="K12245" t="s">
        <v>16205</v>
      </c>
      <c r="L12245">
        <f>HYPERLINK("https://www2.assemblee-nationale.fr/sycomore/fiche/(num_dept)/1327", "1327")</f>
        <v>0</v>
      </c>
      <c r="M12245">
        <f>HYPERLINK("https://www.senat.fr/senateur-3eme-republique/bussiere_etienne0457r3.html", "bussiere_etienne0457r3")</f>
        <v>0</v>
      </c>
      <c r="N12245">
        <f>HYPERLINK("https://www.wikidata.org/wiki/Q3592092", "Q3592092")</f>
        <v>0</v>
      </c>
      <c r="O12245" t="s">
        <v>20020</v>
      </c>
      <c r="Q12245" t="s">
        <v>21214</v>
      </c>
      <c r="R12245" t="s">
        <v>21678</v>
      </c>
      <c r="S12245">
        <v>307</v>
      </c>
    </row>
    <row r="12246" spans="1:19">
      <c r="A12246" t="s">
        <v>138</v>
      </c>
      <c r="B12246" t="s">
        <v>150</v>
      </c>
      <c r="C12246" t="s">
        <v>270</v>
      </c>
      <c r="D12246" t="s">
        <v>399</v>
      </c>
      <c r="F12246">
        <f>HYPERLINK("https://www.wikidata.org/wiki/Q111103102", "Q111103102")</f>
        <v>0</v>
      </c>
      <c r="G12246" t="s">
        <v>4958</v>
      </c>
      <c r="H12246" t="s">
        <v>9091</v>
      </c>
      <c r="I12246" t="s">
        <v>9385</v>
      </c>
      <c r="J12246" t="s">
        <v>15397</v>
      </c>
      <c r="K12246" t="s">
        <v>19695</v>
      </c>
      <c r="M12246">
        <f>HYPERLINK("https://www.senat.fr/senateur-3eme-republique/debierre_charles1406r3.html", "debierre_charles1406r3")</f>
        <v>0</v>
      </c>
      <c r="N12246">
        <f>HYPERLINK("https://www.wikidata.org/wiki/Q2958854", "Q2958854")</f>
        <v>0</v>
      </c>
      <c r="O12246" t="s">
        <v>20013</v>
      </c>
      <c r="Q12246" t="s">
        <v>21215</v>
      </c>
      <c r="R12246" t="s">
        <v>21683</v>
      </c>
      <c r="S12246">
        <v>3219</v>
      </c>
    </row>
    <row r="12247" spans="1:19">
      <c r="A12247" t="s">
        <v>138</v>
      </c>
      <c r="B12247" t="s">
        <v>150</v>
      </c>
      <c r="C12247" t="s">
        <v>270</v>
      </c>
      <c r="D12247" t="s">
        <v>399</v>
      </c>
      <c r="F12247">
        <f>HYPERLINK("https://www.wikidata.org/wiki/Q111103102", "Q111103102")</f>
        <v>0</v>
      </c>
      <c r="G12247" t="s">
        <v>4959</v>
      </c>
      <c r="H12247" t="s">
        <v>9092</v>
      </c>
      <c r="I12247" t="s">
        <v>11231</v>
      </c>
      <c r="J12247" t="s">
        <v>15398</v>
      </c>
      <c r="K12247" t="s">
        <v>19696</v>
      </c>
      <c r="M12247">
        <f>HYPERLINK("https://www.senat.fr/senateur-3eme-republique/cesbron_fabien1065r3.html", "cesbron_fabien1065r3")</f>
        <v>0</v>
      </c>
      <c r="N12247">
        <f>HYPERLINK("https://www.wikidata.org/wiki/Q3063562", "Q3063562")</f>
        <v>0</v>
      </c>
      <c r="O12247" t="s">
        <v>19980</v>
      </c>
      <c r="Q12247" t="s">
        <v>21216</v>
      </c>
      <c r="R12247" t="s">
        <v>21683</v>
      </c>
      <c r="S12247">
        <v>3177</v>
      </c>
    </row>
    <row r="12248" spans="1:19">
      <c r="A12248" t="s">
        <v>138</v>
      </c>
      <c r="B12248" t="s">
        <v>150</v>
      </c>
      <c r="C12248" t="s">
        <v>270</v>
      </c>
      <c r="D12248" t="s">
        <v>399</v>
      </c>
      <c r="F12248">
        <f>HYPERLINK("https://www.wikidata.org/wiki/Q111103102", "Q111103102")</f>
        <v>0</v>
      </c>
      <c r="G12248" t="s">
        <v>4960</v>
      </c>
      <c r="H12248" t="s">
        <v>9093</v>
      </c>
      <c r="I12248" t="s">
        <v>6200</v>
      </c>
      <c r="J12248" t="s">
        <v>15399</v>
      </c>
      <c r="K12248" t="s">
        <v>19697</v>
      </c>
      <c r="M12248">
        <f>HYPERLINK("https://www.senat.fr/senateur-3eme-republique/amic_jean0117r3.html", "amic_jean0117r3")</f>
        <v>0</v>
      </c>
      <c r="N12248">
        <f>HYPERLINK("https://www.wikidata.org/wiki/Q3170355", "Q3170355")</f>
        <v>0</v>
      </c>
      <c r="O12248" t="s">
        <v>20024</v>
      </c>
      <c r="Q12248" t="s">
        <v>21217</v>
      </c>
      <c r="R12248" t="s">
        <v>21678</v>
      </c>
      <c r="S12248">
        <v>160</v>
      </c>
    </row>
    <row r="12249" spans="1:19">
      <c r="A12249" t="s">
        <v>139</v>
      </c>
      <c r="B12249" t="s">
        <v>150</v>
      </c>
      <c r="C12249" t="s">
        <v>271</v>
      </c>
      <c r="D12249" t="s">
        <v>400</v>
      </c>
      <c r="F12249">
        <f>HYPERLINK("https://www.wikidata.org/wiki/Q36713863", "Q36713863")</f>
        <v>0</v>
      </c>
      <c r="G12249" t="s">
        <v>864</v>
      </c>
      <c r="H12249" t="s">
        <v>5620</v>
      </c>
      <c r="I12249" t="s">
        <v>9562</v>
      </c>
      <c r="J12249" t="s">
        <v>11610</v>
      </c>
      <c r="K12249" t="s">
        <v>16012</v>
      </c>
      <c r="L12249">
        <f>HYPERLINK("https://www2.assemblee-nationale.fr/sycomore/fiche/(num_dept)/222", "222")</f>
        <v>0</v>
      </c>
      <c r="M12249">
        <f>HYPERLINK("https://www.senat.fr/senateur-3eme-republique/astier_placide0139r3.html", "astier_placide0139r3")</f>
        <v>0</v>
      </c>
      <c r="N12249">
        <f>HYPERLINK("https://www.wikidata.org/wiki/Q3390780", "Q3390780")</f>
        <v>0</v>
      </c>
      <c r="O12249" t="s">
        <v>19991</v>
      </c>
      <c r="Q12249" t="s">
        <v>400</v>
      </c>
      <c r="R12249" t="s">
        <v>21650</v>
      </c>
      <c r="S12249">
        <v>12341</v>
      </c>
    </row>
    <row r="12250" spans="1:19">
      <c r="A12250" t="s">
        <v>139</v>
      </c>
      <c r="B12250" t="s">
        <v>150</v>
      </c>
      <c r="C12250" t="s">
        <v>271</v>
      </c>
      <c r="D12250" t="s">
        <v>400</v>
      </c>
      <c r="F12250">
        <f>HYPERLINK("https://www.wikidata.org/wiki/Q36713863", "Q36713863")</f>
        <v>0</v>
      </c>
      <c r="G12250" t="s">
        <v>515</v>
      </c>
      <c r="H12250" t="s">
        <v>5279</v>
      </c>
      <c r="I12250" t="s">
        <v>9383</v>
      </c>
      <c r="J12250" t="s">
        <v>11267</v>
      </c>
      <c r="K12250" t="s">
        <v>15667</v>
      </c>
      <c r="L12250">
        <f>HYPERLINK("https://www2.assemblee-nationale.fr/sycomore/fiche/(num_dept)/489", "489")</f>
        <v>0</v>
      </c>
      <c r="M12250">
        <f>HYPERLINK("https://www.senat.fr/senateur-3eme-republique/baudet_louis0776r3.html", "baudet_louis0776r3")</f>
        <v>0</v>
      </c>
      <c r="N12250">
        <f>HYPERLINK("https://www.wikidata.org/wiki/Q3261189", "Q3261189")</f>
        <v>0</v>
      </c>
      <c r="O12250" t="s">
        <v>19971</v>
      </c>
      <c r="Q12250" t="s">
        <v>400</v>
      </c>
      <c r="R12250" t="s">
        <v>15667</v>
      </c>
      <c r="S12250">
        <v>2208</v>
      </c>
    </row>
    <row r="12251" spans="1:19">
      <c r="A12251" t="s">
        <v>139</v>
      </c>
      <c r="B12251" t="s">
        <v>150</v>
      </c>
      <c r="C12251" t="s">
        <v>271</v>
      </c>
      <c r="D12251" t="s">
        <v>400</v>
      </c>
      <c r="F12251">
        <f>HYPERLINK("https://www.wikidata.org/wiki/Q36713863", "Q36713863")</f>
        <v>0</v>
      </c>
      <c r="G12251" t="s">
        <v>3953</v>
      </c>
      <c r="H12251" t="s">
        <v>7891</v>
      </c>
      <c r="I12251" t="s">
        <v>6860</v>
      </c>
      <c r="J12251" t="s">
        <v>14504</v>
      </c>
      <c r="K12251" t="s">
        <v>18851</v>
      </c>
      <c r="L12251">
        <f>HYPERLINK("https://www2.assemblee-nationale.fr/sycomore/fiche/(num_dept)/491", "491")</f>
        <v>0</v>
      </c>
      <c r="M12251">
        <f>HYPERLINK("https://www.senat.fr/senateur-3eme-republique/baudin_pierre0016r3.html", "baudin_pierre0016r3")</f>
        <v>0</v>
      </c>
      <c r="N12251">
        <f>HYPERLINK("https://www.wikidata.org/wiki/Q2993834", "Q2993834")</f>
        <v>0</v>
      </c>
      <c r="O12251" t="s">
        <v>19986</v>
      </c>
      <c r="Q12251" t="s">
        <v>400</v>
      </c>
      <c r="R12251" t="s">
        <v>21650</v>
      </c>
      <c r="S12251">
        <v>12341</v>
      </c>
    </row>
    <row r="12252" spans="1:19">
      <c r="A12252" t="s">
        <v>139</v>
      </c>
      <c r="B12252" t="s">
        <v>150</v>
      </c>
      <c r="C12252" t="s">
        <v>271</v>
      </c>
      <c r="D12252" t="s">
        <v>400</v>
      </c>
      <c r="F12252">
        <f>HYPERLINK("https://www.wikidata.org/wiki/Q36713863", "Q36713863")</f>
        <v>0</v>
      </c>
      <c r="G12252" t="s">
        <v>3678</v>
      </c>
      <c r="H12252" t="s">
        <v>5286</v>
      </c>
      <c r="I12252" t="s">
        <v>9553</v>
      </c>
      <c r="J12252" t="s">
        <v>14255</v>
      </c>
      <c r="K12252" t="s">
        <v>18616</v>
      </c>
      <c r="L12252">
        <f>HYPERLINK("https://www2.assemblee-nationale.fr/sycomore/fiche/(num_dept)/647", "647")</f>
        <v>0</v>
      </c>
      <c r="M12252">
        <f>HYPERLINK("https://www.senat.fr/senateur-3eme-republique/berard_alexandre0019r3.html", "berard_alexandre0019r3")</f>
        <v>0</v>
      </c>
      <c r="N12252">
        <f>HYPERLINK("https://www.wikidata.org/wiki/Q2833511", "Q2833511")</f>
        <v>0</v>
      </c>
      <c r="O12252" t="s">
        <v>19986</v>
      </c>
      <c r="Q12252" t="s">
        <v>400</v>
      </c>
      <c r="R12252" t="s">
        <v>21700</v>
      </c>
      <c r="S12252">
        <v>3289</v>
      </c>
    </row>
    <row r="12253" spans="1:19">
      <c r="A12253" t="s">
        <v>139</v>
      </c>
      <c r="B12253" t="s">
        <v>150</v>
      </c>
      <c r="C12253" t="s">
        <v>271</v>
      </c>
      <c r="D12253" t="s">
        <v>400</v>
      </c>
      <c r="F12253">
        <f>HYPERLINK("https://www.wikidata.org/wiki/Q36713863", "Q36713863")</f>
        <v>0</v>
      </c>
      <c r="G12253" t="s">
        <v>532</v>
      </c>
      <c r="H12253" t="s">
        <v>5296</v>
      </c>
      <c r="I12253" t="s">
        <v>9396</v>
      </c>
      <c r="J12253" t="s">
        <v>11284</v>
      </c>
      <c r="K12253" t="s">
        <v>15684</v>
      </c>
      <c r="L12253">
        <f>HYPERLINK("https://www2.assemblee-nationale.fr/sycomore/fiche/(num_dept)/845", "845")</f>
        <v>0</v>
      </c>
      <c r="M12253">
        <f>HYPERLINK("https://www.senat.fr/senateur-3eme-republique/blanc_antoine0084r3.html", "blanc_antoine0084r3")</f>
        <v>0</v>
      </c>
      <c r="N12253">
        <f>HYPERLINK("https://www.wikidata.org/wiki/Q2853682", "Q2853682")</f>
        <v>0</v>
      </c>
      <c r="O12253" t="s">
        <v>19981</v>
      </c>
      <c r="Q12253" t="s">
        <v>400</v>
      </c>
      <c r="R12253" t="s">
        <v>21700</v>
      </c>
      <c r="S12253">
        <v>3289</v>
      </c>
    </row>
    <row r="12254" spans="1:19">
      <c r="A12254" t="s">
        <v>139</v>
      </c>
      <c r="B12254" t="s">
        <v>150</v>
      </c>
      <c r="C12254" t="s">
        <v>271</v>
      </c>
      <c r="D12254" t="s">
        <v>400</v>
      </c>
      <c r="F12254">
        <f>HYPERLINK("https://www.wikidata.org/wiki/Q36713863", "Q36713863")</f>
        <v>0</v>
      </c>
      <c r="G12254" t="s">
        <v>3667</v>
      </c>
      <c r="H12254" t="s">
        <v>5296</v>
      </c>
      <c r="I12254" t="s">
        <v>10925</v>
      </c>
      <c r="J12254" t="s">
        <v>14246</v>
      </c>
      <c r="K12254" t="s">
        <v>16434</v>
      </c>
      <c r="L12254">
        <f>HYPERLINK("https://www2.assemblee-nationale.fr/sycomore/fiche/(num_dept)/849", "849")</f>
        <v>0</v>
      </c>
      <c r="M12254">
        <f>HYPERLINK("https://www.senat.fr/senateur-3eme-republique/blanc_louis0729r3.html", "blanc_louis0729r3")</f>
        <v>0</v>
      </c>
      <c r="N12254">
        <f>HYPERLINK("https://www.wikidata.org/wiki/Q3261279", "Q3261279")</f>
        <v>0</v>
      </c>
      <c r="O12254" t="s">
        <v>20044</v>
      </c>
      <c r="Q12254" t="s">
        <v>400</v>
      </c>
      <c r="R12254" t="s">
        <v>16434</v>
      </c>
      <c r="S12254">
        <v>1021</v>
      </c>
    </row>
    <row r="12255" spans="1:19">
      <c r="A12255" t="s">
        <v>139</v>
      </c>
      <c r="B12255" t="s">
        <v>150</v>
      </c>
      <c r="C12255" t="s">
        <v>271</v>
      </c>
      <c r="D12255" t="s">
        <v>400</v>
      </c>
      <c r="F12255">
        <f>HYPERLINK("https://www.wikidata.org/wiki/Q36713863", "Q36713863")</f>
        <v>0</v>
      </c>
      <c r="G12255" t="s">
        <v>537</v>
      </c>
      <c r="H12255" t="s">
        <v>5301</v>
      </c>
      <c r="I12255" t="s">
        <v>9399</v>
      </c>
      <c r="J12255" t="s">
        <v>11289</v>
      </c>
      <c r="K12255" t="s">
        <v>15689</v>
      </c>
      <c r="L12255">
        <f>HYPERLINK("https://www2.assemblee-nationale.fr/sycomore/fiche/(num_dept)/918", "918")</f>
        <v>0</v>
      </c>
      <c r="M12255">
        <f>HYPERLINK("https://www.senat.fr/senateur-3eme-republique/bollet_donat0013r3.html", "bollet_donat0013r3")</f>
        <v>0</v>
      </c>
      <c r="N12255">
        <f>HYPERLINK("https://www.wikidata.org/wiki/Q3036181", "Q3036181")</f>
        <v>0</v>
      </c>
      <c r="O12255" t="s">
        <v>19986</v>
      </c>
      <c r="Q12255" t="s">
        <v>400</v>
      </c>
      <c r="R12255" t="s">
        <v>21700</v>
      </c>
      <c r="S12255">
        <v>3289</v>
      </c>
    </row>
    <row r="12256" spans="1:19">
      <c r="A12256" t="s">
        <v>139</v>
      </c>
      <c r="B12256" t="s">
        <v>150</v>
      </c>
      <c r="C12256" t="s">
        <v>271</v>
      </c>
      <c r="D12256" t="s">
        <v>400</v>
      </c>
      <c r="F12256">
        <f>HYPERLINK("https://www.wikidata.org/wiki/Q36713863", "Q36713863")</f>
        <v>0</v>
      </c>
      <c r="G12256" t="s">
        <v>3535</v>
      </c>
      <c r="H12256" t="s">
        <v>7896</v>
      </c>
      <c r="I12256" t="s">
        <v>10869</v>
      </c>
      <c r="J12256" t="s">
        <v>14014</v>
      </c>
      <c r="K12256" t="s">
        <v>18493</v>
      </c>
      <c r="L12256">
        <f>HYPERLINK("https://www2.assemblee-nationale.fr/sycomore/fiche/(num_dept)/941", "941")</f>
        <v>0</v>
      </c>
      <c r="M12256">
        <f>HYPERLINK("https://www.senat.fr/senateur-3eme-republique/bonnefoy_sibour_georges0827r3.html", "bonnefoy_sibour_georges0827r3")</f>
        <v>0</v>
      </c>
      <c r="N12256">
        <f>HYPERLINK("https://www.wikidata.org/wiki/Q1508807", "Q1508807")</f>
        <v>0</v>
      </c>
      <c r="O12256" t="s">
        <v>20014</v>
      </c>
      <c r="Q12256" t="s">
        <v>400</v>
      </c>
      <c r="R12256" t="s">
        <v>21650</v>
      </c>
      <c r="S12256">
        <v>12341</v>
      </c>
    </row>
    <row r="12257" spans="1:19">
      <c r="A12257" t="s">
        <v>139</v>
      </c>
      <c r="B12257" t="s">
        <v>150</v>
      </c>
      <c r="C12257" t="s">
        <v>271</v>
      </c>
      <c r="D12257" t="s">
        <v>400</v>
      </c>
      <c r="F12257">
        <f>HYPERLINK("https://www.wikidata.org/wiki/Q36713863", "Q36713863")</f>
        <v>0</v>
      </c>
      <c r="G12257" t="s">
        <v>3895</v>
      </c>
      <c r="H12257" t="s">
        <v>8155</v>
      </c>
      <c r="I12257" t="s">
        <v>11018</v>
      </c>
      <c r="J12257" t="s">
        <v>14452</v>
      </c>
      <c r="K12257" t="s">
        <v>18803</v>
      </c>
      <c r="L12257">
        <f>HYPERLINK("https://www2.assemblee-nationale.fr/sycomore/fiche/(num_dept)/981", "981")</f>
        <v>0</v>
      </c>
      <c r="M12257">
        <f>HYPERLINK("https://www.senat.fr/senateur-3eme-republique/borne_charles0678r3.html", "borne_charles0678r3")</f>
        <v>0</v>
      </c>
      <c r="N12257">
        <f>HYPERLINK("https://www.wikidata.org/wiki/Q2958581", "Q2958581")</f>
        <v>0</v>
      </c>
      <c r="O12257" t="s">
        <v>19973</v>
      </c>
      <c r="Q12257" t="s">
        <v>400</v>
      </c>
      <c r="R12257" t="s">
        <v>21650</v>
      </c>
      <c r="S12257">
        <v>12341</v>
      </c>
    </row>
    <row r="12258" spans="1:19">
      <c r="A12258" t="s">
        <v>139</v>
      </c>
      <c r="B12258" t="s">
        <v>150</v>
      </c>
      <c r="C12258" t="s">
        <v>271</v>
      </c>
      <c r="D12258" t="s">
        <v>400</v>
      </c>
      <c r="F12258">
        <f>HYPERLINK("https://www.wikidata.org/wiki/Q36713863", "Q36713863")</f>
        <v>0</v>
      </c>
      <c r="G12258" t="s">
        <v>890</v>
      </c>
      <c r="H12258" t="s">
        <v>5646</v>
      </c>
      <c r="I12258" t="s">
        <v>9577</v>
      </c>
      <c r="J12258" t="s">
        <v>11636</v>
      </c>
      <c r="K12258" t="s">
        <v>16036</v>
      </c>
      <c r="L12258">
        <f>HYPERLINK("https://www2.assemblee-nationale.fr/sycomore/fiche/(num_dept)/1234", "1234")</f>
        <v>0</v>
      </c>
      <c r="M12258">
        <f>HYPERLINK("https://www.senat.fr/senateur-3eme-republique/brindeau_louis1617r3.html", "brindeau_louis1617r3")</f>
        <v>0</v>
      </c>
      <c r="N12258">
        <f>HYPERLINK("https://www.wikidata.org/wiki/Q3261358", "Q3261358")</f>
        <v>0</v>
      </c>
      <c r="O12258" t="s">
        <v>19978</v>
      </c>
      <c r="Q12258" t="s">
        <v>400</v>
      </c>
      <c r="R12258" t="s">
        <v>21683</v>
      </c>
      <c r="S12258">
        <v>2925</v>
      </c>
    </row>
    <row r="12259" spans="1:19">
      <c r="A12259" t="s">
        <v>139</v>
      </c>
      <c r="B12259" t="s">
        <v>150</v>
      </c>
      <c r="C12259" t="s">
        <v>271</v>
      </c>
      <c r="D12259" t="s">
        <v>400</v>
      </c>
      <c r="F12259">
        <f>HYPERLINK("https://www.wikidata.org/wiki/Q36713863", "Q36713863")</f>
        <v>0</v>
      </c>
      <c r="G12259" t="s">
        <v>3897</v>
      </c>
      <c r="H12259" t="s">
        <v>8157</v>
      </c>
      <c r="I12259" t="s">
        <v>11019</v>
      </c>
      <c r="J12259" t="s">
        <v>14454</v>
      </c>
      <c r="K12259" t="s">
        <v>16205</v>
      </c>
      <c r="L12259">
        <f>HYPERLINK("https://www2.assemblee-nationale.fr/sycomore/fiche/(num_dept)/1327", "1327")</f>
        <v>0</v>
      </c>
      <c r="M12259">
        <f>HYPERLINK("https://www.senat.fr/senateur-3eme-republique/bussiere_etienne0457r3.html", "bussiere_etienne0457r3")</f>
        <v>0</v>
      </c>
      <c r="N12259">
        <f>HYPERLINK("https://www.wikidata.org/wiki/Q3592092", "Q3592092")</f>
        <v>0</v>
      </c>
      <c r="O12259" t="s">
        <v>20020</v>
      </c>
      <c r="Q12259" t="s">
        <v>400</v>
      </c>
      <c r="R12259" t="s">
        <v>21650</v>
      </c>
      <c r="S12259">
        <v>12341</v>
      </c>
    </row>
    <row r="12260" spans="1:19">
      <c r="A12260" t="s">
        <v>139</v>
      </c>
      <c r="B12260" t="s">
        <v>150</v>
      </c>
      <c r="C12260" t="s">
        <v>271</v>
      </c>
      <c r="D12260" t="s">
        <v>400</v>
      </c>
      <c r="F12260">
        <f>HYPERLINK("https://www.wikidata.org/wiki/Q36713863", "Q36713863")</f>
        <v>0</v>
      </c>
      <c r="G12260" t="s">
        <v>3688</v>
      </c>
      <c r="H12260" t="s">
        <v>8010</v>
      </c>
      <c r="I12260" t="s">
        <v>6478</v>
      </c>
      <c r="J12260" t="s">
        <v>14264</v>
      </c>
      <c r="K12260" t="s">
        <v>18625</v>
      </c>
      <c r="L12260">
        <f>HYPERLINK("https://www2.assemblee-nationale.fr/sycomore/fiche/(num_dept)/1512", "1512")</f>
        <v>0</v>
      </c>
      <c r="M12260">
        <f>HYPERLINK("https://www.senat.fr/senateur-3eme-republique/castillard_henri0222r3.html", "castillard_henri0222r3")</f>
        <v>0</v>
      </c>
      <c r="N12260">
        <f>HYPERLINK("https://www.wikidata.org/wiki/Q3130800", "Q3130800")</f>
        <v>0</v>
      </c>
      <c r="O12260" t="s">
        <v>8449</v>
      </c>
      <c r="Q12260" t="s">
        <v>400</v>
      </c>
      <c r="R12260" t="s">
        <v>21700</v>
      </c>
      <c r="S12260">
        <v>3289</v>
      </c>
    </row>
    <row r="12261" spans="1:19">
      <c r="A12261" t="s">
        <v>139</v>
      </c>
      <c r="B12261" t="s">
        <v>150</v>
      </c>
      <c r="C12261" t="s">
        <v>271</v>
      </c>
      <c r="D12261" t="s">
        <v>400</v>
      </c>
      <c r="F12261">
        <f>HYPERLINK("https://www.wikidata.org/wiki/Q36713863", "Q36713863")</f>
        <v>0</v>
      </c>
      <c r="G12261" t="s">
        <v>570</v>
      </c>
      <c r="H12261" t="s">
        <v>5333</v>
      </c>
      <c r="I12261" t="s">
        <v>9423</v>
      </c>
      <c r="J12261" t="s">
        <v>11321</v>
      </c>
      <c r="K12261" t="s">
        <v>15722</v>
      </c>
      <c r="L12261">
        <f>HYPERLINK("https://www2.assemblee-nationale.fr/sycomore/fiche/(num_dept)/1701", "1701")</f>
        <v>0</v>
      </c>
      <c r="M12261">
        <f>HYPERLINK("https://www.senat.fr/senateur-3eme-republique/chastenet_de_castaing_guillaume0201r3.html", "chastenet_de_castaing_guillaume0201r3")</f>
        <v>0</v>
      </c>
      <c r="N12261">
        <f>HYPERLINK("https://www.wikidata.org/wiki/Q3119745", "Q3119745")</f>
        <v>0</v>
      </c>
      <c r="O12261" t="s">
        <v>19987</v>
      </c>
      <c r="Q12261" t="s">
        <v>400</v>
      </c>
      <c r="R12261" t="s">
        <v>21683</v>
      </c>
      <c r="S12261">
        <v>2925</v>
      </c>
    </row>
    <row r="12262" spans="1:19">
      <c r="A12262" t="s">
        <v>139</v>
      </c>
      <c r="B12262" t="s">
        <v>150</v>
      </c>
      <c r="C12262" t="s">
        <v>271</v>
      </c>
      <c r="D12262" t="s">
        <v>400</v>
      </c>
      <c r="F12262">
        <f>HYPERLINK("https://www.wikidata.org/wiki/Q36713863", "Q36713863")</f>
        <v>0</v>
      </c>
      <c r="G12262" t="s">
        <v>585</v>
      </c>
      <c r="H12262" t="s">
        <v>5346</v>
      </c>
      <c r="I12262" t="s">
        <v>9434</v>
      </c>
      <c r="J12262" t="s">
        <v>11336</v>
      </c>
      <c r="K12262" t="s">
        <v>15737</v>
      </c>
      <c r="L12262">
        <f>HYPERLINK("https://www2.assemblee-nationale.fr/sycomore/fiche/(num_dept)/1897", "1897")</f>
        <v>0</v>
      </c>
      <c r="M12262">
        <f>HYPERLINK("https://www.senat.fr/senateur-3eme-republique/colin_maurice0839r3.html", "colin_maurice0839r3")</f>
        <v>0</v>
      </c>
      <c r="N12262">
        <f>HYPERLINK("https://www.wikidata.org/wiki/Q16938256", "Q16938256")</f>
        <v>0</v>
      </c>
      <c r="Q12262" t="s">
        <v>400</v>
      </c>
      <c r="R12262" t="s">
        <v>15737</v>
      </c>
      <c r="S12262">
        <v>3168</v>
      </c>
    </row>
    <row r="12263" spans="1:19">
      <c r="A12263" t="s">
        <v>139</v>
      </c>
      <c r="B12263" t="s">
        <v>150</v>
      </c>
      <c r="C12263" t="s">
        <v>271</v>
      </c>
      <c r="D12263" t="s">
        <v>400</v>
      </c>
      <c r="F12263">
        <f>HYPERLINK("https://www.wikidata.org/wiki/Q36713863", "Q36713863")</f>
        <v>0</v>
      </c>
      <c r="G12263" t="s">
        <v>3241</v>
      </c>
      <c r="H12263" t="s">
        <v>7665</v>
      </c>
      <c r="I12263" t="s">
        <v>10726</v>
      </c>
      <c r="J12263" t="s">
        <v>13859</v>
      </c>
      <c r="K12263" t="s">
        <v>18231</v>
      </c>
      <c r="L12263">
        <f>HYPERLINK("https://www2.assemblee-nationale.fr/sycomore/fiche/(num_dept)/2063", "2063")</f>
        <v>0</v>
      </c>
      <c r="M12263">
        <f>HYPERLINK("https://www.senat.fr/senateur-3eme-republique/cremieux_fernand0821r3.html", "cremieux_fernand0821r3")</f>
        <v>0</v>
      </c>
      <c r="N12263">
        <f>HYPERLINK("https://www.wikidata.org/wiki/Q1406493", "Q1406493")</f>
        <v>0</v>
      </c>
      <c r="O12263" t="s">
        <v>20014</v>
      </c>
      <c r="Q12263" t="s">
        <v>400</v>
      </c>
      <c r="R12263" t="s">
        <v>21700</v>
      </c>
      <c r="S12263">
        <v>3289</v>
      </c>
    </row>
    <row r="12264" spans="1:19">
      <c r="A12264" t="s">
        <v>139</v>
      </c>
      <c r="B12264" t="s">
        <v>150</v>
      </c>
      <c r="C12264" t="s">
        <v>271</v>
      </c>
      <c r="D12264" t="s">
        <v>400</v>
      </c>
      <c r="F12264">
        <f>HYPERLINK("https://www.wikidata.org/wiki/Q36713863", "Q36713863")</f>
        <v>0</v>
      </c>
      <c r="G12264" t="s">
        <v>3693</v>
      </c>
      <c r="H12264" t="s">
        <v>8015</v>
      </c>
      <c r="I12264" t="s">
        <v>10940</v>
      </c>
      <c r="J12264" t="s">
        <v>14268</v>
      </c>
      <c r="K12264" t="s">
        <v>16493</v>
      </c>
      <c r="L12264">
        <f>HYPERLINK("https://www2.assemblee-nationale.fr/sycomore/fiche/(num_dept)/2224", "2224")</f>
        <v>0</v>
      </c>
      <c r="M12264">
        <f>HYPERLINK("https://www.senat.fr/senateur-3eme-republique/defumade_alphonse0619r3.html", "defumade_alphonse0619r3")</f>
        <v>0</v>
      </c>
      <c r="N12264">
        <f>HYPERLINK("https://www.wikidata.org/wiki/Q2839764", "Q2839764")</f>
        <v>0</v>
      </c>
      <c r="O12264" t="s">
        <v>19979</v>
      </c>
      <c r="Q12264" t="s">
        <v>400</v>
      </c>
      <c r="R12264" t="s">
        <v>21650</v>
      </c>
      <c r="S12264">
        <v>12341</v>
      </c>
    </row>
    <row r="12265" spans="1:19">
      <c r="A12265" t="s">
        <v>139</v>
      </c>
      <c r="B12265" t="s">
        <v>150</v>
      </c>
      <c r="C12265" t="s">
        <v>271</v>
      </c>
      <c r="D12265" t="s">
        <v>400</v>
      </c>
      <c r="F12265">
        <f>HYPERLINK("https://www.wikidata.org/wiki/Q36713863", "Q36713863")</f>
        <v>0</v>
      </c>
      <c r="G12265" t="s">
        <v>3242</v>
      </c>
      <c r="H12265" t="s">
        <v>7666</v>
      </c>
      <c r="I12265" t="s">
        <v>10727</v>
      </c>
      <c r="J12265" t="s">
        <v>13860</v>
      </c>
      <c r="K12265" t="s">
        <v>16223</v>
      </c>
      <c r="L12265">
        <f>HYPERLINK("https://www2.assemblee-nationale.fr/sycomore/fiche/(num_dept)/2309", "2309")</f>
        <v>0</v>
      </c>
      <c r="M12265">
        <f>HYPERLINK("https://www.senat.fr/senateur-3eme-republique/dellestable_antoine0462r3.html", "dellestable_antoine0462r3")</f>
        <v>0</v>
      </c>
      <c r="N12265">
        <f>HYPERLINK("https://www.wikidata.org/wiki/Q2853848", "Q2853848")</f>
        <v>0</v>
      </c>
      <c r="O12265" t="s">
        <v>20020</v>
      </c>
      <c r="Q12265" t="s">
        <v>400</v>
      </c>
      <c r="R12265" t="s">
        <v>21650</v>
      </c>
      <c r="S12265">
        <v>12341</v>
      </c>
    </row>
    <row r="12266" spans="1:19">
      <c r="A12266" t="s">
        <v>139</v>
      </c>
      <c r="B12266" t="s">
        <v>150</v>
      </c>
      <c r="C12266" t="s">
        <v>271</v>
      </c>
      <c r="D12266" t="s">
        <v>400</v>
      </c>
      <c r="F12266">
        <f>HYPERLINK("https://www.wikidata.org/wiki/Q36713863", "Q36713863")</f>
        <v>0</v>
      </c>
      <c r="G12266" t="s">
        <v>3648</v>
      </c>
      <c r="H12266" t="s">
        <v>7979</v>
      </c>
      <c r="I12266" t="s">
        <v>10918</v>
      </c>
      <c r="J12266" t="s">
        <v>14228</v>
      </c>
      <c r="K12266" t="s">
        <v>18590</v>
      </c>
      <c r="L12266">
        <f>HYPERLINK("https://www2.assemblee-nationale.fr/sycomore/fiche/(num_dept)/2386", "2386")</f>
        <v>0</v>
      </c>
      <c r="M12266">
        <f>HYPERLINK("https://www.senat.fr/senateur-3eme-republique/denoix_arnaud0671r3.html", "denoix_arnaud0671r3")</f>
        <v>0</v>
      </c>
      <c r="N12266">
        <f>HYPERLINK("https://www.wikidata.org/wiki/Q2863097", "Q2863097")</f>
        <v>0</v>
      </c>
      <c r="O12266" t="s">
        <v>20010</v>
      </c>
      <c r="Q12266" t="s">
        <v>400</v>
      </c>
      <c r="R12266" t="s">
        <v>21650</v>
      </c>
      <c r="S12266">
        <v>12341</v>
      </c>
    </row>
    <row r="12267" spans="1:19">
      <c r="A12267" t="s">
        <v>139</v>
      </c>
      <c r="B12267" t="s">
        <v>150</v>
      </c>
      <c r="C12267" t="s">
        <v>271</v>
      </c>
      <c r="D12267" t="s">
        <v>400</v>
      </c>
      <c r="F12267">
        <f>HYPERLINK("https://www.wikidata.org/wiki/Q36713863", "Q36713863")</f>
        <v>0</v>
      </c>
      <c r="G12267" t="s">
        <v>3381</v>
      </c>
      <c r="H12267" t="s">
        <v>7773</v>
      </c>
      <c r="I12267" t="s">
        <v>9388</v>
      </c>
      <c r="J12267" t="s">
        <v>13991</v>
      </c>
      <c r="K12267" t="s">
        <v>18361</v>
      </c>
      <c r="L12267">
        <f>HYPERLINK("https://www2.assemblee-nationale.fr/sycomore/fiche/(num_dept)/2569", "2569")</f>
        <v>0</v>
      </c>
      <c r="M12267">
        <f>HYPERLINK("https://www.senat.fr/senateur-3eme-republique/doumer_paul0473r3.html", "doumer_paul0473r3")</f>
        <v>0</v>
      </c>
      <c r="N12267">
        <f>HYPERLINK("https://www.wikidata.org/wiki/Q12680", "Q12680")</f>
        <v>0</v>
      </c>
      <c r="O12267" t="s">
        <v>19955</v>
      </c>
      <c r="Q12267" t="s">
        <v>400</v>
      </c>
      <c r="R12267" t="s">
        <v>21700</v>
      </c>
      <c r="S12267">
        <v>3289</v>
      </c>
    </row>
    <row r="12268" spans="1:19">
      <c r="A12268" t="s">
        <v>139</v>
      </c>
      <c r="B12268" t="s">
        <v>150</v>
      </c>
      <c r="C12268" t="s">
        <v>271</v>
      </c>
      <c r="D12268" t="s">
        <v>400</v>
      </c>
      <c r="F12268">
        <f>HYPERLINK("https://www.wikidata.org/wiki/Q36713863", "Q36713863")</f>
        <v>0</v>
      </c>
      <c r="G12268" t="s">
        <v>3819</v>
      </c>
      <c r="H12268" t="s">
        <v>8103</v>
      </c>
      <c r="I12268" t="s">
        <v>9470</v>
      </c>
      <c r="J12268" t="s">
        <v>14385</v>
      </c>
      <c r="K12268" t="s">
        <v>18737</v>
      </c>
      <c r="L12268">
        <f>HYPERLINK("https://www2.assemblee-nationale.fr/sycomore/fiche/(num_dept)/2570", "2570")</f>
        <v>0</v>
      </c>
      <c r="M12268">
        <f>HYPERLINK("https://www.senat.fr/senateur-3eme-republique/doumergue_gaston0833r3.html", "doumergue_gaston0833r3")</f>
        <v>0</v>
      </c>
      <c r="N12268">
        <f>HYPERLINK("https://www.wikidata.org/wiki/Q296064", "Q296064")</f>
        <v>0</v>
      </c>
      <c r="O12268" t="s">
        <v>20014</v>
      </c>
      <c r="Q12268" t="s">
        <v>400</v>
      </c>
      <c r="R12268" t="s">
        <v>21700</v>
      </c>
      <c r="S12268">
        <v>3289</v>
      </c>
    </row>
    <row r="12269" spans="1:19">
      <c r="A12269" t="s">
        <v>139</v>
      </c>
      <c r="B12269" t="s">
        <v>150</v>
      </c>
      <c r="C12269" t="s">
        <v>271</v>
      </c>
      <c r="D12269" t="s">
        <v>400</v>
      </c>
      <c r="F12269">
        <f>HYPERLINK("https://www.wikidata.org/wiki/Q36713863", "Q36713863")</f>
        <v>0</v>
      </c>
      <c r="G12269" t="s">
        <v>623</v>
      </c>
      <c r="H12269" t="s">
        <v>5383</v>
      </c>
      <c r="I12269" t="s">
        <v>5394</v>
      </c>
      <c r="J12269" t="s">
        <v>11373</v>
      </c>
      <c r="K12269" t="s">
        <v>15775</v>
      </c>
      <c r="L12269">
        <f>HYPERLINK("https://www2.assemblee-nationale.fr/sycomore/fiche/(num_dept)/2685", "2685")</f>
        <v>0</v>
      </c>
      <c r="M12269">
        <f>HYPERLINK("https://www.senat.fr/senateur-3eme-republique/dujardin_beaumetz_henri0274r3.html", "dujardin_beaumetz_henri0274r3")</f>
        <v>0</v>
      </c>
      <c r="N12269">
        <f>HYPERLINK("https://www.wikidata.org/wiki/Q289596", "Q289596")</f>
        <v>0</v>
      </c>
      <c r="O12269" t="s">
        <v>19960</v>
      </c>
      <c r="Q12269" t="s">
        <v>400</v>
      </c>
      <c r="R12269" t="s">
        <v>15775</v>
      </c>
      <c r="S12269">
        <v>629</v>
      </c>
    </row>
    <row r="12270" spans="1:19">
      <c r="A12270" t="s">
        <v>139</v>
      </c>
      <c r="B12270" t="s">
        <v>150</v>
      </c>
      <c r="C12270" t="s">
        <v>271</v>
      </c>
      <c r="D12270" t="s">
        <v>400</v>
      </c>
      <c r="F12270">
        <f>HYPERLINK("https://www.wikidata.org/wiki/Q36713863", "Q36713863")</f>
        <v>0</v>
      </c>
      <c r="G12270" t="s">
        <v>3871</v>
      </c>
      <c r="H12270" t="s">
        <v>8139</v>
      </c>
      <c r="I12270" t="s">
        <v>6175</v>
      </c>
      <c r="J12270" t="s">
        <v>14430</v>
      </c>
      <c r="K12270" t="s">
        <v>18782</v>
      </c>
      <c r="L12270">
        <f>HYPERLINK("https://www2.assemblee-nationale.fr/sycomore/fiche/(num_dept)/2833", "2833")</f>
        <v>0</v>
      </c>
      <c r="M12270">
        <f>HYPERLINK("https://www.senat.fr/senateur-3eme-republique/ermant_georges0030r3.html", "ermant_georges0030r3")</f>
        <v>0</v>
      </c>
      <c r="N12270">
        <f>HYPERLINK("https://www.wikidata.org/wiki/Q3102677", "Q3102677")</f>
        <v>0</v>
      </c>
      <c r="O12270" t="s">
        <v>20015</v>
      </c>
      <c r="Q12270" t="s">
        <v>400</v>
      </c>
      <c r="R12270" t="s">
        <v>21700</v>
      </c>
      <c r="S12270">
        <v>3289</v>
      </c>
    </row>
    <row r="12271" spans="1:19">
      <c r="A12271" t="s">
        <v>139</v>
      </c>
      <c r="B12271" t="s">
        <v>150</v>
      </c>
      <c r="C12271" t="s">
        <v>271</v>
      </c>
      <c r="D12271" t="s">
        <v>400</v>
      </c>
      <c r="F12271">
        <f>HYPERLINK("https://www.wikidata.org/wiki/Q36713863", "Q36713863")</f>
        <v>0</v>
      </c>
      <c r="G12271" t="s">
        <v>4062</v>
      </c>
      <c r="H12271" t="s">
        <v>8285</v>
      </c>
      <c r="I12271" t="s">
        <v>11088</v>
      </c>
      <c r="J12271" t="s">
        <v>14602</v>
      </c>
      <c r="K12271" t="s">
        <v>16720</v>
      </c>
      <c r="L12271">
        <f>HYPERLINK("https://www2.assemblee-nationale.fr/sycomore/fiche/(num_dept)/3190", "3190")</f>
        <v>0</v>
      </c>
      <c r="M12271">
        <f>HYPERLINK("https://www.senat.fr/senateur-3eme-republique/gabrielli_thadee0481r3.html", "gabrielli_thadee0481r3")</f>
        <v>0</v>
      </c>
      <c r="N12271">
        <f>HYPERLINK("https://www.wikidata.org/wiki/Q3519412", "Q3519412")</f>
        <v>0</v>
      </c>
      <c r="O12271" t="s">
        <v>19955</v>
      </c>
      <c r="Q12271" t="s">
        <v>400</v>
      </c>
      <c r="R12271" t="s">
        <v>21650</v>
      </c>
      <c r="S12271">
        <v>12341</v>
      </c>
    </row>
    <row r="12272" spans="1:19">
      <c r="A12272" t="s">
        <v>139</v>
      </c>
      <c r="B12272" t="s">
        <v>150</v>
      </c>
      <c r="C12272" t="s">
        <v>271</v>
      </c>
      <c r="D12272" t="s">
        <v>400</v>
      </c>
      <c r="F12272">
        <f>HYPERLINK("https://www.wikidata.org/wiki/Q36713863", "Q36713863")</f>
        <v>0</v>
      </c>
      <c r="G12272" t="s">
        <v>3558</v>
      </c>
      <c r="H12272" t="s">
        <v>7912</v>
      </c>
      <c r="I12272" t="s">
        <v>10881</v>
      </c>
      <c r="J12272" t="s">
        <v>14147</v>
      </c>
      <c r="K12272" t="s">
        <v>18514</v>
      </c>
      <c r="L12272">
        <f>HYPERLINK("https://www2.assemblee-nationale.fr/sycomore/fiche/(num_dept)/3191", "3191")</f>
        <v>0</v>
      </c>
      <c r="M12272">
        <f>HYPERLINK("https://www.senat.fr/senateur-3eme-republique/gacon_jules0043r3.html", "gacon_jules0043r3")</f>
        <v>0</v>
      </c>
      <c r="N12272">
        <f>HYPERLINK("https://www.wikidata.org/wiki/Q3188598", "Q3188598")</f>
        <v>0</v>
      </c>
      <c r="O12272" t="s">
        <v>19999</v>
      </c>
      <c r="Q12272" t="s">
        <v>400</v>
      </c>
      <c r="R12272" t="s">
        <v>21650</v>
      </c>
      <c r="S12272">
        <v>12341</v>
      </c>
    </row>
    <row r="12273" spans="1:19">
      <c r="A12273" t="s">
        <v>139</v>
      </c>
      <c r="B12273" t="s">
        <v>150</v>
      </c>
      <c r="C12273" t="s">
        <v>271</v>
      </c>
      <c r="D12273" t="s">
        <v>400</v>
      </c>
      <c r="F12273">
        <f>HYPERLINK("https://www.wikidata.org/wiki/Q36713863", "Q36713863")</f>
        <v>0</v>
      </c>
      <c r="G12273" t="s">
        <v>1472</v>
      </c>
      <c r="H12273" t="s">
        <v>6171</v>
      </c>
      <c r="I12273" t="s">
        <v>9401</v>
      </c>
      <c r="J12273" t="s">
        <v>12191</v>
      </c>
      <c r="K12273" t="s">
        <v>16597</v>
      </c>
      <c r="L12273">
        <f>HYPERLINK("https://www2.assemblee-nationale.fr/sycomore/fiche/(num_dept)/3314", "3314")</f>
        <v>0</v>
      </c>
      <c r="M12273">
        <f>HYPERLINK("https://www.senat.fr/senateur-3eme-republique/gavini_antoine0491r3.html", "gavini_antoine0491r3")</f>
        <v>0</v>
      </c>
      <c r="N12273">
        <f>HYPERLINK("https://www.wikidata.org/wiki/Q2853978", "Q2853978")</f>
        <v>0</v>
      </c>
      <c r="O12273" t="s">
        <v>19955</v>
      </c>
      <c r="Q12273" t="s">
        <v>400</v>
      </c>
      <c r="R12273" t="s">
        <v>16049</v>
      </c>
      <c r="S12273">
        <v>2928</v>
      </c>
    </row>
    <row r="12274" spans="1:19">
      <c r="A12274" t="s">
        <v>139</v>
      </c>
      <c r="B12274" t="s">
        <v>150</v>
      </c>
      <c r="C12274" t="s">
        <v>271</v>
      </c>
      <c r="D12274" t="s">
        <v>400</v>
      </c>
      <c r="F12274">
        <f>HYPERLINK("https://www.wikidata.org/wiki/Q36713863", "Q36713863")</f>
        <v>0</v>
      </c>
      <c r="G12274" t="s">
        <v>680</v>
      </c>
      <c r="H12274" t="s">
        <v>5439</v>
      </c>
      <c r="I12274" t="s">
        <v>6495</v>
      </c>
      <c r="J12274" t="s">
        <v>11430</v>
      </c>
      <c r="K12274" t="s">
        <v>15831</v>
      </c>
      <c r="L12274">
        <f>HYPERLINK("https://www2.assemblee-nationale.fr/sycomore/fiche/(num_dept)/3790", "3790")</f>
        <v>0</v>
      </c>
      <c r="M12274">
        <f>HYPERLINK("https://www.senat.fr/senateur-3eme-republique/hemon_louis0801r3.html", "hemon_louis0801r3")</f>
        <v>0</v>
      </c>
      <c r="N12274">
        <f>HYPERLINK("https://www.wikidata.org/wiki/Q3262222", "Q3262222")</f>
        <v>0</v>
      </c>
      <c r="O12274" t="s">
        <v>20011</v>
      </c>
      <c r="Q12274" t="s">
        <v>400</v>
      </c>
      <c r="R12274" t="s">
        <v>15831</v>
      </c>
      <c r="S12274">
        <v>787</v>
      </c>
    </row>
    <row r="12275" spans="1:19">
      <c r="A12275" t="s">
        <v>139</v>
      </c>
      <c r="B12275" t="s">
        <v>150</v>
      </c>
      <c r="C12275" t="s">
        <v>271</v>
      </c>
      <c r="D12275" t="s">
        <v>400</v>
      </c>
      <c r="F12275">
        <f>HYPERLINK("https://www.wikidata.org/wiki/Q36713863", "Q36713863")</f>
        <v>0</v>
      </c>
      <c r="G12275" t="s">
        <v>687</v>
      </c>
      <c r="H12275" t="s">
        <v>5445</v>
      </c>
      <c r="I12275" t="s">
        <v>9455</v>
      </c>
      <c r="J12275" t="s">
        <v>11437</v>
      </c>
      <c r="K12275" t="s">
        <v>15838</v>
      </c>
      <c r="L12275">
        <f>HYPERLINK("https://www2.assemblee-nationale.fr/sycomore/fiche/(num_dept)/3885", "3885")</f>
        <v>0</v>
      </c>
      <c r="M12275">
        <f>HYPERLINK("https://www.senat.fr/senateur-3eme-republique/hubert_lucien0176r3.html", "hubert_lucien0176r3")</f>
        <v>0</v>
      </c>
      <c r="N12275">
        <f>HYPERLINK("https://www.wikidata.org/wiki/Q2117075", "Q2117075")</f>
        <v>0</v>
      </c>
      <c r="O12275" t="s">
        <v>19959</v>
      </c>
      <c r="Q12275" t="s">
        <v>400</v>
      </c>
      <c r="R12275" t="s">
        <v>21700</v>
      </c>
      <c r="S12275">
        <v>3289</v>
      </c>
    </row>
    <row r="12276" spans="1:19">
      <c r="A12276" t="s">
        <v>139</v>
      </c>
      <c r="B12276" t="s">
        <v>150</v>
      </c>
      <c r="C12276" t="s">
        <v>271</v>
      </c>
      <c r="D12276" t="s">
        <v>400</v>
      </c>
      <c r="F12276">
        <f>HYPERLINK("https://www.wikidata.org/wiki/Q36713863", "Q36713863")</f>
        <v>0</v>
      </c>
      <c r="G12276" t="s">
        <v>1686</v>
      </c>
      <c r="H12276" t="s">
        <v>6365</v>
      </c>
      <c r="I12276" t="s">
        <v>9886</v>
      </c>
      <c r="J12276" t="s">
        <v>12390</v>
      </c>
      <c r="K12276" t="s">
        <v>16134</v>
      </c>
      <c r="L12276">
        <f>HYPERLINK("https://www2.assemblee-nationale.fr/sycomore/fiche/(num_dept)/4123", "4123")</f>
        <v>0</v>
      </c>
      <c r="M12276">
        <f>HYPERLINK("https://www.senat.fr/senateur-3eme-republique/de_keranflec_h_herve0591r3.html", "de_keranflec_h_herve0591r3")</f>
        <v>0</v>
      </c>
      <c r="N12276">
        <f>HYPERLINK("https://www.wikidata.org/wiki/Q3134672", "Q3134672")</f>
        <v>0</v>
      </c>
      <c r="O12276" t="s">
        <v>19964</v>
      </c>
      <c r="Q12276" t="s">
        <v>400</v>
      </c>
      <c r="R12276" t="s">
        <v>21700</v>
      </c>
      <c r="S12276">
        <v>3289</v>
      </c>
    </row>
    <row r="12277" spans="1:19">
      <c r="A12277" t="s">
        <v>139</v>
      </c>
      <c r="B12277" t="s">
        <v>150</v>
      </c>
      <c r="C12277" t="s">
        <v>271</v>
      </c>
      <c r="D12277" t="s">
        <v>400</v>
      </c>
      <c r="F12277">
        <f>HYPERLINK("https://www.wikidata.org/wiki/Q36713863", "Q36713863")</f>
        <v>0</v>
      </c>
      <c r="G12277" t="s">
        <v>3920</v>
      </c>
      <c r="H12277" t="s">
        <v>8177</v>
      </c>
      <c r="I12277" t="s">
        <v>9612</v>
      </c>
      <c r="J12277" t="s">
        <v>14476</v>
      </c>
      <c r="K12277" t="s">
        <v>18825</v>
      </c>
      <c r="L12277">
        <f>HYPERLINK("https://www2.assemblee-nationale.fr/sycomore/fiche/(num_dept)/4133", "4133")</f>
        <v>0</v>
      </c>
      <c r="M12277">
        <f>HYPERLINK("https://www.senat.fr/senateur-3eme-republique/de_kerouartz_frederic0577r3.html", "de_kerouartz_frederic0577r3")</f>
        <v>0</v>
      </c>
      <c r="N12277">
        <f>HYPERLINK("https://www.wikidata.org/wiki/Q3090311", "Q3090311")</f>
        <v>0</v>
      </c>
      <c r="O12277" t="s">
        <v>19964</v>
      </c>
      <c r="Q12277" t="s">
        <v>400</v>
      </c>
      <c r="R12277" t="s">
        <v>21700</v>
      </c>
      <c r="S12277">
        <v>3289</v>
      </c>
    </row>
    <row r="12278" spans="1:19">
      <c r="A12278" t="s">
        <v>139</v>
      </c>
      <c r="B12278" t="s">
        <v>150</v>
      </c>
      <c r="C12278" t="s">
        <v>271</v>
      </c>
      <c r="D12278" t="s">
        <v>400</v>
      </c>
      <c r="F12278">
        <f>HYPERLINK("https://www.wikidata.org/wiki/Q36713863", "Q36713863")</f>
        <v>0</v>
      </c>
      <c r="G12278" t="s">
        <v>698</v>
      </c>
      <c r="H12278" t="s">
        <v>5456</v>
      </c>
      <c r="I12278" t="s">
        <v>9421</v>
      </c>
      <c r="J12278" t="s">
        <v>11448</v>
      </c>
      <c r="K12278" t="s">
        <v>15849</v>
      </c>
      <c r="L12278">
        <f>HYPERLINK("https://www2.assemblee-nationale.fr/sycomore/fiche/(num_dept)/4168", "4168")</f>
        <v>0</v>
      </c>
      <c r="M12278">
        <f>HYPERLINK("https://www.senat.fr/senateur-3eme-republique/lhopiteau_gustave0772r3.html", "lhopiteau_gustave0772r3")</f>
        <v>0</v>
      </c>
      <c r="N12278">
        <f>HYPERLINK("https://www.wikidata.org/wiki/Q3121244", "Q3121244")</f>
        <v>0</v>
      </c>
      <c r="O12278" t="s">
        <v>19971</v>
      </c>
      <c r="Q12278" t="s">
        <v>400</v>
      </c>
      <c r="R12278" t="s">
        <v>21700</v>
      </c>
      <c r="S12278">
        <v>3289</v>
      </c>
    </row>
    <row r="12279" spans="1:19">
      <c r="A12279" t="s">
        <v>139</v>
      </c>
      <c r="B12279" t="s">
        <v>150</v>
      </c>
      <c r="C12279" t="s">
        <v>271</v>
      </c>
      <c r="D12279" t="s">
        <v>400</v>
      </c>
      <c r="F12279">
        <f>HYPERLINK("https://www.wikidata.org/wiki/Q36713863", "Q36713863")</f>
        <v>0</v>
      </c>
      <c r="G12279" t="s">
        <v>699</v>
      </c>
      <c r="H12279" t="s">
        <v>5457</v>
      </c>
      <c r="I12279" t="s">
        <v>9376</v>
      </c>
      <c r="J12279" t="s">
        <v>11449</v>
      </c>
      <c r="K12279" t="s">
        <v>15850</v>
      </c>
      <c r="L12279">
        <f>HYPERLINK("https://www2.assemblee-nationale.fr/sycomore/fiche/(num_dept)/4171", "4171")</f>
        <v>0</v>
      </c>
      <c r="M12279">
        <f>HYPERLINK("https://www.senat.fr/senateur-3eme-republique/de_la_batut_ferdinand0668r3.html", "de_la_batut_ferdinand0668r3")</f>
        <v>0</v>
      </c>
      <c r="N12279">
        <f>HYPERLINK("https://www.wikidata.org/wiki/Q3068680", "Q3068680")</f>
        <v>0</v>
      </c>
      <c r="O12279" t="s">
        <v>20010</v>
      </c>
      <c r="Q12279" t="s">
        <v>400</v>
      </c>
      <c r="R12279" t="s">
        <v>21700</v>
      </c>
      <c r="S12279">
        <v>3289</v>
      </c>
    </row>
    <row r="12280" spans="1:19">
      <c r="A12280" t="s">
        <v>139</v>
      </c>
      <c r="B12280" t="s">
        <v>150</v>
      </c>
      <c r="C12280" t="s">
        <v>271</v>
      </c>
      <c r="D12280" t="s">
        <v>400</v>
      </c>
      <c r="F12280">
        <f>HYPERLINK("https://www.wikidata.org/wiki/Q36713863", "Q36713863")</f>
        <v>0</v>
      </c>
      <c r="G12280" t="s">
        <v>4074</v>
      </c>
      <c r="H12280" t="s">
        <v>8292</v>
      </c>
      <c r="I12280" t="s">
        <v>6860</v>
      </c>
      <c r="J12280" t="s">
        <v>14613</v>
      </c>
      <c r="K12280" t="s">
        <v>18951</v>
      </c>
      <c r="L12280">
        <f>HYPERLINK("https://www2.assemblee-nationale.fr/sycomore/fiche/(num_dept)/5148", "5148")</f>
        <v>0</v>
      </c>
      <c r="M12280">
        <f>HYPERLINK("https://www.senat.fr/senateur-3eme-republique/maziere_pierre0644r3.html", "maziere_pierre0644r3")</f>
        <v>0</v>
      </c>
      <c r="N12280">
        <f>HYPERLINK("https://www.wikidata.org/wiki/Q3386232", "Q3386232")</f>
        <v>0</v>
      </c>
      <c r="O12280" t="s">
        <v>19979</v>
      </c>
      <c r="Q12280" t="s">
        <v>400</v>
      </c>
      <c r="R12280" t="s">
        <v>21650</v>
      </c>
      <c r="S12280">
        <v>12341</v>
      </c>
    </row>
    <row r="12281" spans="1:19">
      <c r="A12281" t="s">
        <v>139</v>
      </c>
      <c r="B12281" t="s">
        <v>150</v>
      </c>
      <c r="C12281" t="s">
        <v>271</v>
      </c>
      <c r="D12281" t="s">
        <v>400</v>
      </c>
      <c r="F12281">
        <f>HYPERLINK("https://www.wikidata.org/wiki/Q36713863", "Q36713863")</f>
        <v>0</v>
      </c>
      <c r="G12281" t="s">
        <v>4205</v>
      </c>
      <c r="H12281" t="s">
        <v>8392</v>
      </c>
      <c r="I12281" t="s">
        <v>9442</v>
      </c>
      <c r="J12281" t="s">
        <v>14717</v>
      </c>
      <c r="K12281" t="s">
        <v>19060</v>
      </c>
      <c r="L12281">
        <f>HYPERLINK("https://www2.assemblee-nationale.fr/sycomore/fiche/(num_dept)/5221", "5221")</f>
        <v>0</v>
      </c>
      <c r="M12281">
        <f>HYPERLINK("https://www.senat.fr/senateur-3eme-republique/messner_ernest0552r3.html", "messner_ernest0552r3")</f>
        <v>0</v>
      </c>
      <c r="N12281">
        <f>HYPERLINK("https://www.wikidata.org/wiki/Q3057085", "Q3057085")</f>
        <v>0</v>
      </c>
      <c r="Q12281" t="s">
        <v>400</v>
      </c>
      <c r="R12281" t="s">
        <v>21650</v>
      </c>
      <c r="S12281">
        <v>12341</v>
      </c>
    </row>
    <row r="12282" spans="1:19">
      <c r="A12282" t="s">
        <v>139</v>
      </c>
      <c r="B12282" t="s">
        <v>150</v>
      </c>
      <c r="C12282" t="s">
        <v>271</v>
      </c>
      <c r="D12282" t="s">
        <v>400</v>
      </c>
      <c r="F12282">
        <f>HYPERLINK("https://www.wikidata.org/wiki/Q36713863", "Q36713863")</f>
        <v>0</v>
      </c>
      <c r="G12282" t="s">
        <v>1847</v>
      </c>
      <c r="H12282" t="s">
        <v>6506</v>
      </c>
      <c r="I12282" t="s">
        <v>9969</v>
      </c>
      <c r="J12282" t="s">
        <v>12538</v>
      </c>
      <c r="K12282" t="s">
        <v>16950</v>
      </c>
      <c r="L12282">
        <f>HYPERLINK("https://www2.assemblee-nationale.fr/sycomore/fiche/(num_dept)/5260", "5260")</f>
        <v>0</v>
      </c>
      <c r="M12282">
        <f>HYPERLINK("https://www.senat.fr/senateur-3eme-republique/michel_henri0069r3.html", "michel_henri0069r3")</f>
        <v>0</v>
      </c>
      <c r="N12282">
        <f>HYPERLINK("https://www.wikidata.org/wiki/Q3131640", "Q3131640")</f>
        <v>0</v>
      </c>
      <c r="O12282" t="s">
        <v>20033</v>
      </c>
      <c r="Q12282" t="s">
        <v>400</v>
      </c>
      <c r="R12282" t="s">
        <v>21650</v>
      </c>
      <c r="S12282">
        <v>12341</v>
      </c>
    </row>
    <row r="12283" spans="1:19">
      <c r="A12283" t="s">
        <v>139</v>
      </c>
      <c r="B12283" t="s">
        <v>150</v>
      </c>
      <c r="C12283" t="s">
        <v>271</v>
      </c>
      <c r="D12283" t="s">
        <v>400</v>
      </c>
      <c r="F12283">
        <f>HYPERLINK("https://www.wikidata.org/wiki/Q36713863", "Q36713863")</f>
        <v>0</v>
      </c>
      <c r="G12283" t="s">
        <v>3362</v>
      </c>
      <c r="H12283" t="s">
        <v>7759</v>
      </c>
      <c r="I12283" t="s">
        <v>9483</v>
      </c>
      <c r="J12283" t="s">
        <v>13974</v>
      </c>
      <c r="K12283" t="s">
        <v>18342</v>
      </c>
      <c r="L12283">
        <f>HYPERLINK("https://www2.assemblee-nationale.fr/sycomore/fiche/(num_dept)/5287", "5287")</f>
        <v>0</v>
      </c>
      <c r="M12283">
        <f>HYPERLINK("https://www.senat.fr/senateur-3eme-republique/milliard_victor0760r3.html", "milliard_victor0760r3")</f>
        <v>0</v>
      </c>
      <c r="N12283">
        <f>HYPERLINK("https://www.wikidata.org/wiki/Q3557460", "Q3557460")</f>
        <v>0</v>
      </c>
      <c r="O12283" t="s">
        <v>19992</v>
      </c>
      <c r="Q12283" t="s">
        <v>400</v>
      </c>
      <c r="R12283" t="s">
        <v>21700</v>
      </c>
      <c r="S12283">
        <v>3289</v>
      </c>
    </row>
    <row r="12284" spans="1:19">
      <c r="A12284" t="s">
        <v>139</v>
      </c>
      <c r="B12284" t="s">
        <v>150</v>
      </c>
      <c r="C12284" t="s">
        <v>271</v>
      </c>
      <c r="D12284" t="s">
        <v>400</v>
      </c>
      <c r="F12284">
        <f>HYPERLINK("https://www.wikidata.org/wiki/Q36713863", "Q36713863")</f>
        <v>0</v>
      </c>
      <c r="G12284" t="s">
        <v>2634</v>
      </c>
      <c r="H12284" t="s">
        <v>7179</v>
      </c>
      <c r="I12284" t="s">
        <v>10328</v>
      </c>
      <c r="J12284" t="s">
        <v>13276</v>
      </c>
      <c r="K12284" t="s">
        <v>17678</v>
      </c>
      <c r="L12284">
        <f>HYPERLINK("https://www2.assemblee-nationale.fr/sycomore/fiche/(num_dept)/5302", "5302")</f>
        <v>0</v>
      </c>
      <c r="M12284">
        <f>HYPERLINK("https://www.senat.fr/senateur-3eme-republique/mir_eugene0269r3.html", "mir_eugene0269r3")</f>
        <v>0</v>
      </c>
      <c r="N12284">
        <f>HYPERLINK("https://www.wikidata.org/wiki/Q3060037", "Q3060037")</f>
        <v>0</v>
      </c>
      <c r="O12284" t="s">
        <v>19960</v>
      </c>
      <c r="Q12284" t="s">
        <v>400</v>
      </c>
      <c r="R12284" t="s">
        <v>21650</v>
      </c>
      <c r="S12284">
        <v>12341</v>
      </c>
    </row>
    <row r="12285" spans="1:19">
      <c r="A12285" t="s">
        <v>139</v>
      </c>
      <c r="B12285" t="s">
        <v>150</v>
      </c>
      <c r="C12285" t="s">
        <v>271</v>
      </c>
      <c r="D12285" t="s">
        <v>400</v>
      </c>
      <c r="F12285">
        <f>HYPERLINK("https://www.wikidata.org/wiki/Q36713863", "Q36713863")</f>
        <v>0</v>
      </c>
      <c r="G12285" t="s">
        <v>1008</v>
      </c>
      <c r="H12285" t="s">
        <v>5759</v>
      </c>
      <c r="I12285" t="s">
        <v>9619</v>
      </c>
      <c r="J12285" t="s">
        <v>11745</v>
      </c>
      <c r="K12285" t="s">
        <v>16148</v>
      </c>
      <c r="L12285">
        <f>HYPERLINK("https://www2.assemblee-nationale.fr/sycomore/fiche/(num_dept)/5357", "5357")</f>
        <v>0</v>
      </c>
      <c r="M12285">
        <f>HYPERLINK("https://www.senat.fr/senateur-3eme-republique/monsservin_joseph0284r3.html", "monsservin_joseph0284r3")</f>
        <v>0</v>
      </c>
      <c r="N12285">
        <f>HYPERLINK("https://www.wikidata.org/wiki/Q3185378", "Q3185378")</f>
        <v>0</v>
      </c>
      <c r="O12285" t="s">
        <v>19967</v>
      </c>
      <c r="Q12285" t="s">
        <v>400</v>
      </c>
      <c r="R12285" t="s">
        <v>21700</v>
      </c>
      <c r="S12285">
        <v>3289</v>
      </c>
    </row>
    <row r="12286" spans="1:19">
      <c r="A12286" t="s">
        <v>139</v>
      </c>
      <c r="B12286" t="s">
        <v>150</v>
      </c>
      <c r="C12286" t="s">
        <v>271</v>
      </c>
      <c r="D12286" t="s">
        <v>400</v>
      </c>
      <c r="F12286">
        <f>HYPERLINK("https://www.wikidata.org/wiki/Q36713863", "Q36713863")</f>
        <v>0</v>
      </c>
      <c r="G12286" t="s">
        <v>739</v>
      </c>
      <c r="H12286" t="s">
        <v>5497</v>
      </c>
      <c r="I12286" t="s">
        <v>9504</v>
      </c>
      <c r="J12286" t="s">
        <v>11488</v>
      </c>
      <c r="K12286" t="s">
        <v>15890</v>
      </c>
      <c r="L12286">
        <f>HYPERLINK("https://www2.assemblee-nationale.fr/sycomore/fiche/(num_dept)/5410", "5410")</f>
        <v>0</v>
      </c>
      <c r="M12286">
        <f>HYPERLINK("https://www.senat.fr/senateur-3eme-republique/morel_jean_baptiste1326r3.html", "morel_jean_baptiste1326r3")</f>
        <v>0</v>
      </c>
      <c r="N12286">
        <f>HYPERLINK("https://www.wikidata.org/wiki/Q2627978", "Q2627978")</f>
        <v>0</v>
      </c>
      <c r="O12286" t="s">
        <v>19997</v>
      </c>
      <c r="Q12286" t="s">
        <v>400</v>
      </c>
      <c r="R12286" t="s">
        <v>21683</v>
      </c>
      <c r="S12286">
        <v>2925</v>
      </c>
    </row>
    <row r="12287" spans="1:19">
      <c r="A12287" t="s">
        <v>139</v>
      </c>
      <c r="B12287" t="s">
        <v>150</v>
      </c>
      <c r="C12287" t="s">
        <v>271</v>
      </c>
      <c r="D12287" t="s">
        <v>400</v>
      </c>
      <c r="F12287">
        <f>HYPERLINK("https://www.wikidata.org/wiki/Q36713863", "Q36713863")</f>
        <v>0</v>
      </c>
      <c r="G12287" t="s">
        <v>4045</v>
      </c>
      <c r="H12287" t="s">
        <v>8273</v>
      </c>
      <c r="I12287" t="s">
        <v>9552</v>
      </c>
      <c r="J12287" t="s">
        <v>14586</v>
      </c>
      <c r="K12287" t="s">
        <v>18925</v>
      </c>
      <c r="L12287">
        <f>HYPERLINK("https://www2.assemblee-nationale.fr/sycomore/fiche/(num_dept)/5473", "5473")</f>
        <v>0</v>
      </c>
      <c r="M12287">
        <f>HYPERLINK("https://www.senat.fr/senateur-3eme-republique/mulac_auguste0397r3.html", "mulac_auguste0397r3")</f>
        <v>0</v>
      </c>
      <c r="N12287">
        <f>HYPERLINK("https://www.wikidata.org/wiki/Q2871332", "Q2871332")</f>
        <v>0</v>
      </c>
      <c r="O12287" t="s">
        <v>20031</v>
      </c>
      <c r="Q12287" t="s">
        <v>400</v>
      </c>
      <c r="R12287" t="s">
        <v>21700</v>
      </c>
      <c r="S12287">
        <v>3289</v>
      </c>
    </row>
    <row r="12288" spans="1:19">
      <c r="A12288" t="s">
        <v>139</v>
      </c>
      <c r="B12288" t="s">
        <v>150</v>
      </c>
      <c r="C12288" t="s">
        <v>271</v>
      </c>
      <c r="D12288" t="s">
        <v>400</v>
      </c>
      <c r="F12288">
        <f>HYPERLINK("https://www.wikidata.org/wiki/Q36713863", "Q36713863")</f>
        <v>0</v>
      </c>
      <c r="G12288" t="s">
        <v>754</v>
      </c>
      <c r="H12288" t="s">
        <v>5512</v>
      </c>
      <c r="I12288" t="s">
        <v>9506</v>
      </c>
      <c r="J12288" t="s">
        <v>11502</v>
      </c>
      <c r="K12288" t="s">
        <v>15905</v>
      </c>
      <c r="L12288">
        <f>HYPERLINK("https://www2.assemblee-nationale.fr/sycomore/fiche/(num_dept)/5764", "5764")</f>
        <v>0</v>
      </c>
      <c r="M12288">
        <f>HYPERLINK("https://www.senat.fr/senateur-3eme-republique/pelletan_camille0312r3.html", "pelletan_camille0312r3")</f>
        <v>0</v>
      </c>
      <c r="N12288">
        <f>HYPERLINK("https://www.wikidata.org/wiki/Q2862434", "Q2862434")</f>
        <v>0</v>
      </c>
      <c r="O12288" t="s">
        <v>19990</v>
      </c>
      <c r="Q12288" t="s">
        <v>400</v>
      </c>
      <c r="R12288" t="s">
        <v>15905</v>
      </c>
      <c r="S12288">
        <v>1244</v>
      </c>
    </row>
    <row r="12289" spans="1:19">
      <c r="A12289" t="s">
        <v>139</v>
      </c>
      <c r="B12289" t="s">
        <v>150</v>
      </c>
      <c r="C12289" t="s">
        <v>271</v>
      </c>
      <c r="D12289" t="s">
        <v>400</v>
      </c>
      <c r="F12289">
        <f>HYPERLINK("https://www.wikidata.org/wiki/Q36713863", "Q36713863")</f>
        <v>0</v>
      </c>
      <c r="G12289" t="s">
        <v>1024</v>
      </c>
      <c r="H12289" t="s">
        <v>5774</v>
      </c>
      <c r="I12289" t="s">
        <v>9624</v>
      </c>
      <c r="J12289" t="s">
        <v>11761</v>
      </c>
      <c r="K12289" t="s">
        <v>16162</v>
      </c>
      <c r="L12289">
        <f>HYPERLINK("https://www2.assemblee-nationale.fr/sycomore/fiche/(num_dept)/5775", "5775")</f>
        <v>0</v>
      </c>
      <c r="M12289">
        <f>HYPERLINK("https://www.senat.fr/senateur-3eme-republique/perchot_justin0062r3.html", "perchot_justin0062r3")</f>
        <v>0</v>
      </c>
      <c r="N12289">
        <f>HYPERLINK("https://www.wikidata.org/wiki/Q3190486", "Q3190486")</f>
        <v>0</v>
      </c>
      <c r="O12289" t="s">
        <v>20033</v>
      </c>
      <c r="Q12289" t="s">
        <v>400</v>
      </c>
      <c r="R12289" t="s">
        <v>21700</v>
      </c>
      <c r="S12289">
        <v>3289</v>
      </c>
    </row>
    <row r="12290" spans="1:19">
      <c r="A12290" t="s">
        <v>139</v>
      </c>
      <c r="B12290" t="s">
        <v>150</v>
      </c>
      <c r="C12290" t="s">
        <v>271</v>
      </c>
      <c r="D12290" t="s">
        <v>400</v>
      </c>
      <c r="F12290">
        <f>HYPERLINK("https://www.wikidata.org/wiki/Q36713863", "Q36713863")</f>
        <v>0</v>
      </c>
      <c r="G12290" t="s">
        <v>4006</v>
      </c>
      <c r="H12290" t="s">
        <v>8244</v>
      </c>
      <c r="I12290" t="s">
        <v>11059</v>
      </c>
      <c r="J12290" t="s">
        <v>12359</v>
      </c>
      <c r="K12290" t="s">
        <v>18895</v>
      </c>
      <c r="L12290">
        <f>HYPERLINK("https://www2.assemblee-nationale.fr/sycomore/fiche/(num_dept)/5835", "5835")</f>
        <v>0</v>
      </c>
      <c r="M12290">
        <f>HYPERLINK("https://www.senat.fr/senateur-3eme-republique/peschaud_gabriel0371r3.html", "peschaud_gabriel0371r3")</f>
        <v>0</v>
      </c>
      <c r="N12290">
        <f>HYPERLINK("https://www.wikidata.org/wiki/Q3093908", "Q3093908")</f>
        <v>0</v>
      </c>
      <c r="O12290" t="s">
        <v>19966</v>
      </c>
      <c r="Q12290" t="s">
        <v>400</v>
      </c>
      <c r="R12290" t="s">
        <v>21700</v>
      </c>
      <c r="S12290">
        <v>3289</v>
      </c>
    </row>
    <row r="12291" spans="1:19">
      <c r="A12291" t="s">
        <v>139</v>
      </c>
      <c r="B12291" t="s">
        <v>150</v>
      </c>
      <c r="C12291" t="s">
        <v>271</v>
      </c>
      <c r="D12291" t="s">
        <v>400</v>
      </c>
      <c r="F12291">
        <f>HYPERLINK("https://www.wikidata.org/wiki/Q36713863", "Q36713863")</f>
        <v>0</v>
      </c>
      <c r="G12291" t="s">
        <v>2965</v>
      </c>
      <c r="H12291" t="s">
        <v>5848</v>
      </c>
      <c r="I12291" t="s">
        <v>9388</v>
      </c>
      <c r="J12291" t="s">
        <v>13597</v>
      </c>
      <c r="K12291" t="s">
        <v>17983</v>
      </c>
      <c r="L12291">
        <f>HYPERLINK("https://www2.assemblee-nationale.fr/sycomore/fiche/(num_dept)/5873", "5873")</f>
        <v>0</v>
      </c>
      <c r="M12291">
        <f>HYPERLINK("https://www.senat.fr/senateur-3eme-republique/peytral_paul0322r3.html", "peytral_paul0322r3")</f>
        <v>0</v>
      </c>
      <c r="N12291">
        <f>HYPERLINK("https://www.wikidata.org/wiki/Q179491", "Q179491")</f>
        <v>0</v>
      </c>
      <c r="O12291" t="s">
        <v>19990</v>
      </c>
      <c r="Q12291" t="s">
        <v>400</v>
      </c>
      <c r="R12291" t="s">
        <v>21650</v>
      </c>
      <c r="S12291">
        <v>12341</v>
      </c>
    </row>
    <row r="12292" spans="1:19">
      <c r="A12292" t="s">
        <v>139</v>
      </c>
      <c r="B12292" t="s">
        <v>150</v>
      </c>
      <c r="C12292" t="s">
        <v>271</v>
      </c>
      <c r="D12292" t="s">
        <v>400</v>
      </c>
      <c r="F12292">
        <f>HYPERLINK("https://www.wikidata.org/wiki/Q36713863", "Q36713863")</f>
        <v>0</v>
      </c>
      <c r="G12292" t="s">
        <v>3879</v>
      </c>
      <c r="H12292" t="s">
        <v>7691</v>
      </c>
      <c r="I12292" t="s">
        <v>10592</v>
      </c>
      <c r="J12292" t="s">
        <v>14437</v>
      </c>
      <c r="K12292" t="s">
        <v>15669</v>
      </c>
      <c r="L12292">
        <f>HYPERLINK("https://www2.assemblee-nationale.fr/sycomore/fiche/(num_dept)/5904", "5904")</f>
        <v>0</v>
      </c>
      <c r="M12292">
        <f>HYPERLINK("https://www.senat.fr/senateur-3eme-republique/pichon_louis0791r3.html", "pichon_louis0791r3")</f>
        <v>0</v>
      </c>
      <c r="N12292">
        <f>HYPERLINK("https://www.wikidata.org/wiki/Q3262900", "Q3262900")</f>
        <v>0</v>
      </c>
      <c r="O12292" t="s">
        <v>20011</v>
      </c>
      <c r="Q12292" t="s">
        <v>400</v>
      </c>
      <c r="R12292" t="s">
        <v>21650</v>
      </c>
      <c r="S12292">
        <v>12341</v>
      </c>
    </row>
    <row r="12293" spans="1:19">
      <c r="A12293" t="s">
        <v>139</v>
      </c>
      <c r="B12293" t="s">
        <v>150</v>
      </c>
      <c r="C12293" t="s">
        <v>271</v>
      </c>
      <c r="D12293" t="s">
        <v>400</v>
      </c>
      <c r="F12293">
        <f>HYPERLINK("https://www.wikidata.org/wiki/Q36713863", "Q36713863")</f>
        <v>0</v>
      </c>
      <c r="G12293" t="s">
        <v>4135</v>
      </c>
      <c r="H12293" t="s">
        <v>8340</v>
      </c>
      <c r="I12293" t="s">
        <v>11129</v>
      </c>
      <c r="J12293" t="s">
        <v>14666</v>
      </c>
      <c r="K12293" t="s">
        <v>19003</v>
      </c>
      <c r="L12293">
        <f>HYPERLINK("https://www2.assemblee-nationale.fr/sycomore/fiche/(num_dept)/6109", "6109")</f>
        <v>0</v>
      </c>
      <c r="M12293">
        <f>HYPERLINK("https://www.senat.fr/senateur-3eme-republique/rouby_hippolyte0467r3.html", "rouby_hippolyte0467r3")</f>
        <v>0</v>
      </c>
      <c r="N12293">
        <f>HYPERLINK("https://www.wikidata.org/wiki/Q3136121", "Q3136121")</f>
        <v>0</v>
      </c>
      <c r="O12293" t="s">
        <v>20020</v>
      </c>
      <c r="Q12293" t="s">
        <v>400</v>
      </c>
      <c r="R12293" t="s">
        <v>21650</v>
      </c>
      <c r="S12293">
        <v>12341</v>
      </c>
    </row>
    <row r="12294" spans="1:19">
      <c r="A12294" t="s">
        <v>139</v>
      </c>
      <c r="B12294" t="s">
        <v>150</v>
      </c>
      <c r="C12294" t="s">
        <v>271</v>
      </c>
      <c r="D12294" t="s">
        <v>400</v>
      </c>
      <c r="F12294">
        <f>HYPERLINK("https://www.wikidata.org/wiki/Q36713863", "Q36713863")</f>
        <v>0</v>
      </c>
      <c r="G12294" t="s">
        <v>3832</v>
      </c>
      <c r="H12294" t="s">
        <v>8112</v>
      </c>
      <c r="I12294" t="s">
        <v>10993</v>
      </c>
      <c r="J12294" t="s">
        <v>11898</v>
      </c>
      <c r="K12294" t="s">
        <v>18135</v>
      </c>
      <c r="L12294">
        <f>HYPERLINK("https://www2.assemblee-nationale.fr/sycomore/fiche/(num_dept)/6229", "6229")</f>
        <v>0</v>
      </c>
      <c r="M12294">
        <f>HYPERLINK("https://www.senat.fr/senateur-3eme-republique/saint_quentin_louis0355r3.html", "saint_quentin_louis0355r3")</f>
        <v>0</v>
      </c>
      <c r="N12294">
        <f>HYPERLINK("https://www.wikidata.org/wiki/Q3261753", "Q3261753")</f>
        <v>0</v>
      </c>
      <c r="O12294" t="s">
        <v>20009</v>
      </c>
      <c r="Q12294" t="s">
        <v>400</v>
      </c>
      <c r="R12294" t="s">
        <v>21700</v>
      </c>
      <c r="S12294">
        <v>3289</v>
      </c>
    </row>
    <row r="12295" spans="1:19">
      <c r="A12295" t="s">
        <v>139</v>
      </c>
      <c r="B12295" t="s">
        <v>150</v>
      </c>
      <c r="C12295" t="s">
        <v>271</v>
      </c>
      <c r="D12295" t="s">
        <v>400</v>
      </c>
      <c r="F12295">
        <f>HYPERLINK("https://www.wikidata.org/wiki/Q36713863", "Q36713863")</f>
        <v>0</v>
      </c>
      <c r="G12295" t="s">
        <v>794</v>
      </c>
      <c r="H12295" t="s">
        <v>5551</v>
      </c>
      <c r="I12295" t="s">
        <v>6495</v>
      </c>
      <c r="J12295" t="s">
        <v>11541</v>
      </c>
      <c r="K12295" t="s">
        <v>15945</v>
      </c>
      <c r="L12295">
        <f>HYPERLINK("https://www2.assemblee-nationale.fr/sycomore/fiche/(num_dept)/6551", "6551")</f>
        <v>0</v>
      </c>
      <c r="M12295">
        <f>HYPERLINK("https://www.senat.fr/senateur-3eme-republique/quesnel_louis1575r3.html", "quesnel_louis1575r3")</f>
        <v>0</v>
      </c>
      <c r="N12295">
        <f>HYPERLINK("https://www.wikidata.org/wiki/Q3262977", "Q3262977")</f>
        <v>0</v>
      </c>
      <c r="O12295" t="s">
        <v>19978</v>
      </c>
      <c r="Q12295" t="s">
        <v>400</v>
      </c>
      <c r="R12295" t="s">
        <v>21683</v>
      </c>
      <c r="S12295">
        <v>2925</v>
      </c>
    </row>
    <row r="12296" spans="1:19">
      <c r="A12296" t="s">
        <v>139</v>
      </c>
      <c r="B12296" t="s">
        <v>150</v>
      </c>
      <c r="C12296" t="s">
        <v>271</v>
      </c>
      <c r="D12296" t="s">
        <v>400</v>
      </c>
      <c r="F12296">
        <f>HYPERLINK("https://www.wikidata.org/wiki/Q36713863", "Q36713863")</f>
        <v>0</v>
      </c>
      <c r="G12296" t="s">
        <v>3594</v>
      </c>
      <c r="H12296" t="s">
        <v>7941</v>
      </c>
      <c r="I12296" t="s">
        <v>10897</v>
      </c>
      <c r="J12296" t="s">
        <v>13493</v>
      </c>
      <c r="K12296" t="s">
        <v>18546</v>
      </c>
      <c r="L12296">
        <f>HYPERLINK("https://www2.assemblee-nationale.fr/sycomore/fiche/(num_dept)/6590", "6590")</f>
        <v>0</v>
      </c>
      <c r="M12296">
        <f>HYPERLINK("https://www.senat.fr/senateur-3eme-republique/rambourgt_eugene0229r3.html", "rambourgt_eugene0229r3")</f>
        <v>0</v>
      </c>
      <c r="N12296">
        <f>HYPERLINK("https://www.wikidata.org/wiki/Q3060124", "Q3060124")</f>
        <v>0</v>
      </c>
      <c r="O12296" t="s">
        <v>8449</v>
      </c>
      <c r="Q12296" t="s">
        <v>400</v>
      </c>
      <c r="R12296" t="s">
        <v>21650</v>
      </c>
      <c r="S12296">
        <v>12341</v>
      </c>
    </row>
    <row r="12297" spans="1:19">
      <c r="A12297" t="s">
        <v>139</v>
      </c>
      <c r="B12297" t="s">
        <v>150</v>
      </c>
      <c r="C12297" t="s">
        <v>271</v>
      </c>
      <c r="D12297" t="s">
        <v>400</v>
      </c>
      <c r="F12297">
        <f>HYPERLINK("https://www.wikidata.org/wiki/Q36713863", "Q36713863")</f>
        <v>0</v>
      </c>
      <c r="G12297" t="s">
        <v>1050</v>
      </c>
      <c r="H12297" t="s">
        <v>5797</v>
      </c>
      <c r="I12297" t="s">
        <v>9643</v>
      </c>
      <c r="J12297" t="s">
        <v>11787</v>
      </c>
      <c r="K12297" t="s">
        <v>16188</v>
      </c>
      <c r="L12297">
        <f>HYPERLINK("https://www2.assemblee-nationale.fr/sycomore/fiche/(num_dept)/6693", "6693")</f>
        <v>0</v>
      </c>
      <c r="M12297">
        <f>HYPERLINK("https://www.senat.fr/senateur-3eme-republique/reveillaud_eugene0407r3.html", "reveillaud_eugene0407r3")</f>
        <v>0</v>
      </c>
      <c r="N12297">
        <f>HYPERLINK("https://www.wikidata.org/wiki/Q3060161", "Q3060161")</f>
        <v>0</v>
      </c>
      <c r="O12297" t="s">
        <v>20037</v>
      </c>
      <c r="Q12297" t="s">
        <v>400</v>
      </c>
      <c r="R12297" t="s">
        <v>21700</v>
      </c>
      <c r="S12297">
        <v>3289</v>
      </c>
    </row>
    <row r="12298" spans="1:19">
      <c r="A12298" t="s">
        <v>139</v>
      </c>
      <c r="B12298" t="s">
        <v>150</v>
      </c>
      <c r="C12298" t="s">
        <v>271</v>
      </c>
      <c r="D12298" t="s">
        <v>400</v>
      </c>
      <c r="F12298">
        <f>HYPERLINK("https://www.wikidata.org/wiki/Q36713863", "Q36713863")</f>
        <v>0</v>
      </c>
      <c r="G12298" t="s">
        <v>810</v>
      </c>
      <c r="H12298" t="s">
        <v>5567</v>
      </c>
      <c r="I12298" t="s">
        <v>9534</v>
      </c>
      <c r="J12298" t="s">
        <v>11557</v>
      </c>
      <c r="K12298" t="s">
        <v>15961</v>
      </c>
      <c r="L12298">
        <f>HYPERLINK("https://www2.assemblee-nationale.fr/sycomore/fiche/(num_dept)/6847", "6847")</f>
        <v>0</v>
      </c>
      <c r="M12298">
        <f>HYPERLINK("https://www.senat.fr/senateur-3eme-republique/simonet_hippolyte0626r3.html", "simonet_hippolyte0626r3")</f>
        <v>0</v>
      </c>
      <c r="N12298">
        <f>HYPERLINK("https://www.wikidata.org/wiki/Q3136130", "Q3136130")</f>
        <v>0</v>
      </c>
      <c r="O12298" t="s">
        <v>19979</v>
      </c>
      <c r="Q12298" t="s">
        <v>400</v>
      </c>
      <c r="R12298" t="s">
        <v>21700</v>
      </c>
      <c r="S12298">
        <v>3289</v>
      </c>
    </row>
    <row r="12299" spans="1:19">
      <c r="A12299" t="s">
        <v>139</v>
      </c>
      <c r="B12299" t="s">
        <v>150</v>
      </c>
      <c r="C12299" t="s">
        <v>271</v>
      </c>
      <c r="D12299" t="s">
        <v>400</v>
      </c>
      <c r="F12299">
        <f>HYPERLINK("https://www.wikidata.org/wiki/Q36713863", "Q36713863")</f>
        <v>0</v>
      </c>
      <c r="G12299" t="s">
        <v>3732</v>
      </c>
      <c r="H12299" t="s">
        <v>8040</v>
      </c>
      <c r="I12299" t="s">
        <v>6759</v>
      </c>
      <c r="J12299" t="s">
        <v>14307</v>
      </c>
      <c r="K12299" t="s">
        <v>18661</v>
      </c>
      <c r="L12299">
        <f>HYPERLINK("https://www2.assemblee-nationale.fr/sycomore/fiche/(num_dept)/7149", "7149")</f>
        <v>0</v>
      </c>
      <c r="M12299">
        <f>HYPERLINK("https://www.senat.fr/senateur-3eme-republique/de_treveneuc_robert0572r3.html", "de_treveneuc_robert0572r3")</f>
        <v>0</v>
      </c>
      <c r="N12299">
        <f>HYPERLINK("https://www.wikidata.org/wiki/Q3436738", "Q3436738")</f>
        <v>0</v>
      </c>
      <c r="O12299" t="s">
        <v>19964</v>
      </c>
      <c r="Q12299" t="s">
        <v>400</v>
      </c>
      <c r="R12299" t="s">
        <v>21650</v>
      </c>
      <c r="S12299">
        <v>12341</v>
      </c>
    </row>
    <row r="12300" spans="1:19">
      <c r="A12300" t="s">
        <v>139</v>
      </c>
      <c r="B12300" t="s">
        <v>150</v>
      </c>
      <c r="C12300" t="s">
        <v>271</v>
      </c>
      <c r="D12300" t="s">
        <v>400</v>
      </c>
      <c r="F12300">
        <f>HYPERLINK("https://www.wikidata.org/wiki/Q36713863", "Q36713863")</f>
        <v>0</v>
      </c>
      <c r="G12300" t="s">
        <v>3605</v>
      </c>
      <c r="H12300" t="s">
        <v>7949</v>
      </c>
      <c r="I12300" t="s">
        <v>10170</v>
      </c>
      <c r="J12300" t="s">
        <v>14190</v>
      </c>
      <c r="K12300" t="s">
        <v>18556</v>
      </c>
      <c r="L12300">
        <f>HYPERLINK("https://www2.assemblee-nationale.fr/sycomore/fiche/(num_dept)/7434", "7434")</f>
        <v>0</v>
      </c>
      <c r="M12300">
        <f>HYPERLINK("https://www.senat.fr/senateur-3eme-republique/ville_pierre0048r3.html", "ville_pierre0048r3")</f>
        <v>0</v>
      </c>
      <c r="N12300">
        <f>HYPERLINK("https://www.wikidata.org/wiki/Q3387297", "Q3387297")</f>
        <v>0</v>
      </c>
      <c r="O12300" t="s">
        <v>19999</v>
      </c>
      <c r="Q12300" t="s">
        <v>400</v>
      </c>
      <c r="R12300" t="s">
        <v>21650</v>
      </c>
      <c r="S12300">
        <v>12341</v>
      </c>
    </row>
    <row r="12301" spans="1:19">
      <c r="A12301" t="s">
        <v>139</v>
      </c>
      <c r="B12301" t="s">
        <v>150</v>
      </c>
      <c r="C12301" t="s">
        <v>271</v>
      </c>
      <c r="D12301" t="s">
        <v>400</v>
      </c>
      <c r="F12301">
        <f>HYPERLINK("https://www.wikidata.org/wiki/Q36713863", "Q36713863")</f>
        <v>0</v>
      </c>
      <c r="G12301" t="s">
        <v>3860</v>
      </c>
      <c r="H12301" t="s">
        <v>8130</v>
      </c>
      <c r="I12301" t="s">
        <v>11003</v>
      </c>
      <c r="J12301" t="s">
        <v>14419</v>
      </c>
      <c r="K12301" t="s">
        <v>18772</v>
      </c>
      <c r="L12301">
        <f>HYPERLINK("https://www2.assemblee-nationale.fr/sycomore/fiche/(num_dept)/7439", "7439")</f>
        <v>0</v>
      </c>
      <c r="M12301">
        <f>HYPERLINK("https://www.senat.fr/senateur-3eme-republique/vidal_de_saint_urbain_gabriel0294r3.html", "vidal_de_saint_urbain_gabriel0294r3")</f>
        <v>0</v>
      </c>
      <c r="N12301">
        <f>HYPERLINK("https://www.wikidata.org/wiki/Q3093994", "Q3093994")</f>
        <v>0</v>
      </c>
      <c r="O12301" t="s">
        <v>19967</v>
      </c>
      <c r="Q12301" t="s">
        <v>400</v>
      </c>
      <c r="R12301" t="s">
        <v>21650</v>
      </c>
      <c r="S12301">
        <v>12341</v>
      </c>
    </row>
    <row r="12302" spans="1:19">
      <c r="A12302" t="s">
        <v>139</v>
      </c>
      <c r="B12302" t="s">
        <v>150</v>
      </c>
      <c r="C12302" t="s">
        <v>271</v>
      </c>
      <c r="D12302" t="s">
        <v>400</v>
      </c>
      <c r="F12302">
        <f>HYPERLINK("https://www.wikidata.org/wiki/Q36713863", "Q36713863")</f>
        <v>0</v>
      </c>
      <c r="G12302" t="s">
        <v>2706</v>
      </c>
      <c r="H12302" t="s">
        <v>6341</v>
      </c>
      <c r="I12302" t="s">
        <v>10376</v>
      </c>
      <c r="J12302" t="s">
        <v>13347</v>
      </c>
      <c r="K12302" t="s">
        <v>17747</v>
      </c>
      <c r="L12302">
        <f>HYPERLINK("https://www2.assemblee-nationale.fr/sycomore/fiche/(num_dept)/7613", "7613")</f>
        <v>0</v>
      </c>
      <c r="M12302">
        <f>HYPERLINK("https://www.senat.fr/senateur-3eme-republique/le_provost_de_launay_louis0584r3.html", "le_provost_de_launay_louis0584r3")</f>
        <v>0</v>
      </c>
      <c r="N12302">
        <f>HYPERLINK("https://www.wikidata.org/wiki/Q3262484", "Q3262484")</f>
        <v>0</v>
      </c>
      <c r="O12302" t="s">
        <v>19964</v>
      </c>
      <c r="Q12302" t="s">
        <v>400</v>
      </c>
      <c r="R12302" t="s">
        <v>21650</v>
      </c>
      <c r="S12302">
        <v>12341</v>
      </c>
    </row>
    <row r="12303" spans="1:19">
      <c r="A12303" t="s">
        <v>139</v>
      </c>
      <c r="B12303" t="s">
        <v>150</v>
      </c>
      <c r="C12303" t="s">
        <v>271</v>
      </c>
      <c r="D12303" t="s">
        <v>400</v>
      </c>
      <c r="F12303">
        <f>HYPERLINK("https://www.wikidata.org/wiki/Q36713863", "Q36713863")</f>
        <v>0</v>
      </c>
      <c r="G12303" t="s">
        <v>4019</v>
      </c>
      <c r="H12303" t="s">
        <v>8253</v>
      </c>
      <c r="I12303" t="s">
        <v>6860</v>
      </c>
      <c r="J12303" t="s">
        <v>14563</v>
      </c>
      <c r="K12303" t="s">
        <v>16740</v>
      </c>
      <c r="L12303">
        <f>HYPERLINK("https://www2.assemblee-nationale.fr/sycomore/fiche/(num_dept)/7855", "7855")</f>
        <v>0</v>
      </c>
      <c r="M12303">
        <f>HYPERLINK("https://www.senat.fr/senateur-3eme-republique/limouzain_laplanche_pierre0400r3.html", "limouzain_laplanche_pierre0400r3")</f>
        <v>0</v>
      </c>
      <c r="N12303">
        <f>HYPERLINK("https://www.wikidata.org/wiki/Q3385965", "Q3385965")</f>
        <v>0</v>
      </c>
      <c r="O12303" t="s">
        <v>20031</v>
      </c>
      <c r="Q12303" t="s">
        <v>400</v>
      </c>
      <c r="R12303" t="s">
        <v>21700</v>
      </c>
      <c r="S12303">
        <v>3289</v>
      </c>
    </row>
    <row r="12304" spans="1:19">
      <c r="A12304" t="s">
        <v>139</v>
      </c>
      <c r="B12304" t="s">
        <v>150</v>
      </c>
      <c r="C12304" t="s">
        <v>271</v>
      </c>
      <c r="D12304" t="s">
        <v>400</v>
      </c>
      <c r="F12304">
        <f>HYPERLINK("https://www.wikidata.org/wiki/Q36713863", "Q36713863")</f>
        <v>0</v>
      </c>
      <c r="G12304" t="s">
        <v>4699</v>
      </c>
      <c r="H12304" t="s">
        <v>8839</v>
      </c>
      <c r="I12304" t="s">
        <v>9385</v>
      </c>
      <c r="J12304" t="s">
        <v>15168</v>
      </c>
      <c r="K12304" t="s">
        <v>19487</v>
      </c>
      <c r="M12304">
        <f>HYPERLINK("https://www.senat.fr/senateur-3eme-republique/sebline_charles0033r3.html", "sebline_charles0033r3")</f>
        <v>0</v>
      </c>
      <c r="N12304">
        <f>HYPERLINK("https://www.wikidata.org/wiki/Q2960281", "Q2960281")</f>
        <v>0</v>
      </c>
      <c r="O12304" t="s">
        <v>20015</v>
      </c>
      <c r="Q12304" t="s">
        <v>400</v>
      </c>
      <c r="R12304" t="s">
        <v>21650</v>
      </c>
      <c r="S12304">
        <v>12341</v>
      </c>
    </row>
    <row r="12305" spans="1:19">
      <c r="A12305" t="s">
        <v>139</v>
      </c>
      <c r="B12305" t="s">
        <v>150</v>
      </c>
      <c r="C12305" t="s">
        <v>271</v>
      </c>
      <c r="D12305" t="s">
        <v>400</v>
      </c>
      <c r="F12305">
        <f>HYPERLINK("https://www.wikidata.org/wiki/Q36713863", "Q36713863")</f>
        <v>0</v>
      </c>
      <c r="G12305" t="s">
        <v>4885</v>
      </c>
      <c r="H12305" t="s">
        <v>9022</v>
      </c>
      <c r="I12305" t="s">
        <v>9385</v>
      </c>
      <c r="J12305" t="s">
        <v>15329</v>
      </c>
      <c r="K12305" t="s">
        <v>19053</v>
      </c>
      <c r="M12305">
        <f>HYPERLINK("https://www.senat.fr/senateur-3eme-republique/gentilliez_charles0037r3.html", "gentilliez_charles0037r3")</f>
        <v>0</v>
      </c>
      <c r="N12305">
        <f>HYPERLINK("https://www.wikidata.org/wiki/Q2959187", "Q2959187")</f>
        <v>0</v>
      </c>
      <c r="O12305" t="s">
        <v>20015</v>
      </c>
      <c r="Q12305" t="s">
        <v>400</v>
      </c>
      <c r="R12305" t="s">
        <v>21650</v>
      </c>
      <c r="S12305">
        <v>12341</v>
      </c>
    </row>
    <row r="12306" spans="1:19">
      <c r="A12306" t="s">
        <v>139</v>
      </c>
      <c r="B12306" t="s">
        <v>150</v>
      </c>
      <c r="C12306" t="s">
        <v>271</v>
      </c>
      <c r="D12306" t="s">
        <v>400</v>
      </c>
      <c r="F12306">
        <f>HYPERLINK("https://www.wikidata.org/wiki/Q36713863", "Q36713863")</f>
        <v>0</v>
      </c>
      <c r="G12306" t="s">
        <v>4908</v>
      </c>
      <c r="H12306" t="s">
        <v>9044</v>
      </c>
      <c r="I12306" t="s">
        <v>9465</v>
      </c>
      <c r="J12306" t="s">
        <v>15351</v>
      </c>
      <c r="K12306" t="s">
        <v>19656</v>
      </c>
      <c r="M12306">
        <f>HYPERLINK("https://www.senat.fr/senateur-3eme-republique/touron_eugene0026r3.html", "touron_eugene0026r3")</f>
        <v>0</v>
      </c>
      <c r="N12306">
        <f>HYPERLINK("https://www.wikidata.org/wiki/Q3060195", "Q3060195")</f>
        <v>0</v>
      </c>
      <c r="O12306" t="s">
        <v>20015</v>
      </c>
      <c r="Q12306" t="s">
        <v>400</v>
      </c>
      <c r="R12306" t="s">
        <v>21700</v>
      </c>
      <c r="S12306">
        <v>3289</v>
      </c>
    </row>
    <row r="12307" spans="1:19">
      <c r="A12307" t="s">
        <v>139</v>
      </c>
      <c r="B12307" t="s">
        <v>150</v>
      </c>
      <c r="C12307" t="s">
        <v>271</v>
      </c>
      <c r="D12307" t="s">
        <v>400</v>
      </c>
      <c r="F12307">
        <f>HYPERLINK("https://www.wikidata.org/wiki/Q36713863", "Q36713863")</f>
        <v>0</v>
      </c>
      <c r="G12307" t="s">
        <v>4335</v>
      </c>
      <c r="H12307" t="s">
        <v>8486</v>
      </c>
      <c r="I12307" t="s">
        <v>6584</v>
      </c>
      <c r="J12307" t="s">
        <v>12567</v>
      </c>
      <c r="K12307" t="s">
        <v>19171</v>
      </c>
      <c r="M12307">
        <f>HYPERLINK("https://www.senat.fr/senateur-3eme-republique/peyronnet_albert0055r3.html", "peyronnet_albert0055r3")</f>
        <v>0</v>
      </c>
      <c r="N12307">
        <f>HYPERLINK("https://www.wikidata.org/wiki/Q2831464", "Q2831464")</f>
        <v>0</v>
      </c>
      <c r="O12307" t="s">
        <v>19999</v>
      </c>
      <c r="Q12307" t="s">
        <v>400</v>
      </c>
      <c r="R12307" t="s">
        <v>21700</v>
      </c>
      <c r="S12307">
        <v>3289</v>
      </c>
    </row>
    <row r="12308" spans="1:19">
      <c r="A12308" t="s">
        <v>139</v>
      </c>
      <c r="B12308" t="s">
        <v>150</v>
      </c>
      <c r="C12308" t="s">
        <v>271</v>
      </c>
      <c r="D12308" t="s">
        <v>400</v>
      </c>
      <c r="F12308">
        <f>HYPERLINK("https://www.wikidata.org/wiki/Q36713863", "Q36713863")</f>
        <v>0</v>
      </c>
      <c r="G12308" t="s">
        <v>4886</v>
      </c>
      <c r="H12308" t="s">
        <v>9023</v>
      </c>
      <c r="I12308" t="s">
        <v>9438</v>
      </c>
      <c r="J12308" t="s">
        <v>15330</v>
      </c>
      <c r="K12308" t="s">
        <v>430</v>
      </c>
      <c r="M12308">
        <f>HYPERLINK("https://www.senat.fr/senateur-3eme-republique/sauvan_honore0123r3.html", "sauvan_honore0123r3")</f>
        <v>0</v>
      </c>
      <c r="N12308">
        <f>HYPERLINK("https://www.wikidata.org/wiki/Q3140255", "Q3140255")</f>
        <v>0</v>
      </c>
      <c r="O12308" t="s">
        <v>20024</v>
      </c>
      <c r="Q12308" t="s">
        <v>400</v>
      </c>
      <c r="R12308" t="s">
        <v>21700</v>
      </c>
      <c r="S12308">
        <v>3289</v>
      </c>
    </row>
    <row r="12309" spans="1:19">
      <c r="A12309" t="s">
        <v>139</v>
      </c>
      <c r="B12309" t="s">
        <v>150</v>
      </c>
      <c r="C12309" t="s">
        <v>271</v>
      </c>
      <c r="D12309" t="s">
        <v>400</v>
      </c>
      <c r="F12309">
        <f>HYPERLINK("https://www.wikidata.org/wiki/Q36713863", "Q36713863")</f>
        <v>0</v>
      </c>
      <c r="G12309" t="s">
        <v>4960</v>
      </c>
      <c r="H12309" t="s">
        <v>9093</v>
      </c>
      <c r="I12309" t="s">
        <v>6200</v>
      </c>
      <c r="J12309" t="s">
        <v>15399</v>
      </c>
      <c r="K12309" t="s">
        <v>19697</v>
      </c>
      <c r="M12309">
        <f>HYPERLINK("https://www.senat.fr/senateur-3eme-republique/amic_jean0117r3.html", "amic_jean0117r3")</f>
        <v>0</v>
      </c>
      <c r="N12309">
        <f>HYPERLINK("https://www.wikidata.org/wiki/Q3170355", "Q3170355")</f>
        <v>0</v>
      </c>
      <c r="O12309" t="s">
        <v>20024</v>
      </c>
      <c r="Q12309" t="s">
        <v>400</v>
      </c>
      <c r="R12309" t="s">
        <v>21701</v>
      </c>
      <c r="S12309">
        <v>3286</v>
      </c>
    </row>
    <row r="12310" spans="1:19">
      <c r="A12310" t="s">
        <v>139</v>
      </c>
      <c r="B12310" t="s">
        <v>150</v>
      </c>
      <c r="C12310" t="s">
        <v>271</v>
      </c>
      <c r="D12310" t="s">
        <v>400</v>
      </c>
      <c r="F12310">
        <f>HYPERLINK("https://www.wikidata.org/wiki/Q36713863", "Q36713863")</f>
        <v>0</v>
      </c>
      <c r="G12310" t="s">
        <v>4961</v>
      </c>
      <c r="H12310" t="s">
        <v>9094</v>
      </c>
      <c r="I12310" t="s">
        <v>9552</v>
      </c>
      <c r="J12310" t="s">
        <v>15400</v>
      </c>
      <c r="K12310" t="s">
        <v>19698</v>
      </c>
      <c r="M12310">
        <f>HYPERLINK("https://www.senat.fr/senateur-3eme-republique/vincent_auguste0143r3.html", "vincent_auguste0143r3")</f>
        <v>0</v>
      </c>
      <c r="N12310">
        <f>HYPERLINK("https://www.wikidata.org/wiki/Q2871449", "Q2871449")</f>
        <v>0</v>
      </c>
      <c r="O12310" t="s">
        <v>19991</v>
      </c>
      <c r="Q12310" t="s">
        <v>400</v>
      </c>
      <c r="R12310" t="s">
        <v>19698</v>
      </c>
      <c r="S12310">
        <v>1148</v>
      </c>
    </row>
    <row r="12311" spans="1:19">
      <c r="A12311" t="s">
        <v>139</v>
      </c>
      <c r="B12311" t="s">
        <v>150</v>
      </c>
      <c r="C12311" t="s">
        <v>271</v>
      </c>
      <c r="D12311" t="s">
        <v>400</v>
      </c>
      <c r="F12311">
        <f>HYPERLINK("https://www.wikidata.org/wiki/Q36713863", "Q36713863")</f>
        <v>0</v>
      </c>
      <c r="G12311" t="s">
        <v>4962</v>
      </c>
      <c r="H12311" t="s">
        <v>9095</v>
      </c>
      <c r="I12311" t="s">
        <v>6175</v>
      </c>
      <c r="J12311" t="s">
        <v>15401</v>
      </c>
      <c r="K12311" t="s">
        <v>19699</v>
      </c>
      <c r="M12311">
        <f>HYPERLINK("https://www.senat.fr/senateur-3eme-republique/murat_georges0133r3.html", "murat_georges0133r3")</f>
        <v>0</v>
      </c>
      <c r="N12311">
        <f>HYPERLINK("https://www.wikidata.org/wiki/Q3103246", "Q3103246")</f>
        <v>0</v>
      </c>
      <c r="O12311" t="s">
        <v>19991</v>
      </c>
      <c r="Q12311" t="s">
        <v>400</v>
      </c>
      <c r="R12311" t="s">
        <v>19699</v>
      </c>
      <c r="S12311">
        <v>2543</v>
      </c>
    </row>
    <row r="12312" spans="1:19">
      <c r="A12312" t="s">
        <v>139</v>
      </c>
      <c r="B12312" t="s">
        <v>150</v>
      </c>
      <c r="C12312" t="s">
        <v>271</v>
      </c>
      <c r="D12312" t="s">
        <v>400</v>
      </c>
      <c r="F12312">
        <f>HYPERLINK("https://www.wikidata.org/wiki/Q36713863", "Q36713863")</f>
        <v>0</v>
      </c>
      <c r="G12312" t="s">
        <v>4843</v>
      </c>
      <c r="H12312" t="s">
        <v>8983</v>
      </c>
      <c r="I12312" t="s">
        <v>9465</v>
      </c>
      <c r="J12312" t="s">
        <v>15294</v>
      </c>
      <c r="K12312" t="s">
        <v>19602</v>
      </c>
      <c r="M12312">
        <f>HYPERLINK("https://www.senat.fr/senateur-3eme-republique/fagot_eugene0162r3.html", "fagot_eugene0162r3")</f>
        <v>0</v>
      </c>
      <c r="N12312">
        <f>HYPERLINK("https://www.wikidata.org/wiki/Q3059852", "Q3059852")</f>
        <v>0</v>
      </c>
      <c r="O12312" t="s">
        <v>19959</v>
      </c>
      <c r="Q12312" t="s">
        <v>400</v>
      </c>
      <c r="R12312" t="s">
        <v>21650</v>
      </c>
      <c r="S12312">
        <v>12341</v>
      </c>
    </row>
    <row r="12313" spans="1:19">
      <c r="A12313" t="s">
        <v>139</v>
      </c>
      <c r="B12313" t="s">
        <v>150</v>
      </c>
      <c r="C12313" t="s">
        <v>271</v>
      </c>
      <c r="D12313" t="s">
        <v>400</v>
      </c>
      <c r="F12313">
        <f>HYPERLINK("https://www.wikidata.org/wiki/Q36713863", "Q36713863")</f>
        <v>0</v>
      </c>
      <c r="G12313" t="s">
        <v>4887</v>
      </c>
      <c r="H12313" t="s">
        <v>9024</v>
      </c>
      <c r="I12313" t="s">
        <v>6584</v>
      </c>
      <c r="J12313" t="s">
        <v>15331</v>
      </c>
      <c r="K12313" t="s">
        <v>19637</v>
      </c>
      <c r="M12313">
        <f>HYPERLINK("https://www.senat.fr/senateur-3eme-republique/gerard_albert0168r3.html", "gerard_albert0168r3")</f>
        <v>0</v>
      </c>
      <c r="N12313">
        <f>HYPERLINK("https://www.wikidata.org/wiki/Q2831224", "Q2831224")</f>
        <v>0</v>
      </c>
      <c r="O12313" t="s">
        <v>19959</v>
      </c>
      <c r="Q12313" t="s">
        <v>400</v>
      </c>
      <c r="R12313" t="s">
        <v>21700</v>
      </c>
      <c r="S12313">
        <v>3289</v>
      </c>
    </row>
    <row r="12314" spans="1:19">
      <c r="A12314" t="s">
        <v>139</v>
      </c>
      <c r="B12314" t="s">
        <v>150</v>
      </c>
      <c r="C12314" t="s">
        <v>271</v>
      </c>
      <c r="D12314" t="s">
        <v>400</v>
      </c>
      <c r="F12314">
        <f>HYPERLINK("https://www.wikidata.org/wiki/Q36713863", "Q36713863")</f>
        <v>0</v>
      </c>
      <c r="G12314" t="s">
        <v>4963</v>
      </c>
      <c r="H12314" t="s">
        <v>9096</v>
      </c>
      <c r="I12314" t="s">
        <v>9457</v>
      </c>
      <c r="J12314" t="s">
        <v>15402</v>
      </c>
      <c r="K12314" t="s">
        <v>19700</v>
      </c>
      <c r="M12314">
        <f>HYPERLINK("https://www.senat.fr/senateur-3eme-republique/bernere_henri0188r3.html", "bernere_henri0188r3")</f>
        <v>0</v>
      </c>
      <c r="N12314">
        <f>HYPERLINK("https://www.wikidata.org/wiki/Q3130668", "Q3130668")</f>
        <v>0</v>
      </c>
      <c r="O12314" t="s">
        <v>20019</v>
      </c>
      <c r="Q12314" t="s">
        <v>400</v>
      </c>
      <c r="R12314" t="s">
        <v>19700</v>
      </c>
      <c r="S12314">
        <v>760</v>
      </c>
    </row>
    <row r="12315" spans="1:19">
      <c r="A12315" t="s">
        <v>139</v>
      </c>
      <c r="B12315" t="s">
        <v>150</v>
      </c>
      <c r="C12315" t="s">
        <v>271</v>
      </c>
      <c r="D12315" t="s">
        <v>400</v>
      </c>
      <c r="F12315">
        <f>HYPERLINK("https://www.wikidata.org/wiki/Q36713863", "Q36713863")</f>
        <v>0</v>
      </c>
      <c r="G12315" t="s">
        <v>4964</v>
      </c>
      <c r="H12315" t="s">
        <v>9097</v>
      </c>
      <c r="I12315" t="s">
        <v>6175</v>
      </c>
      <c r="J12315" t="s">
        <v>15403</v>
      </c>
      <c r="K12315" t="s">
        <v>19701</v>
      </c>
      <c r="M12315">
        <f>HYPERLINK("https://www.senat.fr/senateur-3eme-republique/reynald_georges0183r3.html", "reynald_georges0183r3")</f>
        <v>0</v>
      </c>
      <c r="N12315">
        <f>HYPERLINK("https://www.wikidata.org/wiki/Q3103403", "Q3103403")</f>
        <v>0</v>
      </c>
      <c r="O12315" t="s">
        <v>20019</v>
      </c>
      <c r="Q12315" t="s">
        <v>400</v>
      </c>
      <c r="R12315" t="s">
        <v>21700</v>
      </c>
      <c r="S12315">
        <v>3289</v>
      </c>
    </row>
    <row r="12316" spans="1:19">
      <c r="A12316" t="s">
        <v>139</v>
      </c>
      <c r="B12316" t="s">
        <v>150</v>
      </c>
      <c r="C12316" t="s">
        <v>271</v>
      </c>
      <c r="D12316" t="s">
        <v>400</v>
      </c>
      <c r="F12316">
        <f>HYPERLINK("https://www.wikidata.org/wiki/Q36713863", "Q36713863")</f>
        <v>0</v>
      </c>
      <c r="G12316" t="s">
        <v>4822</v>
      </c>
      <c r="H12316" t="s">
        <v>8963</v>
      </c>
      <c r="I12316" t="s">
        <v>9426</v>
      </c>
      <c r="J12316" t="s">
        <v>15276</v>
      </c>
      <c r="K12316" t="s">
        <v>19585</v>
      </c>
      <c r="M12316">
        <f>HYPERLINK("https://www.senat.fr/senateur-3eme-republique/renaudat_alphonse0232r3.html", "renaudat_alphonse0232r3")</f>
        <v>0</v>
      </c>
      <c r="N12316">
        <f>HYPERLINK("https://www.wikidata.org/wiki/Q2839946", "Q2839946")</f>
        <v>0</v>
      </c>
      <c r="O12316" t="s">
        <v>8449</v>
      </c>
      <c r="Q12316" t="s">
        <v>400</v>
      </c>
      <c r="R12316" t="s">
        <v>21700</v>
      </c>
      <c r="S12316">
        <v>3289</v>
      </c>
    </row>
    <row r="12317" spans="1:19">
      <c r="A12317" t="s">
        <v>139</v>
      </c>
      <c r="B12317" t="s">
        <v>150</v>
      </c>
      <c r="C12317" t="s">
        <v>271</v>
      </c>
      <c r="D12317" t="s">
        <v>400</v>
      </c>
      <c r="F12317">
        <f>HYPERLINK("https://www.wikidata.org/wiki/Q36713863", "Q36713863")</f>
        <v>0</v>
      </c>
      <c r="G12317" t="s">
        <v>4293</v>
      </c>
      <c r="H12317" t="s">
        <v>8452</v>
      </c>
      <c r="I12317" t="s">
        <v>7790</v>
      </c>
      <c r="J12317" t="s">
        <v>14792</v>
      </c>
      <c r="K12317" t="s">
        <v>19136</v>
      </c>
      <c r="M12317">
        <f>HYPERLINK("https://www.senat.fr/senateur-3eme-republique/gauthier_armand0264r3.html", "gauthier_armand0264r3")</f>
        <v>0</v>
      </c>
      <c r="N12317">
        <f>HYPERLINK("https://www.wikidata.org/wiki/Q2861852", "Q2861852")</f>
        <v>0</v>
      </c>
      <c r="O12317" t="s">
        <v>19960</v>
      </c>
      <c r="Q12317" t="s">
        <v>400</v>
      </c>
      <c r="R12317" t="s">
        <v>21700</v>
      </c>
      <c r="S12317">
        <v>3289</v>
      </c>
    </row>
    <row r="12318" spans="1:19">
      <c r="A12318" t="s">
        <v>139</v>
      </c>
      <c r="B12318" t="s">
        <v>150</v>
      </c>
      <c r="C12318" t="s">
        <v>271</v>
      </c>
      <c r="D12318" t="s">
        <v>400</v>
      </c>
      <c r="F12318">
        <f>HYPERLINK("https://www.wikidata.org/wiki/Q36713863", "Q36713863")</f>
        <v>0</v>
      </c>
      <c r="G12318" t="s">
        <v>4965</v>
      </c>
      <c r="H12318" t="s">
        <v>9098</v>
      </c>
      <c r="I12318" t="s">
        <v>9388</v>
      </c>
      <c r="J12318" t="s">
        <v>15404</v>
      </c>
      <c r="K12318" t="s">
        <v>19702</v>
      </c>
      <c r="M12318">
        <f>HYPERLINK("https://www.senat.fr/senateur-3eme-republique/cannac_paul0288r3.html", "cannac_paul0288r3")</f>
        <v>0</v>
      </c>
      <c r="N12318">
        <f>HYPERLINK("https://www.wikidata.org/wiki/Q3370805", "Q3370805")</f>
        <v>0</v>
      </c>
      <c r="O12318" t="s">
        <v>19967</v>
      </c>
      <c r="Q12318" t="s">
        <v>400</v>
      </c>
      <c r="R12318" t="s">
        <v>21700</v>
      </c>
      <c r="S12318">
        <v>3289</v>
      </c>
    </row>
    <row r="12319" spans="1:19">
      <c r="A12319" t="s">
        <v>139</v>
      </c>
      <c r="B12319" t="s">
        <v>150</v>
      </c>
      <c r="C12319" t="s">
        <v>271</v>
      </c>
      <c r="D12319" t="s">
        <v>400</v>
      </c>
      <c r="F12319">
        <f>HYPERLINK("https://www.wikidata.org/wiki/Q36713863", "Q36713863")</f>
        <v>0</v>
      </c>
      <c r="G12319" t="s">
        <v>4966</v>
      </c>
      <c r="H12319" t="s">
        <v>9099</v>
      </c>
      <c r="I12319" t="s">
        <v>9612</v>
      </c>
      <c r="J12319" t="s">
        <v>15405</v>
      </c>
      <c r="K12319" t="s">
        <v>19703</v>
      </c>
      <c r="M12319">
        <f>HYPERLINK("https://www.senat.fr/senateur-3eme-republique/mascle_frederic0318r3.html", "mascle_frederic0318r3")</f>
        <v>0</v>
      </c>
      <c r="N12319">
        <f>HYPERLINK("https://www.wikidata.org/wiki/Q730274", "Q730274")</f>
        <v>0</v>
      </c>
      <c r="O12319" t="s">
        <v>19990</v>
      </c>
      <c r="Q12319" t="s">
        <v>400</v>
      </c>
      <c r="R12319" t="s">
        <v>19703</v>
      </c>
      <c r="S12319">
        <v>1877</v>
      </c>
    </row>
    <row r="12320" spans="1:19">
      <c r="A12320" t="s">
        <v>139</v>
      </c>
      <c r="B12320" t="s">
        <v>150</v>
      </c>
      <c r="C12320" t="s">
        <v>271</v>
      </c>
      <c r="D12320" t="s">
        <v>400</v>
      </c>
      <c r="F12320">
        <f>HYPERLINK("https://www.wikidata.org/wiki/Q36713863", "Q36713863")</f>
        <v>0</v>
      </c>
      <c r="G12320" t="s">
        <v>4914</v>
      </c>
      <c r="H12320" t="s">
        <v>9050</v>
      </c>
      <c r="I12320" t="s">
        <v>11013</v>
      </c>
      <c r="J12320" t="s">
        <v>15357</v>
      </c>
      <c r="K12320" t="s">
        <v>19662</v>
      </c>
      <c r="M12320">
        <f>HYPERLINK("https://www.senat.fr/senateur-3eme-republique/flaissieres_simeon0329r3.html", "flaissieres_simeon0329r3")</f>
        <v>0</v>
      </c>
      <c r="N12320">
        <f>HYPERLINK("https://www.wikidata.org/wiki/Q2288636", "Q2288636")</f>
        <v>0</v>
      </c>
      <c r="O12320" t="s">
        <v>19990</v>
      </c>
      <c r="Q12320" t="s">
        <v>400</v>
      </c>
      <c r="R12320" t="s">
        <v>21700</v>
      </c>
      <c r="S12320">
        <v>3289</v>
      </c>
    </row>
    <row r="12321" spans="1:19">
      <c r="A12321" t="s">
        <v>139</v>
      </c>
      <c r="B12321" t="s">
        <v>150</v>
      </c>
      <c r="C12321" t="s">
        <v>271</v>
      </c>
      <c r="D12321" t="s">
        <v>400</v>
      </c>
      <c r="F12321">
        <f>HYPERLINK("https://www.wikidata.org/wiki/Q36713863", "Q36713863")</f>
        <v>0</v>
      </c>
      <c r="G12321" t="s">
        <v>4260</v>
      </c>
      <c r="H12321" t="s">
        <v>8429</v>
      </c>
      <c r="I12321" t="s">
        <v>6495</v>
      </c>
      <c r="J12321" t="s">
        <v>13303</v>
      </c>
      <c r="K12321" t="s">
        <v>19109</v>
      </c>
      <c r="M12321">
        <f>HYPERLINK("https://www.senat.fr/senateur-3eme-republique/tillaye_louis0336r3.html", "tillaye_louis0336r3")</f>
        <v>0</v>
      </c>
      <c r="N12321">
        <f>HYPERLINK("https://www.wikidata.org/wiki/Q3261486", "Q3261486")</f>
        <v>0</v>
      </c>
      <c r="O12321" t="s">
        <v>20009</v>
      </c>
      <c r="Q12321" t="s">
        <v>400</v>
      </c>
      <c r="R12321" t="s">
        <v>21650</v>
      </c>
      <c r="S12321">
        <v>12341</v>
      </c>
    </row>
    <row r="12322" spans="1:19">
      <c r="A12322" t="s">
        <v>139</v>
      </c>
      <c r="B12322" t="s">
        <v>150</v>
      </c>
      <c r="C12322" t="s">
        <v>271</v>
      </c>
      <c r="D12322" t="s">
        <v>400</v>
      </c>
      <c r="F12322">
        <f>HYPERLINK("https://www.wikidata.org/wiki/Q36713863", "Q36713863")</f>
        <v>0</v>
      </c>
      <c r="G12322" t="s">
        <v>4926</v>
      </c>
      <c r="H12322" t="s">
        <v>9062</v>
      </c>
      <c r="I12322" t="s">
        <v>9388</v>
      </c>
      <c r="J12322" t="s">
        <v>15368</v>
      </c>
      <c r="K12322" t="s">
        <v>19671</v>
      </c>
      <c r="M12322">
        <f>HYPERLINK("https://www.senat.fr/senateur-3eme-republique/boivin_champeaux_paul0348r3.html", "boivin_champeaux_paul0348r3")</f>
        <v>0</v>
      </c>
      <c r="N12322">
        <f>HYPERLINK("https://www.wikidata.org/wiki/Q3370674", "Q3370674")</f>
        <v>0</v>
      </c>
      <c r="O12322" t="s">
        <v>20009</v>
      </c>
      <c r="Q12322" t="s">
        <v>400</v>
      </c>
      <c r="R12322" t="s">
        <v>21700</v>
      </c>
      <c r="S12322">
        <v>3289</v>
      </c>
    </row>
    <row r="12323" spans="1:19">
      <c r="A12323" t="s">
        <v>139</v>
      </c>
      <c r="B12323" t="s">
        <v>150</v>
      </c>
      <c r="C12323" t="s">
        <v>271</v>
      </c>
      <c r="D12323" t="s">
        <v>400</v>
      </c>
      <c r="F12323">
        <f>HYPERLINK("https://www.wikidata.org/wiki/Q36713863", "Q36713863")</f>
        <v>0</v>
      </c>
      <c r="G12323" t="s">
        <v>4889</v>
      </c>
      <c r="H12323" t="s">
        <v>9025</v>
      </c>
      <c r="I12323" t="s">
        <v>9465</v>
      </c>
      <c r="J12323" t="s">
        <v>15333</v>
      </c>
      <c r="K12323" t="s">
        <v>19639</v>
      </c>
      <c r="M12323">
        <f>HYPERLINK("https://www.senat.fr/senateur-3eme-republique/lintilhac_eugene0361r3.html", "lintilhac_eugene0361r3")</f>
        <v>0</v>
      </c>
      <c r="N12323">
        <f>HYPERLINK("https://www.wikidata.org/wiki/Q3059994", "Q3059994")</f>
        <v>0</v>
      </c>
      <c r="O12323" t="s">
        <v>19966</v>
      </c>
      <c r="Q12323" t="s">
        <v>400</v>
      </c>
      <c r="R12323" t="s">
        <v>21650</v>
      </c>
      <c r="S12323">
        <v>12341</v>
      </c>
    </row>
    <row r="12324" spans="1:19">
      <c r="A12324" t="s">
        <v>139</v>
      </c>
      <c r="B12324" t="s">
        <v>150</v>
      </c>
      <c r="C12324" t="s">
        <v>271</v>
      </c>
      <c r="D12324" t="s">
        <v>400</v>
      </c>
      <c r="F12324">
        <f>HYPERLINK("https://www.wikidata.org/wiki/Q36713863", "Q36713863")</f>
        <v>0</v>
      </c>
      <c r="G12324" t="s">
        <v>4740</v>
      </c>
      <c r="H12324" t="s">
        <v>8882</v>
      </c>
      <c r="I12324" t="s">
        <v>9375</v>
      </c>
      <c r="J12324" t="s">
        <v>15203</v>
      </c>
      <c r="K12324" t="s">
        <v>19521</v>
      </c>
      <c r="M12324">
        <f>HYPERLINK("https://www.senat.fr/senateur-3eme-republique/martell_edouard0399r3.html", "martell_edouard0399r3")</f>
        <v>0</v>
      </c>
      <c r="N12324">
        <f>HYPERLINK("https://www.wikidata.org/wiki/Q3579955", "Q3579955")</f>
        <v>0</v>
      </c>
      <c r="O12324" t="s">
        <v>20031</v>
      </c>
      <c r="Q12324" t="s">
        <v>400</v>
      </c>
      <c r="R12324" t="s">
        <v>21650</v>
      </c>
      <c r="S12324">
        <v>12341</v>
      </c>
    </row>
    <row r="12325" spans="1:19">
      <c r="A12325" t="s">
        <v>139</v>
      </c>
      <c r="B12325" t="s">
        <v>150</v>
      </c>
      <c r="C12325" t="s">
        <v>271</v>
      </c>
      <c r="D12325" t="s">
        <v>400</v>
      </c>
      <c r="F12325">
        <f>HYPERLINK("https://www.wikidata.org/wiki/Q36713863", "Q36713863")</f>
        <v>0</v>
      </c>
      <c r="G12325" t="s">
        <v>4915</v>
      </c>
      <c r="H12325" t="s">
        <v>9051</v>
      </c>
      <c r="I12325" t="s">
        <v>6175</v>
      </c>
      <c r="J12325" t="s">
        <v>14370</v>
      </c>
      <c r="K12325" t="s">
        <v>19663</v>
      </c>
      <c r="M12325">
        <f>HYPERLINK("https://www.senat.fr/senateur-3eme-republique/genet_georges0420r3.html", "genet_georges0420r3")</f>
        <v>0</v>
      </c>
      <c r="N12325">
        <f>HYPERLINK("https://www.wikidata.org/wiki/Q3102767", "Q3102767")</f>
        <v>0</v>
      </c>
      <c r="O12325" t="s">
        <v>20037</v>
      </c>
      <c r="Q12325" t="s">
        <v>400</v>
      </c>
      <c r="R12325" t="s">
        <v>21650</v>
      </c>
      <c r="S12325">
        <v>12341</v>
      </c>
    </row>
    <row r="12326" spans="1:19">
      <c r="A12326" t="s">
        <v>139</v>
      </c>
      <c r="B12326" t="s">
        <v>150</v>
      </c>
      <c r="C12326" t="s">
        <v>271</v>
      </c>
      <c r="D12326" t="s">
        <v>400</v>
      </c>
      <c r="F12326">
        <f>HYPERLINK("https://www.wikidata.org/wiki/Q36713863", "Q36713863")</f>
        <v>0</v>
      </c>
      <c r="G12326" t="s">
        <v>4236</v>
      </c>
      <c r="H12326" t="s">
        <v>8413</v>
      </c>
      <c r="I12326" t="s">
        <v>9437</v>
      </c>
      <c r="J12326" t="s">
        <v>14743</v>
      </c>
      <c r="K12326" t="s">
        <v>19088</v>
      </c>
      <c r="M12326">
        <f>HYPERLINK("https://www.senat.fr/senateur-3eme-republique/combes_emile0416r3.html", "combes_emile0416r3")</f>
        <v>0</v>
      </c>
      <c r="N12326">
        <f>HYPERLINK("https://www.wikidata.org/wiki/Q275020", "Q275020")</f>
        <v>0</v>
      </c>
      <c r="O12326" t="s">
        <v>20037</v>
      </c>
      <c r="Q12326" t="s">
        <v>400</v>
      </c>
      <c r="R12326" t="s">
        <v>21700</v>
      </c>
      <c r="S12326">
        <v>3289</v>
      </c>
    </row>
    <row r="12327" spans="1:19">
      <c r="A12327" t="s">
        <v>139</v>
      </c>
      <c r="B12327" t="s">
        <v>150</v>
      </c>
      <c r="C12327" t="s">
        <v>271</v>
      </c>
      <c r="D12327" t="s">
        <v>400</v>
      </c>
      <c r="F12327">
        <f>HYPERLINK("https://www.wikidata.org/wiki/Q36713863", "Q36713863")</f>
        <v>0</v>
      </c>
      <c r="G12327" t="s">
        <v>4967</v>
      </c>
      <c r="H12327" t="s">
        <v>9100</v>
      </c>
      <c r="I12327" t="s">
        <v>9421</v>
      </c>
      <c r="J12327" t="s">
        <v>15406</v>
      </c>
      <c r="K12327" t="s">
        <v>19704</v>
      </c>
      <c r="M12327">
        <f>HYPERLINK("https://www.senat.fr/senateur-3eme-republique/perreau_gustave0413r3.html", "perreau_gustave0413r3")</f>
        <v>0</v>
      </c>
      <c r="N12327">
        <f>HYPERLINK("https://www.wikidata.org/wiki/Q3121289", "Q3121289")</f>
        <v>0</v>
      </c>
      <c r="O12327" t="s">
        <v>20037</v>
      </c>
      <c r="Q12327" t="s">
        <v>400</v>
      </c>
      <c r="R12327" t="s">
        <v>21700</v>
      </c>
      <c r="S12327">
        <v>3289</v>
      </c>
    </row>
    <row r="12328" spans="1:19">
      <c r="A12328" t="s">
        <v>139</v>
      </c>
      <c r="B12328" t="s">
        <v>150</v>
      </c>
      <c r="C12328" t="s">
        <v>271</v>
      </c>
      <c r="D12328" t="s">
        <v>400</v>
      </c>
      <c r="F12328">
        <f>HYPERLINK("https://www.wikidata.org/wiki/Q36713863", "Q36713863")</f>
        <v>0</v>
      </c>
      <c r="G12328" t="s">
        <v>4706</v>
      </c>
      <c r="H12328" t="s">
        <v>8847</v>
      </c>
      <c r="I12328" t="s">
        <v>6495</v>
      </c>
      <c r="J12328" t="s">
        <v>15174</v>
      </c>
      <c r="K12328" t="s">
        <v>19494</v>
      </c>
      <c r="M12328">
        <f>HYPERLINK("https://www.senat.fr/senateur-3eme-republique/pauliat_louis0443r3.html", "pauliat_louis0443r3")</f>
        <v>0</v>
      </c>
      <c r="N12328">
        <f>HYPERLINK("https://www.wikidata.org/wiki/Q3262853", "Q3262853")</f>
        <v>0</v>
      </c>
      <c r="O12328" t="s">
        <v>19996</v>
      </c>
      <c r="Q12328" t="s">
        <v>400</v>
      </c>
      <c r="R12328" t="s">
        <v>21650</v>
      </c>
      <c r="S12328">
        <v>12341</v>
      </c>
    </row>
    <row r="12329" spans="1:19">
      <c r="A12329" t="s">
        <v>139</v>
      </c>
      <c r="B12329" t="s">
        <v>150</v>
      </c>
      <c r="C12329" t="s">
        <v>271</v>
      </c>
      <c r="D12329" t="s">
        <v>400</v>
      </c>
      <c r="F12329">
        <f>HYPERLINK("https://www.wikidata.org/wiki/Q36713863", "Q36713863")</f>
        <v>0</v>
      </c>
      <c r="G12329" t="s">
        <v>4953</v>
      </c>
      <c r="H12329" t="s">
        <v>9087</v>
      </c>
      <c r="I12329" t="s">
        <v>9608</v>
      </c>
      <c r="J12329" t="s">
        <v>15393</v>
      </c>
      <c r="K12329" t="s">
        <v>19691</v>
      </c>
      <c r="M12329">
        <f>HYPERLINK("https://www.senat.fr/senateur-3eme-republique/martinet_antony0428r3.html", "martinet_antony0428r3")</f>
        <v>0</v>
      </c>
      <c r="N12329">
        <f>HYPERLINK("https://www.wikidata.org/wiki/Q2857545", "Q2857545")</f>
        <v>0</v>
      </c>
      <c r="O12329" t="s">
        <v>19996</v>
      </c>
      <c r="Q12329" t="s">
        <v>400</v>
      </c>
      <c r="R12329" t="s">
        <v>21650</v>
      </c>
      <c r="S12329">
        <v>12341</v>
      </c>
    </row>
    <row r="12330" spans="1:19">
      <c r="A12330" t="s">
        <v>139</v>
      </c>
      <c r="B12330" t="s">
        <v>150</v>
      </c>
      <c r="C12330" t="s">
        <v>271</v>
      </c>
      <c r="D12330" t="s">
        <v>400</v>
      </c>
      <c r="F12330">
        <f>HYPERLINK("https://www.wikidata.org/wiki/Q36713863", "Q36713863")</f>
        <v>0</v>
      </c>
      <c r="G12330" t="s">
        <v>4957</v>
      </c>
      <c r="H12330" t="s">
        <v>9090</v>
      </c>
      <c r="I12330" t="s">
        <v>9389</v>
      </c>
      <c r="J12330" t="s">
        <v>15396</v>
      </c>
      <c r="K12330" t="s">
        <v>18032</v>
      </c>
      <c r="M12330">
        <f>HYPERLINK("https://www.senat.fr/senateur-3eme-republique/bonnelat_emile0439r3.html", "bonnelat_emile0439r3")</f>
        <v>0</v>
      </c>
      <c r="N12330">
        <f>HYPERLINK("https://www.wikidata.org/wiki/Q3588367", "Q3588367")</f>
        <v>0</v>
      </c>
      <c r="O12330" t="s">
        <v>19996</v>
      </c>
      <c r="Q12330" t="s">
        <v>400</v>
      </c>
      <c r="R12330" t="s">
        <v>21650</v>
      </c>
      <c r="S12330">
        <v>12341</v>
      </c>
    </row>
    <row r="12331" spans="1:19">
      <c r="A12331" t="s">
        <v>139</v>
      </c>
      <c r="B12331" t="s">
        <v>150</v>
      </c>
      <c r="C12331" t="s">
        <v>271</v>
      </c>
      <c r="D12331" t="s">
        <v>400</v>
      </c>
      <c r="F12331">
        <f>HYPERLINK("https://www.wikidata.org/wiki/Q36713863", "Q36713863")</f>
        <v>0</v>
      </c>
      <c r="G12331" t="s">
        <v>4968</v>
      </c>
      <c r="H12331" t="s">
        <v>9101</v>
      </c>
      <c r="I12331" t="s">
        <v>6495</v>
      </c>
      <c r="J12331" t="s">
        <v>15407</v>
      </c>
      <c r="K12331" t="s">
        <v>19705</v>
      </c>
      <c r="M12331">
        <f>HYPERLINK("https://www.senat.fr/senateur-3eme-republique/larere_louis0566r3.html", "larere_louis0566r3")</f>
        <v>0</v>
      </c>
      <c r="N12331">
        <f>HYPERLINK("https://www.wikidata.org/wiki/Q3262441", "Q3262441")</f>
        <v>0</v>
      </c>
      <c r="O12331" t="s">
        <v>19964</v>
      </c>
      <c r="Q12331" t="s">
        <v>400</v>
      </c>
      <c r="R12331" t="s">
        <v>21700</v>
      </c>
      <c r="S12331">
        <v>3289</v>
      </c>
    </row>
    <row r="12332" spans="1:19">
      <c r="A12332" t="s">
        <v>139</v>
      </c>
      <c r="B12332" t="s">
        <v>150</v>
      </c>
      <c r="C12332" t="s">
        <v>271</v>
      </c>
      <c r="D12332" t="s">
        <v>400</v>
      </c>
      <c r="F12332">
        <f>HYPERLINK("https://www.wikidata.org/wiki/Q36713863", "Q36713863")</f>
        <v>0</v>
      </c>
      <c r="G12332" t="s">
        <v>4892</v>
      </c>
      <c r="H12332" t="s">
        <v>9028</v>
      </c>
      <c r="I12332" t="s">
        <v>6200</v>
      </c>
      <c r="J12332" t="s">
        <v>15336</v>
      </c>
      <c r="K12332" t="s">
        <v>19640</v>
      </c>
      <c r="M12332">
        <f>HYPERLINK("https://www.senat.fr/senateur-3eme-republique/peyrot_jean0662r3.html", "peyrot_jean0662r3")</f>
        <v>0</v>
      </c>
      <c r="N12332">
        <f>HYPERLINK("https://www.wikidata.org/wiki/Q3173948", "Q3173948")</f>
        <v>0</v>
      </c>
      <c r="O12332" t="s">
        <v>20010</v>
      </c>
      <c r="Q12332" t="s">
        <v>400</v>
      </c>
      <c r="R12332" t="s">
        <v>21650</v>
      </c>
      <c r="S12332">
        <v>12341</v>
      </c>
    </row>
    <row r="12333" spans="1:19">
      <c r="A12333" t="s">
        <v>139</v>
      </c>
      <c r="B12333" t="s">
        <v>150</v>
      </c>
      <c r="C12333" t="s">
        <v>271</v>
      </c>
      <c r="D12333" t="s">
        <v>400</v>
      </c>
      <c r="F12333">
        <f>HYPERLINK("https://www.wikidata.org/wiki/Q36713863", "Q36713863")</f>
        <v>0</v>
      </c>
      <c r="G12333" t="s">
        <v>4880</v>
      </c>
      <c r="H12333" t="s">
        <v>9017</v>
      </c>
      <c r="I12333" t="s">
        <v>6860</v>
      </c>
      <c r="J12333" t="s">
        <v>15324</v>
      </c>
      <c r="K12333" t="s">
        <v>19633</v>
      </c>
      <c r="M12333">
        <f>HYPERLINK("https://www.senat.fr/senateur-3eme-republique/guillier_pierre0656r3.html", "guillier_pierre0656r3")</f>
        <v>0</v>
      </c>
      <c r="N12333">
        <f>HYPERLINK("https://www.wikidata.org/wiki/Q3385377", "Q3385377")</f>
        <v>0</v>
      </c>
      <c r="O12333" t="s">
        <v>20010</v>
      </c>
      <c r="Q12333" t="s">
        <v>400</v>
      </c>
      <c r="R12333" t="s">
        <v>21700</v>
      </c>
      <c r="S12333">
        <v>3289</v>
      </c>
    </row>
    <row r="12334" spans="1:19">
      <c r="A12334" t="s">
        <v>139</v>
      </c>
      <c r="B12334" t="s">
        <v>150</v>
      </c>
      <c r="C12334" t="s">
        <v>271</v>
      </c>
      <c r="D12334" t="s">
        <v>400</v>
      </c>
      <c r="F12334">
        <f>HYPERLINK("https://www.wikidata.org/wiki/Q36713863", "Q36713863")</f>
        <v>0</v>
      </c>
      <c r="G12334" t="s">
        <v>4938</v>
      </c>
      <c r="H12334" t="s">
        <v>9073</v>
      </c>
      <c r="I12334" t="s">
        <v>9553</v>
      </c>
      <c r="J12334" t="s">
        <v>15380</v>
      </c>
      <c r="K12334" t="s">
        <v>19681</v>
      </c>
      <c r="M12334">
        <f>HYPERLINK("https://www.senat.fr/senateur-3eme-republique/grosjean_alexandre0687r3.html", "grosjean_alexandre0687r3")</f>
        <v>0</v>
      </c>
      <c r="N12334">
        <f>HYPERLINK("https://www.wikidata.org/wiki/Q2833723", "Q2833723")</f>
        <v>0</v>
      </c>
      <c r="O12334" t="s">
        <v>19973</v>
      </c>
      <c r="Q12334" t="s">
        <v>400</v>
      </c>
      <c r="R12334" t="s">
        <v>21650</v>
      </c>
      <c r="S12334">
        <v>12341</v>
      </c>
    </row>
    <row r="12335" spans="1:19">
      <c r="A12335" t="s">
        <v>139</v>
      </c>
      <c r="B12335" t="s">
        <v>150</v>
      </c>
      <c r="C12335" t="s">
        <v>271</v>
      </c>
      <c r="D12335" t="s">
        <v>400</v>
      </c>
      <c r="F12335">
        <f>HYPERLINK("https://www.wikidata.org/wiki/Q36713863", "Q36713863")</f>
        <v>0</v>
      </c>
      <c r="G12335" t="s">
        <v>4969</v>
      </c>
      <c r="H12335" t="s">
        <v>9102</v>
      </c>
      <c r="I12335" t="s">
        <v>9407</v>
      </c>
      <c r="J12335" t="s">
        <v>15408</v>
      </c>
      <c r="K12335" t="s">
        <v>19706</v>
      </c>
      <c r="M12335">
        <f>HYPERLINK("https://www.senat.fr/senateur-3eme-republique/butterlin_joseph0683r3.html", "butterlin_joseph0683r3")</f>
        <v>0</v>
      </c>
      <c r="N12335">
        <f>HYPERLINK("https://www.wikidata.org/wiki/Q3184682", "Q3184682")</f>
        <v>0</v>
      </c>
      <c r="O12335" t="s">
        <v>19973</v>
      </c>
      <c r="Q12335" t="s">
        <v>400</v>
      </c>
      <c r="R12335" t="s">
        <v>21700</v>
      </c>
      <c r="S12335">
        <v>3289</v>
      </c>
    </row>
    <row r="12336" spans="1:19">
      <c r="A12336" t="s">
        <v>139</v>
      </c>
      <c r="B12336" t="s">
        <v>150</v>
      </c>
      <c r="C12336" t="s">
        <v>271</v>
      </c>
      <c r="D12336" t="s">
        <v>400</v>
      </c>
      <c r="F12336">
        <f>HYPERLINK("https://www.wikidata.org/wiki/Q36713863", "Q36713863")</f>
        <v>0</v>
      </c>
      <c r="G12336" t="s">
        <v>4884</v>
      </c>
      <c r="H12336" t="s">
        <v>9021</v>
      </c>
      <c r="I12336" t="s">
        <v>11230</v>
      </c>
      <c r="J12336" t="s">
        <v>15328</v>
      </c>
      <c r="K12336" t="s">
        <v>282</v>
      </c>
      <c r="M12336">
        <f>HYPERLINK("https://www.senat.fr/senateur-3eme-republique/faure_maurice0716r3.html", "faure_maurice0716r3")</f>
        <v>0</v>
      </c>
      <c r="N12336">
        <f>HYPERLINK("https://www.wikidata.org/wiki/Q3300775", "Q3300775")</f>
        <v>0</v>
      </c>
      <c r="O12336" t="s">
        <v>20044</v>
      </c>
      <c r="Q12336" t="s">
        <v>400</v>
      </c>
      <c r="R12336" t="s">
        <v>21650</v>
      </c>
      <c r="S12336">
        <v>12341</v>
      </c>
    </row>
    <row r="12337" spans="1:19">
      <c r="A12337" t="s">
        <v>139</v>
      </c>
      <c r="B12337" t="s">
        <v>150</v>
      </c>
      <c r="C12337" t="s">
        <v>271</v>
      </c>
      <c r="D12337" t="s">
        <v>400</v>
      </c>
      <c r="F12337">
        <f>HYPERLINK("https://www.wikidata.org/wiki/Q36713863", "Q36713863")</f>
        <v>0</v>
      </c>
      <c r="G12337" t="s">
        <v>4939</v>
      </c>
      <c r="H12337" t="s">
        <v>9074</v>
      </c>
      <c r="I12337" t="s">
        <v>9385</v>
      </c>
      <c r="J12337" t="s">
        <v>15381</v>
      </c>
      <c r="K12337" t="s">
        <v>19682</v>
      </c>
      <c r="M12337">
        <f>HYPERLINK("https://www.senat.fr/senateur-3eme-republique/chabert_charles0722r3.html", "chabert_charles0722r3")</f>
        <v>0</v>
      </c>
      <c r="N12337">
        <f>HYPERLINK("https://www.wikidata.org/wiki/Q15974227", "Q15974227")</f>
        <v>0</v>
      </c>
      <c r="O12337" t="s">
        <v>20044</v>
      </c>
      <c r="Q12337" t="s">
        <v>400</v>
      </c>
      <c r="R12337" t="s">
        <v>21700</v>
      </c>
      <c r="S12337">
        <v>3289</v>
      </c>
    </row>
    <row r="12338" spans="1:19">
      <c r="A12338" t="s">
        <v>139</v>
      </c>
      <c r="B12338" t="s">
        <v>150</v>
      </c>
      <c r="C12338" t="s">
        <v>271</v>
      </c>
      <c r="D12338" t="s">
        <v>400</v>
      </c>
      <c r="F12338">
        <f>HYPERLINK("https://www.wikidata.org/wiki/Q36713863", "Q36713863")</f>
        <v>0</v>
      </c>
      <c r="G12338" t="s">
        <v>4925</v>
      </c>
      <c r="H12338" t="s">
        <v>9061</v>
      </c>
      <c r="I12338" t="s">
        <v>5528</v>
      </c>
      <c r="J12338" t="s">
        <v>15367</v>
      </c>
      <c r="K12338" t="s">
        <v>19670</v>
      </c>
      <c r="M12338">
        <f>HYPERLINK("https://www.senat.fr/senateur-3eme-republique/monnier_leon0742r3.html", "monnier_leon0742r3")</f>
        <v>0</v>
      </c>
      <c r="N12338">
        <f>HYPERLINK("https://www.wikidata.org/wiki/Q3271207", "Q3271207")</f>
        <v>0</v>
      </c>
      <c r="O12338" t="s">
        <v>19992</v>
      </c>
      <c r="Q12338" t="s">
        <v>400</v>
      </c>
      <c r="R12338" t="s">
        <v>21700</v>
      </c>
      <c r="S12338">
        <v>3289</v>
      </c>
    </row>
    <row r="12339" spans="1:19">
      <c r="A12339" t="s">
        <v>139</v>
      </c>
      <c r="B12339" t="s">
        <v>150</v>
      </c>
      <c r="C12339" t="s">
        <v>271</v>
      </c>
      <c r="D12339" t="s">
        <v>400</v>
      </c>
      <c r="F12339">
        <f>HYPERLINK("https://www.wikidata.org/wiki/Q36713863", "Q36713863")</f>
        <v>0</v>
      </c>
      <c r="G12339" t="s">
        <v>4970</v>
      </c>
      <c r="H12339" t="s">
        <v>9103</v>
      </c>
      <c r="I12339" t="s">
        <v>7642</v>
      </c>
      <c r="J12339" t="s">
        <v>15409</v>
      </c>
      <c r="K12339" t="s">
        <v>19707</v>
      </c>
      <c r="M12339">
        <f>HYPERLINK("https://www.senat.fr/senateur-3eme-republique/hervey_maurice0758r3.html", "hervey_maurice0758r3")</f>
        <v>0</v>
      </c>
      <c r="N12339">
        <f>HYPERLINK("https://www.wikidata.org/wiki/Q3300912", "Q3300912")</f>
        <v>0</v>
      </c>
      <c r="O12339" t="s">
        <v>19992</v>
      </c>
      <c r="Q12339" t="s">
        <v>400</v>
      </c>
      <c r="R12339" t="s">
        <v>21700</v>
      </c>
      <c r="S12339">
        <v>3289</v>
      </c>
    </row>
    <row r="12340" spans="1:19">
      <c r="A12340" t="s">
        <v>139</v>
      </c>
      <c r="B12340" t="s">
        <v>150</v>
      </c>
      <c r="C12340" t="s">
        <v>271</v>
      </c>
      <c r="D12340" t="s">
        <v>400</v>
      </c>
      <c r="F12340">
        <f>HYPERLINK("https://www.wikidata.org/wiki/Q36713863", "Q36713863")</f>
        <v>0</v>
      </c>
      <c r="G12340" t="s">
        <v>4728</v>
      </c>
      <c r="H12340" t="s">
        <v>8870</v>
      </c>
      <c r="I12340" t="s">
        <v>6495</v>
      </c>
      <c r="J12340" t="s">
        <v>15192</v>
      </c>
      <c r="K12340" t="s">
        <v>19512</v>
      </c>
      <c r="M12340">
        <f>HYPERLINK("https://www.senat.fr/senateur-3eme-republique/vinet_louis0767r3.html", "vinet_louis0767r3")</f>
        <v>0</v>
      </c>
      <c r="N12340">
        <f>HYPERLINK("https://www.wikidata.org/wiki/Q3263292", "Q3263292")</f>
        <v>0</v>
      </c>
      <c r="O12340" t="s">
        <v>19971</v>
      </c>
      <c r="Q12340" t="s">
        <v>400</v>
      </c>
      <c r="R12340" t="s">
        <v>21650</v>
      </c>
      <c r="S12340">
        <v>12341</v>
      </c>
    </row>
    <row r="12341" spans="1:19">
      <c r="A12341" t="s">
        <v>139</v>
      </c>
      <c r="B12341" t="s">
        <v>150</v>
      </c>
      <c r="C12341" t="s">
        <v>271</v>
      </c>
      <c r="D12341" t="s">
        <v>400</v>
      </c>
      <c r="F12341">
        <f>HYPERLINK("https://www.wikidata.org/wiki/Q36713863", "Q36713863")</f>
        <v>0</v>
      </c>
      <c r="G12341" t="s">
        <v>4778</v>
      </c>
      <c r="H12341" t="s">
        <v>8921</v>
      </c>
      <c r="I12341" t="s">
        <v>6495</v>
      </c>
      <c r="J12341" t="s">
        <v>15240</v>
      </c>
      <c r="K12341" t="s">
        <v>19552</v>
      </c>
      <c r="M12341">
        <f>HYPERLINK("https://www.senat.fr/senateur-3eme-republique/delobeau_louis0784r3.html", "delobeau_louis0784r3")</f>
        <v>0</v>
      </c>
      <c r="N12341">
        <f>HYPERLINK("https://www.wikidata.org/wiki/Q3261689", "Q3261689")</f>
        <v>0</v>
      </c>
      <c r="O12341" t="s">
        <v>20011</v>
      </c>
      <c r="Q12341" t="s">
        <v>400</v>
      </c>
      <c r="R12341" t="s">
        <v>21650</v>
      </c>
      <c r="S12341">
        <v>12341</v>
      </c>
    </row>
    <row r="12342" spans="1:19">
      <c r="A12342" t="s">
        <v>139</v>
      </c>
      <c r="B12342" t="s">
        <v>150</v>
      </c>
      <c r="C12342" t="s">
        <v>271</v>
      </c>
      <c r="D12342" t="s">
        <v>400</v>
      </c>
      <c r="F12342">
        <f>HYPERLINK("https://www.wikidata.org/wiki/Q36713863", "Q36713863")</f>
        <v>0</v>
      </c>
      <c r="G12342" t="s">
        <v>4971</v>
      </c>
      <c r="H12342" t="s">
        <v>9104</v>
      </c>
      <c r="I12342" t="s">
        <v>7642</v>
      </c>
      <c r="J12342" t="s">
        <v>15410</v>
      </c>
      <c r="K12342" t="s">
        <v>19708</v>
      </c>
      <c r="M12342">
        <f>HYPERLINK("https://www.senat.fr/senateur-3eme-republique/fenoux_maurice0817r3.html", "fenoux_maurice0817r3")</f>
        <v>0</v>
      </c>
      <c r="N12342">
        <f>HYPERLINK("https://www.wikidata.org/wiki/Q3300770", "Q3300770")</f>
        <v>0</v>
      </c>
      <c r="O12342" t="s">
        <v>20011</v>
      </c>
      <c r="Q12342" t="s">
        <v>400</v>
      </c>
      <c r="R12342" t="s">
        <v>21700</v>
      </c>
      <c r="S12342">
        <v>3289</v>
      </c>
    </row>
    <row r="12343" spans="1:19">
      <c r="A12343" t="s">
        <v>139</v>
      </c>
      <c r="B12343" t="s">
        <v>150</v>
      </c>
      <c r="C12343" t="s">
        <v>271</v>
      </c>
      <c r="D12343" t="s">
        <v>400</v>
      </c>
      <c r="F12343">
        <f>HYPERLINK("https://www.wikidata.org/wiki/Q36713863", "Q36713863")</f>
        <v>0</v>
      </c>
      <c r="G12343" t="s">
        <v>4940</v>
      </c>
      <c r="H12343" t="s">
        <v>9075</v>
      </c>
      <c r="I12343" t="s">
        <v>9449</v>
      </c>
      <c r="J12343" t="s">
        <v>15382</v>
      </c>
      <c r="K12343" t="s">
        <v>19683</v>
      </c>
      <c r="M12343">
        <f>HYPERLINK("https://www.senat.fr/senateur-3eme-republique/fortin_jules0810r3.html", "fortin_jules0810r3")</f>
        <v>0</v>
      </c>
      <c r="N12343">
        <f>HYPERLINK("https://www.wikidata.org/wiki/Q3188584", "Q3188584")</f>
        <v>0</v>
      </c>
      <c r="O12343" t="s">
        <v>20011</v>
      </c>
      <c r="Q12343" t="s">
        <v>400</v>
      </c>
      <c r="R12343" t="s">
        <v>21700</v>
      </c>
      <c r="S12343">
        <v>3289</v>
      </c>
    </row>
    <row r="12344" spans="1:19">
      <c r="A12344" t="s">
        <v>139</v>
      </c>
      <c r="B12344" t="s">
        <v>150</v>
      </c>
      <c r="C12344" t="s">
        <v>271</v>
      </c>
      <c r="D12344" t="s">
        <v>400</v>
      </c>
      <c r="F12344">
        <f>HYPERLINK("https://www.wikidata.org/wiki/Q36713863", "Q36713863")</f>
        <v>0</v>
      </c>
      <c r="G12344" t="s">
        <v>4273</v>
      </c>
      <c r="H12344" t="s">
        <v>6822</v>
      </c>
      <c r="I12344" t="s">
        <v>6478</v>
      </c>
      <c r="J12344" t="s">
        <v>14772</v>
      </c>
      <c r="K12344" t="s">
        <v>19120</v>
      </c>
      <c r="M12344">
        <f>HYPERLINK("https://www.senat.fr/senateur-3eme-republique/berenger_henry0845r3.html", "berenger_henry0845r3")</f>
        <v>0</v>
      </c>
      <c r="N12344">
        <f>HYPERLINK("https://www.wikidata.org/wiki/Q377169", "Q377169")</f>
        <v>0</v>
      </c>
      <c r="O12344" t="s">
        <v>20028</v>
      </c>
      <c r="Q12344" t="s">
        <v>400</v>
      </c>
      <c r="R12344" t="s">
        <v>21700</v>
      </c>
      <c r="S12344">
        <v>3289</v>
      </c>
    </row>
    <row r="12345" spans="1:19">
      <c r="A12345" t="s">
        <v>139</v>
      </c>
      <c r="B12345" t="s">
        <v>150</v>
      </c>
      <c r="C12345" t="s">
        <v>271</v>
      </c>
      <c r="D12345" t="s">
        <v>400</v>
      </c>
      <c r="F12345">
        <f>HYPERLINK("https://www.wikidata.org/wiki/Q36713863", "Q36713863")</f>
        <v>0</v>
      </c>
      <c r="G12345" t="s">
        <v>4847</v>
      </c>
      <c r="H12345" t="s">
        <v>8987</v>
      </c>
      <c r="I12345" t="s">
        <v>9385</v>
      </c>
      <c r="J12345" t="s">
        <v>15298</v>
      </c>
      <c r="K12345" t="s">
        <v>19606</v>
      </c>
      <c r="M12345">
        <f>HYPERLINK("https://www.senat.fr/senateur-3eme-republique/vagnat_charles0075r3.html", "vagnat_charles0075r3")</f>
        <v>0</v>
      </c>
      <c r="N12345">
        <f>HYPERLINK("https://www.wikidata.org/wiki/Q2960358", "Q2960358")</f>
        <v>0</v>
      </c>
      <c r="O12345" t="s">
        <v>19981</v>
      </c>
      <c r="Q12345" t="s">
        <v>400</v>
      </c>
      <c r="R12345" t="s">
        <v>21650</v>
      </c>
      <c r="S12345">
        <v>12341</v>
      </c>
    </row>
    <row r="12346" spans="1:19">
      <c r="A12346" t="s">
        <v>139</v>
      </c>
      <c r="B12346" t="s">
        <v>150</v>
      </c>
      <c r="C12346" t="s">
        <v>271</v>
      </c>
      <c r="D12346" t="s">
        <v>400</v>
      </c>
      <c r="F12346">
        <f>HYPERLINK("https://www.wikidata.org/wiki/Q36713863", "Q36713863")</f>
        <v>0</v>
      </c>
      <c r="G12346" t="s">
        <v>4921</v>
      </c>
      <c r="H12346" t="s">
        <v>9057</v>
      </c>
      <c r="I12346" t="s">
        <v>6158</v>
      </c>
      <c r="J12346" t="s">
        <v>15363</v>
      </c>
      <c r="K12346" t="s">
        <v>19667</v>
      </c>
      <c r="M12346">
        <f>HYPERLINK("https://www.senat.fr/senateur-3eme-republique/crepin_felix0850r3.html", "crepin_felix0850r3")</f>
        <v>0</v>
      </c>
      <c r="N12346">
        <f>HYPERLINK("https://www.wikidata.org/wiki/Q3092414", "Q3092414")</f>
        <v>0</v>
      </c>
      <c r="O12346" t="s">
        <v>19963</v>
      </c>
      <c r="Q12346" t="s">
        <v>400</v>
      </c>
      <c r="R12346" t="s">
        <v>21650</v>
      </c>
      <c r="S12346">
        <v>12341</v>
      </c>
    </row>
    <row r="12347" spans="1:19">
      <c r="A12347" t="s">
        <v>139</v>
      </c>
      <c r="B12347" t="s">
        <v>150</v>
      </c>
      <c r="C12347" t="s">
        <v>271</v>
      </c>
      <c r="D12347" t="s">
        <v>400</v>
      </c>
      <c r="F12347">
        <f>HYPERLINK("https://www.wikidata.org/wiki/Q36713863", "Q36713863")</f>
        <v>0</v>
      </c>
      <c r="G12347" t="s">
        <v>4936</v>
      </c>
      <c r="H12347" t="s">
        <v>9071</v>
      </c>
      <c r="I12347" t="s">
        <v>9503</v>
      </c>
      <c r="J12347" t="s">
        <v>15378</v>
      </c>
      <c r="K12347" t="s">
        <v>19679</v>
      </c>
      <c r="M12347">
        <f>HYPERLINK("https://www.senat.fr/senateur-3eme-republique/philipot_anatole0532r3.html", "philipot_anatole0532r3")</f>
        <v>0</v>
      </c>
      <c r="N12347">
        <f>HYPERLINK("https://www.wikidata.org/wiki/Q2845600", "Q2845600")</f>
        <v>0</v>
      </c>
      <c r="Q12347" t="s">
        <v>400</v>
      </c>
      <c r="R12347" t="s">
        <v>21650</v>
      </c>
      <c r="S12347">
        <v>12341</v>
      </c>
    </row>
    <row r="12348" spans="1:19">
      <c r="A12348" t="s">
        <v>139</v>
      </c>
      <c r="B12348" t="s">
        <v>150</v>
      </c>
      <c r="C12348" t="s">
        <v>271</v>
      </c>
      <c r="D12348" t="s">
        <v>400</v>
      </c>
      <c r="F12348">
        <f>HYPERLINK("https://www.wikidata.org/wiki/Q36713863", "Q36713863")</f>
        <v>0</v>
      </c>
      <c r="G12348" t="s">
        <v>4347</v>
      </c>
      <c r="H12348" t="s">
        <v>7359</v>
      </c>
      <c r="I12348" t="s">
        <v>9391</v>
      </c>
      <c r="J12348" t="s">
        <v>14839</v>
      </c>
      <c r="K12348" t="s">
        <v>19181</v>
      </c>
      <c r="M12348">
        <f>HYPERLINK("https://www.senat.fr/senateur-3eme-republique/chauveau_claude0544r3.html", "chauveau_claude0544r3")</f>
        <v>0</v>
      </c>
      <c r="N12348">
        <f>HYPERLINK("https://www.wikidata.org/wiki/Q2977185", "Q2977185")</f>
        <v>0</v>
      </c>
      <c r="Q12348" t="s">
        <v>400</v>
      </c>
      <c r="R12348" t="s">
        <v>21700</v>
      </c>
      <c r="S12348">
        <v>3289</v>
      </c>
    </row>
    <row r="12349" spans="1:19">
      <c r="A12349" t="s">
        <v>139</v>
      </c>
      <c r="B12349" t="s">
        <v>150</v>
      </c>
      <c r="C12349" t="s">
        <v>271</v>
      </c>
      <c r="D12349" t="s">
        <v>400</v>
      </c>
      <c r="F12349">
        <f>HYPERLINK("https://www.wikidata.org/wiki/Q36713863", "Q36713863")</f>
        <v>0</v>
      </c>
      <c r="G12349" t="s">
        <v>3761</v>
      </c>
      <c r="H12349" t="s">
        <v>8059</v>
      </c>
      <c r="I12349" t="s">
        <v>10966</v>
      </c>
      <c r="J12349" t="s">
        <v>12240</v>
      </c>
      <c r="K12349" t="s">
        <v>18686</v>
      </c>
      <c r="L12349">
        <f>HYPERLINK("https://www2.assemblee-nationale.fr/sycomore/fiche/(num_dept)/2207", "2207")</f>
        <v>0</v>
      </c>
      <c r="M12349">
        <f>HYPERLINK("https://www.senat.fr/senateur-3eme-republique/decker_david_paul0148r3.html", "decker_david_paul0148r3")</f>
        <v>0</v>
      </c>
      <c r="N12349">
        <f>HYPERLINK("https://www.wikidata.org/wiki/Q3370999", "Q3370999")</f>
        <v>0</v>
      </c>
      <c r="O12349" t="s">
        <v>20003</v>
      </c>
      <c r="Q12349" t="s">
        <v>19067</v>
      </c>
      <c r="R12349" t="s">
        <v>18686</v>
      </c>
      <c r="S12349">
        <v>2240</v>
      </c>
    </row>
    <row r="12350" spans="1:19">
      <c r="A12350" t="s">
        <v>139</v>
      </c>
      <c r="B12350" t="s">
        <v>150</v>
      </c>
      <c r="C12350" t="s">
        <v>271</v>
      </c>
      <c r="D12350" t="s">
        <v>400</v>
      </c>
      <c r="F12350">
        <f>HYPERLINK("https://www.wikidata.org/wiki/Q36713863", "Q36713863")</f>
        <v>0</v>
      </c>
      <c r="G12350" t="s">
        <v>4972</v>
      </c>
      <c r="H12350" t="s">
        <v>9105</v>
      </c>
      <c r="I12350" t="s">
        <v>9376</v>
      </c>
      <c r="J12350" t="s">
        <v>12073</v>
      </c>
      <c r="K12350" t="s">
        <v>19709</v>
      </c>
      <c r="M12350">
        <f>HYPERLINK("https://www.senat.fr/senateur-3eme-republique/de_langenhagen_ferdinand0943r3.html", "de_langenhagen_ferdinand0943r3")</f>
        <v>0</v>
      </c>
      <c r="N12350">
        <f>HYPERLINK("https://www.wikidata.org/wiki/Q3068684", "Q3068684")</f>
        <v>0</v>
      </c>
      <c r="O12350" t="s">
        <v>20007</v>
      </c>
      <c r="Q12350" t="s">
        <v>21218</v>
      </c>
      <c r="R12350" t="s">
        <v>19709</v>
      </c>
      <c r="S12350">
        <v>1925</v>
      </c>
    </row>
    <row r="12351" spans="1:19">
      <c r="A12351" t="s">
        <v>139</v>
      </c>
      <c r="B12351" t="s">
        <v>150</v>
      </c>
      <c r="C12351" t="s">
        <v>271</v>
      </c>
      <c r="D12351" t="s">
        <v>400</v>
      </c>
      <c r="F12351">
        <f>HYPERLINK("https://www.wikidata.org/wiki/Q36713863", "Q36713863")</f>
        <v>0</v>
      </c>
      <c r="G12351" t="s">
        <v>4973</v>
      </c>
      <c r="H12351" t="s">
        <v>9106</v>
      </c>
      <c r="I12351" t="s">
        <v>5592</v>
      </c>
      <c r="J12351" t="s">
        <v>13882</v>
      </c>
      <c r="K12351" t="s">
        <v>19710</v>
      </c>
      <c r="M12351">
        <f>HYPERLINK("https://www.senat.fr/senateur-3eme-republique/thiery_laurent1819r3.html", "thiery_laurent1819r3")</f>
        <v>0</v>
      </c>
      <c r="N12351">
        <f>HYPERLINK("https://www.wikidata.org/wiki/Q3219536", "Q3219536")</f>
        <v>0</v>
      </c>
      <c r="O12351" t="s">
        <v>20400</v>
      </c>
      <c r="Q12351" t="s">
        <v>18656</v>
      </c>
      <c r="R12351" t="s">
        <v>21683</v>
      </c>
      <c r="S12351">
        <v>2792</v>
      </c>
    </row>
    <row r="12352" spans="1:19">
      <c r="A12352" t="s">
        <v>139</v>
      </c>
      <c r="B12352" t="s">
        <v>150</v>
      </c>
      <c r="C12352" t="s">
        <v>271</v>
      </c>
      <c r="D12352" t="s">
        <v>400</v>
      </c>
      <c r="F12352">
        <f>HYPERLINK("https://www.wikidata.org/wiki/Q36713863", "Q36713863")</f>
        <v>0</v>
      </c>
      <c r="G12352" t="s">
        <v>3936</v>
      </c>
      <c r="H12352" t="s">
        <v>8189</v>
      </c>
      <c r="I12352" t="s">
        <v>11029</v>
      </c>
      <c r="J12352" t="s">
        <v>14490</v>
      </c>
      <c r="K12352" t="s">
        <v>18838</v>
      </c>
      <c r="L12352">
        <f>HYPERLINK("https://www2.assemblee-nationale.fr/sycomore/fiche/(num_dept)/6121", "6121")</f>
        <v>0</v>
      </c>
      <c r="M12352">
        <f>HYPERLINK("https://www.senat.fr/senateur-3eme-republique/rouland_julien1587r3.html", "rouland_julien1587r3")</f>
        <v>0</v>
      </c>
      <c r="N12352">
        <f>HYPERLINK("https://www.wikidata.org/wiki/Q3189641", "Q3189641")</f>
        <v>0</v>
      </c>
      <c r="O12352" t="s">
        <v>19978</v>
      </c>
      <c r="Q12352" t="s">
        <v>21219</v>
      </c>
      <c r="R12352" t="s">
        <v>21683</v>
      </c>
      <c r="S12352">
        <v>2764</v>
      </c>
    </row>
    <row r="12353" spans="1:19">
      <c r="A12353" t="s">
        <v>139</v>
      </c>
      <c r="B12353" t="s">
        <v>150</v>
      </c>
      <c r="C12353" t="s">
        <v>271</v>
      </c>
      <c r="D12353" t="s">
        <v>400</v>
      </c>
      <c r="F12353">
        <f>HYPERLINK("https://www.wikidata.org/wiki/Q36713863", "Q36713863")</f>
        <v>0</v>
      </c>
      <c r="G12353" t="s">
        <v>4103</v>
      </c>
      <c r="H12353" t="s">
        <v>8315</v>
      </c>
      <c r="I12353" t="s">
        <v>9385</v>
      </c>
      <c r="J12353" t="s">
        <v>14641</v>
      </c>
      <c r="K12353" t="s">
        <v>18976</v>
      </c>
      <c r="L12353">
        <f>HYPERLINK("https://www2.assemblee-nationale.fr/sycomore/fiche/(num_dept)/1423", "1423")</f>
        <v>0</v>
      </c>
      <c r="M12353">
        <f>HYPERLINK("https://www.senat.fr/senateur-3eme-republique/caperan_charles1716r3.html", "caperan_charles1716r3")</f>
        <v>0</v>
      </c>
      <c r="N12353">
        <f>HYPERLINK("https://www.wikidata.org/wiki/Q2958671", "Q2958671")</f>
        <v>0</v>
      </c>
      <c r="O12353" t="s">
        <v>20045</v>
      </c>
      <c r="Q12353" t="s">
        <v>21220</v>
      </c>
      <c r="R12353" t="s">
        <v>21683</v>
      </c>
      <c r="S12353">
        <v>2743</v>
      </c>
    </row>
    <row r="12354" spans="1:19">
      <c r="A12354" t="s">
        <v>139</v>
      </c>
      <c r="B12354" t="s">
        <v>150</v>
      </c>
      <c r="C12354" t="s">
        <v>271</v>
      </c>
      <c r="D12354" t="s">
        <v>400</v>
      </c>
      <c r="F12354">
        <f>HYPERLINK("https://www.wikidata.org/wiki/Q36713863", "Q36713863")</f>
        <v>0</v>
      </c>
      <c r="G12354" t="s">
        <v>830</v>
      </c>
      <c r="H12354" t="s">
        <v>5587</v>
      </c>
      <c r="I12354" t="s">
        <v>9541</v>
      </c>
      <c r="J12354" t="s">
        <v>11577</v>
      </c>
      <c r="K12354" t="s">
        <v>15979</v>
      </c>
      <c r="L12354">
        <f>HYPERLINK("https://www2.assemblee-nationale.fr/sycomore/fiche/(num_dept)/7418", "7418")</f>
        <v>0</v>
      </c>
      <c r="M12354">
        <f>HYPERLINK("https://www.senat.fr/senateur-3eme-republique/villiers_emile0785r3.html", "villiers_emile0785r3")</f>
        <v>0</v>
      </c>
      <c r="N12354">
        <f>HYPERLINK("https://www.wikidata.org/wiki/Q3083748", "Q3083748")</f>
        <v>0</v>
      </c>
      <c r="O12354" t="s">
        <v>20011</v>
      </c>
      <c r="Q12354" t="s">
        <v>21221</v>
      </c>
      <c r="R12354" t="s">
        <v>21700</v>
      </c>
      <c r="S12354">
        <v>3086</v>
      </c>
    </row>
    <row r="12355" spans="1:19">
      <c r="A12355" t="s">
        <v>139</v>
      </c>
      <c r="B12355" t="s">
        <v>150</v>
      </c>
      <c r="C12355" t="s">
        <v>271</v>
      </c>
      <c r="D12355" t="s">
        <v>400</v>
      </c>
      <c r="F12355">
        <f>HYPERLINK("https://www.wikidata.org/wiki/Q36713863", "Q36713863")</f>
        <v>0</v>
      </c>
      <c r="G12355" t="s">
        <v>1492</v>
      </c>
      <c r="H12355" t="s">
        <v>6190</v>
      </c>
      <c r="I12355" t="s">
        <v>9728</v>
      </c>
      <c r="J12355" t="s">
        <v>12210</v>
      </c>
      <c r="K12355" t="s">
        <v>16616</v>
      </c>
      <c r="L12355">
        <f>HYPERLINK("https://www2.assemblee-nationale.fr/sycomore/fiche/(num_dept)/3819", "3819")</f>
        <v>0</v>
      </c>
      <c r="M12355">
        <f>HYPERLINK("https://www.senat.fr/senateur-3eme-republique/herriot_edouard1121r3.html", "herriot_edouard1121r3")</f>
        <v>0</v>
      </c>
      <c r="N12355">
        <f>HYPERLINK("https://www.wikidata.org/wiki/Q274344", "Q274344")</f>
        <v>0</v>
      </c>
      <c r="O12355" t="s">
        <v>19965</v>
      </c>
      <c r="Q12355" t="s">
        <v>20541</v>
      </c>
      <c r="R12355" t="s">
        <v>21693</v>
      </c>
      <c r="S12355">
        <v>2690</v>
      </c>
    </row>
    <row r="12356" spans="1:19">
      <c r="A12356" t="s">
        <v>139</v>
      </c>
      <c r="B12356" t="s">
        <v>150</v>
      </c>
      <c r="C12356" t="s">
        <v>271</v>
      </c>
      <c r="D12356" t="s">
        <v>400</v>
      </c>
      <c r="F12356">
        <f>HYPERLINK("https://www.wikidata.org/wiki/Q36713863", "Q36713863")</f>
        <v>0</v>
      </c>
      <c r="G12356" t="s">
        <v>858</v>
      </c>
      <c r="H12356" t="s">
        <v>5614</v>
      </c>
      <c r="I12356" t="s">
        <v>9423</v>
      </c>
      <c r="J12356" t="s">
        <v>11604</v>
      </c>
      <c r="K12356" t="s">
        <v>16006</v>
      </c>
      <c r="L12356">
        <f>HYPERLINK("https://www2.assemblee-nationale.fr/sycomore/fiche/(num_dept)/7854", "7854")</f>
        <v>0</v>
      </c>
      <c r="M12356">
        <f>HYPERLINK("https://www.senat.fr/senateur-3eme-republique/limon_guillaume0585r3.html", "limon_guillaume0585r3")</f>
        <v>0</v>
      </c>
      <c r="N12356">
        <f>HYPERLINK("https://www.wikidata.org/wiki/Q3120046", "Q3120046")</f>
        <v>0</v>
      </c>
      <c r="O12356" t="s">
        <v>19964</v>
      </c>
      <c r="Q12356" t="s">
        <v>21222</v>
      </c>
      <c r="R12356" t="s">
        <v>16006</v>
      </c>
      <c r="S12356">
        <v>2789</v>
      </c>
    </row>
    <row r="12357" spans="1:19">
      <c r="A12357" t="s">
        <v>139</v>
      </c>
      <c r="B12357" t="s">
        <v>150</v>
      </c>
      <c r="C12357" t="s">
        <v>271</v>
      </c>
      <c r="D12357" t="s">
        <v>400</v>
      </c>
      <c r="F12357">
        <f>HYPERLINK("https://www.wikidata.org/wiki/Q36713863", "Q36713863")</f>
        <v>0</v>
      </c>
      <c r="G12357" t="s">
        <v>615</v>
      </c>
      <c r="H12357" t="s">
        <v>5375</v>
      </c>
      <c r="I12357" t="s">
        <v>9454</v>
      </c>
      <c r="J12357" t="s">
        <v>11354</v>
      </c>
      <c r="K12357" t="s">
        <v>15767</v>
      </c>
      <c r="L12357">
        <f>HYPERLINK("https://www2.assemblee-nationale.fr/sycomore/fiche/(num_dept)/2482", "2482")</f>
        <v>0</v>
      </c>
      <c r="M12357">
        <f>HYPERLINK("https://www.senat.fr/senateur-3eme-republique/devins_louis0521r3.html", "devins_louis0521r3")</f>
        <v>0</v>
      </c>
      <c r="N12357">
        <f>HYPERLINK("https://www.wikidata.org/wiki/Q3261724", "Q3261724")</f>
        <v>0</v>
      </c>
      <c r="O12357" t="s">
        <v>19993</v>
      </c>
      <c r="Q12357" t="s">
        <v>21223</v>
      </c>
      <c r="R12357" t="s">
        <v>15767</v>
      </c>
      <c r="S12357">
        <v>1456</v>
      </c>
    </row>
    <row r="12358" spans="1:19">
      <c r="A12358" t="s">
        <v>139</v>
      </c>
      <c r="B12358" t="s">
        <v>150</v>
      </c>
      <c r="C12358" t="s">
        <v>271</v>
      </c>
      <c r="D12358" t="s">
        <v>400</v>
      </c>
      <c r="F12358">
        <f>HYPERLINK("https://www.wikidata.org/wiki/Q36713863", "Q36713863")</f>
        <v>0</v>
      </c>
      <c r="G12358" t="s">
        <v>670</v>
      </c>
      <c r="H12358" t="s">
        <v>5429</v>
      </c>
      <c r="I12358" t="s">
        <v>9476</v>
      </c>
      <c r="J12358" t="s">
        <v>11420</v>
      </c>
      <c r="K12358" t="s">
        <v>15821</v>
      </c>
      <c r="L12358">
        <f>HYPERLINK("https://www2.assemblee-nationale.fr/sycomore/fiche/(num_dept)/3603", "3603")</f>
        <v>0</v>
      </c>
      <c r="M12358">
        <f>HYPERLINK("https://www.senat.fr/senateur-3eme-republique/grosdidier_auguste1025r3.html", "grosdidier_auguste1025r3")</f>
        <v>0</v>
      </c>
      <c r="N12358">
        <f>HYPERLINK("https://www.wikidata.org/wiki/Q2871212", "Q2871212")</f>
        <v>0</v>
      </c>
      <c r="O12358" t="s">
        <v>20030</v>
      </c>
      <c r="Q12358" t="s">
        <v>21224</v>
      </c>
      <c r="R12358" t="s">
        <v>21683</v>
      </c>
      <c r="S12358">
        <v>2470</v>
      </c>
    </row>
    <row r="12359" spans="1:19">
      <c r="A12359" t="s">
        <v>139</v>
      </c>
      <c r="B12359" t="s">
        <v>150</v>
      </c>
      <c r="C12359" t="s">
        <v>271</v>
      </c>
      <c r="D12359" t="s">
        <v>400</v>
      </c>
      <c r="F12359">
        <f>HYPERLINK("https://www.wikidata.org/wiki/Q36713863", "Q36713863")</f>
        <v>0</v>
      </c>
      <c r="G12359" t="s">
        <v>4122</v>
      </c>
      <c r="H12359" t="s">
        <v>8330</v>
      </c>
      <c r="I12359" t="s">
        <v>6200</v>
      </c>
      <c r="J12359" t="s">
        <v>14656</v>
      </c>
      <c r="K12359" t="s">
        <v>18991</v>
      </c>
      <c r="L12359">
        <f>HYPERLINK("https://www2.assemblee-nationale.fr/sycomore/fiche/(num_dept)/3687", "3687")</f>
        <v>0</v>
      </c>
      <c r="M12359">
        <f>HYPERLINK("https://www.senat.fr/senateur-3eme-republique/guilloteaux_jean0909r3.html", "guilloteaux_jean0909r3")</f>
        <v>0</v>
      </c>
      <c r="N12359">
        <f>HYPERLINK("https://www.wikidata.org/wiki/Q3172435", "Q3172435")</f>
        <v>0</v>
      </c>
      <c r="O12359" t="s">
        <v>19961</v>
      </c>
      <c r="Q12359" t="s">
        <v>21225</v>
      </c>
      <c r="R12359" t="s">
        <v>21683</v>
      </c>
      <c r="S12359">
        <v>2386</v>
      </c>
    </row>
    <row r="12360" spans="1:19">
      <c r="A12360" t="s">
        <v>139</v>
      </c>
      <c r="B12360" t="s">
        <v>150</v>
      </c>
      <c r="C12360" t="s">
        <v>271</v>
      </c>
      <c r="D12360" t="s">
        <v>400</v>
      </c>
      <c r="F12360">
        <f>HYPERLINK("https://www.wikidata.org/wiki/Q36713863", "Q36713863")</f>
        <v>0</v>
      </c>
      <c r="G12360" t="s">
        <v>841</v>
      </c>
      <c r="H12360" t="s">
        <v>5598</v>
      </c>
      <c r="I12360" t="s">
        <v>9548</v>
      </c>
      <c r="J12360" t="s">
        <v>11588</v>
      </c>
      <c r="K12360" t="s">
        <v>15990</v>
      </c>
      <c r="L12360">
        <f>HYPERLINK("https://www2.assemblee-nationale.fr/sycomore/fiche/(num_dept)/7591", "7591")</f>
        <v>0</v>
      </c>
      <c r="M12360">
        <f>HYPERLINK("https://www.senat.fr/senateur-3eme-republique/le_herisse_rene0541r3.html", "le_herisse_rene0541r3")</f>
        <v>0</v>
      </c>
      <c r="N12360">
        <f>HYPERLINK("https://www.wikidata.org/wiki/Q3426501", "Q3426501")</f>
        <v>0</v>
      </c>
      <c r="O12360" t="s">
        <v>19998</v>
      </c>
      <c r="Q12360" t="s">
        <v>21226</v>
      </c>
      <c r="R12360" t="s">
        <v>21683</v>
      </c>
      <c r="S12360">
        <v>2372</v>
      </c>
    </row>
    <row r="12361" spans="1:19">
      <c r="A12361" t="s">
        <v>139</v>
      </c>
      <c r="B12361" t="s">
        <v>150</v>
      </c>
      <c r="C12361" t="s">
        <v>271</v>
      </c>
      <c r="D12361" t="s">
        <v>400</v>
      </c>
      <c r="F12361">
        <f>HYPERLINK("https://www.wikidata.org/wiki/Q36713863", "Q36713863")</f>
        <v>0</v>
      </c>
      <c r="G12361" t="s">
        <v>576</v>
      </c>
      <c r="H12361" t="s">
        <v>5338</v>
      </c>
      <c r="I12361" t="s">
        <v>6478</v>
      </c>
      <c r="J12361" t="s">
        <v>11327</v>
      </c>
      <c r="K12361" t="s">
        <v>15728</v>
      </c>
      <c r="L12361">
        <f>HYPERLINK("https://www2.assemblee-nationale.fr/sycomore/fiche/(num_dept)/1768", "1768")</f>
        <v>0</v>
      </c>
      <c r="M12361">
        <f>HYPERLINK("https://www.senat.fr/senateur-3eme-republique/cheron_henry0337r3.html", "cheron_henry0337r3")</f>
        <v>0</v>
      </c>
      <c r="N12361">
        <f>HYPERLINK("https://www.wikidata.org/wiki/Q3132698", "Q3132698")</f>
        <v>0</v>
      </c>
      <c r="O12361" t="s">
        <v>20009</v>
      </c>
      <c r="Q12361" t="s">
        <v>20552</v>
      </c>
      <c r="R12361" t="s">
        <v>21700</v>
      </c>
      <c r="S12361">
        <v>2729</v>
      </c>
    </row>
    <row r="12362" spans="1:19">
      <c r="A12362" t="s">
        <v>139</v>
      </c>
      <c r="B12362" t="s">
        <v>150</v>
      </c>
      <c r="C12362" t="s">
        <v>271</v>
      </c>
      <c r="D12362" t="s">
        <v>400</v>
      </c>
      <c r="F12362">
        <f>HYPERLINK("https://www.wikidata.org/wiki/Q36713863", "Q36713863")</f>
        <v>0</v>
      </c>
      <c r="G12362" t="s">
        <v>806</v>
      </c>
      <c r="H12362" t="s">
        <v>5563</v>
      </c>
      <c r="I12362" t="s">
        <v>9523</v>
      </c>
      <c r="J12362" t="s">
        <v>11553</v>
      </c>
      <c r="K12362" t="s">
        <v>15957</v>
      </c>
      <c r="L12362">
        <f>HYPERLINK("https://www2.assemblee-nationale.fr/sycomore/fiche/(num_dept)/6725", "6725")</f>
        <v>0</v>
      </c>
      <c r="M12362">
        <f>HYPERLINK("https://www.senat.fr/senateur-3eme-republique/ribiere_marcel1846r3.html", "ribiere_marcel1846r3")</f>
        <v>0</v>
      </c>
      <c r="N12362">
        <f>HYPERLINK("https://www.wikidata.org/wiki/Q3289327", "Q3289327")</f>
        <v>0</v>
      </c>
      <c r="O12362" t="s">
        <v>20034</v>
      </c>
      <c r="Q12362" t="s">
        <v>20552</v>
      </c>
      <c r="R12362" t="s">
        <v>21683</v>
      </c>
      <c r="S12362">
        <v>2365</v>
      </c>
    </row>
    <row r="12363" spans="1:19">
      <c r="A12363" t="s">
        <v>139</v>
      </c>
      <c r="B12363" t="s">
        <v>150</v>
      </c>
      <c r="C12363" t="s">
        <v>271</v>
      </c>
      <c r="D12363" t="s">
        <v>400</v>
      </c>
      <c r="F12363">
        <f>HYPERLINK("https://www.wikidata.org/wiki/Q36713863", "Q36713863")</f>
        <v>0</v>
      </c>
      <c r="G12363" t="s">
        <v>845</v>
      </c>
      <c r="H12363" t="s">
        <v>5602</v>
      </c>
      <c r="I12363" t="s">
        <v>9552</v>
      </c>
      <c r="J12363" t="s">
        <v>11592</v>
      </c>
      <c r="K12363" t="s">
        <v>15994</v>
      </c>
      <c r="L12363">
        <f>HYPERLINK("https://www2.assemblee-nationale.fr/sycomore/fiche/(num_dept)/7643", "7643")</f>
        <v>0</v>
      </c>
      <c r="M12363">
        <f>HYPERLINK("https://www.senat.fr/senateur-3eme-republique/leblond_charles1609r3.html", "leblond_charles1609r3")</f>
        <v>0</v>
      </c>
      <c r="N12363">
        <f>HYPERLINK("https://www.wikidata.org/wiki/Q2871277", "Q2871277")</f>
        <v>0</v>
      </c>
      <c r="O12363" t="s">
        <v>19978</v>
      </c>
      <c r="Q12363" t="s">
        <v>21227</v>
      </c>
      <c r="R12363" t="s">
        <v>21683</v>
      </c>
      <c r="S12363">
        <v>2302</v>
      </c>
    </row>
    <row r="12364" spans="1:19">
      <c r="A12364" t="s">
        <v>139</v>
      </c>
      <c r="B12364" t="s">
        <v>150</v>
      </c>
      <c r="C12364" t="s">
        <v>271</v>
      </c>
      <c r="D12364" t="s">
        <v>400</v>
      </c>
      <c r="F12364">
        <f>HYPERLINK("https://www.wikidata.org/wiki/Q36713863", "Q36713863")</f>
        <v>0</v>
      </c>
      <c r="G12364" t="s">
        <v>4001</v>
      </c>
      <c r="H12364" t="s">
        <v>7185</v>
      </c>
      <c r="I12364" t="s">
        <v>11057</v>
      </c>
      <c r="J12364" t="s">
        <v>14548</v>
      </c>
      <c r="K12364" t="s">
        <v>18891</v>
      </c>
      <c r="L12364">
        <f>HYPERLINK("https://www2.assemblee-nationale.fr/sycomore/fiche/(num_dept)/5610", "5610")</f>
        <v>0</v>
      </c>
      <c r="M12364">
        <f>HYPERLINK("https://www.senat.fr/senateur-3eme-republique/ordinaire_maurice0679r3.html", "ordinaire_maurice0679r3")</f>
        <v>0</v>
      </c>
      <c r="N12364">
        <f>HYPERLINK("https://www.wikidata.org/wiki/Q3301228", "Q3301228")</f>
        <v>0</v>
      </c>
      <c r="O12364" t="s">
        <v>19973</v>
      </c>
      <c r="Q12364" t="s">
        <v>20557</v>
      </c>
      <c r="R12364" t="s">
        <v>21700</v>
      </c>
      <c r="S12364">
        <v>2638</v>
      </c>
    </row>
    <row r="12365" spans="1:19">
      <c r="A12365" t="s">
        <v>139</v>
      </c>
      <c r="B12365" t="s">
        <v>150</v>
      </c>
      <c r="C12365" t="s">
        <v>271</v>
      </c>
      <c r="D12365" t="s">
        <v>400</v>
      </c>
      <c r="F12365">
        <f>HYPERLINK("https://www.wikidata.org/wiki/Q36713863", "Q36713863")</f>
        <v>0</v>
      </c>
      <c r="G12365" t="s">
        <v>4974</v>
      </c>
      <c r="H12365" t="s">
        <v>9107</v>
      </c>
      <c r="I12365" t="s">
        <v>7642</v>
      </c>
      <c r="J12365" t="s">
        <v>15411</v>
      </c>
      <c r="K12365" t="s">
        <v>19711</v>
      </c>
      <c r="M12365">
        <f>HYPERLINK("https://www.senat.fr/senateur-3eme-republique/sarraut_maurice0276r3.html", "sarraut_maurice0276r3")</f>
        <v>0</v>
      </c>
      <c r="N12365">
        <f>HYPERLINK("https://www.wikidata.org/wiki/Q3301380", "Q3301380")</f>
        <v>0</v>
      </c>
      <c r="O12365" t="s">
        <v>19960</v>
      </c>
      <c r="Q12365" t="s">
        <v>15896</v>
      </c>
      <c r="R12365" t="s">
        <v>21700</v>
      </c>
      <c r="S12365">
        <v>2582</v>
      </c>
    </row>
    <row r="12366" spans="1:19">
      <c r="A12366" t="s">
        <v>139</v>
      </c>
      <c r="B12366" t="s">
        <v>150</v>
      </c>
      <c r="C12366" t="s">
        <v>271</v>
      </c>
      <c r="D12366" t="s">
        <v>400</v>
      </c>
      <c r="F12366">
        <f>HYPERLINK("https://www.wikidata.org/wiki/Q36713863", "Q36713863")</f>
        <v>0</v>
      </c>
      <c r="G12366" t="s">
        <v>925</v>
      </c>
      <c r="H12366" t="s">
        <v>5681</v>
      </c>
      <c r="I12366" t="s">
        <v>9591</v>
      </c>
      <c r="J12366" t="s">
        <v>11667</v>
      </c>
      <c r="K12366" t="s">
        <v>16068</v>
      </c>
      <c r="L12366">
        <f>HYPERLINK("https://www2.assemblee-nationale.fr/sycomore/fiche/(num_dept)/2327", "2327")</f>
        <v>0</v>
      </c>
      <c r="M12366">
        <f>HYPERLINK("https://www.senat.fr/senateur-3eme-republique/deloncle_charles1374r3.html", "deloncle_charles1374r3")</f>
        <v>0</v>
      </c>
      <c r="N12366">
        <f>HYPERLINK("https://www.wikidata.org/wiki/Q2958871", "Q2958871")</f>
        <v>0</v>
      </c>
      <c r="O12366" t="s">
        <v>19969</v>
      </c>
      <c r="Q12366" t="s">
        <v>21228</v>
      </c>
      <c r="R12366" t="s">
        <v>21683</v>
      </c>
      <c r="S12366">
        <v>2113</v>
      </c>
    </row>
    <row r="12367" spans="1:19">
      <c r="A12367" t="s">
        <v>139</v>
      </c>
      <c r="B12367" t="s">
        <v>150</v>
      </c>
      <c r="C12367" t="s">
        <v>271</v>
      </c>
      <c r="D12367" t="s">
        <v>400</v>
      </c>
      <c r="F12367">
        <f>HYPERLINK("https://www.wikidata.org/wiki/Q36713863", "Q36713863")</f>
        <v>0</v>
      </c>
      <c r="G12367" t="s">
        <v>4188</v>
      </c>
      <c r="H12367" t="s">
        <v>8381</v>
      </c>
      <c r="I12367" t="s">
        <v>9465</v>
      </c>
      <c r="J12367" t="s">
        <v>14705</v>
      </c>
      <c r="K12367" t="s">
        <v>19046</v>
      </c>
      <c r="L12367">
        <f>HYPERLINK("https://www2.assemblee-nationale.fr/sycomore/fiche/(num_dept)/5778", "5778")</f>
        <v>0</v>
      </c>
      <c r="M12367">
        <f>HYPERLINK("https://www.senat.fr/senateur-3eme-republique/peres_eugene0189r3.html", "peres_eugene0189r3")</f>
        <v>0</v>
      </c>
      <c r="N12367">
        <f>HYPERLINK("https://www.wikidata.org/wiki/Q3060087", "Q3060087")</f>
        <v>0</v>
      </c>
      <c r="O12367" t="s">
        <v>20019</v>
      </c>
      <c r="Q12367" t="s">
        <v>21228</v>
      </c>
      <c r="R12367" t="s">
        <v>21700</v>
      </c>
      <c r="S12367">
        <v>2477</v>
      </c>
    </row>
    <row r="12368" spans="1:19">
      <c r="A12368" t="s">
        <v>139</v>
      </c>
      <c r="B12368" t="s">
        <v>150</v>
      </c>
      <c r="C12368" t="s">
        <v>271</v>
      </c>
      <c r="D12368" t="s">
        <v>400</v>
      </c>
      <c r="F12368">
        <f>HYPERLINK("https://www.wikidata.org/wiki/Q36713863", "Q36713863")</f>
        <v>0</v>
      </c>
      <c r="G12368" t="s">
        <v>814</v>
      </c>
      <c r="H12368" t="s">
        <v>5571</v>
      </c>
      <c r="I12368" t="s">
        <v>9533</v>
      </c>
      <c r="J12368" t="s">
        <v>11561</v>
      </c>
      <c r="K12368" t="s">
        <v>15965</v>
      </c>
      <c r="L12368">
        <f>HYPERLINK("https://www2.assemblee-nationale.fr/sycomore/fiche/(num_dept)/6904", "6904")</f>
        <v>0</v>
      </c>
      <c r="M12368">
        <f>HYPERLINK("https://www.senat.fr/senateur-3eme-republique/steeg_theodore1554r3.html", "steeg_theodore1554r3")</f>
        <v>0</v>
      </c>
      <c r="N12368">
        <f>HYPERLINK("https://www.wikidata.org/wiki/Q717905", "Q717905")</f>
        <v>0</v>
      </c>
      <c r="O12368" t="s">
        <v>19969</v>
      </c>
      <c r="Q12368" t="s">
        <v>21228</v>
      </c>
      <c r="R12368" t="s">
        <v>21683</v>
      </c>
      <c r="S12368">
        <v>2113</v>
      </c>
    </row>
    <row r="12369" spans="1:19">
      <c r="A12369" t="s">
        <v>139</v>
      </c>
      <c r="B12369" t="s">
        <v>150</v>
      </c>
      <c r="C12369" t="s">
        <v>271</v>
      </c>
      <c r="D12369" t="s">
        <v>400</v>
      </c>
      <c r="F12369">
        <f>HYPERLINK("https://www.wikidata.org/wiki/Q36713863", "Q36713863")</f>
        <v>0</v>
      </c>
      <c r="G12369" t="s">
        <v>692</v>
      </c>
      <c r="H12369" t="s">
        <v>5450</v>
      </c>
      <c r="I12369" t="s">
        <v>9385</v>
      </c>
      <c r="J12369" t="s">
        <v>11442</v>
      </c>
      <c r="K12369" t="s">
        <v>15843</v>
      </c>
      <c r="L12369">
        <f>HYPERLINK("https://www2.assemblee-nationale.fr/sycomore/fiche/(num_dept)/4047", "4047")</f>
        <v>0</v>
      </c>
      <c r="M12369">
        <f>HYPERLINK("https://www.senat.fr/senateur-3eme-republique/jonnart_celestin0975r3.html", "jonnart_celestin0975r3")</f>
        <v>0</v>
      </c>
      <c r="N12369">
        <f>HYPERLINK("https://www.wikidata.org/wiki/Q212634", "Q212634")</f>
        <v>0</v>
      </c>
      <c r="O12369" t="s">
        <v>19968</v>
      </c>
      <c r="Q12369" t="s">
        <v>21229</v>
      </c>
      <c r="R12369" t="s">
        <v>21683</v>
      </c>
      <c r="S12369">
        <v>2106</v>
      </c>
    </row>
    <row r="12370" spans="1:19">
      <c r="A12370" t="s">
        <v>139</v>
      </c>
      <c r="B12370" t="s">
        <v>150</v>
      </c>
      <c r="C12370" t="s">
        <v>271</v>
      </c>
      <c r="D12370" t="s">
        <v>400</v>
      </c>
      <c r="F12370">
        <f>HYPERLINK("https://www.wikidata.org/wiki/Q36713863", "Q36713863")</f>
        <v>0</v>
      </c>
      <c r="G12370" t="s">
        <v>1127</v>
      </c>
      <c r="H12370" t="s">
        <v>5865</v>
      </c>
      <c r="I12370" t="s">
        <v>9594</v>
      </c>
      <c r="J12370" t="s">
        <v>11861</v>
      </c>
      <c r="K12370" t="s">
        <v>16263</v>
      </c>
      <c r="L12370">
        <f>HYPERLINK("https://www2.assemblee-nationale.fr/sycomore/fiche/(num_dept)/7090", "7090")</f>
        <v>0</v>
      </c>
      <c r="M12370">
        <f>HYPERLINK("https://www.senat.fr/senateur-3eme-republique/tissier_louis1710r3.html", "tissier_louis1710r3")</f>
        <v>0</v>
      </c>
      <c r="N12370">
        <f>HYPERLINK("https://www.wikidata.org/wiki/Q3263199", "Q3263199")</f>
        <v>0</v>
      </c>
      <c r="O12370" t="s">
        <v>20047</v>
      </c>
      <c r="Q12370" t="s">
        <v>20560</v>
      </c>
      <c r="R12370" t="s">
        <v>21683</v>
      </c>
      <c r="S12370">
        <v>2071</v>
      </c>
    </row>
    <row r="12371" spans="1:19">
      <c r="A12371" t="s">
        <v>139</v>
      </c>
      <c r="B12371" t="s">
        <v>150</v>
      </c>
      <c r="C12371" t="s">
        <v>271</v>
      </c>
      <c r="D12371" t="s">
        <v>400</v>
      </c>
      <c r="F12371">
        <f>HYPERLINK("https://www.wikidata.org/wiki/Q36713863", "Q36713863")</f>
        <v>0</v>
      </c>
      <c r="G12371" t="s">
        <v>4975</v>
      </c>
      <c r="H12371" t="s">
        <v>9108</v>
      </c>
      <c r="I12371" t="s">
        <v>6495</v>
      </c>
      <c r="J12371" t="s">
        <v>15412</v>
      </c>
      <c r="K12371" t="s">
        <v>19712</v>
      </c>
      <c r="M12371">
        <f>HYPERLINK("https://www.senat.fr/senateur-3eme-republique/de_penanros_louis0802r3.html", "de_penanros_louis0802r3")</f>
        <v>0</v>
      </c>
      <c r="N12371">
        <f>HYPERLINK("https://www.wikidata.org/wiki/Q3262472", "Q3262472")</f>
        <v>0</v>
      </c>
      <c r="O12371" t="s">
        <v>20011</v>
      </c>
      <c r="Q12371" t="s">
        <v>409</v>
      </c>
      <c r="R12371" t="s">
        <v>21700</v>
      </c>
      <c r="S12371">
        <v>2414</v>
      </c>
    </row>
    <row r="12372" spans="1:19">
      <c r="A12372" t="s">
        <v>139</v>
      </c>
      <c r="B12372" t="s">
        <v>150</v>
      </c>
      <c r="C12372" t="s">
        <v>271</v>
      </c>
      <c r="D12372" t="s">
        <v>400</v>
      </c>
      <c r="F12372">
        <f>HYPERLINK("https://www.wikidata.org/wiki/Q36713863", "Q36713863")</f>
        <v>0</v>
      </c>
      <c r="G12372" t="s">
        <v>936</v>
      </c>
      <c r="H12372" t="s">
        <v>5692</v>
      </c>
      <c r="I12372" t="s">
        <v>9421</v>
      </c>
      <c r="J12372" t="s">
        <v>11677</v>
      </c>
      <c r="K12372" t="s">
        <v>16078</v>
      </c>
      <c r="L12372">
        <f>HYPERLINK("https://www2.assemblee-nationale.fr/sycomore/fiche/(num_dept)/2595", "2595")</f>
        <v>0</v>
      </c>
      <c r="M12372">
        <f>HYPERLINK("https://www.senat.fr/senateur-3eme-republique/dron_gustave1388r3.html", "dron_gustave1388r3")</f>
        <v>0</v>
      </c>
      <c r="N12372">
        <f>HYPERLINK("https://www.wikidata.org/wiki/Q3121171", "Q3121171")</f>
        <v>0</v>
      </c>
      <c r="O12372" t="s">
        <v>20013</v>
      </c>
      <c r="Q12372" t="s">
        <v>21230</v>
      </c>
      <c r="R12372" t="s">
        <v>21683</v>
      </c>
      <c r="S12372">
        <v>2029</v>
      </c>
    </row>
    <row r="12373" spans="1:19">
      <c r="A12373" t="s">
        <v>139</v>
      </c>
      <c r="B12373" t="s">
        <v>150</v>
      </c>
      <c r="C12373" t="s">
        <v>271</v>
      </c>
      <c r="D12373" t="s">
        <v>400</v>
      </c>
      <c r="F12373">
        <f>HYPERLINK("https://www.wikidata.org/wiki/Q36713863", "Q36713863")</f>
        <v>0</v>
      </c>
      <c r="G12373" t="s">
        <v>4976</v>
      </c>
      <c r="H12373" t="s">
        <v>9109</v>
      </c>
      <c r="I12373" t="s">
        <v>6166</v>
      </c>
      <c r="J12373" t="s">
        <v>12313</v>
      </c>
      <c r="K12373" t="s">
        <v>19713</v>
      </c>
      <c r="M12373">
        <f>HYPERLINK("https://www.senat.fr/senateur-3eme-republique/milan_francois1305r3.html", "milan_francois1305r3")</f>
        <v>0</v>
      </c>
      <c r="N12373">
        <f>HYPERLINK("https://www.wikidata.org/wiki/Q3085361", "Q3085361")</f>
        <v>0</v>
      </c>
      <c r="O12373" t="s">
        <v>19988</v>
      </c>
      <c r="Q12373" t="s">
        <v>21230</v>
      </c>
      <c r="R12373" t="s">
        <v>21683</v>
      </c>
      <c r="S12373">
        <v>2029</v>
      </c>
    </row>
    <row r="12374" spans="1:19">
      <c r="A12374" t="s">
        <v>139</v>
      </c>
      <c r="B12374" t="s">
        <v>150</v>
      </c>
      <c r="C12374" t="s">
        <v>271</v>
      </c>
      <c r="D12374" t="s">
        <v>400</v>
      </c>
      <c r="F12374">
        <f>HYPERLINK("https://www.wikidata.org/wiki/Q36713863", "Q36713863")</f>
        <v>0</v>
      </c>
      <c r="G12374" t="s">
        <v>4977</v>
      </c>
      <c r="H12374" t="s">
        <v>9110</v>
      </c>
      <c r="I12374" t="s">
        <v>9388</v>
      </c>
      <c r="J12374" t="s">
        <v>15413</v>
      </c>
      <c r="K12374" t="s">
        <v>19714</v>
      </c>
      <c r="M12374">
        <f>HYPERLINK("https://www.senat.fr/senateur-3eme-republique/magny_paul1561r3.html", "magny_paul1561r3")</f>
        <v>0</v>
      </c>
      <c r="N12374">
        <f>HYPERLINK("https://www.wikidata.org/wiki/Q3371747", "Q3371747")</f>
        <v>0</v>
      </c>
      <c r="O12374" t="s">
        <v>19969</v>
      </c>
      <c r="Q12374" t="s">
        <v>21230</v>
      </c>
      <c r="R12374" t="s">
        <v>21683</v>
      </c>
      <c r="S12374">
        <v>2029</v>
      </c>
    </row>
    <row r="12375" spans="1:19">
      <c r="A12375" t="s">
        <v>139</v>
      </c>
      <c r="B12375" t="s">
        <v>150</v>
      </c>
      <c r="C12375" t="s">
        <v>271</v>
      </c>
      <c r="D12375" t="s">
        <v>400</v>
      </c>
      <c r="F12375">
        <f>HYPERLINK("https://www.wikidata.org/wiki/Q36713863", "Q36713863")</f>
        <v>0</v>
      </c>
      <c r="G12375" t="s">
        <v>4978</v>
      </c>
      <c r="H12375" t="s">
        <v>9111</v>
      </c>
      <c r="I12375" t="s">
        <v>6200</v>
      </c>
      <c r="J12375" t="s">
        <v>15414</v>
      </c>
      <c r="K12375" t="s">
        <v>19715</v>
      </c>
      <c r="M12375">
        <f>HYPERLINK("https://www.senat.fr/senateur-3eme-republique/galup_jean0738r3.html", "galup_jean0738r3")</f>
        <v>0</v>
      </c>
      <c r="N12375">
        <f>HYPERLINK("https://www.wikidata.org/wiki/Q3172207", "Q3172207")</f>
        <v>0</v>
      </c>
      <c r="O12375" t="s">
        <v>20043</v>
      </c>
      <c r="Q12375" t="s">
        <v>21231</v>
      </c>
      <c r="R12375" t="s">
        <v>21683</v>
      </c>
      <c r="S12375">
        <v>2022</v>
      </c>
    </row>
    <row r="12376" spans="1:19">
      <c r="A12376" t="s">
        <v>139</v>
      </c>
      <c r="B12376" t="s">
        <v>150</v>
      </c>
      <c r="C12376" t="s">
        <v>271</v>
      </c>
      <c r="D12376" t="s">
        <v>400</v>
      </c>
      <c r="F12376">
        <f>HYPERLINK("https://www.wikidata.org/wiki/Q36713863", "Q36713863")</f>
        <v>0</v>
      </c>
      <c r="G12376" t="s">
        <v>4175</v>
      </c>
      <c r="H12376" t="s">
        <v>8373</v>
      </c>
      <c r="I12376" t="s">
        <v>11149</v>
      </c>
      <c r="J12376" t="s">
        <v>14696</v>
      </c>
      <c r="K12376" t="s">
        <v>16544</v>
      </c>
      <c r="L12376">
        <f>HYPERLINK("https://www2.assemblee-nationale.fr/sycomore/fiche/(num_dept)/2235", "2235")</f>
        <v>0</v>
      </c>
      <c r="M12376">
        <f>HYPERLINK("https://www.senat.fr/senateur-3eme-republique/dehove_joseph1380r3.html", "dehove_joseph1380r3")</f>
        <v>0</v>
      </c>
      <c r="N12376">
        <f>HYPERLINK("https://www.wikidata.org/wiki/Q3184820", "Q3184820")</f>
        <v>0</v>
      </c>
      <c r="O12376" t="s">
        <v>20013</v>
      </c>
      <c r="Q12376" t="s">
        <v>18193</v>
      </c>
      <c r="R12376" t="s">
        <v>21683</v>
      </c>
      <c r="S12376">
        <v>1987</v>
      </c>
    </row>
    <row r="12377" spans="1:19">
      <c r="A12377" t="s">
        <v>140</v>
      </c>
      <c r="B12377" t="s">
        <v>150</v>
      </c>
      <c r="C12377" t="s">
        <v>272</v>
      </c>
      <c r="D12377" t="s">
        <v>401</v>
      </c>
      <c r="F12377">
        <f>HYPERLINK("https://www.wikidata.org/wiki/Q111103103", "Q111103103")</f>
        <v>0</v>
      </c>
      <c r="G12377" t="s">
        <v>1939</v>
      </c>
      <c r="H12377" t="s">
        <v>6584</v>
      </c>
      <c r="I12377" t="s">
        <v>6166</v>
      </c>
      <c r="J12377" t="s">
        <v>12623</v>
      </c>
      <c r="K12377" t="s">
        <v>485</v>
      </c>
      <c r="L12377">
        <f>HYPERLINK("https://www2.assemblee-nationale.fr/sycomore/fiche/(num_dept)/69", "69")</f>
        <v>0</v>
      </c>
      <c r="M12377">
        <f>HYPERLINK("https://www.senat.fr/senateur-3eme-republique/albert_francois1773r3.html", "albert_francois1773r3")</f>
        <v>0</v>
      </c>
      <c r="N12377">
        <f>HYPERLINK("https://www.wikidata.org/wiki/Q3083780", "Q3083780")</f>
        <v>0</v>
      </c>
      <c r="O12377" t="s">
        <v>19982</v>
      </c>
      <c r="Q12377" t="s">
        <v>401</v>
      </c>
      <c r="R12377" t="s">
        <v>21279</v>
      </c>
      <c r="S12377">
        <v>2554</v>
      </c>
    </row>
    <row r="12378" spans="1:19">
      <c r="A12378" t="s">
        <v>140</v>
      </c>
      <c r="B12378" t="s">
        <v>150</v>
      </c>
      <c r="C12378" t="s">
        <v>272</v>
      </c>
      <c r="D12378" t="s">
        <v>401</v>
      </c>
      <c r="F12378">
        <f>HYPERLINK("https://www.wikidata.org/wiki/Q111103103", "Q111103103")</f>
        <v>0</v>
      </c>
      <c r="G12378" t="s">
        <v>500</v>
      </c>
      <c r="H12378" t="s">
        <v>5265</v>
      </c>
      <c r="I12378" t="s">
        <v>9371</v>
      </c>
      <c r="J12378" t="s">
        <v>11252</v>
      </c>
      <c r="K12378" t="s">
        <v>15652</v>
      </c>
      <c r="L12378">
        <f>HYPERLINK("https://www2.assemblee-nationale.fr/sycomore/fiche/(num_dept)/84", "84")</f>
        <v>0</v>
      </c>
      <c r="M12378">
        <f>HYPERLINK("https://www.senat.fr/senateur-3eme-republique/brard_mathurin0917r3.html", "brard_mathurin0917r3")</f>
        <v>0</v>
      </c>
      <c r="N12378">
        <f>HYPERLINK("https://www.wikidata.org/wiki/Q2834988", "Q2834988")</f>
        <v>0</v>
      </c>
      <c r="O12378" t="s">
        <v>19961</v>
      </c>
      <c r="Q12378" t="s">
        <v>401</v>
      </c>
      <c r="R12378" t="s">
        <v>16129</v>
      </c>
      <c r="S12378">
        <v>1455</v>
      </c>
    </row>
    <row r="12379" spans="1:19">
      <c r="A12379" t="s">
        <v>140</v>
      </c>
      <c r="B12379" t="s">
        <v>150</v>
      </c>
      <c r="C12379" t="s">
        <v>272</v>
      </c>
      <c r="D12379" t="s">
        <v>401</v>
      </c>
      <c r="F12379">
        <f>HYPERLINK("https://www.wikidata.org/wiki/Q111103103", "Q111103103")</f>
        <v>0</v>
      </c>
      <c r="G12379" t="s">
        <v>3829</v>
      </c>
      <c r="H12379" t="s">
        <v>8109</v>
      </c>
      <c r="I12379" t="s">
        <v>10992</v>
      </c>
      <c r="J12379" t="s">
        <v>14393</v>
      </c>
      <c r="K12379" t="s">
        <v>18746</v>
      </c>
      <c r="L12379">
        <f>HYPERLINK("https://www2.assemblee-nationale.fr/sycomore/fiche/(num_dept)/103", "103")</f>
        <v>0</v>
      </c>
      <c r="M12379">
        <f>HYPERLINK("https://www.senat.fr/senateur-3eme-republique/comte_d_alsace_thierry1812r3.html", "comte_d_alsace_thierry1812r3")</f>
        <v>0</v>
      </c>
      <c r="N12379">
        <f>HYPERLINK("https://www.wikidata.org/wiki/Q3524185", "Q3524185")</f>
        <v>0</v>
      </c>
      <c r="O12379" t="s">
        <v>20017</v>
      </c>
      <c r="Q12379" t="s">
        <v>401</v>
      </c>
      <c r="R12379" t="s">
        <v>21279</v>
      </c>
      <c r="S12379">
        <v>2554</v>
      </c>
    </row>
    <row r="12380" spans="1:19">
      <c r="A12380" t="s">
        <v>140</v>
      </c>
      <c r="B12380" t="s">
        <v>150</v>
      </c>
      <c r="C12380" t="s">
        <v>272</v>
      </c>
      <c r="D12380" t="s">
        <v>401</v>
      </c>
      <c r="F12380">
        <f>HYPERLINK("https://www.wikidata.org/wiki/Q111103103", "Q111103103")</f>
        <v>0</v>
      </c>
      <c r="G12380" t="s">
        <v>501</v>
      </c>
      <c r="H12380" t="s">
        <v>5266</v>
      </c>
      <c r="I12380" t="s">
        <v>9372</v>
      </c>
      <c r="J12380" t="s">
        <v>11253</v>
      </c>
      <c r="K12380" t="s">
        <v>15653</v>
      </c>
      <c r="L12380">
        <f>HYPERLINK("https://www2.assemblee-nationale.fr/sycomore/fiche/(num_dept)/137", "137")</f>
        <v>0</v>
      </c>
      <c r="M12380">
        <f>HYPERLINK("https://www.senat.fr/senateur-3eme-republique/andrieu_edouard1688r3.html", "andrieu_edouard1688r3")</f>
        <v>0</v>
      </c>
      <c r="N12380">
        <f>HYPERLINK("https://www.wikidata.org/wiki/Q3579721", "Q3579721")</f>
        <v>0</v>
      </c>
      <c r="O12380" t="s">
        <v>19962</v>
      </c>
      <c r="Q12380" t="s">
        <v>401</v>
      </c>
      <c r="R12380" t="s">
        <v>21279</v>
      </c>
      <c r="S12380">
        <v>2554</v>
      </c>
    </row>
    <row r="12381" spans="1:19">
      <c r="A12381" t="s">
        <v>140</v>
      </c>
      <c r="B12381" t="s">
        <v>150</v>
      </c>
      <c r="C12381" t="s">
        <v>272</v>
      </c>
      <c r="D12381" t="s">
        <v>401</v>
      </c>
      <c r="F12381">
        <f>HYPERLINK("https://www.wikidata.org/wiki/Q111103103", "Q111103103")</f>
        <v>0</v>
      </c>
      <c r="G12381" t="s">
        <v>1219</v>
      </c>
      <c r="H12381" t="s">
        <v>5946</v>
      </c>
      <c r="I12381" t="s">
        <v>9710</v>
      </c>
      <c r="J12381" t="s">
        <v>11951</v>
      </c>
      <c r="K12381" t="s">
        <v>16353</v>
      </c>
      <c r="L12381">
        <f>HYPERLINK("https://www2.assemblee-nationale.fr/sycomore/fiche/(num_dept)/668", "668")</f>
        <v>0</v>
      </c>
      <c r="M12381">
        <f>HYPERLINK("https://www.senat.fr/senateur-3eme-republique/berger_pierre0378r3.html", "berger_pierre0378r3")</f>
        <v>0</v>
      </c>
      <c r="N12381">
        <f>HYPERLINK("https://www.wikidata.org/wiki/Q3383934", "Q3383934")</f>
        <v>0</v>
      </c>
      <c r="O12381" t="s">
        <v>20039</v>
      </c>
      <c r="Q12381" t="s">
        <v>401</v>
      </c>
      <c r="R12381" t="s">
        <v>16129</v>
      </c>
      <c r="S12381">
        <v>1455</v>
      </c>
    </row>
    <row r="12382" spans="1:19">
      <c r="A12382" t="s">
        <v>140</v>
      </c>
      <c r="B12382" t="s">
        <v>150</v>
      </c>
      <c r="C12382" t="s">
        <v>272</v>
      </c>
      <c r="D12382" t="s">
        <v>401</v>
      </c>
      <c r="F12382">
        <f>HYPERLINK("https://www.wikidata.org/wiki/Q111103103", "Q111103103")</f>
        <v>0</v>
      </c>
      <c r="G12382" t="s">
        <v>3892</v>
      </c>
      <c r="H12382" t="s">
        <v>8153</v>
      </c>
      <c r="I12382" t="s">
        <v>9388</v>
      </c>
      <c r="J12382" t="s">
        <v>14450</v>
      </c>
      <c r="K12382" t="s">
        <v>18800</v>
      </c>
      <c r="L12382">
        <f>HYPERLINK("https://www2.assemblee-nationale.fr/sycomore/fiche/(num_dept)/716", "716")</f>
        <v>0</v>
      </c>
      <c r="M12382">
        <f>HYPERLINK("https://www.senat.fr/senateur-3eme-republique/bersez_paul1400r3.html", "bersez_paul1400r3")</f>
        <v>0</v>
      </c>
      <c r="N12382">
        <f>HYPERLINK("https://www.wikidata.org/wiki/Q3370626", "Q3370626")</f>
        <v>0</v>
      </c>
      <c r="O12382" t="s">
        <v>20013</v>
      </c>
      <c r="Q12382" t="s">
        <v>401</v>
      </c>
      <c r="R12382" t="s">
        <v>16129</v>
      </c>
      <c r="S12382">
        <v>1455</v>
      </c>
    </row>
    <row r="12383" spans="1:19">
      <c r="A12383" t="s">
        <v>140</v>
      </c>
      <c r="B12383" t="s">
        <v>150</v>
      </c>
      <c r="C12383" t="s">
        <v>272</v>
      </c>
      <c r="D12383" t="s">
        <v>401</v>
      </c>
      <c r="F12383">
        <f>HYPERLINK("https://www.wikidata.org/wiki/Q111103103", "Q111103103")</f>
        <v>0</v>
      </c>
      <c r="G12383" t="s">
        <v>3955</v>
      </c>
      <c r="H12383" t="s">
        <v>8205</v>
      </c>
      <c r="I12383" t="s">
        <v>11040</v>
      </c>
      <c r="J12383" t="s">
        <v>14506</v>
      </c>
      <c r="K12383" t="s">
        <v>18852</v>
      </c>
      <c r="L12383">
        <f>HYPERLINK("https://www2.assemblee-nationale.fr/sycomore/fiche/(num_dept)/722", "722")</f>
        <v>0</v>
      </c>
      <c r="M12383">
        <f>HYPERLINK("https://www.senat.fr/senateur-3eme-republique/berthelot_andre1417r3.html", "berthelot_andre1417r3")</f>
        <v>0</v>
      </c>
      <c r="N12383">
        <f>HYPERLINK("https://www.wikidata.org/wiki/Q2847279", "Q2847279")</f>
        <v>0</v>
      </c>
      <c r="O12383" t="s">
        <v>19969</v>
      </c>
      <c r="Q12383" t="s">
        <v>401</v>
      </c>
      <c r="R12383" t="s">
        <v>21279</v>
      </c>
      <c r="S12383">
        <v>2554</v>
      </c>
    </row>
    <row r="12384" spans="1:19">
      <c r="A12384" t="s">
        <v>140</v>
      </c>
      <c r="B12384" t="s">
        <v>150</v>
      </c>
      <c r="C12384" t="s">
        <v>272</v>
      </c>
      <c r="D12384" t="s">
        <v>401</v>
      </c>
      <c r="F12384">
        <f>HYPERLINK("https://www.wikidata.org/wiki/Q111103103", "Q111103103")</f>
        <v>0</v>
      </c>
      <c r="G12384" t="s">
        <v>4096</v>
      </c>
      <c r="H12384" t="s">
        <v>8309</v>
      </c>
      <c r="I12384" t="s">
        <v>11108</v>
      </c>
      <c r="J12384" t="s">
        <v>14634</v>
      </c>
      <c r="K12384" t="s">
        <v>18970</v>
      </c>
      <c r="L12384">
        <f>HYPERLINK("https://www2.assemblee-nationale.fr/sycomore/fiche/(num_dept)/738", "738")</f>
        <v>0</v>
      </c>
      <c r="M12384">
        <f>HYPERLINK("https://www.senat.fr/senateur-3eme-republique/berthoulat_georges1656r3.html", "berthoulat_georges1656r3")</f>
        <v>0</v>
      </c>
      <c r="N12384">
        <f>HYPERLINK("https://www.wikidata.org/wiki/Q3102285", "Q3102285")</f>
        <v>0</v>
      </c>
      <c r="O12384" t="s">
        <v>19976</v>
      </c>
      <c r="Q12384" t="s">
        <v>401</v>
      </c>
      <c r="R12384" t="s">
        <v>21279</v>
      </c>
      <c r="S12384">
        <v>2554</v>
      </c>
    </row>
    <row r="12385" spans="1:19">
      <c r="A12385" t="s">
        <v>140</v>
      </c>
      <c r="B12385" t="s">
        <v>150</v>
      </c>
      <c r="C12385" t="s">
        <v>272</v>
      </c>
      <c r="D12385" t="s">
        <v>401</v>
      </c>
      <c r="F12385">
        <f>HYPERLINK("https://www.wikidata.org/wiki/Q111103103", "Q111103103")</f>
        <v>0</v>
      </c>
      <c r="G12385" t="s">
        <v>875</v>
      </c>
      <c r="H12385" t="s">
        <v>5631</v>
      </c>
      <c r="I12385" t="s">
        <v>9476</v>
      </c>
      <c r="J12385" t="s">
        <v>11621</v>
      </c>
      <c r="K12385" t="s">
        <v>16023</v>
      </c>
      <c r="L12385">
        <f>HYPERLINK("https://www2.assemblee-nationale.fr/sycomore/fiche/(num_dept)/749", "749")</f>
        <v>0</v>
      </c>
      <c r="M12385">
        <f>HYPERLINK("https://www.senat.fr/senateur-3eme-republique/besnard_rene0300r3.html", "besnard_rene0300r3")</f>
        <v>0</v>
      </c>
      <c r="N12385">
        <f>HYPERLINK("https://www.wikidata.org/wiki/Q3425839", "Q3425839")</f>
        <v>0</v>
      </c>
      <c r="O12385" t="s">
        <v>20008</v>
      </c>
      <c r="Q12385" t="s">
        <v>401</v>
      </c>
      <c r="R12385" t="s">
        <v>16129</v>
      </c>
      <c r="S12385">
        <v>1455</v>
      </c>
    </row>
    <row r="12386" spans="1:19">
      <c r="A12386" t="s">
        <v>140</v>
      </c>
      <c r="B12386" t="s">
        <v>150</v>
      </c>
      <c r="C12386" t="s">
        <v>272</v>
      </c>
      <c r="D12386" t="s">
        <v>401</v>
      </c>
      <c r="F12386">
        <f>HYPERLINK("https://www.wikidata.org/wiki/Q111103103", "Q111103103")</f>
        <v>0</v>
      </c>
      <c r="G12386" t="s">
        <v>3872</v>
      </c>
      <c r="H12386" t="s">
        <v>8140</v>
      </c>
      <c r="I12386" t="s">
        <v>6200</v>
      </c>
      <c r="J12386" t="s">
        <v>14431</v>
      </c>
      <c r="K12386" t="s">
        <v>18783</v>
      </c>
      <c r="L12386">
        <f>HYPERLINK("https://www2.assemblee-nationale.fr/sycomore/fiche/(num_dept)/790", "790")</f>
        <v>0</v>
      </c>
      <c r="M12386">
        <f>HYPERLINK("https://www.senat.fr/senateur-3eme-republique/bienvenu_martin_jean_baptiste1840r3.html", "bienvenu_martin_jean_baptiste1840r3")</f>
        <v>0</v>
      </c>
      <c r="N12386">
        <f>HYPERLINK("https://www.wikidata.org/wiki/Q325552", "Q325552")</f>
        <v>0</v>
      </c>
      <c r="O12386" t="s">
        <v>20034</v>
      </c>
      <c r="Q12386" t="s">
        <v>401</v>
      </c>
      <c r="R12386" t="s">
        <v>21279</v>
      </c>
      <c r="S12386">
        <v>2554</v>
      </c>
    </row>
    <row r="12387" spans="1:19">
      <c r="A12387" t="s">
        <v>140</v>
      </c>
      <c r="B12387" t="s">
        <v>150</v>
      </c>
      <c r="C12387" t="s">
        <v>272</v>
      </c>
      <c r="D12387" t="s">
        <v>401</v>
      </c>
      <c r="F12387">
        <f>HYPERLINK("https://www.wikidata.org/wiki/Q111103103", "Q111103103")</f>
        <v>0</v>
      </c>
      <c r="G12387" t="s">
        <v>3409</v>
      </c>
      <c r="H12387" t="s">
        <v>7796</v>
      </c>
      <c r="I12387" t="s">
        <v>9401</v>
      </c>
      <c r="J12387" t="s">
        <v>14015</v>
      </c>
      <c r="K12387" t="s">
        <v>18383</v>
      </c>
      <c r="L12387">
        <f>HYPERLINK("https://www2.assemblee-nationale.fr/sycomore/fiche/(num_dept)/965", "965")</f>
        <v>0</v>
      </c>
      <c r="M12387">
        <f>HYPERLINK("https://www.senat.fr/senateur-3eme-republique/bony_cisternes_antoine0999r3.html", "bony_cisternes_antoine0999r3")</f>
        <v>0</v>
      </c>
      <c r="N12387">
        <f>HYPERLINK("https://www.wikidata.org/wiki/Q2853703", "Q2853703")</f>
        <v>0</v>
      </c>
      <c r="O12387" t="s">
        <v>20005</v>
      </c>
      <c r="Q12387" t="s">
        <v>401</v>
      </c>
      <c r="R12387" t="s">
        <v>21279</v>
      </c>
      <c r="S12387">
        <v>2554</v>
      </c>
    </row>
    <row r="12388" spans="1:19">
      <c r="A12388" t="s">
        <v>140</v>
      </c>
      <c r="B12388" t="s">
        <v>150</v>
      </c>
      <c r="C12388" t="s">
        <v>272</v>
      </c>
      <c r="D12388" t="s">
        <v>401</v>
      </c>
      <c r="F12388">
        <f>HYPERLINK("https://www.wikidata.org/wiki/Q111103103", "Q111103103")</f>
        <v>0</v>
      </c>
      <c r="G12388" t="s">
        <v>541</v>
      </c>
      <c r="H12388" t="s">
        <v>5305</v>
      </c>
      <c r="I12388" t="s">
        <v>9402</v>
      </c>
      <c r="J12388" t="s">
        <v>11293</v>
      </c>
      <c r="K12388" t="s">
        <v>15693</v>
      </c>
      <c r="L12388">
        <f>HYPERLINK("https://www2.assemblee-nationale.fr/sycomore/fiche/(num_dept)/1016", "1016")</f>
        <v>0</v>
      </c>
      <c r="M12388">
        <f>HYPERLINK("https://www.senat.fr/senateur-3eme-republique/bouctot_georges1611r3.html", "bouctot_georges1611r3")</f>
        <v>0</v>
      </c>
      <c r="N12388">
        <f>HYPERLINK("https://www.wikidata.org/wiki/Q3102338", "Q3102338")</f>
        <v>0</v>
      </c>
      <c r="O12388" t="s">
        <v>19978</v>
      </c>
      <c r="Q12388" t="s">
        <v>401</v>
      </c>
      <c r="R12388" t="s">
        <v>21279</v>
      </c>
      <c r="S12388">
        <v>2554</v>
      </c>
    </row>
    <row r="12389" spans="1:19">
      <c r="A12389" t="s">
        <v>140</v>
      </c>
      <c r="B12389" t="s">
        <v>150</v>
      </c>
      <c r="C12389" t="s">
        <v>272</v>
      </c>
      <c r="D12389" t="s">
        <v>401</v>
      </c>
      <c r="F12389">
        <f>HYPERLINK("https://www.wikidata.org/wiki/Q111103103", "Q111103103")</f>
        <v>0</v>
      </c>
      <c r="G12389" t="s">
        <v>3411</v>
      </c>
      <c r="H12389" t="s">
        <v>7797</v>
      </c>
      <c r="I12389" t="s">
        <v>10816</v>
      </c>
      <c r="J12389" t="s">
        <v>14017</v>
      </c>
      <c r="K12389" t="s">
        <v>18385</v>
      </c>
      <c r="L12389">
        <f>HYPERLINK("https://www2.assemblee-nationale.fr/sycomore/fiche/(num_dept)/1018", "1018")</f>
        <v>0</v>
      </c>
      <c r="M12389">
        <f>HYPERLINK("https://www.senat.fr/senateur-3eme-republique/boudenoot_louis0930r3.html", "boudenoot_louis0930r3")</f>
        <v>0</v>
      </c>
      <c r="N12389">
        <f>HYPERLINK("https://www.wikidata.org/wiki/Q3261324", "Q3261324")</f>
        <v>0</v>
      </c>
      <c r="O12389" t="s">
        <v>19968</v>
      </c>
      <c r="Q12389" t="s">
        <v>401</v>
      </c>
      <c r="R12389" t="s">
        <v>21650</v>
      </c>
      <c r="S12389">
        <v>9415</v>
      </c>
    </row>
    <row r="12390" spans="1:19">
      <c r="A12390" t="s">
        <v>140</v>
      </c>
      <c r="B12390" t="s">
        <v>150</v>
      </c>
      <c r="C12390" t="s">
        <v>272</v>
      </c>
      <c r="D12390" t="s">
        <v>401</v>
      </c>
      <c r="F12390">
        <f>HYPERLINK("https://www.wikidata.org/wiki/Q111103103", "Q111103103")</f>
        <v>0</v>
      </c>
      <c r="G12390" t="s">
        <v>3373</v>
      </c>
      <c r="H12390" t="s">
        <v>7083</v>
      </c>
      <c r="I12390" t="s">
        <v>5528</v>
      </c>
      <c r="J12390" t="s">
        <v>13985</v>
      </c>
      <c r="K12390" t="s">
        <v>18353</v>
      </c>
      <c r="L12390">
        <f>HYPERLINK("https://www2.assemblee-nationale.fr/sycomore/fiche/(num_dept)/1083", "1083")</f>
        <v>0</v>
      </c>
      <c r="M12390">
        <f>HYPERLINK("https://www.senat.fr/senateur-3eme-republique/bourgeois_leon0647r3.html", "bourgeois_leon0647r3")</f>
        <v>0</v>
      </c>
      <c r="N12390">
        <f>HYPERLINK("https://www.wikidata.org/wiki/Q217706", "Q217706")</f>
        <v>0</v>
      </c>
      <c r="O12390" t="s">
        <v>20025</v>
      </c>
      <c r="Q12390" t="s">
        <v>401</v>
      </c>
      <c r="R12390" t="s">
        <v>16129</v>
      </c>
      <c r="S12390">
        <v>1455</v>
      </c>
    </row>
    <row r="12391" spans="1:19">
      <c r="A12391" t="s">
        <v>140</v>
      </c>
      <c r="B12391" t="s">
        <v>150</v>
      </c>
      <c r="C12391" t="s">
        <v>272</v>
      </c>
      <c r="D12391" t="s">
        <v>401</v>
      </c>
      <c r="F12391">
        <f>HYPERLINK("https://www.wikidata.org/wiki/Q111103103", "Q111103103")</f>
        <v>0</v>
      </c>
      <c r="G12391" t="s">
        <v>549</v>
      </c>
      <c r="H12391" t="s">
        <v>5312</v>
      </c>
      <c r="I12391" t="s">
        <v>6200</v>
      </c>
      <c r="J12391" t="s">
        <v>11301</v>
      </c>
      <c r="K12391" t="s">
        <v>15701</v>
      </c>
      <c r="L12391">
        <f>HYPERLINK("https://www2.assemblee-nationale.fr/sycomore/fiche/(num_dept)/1138", "1138")</f>
        <v>0</v>
      </c>
      <c r="M12391">
        <f>HYPERLINK("https://www.senat.fr/senateur-3eme-republique/bouveri_jean1220r3.html", "bouveri_jean1220r3")</f>
        <v>0</v>
      </c>
      <c r="N12391">
        <f>HYPERLINK("https://www.wikidata.org/wiki/Q3170948", "Q3170948")</f>
        <v>0</v>
      </c>
      <c r="O12391" t="s">
        <v>19994</v>
      </c>
      <c r="Q12391" t="s">
        <v>401</v>
      </c>
      <c r="R12391" t="s">
        <v>21702</v>
      </c>
      <c r="S12391">
        <v>1662</v>
      </c>
    </row>
    <row r="12392" spans="1:19">
      <c r="A12392" t="s">
        <v>140</v>
      </c>
      <c r="B12392" t="s">
        <v>150</v>
      </c>
      <c r="C12392" t="s">
        <v>272</v>
      </c>
      <c r="D12392" t="s">
        <v>401</v>
      </c>
      <c r="F12392">
        <f>HYPERLINK("https://www.wikidata.org/wiki/Q111103103", "Q111103103")</f>
        <v>0</v>
      </c>
      <c r="G12392" t="s">
        <v>890</v>
      </c>
      <c r="H12392" t="s">
        <v>5646</v>
      </c>
      <c r="I12392" t="s">
        <v>9577</v>
      </c>
      <c r="J12392" t="s">
        <v>11636</v>
      </c>
      <c r="K12392" t="s">
        <v>16036</v>
      </c>
      <c r="L12392">
        <f>HYPERLINK("https://www2.assemblee-nationale.fr/sycomore/fiche/(num_dept)/1234", "1234")</f>
        <v>0</v>
      </c>
      <c r="M12392">
        <f>HYPERLINK("https://www.senat.fr/senateur-3eme-republique/brindeau_louis1617r3.html", "brindeau_louis1617r3")</f>
        <v>0</v>
      </c>
      <c r="N12392">
        <f>HYPERLINK("https://www.wikidata.org/wiki/Q3261358", "Q3261358")</f>
        <v>0</v>
      </c>
      <c r="O12392" t="s">
        <v>19978</v>
      </c>
      <c r="Q12392" t="s">
        <v>401</v>
      </c>
      <c r="R12392" t="s">
        <v>21279</v>
      </c>
      <c r="S12392">
        <v>2554</v>
      </c>
    </row>
    <row r="12393" spans="1:19">
      <c r="A12393" t="s">
        <v>140</v>
      </c>
      <c r="B12393" t="s">
        <v>150</v>
      </c>
      <c r="C12393" t="s">
        <v>272</v>
      </c>
      <c r="D12393" t="s">
        <v>401</v>
      </c>
      <c r="F12393">
        <f>HYPERLINK("https://www.wikidata.org/wiki/Q111103103", "Q111103103")</f>
        <v>0</v>
      </c>
      <c r="G12393" t="s">
        <v>4056</v>
      </c>
      <c r="H12393" t="s">
        <v>8280</v>
      </c>
      <c r="I12393" t="s">
        <v>11084</v>
      </c>
      <c r="J12393" t="s">
        <v>14596</v>
      </c>
      <c r="K12393" t="s">
        <v>18934</v>
      </c>
      <c r="L12393">
        <f>HYPERLINK("https://www2.assemblee-nationale.fr/sycomore/fiche/(num_dept)/1517", "1517")</f>
        <v>0</v>
      </c>
      <c r="M12393">
        <f>HYPERLINK("https://www.senat.fr/senateur-3eme-republique/catalogne_jacques1059r3.html", "catalogne_jacques1059r3")</f>
        <v>0</v>
      </c>
      <c r="N12393">
        <f>HYPERLINK("https://www.wikidata.org/wiki/Q3012747", "Q3012747")</f>
        <v>0</v>
      </c>
      <c r="O12393" t="s">
        <v>19970</v>
      </c>
      <c r="Q12393" t="s">
        <v>401</v>
      </c>
      <c r="R12393" t="s">
        <v>21279</v>
      </c>
      <c r="S12393">
        <v>2554</v>
      </c>
    </row>
    <row r="12394" spans="1:19">
      <c r="A12394" t="s">
        <v>140</v>
      </c>
      <c r="B12394" t="s">
        <v>150</v>
      </c>
      <c r="C12394" t="s">
        <v>272</v>
      </c>
      <c r="D12394" t="s">
        <v>401</v>
      </c>
      <c r="F12394">
        <f>HYPERLINK("https://www.wikidata.org/wiki/Q111103103", "Q111103103")</f>
        <v>0</v>
      </c>
      <c r="G12394" t="s">
        <v>3959</v>
      </c>
      <c r="H12394" t="s">
        <v>8209</v>
      </c>
      <c r="I12394" t="s">
        <v>9442</v>
      </c>
      <c r="J12394" t="s">
        <v>14510</v>
      </c>
      <c r="K12394" t="s">
        <v>18855</v>
      </c>
      <c r="L12394">
        <f>HYPERLINK("https://www2.assemblee-nationale.fr/sycomore/fiche/(num_dept)/1538", "1538")</f>
        <v>0</v>
      </c>
      <c r="M12394">
        <f>HYPERLINK("https://www.senat.fr/senateur-3eme-republique/cauvin_ernest1658r3.html", "cauvin_ernest1658r3")</f>
        <v>0</v>
      </c>
      <c r="N12394">
        <f>HYPERLINK("https://www.wikidata.org/wiki/Q3056877", "Q3056877")</f>
        <v>0</v>
      </c>
      <c r="O12394" t="s">
        <v>20012</v>
      </c>
      <c r="Q12394" t="s">
        <v>401</v>
      </c>
      <c r="R12394" t="s">
        <v>21650</v>
      </c>
      <c r="S12394">
        <v>9415</v>
      </c>
    </row>
    <row r="12395" spans="1:19">
      <c r="A12395" t="s">
        <v>140</v>
      </c>
      <c r="B12395" t="s">
        <v>150</v>
      </c>
      <c r="C12395" t="s">
        <v>272</v>
      </c>
      <c r="D12395" t="s">
        <v>401</v>
      </c>
      <c r="F12395">
        <f>HYPERLINK("https://www.wikidata.org/wiki/Q111103103", "Q111103103")</f>
        <v>0</v>
      </c>
      <c r="G12395" t="s">
        <v>904</v>
      </c>
      <c r="H12395" t="s">
        <v>5660</v>
      </c>
      <c r="I12395" t="s">
        <v>9583</v>
      </c>
      <c r="J12395" t="s">
        <v>11649</v>
      </c>
      <c r="K12395" t="s">
        <v>16048</v>
      </c>
      <c r="L12395">
        <f>HYPERLINK("https://www2.assemblee-nationale.fr/sycomore/fiche/(num_dept)/1634", "1634")</f>
        <v>0</v>
      </c>
      <c r="M12395">
        <f>HYPERLINK("https://www.senat.fr/senateur-3eme-republique/chanal_jean0017r3.html", "chanal_jean0017r3")</f>
        <v>0</v>
      </c>
      <c r="N12395">
        <f>HYPERLINK("https://www.wikidata.org/wiki/Q3059763", "Q3059763")</f>
        <v>0</v>
      </c>
      <c r="O12395" t="s">
        <v>19986</v>
      </c>
      <c r="Q12395" t="s">
        <v>401</v>
      </c>
      <c r="R12395" t="s">
        <v>21700</v>
      </c>
      <c r="S12395">
        <v>363</v>
      </c>
    </row>
    <row r="12396" spans="1:19">
      <c r="A12396" t="s">
        <v>140</v>
      </c>
      <c r="B12396" t="s">
        <v>150</v>
      </c>
      <c r="C12396" t="s">
        <v>272</v>
      </c>
      <c r="D12396" t="s">
        <v>401</v>
      </c>
      <c r="F12396">
        <f>HYPERLINK("https://www.wikidata.org/wiki/Q111103103", "Q111103103")</f>
        <v>0</v>
      </c>
      <c r="G12396" t="s">
        <v>1239</v>
      </c>
      <c r="H12396" t="s">
        <v>5964</v>
      </c>
      <c r="I12396" t="s">
        <v>9723</v>
      </c>
      <c r="J12396" t="s">
        <v>11970</v>
      </c>
      <c r="K12396" t="s">
        <v>16373</v>
      </c>
      <c r="L12396">
        <f>HYPERLINK("https://www2.assemblee-nationale.fr/sycomore/fiche/(num_dept)/1678", "1678")</f>
        <v>0</v>
      </c>
      <c r="M12396">
        <f>HYPERLINK("https://www.senat.fr/senateur-3eme-republique/charpentier_leon0163r3.html", "charpentier_leon0163r3")</f>
        <v>0</v>
      </c>
      <c r="N12396">
        <f>HYPERLINK("https://www.wikidata.org/wiki/Q3270817", "Q3270817")</f>
        <v>0</v>
      </c>
      <c r="O12396" t="s">
        <v>19959</v>
      </c>
      <c r="Q12396" t="s">
        <v>401</v>
      </c>
      <c r="R12396" t="s">
        <v>21700</v>
      </c>
      <c r="S12396">
        <v>363</v>
      </c>
    </row>
    <row r="12397" spans="1:19">
      <c r="A12397" t="s">
        <v>140</v>
      </c>
      <c r="B12397" t="s">
        <v>150</v>
      </c>
      <c r="C12397" t="s">
        <v>272</v>
      </c>
      <c r="D12397" t="s">
        <v>401</v>
      </c>
      <c r="F12397">
        <f>HYPERLINK("https://www.wikidata.org/wiki/Q111103103", "Q111103103")</f>
        <v>0</v>
      </c>
      <c r="G12397" t="s">
        <v>570</v>
      </c>
      <c r="H12397" t="s">
        <v>5333</v>
      </c>
      <c r="I12397" t="s">
        <v>9423</v>
      </c>
      <c r="J12397" t="s">
        <v>11321</v>
      </c>
      <c r="K12397" t="s">
        <v>15722</v>
      </c>
      <c r="L12397">
        <f>HYPERLINK("https://www2.assemblee-nationale.fr/sycomore/fiche/(num_dept)/1701", "1701")</f>
        <v>0</v>
      </c>
      <c r="M12397">
        <f>HYPERLINK("https://www.senat.fr/senateur-3eme-republique/chastenet_de_castaing_guillaume0201r3.html", "chastenet_de_castaing_guillaume0201r3")</f>
        <v>0</v>
      </c>
      <c r="N12397">
        <f>HYPERLINK("https://www.wikidata.org/wiki/Q3119745", "Q3119745")</f>
        <v>0</v>
      </c>
      <c r="O12397" t="s">
        <v>19987</v>
      </c>
      <c r="Q12397" t="s">
        <v>401</v>
      </c>
      <c r="R12397" t="s">
        <v>16129</v>
      </c>
      <c r="S12397">
        <v>1455</v>
      </c>
    </row>
    <row r="12398" spans="1:19">
      <c r="A12398" t="s">
        <v>140</v>
      </c>
      <c r="B12398" t="s">
        <v>150</v>
      </c>
      <c r="C12398" t="s">
        <v>272</v>
      </c>
      <c r="D12398" t="s">
        <v>401</v>
      </c>
      <c r="F12398">
        <f>HYPERLINK("https://www.wikidata.org/wiki/Q111103103", "Q111103103")</f>
        <v>0</v>
      </c>
      <c r="G12398" t="s">
        <v>574</v>
      </c>
      <c r="H12398" t="s">
        <v>5337</v>
      </c>
      <c r="I12398" t="s">
        <v>9426</v>
      </c>
      <c r="J12398" t="s">
        <v>11325</v>
      </c>
      <c r="K12398" t="s">
        <v>15726</v>
      </c>
      <c r="L12398">
        <f>HYPERLINK("https://www2.assemblee-nationale.fr/sycomore/fiche/(num_dept)/1725", "1725")</f>
        <v>0</v>
      </c>
      <c r="M12398">
        <f>HYPERLINK("https://www.senat.fr/senateur-3eme-republique/chautemps_alphonse0309r3.html", "chautemps_alphonse0309r3")</f>
        <v>0</v>
      </c>
      <c r="N12398">
        <f>HYPERLINK("https://www.wikidata.org/wiki/Q2839734", "Q2839734")</f>
        <v>0</v>
      </c>
      <c r="O12398" t="s">
        <v>20008</v>
      </c>
      <c r="Q12398" t="s">
        <v>401</v>
      </c>
      <c r="R12398" t="s">
        <v>16129</v>
      </c>
      <c r="S12398">
        <v>1455</v>
      </c>
    </row>
    <row r="12399" spans="1:19">
      <c r="A12399" t="s">
        <v>140</v>
      </c>
      <c r="B12399" t="s">
        <v>150</v>
      </c>
      <c r="C12399" t="s">
        <v>272</v>
      </c>
      <c r="D12399" t="s">
        <v>401</v>
      </c>
      <c r="F12399">
        <f>HYPERLINK("https://www.wikidata.org/wiki/Q111103103", "Q111103103")</f>
        <v>0</v>
      </c>
      <c r="G12399" t="s">
        <v>579</v>
      </c>
      <c r="H12399" t="s">
        <v>5341</v>
      </c>
      <c r="I12399" t="s">
        <v>5394</v>
      </c>
      <c r="J12399" t="s">
        <v>11330</v>
      </c>
      <c r="K12399" t="s">
        <v>15731</v>
      </c>
      <c r="L12399">
        <f>HYPERLINK("https://www2.assemblee-nationale.fr/sycomore/fiche/(num_dept)/1849", "1849")</f>
        <v>0</v>
      </c>
      <c r="M12399">
        <f>HYPERLINK("https://www.senat.fr/senateur-3eme-republique/clementel_etienne1006r3.html", "clementel_etienne1006r3")</f>
        <v>0</v>
      </c>
      <c r="N12399">
        <f>HYPERLINK("https://www.wikidata.org/wiki/Q3592114", "Q3592114")</f>
        <v>0</v>
      </c>
      <c r="O12399" t="s">
        <v>20005</v>
      </c>
      <c r="Q12399" t="s">
        <v>401</v>
      </c>
      <c r="R12399" t="s">
        <v>21279</v>
      </c>
      <c r="S12399">
        <v>2554</v>
      </c>
    </row>
    <row r="12400" spans="1:19">
      <c r="A12400" t="s">
        <v>140</v>
      </c>
      <c r="B12400" t="s">
        <v>150</v>
      </c>
      <c r="C12400" t="s">
        <v>272</v>
      </c>
      <c r="D12400" t="s">
        <v>401</v>
      </c>
      <c r="F12400">
        <f>HYPERLINK("https://www.wikidata.org/wiki/Q111103103", "Q111103103")</f>
        <v>0</v>
      </c>
      <c r="G12400" t="s">
        <v>2540</v>
      </c>
      <c r="H12400" t="s">
        <v>7100</v>
      </c>
      <c r="I12400" t="s">
        <v>10276</v>
      </c>
      <c r="J12400" t="s">
        <v>13184</v>
      </c>
      <c r="K12400" t="s">
        <v>17589</v>
      </c>
      <c r="L12400">
        <f>HYPERLINK("https://www2.assemblee-nationale.fr/sycomore/fiche/(num_dept)/1878", "1878")</f>
        <v>0</v>
      </c>
      <c r="M12400">
        <f>HYPERLINK("https://www.senat.fr/senateur-3eme-republique/codet_jean1786r3.html", "codet_jean1786r3")</f>
        <v>0</v>
      </c>
      <c r="N12400">
        <f>HYPERLINK("https://www.wikidata.org/wiki/Q3171361", "Q3171361")</f>
        <v>0</v>
      </c>
      <c r="O12400" t="s">
        <v>19977</v>
      </c>
      <c r="Q12400" t="s">
        <v>401</v>
      </c>
      <c r="R12400" t="s">
        <v>21650</v>
      </c>
      <c r="S12400">
        <v>9415</v>
      </c>
    </row>
    <row r="12401" spans="1:19">
      <c r="A12401" t="s">
        <v>140</v>
      </c>
      <c r="B12401" t="s">
        <v>150</v>
      </c>
      <c r="C12401" t="s">
        <v>272</v>
      </c>
      <c r="D12401" t="s">
        <v>401</v>
      </c>
      <c r="F12401">
        <f>HYPERLINK("https://www.wikidata.org/wiki/Q111103103", "Q111103103")</f>
        <v>0</v>
      </c>
      <c r="G12401" t="s">
        <v>3863</v>
      </c>
      <c r="H12401" t="s">
        <v>8133</v>
      </c>
      <c r="I12401" t="s">
        <v>9455</v>
      </c>
      <c r="J12401" t="s">
        <v>14422</v>
      </c>
      <c r="K12401" t="s">
        <v>18775</v>
      </c>
      <c r="L12401">
        <f>HYPERLINK("https://www2.assemblee-nationale.fr/sycomore/fiche/(num_dept)/1969", "1969")</f>
        <v>0</v>
      </c>
      <c r="M12401">
        <f>HYPERLINK("https://www.senat.fr/senateur-3eme-republique/cornet_lucien1850r3.html", "cornet_lucien1850r3")</f>
        <v>0</v>
      </c>
      <c r="N12401">
        <f>HYPERLINK("https://www.wikidata.org/wiki/Q3265439", "Q3265439")</f>
        <v>0</v>
      </c>
      <c r="O12401" t="s">
        <v>20034</v>
      </c>
      <c r="Q12401" t="s">
        <v>401</v>
      </c>
      <c r="R12401" t="s">
        <v>21650</v>
      </c>
      <c r="S12401">
        <v>9415</v>
      </c>
    </row>
    <row r="12402" spans="1:19">
      <c r="A12402" t="s">
        <v>140</v>
      </c>
      <c r="B12402" t="s">
        <v>150</v>
      </c>
      <c r="C12402" t="s">
        <v>272</v>
      </c>
      <c r="D12402" t="s">
        <v>401</v>
      </c>
      <c r="F12402">
        <f>HYPERLINK("https://www.wikidata.org/wiki/Q111103103", "Q111103103")</f>
        <v>0</v>
      </c>
      <c r="G12402" t="s">
        <v>590</v>
      </c>
      <c r="H12402" t="s">
        <v>5351</v>
      </c>
      <c r="I12402" t="s">
        <v>9439</v>
      </c>
      <c r="J12402" t="s">
        <v>11341</v>
      </c>
      <c r="K12402" t="s">
        <v>15742</v>
      </c>
      <c r="L12402">
        <f>HYPERLINK("https://www2.assemblee-nationale.fr/sycomore/fiche/(num_dept)/1989", "1989")</f>
        <v>0</v>
      </c>
      <c r="M12402">
        <f>HYPERLINK("https://www.senat.fr/senateur-3eme-republique/cosnier_henri0280r3.html", "cosnier_henri0280r3")</f>
        <v>0</v>
      </c>
      <c r="N12402">
        <f>HYPERLINK("https://www.wikidata.org/wiki/Q3130887", "Q3130887")</f>
        <v>0</v>
      </c>
      <c r="O12402" t="s">
        <v>19975</v>
      </c>
      <c r="Q12402" t="s">
        <v>401</v>
      </c>
      <c r="R12402" t="s">
        <v>16129</v>
      </c>
      <c r="S12402">
        <v>1455</v>
      </c>
    </row>
    <row r="12403" spans="1:19">
      <c r="A12403" t="s">
        <v>140</v>
      </c>
      <c r="B12403" t="s">
        <v>150</v>
      </c>
      <c r="C12403" t="s">
        <v>272</v>
      </c>
      <c r="D12403" t="s">
        <v>401</v>
      </c>
      <c r="F12403">
        <f>HYPERLINK("https://www.wikidata.org/wiki/Q111103103", "Q111103103")</f>
        <v>0</v>
      </c>
      <c r="G12403" t="s">
        <v>594</v>
      </c>
      <c r="H12403" t="s">
        <v>5355</v>
      </c>
      <c r="I12403" t="s">
        <v>6200</v>
      </c>
      <c r="J12403" t="s">
        <v>11345</v>
      </c>
      <c r="K12403" t="s">
        <v>15746</v>
      </c>
      <c r="L12403">
        <f>HYPERLINK("https://www2.assemblee-nationale.fr/sycomore/fiche/(num_dept)/2080", "2080")</f>
        <v>0</v>
      </c>
      <c r="M12403">
        <f>HYPERLINK("https://www.senat.fr/senateur-3eme-republique/cruppi_jean0109r3.html", "cruppi_jean0109r3")</f>
        <v>0</v>
      </c>
      <c r="N12403">
        <f>HYPERLINK("https://www.wikidata.org/wiki/Q730383", "Q730383")</f>
        <v>0</v>
      </c>
      <c r="O12403" t="s">
        <v>20016</v>
      </c>
      <c r="Q12403" t="s">
        <v>401</v>
      </c>
      <c r="R12403" t="s">
        <v>16129</v>
      </c>
      <c r="S12403">
        <v>1455</v>
      </c>
    </row>
    <row r="12404" spans="1:19">
      <c r="A12404" t="s">
        <v>140</v>
      </c>
      <c r="B12404" t="s">
        <v>150</v>
      </c>
      <c r="C12404" t="s">
        <v>272</v>
      </c>
      <c r="D12404" t="s">
        <v>401</v>
      </c>
      <c r="F12404">
        <f>HYPERLINK("https://www.wikidata.org/wiki/Q111103103", "Q111103103")</f>
        <v>0</v>
      </c>
      <c r="G12404" t="s">
        <v>596</v>
      </c>
      <c r="H12404" t="s">
        <v>5357</v>
      </c>
      <c r="I12404" t="s">
        <v>9443</v>
      </c>
      <c r="J12404" t="s">
        <v>11347</v>
      </c>
      <c r="K12404" t="s">
        <v>15748</v>
      </c>
      <c r="L12404">
        <f>HYPERLINK("https://www2.assemblee-nationale.fr/sycomore/fiche/(num_dept)/2091", "2091")</f>
        <v>0</v>
      </c>
      <c r="M12404">
        <f>HYPERLINK("https://www.senat.fr/senateur-3eme-republique/cuttoli_paul0695r3.html", "cuttoli_paul0695r3")</f>
        <v>0</v>
      </c>
      <c r="N12404">
        <f>HYPERLINK("https://www.wikidata.org/wiki/Q3370965", "Q3370965")</f>
        <v>0</v>
      </c>
      <c r="Q12404" t="s">
        <v>401</v>
      </c>
      <c r="R12404" t="s">
        <v>16129</v>
      </c>
      <c r="S12404">
        <v>1455</v>
      </c>
    </row>
    <row r="12405" spans="1:19">
      <c r="A12405" t="s">
        <v>140</v>
      </c>
      <c r="B12405" t="s">
        <v>150</v>
      </c>
      <c r="C12405" t="s">
        <v>272</v>
      </c>
      <c r="D12405" t="s">
        <v>401</v>
      </c>
      <c r="F12405">
        <f>HYPERLINK("https://www.wikidata.org/wiki/Q111103103", "Q111103103")</f>
        <v>0</v>
      </c>
      <c r="G12405" t="s">
        <v>3962</v>
      </c>
      <c r="H12405" t="s">
        <v>8211</v>
      </c>
      <c r="I12405" t="s">
        <v>6519</v>
      </c>
      <c r="J12405" t="s">
        <v>14513</v>
      </c>
      <c r="K12405" t="s">
        <v>18857</v>
      </c>
      <c r="L12405">
        <f>HYPERLINK("https://www2.assemblee-nationale.fr/sycomore/fiche/(num_dept)/2155", "2155")</f>
        <v>0</v>
      </c>
      <c r="M12405">
        <f>HYPERLINK("https://www.senat.fr/senateur-3eme-republique/daude_gleize_paulin0860r3.html", "daude_gleize_paulin0860r3")</f>
        <v>0</v>
      </c>
      <c r="N12405">
        <f>HYPERLINK("https://www.wikidata.org/wiki/Q3372661", "Q3372661")</f>
        <v>0</v>
      </c>
      <c r="O12405" t="s">
        <v>20004</v>
      </c>
      <c r="Q12405" t="s">
        <v>401</v>
      </c>
      <c r="R12405" t="s">
        <v>16129</v>
      </c>
      <c r="S12405">
        <v>1455</v>
      </c>
    </row>
    <row r="12406" spans="1:19">
      <c r="A12406" t="s">
        <v>140</v>
      </c>
      <c r="B12406" t="s">
        <v>150</v>
      </c>
      <c r="C12406" t="s">
        <v>272</v>
      </c>
      <c r="D12406" t="s">
        <v>401</v>
      </c>
      <c r="F12406">
        <f>HYPERLINK("https://www.wikidata.org/wiki/Q111103103", "Q111103103")</f>
        <v>0</v>
      </c>
      <c r="G12406" t="s">
        <v>600</v>
      </c>
      <c r="H12406" t="s">
        <v>5361</v>
      </c>
      <c r="I12406" t="s">
        <v>9446</v>
      </c>
      <c r="J12406" t="s">
        <v>11351</v>
      </c>
      <c r="K12406" t="s">
        <v>15752</v>
      </c>
      <c r="L12406">
        <f>HYPERLINK("https://www2.assemblee-nationale.fr/sycomore/fiche/(num_dept)/2171", "2171")</f>
        <v>0</v>
      </c>
      <c r="M12406">
        <f>HYPERLINK("https://www.senat.fr/senateur-3eme-republique/david_fernand1309r3.html", "david_fernand1309r3")</f>
        <v>0</v>
      </c>
      <c r="N12406">
        <f>HYPERLINK("https://www.wikidata.org/wiki/Q3069115", "Q3069115")</f>
        <v>0</v>
      </c>
      <c r="O12406" t="s">
        <v>20018</v>
      </c>
      <c r="Q12406" t="s">
        <v>401</v>
      </c>
      <c r="R12406" t="s">
        <v>21279</v>
      </c>
      <c r="S12406">
        <v>2554</v>
      </c>
    </row>
    <row r="12407" spans="1:19">
      <c r="A12407" t="s">
        <v>140</v>
      </c>
      <c r="B12407" t="s">
        <v>150</v>
      </c>
      <c r="C12407" t="s">
        <v>272</v>
      </c>
      <c r="D12407" t="s">
        <v>401</v>
      </c>
      <c r="F12407">
        <f>HYPERLINK("https://www.wikidata.org/wiki/Q111103103", "Q111103103")</f>
        <v>0</v>
      </c>
      <c r="G12407" t="s">
        <v>4175</v>
      </c>
      <c r="H12407" t="s">
        <v>8373</v>
      </c>
      <c r="I12407" t="s">
        <v>11149</v>
      </c>
      <c r="J12407" t="s">
        <v>14696</v>
      </c>
      <c r="K12407" t="s">
        <v>16544</v>
      </c>
      <c r="L12407">
        <f>HYPERLINK("https://www2.assemblee-nationale.fr/sycomore/fiche/(num_dept)/2235", "2235")</f>
        <v>0</v>
      </c>
      <c r="M12407">
        <f>HYPERLINK("https://www.senat.fr/senateur-3eme-republique/dehove_joseph1380r3.html", "dehove_joseph1380r3")</f>
        <v>0</v>
      </c>
      <c r="N12407">
        <f>HYPERLINK("https://www.wikidata.org/wiki/Q3184820", "Q3184820")</f>
        <v>0</v>
      </c>
      <c r="O12407" t="s">
        <v>20013</v>
      </c>
      <c r="Q12407" t="s">
        <v>401</v>
      </c>
      <c r="R12407" t="s">
        <v>21650</v>
      </c>
      <c r="S12407">
        <v>9415</v>
      </c>
    </row>
    <row r="12408" spans="1:19">
      <c r="A12408" t="s">
        <v>140</v>
      </c>
      <c r="B12408" t="s">
        <v>150</v>
      </c>
      <c r="C12408" t="s">
        <v>272</v>
      </c>
      <c r="D12408" t="s">
        <v>401</v>
      </c>
      <c r="F12408">
        <f>HYPERLINK("https://www.wikidata.org/wiki/Q111103103", "Q111103103")</f>
        <v>0</v>
      </c>
      <c r="G12408" t="s">
        <v>606</v>
      </c>
      <c r="H12408" t="s">
        <v>5366</v>
      </c>
      <c r="I12408" t="s">
        <v>9449</v>
      </c>
      <c r="J12408" t="s">
        <v>11357</v>
      </c>
      <c r="K12408" t="s">
        <v>15758</v>
      </c>
      <c r="L12408">
        <f>HYPERLINK("https://www2.assemblee-nationale.fr/sycomore/fiche/(num_dept)/2254", "2254")</f>
        <v>0</v>
      </c>
      <c r="M12408">
        <f>HYPERLINK("https://www.senat.fr/senateur-3eme-republique/delahaye_jules1154r3.html", "delahaye_jules1154r3")</f>
        <v>0</v>
      </c>
      <c r="N12408">
        <f>HYPERLINK("https://www.wikidata.org/wiki/Q3188522", "Q3188522")</f>
        <v>0</v>
      </c>
      <c r="O12408" t="s">
        <v>19980</v>
      </c>
      <c r="Q12408" t="s">
        <v>401</v>
      </c>
      <c r="R12408" t="s">
        <v>16129</v>
      </c>
      <c r="S12408">
        <v>1455</v>
      </c>
    </row>
    <row r="12409" spans="1:19">
      <c r="A12409" t="s">
        <v>140</v>
      </c>
      <c r="B12409" t="s">
        <v>150</v>
      </c>
      <c r="C12409" t="s">
        <v>272</v>
      </c>
      <c r="D12409" t="s">
        <v>401</v>
      </c>
      <c r="F12409">
        <f>HYPERLINK("https://www.wikidata.org/wiki/Q111103103", "Q111103103")</f>
        <v>0</v>
      </c>
      <c r="G12409" t="s">
        <v>925</v>
      </c>
      <c r="H12409" t="s">
        <v>5681</v>
      </c>
      <c r="I12409" t="s">
        <v>9591</v>
      </c>
      <c r="J12409" t="s">
        <v>11667</v>
      </c>
      <c r="K12409" t="s">
        <v>16068</v>
      </c>
      <c r="L12409">
        <f>HYPERLINK("https://www2.assemblee-nationale.fr/sycomore/fiche/(num_dept)/2327", "2327")</f>
        <v>0</v>
      </c>
      <c r="M12409">
        <f>HYPERLINK("https://www.senat.fr/senateur-3eme-republique/deloncle_charles1374r3.html", "deloncle_charles1374r3")</f>
        <v>0</v>
      </c>
      <c r="N12409">
        <f>HYPERLINK("https://www.wikidata.org/wiki/Q2958871", "Q2958871")</f>
        <v>0</v>
      </c>
      <c r="O12409" t="s">
        <v>19969</v>
      </c>
      <c r="Q12409" t="s">
        <v>401</v>
      </c>
      <c r="R12409" t="s">
        <v>21279</v>
      </c>
      <c r="S12409">
        <v>2554</v>
      </c>
    </row>
    <row r="12410" spans="1:19">
      <c r="A12410" t="s">
        <v>140</v>
      </c>
      <c r="B12410" t="s">
        <v>150</v>
      </c>
      <c r="C12410" t="s">
        <v>272</v>
      </c>
      <c r="D12410" t="s">
        <v>401</v>
      </c>
      <c r="F12410">
        <f>HYPERLINK("https://www.wikidata.org/wiki/Q111103103", "Q111103103")</f>
        <v>0</v>
      </c>
      <c r="G12410" t="s">
        <v>927</v>
      </c>
      <c r="H12410" t="s">
        <v>5683</v>
      </c>
      <c r="I12410" t="s">
        <v>9483</v>
      </c>
      <c r="J12410" t="s">
        <v>11669</v>
      </c>
      <c r="K12410" t="s">
        <v>16070</v>
      </c>
      <c r="L12410">
        <f>HYPERLINK("https://www2.assemblee-nationale.fr/sycomore/fiche/(num_dept)/2342", "2342")</f>
        <v>0</v>
      </c>
      <c r="M12410">
        <f>HYPERLINK("https://www.senat.fr/senateur-3eme-republique/delpierre_casimir0891r3.html", "delpierre_casimir0891r3")</f>
        <v>0</v>
      </c>
      <c r="N12410">
        <f>HYPERLINK("https://www.wikidata.org/wiki/Q3557252", "Q3557252")</f>
        <v>0</v>
      </c>
      <c r="O12410" t="s">
        <v>19989</v>
      </c>
      <c r="Q12410" t="s">
        <v>401</v>
      </c>
      <c r="R12410" t="s">
        <v>16129</v>
      </c>
      <c r="S12410">
        <v>1455</v>
      </c>
    </row>
    <row r="12411" spans="1:19">
      <c r="A12411" t="s">
        <v>140</v>
      </c>
      <c r="B12411" t="s">
        <v>150</v>
      </c>
      <c r="C12411" t="s">
        <v>272</v>
      </c>
      <c r="D12411" t="s">
        <v>401</v>
      </c>
      <c r="F12411">
        <f>HYPERLINK("https://www.wikidata.org/wiki/Q111103103", "Q111103103")</f>
        <v>0</v>
      </c>
      <c r="G12411" t="s">
        <v>935</v>
      </c>
      <c r="H12411" t="s">
        <v>5691</v>
      </c>
      <c r="I12411" t="s">
        <v>9401</v>
      </c>
      <c r="J12411" t="s">
        <v>11676</v>
      </c>
      <c r="K12411" t="s">
        <v>16077</v>
      </c>
      <c r="L12411">
        <f>HYPERLINK("https://www2.assemblee-nationale.fr/sycomore/fiche/(num_dept)/2593", "2593")</f>
        <v>0</v>
      </c>
      <c r="M12411">
        <f>HYPERLINK("https://www.senat.fr/senateur-3eme-republique/drivet_antoine1373r3.html", "drivet_antoine1373r3")</f>
        <v>0</v>
      </c>
      <c r="N12411">
        <f>HYPERLINK("https://www.wikidata.org/wiki/Q2853879", "Q2853879")</f>
        <v>0</v>
      </c>
      <c r="O12411" t="s">
        <v>19997</v>
      </c>
      <c r="Q12411" t="s">
        <v>401</v>
      </c>
      <c r="R12411" t="s">
        <v>16129</v>
      </c>
      <c r="S12411">
        <v>1455</v>
      </c>
    </row>
    <row r="12412" spans="1:19">
      <c r="A12412" t="s">
        <v>140</v>
      </c>
      <c r="B12412" t="s">
        <v>150</v>
      </c>
      <c r="C12412" t="s">
        <v>272</v>
      </c>
      <c r="D12412" t="s">
        <v>401</v>
      </c>
      <c r="F12412">
        <f>HYPERLINK("https://www.wikidata.org/wiki/Q111103103", "Q111103103")</f>
        <v>0</v>
      </c>
      <c r="G12412" t="s">
        <v>936</v>
      </c>
      <c r="H12412" t="s">
        <v>5692</v>
      </c>
      <c r="I12412" t="s">
        <v>9421</v>
      </c>
      <c r="J12412" t="s">
        <v>11677</v>
      </c>
      <c r="K12412" t="s">
        <v>16078</v>
      </c>
      <c r="L12412">
        <f>HYPERLINK("https://www2.assemblee-nationale.fr/sycomore/fiche/(num_dept)/2595", "2595")</f>
        <v>0</v>
      </c>
      <c r="M12412">
        <f>HYPERLINK("https://www.senat.fr/senateur-3eme-republique/dron_gustave1388r3.html", "dron_gustave1388r3")</f>
        <v>0</v>
      </c>
      <c r="N12412">
        <f>HYPERLINK("https://www.wikidata.org/wiki/Q3121171", "Q3121171")</f>
        <v>0</v>
      </c>
      <c r="O12412" t="s">
        <v>20013</v>
      </c>
      <c r="Q12412" t="s">
        <v>401</v>
      </c>
      <c r="R12412" t="s">
        <v>16129</v>
      </c>
      <c r="S12412">
        <v>1455</v>
      </c>
    </row>
    <row r="12413" spans="1:19">
      <c r="A12413" t="s">
        <v>140</v>
      </c>
      <c r="B12413" t="s">
        <v>150</v>
      </c>
      <c r="C12413" t="s">
        <v>272</v>
      </c>
      <c r="D12413" t="s">
        <v>401</v>
      </c>
      <c r="F12413">
        <f>HYPERLINK("https://www.wikidata.org/wiki/Q111103103", "Q111103103")</f>
        <v>0</v>
      </c>
      <c r="G12413" t="s">
        <v>2559</v>
      </c>
      <c r="H12413" t="s">
        <v>7117</v>
      </c>
      <c r="I12413" t="s">
        <v>10017</v>
      </c>
      <c r="J12413" t="s">
        <v>13203</v>
      </c>
      <c r="K12413" t="s">
        <v>17607</v>
      </c>
      <c r="L12413">
        <f>HYPERLINK("https://www2.assemblee-nationale.fr/sycomore/fiche/(num_dept)/2632", "2632")</f>
        <v>0</v>
      </c>
      <c r="M12413">
        <f>HYPERLINK("https://www.senat.fr/senateur-3eme-republique/dubost_antonin1187r3.html", "dubost_antonin1187r3")</f>
        <v>0</v>
      </c>
      <c r="N12413">
        <f>HYPERLINK("https://www.wikidata.org/wiki/Q2857118", "Q2857118")</f>
        <v>0</v>
      </c>
      <c r="O12413" t="s">
        <v>20006</v>
      </c>
      <c r="Q12413" t="s">
        <v>401</v>
      </c>
      <c r="R12413" t="s">
        <v>21650</v>
      </c>
      <c r="S12413">
        <v>9415</v>
      </c>
    </row>
    <row r="12414" spans="1:19">
      <c r="A12414" t="s">
        <v>140</v>
      </c>
      <c r="B12414" t="s">
        <v>150</v>
      </c>
      <c r="C12414" t="s">
        <v>272</v>
      </c>
      <c r="D12414" t="s">
        <v>401</v>
      </c>
      <c r="F12414">
        <f>HYPERLINK("https://www.wikidata.org/wiki/Q111103103", "Q111103103")</f>
        <v>0</v>
      </c>
      <c r="G12414" t="s">
        <v>4162</v>
      </c>
      <c r="H12414" t="s">
        <v>8364</v>
      </c>
      <c r="I12414" t="s">
        <v>6860</v>
      </c>
      <c r="J12414" t="s">
        <v>14688</v>
      </c>
      <c r="K12414" t="s">
        <v>19025</v>
      </c>
      <c r="L12414">
        <f>HYPERLINK("https://www2.assemblee-nationale.fr/sycomore/fiche/(num_dept)/2662", "2662")</f>
        <v>0</v>
      </c>
      <c r="M12414">
        <f>HYPERLINK("https://www.senat.fr/senateur-3eme-republique/dudouyt_pierre1037r3.html", "dudouyt_pierre1037r3")</f>
        <v>0</v>
      </c>
      <c r="N12414">
        <f>HYPERLINK("https://www.wikidata.org/wiki/Q3384838", "Q3384838")</f>
        <v>0</v>
      </c>
      <c r="O12414" t="s">
        <v>19985</v>
      </c>
      <c r="Q12414" t="s">
        <v>401</v>
      </c>
      <c r="R12414" t="s">
        <v>16129</v>
      </c>
      <c r="S12414">
        <v>1455</v>
      </c>
    </row>
    <row r="12415" spans="1:19">
      <c r="A12415" t="s">
        <v>140</v>
      </c>
      <c r="B12415" t="s">
        <v>150</v>
      </c>
      <c r="C12415" t="s">
        <v>272</v>
      </c>
      <c r="D12415" t="s">
        <v>401</v>
      </c>
      <c r="F12415">
        <f>HYPERLINK("https://www.wikidata.org/wiki/Q111103103", "Q111103103")</f>
        <v>0</v>
      </c>
      <c r="G12415" t="s">
        <v>950</v>
      </c>
      <c r="H12415" t="s">
        <v>5387</v>
      </c>
      <c r="I12415" t="s">
        <v>9599</v>
      </c>
      <c r="J12415" t="s">
        <v>11691</v>
      </c>
      <c r="K12415" t="s">
        <v>16092</v>
      </c>
      <c r="L12415">
        <f>HYPERLINK("https://www2.assemblee-nationale.fr/sycomore/fiche/(num_dept)/2741", "2741")</f>
        <v>0</v>
      </c>
      <c r="M12415">
        <f>HYPERLINK("https://www.senat.fr/senateur-3eme-republique/dupuy_paul1085r3.html", "dupuy_paul1085r3")</f>
        <v>0</v>
      </c>
      <c r="N12415">
        <f>HYPERLINK("https://www.wikidata.org/wiki/Q3371141", "Q3371141")</f>
        <v>0</v>
      </c>
      <c r="O12415" t="s">
        <v>20027</v>
      </c>
      <c r="Q12415" t="s">
        <v>401</v>
      </c>
      <c r="R12415" t="s">
        <v>21279</v>
      </c>
      <c r="S12415">
        <v>2554</v>
      </c>
    </row>
    <row r="12416" spans="1:19">
      <c r="A12416" t="s">
        <v>140</v>
      </c>
      <c r="B12416" t="s">
        <v>150</v>
      </c>
      <c r="C12416" t="s">
        <v>272</v>
      </c>
      <c r="D12416" t="s">
        <v>401</v>
      </c>
      <c r="F12416">
        <f>HYPERLINK("https://www.wikidata.org/wiki/Q111103103", "Q111103103")</f>
        <v>0</v>
      </c>
      <c r="G12416" t="s">
        <v>3435</v>
      </c>
      <c r="H12416" t="s">
        <v>7813</v>
      </c>
      <c r="I12416" t="s">
        <v>10827</v>
      </c>
      <c r="J12416" t="s">
        <v>11615</v>
      </c>
      <c r="K12416" t="s">
        <v>18407</v>
      </c>
      <c r="L12416">
        <f>HYPERLINK("https://www2.assemblee-nationale.fr/sycomore/fiche/(num_dept)/2823", "2823")</f>
        <v>0</v>
      </c>
      <c r="M12416">
        <f>HYPERLINK("https://www.senat.fr/senateur-3eme-republique/elva_christian0958r3.html", "elva_christian0958r3")</f>
        <v>0</v>
      </c>
      <c r="N12416">
        <f>HYPERLINK("https://www.wikidata.org/wiki/Q2965715", "Q2965715")</f>
        <v>0</v>
      </c>
      <c r="O12416" t="s">
        <v>19984</v>
      </c>
      <c r="Q12416" t="s">
        <v>401</v>
      </c>
      <c r="R12416" t="s">
        <v>16129</v>
      </c>
      <c r="S12416">
        <v>1455</v>
      </c>
    </row>
    <row r="12417" spans="1:19">
      <c r="A12417" t="s">
        <v>140</v>
      </c>
      <c r="B12417" t="s">
        <v>150</v>
      </c>
      <c r="C12417" t="s">
        <v>272</v>
      </c>
      <c r="D12417" t="s">
        <v>401</v>
      </c>
      <c r="F12417">
        <f>HYPERLINK("https://www.wikidata.org/wiki/Q111103103", "Q111103103")</f>
        <v>0</v>
      </c>
      <c r="G12417" t="s">
        <v>3842</v>
      </c>
      <c r="H12417" t="s">
        <v>8118</v>
      </c>
      <c r="I12417" t="s">
        <v>9388</v>
      </c>
      <c r="J12417" t="s">
        <v>13983</v>
      </c>
      <c r="K12417" t="s">
        <v>18756</v>
      </c>
      <c r="L12417">
        <f>HYPERLINK("https://www2.assemblee-nationale.fr/sycomore/fiche/(num_dept)/2856", "2856")</f>
        <v>0</v>
      </c>
      <c r="M12417">
        <f>HYPERLINK("https://www.senat.fr/senateur-3eme-republique/d_estournelles_de_constant_paul1252r3.html", "d_estournelles_de_constant_paul1252r3")</f>
        <v>0</v>
      </c>
      <c r="N12417">
        <f>HYPERLINK("https://www.wikidata.org/wiki/Q238731", "Q238731")</f>
        <v>0</v>
      </c>
      <c r="O12417" t="s">
        <v>19956</v>
      </c>
      <c r="Q12417" t="s">
        <v>401</v>
      </c>
      <c r="R12417" t="s">
        <v>21650</v>
      </c>
      <c r="S12417">
        <v>9415</v>
      </c>
    </row>
    <row r="12418" spans="1:19">
      <c r="A12418" t="s">
        <v>140</v>
      </c>
      <c r="B12418" t="s">
        <v>150</v>
      </c>
      <c r="C12418" t="s">
        <v>272</v>
      </c>
      <c r="D12418" t="s">
        <v>401</v>
      </c>
      <c r="F12418">
        <f>HYPERLINK("https://www.wikidata.org/wiki/Q111103103", "Q111103103")</f>
        <v>0</v>
      </c>
      <c r="G12418" t="s">
        <v>635</v>
      </c>
      <c r="H12418" t="s">
        <v>5394</v>
      </c>
      <c r="I12418" t="s">
        <v>9465</v>
      </c>
      <c r="J12418" t="s">
        <v>11385</v>
      </c>
      <c r="K12418" t="s">
        <v>15787</v>
      </c>
      <c r="L12418">
        <f>HYPERLINK("https://www2.assemblee-nationale.fr/sycomore/fiche/(num_dept)/2861", "2861")</f>
        <v>0</v>
      </c>
      <c r="M12418">
        <f>HYPERLINK("https://www.senat.fr/senateur-3eme-republique/etienne_eugene1824r3.html", "etienne_eugene1824r3")</f>
        <v>0</v>
      </c>
      <c r="N12418">
        <f>HYPERLINK("https://www.wikidata.org/wiki/Q2612305", "Q2612305")</f>
        <v>0</v>
      </c>
      <c r="Q12418" t="s">
        <v>401</v>
      </c>
      <c r="R12418" t="s">
        <v>15787</v>
      </c>
      <c r="S12418">
        <v>488</v>
      </c>
    </row>
    <row r="12419" spans="1:19">
      <c r="A12419" t="s">
        <v>140</v>
      </c>
      <c r="B12419" t="s">
        <v>150</v>
      </c>
      <c r="C12419" t="s">
        <v>272</v>
      </c>
      <c r="D12419" t="s">
        <v>401</v>
      </c>
      <c r="F12419">
        <f>HYPERLINK("https://www.wikidata.org/wiki/Q111103103", "Q111103103")</f>
        <v>0</v>
      </c>
      <c r="G12419" t="s">
        <v>3776</v>
      </c>
      <c r="H12419" t="s">
        <v>5402</v>
      </c>
      <c r="I12419" t="s">
        <v>9516</v>
      </c>
      <c r="J12419" t="s">
        <v>14346</v>
      </c>
      <c r="K12419" t="s">
        <v>18698</v>
      </c>
      <c r="L12419">
        <f>HYPERLINK("https://www2.assemblee-nationale.fr/sycomore/fiche/(num_dept)/3022", "3022")</f>
        <v>0</v>
      </c>
      <c r="M12419">
        <f>HYPERLINK("https://www.senat.fr/senateur-3eme-republique/flandin_etienne1832r3.html", "flandin_etienne1832r3")</f>
        <v>0</v>
      </c>
      <c r="N12419">
        <f>HYPERLINK("https://www.wikidata.org/wiki/Q3592162", "Q3592162")</f>
        <v>0</v>
      </c>
      <c r="Q12419" t="s">
        <v>401</v>
      </c>
      <c r="R12419" t="s">
        <v>21650</v>
      </c>
      <c r="S12419">
        <v>9415</v>
      </c>
    </row>
    <row r="12420" spans="1:19">
      <c r="A12420" t="s">
        <v>140</v>
      </c>
      <c r="B12420" t="s">
        <v>150</v>
      </c>
      <c r="C12420" t="s">
        <v>272</v>
      </c>
      <c r="D12420" t="s">
        <v>401</v>
      </c>
      <c r="F12420">
        <f>HYPERLINK("https://www.wikidata.org/wiki/Q111103103", "Q111103103")</f>
        <v>0</v>
      </c>
      <c r="G12420" t="s">
        <v>648</v>
      </c>
      <c r="H12420" t="s">
        <v>5407</v>
      </c>
      <c r="I12420" t="s">
        <v>9468</v>
      </c>
      <c r="J12420" t="s">
        <v>11398</v>
      </c>
      <c r="K12420" t="s">
        <v>15800</v>
      </c>
      <c r="L12420">
        <f>HYPERLINK("https://www2.assemblee-nationale.fr/sycomore/fiche/(num_dept)/3072", "3072")</f>
        <v>0</v>
      </c>
      <c r="M12420">
        <f>HYPERLINK("https://www.senat.fr/senateur-3eme-republique/foucher_octave0306r3.html", "foucher_octave0306r3")</f>
        <v>0</v>
      </c>
      <c r="N12420">
        <f>HYPERLINK("https://www.wikidata.org/wiki/Q3348830", "Q3348830")</f>
        <v>0</v>
      </c>
      <c r="O12420" t="s">
        <v>20008</v>
      </c>
      <c r="Q12420" t="s">
        <v>401</v>
      </c>
      <c r="R12420" t="s">
        <v>16129</v>
      </c>
      <c r="S12420">
        <v>1455</v>
      </c>
    </row>
    <row r="12421" spans="1:19">
      <c r="A12421" t="s">
        <v>140</v>
      </c>
      <c r="B12421" t="s">
        <v>150</v>
      </c>
      <c r="C12421" t="s">
        <v>272</v>
      </c>
      <c r="D12421" t="s">
        <v>401</v>
      </c>
      <c r="F12421">
        <f>HYPERLINK("https://www.wikidata.org/wiki/Q111103103", "Q111103103")</f>
        <v>0</v>
      </c>
      <c r="G12421" t="s">
        <v>956</v>
      </c>
      <c r="H12421" t="s">
        <v>5708</v>
      </c>
      <c r="I12421" t="s">
        <v>9421</v>
      </c>
      <c r="J12421" t="s">
        <v>11697</v>
      </c>
      <c r="K12421" t="s">
        <v>16098</v>
      </c>
      <c r="L12421">
        <f>HYPERLINK("https://www2.assemblee-nationale.fr/sycomore/fiche/(num_dept)/3093", "3093")</f>
        <v>0</v>
      </c>
      <c r="M12421">
        <f>HYPERLINK("https://www.senat.fr/senateur-3eme-republique/fourment_gustave1742r3.html", "fourment_gustave1742r3")</f>
        <v>0</v>
      </c>
      <c r="N12421">
        <f>HYPERLINK("https://www.wikidata.org/wiki/Q3121186", "Q3121186")</f>
        <v>0</v>
      </c>
      <c r="O12421" t="s">
        <v>20042</v>
      </c>
      <c r="Q12421" t="s">
        <v>401</v>
      </c>
      <c r="R12421" t="s">
        <v>21279</v>
      </c>
      <c r="S12421">
        <v>2554</v>
      </c>
    </row>
    <row r="12422" spans="1:19">
      <c r="A12422" t="s">
        <v>140</v>
      </c>
      <c r="B12422" t="s">
        <v>150</v>
      </c>
      <c r="C12422" t="s">
        <v>272</v>
      </c>
      <c r="D12422" t="s">
        <v>401</v>
      </c>
      <c r="F12422">
        <f>HYPERLINK("https://www.wikidata.org/wiki/Q111103103", "Q111103103")</f>
        <v>0</v>
      </c>
      <c r="G12422" t="s">
        <v>3838</v>
      </c>
      <c r="H12422" t="s">
        <v>8116</v>
      </c>
      <c r="I12422" t="s">
        <v>10996</v>
      </c>
      <c r="J12422" t="s">
        <v>11776</v>
      </c>
      <c r="K12422" t="s">
        <v>18754</v>
      </c>
      <c r="L12422">
        <f>HYPERLINK("https://www2.assemblee-nationale.fr/sycomore/fiche/(num_dept)/3312", "3312")</f>
        <v>0</v>
      </c>
      <c r="M12422">
        <f>HYPERLINK("https://www.senat.fr/senateur-3eme-republique/gauvin_eusebe0384r3.html", "gauvin_eusebe0384r3")</f>
        <v>0</v>
      </c>
      <c r="N12422">
        <f>HYPERLINK("https://www.wikidata.org/wiki/Q3061098", "Q3061098")</f>
        <v>0</v>
      </c>
      <c r="O12422" t="s">
        <v>20039</v>
      </c>
      <c r="Q12422" t="s">
        <v>401</v>
      </c>
      <c r="R12422" t="s">
        <v>16129</v>
      </c>
      <c r="S12422">
        <v>1455</v>
      </c>
    </row>
    <row r="12423" spans="1:19">
      <c r="A12423" t="s">
        <v>140</v>
      </c>
      <c r="B12423" t="s">
        <v>150</v>
      </c>
      <c r="C12423" t="s">
        <v>272</v>
      </c>
      <c r="D12423" t="s">
        <v>401</v>
      </c>
      <c r="F12423">
        <f>HYPERLINK("https://www.wikidata.org/wiki/Q111103103", "Q111103103")</f>
        <v>0</v>
      </c>
      <c r="G12423" t="s">
        <v>4037</v>
      </c>
      <c r="H12423" t="s">
        <v>8267</v>
      </c>
      <c r="I12423" t="s">
        <v>9472</v>
      </c>
      <c r="J12423" t="s">
        <v>14578</v>
      </c>
      <c r="K12423" t="s">
        <v>18920</v>
      </c>
      <c r="L12423">
        <f>HYPERLINK("https://www2.assemblee-nationale.fr/sycomore/fiche/(num_dept)/3345", "3345")</f>
        <v>0</v>
      </c>
      <c r="M12423">
        <f>HYPERLINK("https://www.senat.fr/senateur-3eme-republique/gentil_hippolyte1639r3.html", "gentil_hippolyte1639r3")</f>
        <v>0</v>
      </c>
      <c r="N12423">
        <f>HYPERLINK("https://www.wikidata.org/wiki/Q3136063", "Q3136063")</f>
        <v>0</v>
      </c>
      <c r="O12423" t="s">
        <v>20021</v>
      </c>
      <c r="Q12423" t="s">
        <v>401</v>
      </c>
      <c r="R12423" t="s">
        <v>21279</v>
      </c>
      <c r="S12423">
        <v>2554</v>
      </c>
    </row>
    <row r="12424" spans="1:19">
      <c r="A12424" t="s">
        <v>140</v>
      </c>
      <c r="B12424" t="s">
        <v>150</v>
      </c>
      <c r="C12424" t="s">
        <v>272</v>
      </c>
      <c r="D12424" t="s">
        <v>401</v>
      </c>
      <c r="F12424">
        <f>HYPERLINK("https://www.wikidata.org/wiki/Q111103103", "Q111103103")</f>
        <v>0</v>
      </c>
      <c r="G12424" t="s">
        <v>670</v>
      </c>
      <c r="H12424" t="s">
        <v>5429</v>
      </c>
      <c r="I12424" t="s">
        <v>9476</v>
      </c>
      <c r="J12424" t="s">
        <v>11420</v>
      </c>
      <c r="K12424" t="s">
        <v>15821</v>
      </c>
      <c r="L12424">
        <f>HYPERLINK("https://www2.assemblee-nationale.fr/sycomore/fiche/(num_dept)/3603", "3603")</f>
        <v>0</v>
      </c>
      <c r="M12424">
        <f>HYPERLINK("https://www.senat.fr/senateur-3eme-republique/grosdidier_auguste1025r3.html", "grosdidier_auguste1025r3")</f>
        <v>0</v>
      </c>
      <c r="N12424">
        <f>HYPERLINK("https://www.wikidata.org/wiki/Q2871212", "Q2871212")</f>
        <v>0</v>
      </c>
      <c r="O12424" t="s">
        <v>20030</v>
      </c>
      <c r="Q12424" t="s">
        <v>401</v>
      </c>
      <c r="R12424" t="s">
        <v>21650</v>
      </c>
      <c r="S12424">
        <v>9415</v>
      </c>
    </row>
    <row r="12425" spans="1:19">
      <c r="A12425" t="s">
        <v>140</v>
      </c>
      <c r="B12425" t="s">
        <v>150</v>
      </c>
      <c r="C12425" t="s">
        <v>272</v>
      </c>
      <c r="D12425" t="s">
        <v>401</v>
      </c>
      <c r="F12425">
        <f>HYPERLINK("https://www.wikidata.org/wiki/Q111103103", "Q111103103")</f>
        <v>0</v>
      </c>
      <c r="G12425" t="s">
        <v>970</v>
      </c>
      <c r="H12425" t="s">
        <v>5722</v>
      </c>
      <c r="I12425" t="s">
        <v>7642</v>
      </c>
      <c r="J12425" t="s">
        <v>11708</v>
      </c>
      <c r="K12425" t="s">
        <v>16112</v>
      </c>
      <c r="L12425">
        <f>HYPERLINK("https://www2.assemblee-nationale.fr/sycomore/fiche/(num_dept)/3640", "3640")</f>
        <v>0</v>
      </c>
      <c r="M12425">
        <f>HYPERLINK("https://www.senat.fr/senateur-3eme-republique/guesnier_maurice1633r3.html", "guesnier_maurice1633r3")</f>
        <v>0</v>
      </c>
      <c r="N12425">
        <f>HYPERLINK("https://www.wikidata.org/wiki/Q3300873", "Q3300873")</f>
        <v>0</v>
      </c>
      <c r="O12425" t="s">
        <v>19976</v>
      </c>
      <c r="Q12425" t="s">
        <v>401</v>
      </c>
      <c r="R12425" t="s">
        <v>21279</v>
      </c>
      <c r="S12425">
        <v>2554</v>
      </c>
    </row>
    <row r="12426" spans="1:19">
      <c r="A12426" t="s">
        <v>140</v>
      </c>
      <c r="B12426" t="s">
        <v>150</v>
      </c>
      <c r="C12426" t="s">
        <v>272</v>
      </c>
      <c r="D12426" t="s">
        <v>401</v>
      </c>
      <c r="F12426">
        <f>HYPERLINK("https://www.wikidata.org/wiki/Q111103103", "Q111103103")</f>
        <v>0</v>
      </c>
      <c r="G12426" t="s">
        <v>2249</v>
      </c>
      <c r="H12426" t="s">
        <v>6854</v>
      </c>
      <c r="I12426" t="s">
        <v>6495</v>
      </c>
      <c r="J12426" t="s">
        <v>12909</v>
      </c>
      <c r="K12426" t="s">
        <v>17320</v>
      </c>
      <c r="L12426">
        <f>HYPERLINK("https://www2.assemblee-nationale.fr/sycomore/fiche/(num_dept)/3681", "3681")</f>
        <v>0</v>
      </c>
      <c r="M12426">
        <f>HYPERLINK("https://www.senat.fr/senateur-3eme-republique/guillois_louis0898r3.html", "guillois_louis0898r3")</f>
        <v>0</v>
      </c>
      <c r="N12426">
        <f>HYPERLINK("https://www.wikidata.org/wiki/Q3262110", "Q3262110")</f>
        <v>0</v>
      </c>
      <c r="O12426" t="s">
        <v>19961</v>
      </c>
      <c r="Q12426" t="s">
        <v>401</v>
      </c>
      <c r="R12426" t="s">
        <v>16129</v>
      </c>
      <c r="S12426">
        <v>1455</v>
      </c>
    </row>
    <row r="12427" spans="1:19">
      <c r="A12427" t="s">
        <v>140</v>
      </c>
      <c r="B12427" t="s">
        <v>150</v>
      </c>
      <c r="C12427" t="s">
        <v>272</v>
      </c>
      <c r="D12427" t="s">
        <v>401</v>
      </c>
      <c r="F12427">
        <f>HYPERLINK("https://www.wikidata.org/wiki/Q111103103", "Q111103103")</f>
        <v>0</v>
      </c>
      <c r="G12427" t="s">
        <v>4122</v>
      </c>
      <c r="H12427" t="s">
        <v>8330</v>
      </c>
      <c r="I12427" t="s">
        <v>6200</v>
      </c>
      <c r="J12427" t="s">
        <v>14656</v>
      </c>
      <c r="K12427" t="s">
        <v>18991</v>
      </c>
      <c r="L12427">
        <f>HYPERLINK("https://www2.assemblee-nationale.fr/sycomore/fiche/(num_dept)/3687", "3687")</f>
        <v>0</v>
      </c>
      <c r="M12427">
        <f>HYPERLINK("https://www.senat.fr/senateur-3eme-republique/guilloteaux_jean0909r3.html", "guilloteaux_jean0909r3")</f>
        <v>0</v>
      </c>
      <c r="N12427">
        <f>HYPERLINK("https://www.wikidata.org/wiki/Q3172435", "Q3172435")</f>
        <v>0</v>
      </c>
      <c r="O12427" t="s">
        <v>19961</v>
      </c>
      <c r="Q12427" t="s">
        <v>401</v>
      </c>
      <c r="R12427" t="s">
        <v>21650</v>
      </c>
      <c r="S12427">
        <v>9415</v>
      </c>
    </row>
    <row r="12428" spans="1:19">
      <c r="A12428" t="s">
        <v>140</v>
      </c>
      <c r="B12428" t="s">
        <v>150</v>
      </c>
      <c r="C12428" t="s">
        <v>272</v>
      </c>
      <c r="D12428" t="s">
        <v>401</v>
      </c>
      <c r="F12428">
        <f>HYPERLINK("https://www.wikidata.org/wiki/Q111103103", "Q111103103")</f>
        <v>0</v>
      </c>
      <c r="G12428" t="s">
        <v>3787</v>
      </c>
      <c r="H12428" t="s">
        <v>8077</v>
      </c>
      <c r="I12428" t="s">
        <v>9388</v>
      </c>
      <c r="J12428" t="s">
        <v>14357</v>
      </c>
      <c r="K12428" t="s">
        <v>18708</v>
      </c>
      <c r="L12428">
        <f>HYPERLINK("https://www2.assemblee-nationale.fr/sycomore/fiche/(num_dept)/3774", "3774")</f>
        <v>0</v>
      </c>
      <c r="M12428">
        <f>HYPERLINK("https://www.senat.fr/senateur-3eme-republique/hayez_paul1415r3.html", "hayez_paul1415r3")</f>
        <v>0</v>
      </c>
      <c r="N12428">
        <f>HYPERLINK("https://www.wikidata.org/wiki/Q3371447", "Q3371447")</f>
        <v>0</v>
      </c>
      <c r="O12428" t="s">
        <v>20013</v>
      </c>
      <c r="Q12428" t="s">
        <v>401</v>
      </c>
      <c r="R12428" t="s">
        <v>16129</v>
      </c>
      <c r="S12428">
        <v>1455</v>
      </c>
    </row>
    <row r="12429" spans="1:19">
      <c r="A12429" t="s">
        <v>140</v>
      </c>
      <c r="B12429" t="s">
        <v>150</v>
      </c>
      <c r="C12429" t="s">
        <v>272</v>
      </c>
      <c r="D12429" t="s">
        <v>401</v>
      </c>
      <c r="F12429">
        <f>HYPERLINK("https://www.wikidata.org/wiki/Q111103103", "Q111103103")</f>
        <v>0</v>
      </c>
      <c r="G12429" t="s">
        <v>4068</v>
      </c>
      <c r="H12429" t="s">
        <v>8288</v>
      </c>
      <c r="I12429" t="s">
        <v>9449</v>
      </c>
      <c r="J12429" t="s">
        <v>14608</v>
      </c>
      <c r="K12429" t="s">
        <v>18945</v>
      </c>
      <c r="L12429">
        <f>HYPERLINK("https://www2.assemblee-nationale.fr/sycomore/fiche/(num_dept)/4024", "4024")</f>
        <v>0</v>
      </c>
      <c r="M12429">
        <f>HYPERLINK("https://www.senat.fr/senateur-3eme-republique/jeanneney_jules1206r3.html", "jeanneney_jules1206r3")</f>
        <v>0</v>
      </c>
      <c r="N12429">
        <f>HYPERLINK("https://www.wikidata.org/wiki/Q3188688", "Q3188688")</f>
        <v>0</v>
      </c>
      <c r="O12429" t="s">
        <v>20036</v>
      </c>
      <c r="Q12429" t="s">
        <v>401</v>
      </c>
      <c r="R12429" t="s">
        <v>21279</v>
      </c>
      <c r="S12429">
        <v>2554</v>
      </c>
    </row>
    <row r="12430" spans="1:19">
      <c r="A12430" t="s">
        <v>140</v>
      </c>
      <c r="B12430" t="s">
        <v>150</v>
      </c>
      <c r="C12430" t="s">
        <v>272</v>
      </c>
      <c r="D12430" t="s">
        <v>401</v>
      </c>
      <c r="F12430">
        <f>HYPERLINK("https://www.wikidata.org/wiki/Q111103103", "Q111103103")</f>
        <v>0</v>
      </c>
      <c r="G12430" t="s">
        <v>692</v>
      </c>
      <c r="H12430" t="s">
        <v>5450</v>
      </c>
      <c r="I12430" t="s">
        <v>9385</v>
      </c>
      <c r="J12430" t="s">
        <v>11442</v>
      </c>
      <c r="K12430" t="s">
        <v>15843</v>
      </c>
      <c r="L12430">
        <f>HYPERLINK("https://www2.assemblee-nationale.fr/sycomore/fiche/(num_dept)/4047", "4047")</f>
        <v>0</v>
      </c>
      <c r="M12430">
        <f>HYPERLINK("https://www.senat.fr/senateur-3eme-republique/jonnart_celestin0975r3.html", "jonnart_celestin0975r3")</f>
        <v>0</v>
      </c>
      <c r="N12430">
        <f>HYPERLINK("https://www.wikidata.org/wiki/Q212634", "Q212634")</f>
        <v>0</v>
      </c>
      <c r="O12430" t="s">
        <v>19968</v>
      </c>
      <c r="Q12430" t="s">
        <v>401</v>
      </c>
      <c r="R12430" t="s">
        <v>21279</v>
      </c>
      <c r="S12430">
        <v>2554</v>
      </c>
    </row>
    <row r="12431" spans="1:19">
      <c r="A12431" t="s">
        <v>140</v>
      </c>
      <c r="B12431" t="s">
        <v>150</v>
      </c>
      <c r="C12431" t="s">
        <v>272</v>
      </c>
      <c r="D12431" t="s">
        <v>401</v>
      </c>
      <c r="F12431">
        <f>HYPERLINK("https://www.wikidata.org/wiki/Q111103103", "Q111103103")</f>
        <v>0</v>
      </c>
      <c r="G12431" t="s">
        <v>980</v>
      </c>
      <c r="H12431" t="s">
        <v>5732</v>
      </c>
      <c r="I12431" t="s">
        <v>6495</v>
      </c>
      <c r="J12431" t="s">
        <v>11718</v>
      </c>
      <c r="K12431" t="s">
        <v>16122</v>
      </c>
      <c r="L12431">
        <f>HYPERLINK("https://www2.assemblee-nationale.fr/sycomore/fiche/(num_dept)/4248", "4248")</f>
        <v>0</v>
      </c>
      <c r="M12431">
        <f>HYPERLINK("https://www.senat.fr/senateur-3eme-republique/lafferre_antonin0251r3.html", "lafferre_antonin0251r3")</f>
        <v>0</v>
      </c>
      <c r="N12431">
        <f>HYPERLINK("https://www.wikidata.org/wiki/Q3262422", "Q3262422")</f>
        <v>0</v>
      </c>
      <c r="O12431" t="s">
        <v>7411</v>
      </c>
      <c r="Q12431" t="s">
        <v>401</v>
      </c>
      <c r="R12431" t="s">
        <v>16129</v>
      </c>
      <c r="S12431">
        <v>1455</v>
      </c>
    </row>
    <row r="12432" spans="1:19">
      <c r="A12432" t="s">
        <v>140</v>
      </c>
      <c r="B12432" t="s">
        <v>150</v>
      </c>
      <c r="C12432" t="s">
        <v>272</v>
      </c>
      <c r="D12432" t="s">
        <v>401</v>
      </c>
      <c r="F12432">
        <f>HYPERLINK("https://www.wikidata.org/wiki/Q111103103", "Q111103103")</f>
        <v>0</v>
      </c>
      <c r="G12432" t="s">
        <v>3140</v>
      </c>
      <c r="H12432" t="s">
        <v>7579</v>
      </c>
      <c r="I12432" t="s">
        <v>9421</v>
      </c>
      <c r="J12432" t="s">
        <v>13762</v>
      </c>
      <c r="K12432" t="s">
        <v>18139</v>
      </c>
      <c r="L12432">
        <f>HYPERLINK("https://www2.assemblee-nationale.fr/sycomore/fiche/(num_dept)/4298", "4298")</f>
        <v>0</v>
      </c>
      <c r="M12432">
        <f>HYPERLINK("https://www.senat.fr/senateur-3eme-republique/de_lamarzelle_gustave0902r3.html", "de_lamarzelle_gustave0902r3")</f>
        <v>0</v>
      </c>
      <c r="N12432">
        <f>HYPERLINK("https://www.wikidata.org/wiki/Q3121364", "Q3121364")</f>
        <v>0</v>
      </c>
      <c r="O12432" t="s">
        <v>19961</v>
      </c>
      <c r="Q12432" t="s">
        <v>401</v>
      </c>
      <c r="R12432" t="s">
        <v>21650</v>
      </c>
      <c r="S12432">
        <v>9415</v>
      </c>
    </row>
    <row r="12433" spans="1:19">
      <c r="A12433" t="s">
        <v>140</v>
      </c>
      <c r="B12433" t="s">
        <v>150</v>
      </c>
      <c r="C12433" t="s">
        <v>272</v>
      </c>
      <c r="D12433" t="s">
        <v>401</v>
      </c>
      <c r="F12433">
        <f>HYPERLINK("https://www.wikidata.org/wiki/Q111103103", "Q111103103")</f>
        <v>0</v>
      </c>
      <c r="G12433" t="s">
        <v>2111</v>
      </c>
      <c r="H12433" t="s">
        <v>6734</v>
      </c>
      <c r="I12433" t="s">
        <v>10085</v>
      </c>
      <c r="J12433" t="s">
        <v>12776</v>
      </c>
      <c r="K12433" t="s">
        <v>17193</v>
      </c>
      <c r="L12433">
        <f>HYPERLINK("https://www2.assemblee-nationale.fr/sycomore/fiche/(num_dept)/5065", "5065")</f>
        <v>0</v>
      </c>
      <c r="M12433">
        <f>HYPERLINK("https://www.senat.fr/senateur-3eme-republique/masclanis_joseph0157r3.html", "masclanis_joseph0157r3")</f>
        <v>0</v>
      </c>
      <c r="N12433">
        <f>HYPERLINK("https://www.wikidata.org/wiki/Q3185333", "Q3185333")</f>
        <v>0</v>
      </c>
      <c r="O12433" t="s">
        <v>20003</v>
      </c>
      <c r="Q12433" t="s">
        <v>401</v>
      </c>
      <c r="R12433" t="s">
        <v>16129</v>
      </c>
      <c r="S12433">
        <v>1455</v>
      </c>
    </row>
    <row r="12434" spans="1:19">
      <c r="A12434" t="s">
        <v>140</v>
      </c>
      <c r="B12434" t="s">
        <v>150</v>
      </c>
      <c r="C12434" t="s">
        <v>272</v>
      </c>
      <c r="D12434" t="s">
        <v>401</v>
      </c>
      <c r="F12434">
        <f>HYPERLINK("https://www.wikidata.org/wiki/Q111103103", "Q111103103")</f>
        <v>0</v>
      </c>
      <c r="G12434" t="s">
        <v>998</v>
      </c>
      <c r="H12434" t="s">
        <v>5750</v>
      </c>
      <c r="I12434" t="s">
        <v>9458</v>
      </c>
      <c r="J12434" t="s">
        <v>11736</v>
      </c>
      <c r="K12434" t="s">
        <v>16139</v>
      </c>
      <c r="L12434">
        <f>HYPERLINK("https://www2.assemblee-nationale.fr/sycomore/fiche/(num_dept)/5071", "5071")</f>
        <v>0</v>
      </c>
      <c r="M12434">
        <f>HYPERLINK("https://www.senat.fr/senateur-3eme-republique/masse_alfred1255r3.html", "masse_alfred1255r3")</f>
        <v>0</v>
      </c>
      <c r="N12434">
        <f>HYPERLINK("https://www.wikidata.org/wiki/Q2835313", "Q2835313")</f>
        <v>0</v>
      </c>
      <c r="O12434" t="s">
        <v>20032</v>
      </c>
      <c r="Q12434" t="s">
        <v>401</v>
      </c>
      <c r="R12434" t="s">
        <v>16129</v>
      </c>
      <c r="S12434">
        <v>1455</v>
      </c>
    </row>
    <row r="12435" spans="1:19">
      <c r="A12435" t="s">
        <v>140</v>
      </c>
      <c r="B12435" t="s">
        <v>150</v>
      </c>
      <c r="C12435" t="s">
        <v>272</v>
      </c>
      <c r="D12435" t="s">
        <v>401</v>
      </c>
      <c r="F12435">
        <f>HYPERLINK("https://www.wikidata.org/wiki/Q111103103", "Q111103103")</f>
        <v>0</v>
      </c>
      <c r="G12435" t="s">
        <v>1000</v>
      </c>
      <c r="H12435" t="s">
        <v>5751</v>
      </c>
      <c r="I12435" t="s">
        <v>9615</v>
      </c>
      <c r="J12435" t="s">
        <v>11349</v>
      </c>
      <c r="K12435" t="s">
        <v>16141</v>
      </c>
      <c r="L12435">
        <f>HYPERLINK("https://www2.assemblee-nationale.fr/sycomore/fiche/(num_dept)/5111", "5111")</f>
        <v>0</v>
      </c>
      <c r="M12435">
        <f>HYPERLINK("https://www.senat.fr/senateur-3eme-republique/mauger_hippolyte0446r3.html", "mauger_hippolyte0446r3")</f>
        <v>0</v>
      </c>
      <c r="N12435">
        <f>HYPERLINK("https://www.wikidata.org/wiki/Q3136085", "Q3136085")</f>
        <v>0</v>
      </c>
      <c r="O12435" t="s">
        <v>19996</v>
      </c>
      <c r="Q12435" t="s">
        <v>401</v>
      </c>
      <c r="R12435" t="s">
        <v>21700</v>
      </c>
      <c r="S12435">
        <v>363</v>
      </c>
    </row>
    <row r="12436" spans="1:19">
      <c r="A12436" t="s">
        <v>140</v>
      </c>
      <c r="B12436" t="s">
        <v>150</v>
      </c>
      <c r="C12436" t="s">
        <v>272</v>
      </c>
      <c r="D12436" t="s">
        <v>401</v>
      </c>
      <c r="F12436">
        <f>HYPERLINK("https://www.wikidata.org/wiki/Q111103103", "Q111103103")</f>
        <v>0</v>
      </c>
      <c r="G12436" t="s">
        <v>2629</v>
      </c>
      <c r="H12436" t="s">
        <v>7175</v>
      </c>
      <c r="I12436" t="s">
        <v>9449</v>
      </c>
      <c r="J12436" t="s">
        <v>13271</v>
      </c>
      <c r="K12436" t="s">
        <v>17673</v>
      </c>
      <c r="L12436">
        <f>HYPERLINK("https://www2.assemblee-nationale.fr/sycomore/fiche/(num_dept)/5168", "5168")</f>
        <v>0</v>
      </c>
      <c r="M12436">
        <f>HYPERLINK("https://www.senat.fr/senateur-3eme-republique/meline_jules1799r3.html", "meline_jules1799r3")</f>
        <v>0</v>
      </c>
      <c r="N12436">
        <f>HYPERLINK("https://www.wikidata.org/wiki/Q459914", "Q459914")</f>
        <v>0</v>
      </c>
      <c r="O12436" t="s">
        <v>20017</v>
      </c>
      <c r="Q12436" t="s">
        <v>401</v>
      </c>
      <c r="R12436" t="s">
        <v>21650</v>
      </c>
      <c r="S12436">
        <v>9415</v>
      </c>
    </row>
    <row r="12437" spans="1:19">
      <c r="A12437" t="s">
        <v>140</v>
      </c>
      <c r="B12437" t="s">
        <v>150</v>
      </c>
      <c r="C12437" t="s">
        <v>272</v>
      </c>
      <c r="D12437" t="s">
        <v>401</v>
      </c>
      <c r="F12437">
        <f>HYPERLINK("https://www.wikidata.org/wiki/Q111103103", "Q111103103")</f>
        <v>0</v>
      </c>
      <c r="G12437" t="s">
        <v>3997</v>
      </c>
      <c r="H12437" t="s">
        <v>6603</v>
      </c>
      <c r="I12437" t="s">
        <v>11055</v>
      </c>
      <c r="J12437" t="s">
        <v>11345</v>
      </c>
      <c r="K12437" t="s">
        <v>18887</v>
      </c>
      <c r="L12437">
        <f>HYPERLINK("https://www2.assemblee-nationale.fr/sycomore/fiche/(num_dept)/5179", "5179")</f>
        <v>0</v>
      </c>
      <c r="M12437">
        <f>HYPERLINK("https://www.senat.fr/senateur-3eme-republique/menier_gaston1610r3.html", "menier_gaston1610r3")</f>
        <v>0</v>
      </c>
      <c r="N12437">
        <f>HYPERLINK("https://www.wikidata.org/wiki/Q3099085", "Q3099085")</f>
        <v>0</v>
      </c>
      <c r="O12437" t="s">
        <v>20026</v>
      </c>
      <c r="Q12437" t="s">
        <v>401</v>
      </c>
      <c r="R12437" t="s">
        <v>21279</v>
      </c>
      <c r="S12437">
        <v>2554</v>
      </c>
    </row>
    <row r="12438" spans="1:19">
      <c r="A12438" t="s">
        <v>140</v>
      </c>
      <c r="B12438" t="s">
        <v>150</v>
      </c>
      <c r="C12438" t="s">
        <v>272</v>
      </c>
      <c r="D12438" t="s">
        <v>401</v>
      </c>
      <c r="F12438">
        <f>HYPERLINK("https://www.wikidata.org/wiki/Q111103103", "Q111103103")</f>
        <v>0</v>
      </c>
      <c r="G12438" t="s">
        <v>1276</v>
      </c>
      <c r="H12438" t="s">
        <v>6000</v>
      </c>
      <c r="I12438" t="s">
        <v>9446</v>
      </c>
      <c r="J12438" t="s">
        <v>12006</v>
      </c>
      <c r="K12438" t="s">
        <v>16409</v>
      </c>
      <c r="L12438">
        <f>HYPERLINK("https://www2.assemblee-nationale.fr/sycomore/fiche/(num_dept)/5208", "5208")</f>
        <v>0</v>
      </c>
      <c r="M12438">
        <f>HYPERLINK("https://www.senat.fr/senateur-3eme-republique/merlin_fernand1341r3.html", "merlin_fernand1341r3")</f>
        <v>0</v>
      </c>
      <c r="N12438">
        <f>HYPERLINK("https://www.wikidata.org/wiki/Q3069270", "Q3069270")</f>
        <v>0</v>
      </c>
      <c r="O12438" t="s">
        <v>19997</v>
      </c>
      <c r="Q12438" t="s">
        <v>401</v>
      </c>
      <c r="R12438" t="s">
        <v>16129</v>
      </c>
      <c r="S12438">
        <v>1455</v>
      </c>
    </row>
    <row r="12439" spans="1:19">
      <c r="A12439" t="s">
        <v>140</v>
      </c>
      <c r="B12439" t="s">
        <v>150</v>
      </c>
      <c r="C12439" t="s">
        <v>272</v>
      </c>
      <c r="D12439" t="s">
        <v>401</v>
      </c>
      <c r="F12439">
        <f>HYPERLINK("https://www.wikidata.org/wiki/Q111103103", "Q111103103")</f>
        <v>0</v>
      </c>
      <c r="G12439" t="s">
        <v>3998</v>
      </c>
      <c r="H12439" t="s">
        <v>8237</v>
      </c>
      <c r="I12439" t="s">
        <v>11056</v>
      </c>
      <c r="J12439" t="s">
        <v>14545</v>
      </c>
      <c r="K12439" t="s">
        <v>18888</v>
      </c>
      <c r="L12439">
        <f>HYPERLINK("https://www2.assemblee-nationale.fr/sycomore/fiche/(num_dept)/5338", "5338")</f>
        <v>0</v>
      </c>
      <c r="M12439">
        <f>HYPERLINK("https://www.senat.fr/senateur-3eme-republique/monfeuillart_ernest0635r3.html", "monfeuillart_ernest0635r3")</f>
        <v>0</v>
      </c>
      <c r="N12439">
        <f>HYPERLINK("https://www.wikidata.org/wiki/Q3057090", "Q3057090")</f>
        <v>0</v>
      </c>
      <c r="O12439" t="s">
        <v>20025</v>
      </c>
      <c r="Q12439" t="s">
        <v>401</v>
      </c>
      <c r="R12439" t="s">
        <v>16129</v>
      </c>
      <c r="S12439">
        <v>1455</v>
      </c>
    </row>
    <row r="12440" spans="1:19">
      <c r="A12440" t="s">
        <v>140</v>
      </c>
      <c r="B12440" t="s">
        <v>150</v>
      </c>
      <c r="C12440" t="s">
        <v>272</v>
      </c>
      <c r="D12440" t="s">
        <v>401</v>
      </c>
      <c r="F12440">
        <f>HYPERLINK("https://www.wikidata.org/wiki/Q111103103", "Q111103103")</f>
        <v>0</v>
      </c>
      <c r="G12440" t="s">
        <v>3929</v>
      </c>
      <c r="H12440" t="s">
        <v>8184</v>
      </c>
      <c r="I12440" t="s">
        <v>6860</v>
      </c>
      <c r="J12440" t="s">
        <v>14483</v>
      </c>
      <c r="K12440" t="s">
        <v>18834</v>
      </c>
      <c r="L12440">
        <f>HYPERLINK("https://www2.assemblee-nationale.fr/sycomore/fiche/(num_dept)/5364", "5364")</f>
        <v>0</v>
      </c>
      <c r="M12440">
        <f>HYPERLINK("https://www.senat.fr/senateur-3eme-republique/de_montaigu_pierre1277r3.html", "de_montaigu_pierre1277r3")</f>
        <v>0</v>
      </c>
      <c r="N12440">
        <f>HYPERLINK("https://www.wikidata.org/wiki/Q3387636", "Q3387636")</f>
        <v>0</v>
      </c>
      <c r="O12440" t="s">
        <v>20023</v>
      </c>
      <c r="Q12440" t="s">
        <v>401</v>
      </c>
      <c r="R12440" t="s">
        <v>16129</v>
      </c>
      <c r="S12440">
        <v>1455</v>
      </c>
    </row>
    <row r="12441" spans="1:19">
      <c r="A12441" t="s">
        <v>140</v>
      </c>
      <c r="B12441" t="s">
        <v>150</v>
      </c>
      <c r="C12441" t="s">
        <v>272</v>
      </c>
      <c r="D12441" t="s">
        <v>401</v>
      </c>
      <c r="F12441">
        <f>HYPERLINK("https://www.wikidata.org/wiki/Q111103103", "Q111103103")</f>
        <v>0</v>
      </c>
      <c r="G12441" t="s">
        <v>738</v>
      </c>
      <c r="H12441" t="s">
        <v>5496</v>
      </c>
      <c r="I12441" t="s">
        <v>9503</v>
      </c>
      <c r="J12441" t="s">
        <v>11487</v>
      </c>
      <c r="K12441" t="s">
        <v>15889</v>
      </c>
      <c r="L12441">
        <f>HYPERLINK("https://www2.assemblee-nationale.fr/sycomore/fiche/(num_dept)/5394", "5394")</f>
        <v>0</v>
      </c>
      <c r="M12441">
        <f>HYPERLINK("https://www.senat.fr/senateur-3eme-republique/de_monzie_anatole0605r3.html", "de_monzie_anatole0605r3")</f>
        <v>0</v>
      </c>
      <c r="N12441">
        <f>HYPERLINK("https://www.wikidata.org/wiki/Q2845619", "Q2845619")</f>
        <v>0</v>
      </c>
      <c r="O12441" t="s">
        <v>19974</v>
      </c>
      <c r="Q12441" t="s">
        <v>401</v>
      </c>
      <c r="R12441" t="s">
        <v>16129</v>
      </c>
      <c r="S12441">
        <v>1455</v>
      </c>
    </row>
    <row r="12442" spans="1:19">
      <c r="A12442" t="s">
        <v>140</v>
      </c>
      <c r="B12442" t="s">
        <v>150</v>
      </c>
      <c r="C12442" t="s">
        <v>272</v>
      </c>
      <c r="D12442" t="s">
        <v>401</v>
      </c>
      <c r="F12442">
        <f>HYPERLINK("https://www.wikidata.org/wiki/Q111103103", "Q111103103")</f>
        <v>0</v>
      </c>
      <c r="G12442" t="s">
        <v>739</v>
      </c>
      <c r="H12442" t="s">
        <v>5497</v>
      </c>
      <c r="I12442" t="s">
        <v>9504</v>
      </c>
      <c r="J12442" t="s">
        <v>11488</v>
      </c>
      <c r="K12442" t="s">
        <v>15890</v>
      </c>
      <c r="L12442">
        <f>HYPERLINK("https://www2.assemblee-nationale.fr/sycomore/fiche/(num_dept)/5410", "5410")</f>
        <v>0</v>
      </c>
      <c r="M12442">
        <f>HYPERLINK("https://www.senat.fr/senateur-3eme-republique/morel_jean_baptiste1326r3.html", "morel_jean_baptiste1326r3")</f>
        <v>0</v>
      </c>
      <c r="N12442">
        <f>HYPERLINK("https://www.wikidata.org/wiki/Q2627978", "Q2627978")</f>
        <v>0</v>
      </c>
      <c r="O12442" t="s">
        <v>19997</v>
      </c>
      <c r="Q12442" t="s">
        <v>401</v>
      </c>
      <c r="R12442" t="s">
        <v>16129</v>
      </c>
      <c r="S12442">
        <v>1455</v>
      </c>
    </row>
    <row r="12443" spans="1:19">
      <c r="A12443" t="s">
        <v>140</v>
      </c>
      <c r="B12443" t="s">
        <v>150</v>
      </c>
      <c r="C12443" t="s">
        <v>272</v>
      </c>
      <c r="D12443" t="s">
        <v>401</v>
      </c>
      <c r="F12443">
        <f>HYPERLINK("https://www.wikidata.org/wiki/Q111103103", "Q111103103")</f>
        <v>0</v>
      </c>
      <c r="G12443" t="s">
        <v>3720</v>
      </c>
      <c r="H12443" t="s">
        <v>5504</v>
      </c>
      <c r="I12443" t="s">
        <v>9442</v>
      </c>
      <c r="J12443" t="s">
        <v>14295</v>
      </c>
      <c r="K12443" t="s">
        <v>15930</v>
      </c>
      <c r="L12443">
        <f>HYPERLINK("https://www2.assemblee-nationale.fr/sycomore/fiche/(num_dept)/5564", "5564")</f>
        <v>0</v>
      </c>
      <c r="M12443">
        <f>HYPERLINK("https://www.senat.fr/senateur-3eme-republique/noel_charles0885r3.html", "noel_charles0885r3")</f>
        <v>0</v>
      </c>
      <c r="N12443">
        <f>HYPERLINK("https://www.wikidata.org/wiki/Q2959917", "Q2959917")</f>
        <v>0</v>
      </c>
      <c r="O12443" t="s">
        <v>19989</v>
      </c>
      <c r="Q12443" t="s">
        <v>401</v>
      </c>
      <c r="R12443" t="s">
        <v>16129</v>
      </c>
      <c r="S12443">
        <v>1455</v>
      </c>
    </row>
    <row r="12444" spans="1:19">
      <c r="A12444" t="s">
        <v>140</v>
      </c>
      <c r="B12444" t="s">
        <v>150</v>
      </c>
      <c r="C12444" t="s">
        <v>272</v>
      </c>
      <c r="D12444" t="s">
        <v>401</v>
      </c>
      <c r="F12444">
        <f>HYPERLINK("https://www.wikidata.org/wiki/Q111103103", "Q111103103")</f>
        <v>0</v>
      </c>
      <c r="G12444" t="s">
        <v>748</v>
      </c>
      <c r="H12444" t="s">
        <v>5506</v>
      </c>
      <c r="I12444" t="s">
        <v>9407</v>
      </c>
      <c r="J12444" t="s">
        <v>11330</v>
      </c>
      <c r="K12444" t="s">
        <v>15899</v>
      </c>
      <c r="L12444">
        <f>HYPERLINK("https://www2.assemblee-nationale.fr/sycomore/fiche/(num_dept)/5583", "5583")</f>
        <v>0</v>
      </c>
      <c r="M12444">
        <f>HYPERLINK("https://www.senat.fr/senateur-3eme-republique/noulens_jean_baptiste0149r3.html", "noulens_jean_baptiste0149r3")</f>
        <v>0</v>
      </c>
      <c r="N12444">
        <f>HYPERLINK("https://www.wikidata.org/wiki/Q3185419", "Q3185419")</f>
        <v>0</v>
      </c>
      <c r="O12444" t="s">
        <v>20003</v>
      </c>
      <c r="Q12444" t="s">
        <v>401</v>
      </c>
      <c r="R12444" t="s">
        <v>16129</v>
      </c>
      <c r="S12444">
        <v>1455</v>
      </c>
    </row>
    <row r="12445" spans="1:19">
      <c r="A12445" t="s">
        <v>140</v>
      </c>
      <c r="B12445" t="s">
        <v>150</v>
      </c>
      <c r="C12445" t="s">
        <v>272</v>
      </c>
      <c r="D12445" t="s">
        <v>401</v>
      </c>
      <c r="F12445">
        <f>HYPERLINK("https://www.wikidata.org/wiki/Q111103103", "Q111103103")</f>
        <v>0</v>
      </c>
      <c r="G12445" t="s">
        <v>3721</v>
      </c>
      <c r="H12445" t="s">
        <v>8030</v>
      </c>
      <c r="I12445" t="s">
        <v>9449</v>
      </c>
      <c r="J12445" t="s">
        <v>14296</v>
      </c>
      <c r="K12445" t="s">
        <v>18650</v>
      </c>
      <c r="L12445">
        <f>HYPERLINK("https://www2.assemblee-nationale.fr/sycomore/fiche/(num_dept)/5665", "5665")</f>
        <v>0</v>
      </c>
      <c r="M12445">
        <f>HYPERLINK("https://www.senat.fr/senateur-3eme-republique/pams_jules1089r3.html", "pams_jules1089r3")</f>
        <v>0</v>
      </c>
      <c r="N12445">
        <f>HYPERLINK("https://www.wikidata.org/wiki/Q3188830", "Q3188830")</f>
        <v>0</v>
      </c>
      <c r="O12445" t="s">
        <v>20001</v>
      </c>
      <c r="Q12445" t="s">
        <v>401</v>
      </c>
      <c r="R12445" t="s">
        <v>17776</v>
      </c>
      <c r="S12445">
        <v>2858</v>
      </c>
    </row>
    <row r="12446" spans="1:19">
      <c r="A12446" t="s">
        <v>140</v>
      </c>
      <c r="B12446" t="s">
        <v>150</v>
      </c>
      <c r="C12446" t="s">
        <v>272</v>
      </c>
      <c r="D12446" t="s">
        <v>401</v>
      </c>
      <c r="F12446">
        <f>HYPERLINK("https://www.wikidata.org/wiki/Q111103103", "Q111103103")</f>
        <v>0</v>
      </c>
      <c r="G12446" t="s">
        <v>3722</v>
      </c>
      <c r="H12446" t="s">
        <v>8031</v>
      </c>
      <c r="I12446" t="s">
        <v>10947</v>
      </c>
      <c r="J12446" t="s">
        <v>14297</v>
      </c>
      <c r="K12446" t="s">
        <v>18651</v>
      </c>
      <c r="L12446">
        <f>HYPERLINK("https://www2.assemblee-nationale.fr/sycomore/fiche/(num_dept)/5745", "5745")</f>
        <v>0</v>
      </c>
      <c r="M12446">
        <f>HYPERLINK("https://www.senat.fr/senateur-3eme-republique/pedebidou_adolphe1079r3.html", "pedebidou_adolphe1079r3")</f>
        <v>0</v>
      </c>
      <c r="N12446">
        <f>HYPERLINK("https://www.wikidata.org/wiki/Q2839931", "Q2839931")</f>
        <v>0</v>
      </c>
      <c r="O12446" t="s">
        <v>20027</v>
      </c>
      <c r="Q12446" t="s">
        <v>401</v>
      </c>
      <c r="R12446" t="s">
        <v>21650</v>
      </c>
      <c r="S12446">
        <v>9415</v>
      </c>
    </row>
    <row r="12447" spans="1:19">
      <c r="A12447" t="s">
        <v>140</v>
      </c>
      <c r="B12447" t="s">
        <v>150</v>
      </c>
      <c r="C12447" t="s">
        <v>272</v>
      </c>
      <c r="D12447" t="s">
        <v>401</v>
      </c>
      <c r="F12447">
        <f>HYPERLINK("https://www.wikidata.org/wiki/Q111103103", "Q111103103")</f>
        <v>0</v>
      </c>
      <c r="G12447" t="s">
        <v>1026</v>
      </c>
      <c r="H12447" t="s">
        <v>5776</v>
      </c>
      <c r="I12447" t="s">
        <v>5528</v>
      </c>
      <c r="J12447" t="s">
        <v>11763</v>
      </c>
      <c r="K12447" t="s">
        <v>16164</v>
      </c>
      <c r="L12447">
        <f>HYPERLINK("https://www2.assemblee-nationale.fr/sycomore/fiche/(num_dept)/5811", "5811")</f>
        <v>0</v>
      </c>
      <c r="M12447">
        <f>HYPERLINK("https://www.senat.fr/senateur-3eme-republique/perrier_leon1193r3.html", "perrier_leon1193r3")</f>
        <v>0</v>
      </c>
      <c r="N12447">
        <f>HYPERLINK("https://www.wikidata.org/wiki/Q3271259", "Q3271259")</f>
        <v>0</v>
      </c>
      <c r="O12447" t="s">
        <v>20006</v>
      </c>
      <c r="Q12447" t="s">
        <v>401</v>
      </c>
      <c r="R12447" t="s">
        <v>16129</v>
      </c>
      <c r="S12447">
        <v>1455</v>
      </c>
    </row>
    <row r="12448" spans="1:19">
      <c r="A12448" t="s">
        <v>140</v>
      </c>
      <c r="B12448" t="s">
        <v>150</v>
      </c>
      <c r="C12448" t="s">
        <v>272</v>
      </c>
      <c r="D12448" t="s">
        <v>401</v>
      </c>
      <c r="F12448">
        <f>HYPERLINK("https://www.wikidata.org/wiki/Q111103103", "Q111103103")</f>
        <v>0</v>
      </c>
      <c r="G12448" t="s">
        <v>1107</v>
      </c>
      <c r="H12448" t="s">
        <v>5848</v>
      </c>
      <c r="I12448" t="s">
        <v>9483</v>
      </c>
      <c r="J12448" t="s">
        <v>11841</v>
      </c>
      <c r="K12448" t="s">
        <v>16243</v>
      </c>
      <c r="L12448">
        <f>HYPERLINK("https://www2.assemblee-nationale.fr/sycomore/fiche/(num_dept)/5874", "5874")</f>
        <v>0</v>
      </c>
      <c r="M12448">
        <f>HYPERLINK("https://www.senat.fr/senateur-3eme-republique/peytral_victor0076r3.html", "peytral_victor0076r3")</f>
        <v>0</v>
      </c>
      <c r="N12448">
        <f>HYPERLINK("https://www.wikidata.org/wiki/Q3557505", "Q3557505")</f>
        <v>0</v>
      </c>
      <c r="O12448" t="s">
        <v>19981</v>
      </c>
      <c r="Q12448" t="s">
        <v>401</v>
      </c>
      <c r="R12448" t="s">
        <v>21700</v>
      </c>
      <c r="S12448">
        <v>363</v>
      </c>
    </row>
    <row r="12449" spans="1:19">
      <c r="A12449" t="s">
        <v>140</v>
      </c>
      <c r="B12449" t="s">
        <v>150</v>
      </c>
      <c r="C12449" t="s">
        <v>272</v>
      </c>
      <c r="D12449" t="s">
        <v>401</v>
      </c>
      <c r="F12449">
        <f>HYPERLINK("https://www.wikidata.org/wiki/Q111103103", "Q111103103")</f>
        <v>0</v>
      </c>
      <c r="G12449" t="s">
        <v>759</v>
      </c>
      <c r="H12449" t="s">
        <v>5517</v>
      </c>
      <c r="I12449" t="s">
        <v>6860</v>
      </c>
      <c r="J12449" t="s">
        <v>11507</v>
      </c>
      <c r="K12449" t="s">
        <v>15910</v>
      </c>
      <c r="L12449">
        <f>HYPERLINK("https://www2.assemblee-nationale.fr/sycomore/fiche/(num_dept)/5903", "5903")</f>
        <v>0</v>
      </c>
      <c r="M12449">
        <f>HYPERLINK("https://www.senat.fr/senateur-3eme-republique/pichery_pierre0386r3.html", "pichery_pierre0386r3")</f>
        <v>0</v>
      </c>
      <c r="N12449">
        <f>HYPERLINK("https://www.wikidata.org/wiki/Q3386607", "Q3386607")</f>
        <v>0</v>
      </c>
      <c r="O12449" t="s">
        <v>20039</v>
      </c>
      <c r="Q12449" t="s">
        <v>401</v>
      </c>
      <c r="R12449" t="s">
        <v>16129</v>
      </c>
      <c r="S12449">
        <v>1455</v>
      </c>
    </row>
    <row r="12450" spans="1:19">
      <c r="A12450" t="s">
        <v>140</v>
      </c>
      <c r="B12450" t="s">
        <v>150</v>
      </c>
      <c r="C12450" t="s">
        <v>272</v>
      </c>
      <c r="D12450" t="s">
        <v>401</v>
      </c>
      <c r="F12450">
        <f>HYPERLINK("https://www.wikidata.org/wiki/Q111103103", "Q111103103")</f>
        <v>0</v>
      </c>
      <c r="G12450" t="s">
        <v>3276</v>
      </c>
      <c r="H12450" t="s">
        <v>7691</v>
      </c>
      <c r="I12450" t="s">
        <v>10740</v>
      </c>
      <c r="J12450" t="s">
        <v>13890</v>
      </c>
      <c r="K12450" t="s">
        <v>18262</v>
      </c>
      <c r="L12450">
        <f>HYPERLINK("https://www2.assemblee-nationale.fr/sycomore/fiche/(num_dept)/5905", "5905")</f>
        <v>0</v>
      </c>
      <c r="M12450">
        <f>HYPERLINK("https://www.senat.fr/senateur-3eme-republique/pichon_stephen0429r3.html", "pichon_stephen0429r3")</f>
        <v>0</v>
      </c>
      <c r="N12450">
        <f>HYPERLINK("https://www.wikidata.org/wiki/Q1069292", "Q1069292")</f>
        <v>0</v>
      </c>
      <c r="O12450" t="s">
        <v>20041</v>
      </c>
      <c r="Q12450" t="s">
        <v>401</v>
      </c>
      <c r="R12450" t="s">
        <v>21650</v>
      </c>
      <c r="S12450">
        <v>9415</v>
      </c>
    </row>
    <row r="12451" spans="1:19">
      <c r="A12451" t="s">
        <v>140</v>
      </c>
      <c r="B12451" t="s">
        <v>150</v>
      </c>
      <c r="C12451" t="s">
        <v>272</v>
      </c>
      <c r="D12451" t="s">
        <v>401</v>
      </c>
      <c r="F12451">
        <f>HYPERLINK("https://www.wikidata.org/wiki/Q111103103", "Q111103103")</f>
        <v>0</v>
      </c>
      <c r="G12451" t="s">
        <v>762</v>
      </c>
      <c r="H12451" t="s">
        <v>5520</v>
      </c>
      <c r="I12451" t="s">
        <v>9514</v>
      </c>
      <c r="J12451" t="s">
        <v>11507</v>
      </c>
      <c r="K12451" t="s">
        <v>15913</v>
      </c>
      <c r="L12451">
        <f>HYPERLINK("https://www2.assemblee-nationale.fr/sycomore/fiche/(num_dept)/5981", "5981")</f>
        <v>0</v>
      </c>
      <c r="M12451">
        <f>HYPERLINK("https://www.senat.fr/senateur-3eme-republique/plichon_jean1422r3.html", "plichon_jean1422r3")</f>
        <v>0</v>
      </c>
      <c r="N12451">
        <f>HYPERLINK("https://www.wikidata.org/wiki/Q3174051", "Q3174051")</f>
        <v>0</v>
      </c>
      <c r="O12451" t="s">
        <v>20013</v>
      </c>
      <c r="Q12451" t="s">
        <v>401</v>
      </c>
      <c r="R12451" t="s">
        <v>16129</v>
      </c>
      <c r="S12451">
        <v>1455</v>
      </c>
    </row>
    <row r="12452" spans="1:19">
      <c r="A12452" t="s">
        <v>140</v>
      </c>
      <c r="B12452" t="s">
        <v>150</v>
      </c>
      <c r="C12452" t="s">
        <v>272</v>
      </c>
      <c r="D12452" t="s">
        <v>401</v>
      </c>
      <c r="F12452">
        <f>HYPERLINK("https://www.wikidata.org/wiki/Q111103103", "Q111103103")</f>
        <v>0</v>
      </c>
      <c r="G12452" t="s">
        <v>3369</v>
      </c>
      <c r="H12452" t="s">
        <v>7766</v>
      </c>
      <c r="I12452" t="s">
        <v>9692</v>
      </c>
      <c r="J12452" t="s">
        <v>13981</v>
      </c>
      <c r="K12452" t="s">
        <v>18349</v>
      </c>
      <c r="L12452">
        <f>HYPERLINK("https://www2.assemblee-nationale.fr/sycomore/fiche/(num_dept)/5994", "5994")</f>
        <v>0</v>
      </c>
      <c r="M12452">
        <f>HYPERLINK("https://www.senat.fr/senateur-3eme-republique/poincare_raymond1024r3.html", "poincare_raymond1024r3")</f>
        <v>0</v>
      </c>
      <c r="N12452">
        <f>HYPERLINK("https://www.wikidata.org/wiki/Q191974", "Q191974")</f>
        <v>0</v>
      </c>
      <c r="O12452" t="s">
        <v>20030</v>
      </c>
      <c r="Q12452" t="s">
        <v>401</v>
      </c>
      <c r="R12452" t="s">
        <v>16129</v>
      </c>
      <c r="S12452">
        <v>1455</v>
      </c>
    </row>
    <row r="12453" spans="1:19">
      <c r="A12453" t="s">
        <v>140</v>
      </c>
      <c r="B12453" t="s">
        <v>150</v>
      </c>
      <c r="C12453" t="s">
        <v>272</v>
      </c>
      <c r="D12453" t="s">
        <v>401</v>
      </c>
      <c r="F12453">
        <f>HYPERLINK("https://www.wikidata.org/wiki/Q111103103", "Q111103103")</f>
        <v>0</v>
      </c>
      <c r="G12453" t="s">
        <v>3047</v>
      </c>
      <c r="H12453" t="s">
        <v>7503</v>
      </c>
      <c r="I12453" t="s">
        <v>9421</v>
      </c>
      <c r="J12453" t="s">
        <v>13674</v>
      </c>
      <c r="K12453" t="s">
        <v>18055</v>
      </c>
      <c r="L12453">
        <f>HYPERLINK("https://www2.assemblee-nationale.fr/sycomore/fiche/(num_dept)/6001", "6001")</f>
        <v>0</v>
      </c>
      <c r="M12453">
        <f>HYPERLINK("https://www.senat.fr/senateur-3eme-republique/rivet_gustave1198r3.html", "rivet_gustave1198r3")</f>
        <v>0</v>
      </c>
      <c r="N12453">
        <f>HYPERLINK("https://www.wikidata.org/wiki/Q3121310", "Q3121310")</f>
        <v>0</v>
      </c>
      <c r="O12453" t="s">
        <v>20006</v>
      </c>
      <c r="Q12453" t="s">
        <v>401</v>
      </c>
      <c r="R12453" t="s">
        <v>21650</v>
      </c>
      <c r="S12453">
        <v>9415</v>
      </c>
    </row>
    <row r="12454" spans="1:19">
      <c r="A12454" t="s">
        <v>140</v>
      </c>
      <c r="B12454" t="s">
        <v>150</v>
      </c>
      <c r="C12454" t="s">
        <v>272</v>
      </c>
      <c r="D12454" t="s">
        <v>401</v>
      </c>
      <c r="F12454">
        <f>HYPERLINK("https://www.wikidata.org/wiki/Q111103103", "Q111103103")</f>
        <v>0</v>
      </c>
      <c r="G12454" t="s">
        <v>3936</v>
      </c>
      <c r="H12454" t="s">
        <v>8189</v>
      </c>
      <c r="I12454" t="s">
        <v>11029</v>
      </c>
      <c r="J12454" t="s">
        <v>14490</v>
      </c>
      <c r="K12454" t="s">
        <v>18838</v>
      </c>
      <c r="L12454">
        <f>HYPERLINK("https://www2.assemblee-nationale.fr/sycomore/fiche/(num_dept)/6121", "6121")</f>
        <v>0</v>
      </c>
      <c r="M12454">
        <f>HYPERLINK("https://www.senat.fr/senateur-3eme-republique/rouland_julien1587r3.html", "rouland_julien1587r3")</f>
        <v>0</v>
      </c>
      <c r="N12454">
        <f>HYPERLINK("https://www.wikidata.org/wiki/Q3189641", "Q3189641")</f>
        <v>0</v>
      </c>
      <c r="O12454" t="s">
        <v>19978</v>
      </c>
      <c r="Q12454" t="s">
        <v>401</v>
      </c>
      <c r="R12454" t="s">
        <v>21650</v>
      </c>
      <c r="S12454">
        <v>9415</v>
      </c>
    </row>
    <row r="12455" spans="1:19">
      <c r="A12455" t="s">
        <v>140</v>
      </c>
      <c r="B12455" t="s">
        <v>150</v>
      </c>
      <c r="C12455" t="s">
        <v>272</v>
      </c>
      <c r="D12455" t="s">
        <v>401</v>
      </c>
      <c r="F12455">
        <f>HYPERLINK("https://www.wikidata.org/wiki/Q111103103", "Q111103103")</f>
        <v>0</v>
      </c>
      <c r="G12455" t="s">
        <v>1032</v>
      </c>
      <c r="H12455" t="s">
        <v>5781</v>
      </c>
      <c r="I12455" t="s">
        <v>9457</v>
      </c>
      <c r="J12455" t="s">
        <v>11769</v>
      </c>
      <c r="K12455" t="s">
        <v>16170</v>
      </c>
      <c r="L12455">
        <f>HYPERLINK("https://www2.assemblee-nationale.fr/sycomore/fiche/(num_dept)/6171", "6171")</f>
        <v>0</v>
      </c>
      <c r="M12455">
        <f>HYPERLINK("https://www.senat.fr/senateur-3eme-republique/roy_henri0510r3.html", "roy_henri0510r3")</f>
        <v>0</v>
      </c>
      <c r="N12455">
        <f>HYPERLINK("https://www.wikidata.org/wiki/Q3131955", "Q3131955")</f>
        <v>0</v>
      </c>
      <c r="O12455" t="s">
        <v>19958</v>
      </c>
      <c r="Q12455" t="s">
        <v>401</v>
      </c>
      <c r="R12455" t="s">
        <v>16129</v>
      </c>
      <c r="S12455">
        <v>1455</v>
      </c>
    </row>
    <row r="12456" spans="1:19">
      <c r="A12456" t="s">
        <v>140</v>
      </c>
      <c r="B12456" t="s">
        <v>150</v>
      </c>
      <c r="C12456" t="s">
        <v>272</v>
      </c>
      <c r="D12456" t="s">
        <v>401</v>
      </c>
      <c r="F12456">
        <f>HYPERLINK("https://www.wikidata.org/wiki/Q111103103", "Q111103103")</f>
        <v>0</v>
      </c>
      <c r="G12456" t="s">
        <v>4085</v>
      </c>
      <c r="H12456" t="s">
        <v>8300</v>
      </c>
      <c r="I12456" t="s">
        <v>9638</v>
      </c>
      <c r="J12456" t="s">
        <v>14624</v>
      </c>
      <c r="K12456" t="s">
        <v>18959</v>
      </c>
      <c r="L12456">
        <f>HYPERLINK("https://www2.assemblee-nationale.fr/sycomore/fiche/(num_dept)/6196", "6196")</f>
        <v>0</v>
      </c>
      <c r="M12456">
        <f>HYPERLINK("https://www.senat.fr/senateur-3eme-republique/sabaterie_pierre_jean0994r3.html", "sabaterie_pierre_jean0994r3")</f>
        <v>0</v>
      </c>
      <c r="N12456">
        <f>HYPERLINK("https://www.wikidata.org/wiki/Q3383181", "Q3383181")</f>
        <v>0</v>
      </c>
      <c r="O12456" t="s">
        <v>20005</v>
      </c>
      <c r="Q12456" t="s">
        <v>401</v>
      </c>
      <c r="R12456" t="s">
        <v>21279</v>
      </c>
      <c r="S12456">
        <v>2554</v>
      </c>
    </row>
    <row r="12457" spans="1:19">
      <c r="A12457" t="s">
        <v>140</v>
      </c>
      <c r="B12457" t="s">
        <v>150</v>
      </c>
      <c r="C12457" t="s">
        <v>272</v>
      </c>
      <c r="D12457" t="s">
        <v>401</v>
      </c>
      <c r="F12457">
        <f>HYPERLINK("https://www.wikidata.org/wiki/Q111103103", "Q111103103")</f>
        <v>0</v>
      </c>
      <c r="G12457" t="s">
        <v>1298</v>
      </c>
      <c r="H12457" t="s">
        <v>6020</v>
      </c>
      <c r="I12457" t="s">
        <v>6495</v>
      </c>
      <c r="J12457" t="s">
        <v>12028</v>
      </c>
      <c r="K12457" t="s">
        <v>16430</v>
      </c>
      <c r="L12457">
        <f>HYPERLINK("https://www2.assemblee-nationale.fr/sycomore/fiche/(num_dept)/6399", "6399")</f>
        <v>0</v>
      </c>
      <c r="M12457">
        <f>HYPERLINK("https://www.senat.fr/senateur-3eme-republique/serre_louis1705r3.html", "serre_louis1705r3")</f>
        <v>0</v>
      </c>
      <c r="N12457">
        <f>HYPERLINK("https://www.wikidata.org/wiki/Q195990", "Q195990")</f>
        <v>0</v>
      </c>
      <c r="O12457" t="s">
        <v>20047</v>
      </c>
      <c r="Q12457" t="s">
        <v>401</v>
      </c>
      <c r="R12457" t="s">
        <v>21279</v>
      </c>
      <c r="S12457">
        <v>2554</v>
      </c>
    </row>
    <row r="12458" spans="1:19">
      <c r="A12458" t="s">
        <v>140</v>
      </c>
      <c r="B12458" t="s">
        <v>150</v>
      </c>
      <c r="C12458" t="s">
        <v>272</v>
      </c>
      <c r="D12458" t="s">
        <v>401</v>
      </c>
      <c r="F12458">
        <f>HYPERLINK("https://www.wikidata.org/wiki/Q111103103", "Q111103103")</f>
        <v>0</v>
      </c>
      <c r="G12458" t="s">
        <v>787</v>
      </c>
      <c r="H12458" t="s">
        <v>5544</v>
      </c>
      <c r="I12458" t="s">
        <v>6941</v>
      </c>
      <c r="J12458" t="s">
        <v>11534</v>
      </c>
      <c r="K12458" t="s">
        <v>15938</v>
      </c>
      <c r="L12458">
        <f>HYPERLINK("https://www2.assemblee-nationale.fr/sycomore/fiche/(num_dept)/6407", "6407")</f>
        <v>0</v>
      </c>
      <c r="M12458">
        <f>HYPERLINK("https://www.senat.fr/senateur-3eme-republique/de_pomereu_michel1598r3.html", "de_pomereu_michel1598r3")</f>
        <v>0</v>
      </c>
      <c r="N12458">
        <f>HYPERLINK("https://www.wikidata.org/wiki/Q3436712", "Q3436712")</f>
        <v>0</v>
      </c>
      <c r="O12458" t="s">
        <v>19978</v>
      </c>
      <c r="Q12458" t="s">
        <v>401</v>
      </c>
      <c r="R12458" t="s">
        <v>18125</v>
      </c>
      <c r="S12458">
        <v>2553</v>
      </c>
    </row>
    <row r="12459" spans="1:19">
      <c r="A12459" t="s">
        <v>140</v>
      </c>
      <c r="B12459" t="s">
        <v>150</v>
      </c>
      <c r="C12459" t="s">
        <v>272</v>
      </c>
      <c r="D12459" t="s">
        <v>401</v>
      </c>
      <c r="F12459">
        <f>HYPERLINK("https://www.wikidata.org/wiki/Q111103103", "Q111103103")</f>
        <v>0</v>
      </c>
      <c r="G12459" t="s">
        <v>789</v>
      </c>
      <c r="H12459" t="s">
        <v>5546</v>
      </c>
      <c r="I12459" t="s">
        <v>9524</v>
      </c>
      <c r="J12459" t="s">
        <v>11536</v>
      </c>
      <c r="K12459" t="s">
        <v>15940</v>
      </c>
      <c r="L12459">
        <f>HYPERLINK("https://www2.assemblee-nationale.fr/sycomore/fiche/(num_dept)/6433", "6433")</f>
        <v>0</v>
      </c>
      <c r="M12459">
        <f>HYPERLINK("https://www.senat.fr/senateur-3eme-republique/porteu_andre0542r3.html", "porteu_andre0542r3")</f>
        <v>0</v>
      </c>
      <c r="N12459">
        <f>HYPERLINK("https://www.wikidata.org/wiki/Q2848467", "Q2848467")</f>
        <v>0</v>
      </c>
      <c r="O12459" t="s">
        <v>19998</v>
      </c>
      <c r="Q12459" t="s">
        <v>401</v>
      </c>
      <c r="R12459" t="s">
        <v>16129</v>
      </c>
      <c r="S12459">
        <v>1455</v>
      </c>
    </row>
    <row r="12460" spans="1:19">
      <c r="A12460" t="s">
        <v>140</v>
      </c>
      <c r="B12460" t="s">
        <v>150</v>
      </c>
      <c r="C12460" t="s">
        <v>272</v>
      </c>
      <c r="D12460" t="s">
        <v>401</v>
      </c>
      <c r="F12460">
        <f>HYPERLINK("https://www.wikidata.org/wiki/Q111103103", "Q111103103")</f>
        <v>0</v>
      </c>
      <c r="G12460" t="s">
        <v>1301</v>
      </c>
      <c r="H12460" t="s">
        <v>6022</v>
      </c>
      <c r="I12460" t="s">
        <v>9740</v>
      </c>
      <c r="J12460" t="s">
        <v>12031</v>
      </c>
      <c r="K12460" t="s">
        <v>16432</v>
      </c>
      <c r="L12460">
        <f>HYPERLINK("https://www2.assemblee-nationale.fr/sycomore/fiche/(num_dept)/6441", "6441")</f>
        <v>0</v>
      </c>
      <c r="M12460">
        <f>HYPERLINK("https://www.senat.fr/senateur-3eme-republique/pottevin_henri1717r3.html", "pottevin_henri1717r3")</f>
        <v>0</v>
      </c>
      <c r="N12460">
        <f>HYPERLINK("https://www.wikidata.org/wiki/Q3131827", "Q3131827")</f>
        <v>0</v>
      </c>
      <c r="O12460" t="s">
        <v>20045</v>
      </c>
      <c r="Q12460" t="s">
        <v>401</v>
      </c>
      <c r="R12460" t="s">
        <v>21279</v>
      </c>
      <c r="S12460">
        <v>2554</v>
      </c>
    </row>
    <row r="12461" spans="1:19">
      <c r="A12461" t="s">
        <v>140</v>
      </c>
      <c r="B12461" t="s">
        <v>150</v>
      </c>
      <c r="C12461" t="s">
        <v>272</v>
      </c>
      <c r="D12461" t="s">
        <v>401</v>
      </c>
      <c r="F12461">
        <f>HYPERLINK("https://www.wikidata.org/wiki/Q111103103", "Q111103103")</f>
        <v>0</v>
      </c>
      <c r="G12461" t="s">
        <v>794</v>
      </c>
      <c r="H12461" t="s">
        <v>5551</v>
      </c>
      <c r="I12461" t="s">
        <v>6495</v>
      </c>
      <c r="J12461" t="s">
        <v>11541</v>
      </c>
      <c r="K12461" t="s">
        <v>15945</v>
      </c>
      <c r="L12461">
        <f>HYPERLINK("https://www2.assemblee-nationale.fr/sycomore/fiche/(num_dept)/6551", "6551")</f>
        <v>0</v>
      </c>
      <c r="M12461">
        <f>HYPERLINK("https://www.senat.fr/senateur-3eme-republique/quesnel_louis1575r3.html", "quesnel_louis1575r3")</f>
        <v>0</v>
      </c>
      <c r="N12461">
        <f>HYPERLINK("https://www.wikidata.org/wiki/Q3262977", "Q3262977")</f>
        <v>0</v>
      </c>
      <c r="O12461" t="s">
        <v>19978</v>
      </c>
      <c r="Q12461" t="s">
        <v>401</v>
      </c>
      <c r="R12461" t="s">
        <v>21650</v>
      </c>
      <c r="S12461">
        <v>9415</v>
      </c>
    </row>
    <row r="12462" spans="1:19">
      <c r="A12462" t="s">
        <v>140</v>
      </c>
      <c r="B12462" t="s">
        <v>150</v>
      </c>
      <c r="C12462" t="s">
        <v>272</v>
      </c>
      <c r="D12462" t="s">
        <v>401</v>
      </c>
      <c r="F12462">
        <f>HYPERLINK("https://www.wikidata.org/wiki/Q111103103", "Q111103103")</f>
        <v>0</v>
      </c>
      <c r="G12462" t="s">
        <v>796</v>
      </c>
      <c r="H12462" t="s">
        <v>5553</v>
      </c>
      <c r="I12462" t="s">
        <v>9527</v>
      </c>
      <c r="J12462" t="s">
        <v>11543</v>
      </c>
      <c r="K12462" t="s">
        <v>15947</v>
      </c>
      <c r="L12462">
        <f>HYPERLINK("https://www2.assemblee-nationale.fr/sycomore/fiche/(num_dept)/6567", "6567")</f>
        <v>0</v>
      </c>
      <c r="M12462">
        <f>HYPERLINK("https://www.senat.fr/senateur-3eme-republique/rabier_fernand0501r3.html", "rabier_fernand0501r3")</f>
        <v>0</v>
      </c>
      <c r="N12462">
        <f>HYPERLINK("https://www.wikidata.org/wiki/Q3069308", "Q3069308")</f>
        <v>0</v>
      </c>
      <c r="O12462" t="s">
        <v>19958</v>
      </c>
      <c r="Q12462" t="s">
        <v>401</v>
      </c>
      <c r="R12462" t="s">
        <v>16129</v>
      </c>
      <c r="S12462">
        <v>1455</v>
      </c>
    </row>
    <row r="12463" spans="1:19">
      <c r="A12463" t="s">
        <v>140</v>
      </c>
      <c r="B12463" t="s">
        <v>150</v>
      </c>
      <c r="C12463" t="s">
        <v>272</v>
      </c>
      <c r="D12463" t="s">
        <v>401</v>
      </c>
      <c r="F12463">
        <f>HYPERLINK("https://www.wikidata.org/wiki/Q111103103", "Q111103103")</f>
        <v>0</v>
      </c>
      <c r="G12463" t="s">
        <v>4152</v>
      </c>
      <c r="H12463" t="s">
        <v>8355</v>
      </c>
      <c r="I12463" t="s">
        <v>9523</v>
      </c>
      <c r="J12463" t="s">
        <v>14681</v>
      </c>
      <c r="K12463" t="s">
        <v>19018</v>
      </c>
      <c r="L12463">
        <f>HYPERLINK("https://www2.assemblee-nationale.fr/sycomore/fiche/(num_dept)/6654", "6654")</f>
        <v>0</v>
      </c>
      <c r="M12463">
        <f>HYPERLINK("https://www.senat.fr/senateur-3eme-republique/regnier_marcel0044r3.html", "regnier_marcel0044r3")</f>
        <v>0</v>
      </c>
      <c r="N12463">
        <f>HYPERLINK("https://www.wikidata.org/wiki/Q3289373", "Q3289373")</f>
        <v>0</v>
      </c>
      <c r="O12463" t="s">
        <v>19999</v>
      </c>
      <c r="Q12463" t="s">
        <v>401</v>
      </c>
      <c r="R12463" t="s">
        <v>21700</v>
      </c>
      <c r="S12463">
        <v>363</v>
      </c>
    </row>
    <row r="12464" spans="1:19">
      <c r="A12464" t="s">
        <v>140</v>
      </c>
      <c r="B12464" t="s">
        <v>150</v>
      </c>
      <c r="C12464" t="s">
        <v>272</v>
      </c>
      <c r="D12464" t="s">
        <v>401</v>
      </c>
      <c r="F12464">
        <f>HYPERLINK("https://www.wikidata.org/wiki/Q111103103", "Q111103103")</f>
        <v>0</v>
      </c>
      <c r="G12464" t="s">
        <v>804</v>
      </c>
      <c r="H12464" t="s">
        <v>5561</v>
      </c>
      <c r="I12464" t="s">
        <v>9476</v>
      </c>
      <c r="J12464" t="s">
        <v>11551</v>
      </c>
      <c r="K12464" t="s">
        <v>15955</v>
      </c>
      <c r="L12464">
        <f>HYPERLINK("https://www2.assemblee-nationale.fr/sycomore/fiche/(num_dept)/6684", "6684")</f>
        <v>0</v>
      </c>
      <c r="M12464">
        <f>HYPERLINK("https://www.senat.fr/senateur-3eme-republique/renoult_rene1734r3.html", "renoult_rene1734r3")</f>
        <v>0</v>
      </c>
      <c r="N12464">
        <f>HYPERLINK("https://www.wikidata.org/wiki/Q3426810", "Q3426810")</f>
        <v>0</v>
      </c>
      <c r="O12464" t="s">
        <v>20042</v>
      </c>
      <c r="Q12464" t="s">
        <v>401</v>
      </c>
      <c r="R12464" t="s">
        <v>21279</v>
      </c>
      <c r="S12464">
        <v>2554</v>
      </c>
    </row>
    <row r="12465" spans="1:19">
      <c r="A12465" t="s">
        <v>140</v>
      </c>
      <c r="B12465" t="s">
        <v>150</v>
      </c>
      <c r="C12465" t="s">
        <v>272</v>
      </c>
      <c r="D12465" t="s">
        <v>401</v>
      </c>
      <c r="F12465">
        <f>HYPERLINK("https://www.wikidata.org/wiki/Q111103103", "Q111103103")</f>
        <v>0</v>
      </c>
      <c r="G12465" t="s">
        <v>806</v>
      </c>
      <c r="H12465" t="s">
        <v>5563</v>
      </c>
      <c r="I12465" t="s">
        <v>9523</v>
      </c>
      <c r="J12465" t="s">
        <v>11553</v>
      </c>
      <c r="K12465" t="s">
        <v>15957</v>
      </c>
      <c r="L12465">
        <f>HYPERLINK("https://www2.assemblee-nationale.fr/sycomore/fiche/(num_dept)/6725", "6725")</f>
        <v>0</v>
      </c>
      <c r="M12465">
        <f>HYPERLINK("https://www.senat.fr/senateur-3eme-republique/ribiere_marcel1846r3.html", "ribiere_marcel1846r3")</f>
        <v>0</v>
      </c>
      <c r="N12465">
        <f>HYPERLINK("https://www.wikidata.org/wiki/Q3289327", "Q3289327")</f>
        <v>0</v>
      </c>
      <c r="O12465" t="s">
        <v>20034</v>
      </c>
      <c r="Q12465" t="s">
        <v>401</v>
      </c>
      <c r="R12465" t="s">
        <v>21650</v>
      </c>
      <c r="S12465">
        <v>9415</v>
      </c>
    </row>
    <row r="12466" spans="1:19">
      <c r="A12466" t="s">
        <v>140</v>
      </c>
      <c r="B12466" t="s">
        <v>150</v>
      </c>
      <c r="C12466" t="s">
        <v>272</v>
      </c>
      <c r="D12466" t="s">
        <v>401</v>
      </c>
      <c r="F12466">
        <f>HYPERLINK("https://www.wikidata.org/wiki/Q111103103", "Q111103103")</f>
        <v>0</v>
      </c>
      <c r="G12466" t="s">
        <v>2671</v>
      </c>
      <c r="H12466" t="s">
        <v>7208</v>
      </c>
      <c r="I12466" t="s">
        <v>9553</v>
      </c>
      <c r="J12466" t="s">
        <v>13312</v>
      </c>
      <c r="K12466" t="s">
        <v>17712</v>
      </c>
      <c r="L12466">
        <f>HYPERLINK("https://www2.assemblee-nationale.fr/sycomore/fiche/(num_dept)/6727", "6727")</f>
        <v>0</v>
      </c>
      <c r="M12466">
        <f>HYPERLINK("https://www.senat.fr/senateur-3eme-republique/ribot_alexandre0941r3.html", "ribot_alexandre0941r3")</f>
        <v>0</v>
      </c>
      <c r="N12466">
        <f>HYPERLINK("https://www.wikidata.org/wiki/Q358387", "Q358387")</f>
        <v>0</v>
      </c>
      <c r="O12466" t="s">
        <v>19968</v>
      </c>
      <c r="Q12466" t="s">
        <v>401</v>
      </c>
      <c r="R12466" t="s">
        <v>21650</v>
      </c>
      <c r="S12466">
        <v>9415</v>
      </c>
    </row>
    <row r="12467" spans="1:19">
      <c r="A12467" t="s">
        <v>140</v>
      </c>
      <c r="B12467" t="s">
        <v>150</v>
      </c>
      <c r="C12467" t="s">
        <v>272</v>
      </c>
      <c r="D12467" t="s">
        <v>401</v>
      </c>
      <c r="F12467">
        <f>HYPERLINK("https://www.wikidata.org/wiki/Q111103103", "Q111103103")</f>
        <v>0</v>
      </c>
      <c r="G12467" t="s">
        <v>2674</v>
      </c>
      <c r="H12467" t="s">
        <v>7209</v>
      </c>
      <c r="I12467" t="s">
        <v>10355</v>
      </c>
      <c r="J12467" t="s">
        <v>13315</v>
      </c>
      <c r="K12467" t="s">
        <v>17715</v>
      </c>
      <c r="L12467">
        <f>HYPERLINK("https://www2.assemblee-nationale.fr/sycomore/fiche/(num_dept)/6782", "6782")</f>
        <v>0</v>
      </c>
      <c r="M12467">
        <f>HYPERLINK("https://www.senat.fr/senateur-3eme-republique/riotteau_emile1031r3.html", "riotteau_emile1031r3")</f>
        <v>0</v>
      </c>
      <c r="N12467">
        <f>HYPERLINK("https://www.wikidata.org/wiki/Q3588719", "Q3588719")</f>
        <v>0</v>
      </c>
      <c r="O12467" t="s">
        <v>19985</v>
      </c>
      <c r="Q12467" t="s">
        <v>401</v>
      </c>
      <c r="R12467" t="s">
        <v>16129</v>
      </c>
      <c r="S12467">
        <v>1455</v>
      </c>
    </row>
    <row r="12468" spans="1:19">
      <c r="A12468" t="s">
        <v>140</v>
      </c>
      <c r="B12468" t="s">
        <v>150</v>
      </c>
      <c r="C12468" t="s">
        <v>272</v>
      </c>
      <c r="D12468" t="s">
        <v>401</v>
      </c>
      <c r="F12468">
        <f>HYPERLINK("https://www.wikidata.org/wiki/Q111103103", "Q111103103")</f>
        <v>0</v>
      </c>
      <c r="G12468" t="s">
        <v>814</v>
      </c>
      <c r="H12468" t="s">
        <v>5571</v>
      </c>
      <c r="I12468" t="s">
        <v>9533</v>
      </c>
      <c r="J12468" t="s">
        <v>11561</v>
      </c>
      <c r="K12468" t="s">
        <v>15965</v>
      </c>
      <c r="L12468">
        <f>HYPERLINK("https://www2.assemblee-nationale.fr/sycomore/fiche/(num_dept)/6904", "6904")</f>
        <v>0</v>
      </c>
      <c r="M12468">
        <f>HYPERLINK("https://www.senat.fr/senateur-3eme-republique/steeg_theodore1554r3.html", "steeg_theodore1554r3")</f>
        <v>0</v>
      </c>
      <c r="N12468">
        <f>HYPERLINK("https://www.wikidata.org/wiki/Q717905", "Q717905")</f>
        <v>0</v>
      </c>
      <c r="O12468" t="s">
        <v>19969</v>
      </c>
      <c r="Q12468" t="s">
        <v>401</v>
      </c>
      <c r="R12468" t="s">
        <v>21279</v>
      </c>
      <c r="S12468">
        <v>2554</v>
      </c>
    </row>
    <row r="12469" spans="1:19">
      <c r="A12469" t="s">
        <v>140</v>
      </c>
      <c r="B12469" t="s">
        <v>150</v>
      </c>
      <c r="C12469" t="s">
        <v>272</v>
      </c>
      <c r="D12469" t="s">
        <v>401</v>
      </c>
      <c r="F12469">
        <f>HYPERLINK("https://www.wikidata.org/wiki/Q111103103", "Q111103103")</f>
        <v>0</v>
      </c>
      <c r="G12469" t="s">
        <v>1127</v>
      </c>
      <c r="H12469" t="s">
        <v>5865</v>
      </c>
      <c r="I12469" t="s">
        <v>9594</v>
      </c>
      <c r="J12469" t="s">
        <v>11861</v>
      </c>
      <c r="K12469" t="s">
        <v>16263</v>
      </c>
      <c r="L12469">
        <f>HYPERLINK("https://www2.assemblee-nationale.fr/sycomore/fiche/(num_dept)/7090", "7090")</f>
        <v>0</v>
      </c>
      <c r="M12469">
        <f>HYPERLINK("https://www.senat.fr/senateur-3eme-republique/tissier_louis1710r3.html", "tissier_louis1710r3")</f>
        <v>0</v>
      </c>
      <c r="N12469">
        <f>HYPERLINK("https://www.wikidata.org/wiki/Q3263199", "Q3263199")</f>
        <v>0</v>
      </c>
      <c r="O12469" t="s">
        <v>20047</v>
      </c>
      <c r="Q12469" t="s">
        <v>401</v>
      </c>
      <c r="R12469" t="s">
        <v>21279</v>
      </c>
      <c r="S12469">
        <v>2554</v>
      </c>
    </row>
    <row r="12470" spans="1:19">
      <c r="A12470" t="s">
        <v>140</v>
      </c>
      <c r="B12470" t="s">
        <v>150</v>
      </c>
      <c r="C12470" t="s">
        <v>272</v>
      </c>
      <c r="D12470" t="s">
        <v>401</v>
      </c>
      <c r="F12470">
        <f>HYPERLINK("https://www.wikidata.org/wiki/Q111103103", "Q111103103")</f>
        <v>0</v>
      </c>
      <c r="G12470" t="s">
        <v>821</v>
      </c>
      <c r="H12470" t="s">
        <v>5578</v>
      </c>
      <c r="I12470" t="s">
        <v>9539</v>
      </c>
      <c r="J12470" t="s">
        <v>11568</v>
      </c>
      <c r="K12470" t="s">
        <v>15971</v>
      </c>
      <c r="L12470">
        <f>HYPERLINK("https://www2.assemblee-nationale.fr/sycomore/fiche/(num_dept)/7165", "7165")</f>
        <v>0</v>
      </c>
      <c r="M12470">
        <f>HYPERLINK("https://www.senat.fr/senateur-3eme-republique/trouve_rene1792r3.html", "trouve_rene1792r3")</f>
        <v>0</v>
      </c>
      <c r="N12470">
        <f>HYPERLINK("https://www.wikidata.org/wiki/Q3426717", "Q3426717")</f>
        <v>0</v>
      </c>
      <c r="O12470" t="s">
        <v>19977</v>
      </c>
      <c r="Q12470" t="s">
        <v>401</v>
      </c>
      <c r="R12470" t="s">
        <v>21279</v>
      </c>
      <c r="S12470">
        <v>2554</v>
      </c>
    </row>
    <row r="12471" spans="1:19">
      <c r="A12471" t="s">
        <v>140</v>
      </c>
      <c r="B12471" t="s">
        <v>150</v>
      </c>
      <c r="C12471" t="s">
        <v>272</v>
      </c>
      <c r="D12471" t="s">
        <v>401</v>
      </c>
      <c r="F12471">
        <f>HYPERLINK("https://www.wikidata.org/wiki/Q111103103", "Q111103103")</f>
        <v>0</v>
      </c>
      <c r="G12471" t="s">
        <v>1319</v>
      </c>
      <c r="H12471" t="s">
        <v>6039</v>
      </c>
      <c r="I12471" t="s">
        <v>9749</v>
      </c>
      <c r="J12471" t="s">
        <v>12049</v>
      </c>
      <c r="K12471" t="s">
        <v>16449</v>
      </c>
      <c r="L12471">
        <f>HYPERLINK("https://www2.assemblee-nationale.fr/sycomore/fiche/(num_dept)/7385", "7385")</f>
        <v>0</v>
      </c>
      <c r="M12471">
        <f>HYPERLINK("https://www.senat.fr/senateur-3eme-republique/weiller_jean1106r3.html", "weiller_jean1106r3")</f>
        <v>0</v>
      </c>
      <c r="N12471">
        <f>HYPERLINK("https://www.wikidata.org/wiki/Q166295", "Q166295")</f>
        <v>0</v>
      </c>
      <c r="O12471" t="s">
        <v>20048</v>
      </c>
      <c r="Q12471" t="s">
        <v>401</v>
      </c>
      <c r="R12471" t="s">
        <v>21279</v>
      </c>
      <c r="S12471">
        <v>2554</v>
      </c>
    </row>
    <row r="12472" spans="1:19">
      <c r="A12472" t="s">
        <v>140</v>
      </c>
      <c r="B12472" t="s">
        <v>150</v>
      </c>
      <c r="C12472" t="s">
        <v>272</v>
      </c>
      <c r="D12472" t="s">
        <v>401</v>
      </c>
      <c r="F12472">
        <f>HYPERLINK("https://www.wikidata.org/wiki/Q111103103", "Q111103103")</f>
        <v>0</v>
      </c>
      <c r="G12472" t="s">
        <v>3509</v>
      </c>
      <c r="H12472" t="s">
        <v>7876</v>
      </c>
      <c r="I12472" t="s">
        <v>9442</v>
      </c>
      <c r="J12472" t="s">
        <v>14106</v>
      </c>
      <c r="K12472" t="s">
        <v>18471</v>
      </c>
      <c r="L12472">
        <f>HYPERLINK("https://www2.assemblee-nationale.fr/sycomore/fiche/(num_dept)/7444", "7444")</f>
        <v>0</v>
      </c>
      <c r="M12472">
        <f>HYPERLINK("https://www.senat.fr/senateur-3eme-republique/valle_ernest0643r3.html", "valle_ernest0643r3")</f>
        <v>0</v>
      </c>
      <c r="N12472">
        <f>HYPERLINK("https://www.wikidata.org/wiki/Q3057194", "Q3057194")</f>
        <v>0</v>
      </c>
      <c r="O12472" t="s">
        <v>20025</v>
      </c>
      <c r="Q12472" t="s">
        <v>401</v>
      </c>
      <c r="R12472" t="s">
        <v>21650</v>
      </c>
      <c r="S12472">
        <v>9415</v>
      </c>
    </row>
    <row r="12473" spans="1:19">
      <c r="A12473" t="s">
        <v>140</v>
      </c>
      <c r="B12473" t="s">
        <v>150</v>
      </c>
      <c r="C12473" t="s">
        <v>272</v>
      </c>
      <c r="D12473" t="s">
        <v>401</v>
      </c>
      <c r="F12473">
        <f>HYPERLINK("https://www.wikidata.org/wiki/Q111103103", "Q111103103")</f>
        <v>0</v>
      </c>
      <c r="G12473" t="s">
        <v>3174</v>
      </c>
      <c r="H12473" t="s">
        <v>7605</v>
      </c>
      <c r="I12473" t="s">
        <v>9375</v>
      </c>
      <c r="J12473" t="s">
        <v>13795</v>
      </c>
      <c r="K12473" t="s">
        <v>18170</v>
      </c>
      <c r="L12473">
        <f>HYPERLINK("https://www2.assemblee-nationale.fr/sycomore/fiche/(num_dept)/7464", "7464")</f>
        <v>0</v>
      </c>
      <c r="M12473">
        <f>HYPERLINK("https://www.senat.fr/senateur-3eme-republique/vilar_edouard1097r3.html", "vilar_edouard1097r3")</f>
        <v>0</v>
      </c>
      <c r="N12473">
        <f>HYPERLINK("https://www.wikidata.org/wiki/Q3580059", "Q3580059")</f>
        <v>0</v>
      </c>
      <c r="O12473" t="s">
        <v>20001</v>
      </c>
      <c r="Q12473" t="s">
        <v>401</v>
      </c>
      <c r="R12473" t="s">
        <v>21650</v>
      </c>
      <c r="S12473">
        <v>9415</v>
      </c>
    </row>
    <row r="12474" spans="1:19">
      <c r="A12474" t="s">
        <v>140</v>
      </c>
      <c r="B12474" t="s">
        <v>150</v>
      </c>
      <c r="C12474" t="s">
        <v>272</v>
      </c>
      <c r="D12474" t="s">
        <v>401</v>
      </c>
      <c r="F12474">
        <f>HYPERLINK("https://www.wikidata.org/wiki/Q111103103", "Q111103103")</f>
        <v>0</v>
      </c>
      <c r="G12474" t="s">
        <v>836</v>
      </c>
      <c r="H12474" t="s">
        <v>5593</v>
      </c>
      <c r="I12474" t="s">
        <v>9457</v>
      </c>
      <c r="J12474" t="s">
        <v>11583</v>
      </c>
      <c r="K12474" t="s">
        <v>15985</v>
      </c>
      <c r="L12474">
        <f>HYPERLINK("https://www2.assemblee-nationale.fr/sycomore/fiche/(num_dept)/7531", "7531")</f>
        <v>0</v>
      </c>
      <c r="M12474">
        <f>HYPERLINK("https://www.senat.fr/senateur-3eme-republique/de_lavrignais_henri1754r3.html", "de_lavrignais_henri1754r3")</f>
        <v>0</v>
      </c>
      <c r="N12474">
        <f>HYPERLINK("https://www.wikidata.org/wiki/Q3132304", "Q3132304")</f>
        <v>0</v>
      </c>
      <c r="O12474" t="s">
        <v>19972</v>
      </c>
      <c r="Q12474" t="s">
        <v>401</v>
      </c>
      <c r="R12474" t="s">
        <v>21279</v>
      </c>
      <c r="S12474">
        <v>2554</v>
      </c>
    </row>
    <row r="12475" spans="1:19">
      <c r="A12475" t="s">
        <v>140</v>
      </c>
      <c r="B12475" t="s">
        <v>150</v>
      </c>
      <c r="C12475" t="s">
        <v>272</v>
      </c>
      <c r="D12475" t="s">
        <v>401</v>
      </c>
      <c r="F12475">
        <f>HYPERLINK("https://www.wikidata.org/wiki/Q111103103", "Q111103103")</f>
        <v>0</v>
      </c>
      <c r="G12475" t="s">
        <v>2707</v>
      </c>
      <c r="H12475" t="s">
        <v>6277</v>
      </c>
      <c r="I12475" t="s">
        <v>10377</v>
      </c>
      <c r="J12475" t="s">
        <v>13348</v>
      </c>
      <c r="K12475" t="s">
        <v>17748</v>
      </c>
      <c r="L12475">
        <f>HYPERLINK("https://www2.assemblee-nationale.fr/sycomore/fiche/(num_dept)/7616", "7616")</f>
        <v>0</v>
      </c>
      <c r="M12475">
        <f>HYPERLINK("https://www.senat.fr/senateur-3eme-republique/le_roux_paul1745r3.html", "le_roux_paul1745r3")</f>
        <v>0</v>
      </c>
      <c r="N12475">
        <f>HYPERLINK("https://www.wikidata.org/wiki/Q3371651", "Q3371651")</f>
        <v>0</v>
      </c>
      <c r="O12475" t="s">
        <v>19972</v>
      </c>
      <c r="Q12475" t="s">
        <v>401</v>
      </c>
      <c r="R12475" t="s">
        <v>21650</v>
      </c>
      <c r="S12475">
        <v>9415</v>
      </c>
    </row>
    <row r="12476" spans="1:19">
      <c r="A12476" t="s">
        <v>140</v>
      </c>
      <c r="B12476" t="s">
        <v>150</v>
      </c>
      <c r="C12476" t="s">
        <v>272</v>
      </c>
      <c r="D12476" t="s">
        <v>401</v>
      </c>
      <c r="F12476">
        <f>HYPERLINK("https://www.wikidata.org/wiki/Q111103103", "Q111103103")</f>
        <v>0</v>
      </c>
      <c r="G12476" t="s">
        <v>846</v>
      </c>
      <c r="H12476" t="s">
        <v>5603</v>
      </c>
      <c r="I12476" t="s">
        <v>6584</v>
      </c>
      <c r="J12476" t="s">
        <v>11593</v>
      </c>
      <c r="K12476" t="s">
        <v>15784</v>
      </c>
      <c r="L12476">
        <f>HYPERLINK("https://www2.assemblee-nationale.fr/sycomore/fiche/(num_dept)/7652", "7652")</f>
        <v>0</v>
      </c>
      <c r="M12476">
        <f>HYPERLINK("https://www.senat.fr/senateur-3eme-republique/lebrun_albert0945r3.html", "lebrun_albert0945r3")</f>
        <v>0</v>
      </c>
      <c r="N12476">
        <f>HYPERLINK("https://www.wikidata.org/wiki/Q158749", "Q158749")</f>
        <v>0</v>
      </c>
      <c r="O12476" t="s">
        <v>20007</v>
      </c>
      <c r="Q12476" t="s">
        <v>401</v>
      </c>
      <c r="R12476" t="s">
        <v>16129</v>
      </c>
      <c r="S12476">
        <v>1455</v>
      </c>
    </row>
    <row r="12477" spans="1:19">
      <c r="A12477" t="s">
        <v>140</v>
      </c>
      <c r="B12477" t="s">
        <v>150</v>
      </c>
      <c r="C12477" t="s">
        <v>272</v>
      </c>
      <c r="D12477" t="s">
        <v>401</v>
      </c>
      <c r="F12477">
        <f>HYPERLINK("https://www.wikidata.org/wiki/Q111103103", "Q111103103")</f>
        <v>0</v>
      </c>
      <c r="G12477" t="s">
        <v>3946</v>
      </c>
      <c r="H12477" t="s">
        <v>8198</v>
      </c>
      <c r="I12477" t="s">
        <v>9407</v>
      </c>
      <c r="J12477" t="s">
        <v>12003</v>
      </c>
      <c r="K12477" t="s">
        <v>18847</v>
      </c>
      <c r="L12477">
        <f>HYPERLINK("https://www2.assemblee-nationale.fr/sycomore/fiche/(num_dept)/7720", "7720")</f>
        <v>0</v>
      </c>
      <c r="M12477">
        <f>HYPERLINK("https://www.senat.fr/senateur-3eme-republique/leglos_joseph0273r3.html", "leglos_joseph0273r3")</f>
        <v>0</v>
      </c>
      <c r="N12477">
        <f>HYPERLINK("https://www.wikidata.org/wiki/Q3185240", "Q3185240")</f>
        <v>0</v>
      </c>
      <c r="O12477" t="s">
        <v>19975</v>
      </c>
      <c r="Q12477" t="s">
        <v>401</v>
      </c>
      <c r="R12477" t="s">
        <v>16129</v>
      </c>
      <c r="S12477">
        <v>1455</v>
      </c>
    </row>
    <row r="12478" spans="1:19">
      <c r="A12478" t="s">
        <v>140</v>
      </c>
      <c r="B12478" t="s">
        <v>150</v>
      </c>
      <c r="C12478" t="s">
        <v>272</v>
      </c>
      <c r="D12478" t="s">
        <v>401</v>
      </c>
      <c r="F12478">
        <f>HYPERLINK("https://www.wikidata.org/wiki/Q111103103", "Q111103103")</f>
        <v>0</v>
      </c>
      <c r="G12478" t="s">
        <v>3948</v>
      </c>
      <c r="H12478" t="s">
        <v>5613</v>
      </c>
      <c r="I12478" t="s">
        <v>9438</v>
      </c>
      <c r="J12478" t="s">
        <v>11758</v>
      </c>
      <c r="K12478" t="s">
        <v>18848</v>
      </c>
      <c r="L12478">
        <f>HYPERLINK("https://www2.assemblee-nationale.fr/sycomore/fiche/(num_dept)/7841", "7841")</f>
        <v>0</v>
      </c>
      <c r="M12478">
        <f>HYPERLINK("https://www.senat.fr/senateur-3eme-republique/leygue_honore0095r3.html", "leygue_honore0095r3")</f>
        <v>0</v>
      </c>
      <c r="N12478">
        <f>HYPERLINK("https://www.wikidata.org/wiki/Q3140238", "Q3140238")</f>
        <v>0</v>
      </c>
      <c r="O12478" t="s">
        <v>20016</v>
      </c>
      <c r="Q12478" t="s">
        <v>401</v>
      </c>
      <c r="R12478" t="s">
        <v>21650</v>
      </c>
      <c r="S12478">
        <v>9415</v>
      </c>
    </row>
    <row r="12479" spans="1:19">
      <c r="A12479" t="s">
        <v>140</v>
      </c>
      <c r="B12479" t="s">
        <v>150</v>
      </c>
      <c r="C12479" t="s">
        <v>272</v>
      </c>
      <c r="D12479" t="s">
        <v>401</v>
      </c>
      <c r="F12479">
        <f>HYPERLINK("https://www.wikidata.org/wiki/Q111103103", "Q111103103")</f>
        <v>0</v>
      </c>
      <c r="G12479" t="s">
        <v>3194</v>
      </c>
      <c r="H12479" t="s">
        <v>7623</v>
      </c>
      <c r="I12479" t="s">
        <v>9445</v>
      </c>
      <c r="J12479" t="s">
        <v>13815</v>
      </c>
      <c r="K12479" t="s">
        <v>18190</v>
      </c>
      <c r="L12479">
        <f>HYPERLINK("https://www2.assemblee-nationale.fr/sycomore/fiche/(num_dept)/7952", "7952")</f>
        <v>0</v>
      </c>
      <c r="M12479">
        <f>HYPERLINK("https://www.senat.fr/senateur-3eme-republique/gaudin_de_villaine_adrien1041r3.html", "gaudin_de_villaine_adrien1041r3")</f>
        <v>0</v>
      </c>
      <c r="N12479">
        <f>HYPERLINK("https://www.wikidata.org/wiki/Q2825178", "Q2825178")</f>
        <v>0</v>
      </c>
      <c r="O12479" t="s">
        <v>19985</v>
      </c>
      <c r="Q12479" t="s">
        <v>401</v>
      </c>
      <c r="R12479" t="s">
        <v>16129</v>
      </c>
      <c r="S12479">
        <v>1455</v>
      </c>
    </row>
    <row r="12480" spans="1:19">
      <c r="A12480" t="s">
        <v>140</v>
      </c>
      <c r="B12480" t="s">
        <v>150</v>
      </c>
      <c r="C12480" t="s">
        <v>272</v>
      </c>
      <c r="D12480" t="s">
        <v>401</v>
      </c>
      <c r="F12480">
        <f>HYPERLINK("https://www.wikidata.org/wiki/Q111103103", "Q111103103")</f>
        <v>0</v>
      </c>
      <c r="G12480" t="s">
        <v>2737</v>
      </c>
      <c r="H12480" t="s">
        <v>7256</v>
      </c>
      <c r="I12480" t="s">
        <v>9472</v>
      </c>
      <c r="J12480" t="s">
        <v>13378</v>
      </c>
      <c r="K12480" t="s">
        <v>17776</v>
      </c>
      <c r="L12480">
        <f>HYPERLINK("https://www2.assemblee-nationale.fr/sycomore/fiche/(num_dept)/7956", "7956")</f>
        <v>0</v>
      </c>
      <c r="M12480">
        <f>HYPERLINK("https://www.senat.fr/senateur-3eme-republique/gomot_hippolyte0986r3.html", "gomot_hippolyte0986r3")</f>
        <v>0</v>
      </c>
      <c r="N12480">
        <f>HYPERLINK("https://www.wikidata.org/wiki/Q3136064", "Q3136064")</f>
        <v>0</v>
      </c>
      <c r="O12480" t="s">
        <v>20005</v>
      </c>
      <c r="Q12480" t="s">
        <v>401</v>
      </c>
      <c r="R12480" t="s">
        <v>21650</v>
      </c>
      <c r="S12480">
        <v>9415</v>
      </c>
    </row>
    <row r="12481" spans="1:19">
      <c r="A12481" t="s">
        <v>140</v>
      </c>
      <c r="B12481" t="s">
        <v>150</v>
      </c>
      <c r="C12481" t="s">
        <v>272</v>
      </c>
      <c r="D12481" t="s">
        <v>401</v>
      </c>
      <c r="F12481">
        <f>HYPERLINK("https://www.wikidata.org/wiki/Q111103103", "Q111103103")</f>
        <v>0</v>
      </c>
      <c r="G12481" t="s">
        <v>3076</v>
      </c>
      <c r="H12481" t="s">
        <v>7526</v>
      </c>
      <c r="I12481" t="s">
        <v>10613</v>
      </c>
      <c r="J12481" t="s">
        <v>13700</v>
      </c>
      <c r="K12481" t="s">
        <v>18083</v>
      </c>
      <c r="L12481">
        <f>HYPERLINK("https://www2.assemblee-nationale.fr/sycomore/fiche/(num_dept)/8235", "8235")</f>
        <v>0</v>
      </c>
      <c r="M12481">
        <f>HYPERLINK("https://www.senat.fr/senateur-3eme-republique/martin_felix1214r3.html", "martin_felix1214r3")</f>
        <v>0</v>
      </c>
      <c r="N12481">
        <f>HYPERLINK("https://www.wikidata.org/wiki/Q3092530", "Q3092530")</f>
        <v>0</v>
      </c>
      <c r="O12481" t="s">
        <v>19994</v>
      </c>
      <c r="Q12481" t="s">
        <v>401</v>
      </c>
      <c r="R12481" t="s">
        <v>21650</v>
      </c>
      <c r="S12481">
        <v>9415</v>
      </c>
    </row>
    <row r="12482" spans="1:19">
      <c r="A12482" t="s">
        <v>140</v>
      </c>
      <c r="B12482" t="s">
        <v>150</v>
      </c>
      <c r="C12482" t="s">
        <v>272</v>
      </c>
      <c r="D12482" t="s">
        <v>401</v>
      </c>
      <c r="F12482">
        <f>HYPERLINK("https://www.wikidata.org/wiki/Q111103103", "Q111103103")</f>
        <v>0</v>
      </c>
      <c r="G12482" t="s">
        <v>3342</v>
      </c>
      <c r="H12482" t="s">
        <v>5387</v>
      </c>
      <c r="I12482" t="s">
        <v>9385</v>
      </c>
      <c r="J12482" t="s">
        <v>13955</v>
      </c>
      <c r="K12482" t="s">
        <v>18324</v>
      </c>
      <c r="L12482">
        <f>HYPERLINK("https://www2.assemblee-nationale.fr/sycomore/fiche/(num_dept)/10133", "10133")</f>
        <v>0</v>
      </c>
      <c r="M12482">
        <f>HYPERLINK("https://www.senat.fr/senateur-3eme-republique/dupuy_charles0513r3.html", "dupuy_charles0513r3")</f>
        <v>0</v>
      </c>
      <c r="N12482">
        <f>HYPERLINK("https://www.wikidata.org/wiki/Q356032", "Q356032")</f>
        <v>0</v>
      </c>
      <c r="O12482" t="s">
        <v>19993</v>
      </c>
      <c r="Q12482" t="s">
        <v>401</v>
      </c>
      <c r="R12482" t="s">
        <v>21650</v>
      </c>
      <c r="S12482">
        <v>9415</v>
      </c>
    </row>
    <row r="12483" spans="1:19">
      <c r="A12483" t="s">
        <v>140</v>
      </c>
      <c r="B12483" t="s">
        <v>150</v>
      </c>
      <c r="C12483" t="s">
        <v>272</v>
      </c>
      <c r="D12483" t="s">
        <v>401</v>
      </c>
      <c r="F12483">
        <f>HYPERLINK("https://www.wikidata.org/wiki/Q111103103", "Q111103103")</f>
        <v>0</v>
      </c>
      <c r="G12483" t="s">
        <v>4979</v>
      </c>
      <c r="H12483" t="s">
        <v>9112</v>
      </c>
      <c r="I12483" t="s">
        <v>5528</v>
      </c>
      <c r="J12483" t="s">
        <v>15415</v>
      </c>
      <c r="K12483" t="s">
        <v>19716</v>
      </c>
      <c r="M12483">
        <f>HYPERLINK("https://www.senat.fr/senateur-3eme-republique/chenebenoit_leon0038r3.html", "chenebenoit_leon0038r3")</f>
        <v>0</v>
      </c>
      <c r="N12483">
        <f>HYPERLINK("https://www.wikidata.org/wiki/Q3270820", "Q3270820")</f>
        <v>0</v>
      </c>
      <c r="O12483" t="s">
        <v>20015</v>
      </c>
      <c r="Q12483" t="s">
        <v>401</v>
      </c>
      <c r="R12483" t="s">
        <v>21700</v>
      </c>
      <c r="S12483">
        <v>363</v>
      </c>
    </row>
    <row r="12484" spans="1:19">
      <c r="A12484" t="s">
        <v>140</v>
      </c>
      <c r="B12484" t="s">
        <v>150</v>
      </c>
      <c r="C12484" t="s">
        <v>272</v>
      </c>
      <c r="D12484" t="s">
        <v>401</v>
      </c>
      <c r="F12484">
        <f>HYPERLINK("https://www.wikidata.org/wiki/Q111103103", "Q111103103")</f>
        <v>0</v>
      </c>
      <c r="G12484" t="s">
        <v>4980</v>
      </c>
      <c r="H12484" t="s">
        <v>9113</v>
      </c>
      <c r="I12484" t="s">
        <v>6495</v>
      </c>
      <c r="J12484" t="s">
        <v>15416</v>
      </c>
      <c r="K12484" t="s">
        <v>19717</v>
      </c>
      <c r="M12484">
        <f>HYPERLINK("https://www.senat.fr/senateur-3eme-republique/de_lubersac_louis0034r3.html", "de_lubersac_louis0034r3")</f>
        <v>0</v>
      </c>
      <c r="N12484">
        <f>HYPERLINK("https://www.wikidata.org/wiki/Q3263518", "Q3263518")</f>
        <v>0</v>
      </c>
      <c r="O12484" t="s">
        <v>20015</v>
      </c>
      <c r="Q12484" t="s">
        <v>401</v>
      </c>
      <c r="R12484" t="s">
        <v>21700</v>
      </c>
      <c r="S12484">
        <v>363</v>
      </c>
    </row>
    <row r="12485" spans="1:19">
      <c r="A12485" t="s">
        <v>140</v>
      </c>
      <c r="B12485" t="s">
        <v>150</v>
      </c>
      <c r="C12485" t="s">
        <v>272</v>
      </c>
      <c r="D12485" t="s">
        <v>401</v>
      </c>
      <c r="F12485">
        <f>HYPERLINK("https://www.wikidata.org/wiki/Q111103103", "Q111103103")</f>
        <v>0</v>
      </c>
      <c r="G12485" t="s">
        <v>4981</v>
      </c>
      <c r="H12485" t="s">
        <v>9114</v>
      </c>
      <c r="I12485" t="s">
        <v>6200</v>
      </c>
      <c r="J12485" t="s">
        <v>11964</v>
      </c>
      <c r="K12485" t="s">
        <v>19718</v>
      </c>
      <c r="M12485">
        <f>HYPERLINK("https://www.senat.fr/senateur-3eme-republique/beaumont_jean0050r3.html", "beaumont_jean0050r3")</f>
        <v>0</v>
      </c>
      <c r="N12485">
        <f>HYPERLINK("https://www.wikidata.org/wiki/Q55030753", "Q55030753")</f>
        <v>0</v>
      </c>
      <c r="O12485" t="s">
        <v>19999</v>
      </c>
      <c r="Q12485" t="s">
        <v>401</v>
      </c>
      <c r="R12485" t="s">
        <v>21700</v>
      </c>
      <c r="S12485">
        <v>363</v>
      </c>
    </row>
    <row r="12486" spans="1:19">
      <c r="A12486" t="s">
        <v>140</v>
      </c>
      <c r="B12486" t="s">
        <v>150</v>
      </c>
      <c r="C12486" t="s">
        <v>272</v>
      </c>
      <c r="D12486" t="s">
        <v>401</v>
      </c>
      <c r="F12486">
        <f>HYPERLINK("https://www.wikidata.org/wiki/Q111103103", "Q111103103")</f>
        <v>0</v>
      </c>
      <c r="G12486" t="s">
        <v>4982</v>
      </c>
      <c r="H12486" t="s">
        <v>9115</v>
      </c>
      <c r="I12486" t="s">
        <v>9457</v>
      </c>
      <c r="J12486" t="s">
        <v>15417</v>
      </c>
      <c r="K12486" t="s">
        <v>19719</v>
      </c>
      <c r="M12486">
        <f>HYPERLINK("https://www.senat.fr/senateur-3eme-republique/chalamet_henri0144r3.html", "chalamet_henri0144r3")</f>
        <v>0</v>
      </c>
      <c r="N12486">
        <f>HYPERLINK("https://www.wikidata.org/wiki/Q3130810", "Q3130810")</f>
        <v>0</v>
      </c>
      <c r="O12486" t="s">
        <v>19991</v>
      </c>
      <c r="Q12486" t="s">
        <v>401</v>
      </c>
      <c r="R12486" t="s">
        <v>21700</v>
      </c>
      <c r="S12486">
        <v>363</v>
      </c>
    </row>
    <row r="12487" spans="1:19">
      <c r="A12487" t="s">
        <v>140</v>
      </c>
      <c r="B12487" t="s">
        <v>150</v>
      </c>
      <c r="C12487" t="s">
        <v>272</v>
      </c>
      <c r="D12487" t="s">
        <v>401</v>
      </c>
      <c r="F12487">
        <f>HYPERLINK("https://www.wikidata.org/wiki/Q111103103", "Q111103103")</f>
        <v>0</v>
      </c>
      <c r="G12487" t="s">
        <v>4983</v>
      </c>
      <c r="H12487" t="s">
        <v>9116</v>
      </c>
      <c r="I12487" t="s">
        <v>9736</v>
      </c>
      <c r="J12487" t="s">
        <v>15418</v>
      </c>
      <c r="K12487" t="s">
        <v>19720</v>
      </c>
      <c r="M12487">
        <f>HYPERLINK("https://www.senat.fr/senateur-3eme-republique/cuminal_isidore0140r3.html", "cuminal_isidore0140r3")</f>
        <v>0</v>
      </c>
      <c r="N12487">
        <f>HYPERLINK("https://www.wikidata.org/wiki/Q3155304", "Q3155304")</f>
        <v>0</v>
      </c>
      <c r="O12487" t="s">
        <v>19991</v>
      </c>
      <c r="Q12487" t="s">
        <v>401</v>
      </c>
      <c r="R12487" t="s">
        <v>21700</v>
      </c>
      <c r="S12487">
        <v>363</v>
      </c>
    </row>
    <row r="12488" spans="1:19">
      <c r="A12488" t="s">
        <v>140</v>
      </c>
      <c r="B12488" t="s">
        <v>150</v>
      </c>
      <c r="C12488" t="s">
        <v>272</v>
      </c>
      <c r="D12488" t="s">
        <v>401</v>
      </c>
      <c r="F12488">
        <f>HYPERLINK("https://www.wikidata.org/wiki/Q111103103", "Q111103103")</f>
        <v>0</v>
      </c>
      <c r="G12488" t="s">
        <v>4984</v>
      </c>
      <c r="H12488" t="s">
        <v>9117</v>
      </c>
      <c r="I12488" t="s">
        <v>9375</v>
      </c>
      <c r="J12488" t="s">
        <v>15419</v>
      </c>
      <c r="K12488" t="s">
        <v>19721</v>
      </c>
      <c r="M12488">
        <f>HYPERLINK("https://www.senat.fr/senateur-3eme-republique/roche_edouard0134r3.html", "roche_edouard0134r3")</f>
        <v>0</v>
      </c>
      <c r="N12488">
        <f>HYPERLINK("https://www.wikidata.org/wiki/Q3580018", "Q3580018")</f>
        <v>0</v>
      </c>
      <c r="O12488" t="s">
        <v>19991</v>
      </c>
      <c r="Q12488" t="s">
        <v>401</v>
      </c>
      <c r="R12488" t="s">
        <v>21700</v>
      </c>
      <c r="S12488">
        <v>363</v>
      </c>
    </row>
    <row r="12489" spans="1:19">
      <c r="A12489" t="s">
        <v>140</v>
      </c>
      <c r="B12489" t="s">
        <v>150</v>
      </c>
      <c r="C12489" t="s">
        <v>272</v>
      </c>
      <c r="D12489" t="s">
        <v>401</v>
      </c>
      <c r="F12489">
        <f>HYPERLINK("https://www.wikidata.org/wiki/Q111103103", "Q111103103")</f>
        <v>0</v>
      </c>
      <c r="G12489" t="s">
        <v>4985</v>
      </c>
      <c r="H12489" t="s">
        <v>9118</v>
      </c>
      <c r="I12489" t="s">
        <v>6495</v>
      </c>
      <c r="J12489" t="s">
        <v>15420</v>
      </c>
      <c r="K12489" t="s">
        <v>19722</v>
      </c>
      <c r="M12489">
        <f>HYPERLINK("https://www.senat.fr/senateur-3eme-republique/mony_louis0230r3.html", "mony_louis0230r3")</f>
        <v>0</v>
      </c>
      <c r="N12489">
        <f>HYPERLINK("https://www.wikidata.org/wiki/Q3262735", "Q3262735")</f>
        <v>0</v>
      </c>
      <c r="O12489" t="s">
        <v>8449</v>
      </c>
      <c r="Q12489" t="s">
        <v>401</v>
      </c>
      <c r="R12489" t="s">
        <v>21700</v>
      </c>
      <c r="S12489">
        <v>363</v>
      </c>
    </row>
    <row r="12490" spans="1:19">
      <c r="A12490" t="s">
        <v>140</v>
      </c>
      <c r="B12490" t="s">
        <v>150</v>
      </c>
      <c r="C12490" t="s">
        <v>272</v>
      </c>
      <c r="D12490" t="s">
        <v>401</v>
      </c>
      <c r="F12490">
        <f>HYPERLINK("https://www.wikidata.org/wiki/Q111103103", "Q111103103")</f>
        <v>0</v>
      </c>
      <c r="G12490" t="s">
        <v>4986</v>
      </c>
      <c r="H12490" t="s">
        <v>9119</v>
      </c>
      <c r="I12490" t="s">
        <v>5765</v>
      </c>
      <c r="J12490" t="s">
        <v>15421</v>
      </c>
      <c r="K12490" t="s">
        <v>19723</v>
      </c>
      <c r="M12490">
        <f>HYPERLINK("https://www.senat.fr/senateur-3eme-republique/delsor_nicolas1108r3.html", "delsor_nicolas1108r3")</f>
        <v>0</v>
      </c>
      <c r="N12490">
        <f>HYPERLINK("https://www.wikidata.org/wiki/Q100974", "Q100974")</f>
        <v>0</v>
      </c>
      <c r="O12490" t="s">
        <v>20048</v>
      </c>
      <c r="Q12490" t="s">
        <v>401</v>
      </c>
      <c r="R12490" t="s">
        <v>21279</v>
      </c>
      <c r="S12490">
        <v>2554</v>
      </c>
    </row>
    <row r="12491" spans="1:19">
      <c r="A12491" t="s">
        <v>140</v>
      </c>
      <c r="B12491" t="s">
        <v>150</v>
      </c>
      <c r="C12491" t="s">
        <v>272</v>
      </c>
      <c r="D12491" t="s">
        <v>401</v>
      </c>
      <c r="F12491">
        <f>HYPERLINK("https://www.wikidata.org/wiki/Q111103103", "Q111103103")</f>
        <v>0</v>
      </c>
      <c r="G12491" t="s">
        <v>4987</v>
      </c>
      <c r="H12491" t="s">
        <v>9120</v>
      </c>
      <c r="I12491" t="s">
        <v>6941</v>
      </c>
      <c r="J12491" t="s">
        <v>12088</v>
      </c>
      <c r="K12491" t="s">
        <v>19724</v>
      </c>
      <c r="M12491">
        <f>HYPERLINK("https://www.senat.fr/senateur-3eme-republique/diebolt_weber_michel1104r3.html", "diebolt_weber_michel1104r3")</f>
        <v>0</v>
      </c>
      <c r="N12491">
        <f>HYPERLINK("https://www.wikidata.org/wiki/Q3309479", "Q3309479")</f>
        <v>0</v>
      </c>
      <c r="O12491" t="s">
        <v>20048</v>
      </c>
      <c r="Q12491" t="s">
        <v>401</v>
      </c>
      <c r="R12491" t="s">
        <v>21279</v>
      </c>
      <c r="S12491">
        <v>2554</v>
      </c>
    </row>
    <row r="12492" spans="1:19">
      <c r="A12492" t="s">
        <v>140</v>
      </c>
      <c r="B12492" t="s">
        <v>150</v>
      </c>
      <c r="C12492" t="s">
        <v>272</v>
      </c>
      <c r="D12492" t="s">
        <v>401</v>
      </c>
      <c r="F12492">
        <f>HYPERLINK("https://www.wikidata.org/wiki/Q111103103", "Q111103103")</f>
        <v>0</v>
      </c>
      <c r="G12492" t="s">
        <v>4988</v>
      </c>
      <c r="H12492" t="s">
        <v>9121</v>
      </c>
      <c r="I12492" t="s">
        <v>9389</v>
      </c>
      <c r="J12492" t="s">
        <v>15422</v>
      </c>
      <c r="K12492" t="s">
        <v>19725</v>
      </c>
      <c r="M12492">
        <f>HYPERLINK("https://www.senat.fr/senateur-3eme-republique/taufflieb_emile1100r3.html", "taufflieb_emile1100r3")</f>
        <v>0</v>
      </c>
      <c r="N12492">
        <f>HYPERLINK("https://www.wikidata.org/wiki/Q3588767", "Q3588767")</f>
        <v>0</v>
      </c>
      <c r="O12492" t="s">
        <v>20048</v>
      </c>
      <c r="Q12492" t="s">
        <v>401</v>
      </c>
      <c r="R12492" t="s">
        <v>21279</v>
      </c>
      <c r="S12492">
        <v>2554</v>
      </c>
    </row>
    <row r="12493" spans="1:19">
      <c r="A12493" t="s">
        <v>140</v>
      </c>
      <c r="B12493" t="s">
        <v>150</v>
      </c>
      <c r="C12493" t="s">
        <v>272</v>
      </c>
      <c r="D12493" t="s">
        <v>401</v>
      </c>
      <c r="F12493">
        <f>HYPERLINK("https://www.wikidata.org/wiki/Q111103103", "Q111103103")</f>
        <v>0</v>
      </c>
      <c r="G12493" t="s">
        <v>4989</v>
      </c>
      <c r="H12493" t="s">
        <v>9122</v>
      </c>
      <c r="I12493" t="s">
        <v>9612</v>
      </c>
      <c r="J12493" t="s">
        <v>15423</v>
      </c>
      <c r="K12493" t="s">
        <v>19726</v>
      </c>
      <c r="M12493">
        <f>HYPERLINK("https://www.senat.fr/senateur-3eme-republique/eccard_frederic1102r3.html", "eccard_frederic1102r3")</f>
        <v>0</v>
      </c>
      <c r="N12493">
        <f>HYPERLINK("https://www.wikidata.org/wiki/Q3089792", "Q3089792")</f>
        <v>0</v>
      </c>
      <c r="O12493" t="s">
        <v>20048</v>
      </c>
      <c r="Q12493" t="s">
        <v>401</v>
      </c>
      <c r="R12493" t="s">
        <v>21279</v>
      </c>
      <c r="S12493">
        <v>2554</v>
      </c>
    </row>
    <row r="12494" spans="1:19">
      <c r="A12494" t="s">
        <v>140</v>
      </c>
      <c r="B12494" t="s">
        <v>150</v>
      </c>
      <c r="C12494" t="s">
        <v>272</v>
      </c>
      <c r="D12494" t="s">
        <v>401</v>
      </c>
      <c r="F12494">
        <f>HYPERLINK("https://www.wikidata.org/wiki/Q111103103", "Q111103103")</f>
        <v>0</v>
      </c>
      <c r="G12494" t="s">
        <v>4943</v>
      </c>
      <c r="H12494" t="s">
        <v>9078</v>
      </c>
      <c r="I12494" t="s">
        <v>7790</v>
      </c>
      <c r="J12494" t="s">
        <v>15385</v>
      </c>
      <c r="K12494" t="s">
        <v>15765</v>
      </c>
      <c r="M12494">
        <f>HYPERLINK("https://www.senat.fr/senateur-3eme-republique/faisans_armand1069r3.html", "faisans_armand1069r3")</f>
        <v>0</v>
      </c>
      <c r="N12494">
        <f>HYPERLINK("https://www.wikidata.org/wiki/Q3131061", "Q3131061")</f>
        <v>0</v>
      </c>
      <c r="O12494" t="s">
        <v>19970</v>
      </c>
      <c r="Q12494" t="s">
        <v>401</v>
      </c>
      <c r="R12494" t="s">
        <v>21650</v>
      </c>
      <c r="S12494">
        <v>9415</v>
      </c>
    </row>
    <row r="12495" spans="1:19">
      <c r="A12495" t="s">
        <v>140</v>
      </c>
      <c r="B12495" t="s">
        <v>150</v>
      </c>
      <c r="C12495" t="s">
        <v>272</v>
      </c>
      <c r="D12495" t="s">
        <v>401</v>
      </c>
      <c r="F12495">
        <f>HYPERLINK("https://www.wikidata.org/wiki/Q111103103", "Q111103103")</f>
        <v>0</v>
      </c>
      <c r="G12495" t="s">
        <v>4990</v>
      </c>
      <c r="H12495" t="s">
        <v>9123</v>
      </c>
      <c r="I12495" t="s">
        <v>6584</v>
      </c>
      <c r="J12495" t="s">
        <v>15424</v>
      </c>
      <c r="K12495" t="s">
        <v>19727</v>
      </c>
      <c r="M12495">
        <f>HYPERLINK("https://www.senat.fr/senateur-3eme-republique/le_barillier_albert1052r3.html", "le_barillier_albert1052r3")</f>
        <v>0</v>
      </c>
      <c r="N12495">
        <f>HYPERLINK("https://www.wikidata.org/wiki/Q2831321", "Q2831321")</f>
        <v>0</v>
      </c>
      <c r="O12495" t="s">
        <v>19970</v>
      </c>
      <c r="Q12495" t="s">
        <v>401</v>
      </c>
      <c r="R12495" t="s">
        <v>21279</v>
      </c>
      <c r="S12495">
        <v>2554</v>
      </c>
    </row>
    <row r="12496" spans="1:19">
      <c r="A12496" t="s">
        <v>140</v>
      </c>
      <c r="B12496" t="s">
        <v>150</v>
      </c>
      <c r="C12496" t="s">
        <v>272</v>
      </c>
      <c r="D12496" t="s">
        <v>401</v>
      </c>
      <c r="F12496">
        <f>HYPERLINK("https://www.wikidata.org/wiki/Q111103103", "Q111103103")</f>
        <v>0</v>
      </c>
      <c r="G12496" t="s">
        <v>4315</v>
      </c>
      <c r="H12496" t="s">
        <v>8470</v>
      </c>
      <c r="I12496" t="s">
        <v>6495</v>
      </c>
      <c r="J12496" t="s">
        <v>14812</v>
      </c>
      <c r="K12496" t="s">
        <v>19154</v>
      </c>
      <c r="M12496">
        <f>HYPERLINK("https://www.senat.fr/senateur-3eme-republique/pasquet_louis0313r3.html", "pasquet_louis0313r3")</f>
        <v>0</v>
      </c>
      <c r="N12496">
        <f>HYPERLINK("https://www.wikidata.org/wiki/Q1871907", "Q1871907")</f>
        <v>0</v>
      </c>
      <c r="O12496" t="s">
        <v>19990</v>
      </c>
      <c r="Q12496" t="s">
        <v>401</v>
      </c>
      <c r="R12496" t="s">
        <v>21700</v>
      </c>
      <c r="S12496">
        <v>363</v>
      </c>
    </row>
    <row r="12497" spans="1:19">
      <c r="A12497" t="s">
        <v>140</v>
      </c>
      <c r="B12497" t="s">
        <v>150</v>
      </c>
      <c r="C12497" t="s">
        <v>272</v>
      </c>
      <c r="D12497" t="s">
        <v>401</v>
      </c>
      <c r="F12497">
        <f>HYPERLINK("https://www.wikidata.org/wiki/Q111103103", "Q111103103")</f>
        <v>0</v>
      </c>
      <c r="G12497" t="s">
        <v>4991</v>
      </c>
      <c r="H12497" t="s">
        <v>9124</v>
      </c>
      <c r="I12497" t="s">
        <v>6495</v>
      </c>
      <c r="J12497" t="s">
        <v>15425</v>
      </c>
      <c r="K12497" t="s">
        <v>19728</v>
      </c>
      <c r="M12497">
        <f>HYPERLINK("https://www.senat.fr/senateur-3eme-republique/artaud_louis0323r3.html", "artaud_louis0323r3")</f>
        <v>0</v>
      </c>
      <c r="N12497">
        <f>HYPERLINK("https://www.wikidata.org/wiki/Q1871492", "Q1871492")</f>
        <v>0</v>
      </c>
      <c r="O12497" t="s">
        <v>19990</v>
      </c>
      <c r="Q12497" t="s">
        <v>401</v>
      </c>
      <c r="R12497" t="s">
        <v>21700</v>
      </c>
      <c r="S12497">
        <v>363</v>
      </c>
    </row>
    <row r="12498" spans="1:19">
      <c r="A12498" t="s">
        <v>140</v>
      </c>
      <c r="B12498" t="s">
        <v>150</v>
      </c>
      <c r="C12498" t="s">
        <v>272</v>
      </c>
      <c r="D12498" t="s">
        <v>401</v>
      </c>
      <c r="F12498">
        <f>HYPERLINK("https://www.wikidata.org/wiki/Q111103103", "Q111103103")</f>
        <v>0</v>
      </c>
      <c r="G12498" t="s">
        <v>4323</v>
      </c>
      <c r="H12498" t="s">
        <v>8475</v>
      </c>
      <c r="I12498" t="s">
        <v>11182</v>
      </c>
      <c r="J12498" t="s">
        <v>14819</v>
      </c>
      <c r="K12498" t="s">
        <v>19159</v>
      </c>
      <c r="M12498">
        <f>HYPERLINK("https://www.senat.fr/senateur-3eme-republique/schrameck_abraham0319r3.html", "schrameck_abraham0319r3")</f>
        <v>0</v>
      </c>
      <c r="N12498">
        <f>HYPERLINK("https://www.wikidata.org/wiki/Q330586", "Q330586")</f>
        <v>0</v>
      </c>
      <c r="O12498" t="s">
        <v>19990</v>
      </c>
      <c r="Q12498" t="s">
        <v>401</v>
      </c>
      <c r="R12498" t="s">
        <v>21700</v>
      </c>
      <c r="S12498">
        <v>363</v>
      </c>
    </row>
    <row r="12499" spans="1:19">
      <c r="A12499" t="s">
        <v>140</v>
      </c>
      <c r="B12499" t="s">
        <v>150</v>
      </c>
      <c r="C12499" t="s">
        <v>272</v>
      </c>
      <c r="D12499" t="s">
        <v>401</v>
      </c>
      <c r="F12499">
        <f>HYPERLINK("https://www.wikidata.org/wiki/Q111103103", "Q111103103")</f>
        <v>0</v>
      </c>
      <c r="G12499" t="s">
        <v>4992</v>
      </c>
      <c r="H12499" t="s">
        <v>9125</v>
      </c>
      <c r="I12499" t="s">
        <v>6860</v>
      </c>
      <c r="J12499" t="s">
        <v>15426</v>
      </c>
      <c r="K12499" t="s">
        <v>16257</v>
      </c>
      <c r="M12499">
        <f>HYPERLINK("https://www.senat.fr/senateur-3eme-republique/landrodie_pierre0421r3.html", "landrodie_pierre0421r3")</f>
        <v>0</v>
      </c>
      <c r="N12499">
        <f>HYPERLINK("https://www.wikidata.org/wiki/Q3385757", "Q3385757")</f>
        <v>0</v>
      </c>
      <c r="O12499" t="s">
        <v>20037</v>
      </c>
      <c r="Q12499" t="s">
        <v>401</v>
      </c>
      <c r="R12499" t="s">
        <v>21700</v>
      </c>
      <c r="S12499">
        <v>363</v>
      </c>
    </row>
    <row r="12500" spans="1:19">
      <c r="A12500" t="s">
        <v>140</v>
      </c>
      <c r="B12500" t="s">
        <v>150</v>
      </c>
      <c r="C12500" t="s">
        <v>272</v>
      </c>
      <c r="D12500" t="s">
        <v>401</v>
      </c>
      <c r="F12500">
        <f>HYPERLINK("https://www.wikidata.org/wiki/Q111103103", "Q111103103")</f>
        <v>0</v>
      </c>
      <c r="G12500" t="s">
        <v>4993</v>
      </c>
      <c r="H12500" t="s">
        <v>9126</v>
      </c>
      <c r="I12500" t="s">
        <v>9388</v>
      </c>
      <c r="J12500" t="s">
        <v>11732</v>
      </c>
      <c r="K12500" t="s">
        <v>19729</v>
      </c>
      <c r="M12500">
        <f>HYPERLINK("https://www.senat.fr/senateur-3eme-republique/lederlin_paul0496r3.html", "lederlin_paul0496r3")</f>
        <v>0</v>
      </c>
      <c r="N12500">
        <f>HYPERLINK("https://www.wikidata.org/wiki/Q3371663", "Q3371663")</f>
        <v>0</v>
      </c>
      <c r="O12500" t="s">
        <v>19955</v>
      </c>
      <c r="Q12500" t="s">
        <v>401</v>
      </c>
      <c r="R12500" t="s">
        <v>21703</v>
      </c>
      <c r="S12500">
        <v>3772</v>
      </c>
    </row>
    <row r="12501" spans="1:19">
      <c r="A12501" t="s">
        <v>140</v>
      </c>
      <c r="B12501" t="s">
        <v>150</v>
      </c>
      <c r="C12501" t="s">
        <v>272</v>
      </c>
      <c r="D12501" t="s">
        <v>401</v>
      </c>
      <c r="F12501">
        <f>HYPERLINK("https://www.wikidata.org/wiki/Q111103103", "Q111103103")</f>
        <v>0</v>
      </c>
      <c r="G12501" t="s">
        <v>4994</v>
      </c>
      <c r="H12501" t="s">
        <v>9127</v>
      </c>
      <c r="I12501" t="s">
        <v>9476</v>
      </c>
      <c r="J12501" t="s">
        <v>12888</v>
      </c>
      <c r="K12501" t="s">
        <v>19730</v>
      </c>
      <c r="M12501">
        <f>HYPERLINK("https://www.senat.fr/senateur-3eme-republique/hery_rene1637r3.html", "hery_rene1637r3")</f>
        <v>0</v>
      </c>
      <c r="N12501">
        <f>HYPERLINK("https://www.wikidata.org/wiki/Q3426381", "Q3426381")</f>
        <v>0</v>
      </c>
      <c r="O12501" t="s">
        <v>20021</v>
      </c>
      <c r="Q12501" t="s">
        <v>401</v>
      </c>
      <c r="R12501" t="s">
        <v>21279</v>
      </c>
      <c r="S12501">
        <v>2554</v>
      </c>
    </row>
    <row r="12502" spans="1:19">
      <c r="A12502" t="s">
        <v>140</v>
      </c>
      <c r="B12502" t="s">
        <v>150</v>
      </c>
      <c r="C12502" t="s">
        <v>272</v>
      </c>
      <c r="D12502" t="s">
        <v>401</v>
      </c>
      <c r="F12502">
        <f>HYPERLINK("https://www.wikidata.org/wiki/Q111103103", "Q111103103")</f>
        <v>0</v>
      </c>
      <c r="G12502" t="s">
        <v>4995</v>
      </c>
      <c r="H12502" t="s">
        <v>9128</v>
      </c>
      <c r="I12502" t="s">
        <v>6860</v>
      </c>
      <c r="J12502" t="s">
        <v>12627</v>
      </c>
      <c r="K12502" t="s">
        <v>19731</v>
      </c>
      <c r="M12502">
        <f>HYPERLINK("https://www.senat.fr/senateur-3eme-republique/brangier_pierre1627r3.html", "brangier_pierre1627r3")</f>
        <v>0</v>
      </c>
      <c r="N12502">
        <f>HYPERLINK("https://www.wikidata.org/wiki/Q3384178", "Q3384178")</f>
        <v>0</v>
      </c>
      <c r="O12502" t="s">
        <v>20021</v>
      </c>
      <c r="Q12502" t="s">
        <v>401</v>
      </c>
      <c r="R12502" t="s">
        <v>404</v>
      </c>
      <c r="S12502">
        <v>2555</v>
      </c>
    </row>
    <row r="12503" spans="1:19">
      <c r="A12503" t="s">
        <v>140</v>
      </c>
      <c r="B12503" t="s">
        <v>150</v>
      </c>
      <c r="C12503" t="s">
        <v>272</v>
      </c>
      <c r="D12503" t="s">
        <v>401</v>
      </c>
      <c r="F12503">
        <f>HYPERLINK("https://www.wikidata.org/wiki/Q111103103", "Q111103103")</f>
        <v>0</v>
      </c>
      <c r="G12503" t="s">
        <v>4251</v>
      </c>
      <c r="H12503" t="s">
        <v>8421</v>
      </c>
      <c r="I12503" t="s">
        <v>11174</v>
      </c>
      <c r="J12503" t="s">
        <v>14755</v>
      </c>
      <c r="K12503" t="s">
        <v>19102</v>
      </c>
      <c r="M12503">
        <f>HYPERLINK("https://www.senat.fr/senateur-3eme-republique/claveille_albert0663r3.html", "claveille_albert0663r3")</f>
        <v>0</v>
      </c>
      <c r="N12503">
        <f>HYPERLINK("https://www.wikidata.org/wiki/Q2830877", "Q2830877")</f>
        <v>0</v>
      </c>
      <c r="O12503" t="s">
        <v>20010</v>
      </c>
      <c r="Q12503" t="s">
        <v>401</v>
      </c>
      <c r="R12503" t="s">
        <v>21700</v>
      </c>
      <c r="S12503">
        <v>363</v>
      </c>
    </row>
    <row r="12504" spans="1:19">
      <c r="A12504" t="s">
        <v>140</v>
      </c>
      <c r="B12504" t="s">
        <v>150</v>
      </c>
      <c r="C12504" t="s">
        <v>272</v>
      </c>
      <c r="D12504" t="s">
        <v>401</v>
      </c>
      <c r="F12504">
        <f>HYPERLINK("https://www.wikidata.org/wiki/Q111103103", "Q111103103")</f>
        <v>0</v>
      </c>
      <c r="G12504" t="s">
        <v>4996</v>
      </c>
      <c r="H12504" t="s">
        <v>9129</v>
      </c>
      <c r="I12504" t="s">
        <v>5948</v>
      </c>
      <c r="J12504" t="s">
        <v>15427</v>
      </c>
      <c r="K12504" t="s">
        <v>16028</v>
      </c>
      <c r="M12504">
        <f>HYPERLINK("https://www.senat.fr/senateur-3eme-republique/eymery_bernard0672r3.html", "eymery_bernard0672r3")</f>
        <v>0</v>
      </c>
      <c r="N12504">
        <f>HYPERLINK("https://www.wikidata.org/wiki/Q2897871", "Q2897871")</f>
        <v>0</v>
      </c>
      <c r="O12504" t="s">
        <v>20010</v>
      </c>
      <c r="Q12504" t="s">
        <v>401</v>
      </c>
      <c r="R12504" t="s">
        <v>21700</v>
      </c>
      <c r="S12504">
        <v>363</v>
      </c>
    </row>
    <row r="12505" spans="1:19">
      <c r="A12505" t="s">
        <v>140</v>
      </c>
      <c r="B12505" t="s">
        <v>150</v>
      </c>
      <c r="C12505" t="s">
        <v>272</v>
      </c>
      <c r="D12505" t="s">
        <v>401</v>
      </c>
      <c r="F12505">
        <f>HYPERLINK("https://www.wikidata.org/wiki/Q111103103", "Q111103103")</f>
        <v>0</v>
      </c>
      <c r="G12505" t="s">
        <v>4997</v>
      </c>
      <c r="H12505" t="s">
        <v>9130</v>
      </c>
      <c r="I12505" t="s">
        <v>9407</v>
      </c>
      <c r="J12505" t="s">
        <v>15428</v>
      </c>
      <c r="K12505" t="s">
        <v>403</v>
      </c>
      <c r="M12505">
        <f>HYPERLINK("https://www.senat.fr/senateur-3eme-republique/reynaud_joseph0717r3.html", "reynaud_joseph0717r3")</f>
        <v>0</v>
      </c>
      <c r="N12505">
        <f>HYPERLINK("https://www.wikidata.org/wiki/Q3185555", "Q3185555")</f>
        <v>0</v>
      </c>
      <c r="O12505" t="s">
        <v>20044</v>
      </c>
      <c r="Q12505" t="s">
        <v>401</v>
      </c>
      <c r="R12505" t="s">
        <v>21700</v>
      </c>
      <c r="S12505">
        <v>363</v>
      </c>
    </row>
    <row r="12506" spans="1:19">
      <c r="A12506" t="s">
        <v>140</v>
      </c>
      <c r="B12506" t="s">
        <v>150</v>
      </c>
      <c r="C12506" t="s">
        <v>272</v>
      </c>
      <c r="D12506" t="s">
        <v>401</v>
      </c>
      <c r="F12506">
        <f>HYPERLINK("https://www.wikidata.org/wiki/Q111103103", "Q111103103")</f>
        <v>0</v>
      </c>
      <c r="G12506" t="s">
        <v>4998</v>
      </c>
      <c r="H12506" t="s">
        <v>9131</v>
      </c>
      <c r="I12506" t="s">
        <v>9457</v>
      </c>
      <c r="J12506" t="s">
        <v>15429</v>
      </c>
      <c r="K12506" t="s">
        <v>15808</v>
      </c>
      <c r="M12506">
        <f>HYPERLINK("https://www.senat.fr/senateur-3eme-republique/perdrix_henri0730r3.html", "perdrix_henri0730r3")</f>
        <v>0</v>
      </c>
      <c r="N12506">
        <f>HYPERLINK("https://www.wikidata.org/wiki/Q3131758", "Q3131758")</f>
        <v>0</v>
      </c>
      <c r="O12506" t="s">
        <v>20044</v>
      </c>
      <c r="Q12506" t="s">
        <v>401</v>
      </c>
      <c r="R12506" t="s">
        <v>21700</v>
      </c>
      <c r="S12506">
        <v>363</v>
      </c>
    </row>
    <row r="12507" spans="1:19">
      <c r="A12507" t="s">
        <v>140</v>
      </c>
      <c r="B12507" t="s">
        <v>150</v>
      </c>
      <c r="C12507" t="s">
        <v>272</v>
      </c>
      <c r="D12507" t="s">
        <v>401</v>
      </c>
      <c r="F12507">
        <f>HYPERLINK("https://www.wikidata.org/wiki/Q111103103", "Q111103103")</f>
        <v>0</v>
      </c>
      <c r="G12507" t="s">
        <v>4999</v>
      </c>
      <c r="H12507" t="s">
        <v>9132</v>
      </c>
      <c r="I12507" t="s">
        <v>6584</v>
      </c>
      <c r="J12507" t="s">
        <v>11812</v>
      </c>
      <c r="K12507" t="s">
        <v>19732</v>
      </c>
      <c r="M12507">
        <f>HYPERLINK("https://www.senat.fr/senateur-3eme-republique/royneau_albert0777r3.html", "royneau_albert0777r3")</f>
        <v>0</v>
      </c>
      <c r="N12507">
        <f>HYPERLINK("https://www.wikidata.org/wiki/Q2831518", "Q2831518")</f>
        <v>0</v>
      </c>
      <c r="O12507" t="s">
        <v>19971</v>
      </c>
      <c r="Q12507" t="s">
        <v>401</v>
      </c>
      <c r="R12507" t="s">
        <v>21701</v>
      </c>
      <c r="S12507">
        <v>360</v>
      </c>
    </row>
    <row r="12508" spans="1:19">
      <c r="A12508" t="s">
        <v>140</v>
      </c>
      <c r="B12508" t="s">
        <v>150</v>
      </c>
      <c r="C12508" t="s">
        <v>272</v>
      </c>
      <c r="D12508" t="s">
        <v>401</v>
      </c>
      <c r="F12508">
        <f>HYPERLINK("https://www.wikidata.org/wiki/Q111103103", "Q111103103")</f>
        <v>0</v>
      </c>
      <c r="G12508" t="s">
        <v>5000</v>
      </c>
      <c r="H12508" t="s">
        <v>9133</v>
      </c>
      <c r="I12508" t="s">
        <v>9533</v>
      </c>
      <c r="J12508" t="s">
        <v>15430</v>
      </c>
      <c r="K12508" t="s">
        <v>19733</v>
      </c>
      <c r="M12508">
        <f>HYPERLINK("https://www.senat.fr/senateur-3eme-republique/le_hars_theodore0792r3.html", "le_hars_theodore0792r3")</f>
        <v>0</v>
      </c>
      <c r="N12508">
        <f>HYPERLINK("https://www.wikidata.org/wiki/Q3526450", "Q3526450")</f>
        <v>0</v>
      </c>
      <c r="O12508" t="s">
        <v>20011</v>
      </c>
      <c r="Q12508" t="s">
        <v>401</v>
      </c>
      <c r="R12508" t="s">
        <v>21700</v>
      </c>
      <c r="S12508">
        <v>363</v>
      </c>
    </row>
    <row r="12509" spans="1:19">
      <c r="A12509" t="s">
        <v>140</v>
      </c>
      <c r="B12509" t="s">
        <v>150</v>
      </c>
      <c r="C12509" t="s">
        <v>272</v>
      </c>
      <c r="D12509" t="s">
        <v>401</v>
      </c>
      <c r="F12509">
        <f>HYPERLINK("https://www.wikidata.org/wiki/Q111103103", "Q111103103")</f>
        <v>0</v>
      </c>
      <c r="G12509" t="s">
        <v>5001</v>
      </c>
      <c r="H12509" t="s">
        <v>9134</v>
      </c>
      <c r="I12509" t="s">
        <v>6200</v>
      </c>
      <c r="J12509" t="s">
        <v>15431</v>
      </c>
      <c r="K12509" t="s">
        <v>19734</v>
      </c>
      <c r="M12509">
        <f>HYPERLINK("https://www.senat.fr/senateur-3eme-republique/cazelles_jean0828r3.html", "cazelles_jean0828r3")</f>
        <v>0</v>
      </c>
      <c r="N12509">
        <f>HYPERLINK("https://www.wikidata.org/wiki/Q1685418", "Q1685418")</f>
        <v>0</v>
      </c>
      <c r="O12509" t="s">
        <v>20014</v>
      </c>
      <c r="Q12509" t="s">
        <v>401</v>
      </c>
      <c r="R12509" t="s">
        <v>21700</v>
      </c>
      <c r="S12509">
        <v>363</v>
      </c>
    </row>
    <row r="12510" spans="1:19">
      <c r="A12510" t="s">
        <v>140</v>
      </c>
      <c r="B12510" t="s">
        <v>150</v>
      </c>
      <c r="C12510" t="s">
        <v>272</v>
      </c>
      <c r="D12510" t="s">
        <v>401</v>
      </c>
      <c r="F12510">
        <f>HYPERLINK("https://www.wikidata.org/wiki/Q111103103", "Q111103103")</f>
        <v>0</v>
      </c>
      <c r="G12510" t="s">
        <v>5002</v>
      </c>
      <c r="H12510" t="s">
        <v>9135</v>
      </c>
      <c r="I12510" t="s">
        <v>6200</v>
      </c>
      <c r="J12510" t="s">
        <v>15432</v>
      </c>
      <c r="K12510" t="s">
        <v>19735</v>
      </c>
      <c r="M12510">
        <f>HYPERLINK("https://www.senat.fr/senateur-3eme-republique/philip_jean0155r3.html", "philip_jean0155r3")</f>
        <v>0</v>
      </c>
      <c r="N12510">
        <f>HYPERLINK("https://www.wikidata.org/wiki/Q3173958", "Q3173958")</f>
        <v>0</v>
      </c>
      <c r="O12510" t="s">
        <v>20003</v>
      </c>
      <c r="Q12510" t="s">
        <v>401</v>
      </c>
      <c r="R12510" t="s">
        <v>16129</v>
      </c>
      <c r="S12510">
        <v>1455</v>
      </c>
    </row>
    <row r="12511" spans="1:19">
      <c r="A12511" t="s">
        <v>140</v>
      </c>
      <c r="B12511" t="s">
        <v>150</v>
      </c>
      <c r="C12511" t="s">
        <v>272</v>
      </c>
      <c r="D12511" t="s">
        <v>401</v>
      </c>
      <c r="F12511">
        <f>HYPERLINK("https://www.wikidata.org/wiki/Q111103103", "Q111103103")</f>
        <v>0</v>
      </c>
      <c r="G12511" t="s">
        <v>5003</v>
      </c>
      <c r="H12511" t="s">
        <v>9136</v>
      </c>
      <c r="I12511" t="s">
        <v>9523</v>
      </c>
      <c r="J12511" t="s">
        <v>15433</v>
      </c>
      <c r="K12511" t="s">
        <v>19736</v>
      </c>
      <c r="M12511">
        <f>HYPERLINK("https://www.senat.fr/senateur-3eme-republique/vayssiere_marcel0194r3.html", "vayssiere_marcel0194r3")</f>
        <v>0</v>
      </c>
      <c r="N12511">
        <f>HYPERLINK("https://www.wikidata.org/wiki/Q20027742", "Q20027742")</f>
        <v>0</v>
      </c>
      <c r="O12511" t="s">
        <v>19987</v>
      </c>
      <c r="Q12511" t="s">
        <v>401</v>
      </c>
      <c r="R12511" t="s">
        <v>19736</v>
      </c>
      <c r="S12511">
        <v>1047</v>
      </c>
    </row>
    <row r="12512" spans="1:19">
      <c r="A12512" t="s">
        <v>140</v>
      </c>
      <c r="B12512" t="s">
        <v>150</v>
      </c>
      <c r="C12512" t="s">
        <v>272</v>
      </c>
      <c r="D12512" t="s">
        <v>401</v>
      </c>
      <c r="F12512">
        <f>HYPERLINK("https://www.wikidata.org/wiki/Q111103103", "Q111103103")</f>
        <v>0</v>
      </c>
      <c r="G12512" t="s">
        <v>4907</v>
      </c>
      <c r="H12512" t="s">
        <v>9043</v>
      </c>
      <c r="I12512" t="s">
        <v>9523</v>
      </c>
      <c r="J12512" t="s">
        <v>15350</v>
      </c>
      <c r="K12512" t="s">
        <v>19654</v>
      </c>
      <c r="M12512">
        <f>HYPERLINK("https://www.senat.fr/senateur-3eme-republique/courregelongue_marcel0213r3.html", "courregelongue_marcel0213r3")</f>
        <v>0</v>
      </c>
      <c r="N12512">
        <f>HYPERLINK("https://www.wikidata.org/wiki/Q3288830", "Q3288830")</f>
        <v>0</v>
      </c>
      <c r="O12512" t="s">
        <v>19987</v>
      </c>
      <c r="Q12512" t="s">
        <v>401</v>
      </c>
      <c r="R12512" t="s">
        <v>21650</v>
      </c>
      <c r="S12512">
        <v>9415</v>
      </c>
    </row>
    <row r="12513" spans="1:19">
      <c r="A12513" t="s">
        <v>140</v>
      </c>
      <c r="B12513" t="s">
        <v>150</v>
      </c>
      <c r="C12513" t="s">
        <v>272</v>
      </c>
      <c r="D12513" t="s">
        <v>401</v>
      </c>
      <c r="F12513">
        <f>HYPERLINK("https://www.wikidata.org/wiki/Q111103103", "Q111103103")</f>
        <v>0</v>
      </c>
      <c r="G12513" t="s">
        <v>5004</v>
      </c>
      <c r="H12513" t="s">
        <v>9137</v>
      </c>
      <c r="I12513" t="s">
        <v>6495</v>
      </c>
      <c r="J12513" t="s">
        <v>15434</v>
      </c>
      <c r="K12513" t="s">
        <v>19737</v>
      </c>
      <c r="M12513">
        <f>HYPERLINK("https://www.senat.fr/senateur-3eme-republique/david_louis0208r3.html", "david_louis0208r3")</f>
        <v>0</v>
      </c>
      <c r="N12513">
        <f>HYPERLINK("https://www.wikidata.org/wiki/Q3261663", "Q3261663")</f>
        <v>0</v>
      </c>
      <c r="O12513" t="s">
        <v>19987</v>
      </c>
      <c r="Q12513" t="s">
        <v>401</v>
      </c>
      <c r="R12513" t="s">
        <v>16129</v>
      </c>
      <c r="S12513">
        <v>1455</v>
      </c>
    </row>
    <row r="12514" spans="1:19">
      <c r="A12514" t="s">
        <v>140</v>
      </c>
      <c r="B12514" t="s">
        <v>150</v>
      </c>
      <c r="C12514" t="s">
        <v>272</v>
      </c>
      <c r="D12514" t="s">
        <v>401</v>
      </c>
      <c r="F12514">
        <f>HYPERLINK("https://www.wikidata.org/wiki/Q111103103", "Q111103103")</f>
        <v>0</v>
      </c>
      <c r="G12514" t="s">
        <v>5005</v>
      </c>
      <c r="H12514" t="s">
        <v>9138</v>
      </c>
      <c r="I12514" t="s">
        <v>9465</v>
      </c>
      <c r="J12514" t="s">
        <v>15435</v>
      </c>
      <c r="K12514" t="s">
        <v>19738</v>
      </c>
      <c r="M12514">
        <f>HYPERLINK("https://www.senat.fr/senateur-3eme-republique/buhan_eugene0218r3.html", "buhan_eugene0218r3")</f>
        <v>0</v>
      </c>
      <c r="N12514">
        <f>HYPERLINK("https://www.wikidata.org/wiki/Q3059753", "Q3059753")</f>
        <v>0</v>
      </c>
      <c r="O12514" t="s">
        <v>19987</v>
      </c>
      <c r="Q12514" t="s">
        <v>401</v>
      </c>
      <c r="R12514" t="s">
        <v>16129</v>
      </c>
      <c r="S12514">
        <v>1455</v>
      </c>
    </row>
    <row r="12515" spans="1:19">
      <c r="A12515" t="s">
        <v>140</v>
      </c>
      <c r="B12515" t="s">
        <v>150</v>
      </c>
      <c r="C12515" t="s">
        <v>272</v>
      </c>
      <c r="D12515" t="s">
        <v>401</v>
      </c>
      <c r="F12515">
        <f>HYPERLINK("https://www.wikidata.org/wiki/Q111103103", "Q111103103")</f>
        <v>0</v>
      </c>
      <c r="G12515" t="s">
        <v>5006</v>
      </c>
      <c r="H12515" t="s">
        <v>9139</v>
      </c>
      <c r="I12515" t="s">
        <v>9388</v>
      </c>
      <c r="J12515" t="s">
        <v>15436</v>
      </c>
      <c r="K12515" t="s">
        <v>19739</v>
      </c>
      <c r="M12515">
        <f>HYPERLINK("https://www.senat.fr/senateur-3eme-republique/helmer_paul1114r3.html", "helmer_paul1114r3")</f>
        <v>0</v>
      </c>
      <c r="N12515">
        <f>HYPERLINK("https://www.wikidata.org/wiki/Q3371452", "Q3371452")</f>
        <v>0</v>
      </c>
      <c r="O12515" t="s">
        <v>20049</v>
      </c>
      <c r="Q12515" t="s">
        <v>401</v>
      </c>
      <c r="R12515" t="s">
        <v>21279</v>
      </c>
      <c r="S12515">
        <v>2554</v>
      </c>
    </row>
    <row r="12516" spans="1:19">
      <c r="A12516" t="s">
        <v>140</v>
      </c>
      <c r="B12516" t="s">
        <v>150</v>
      </c>
      <c r="C12516" t="s">
        <v>272</v>
      </c>
      <c r="D12516" t="s">
        <v>401</v>
      </c>
      <c r="F12516">
        <f>HYPERLINK("https://www.wikidata.org/wiki/Q111103103", "Q111103103")</f>
        <v>0</v>
      </c>
      <c r="G12516" t="s">
        <v>5007</v>
      </c>
      <c r="H12516" t="s">
        <v>9140</v>
      </c>
      <c r="I12516" t="s">
        <v>10942</v>
      </c>
      <c r="J12516" t="s">
        <v>15437</v>
      </c>
      <c r="K12516" t="s">
        <v>19740</v>
      </c>
      <c r="M12516">
        <f>HYPERLINK("https://www.senat.fr/senateur-3eme-republique/gegauff_sebastien1117r3.html", "gegauff_sebastien1117r3")</f>
        <v>0</v>
      </c>
      <c r="N12516">
        <f>HYPERLINK("https://www.wikidata.org/wiki/Q3510095", "Q3510095")</f>
        <v>0</v>
      </c>
      <c r="O12516" t="s">
        <v>20049</v>
      </c>
      <c r="Q12516" t="s">
        <v>401</v>
      </c>
      <c r="R12516" t="s">
        <v>21279</v>
      </c>
      <c r="S12516">
        <v>2554</v>
      </c>
    </row>
    <row r="12517" spans="1:19">
      <c r="A12517" t="s">
        <v>140</v>
      </c>
      <c r="B12517" t="s">
        <v>150</v>
      </c>
      <c r="C12517" t="s">
        <v>272</v>
      </c>
      <c r="D12517" t="s">
        <v>401</v>
      </c>
      <c r="F12517">
        <f>HYPERLINK("https://www.wikidata.org/wiki/Q111103103", "Q111103103")</f>
        <v>0</v>
      </c>
      <c r="G12517" t="s">
        <v>5008</v>
      </c>
      <c r="H12517" t="s">
        <v>9141</v>
      </c>
      <c r="I12517" t="s">
        <v>9449</v>
      </c>
      <c r="J12517" t="s">
        <v>14829</v>
      </c>
      <c r="K12517" t="s">
        <v>19741</v>
      </c>
      <c r="M12517">
        <f>HYPERLINK("https://www.senat.fr/senateur-3eme-republique/scheurer_jules1112r3.html", "scheurer_jules1112r3")</f>
        <v>0</v>
      </c>
      <c r="N12517">
        <f>HYPERLINK("https://www.wikidata.org/wiki/Q3188907", "Q3188907")</f>
        <v>0</v>
      </c>
      <c r="O12517" t="s">
        <v>20049</v>
      </c>
      <c r="Q12517" t="s">
        <v>401</v>
      </c>
      <c r="R12517" t="s">
        <v>21279</v>
      </c>
      <c r="S12517">
        <v>2554</v>
      </c>
    </row>
    <row r="12518" spans="1:19">
      <c r="A12518" t="s">
        <v>140</v>
      </c>
      <c r="B12518" t="s">
        <v>150</v>
      </c>
      <c r="C12518" t="s">
        <v>272</v>
      </c>
      <c r="D12518" t="s">
        <v>401</v>
      </c>
      <c r="F12518">
        <f>HYPERLINK("https://www.wikidata.org/wiki/Q111103103", "Q111103103")</f>
        <v>0</v>
      </c>
      <c r="G12518" t="s">
        <v>5009</v>
      </c>
      <c r="H12518" t="s">
        <v>9142</v>
      </c>
      <c r="I12518" t="s">
        <v>9407</v>
      </c>
      <c r="J12518" t="s">
        <v>15438</v>
      </c>
      <c r="K12518" t="s">
        <v>19742</v>
      </c>
      <c r="M12518">
        <f>HYPERLINK("https://www.senat.fr/senateur-3eme-republique/bourgeois_joseph1110r3.html", "bourgeois_joseph1110r3")</f>
        <v>0</v>
      </c>
      <c r="N12518">
        <f>HYPERLINK("https://www.wikidata.org/wiki/Q1711802", "Q1711802")</f>
        <v>0</v>
      </c>
      <c r="O12518" t="s">
        <v>20049</v>
      </c>
      <c r="Q12518" t="s">
        <v>401</v>
      </c>
      <c r="R12518" t="s">
        <v>21279</v>
      </c>
      <c r="S12518">
        <v>2554</v>
      </c>
    </row>
    <row r="12519" spans="1:19">
      <c r="A12519" t="s">
        <v>140</v>
      </c>
      <c r="B12519" t="s">
        <v>150</v>
      </c>
      <c r="C12519" t="s">
        <v>272</v>
      </c>
      <c r="D12519" t="s">
        <v>401</v>
      </c>
      <c r="F12519">
        <f>HYPERLINK("https://www.wikidata.org/wiki/Q111103103", "Q111103103")</f>
        <v>0</v>
      </c>
      <c r="G12519" t="s">
        <v>5010</v>
      </c>
      <c r="H12519" t="s">
        <v>9143</v>
      </c>
      <c r="I12519" t="s">
        <v>10026</v>
      </c>
      <c r="J12519" t="s">
        <v>12880</v>
      </c>
      <c r="K12519" t="s">
        <v>19743</v>
      </c>
      <c r="M12519">
        <f>HYPERLINK("https://www.senat.fr/senateur-3eme-republique/duchein_fabien0088r3.html", "duchein_fabien0088r3")</f>
        <v>0</v>
      </c>
      <c r="N12519">
        <f>HYPERLINK("https://www.wikidata.org/wiki/Q3063581", "Q3063581")</f>
        <v>0</v>
      </c>
      <c r="O12519" t="s">
        <v>20016</v>
      </c>
      <c r="Q12519" t="s">
        <v>401</v>
      </c>
      <c r="R12519" t="s">
        <v>16129</v>
      </c>
      <c r="S12519">
        <v>1455</v>
      </c>
    </row>
    <row r="12520" spans="1:19">
      <c r="A12520" t="s">
        <v>140</v>
      </c>
      <c r="B12520" t="s">
        <v>150</v>
      </c>
      <c r="C12520" t="s">
        <v>272</v>
      </c>
      <c r="D12520" t="s">
        <v>401</v>
      </c>
      <c r="F12520">
        <f>HYPERLINK("https://www.wikidata.org/wiki/Q111103103", "Q111103103")</f>
        <v>0</v>
      </c>
      <c r="G12520" t="s">
        <v>5011</v>
      </c>
      <c r="H12520" t="s">
        <v>9144</v>
      </c>
      <c r="I12520" t="s">
        <v>9692</v>
      </c>
      <c r="J12520" t="s">
        <v>15439</v>
      </c>
      <c r="K12520" t="s">
        <v>19744</v>
      </c>
      <c r="M12520">
        <f>HYPERLINK("https://www.senat.fr/senateur-3eme-republique/blaignan_raymond0104r3.html", "blaignan_raymond0104r3")</f>
        <v>0</v>
      </c>
      <c r="N12520">
        <f>HYPERLINK("https://www.wikidata.org/wiki/Q3420675", "Q3420675")</f>
        <v>0</v>
      </c>
      <c r="O12520" t="s">
        <v>20016</v>
      </c>
      <c r="Q12520" t="s">
        <v>401</v>
      </c>
      <c r="R12520" t="s">
        <v>16129</v>
      </c>
      <c r="S12520">
        <v>1455</v>
      </c>
    </row>
    <row r="12521" spans="1:19">
      <c r="A12521" t="s">
        <v>140</v>
      </c>
      <c r="B12521" t="s">
        <v>150</v>
      </c>
      <c r="C12521" t="s">
        <v>272</v>
      </c>
      <c r="D12521" t="s">
        <v>401</v>
      </c>
      <c r="F12521">
        <f>HYPERLINK("https://www.wikidata.org/wiki/Q111103103", "Q111103103")</f>
        <v>0</v>
      </c>
      <c r="G12521" t="s">
        <v>5012</v>
      </c>
      <c r="H12521" t="s">
        <v>9145</v>
      </c>
      <c r="I12521" t="s">
        <v>9552</v>
      </c>
      <c r="J12521" t="s">
        <v>15440</v>
      </c>
      <c r="K12521" t="s">
        <v>19745</v>
      </c>
      <c r="M12521">
        <f>HYPERLINK("https://www.senat.fr/senateur-3eme-republique/foulhy_auguste0522r3.html", "foulhy_auguste0522r3")</f>
        <v>0</v>
      </c>
      <c r="N12521">
        <f>HYPERLINK("https://www.wikidata.org/wiki/Q2871193", "Q2871193")</f>
        <v>0</v>
      </c>
      <c r="O12521" t="s">
        <v>19993</v>
      </c>
      <c r="Q12521" t="s">
        <v>401</v>
      </c>
      <c r="R12521" t="s">
        <v>16129</v>
      </c>
      <c r="S12521">
        <v>1455</v>
      </c>
    </row>
    <row r="12522" spans="1:19">
      <c r="A12522" t="s">
        <v>140</v>
      </c>
      <c r="B12522" t="s">
        <v>150</v>
      </c>
      <c r="C12522" t="s">
        <v>272</v>
      </c>
      <c r="D12522" t="s">
        <v>401</v>
      </c>
      <c r="F12522">
        <f>HYPERLINK("https://www.wikidata.org/wiki/Q111103103", "Q111103103")</f>
        <v>0</v>
      </c>
      <c r="G12522" t="s">
        <v>5013</v>
      </c>
      <c r="H12522" t="s">
        <v>9146</v>
      </c>
      <c r="I12522" t="s">
        <v>10410</v>
      </c>
      <c r="J12522" t="s">
        <v>14667</v>
      </c>
      <c r="K12522" t="s">
        <v>19746</v>
      </c>
      <c r="M12522">
        <f>HYPERLINK("https://www.senat.fr/senateur-3eme-republique/enjolras_francisque0518r3.html", "enjolras_francisque0518r3")</f>
        <v>0</v>
      </c>
      <c r="N12522">
        <f>HYPERLINK("https://www.wikidata.org/wiki/Q3081999", "Q3081999")</f>
        <v>0</v>
      </c>
      <c r="O12522" t="s">
        <v>19993</v>
      </c>
      <c r="Q12522" t="s">
        <v>401</v>
      </c>
      <c r="R12522" t="s">
        <v>16129</v>
      </c>
      <c r="S12522">
        <v>1455</v>
      </c>
    </row>
    <row r="12523" spans="1:19">
      <c r="A12523" t="s">
        <v>140</v>
      </c>
      <c r="B12523" t="s">
        <v>150</v>
      </c>
      <c r="C12523" t="s">
        <v>272</v>
      </c>
      <c r="D12523" t="s">
        <v>401</v>
      </c>
      <c r="F12523">
        <f>HYPERLINK("https://www.wikidata.org/wiki/Q111103103", "Q111103103")</f>
        <v>0</v>
      </c>
      <c r="G12523" t="s">
        <v>5014</v>
      </c>
      <c r="H12523" t="s">
        <v>9147</v>
      </c>
      <c r="I12523" t="s">
        <v>6175</v>
      </c>
      <c r="J12523" t="s">
        <v>15441</v>
      </c>
      <c r="K12523" t="s">
        <v>19747</v>
      </c>
      <c r="M12523">
        <f>HYPERLINK("https://www.senat.fr/senateur-3eme-republique/quilliard_georges0874r3.html", "quilliard_georges0874r3")</f>
        <v>0</v>
      </c>
      <c r="N12523">
        <f>HYPERLINK("https://www.wikidata.org/wiki/Q3103380", "Q3103380")</f>
        <v>0</v>
      </c>
      <c r="O12523" t="s">
        <v>20022</v>
      </c>
      <c r="Q12523" t="s">
        <v>401</v>
      </c>
      <c r="R12523" t="s">
        <v>16129</v>
      </c>
      <c r="S12523">
        <v>1455</v>
      </c>
    </row>
    <row r="12524" spans="1:19">
      <c r="A12524" t="s">
        <v>140</v>
      </c>
      <c r="B12524" t="s">
        <v>150</v>
      </c>
      <c r="C12524" t="s">
        <v>272</v>
      </c>
      <c r="D12524" t="s">
        <v>401</v>
      </c>
      <c r="F12524">
        <f>HYPERLINK("https://www.wikidata.org/wiki/Q111103103", "Q111103103")</f>
        <v>0</v>
      </c>
      <c r="G12524" t="s">
        <v>5015</v>
      </c>
      <c r="H12524" t="s">
        <v>9148</v>
      </c>
      <c r="I12524" t="s">
        <v>9389</v>
      </c>
      <c r="J12524" t="s">
        <v>15442</v>
      </c>
      <c r="K12524" t="s">
        <v>19748</v>
      </c>
      <c r="M12524">
        <f>HYPERLINK("https://www.senat.fr/senateur-3eme-republique/humblot_emile0871r3.html", "humblot_emile0871r3")</f>
        <v>0</v>
      </c>
      <c r="N12524">
        <f>HYPERLINK("https://www.wikidata.org/wiki/Q3588567", "Q3588567")</f>
        <v>0</v>
      </c>
      <c r="O12524" t="s">
        <v>20022</v>
      </c>
      <c r="Q12524" t="s">
        <v>401</v>
      </c>
      <c r="R12524" t="s">
        <v>16129</v>
      </c>
      <c r="S12524">
        <v>1455</v>
      </c>
    </row>
    <row r="12525" spans="1:19">
      <c r="A12525" t="s">
        <v>140</v>
      </c>
      <c r="B12525" t="s">
        <v>150</v>
      </c>
      <c r="C12525" t="s">
        <v>272</v>
      </c>
      <c r="D12525" t="s">
        <v>401</v>
      </c>
      <c r="F12525">
        <f>HYPERLINK("https://www.wikidata.org/wiki/Q111103103", "Q111103103")</f>
        <v>0</v>
      </c>
      <c r="G12525" t="s">
        <v>5016</v>
      </c>
      <c r="H12525" t="s">
        <v>9149</v>
      </c>
      <c r="I12525" t="s">
        <v>9453</v>
      </c>
      <c r="J12525" t="s">
        <v>15443</v>
      </c>
      <c r="K12525" t="s">
        <v>19749</v>
      </c>
      <c r="M12525">
        <f>HYPERLINK("https://www.senat.fr/senateur-3eme-republique/maranget_arthur0866r3.html", "maranget_arthur0866r3")</f>
        <v>0</v>
      </c>
      <c r="N12525">
        <f>HYPERLINK("https://www.wikidata.org/wiki/Q2865218", "Q2865218")</f>
        <v>0</v>
      </c>
      <c r="O12525" t="s">
        <v>20022</v>
      </c>
      <c r="Q12525" t="s">
        <v>401</v>
      </c>
      <c r="R12525" t="s">
        <v>16129</v>
      </c>
      <c r="S12525">
        <v>1455</v>
      </c>
    </row>
    <row r="12526" spans="1:19">
      <c r="A12526" t="s">
        <v>140</v>
      </c>
      <c r="B12526" t="s">
        <v>150</v>
      </c>
      <c r="C12526" t="s">
        <v>272</v>
      </c>
      <c r="D12526" t="s">
        <v>401</v>
      </c>
      <c r="F12526">
        <f>HYPERLINK("https://www.wikidata.org/wiki/Q111103103", "Q111103103")</f>
        <v>0</v>
      </c>
      <c r="G12526" t="s">
        <v>5017</v>
      </c>
      <c r="H12526" t="s">
        <v>9150</v>
      </c>
      <c r="I12526" t="s">
        <v>6478</v>
      </c>
      <c r="J12526" t="s">
        <v>15444</v>
      </c>
      <c r="K12526" t="s">
        <v>19750</v>
      </c>
      <c r="M12526">
        <f>HYPERLINK("https://www.senat.fr/senateur-3eme-republique/marsot_henry1172r3.html", "marsot_henry1172r3")</f>
        <v>0</v>
      </c>
      <c r="N12526">
        <f>HYPERLINK("https://www.wikidata.org/wiki/Q3132940", "Q3132940")</f>
        <v>0</v>
      </c>
      <c r="O12526" t="s">
        <v>20036</v>
      </c>
      <c r="Q12526" t="s">
        <v>401</v>
      </c>
      <c r="R12526" t="s">
        <v>21279</v>
      </c>
      <c r="S12526">
        <v>2554</v>
      </c>
    </row>
    <row r="12527" spans="1:19">
      <c r="A12527" t="s">
        <v>140</v>
      </c>
      <c r="B12527" t="s">
        <v>150</v>
      </c>
      <c r="C12527" t="s">
        <v>272</v>
      </c>
      <c r="D12527" t="s">
        <v>401</v>
      </c>
      <c r="F12527">
        <f>HYPERLINK("https://www.wikidata.org/wiki/Q111103103", "Q111103103")</f>
        <v>0</v>
      </c>
      <c r="G12527" t="s">
        <v>5018</v>
      </c>
      <c r="H12527" t="s">
        <v>9151</v>
      </c>
      <c r="I12527" t="s">
        <v>9503</v>
      </c>
      <c r="J12527" t="s">
        <v>15445</v>
      </c>
      <c r="K12527" t="s">
        <v>19751</v>
      </c>
      <c r="M12527">
        <f>HYPERLINK("https://www.senat.fr/senateur-3eme-republique/gras_anatole1179r3.html", "gras_anatole1179r3")</f>
        <v>0</v>
      </c>
      <c r="N12527">
        <f>HYPERLINK("https://www.wikidata.org/wiki/Q2845580", "Q2845580")</f>
        <v>0</v>
      </c>
      <c r="O12527" t="s">
        <v>20036</v>
      </c>
      <c r="Q12527" t="s">
        <v>401</v>
      </c>
      <c r="R12527" t="s">
        <v>21279</v>
      </c>
      <c r="S12527">
        <v>2554</v>
      </c>
    </row>
    <row r="12528" spans="1:19">
      <c r="A12528" t="s">
        <v>140</v>
      </c>
      <c r="B12528" t="s">
        <v>150</v>
      </c>
      <c r="C12528" t="s">
        <v>272</v>
      </c>
      <c r="D12528" t="s">
        <v>401</v>
      </c>
      <c r="F12528">
        <f>HYPERLINK("https://www.wikidata.org/wiki/Q111103103", "Q111103103")</f>
        <v>0</v>
      </c>
      <c r="G12528" t="s">
        <v>4956</v>
      </c>
      <c r="H12528" t="s">
        <v>9089</v>
      </c>
      <c r="I12528" t="s">
        <v>9389</v>
      </c>
      <c r="J12528" t="s">
        <v>15395</v>
      </c>
      <c r="K12528" t="s">
        <v>19694</v>
      </c>
      <c r="M12528">
        <f>HYPERLINK("https://www.senat.fr/senateur-3eme-republique/goy_emile1320r3.html", "goy_emile1320r3")</f>
        <v>0</v>
      </c>
      <c r="N12528">
        <f>HYPERLINK("https://www.wikidata.org/wiki/Q3588546", "Q3588546")</f>
        <v>0</v>
      </c>
      <c r="O12528" t="s">
        <v>20018</v>
      </c>
      <c r="Q12528" t="s">
        <v>401</v>
      </c>
      <c r="R12528" t="s">
        <v>21650</v>
      </c>
      <c r="S12528">
        <v>9415</v>
      </c>
    </row>
    <row r="12529" spans="1:19">
      <c r="A12529" t="s">
        <v>140</v>
      </c>
      <c r="B12529" t="s">
        <v>150</v>
      </c>
      <c r="C12529" t="s">
        <v>272</v>
      </c>
      <c r="D12529" t="s">
        <v>401</v>
      </c>
      <c r="F12529">
        <f>HYPERLINK("https://www.wikidata.org/wiki/Q111103103", "Q111103103")</f>
        <v>0</v>
      </c>
      <c r="G12529" t="s">
        <v>4266</v>
      </c>
      <c r="H12529" t="s">
        <v>6698</v>
      </c>
      <c r="I12529" t="s">
        <v>10909</v>
      </c>
      <c r="J12529" t="s">
        <v>14766</v>
      </c>
      <c r="K12529" t="s">
        <v>19114</v>
      </c>
      <c r="M12529">
        <f>HYPERLINK("https://www.senat.fr/senateur-3eme-republique/gallet_claudius1314r3.html", "gallet_claudius1314r3")</f>
        <v>0</v>
      </c>
      <c r="N12529">
        <f>HYPERLINK("https://www.wikidata.org/wiki/Q2978569", "Q2978569")</f>
        <v>0</v>
      </c>
      <c r="O12529" t="s">
        <v>20018</v>
      </c>
      <c r="Q12529" t="s">
        <v>401</v>
      </c>
      <c r="R12529" t="s">
        <v>21279</v>
      </c>
      <c r="S12529">
        <v>2554</v>
      </c>
    </row>
    <row r="12530" spans="1:19">
      <c r="A12530" t="s">
        <v>140</v>
      </c>
      <c r="B12530" t="s">
        <v>150</v>
      </c>
      <c r="C12530" t="s">
        <v>272</v>
      </c>
      <c r="D12530" t="s">
        <v>401</v>
      </c>
      <c r="F12530">
        <f>HYPERLINK("https://www.wikidata.org/wiki/Q111103103", "Q111103103")</f>
        <v>0</v>
      </c>
      <c r="G12530" t="s">
        <v>4234</v>
      </c>
      <c r="H12530" t="s">
        <v>8411</v>
      </c>
      <c r="I12530" t="s">
        <v>9593</v>
      </c>
      <c r="J12530" t="s">
        <v>14741</v>
      </c>
      <c r="K12530" t="s">
        <v>19086</v>
      </c>
      <c r="M12530">
        <f>HYPERLINK("https://www.senat.fr/senateur-3eme-republique/roustan_marius0246r3.html", "roustan_marius0246r3")</f>
        <v>0</v>
      </c>
      <c r="N12530">
        <f>HYPERLINK("https://www.wikidata.org/wiki/Q3293852", "Q3293852")</f>
        <v>0</v>
      </c>
      <c r="O12530" t="s">
        <v>7411</v>
      </c>
      <c r="Q12530" t="s">
        <v>401</v>
      </c>
      <c r="R12530" t="s">
        <v>16129</v>
      </c>
      <c r="S12530">
        <v>1455</v>
      </c>
    </row>
    <row r="12531" spans="1:19">
      <c r="A12531" t="s">
        <v>140</v>
      </c>
      <c r="B12531" t="s">
        <v>150</v>
      </c>
      <c r="C12531" t="s">
        <v>272</v>
      </c>
      <c r="D12531" t="s">
        <v>401</v>
      </c>
      <c r="F12531">
        <f>HYPERLINK("https://www.wikidata.org/wiki/Q111103103", "Q111103103")</f>
        <v>0</v>
      </c>
      <c r="G12531" t="s">
        <v>4931</v>
      </c>
      <c r="H12531" t="s">
        <v>9066</v>
      </c>
      <c r="I12531" t="s">
        <v>6495</v>
      </c>
      <c r="J12531" t="s">
        <v>15373</v>
      </c>
      <c r="K12531" t="s">
        <v>19676</v>
      </c>
      <c r="M12531">
        <f>HYPERLINK("https://www.senat.fr/senateur-3eme-republique/lemarie_louis0562r3.html", "lemarie_louis0562r3")</f>
        <v>0</v>
      </c>
      <c r="N12531">
        <f>HYPERLINK("https://www.wikidata.org/wiki/Q3262514", "Q3262514")</f>
        <v>0</v>
      </c>
      <c r="O12531" t="s">
        <v>19998</v>
      </c>
      <c r="Q12531" t="s">
        <v>401</v>
      </c>
      <c r="R12531" t="s">
        <v>16129</v>
      </c>
      <c r="S12531">
        <v>1455</v>
      </c>
    </row>
    <row r="12532" spans="1:19">
      <c r="A12532" t="s">
        <v>140</v>
      </c>
      <c r="B12532" t="s">
        <v>150</v>
      </c>
      <c r="C12532" t="s">
        <v>272</v>
      </c>
      <c r="D12532" t="s">
        <v>401</v>
      </c>
      <c r="F12532">
        <f>HYPERLINK("https://www.wikidata.org/wiki/Q111103103", "Q111103103")</f>
        <v>0</v>
      </c>
      <c r="G12532" t="s">
        <v>4932</v>
      </c>
      <c r="H12532" t="s">
        <v>9067</v>
      </c>
      <c r="I12532" t="s">
        <v>5528</v>
      </c>
      <c r="J12532" t="s">
        <v>15374</v>
      </c>
      <c r="K12532" t="s">
        <v>19677</v>
      </c>
      <c r="M12532">
        <f>HYPERLINK("https://www.senat.fr/senateur-3eme-republique/jenouvrier_leon0560r3.html", "jenouvrier_leon0560r3")</f>
        <v>0</v>
      </c>
      <c r="N12532">
        <f>HYPERLINK("https://www.wikidata.org/wiki/Q3271082", "Q3271082")</f>
        <v>0</v>
      </c>
      <c r="O12532" t="s">
        <v>19998</v>
      </c>
      <c r="Q12532" t="s">
        <v>401</v>
      </c>
      <c r="R12532" t="s">
        <v>16129</v>
      </c>
      <c r="S12532">
        <v>1455</v>
      </c>
    </row>
    <row r="12533" spans="1:19">
      <c r="A12533" t="s">
        <v>140</v>
      </c>
      <c r="B12533" t="s">
        <v>150</v>
      </c>
      <c r="C12533" t="s">
        <v>272</v>
      </c>
      <c r="D12533" t="s">
        <v>401</v>
      </c>
      <c r="F12533">
        <f>HYPERLINK("https://www.wikidata.org/wiki/Q111103103", "Q111103103")</f>
        <v>0</v>
      </c>
      <c r="G12533" t="s">
        <v>4905</v>
      </c>
      <c r="H12533" t="s">
        <v>9041</v>
      </c>
      <c r="I12533" t="s">
        <v>9465</v>
      </c>
      <c r="J12533" t="s">
        <v>15349</v>
      </c>
      <c r="K12533" t="s">
        <v>19652</v>
      </c>
      <c r="M12533">
        <f>HYPERLINK("https://www.senat.fr/senateur-3eme-republique/brager_de_la_ville_moysan_eugene0529r3.html", "brager_de_la_ville_moysan_eugene0529r3")</f>
        <v>0</v>
      </c>
      <c r="N12533">
        <f>HYPERLINK("https://www.wikidata.org/wiki/Q3059747", "Q3059747")</f>
        <v>0</v>
      </c>
      <c r="O12533" t="s">
        <v>19998</v>
      </c>
      <c r="Q12533" t="s">
        <v>401</v>
      </c>
      <c r="R12533" t="s">
        <v>16129</v>
      </c>
      <c r="S12533">
        <v>1455</v>
      </c>
    </row>
    <row r="12534" spans="1:19">
      <c r="A12534" t="s">
        <v>140</v>
      </c>
      <c r="B12534" t="s">
        <v>150</v>
      </c>
      <c r="C12534" t="s">
        <v>272</v>
      </c>
      <c r="D12534" t="s">
        <v>401</v>
      </c>
      <c r="F12534">
        <f>HYPERLINK("https://www.wikidata.org/wiki/Q111103103", "Q111103103")</f>
        <v>0</v>
      </c>
      <c r="G12534" t="s">
        <v>5019</v>
      </c>
      <c r="H12534" t="s">
        <v>9152</v>
      </c>
      <c r="I12534" t="s">
        <v>9388</v>
      </c>
      <c r="J12534" t="s">
        <v>15446</v>
      </c>
      <c r="K12534" t="s">
        <v>16165</v>
      </c>
      <c r="M12534">
        <f>HYPERLINK("https://www.senat.fr/senateur-3eme-republique/garnier_paul0557r3.html", "garnier_paul0557r3")</f>
        <v>0</v>
      </c>
      <c r="N12534">
        <f>HYPERLINK("https://www.wikidata.org/wiki/Q3371287", "Q3371287")</f>
        <v>0</v>
      </c>
      <c r="O12534" t="s">
        <v>19998</v>
      </c>
      <c r="Q12534" t="s">
        <v>401</v>
      </c>
      <c r="R12534" t="s">
        <v>16129</v>
      </c>
      <c r="S12534">
        <v>1455</v>
      </c>
    </row>
    <row r="12535" spans="1:19">
      <c r="A12535" t="s">
        <v>140</v>
      </c>
      <c r="B12535" t="s">
        <v>150</v>
      </c>
      <c r="C12535" t="s">
        <v>272</v>
      </c>
      <c r="D12535" t="s">
        <v>401</v>
      </c>
      <c r="F12535">
        <f>HYPERLINK("https://www.wikidata.org/wiki/Q111103103", "Q111103103")</f>
        <v>0</v>
      </c>
      <c r="G12535" t="s">
        <v>4224</v>
      </c>
      <c r="H12535" t="s">
        <v>8404</v>
      </c>
      <c r="I12535" t="s">
        <v>9608</v>
      </c>
      <c r="J12535" t="s">
        <v>11706</v>
      </c>
      <c r="K12535" t="s">
        <v>19077</v>
      </c>
      <c r="M12535">
        <f>HYPERLINK("https://www.senat.fr/senateur-3eme-republique/ratier_antony0259r3.html", "ratier_antony0259r3")</f>
        <v>0</v>
      </c>
      <c r="N12535">
        <f>HYPERLINK("https://www.wikidata.org/wiki/Q2342450", "Q2342450")</f>
        <v>0</v>
      </c>
      <c r="O12535" t="s">
        <v>19975</v>
      </c>
      <c r="Q12535" t="s">
        <v>401</v>
      </c>
      <c r="R12535" t="s">
        <v>16129</v>
      </c>
      <c r="S12535">
        <v>1455</v>
      </c>
    </row>
    <row r="12536" spans="1:19">
      <c r="A12536" t="s">
        <v>140</v>
      </c>
      <c r="B12536" t="s">
        <v>150</v>
      </c>
      <c r="C12536" t="s">
        <v>272</v>
      </c>
      <c r="D12536" t="s">
        <v>401</v>
      </c>
      <c r="F12536">
        <f>HYPERLINK("https://www.wikidata.org/wiki/Q111103103", "Q111103103")</f>
        <v>0</v>
      </c>
      <c r="G12536" t="s">
        <v>5020</v>
      </c>
      <c r="H12536" t="s">
        <v>8753</v>
      </c>
      <c r="I12536" t="s">
        <v>9407</v>
      </c>
      <c r="J12536" t="s">
        <v>15447</v>
      </c>
      <c r="K12536" t="s">
        <v>19752</v>
      </c>
      <c r="M12536">
        <f>HYPERLINK("https://www.senat.fr/senateur-3eme-republique/vallier_joseph1201r3.html", "vallier_joseph1201r3")</f>
        <v>0</v>
      </c>
      <c r="N12536">
        <f>HYPERLINK("https://www.wikidata.org/wiki/Q3185711", "Q3185711")</f>
        <v>0</v>
      </c>
      <c r="O12536" t="s">
        <v>20006</v>
      </c>
      <c r="Q12536" t="s">
        <v>401</v>
      </c>
      <c r="R12536" t="s">
        <v>16129</v>
      </c>
      <c r="S12536">
        <v>1455</v>
      </c>
    </row>
    <row r="12537" spans="1:19">
      <c r="A12537" t="s">
        <v>140</v>
      </c>
      <c r="B12537" t="s">
        <v>150</v>
      </c>
      <c r="C12537" t="s">
        <v>272</v>
      </c>
      <c r="D12537" t="s">
        <v>401</v>
      </c>
      <c r="F12537">
        <f>HYPERLINK("https://www.wikidata.org/wiki/Q111103103", "Q111103103")</f>
        <v>0</v>
      </c>
      <c r="G12537" t="s">
        <v>5021</v>
      </c>
      <c r="H12537" t="s">
        <v>9153</v>
      </c>
      <c r="I12537" t="s">
        <v>9483</v>
      </c>
      <c r="J12537" t="s">
        <v>15448</v>
      </c>
      <c r="K12537" t="s">
        <v>19753</v>
      </c>
      <c r="M12537">
        <f>HYPERLINK("https://www.senat.fr/senateur-3eme-republique/berard_victor0445r3.html", "berard_victor0445r3")</f>
        <v>0</v>
      </c>
      <c r="N12537">
        <f>HYPERLINK("https://www.wikidata.org/wiki/Q2484224", "Q2484224")</f>
        <v>0</v>
      </c>
      <c r="O12537" t="s">
        <v>20041</v>
      </c>
      <c r="Q12537" t="s">
        <v>401</v>
      </c>
      <c r="R12537" t="s">
        <v>16129</v>
      </c>
      <c r="S12537">
        <v>1455</v>
      </c>
    </row>
    <row r="12538" spans="1:19">
      <c r="A12538" t="s">
        <v>140</v>
      </c>
      <c r="B12538" t="s">
        <v>150</v>
      </c>
      <c r="C12538" t="s">
        <v>272</v>
      </c>
      <c r="D12538" t="s">
        <v>401</v>
      </c>
      <c r="F12538">
        <f>HYPERLINK("https://www.wikidata.org/wiki/Q111103103", "Q111103103")</f>
        <v>0</v>
      </c>
      <c r="G12538" t="s">
        <v>5022</v>
      </c>
      <c r="H12538" t="s">
        <v>9154</v>
      </c>
      <c r="I12538" t="s">
        <v>11232</v>
      </c>
      <c r="J12538" t="s">
        <v>15449</v>
      </c>
      <c r="K12538" t="s">
        <v>19754</v>
      </c>
      <c r="M12538">
        <f>HYPERLINK("https://www.senat.fr/senateur-3eme-republique/brocard_maximin0452r3.html", "brocard_maximin0452r3")</f>
        <v>0</v>
      </c>
      <c r="N12538">
        <f>HYPERLINK("https://www.wikidata.org/wiki/Q3084105", "Q3084105")</f>
        <v>0</v>
      </c>
      <c r="O12538" t="s">
        <v>20041</v>
      </c>
      <c r="Q12538" t="s">
        <v>401</v>
      </c>
      <c r="R12538" t="s">
        <v>16129</v>
      </c>
      <c r="S12538">
        <v>1455</v>
      </c>
    </row>
    <row r="12539" spans="1:19">
      <c r="A12539" t="s">
        <v>140</v>
      </c>
      <c r="B12539" t="s">
        <v>150</v>
      </c>
      <c r="C12539" t="s">
        <v>272</v>
      </c>
      <c r="D12539" t="s">
        <v>401</v>
      </c>
      <c r="F12539">
        <f>HYPERLINK("https://www.wikidata.org/wiki/Q111103103", "Q111103103")</f>
        <v>0</v>
      </c>
      <c r="G12539" t="s">
        <v>5023</v>
      </c>
      <c r="H12539" t="s">
        <v>9155</v>
      </c>
      <c r="I12539" t="s">
        <v>9442</v>
      </c>
      <c r="J12539" t="s">
        <v>15450</v>
      </c>
      <c r="K12539" t="s">
        <v>19755</v>
      </c>
      <c r="M12539">
        <f>HYPERLINK("https://www.senat.fr/senateur-3eme-republique/daraignez_ernest0341r3.html", "daraignez_ernest0341r3")</f>
        <v>0</v>
      </c>
      <c r="N12539">
        <f>HYPERLINK("https://www.wikidata.org/wiki/Q3056913", "Q3056913")</f>
        <v>0</v>
      </c>
      <c r="O12539" t="s">
        <v>19995</v>
      </c>
      <c r="Q12539" t="s">
        <v>401</v>
      </c>
      <c r="R12539" t="s">
        <v>16129</v>
      </c>
      <c r="S12539">
        <v>1455</v>
      </c>
    </row>
    <row r="12540" spans="1:19">
      <c r="A12540" t="s">
        <v>140</v>
      </c>
      <c r="B12540" t="s">
        <v>150</v>
      </c>
      <c r="C12540" t="s">
        <v>272</v>
      </c>
      <c r="D12540" t="s">
        <v>401</v>
      </c>
      <c r="F12540">
        <f>HYPERLINK("https://www.wikidata.org/wiki/Q111103103", "Q111103103")</f>
        <v>0</v>
      </c>
      <c r="G12540" t="s">
        <v>5024</v>
      </c>
      <c r="H12540" t="s">
        <v>9156</v>
      </c>
      <c r="I12540" t="s">
        <v>9385</v>
      </c>
      <c r="J12540" t="s">
        <v>15451</v>
      </c>
      <c r="K12540" t="s">
        <v>19756</v>
      </c>
      <c r="M12540">
        <f>HYPERLINK("https://www.senat.fr/senateur-3eme-republique/cadilhon_charles0345r3.html", "cadilhon_charles0345r3")</f>
        <v>0</v>
      </c>
      <c r="N12540">
        <f>HYPERLINK("https://www.wikidata.org/wiki/Q2958656", "Q2958656")</f>
        <v>0</v>
      </c>
      <c r="O12540" t="s">
        <v>19995</v>
      </c>
      <c r="Q12540" t="s">
        <v>401</v>
      </c>
      <c r="R12540" t="s">
        <v>16129</v>
      </c>
      <c r="S12540">
        <v>1455</v>
      </c>
    </row>
    <row r="12541" spans="1:19">
      <c r="A12541" t="s">
        <v>140</v>
      </c>
      <c r="B12541" t="s">
        <v>150</v>
      </c>
      <c r="C12541" t="s">
        <v>272</v>
      </c>
      <c r="D12541" t="s">
        <v>401</v>
      </c>
      <c r="F12541">
        <f>HYPERLINK("https://www.wikidata.org/wiki/Q111103103", "Q111103103")</f>
        <v>0</v>
      </c>
      <c r="G12541" t="s">
        <v>4272</v>
      </c>
      <c r="H12541" t="s">
        <v>8436</v>
      </c>
      <c r="I12541" t="s">
        <v>9512</v>
      </c>
      <c r="J12541" t="s">
        <v>14771</v>
      </c>
      <c r="K12541" t="s">
        <v>19119</v>
      </c>
      <c r="M12541">
        <f>HYPERLINK("https://www.senat.fr/senateur-3eme-republique/millies_lacroix_raphael0351r3.html", "millies_lacroix_raphael0351r3")</f>
        <v>0</v>
      </c>
      <c r="N12541">
        <f>HYPERLINK("https://www.wikidata.org/wiki/Q3419492", "Q3419492")</f>
        <v>0</v>
      </c>
      <c r="O12541" t="s">
        <v>19995</v>
      </c>
      <c r="Q12541" t="s">
        <v>401</v>
      </c>
      <c r="R12541" t="s">
        <v>16129</v>
      </c>
      <c r="S12541">
        <v>1455</v>
      </c>
    </row>
    <row r="12542" spans="1:19">
      <c r="A12542" t="s">
        <v>140</v>
      </c>
      <c r="B12542" t="s">
        <v>150</v>
      </c>
      <c r="C12542" t="s">
        <v>272</v>
      </c>
      <c r="D12542" t="s">
        <v>401</v>
      </c>
      <c r="F12542">
        <f>HYPERLINK("https://www.wikidata.org/wiki/Q111103103", "Q111103103")</f>
        <v>0</v>
      </c>
      <c r="G12542" t="s">
        <v>4235</v>
      </c>
      <c r="H12542" t="s">
        <v>9157</v>
      </c>
      <c r="I12542" t="s">
        <v>6495</v>
      </c>
      <c r="J12542" t="s">
        <v>14742</v>
      </c>
      <c r="K12542" t="s">
        <v>19087</v>
      </c>
      <c r="M12542">
        <f>HYPERLINK("https://www.senat.fr/senateur-3eme-republique/maurin_louis1361r3.html", "maurin_louis1361r3")</f>
        <v>0</v>
      </c>
      <c r="N12542">
        <f>HYPERLINK("https://www.wikidata.org/wiki/Q3262675", "Q3262675")</f>
        <v>0</v>
      </c>
      <c r="O12542" t="s">
        <v>19997</v>
      </c>
      <c r="Q12542" t="s">
        <v>401</v>
      </c>
      <c r="R12542" t="s">
        <v>403</v>
      </c>
      <c r="S12542">
        <v>1456</v>
      </c>
    </row>
    <row r="12543" spans="1:19">
      <c r="A12543" t="s">
        <v>140</v>
      </c>
      <c r="B12543" t="s">
        <v>150</v>
      </c>
      <c r="C12543" t="s">
        <v>272</v>
      </c>
      <c r="D12543" t="s">
        <v>401</v>
      </c>
      <c r="F12543">
        <f>HYPERLINK("https://www.wikidata.org/wiki/Q111103103", "Q111103103")</f>
        <v>0</v>
      </c>
      <c r="G12543" t="s">
        <v>5025</v>
      </c>
      <c r="H12543" t="s">
        <v>9158</v>
      </c>
      <c r="I12543" t="s">
        <v>6495</v>
      </c>
      <c r="J12543" t="s">
        <v>15452</v>
      </c>
      <c r="K12543" t="s">
        <v>19064</v>
      </c>
      <c r="M12543">
        <f>HYPERLINK("https://www.senat.fr/senateur-3eme-republique/soulie_louis1355r3.html", "soulie_louis1355r3")</f>
        <v>0</v>
      </c>
      <c r="N12543">
        <f>HYPERLINK("https://www.wikidata.org/wiki/Q3263128", "Q3263128")</f>
        <v>0</v>
      </c>
      <c r="O12543" t="s">
        <v>19997</v>
      </c>
      <c r="Q12543" t="s">
        <v>401</v>
      </c>
      <c r="R12543" t="s">
        <v>16129</v>
      </c>
      <c r="S12543">
        <v>1455</v>
      </c>
    </row>
    <row r="12544" spans="1:19">
      <c r="A12544" t="s">
        <v>140</v>
      </c>
      <c r="B12544" t="s">
        <v>150</v>
      </c>
      <c r="C12544" t="s">
        <v>272</v>
      </c>
      <c r="D12544" t="s">
        <v>401</v>
      </c>
      <c r="F12544">
        <f>HYPERLINK("https://www.wikidata.org/wiki/Q111103103", "Q111103103")</f>
        <v>0</v>
      </c>
      <c r="G12544" t="s">
        <v>5026</v>
      </c>
      <c r="H12544" t="s">
        <v>9159</v>
      </c>
      <c r="I12544" t="s">
        <v>9449</v>
      </c>
      <c r="J12544" t="s">
        <v>15453</v>
      </c>
      <c r="K12544" t="s">
        <v>353</v>
      </c>
      <c r="M12544">
        <f>HYPERLINK("https://www.senat.fr/senateur-3eme-republique/jamin_jules1290r3.html", "jamin_jules1290r3")</f>
        <v>0</v>
      </c>
      <c r="N12544">
        <f>HYPERLINK("https://www.wikidata.org/wiki/Q3188752", "Q3188752")</f>
        <v>0</v>
      </c>
      <c r="O12544" t="s">
        <v>20023</v>
      </c>
      <c r="Q12544" t="s">
        <v>401</v>
      </c>
      <c r="R12544" t="s">
        <v>353</v>
      </c>
      <c r="S12544">
        <v>9</v>
      </c>
    </row>
    <row r="12545" spans="1:19">
      <c r="A12545" t="s">
        <v>140</v>
      </c>
      <c r="B12545" t="s">
        <v>150</v>
      </c>
      <c r="C12545" t="s">
        <v>272</v>
      </c>
      <c r="D12545" t="s">
        <v>401</v>
      </c>
      <c r="F12545">
        <f>HYPERLINK("https://www.wikidata.org/wiki/Q111103103", "Q111103103")</f>
        <v>0</v>
      </c>
      <c r="G12545" t="s">
        <v>5027</v>
      </c>
      <c r="H12545" t="s">
        <v>9160</v>
      </c>
      <c r="I12545" t="s">
        <v>9858</v>
      </c>
      <c r="J12545" t="s">
        <v>15454</v>
      </c>
      <c r="K12545" t="s">
        <v>15705</v>
      </c>
      <c r="M12545">
        <f>HYPERLINK("https://www.senat.fr/senateur-3eme-republique/de_landemont_ambroise1273r3.html", "de_landemont_ambroise1273r3")</f>
        <v>0</v>
      </c>
      <c r="N12545">
        <f>HYPERLINK("https://www.wikidata.org/wiki/Q2842425", "Q2842425")</f>
        <v>0</v>
      </c>
      <c r="O12545" t="s">
        <v>20023</v>
      </c>
      <c r="Q12545" t="s">
        <v>401</v>
      </c>
      <c r="R12545" t="s">
        <v>16129</v>
      </c>
      <c r="S12545">
        <v>1455</v>
      </c>
    </row>
    <row r="12546" spans="1:19">
      <c r="A12546" t="s">
        <v>140</v>
      </c>
      <c r="B12546" t="s">
        <v>150</v>
      </c>
      <c r="C12546" t="s">
        <v>272</v>
      </c>
      <c r="D12546" t="s">
        <v>401</v>
      </c>
      <c r="F12546">
        <f>HYPERLINK("https://www.wikidata.org/wiki/Q111103103", "Q111103103")</f>
        <v>0</v>
      </c>
      <c r="G12546" t="s">
        <v>5028</v>
      </c>
      <c r="H12546" t="s">
        <v>9161</v>
      </c>
      <c r="I12546" t="s">
        <v>6200</v>
      </c>
      <c r="J12546" t="s">
        <v>15455</v>
      </c>
      <c r="K12546" t="s">
        <v>19757</v>
      </c>
      <c r="M12546">
        <f>HYPERLINK("https://www.senat.fr/senateur-3eme-republique/babin_chevaye_jean1285r3.html", "babin_chevaye_jean1285r3")</f>
        <v>0</v>
      </c>
      <c r="N12546">
        <f>HYPERLINK("https://www.wikidata.org/wiki/Q3170485", "Q3170485")</f>
        <v>0</v>
      </c>
      <c r="O12546" t="s">
        <v>20023</v>
      </c>
      <c r="Q12546" t="s">
        <v>401</v>
      </c>
      <c r="R12546" t="s">
        <v>16129</v>
      </c>
      <c r="S12546">
        <v>1455</v>
      </c>
    </row>
    <row r="12547" spans="1:19">
      <c r="A12547" t="s">
        <v>140</v>
      </c>
      <c r="B12547" t="s">
        <v>150</v>
      </c>
      <c r="C12547" t="s">
        <v>272</v>
      </c>
      <c r="D12547" t="s">
        <v>401</v>
      </c>
      <c r="F12547">
        <f>HYPERLINK("https://www.wikidata.org/wiki/Q111103103", "Q111103103")</f>
        <v>0</v>
      </c>
      <c r="G12547" t="s">
        <v>5029</v>
      </c>
      <c r="H12547" t="s">
        <v>9162</v>
      </c>
      <c r="I12547" t="s">
        <v>9385</v>
      </c>
      <c r="J12547" t="s">
        <v>15456</v>
      </c>
      <c r="K12547" t="s">
        <v>16838</v>
      </c>
      <c r="M12547">
        <f>HYPERLINK("https://www.senat.fr/senateur-3eme-republique/francois_saint_maur_charles1294r3.html", "francois_saint_maur_charles1294r3")</f>
        <v>0</v>
      </c>
      <c r="N12547">
        <f>HYPERLINK("https://www.wikidata.org/wiki/Q2959090", "Q2959090")</f>
        <v>0</v>
      </c>
      <c r="O12547" t="s">
        <v>20023</v>
      </c>
      <c r="Q12547" t="s">
        <v>401</v>
      </c>
      <c r="R12547" t="s">
        <v>16129</v>
      </c>
      <c r="S12547">
        <v>1455</v>
      </c>
    </row>
    <row r="12548" spans="1:19">
      <c r="A12548" t="s">
        <v>140</v>
      </c>
      <c r="B12548" t="s">
        <v>150</v>
      </c>
      <c r="C12548" t="s">
        <v>272</v>
      </c>
      <c r="D12548" t="s">
        <v>401</v>
      </c>
      <c r="F12548">
        <f>HYPERLINK("https://www.wikidata.org/wiki/Q111103103", "Q111103103")</f>
        <v>0</v>
      </c>
      <c r="G12548" t="s">
        <v>5030</v>
      </c>
      <c r="H12548" t="s">
        <v>9163</v>
      </c>
      <c r="I12548" t="s">
        <v>9523</v>
      </c>
      <c r="J12548" t="s">
        <v>15457</v>
      </c>
      <c r="K12548" t="s">
        <v>19758</v>
      </c>
      <c r="M12548">
        <f>HYPERLINK("https://www.senat.fr/senateur-3eme-republique/donon_marcel0508r3.html", "donon_marcel0508r3")</f>
        <v>0</v>
      </c>
      <c r="N12548">
        <f>HYPERLINK("https://www.wikidata.org/wiki/Q3288903", "Q3288903")</f>
        <v>0</v>
      </c>
      <c r="O12548" t="s">
        <v>19958</v>
      </c>
      <c r="Q12548" t="s">
        <v>401</v>
      </c>
      <c r="R12548" t="s">
        <v>16129</v>
      </c>
      <c r="S12548">
        <v>1455</v>
      </c>
    </row>
    <row r="12549" spans="1:19">
      <c r="A12549" t="s">
        <v>140</v>
      </c>
      <c r="B12549" t="s">
        <v>150</v>
      </c>
      <c r="C12549" t="s">
        <v>272</v>
      </c>
      <c r="D12549" t="s">
        <v>401</v>
      </c>
      <c r="F12549">
        <f>HYPERLINK("https://www.wikidata.org/wiki/Q111103103", "Q111103103")</f>
        <v>0</v>
      </c>
      <c r="G12549" t="s">
        <v>5031</v>
      </c>
      <c r="H12549" t="s">
        <v>9164</v>
      </c>
      <c r="I12549" t="s">
        <v>9476</v>
      </c>
      <c r="J12549" t="s">
        <v>15458</v>
      </c>
      <c r="K12549" t="s">
        <v>19759</v>
      </c>
      <c r="M12549">
        <f>HYPERLINK("https://www.senat.fr/senateur-3eme-republique/fontanille_rene0614r3.html", "fontanille_rene0614r3")</f>
        <v>0</v>
      </c>
      <c r="N12549">
        <f>HYPERLINK("https://www.wikidata.org/wiki/Q3426203", "Q3426203")</f>
        <v>0</v>
      </c>
      <c r="O12549" t="s">
        <v>19974</v>
      </c>
      <c r="Q12549" t="s">
        <v>401</v>
      </c>
      <c r="R12549" t="s">
        <v>16129</v>
      </c>
      <c r="S12549">
        <v>1455</v>
      </c>
    </row>
    <row r="12550" spans="1:19">
      <c r="A12550" t="s">
        <v>140</v>
      </c>
      <c r="B12550" t="s">
        <v>150</v>
      </c>
      <c r="C12550" t="s">
        <v>272</v>
      </c>
      <c r="D12550" t="s">
        <v>401</v>
      </c>
      <c r="F12550">
        <f>HYPERLINK("https://www.wikidata.org/wiki/Q111103103", "Q111103103")</f>
        <v>0</v>
      </c>
      <c r="G12550" t="s">
        <v>4954</v>
      </c>
      <c r="H12550" t="s">
        <v>9088</v>
      </c>
      <c r="I12550" t="s">
        <v>9407</v>
      </c>
      <c r="J12550" t="s">
        <v>15394</v>
      </c>
      <c r="K12550" t="s">
        <v>19692</v>
      </c>
      <c r="M12550">
        <f>HYPERLINK("https://www.senat.fr/senateur-3eme-republique/loubet_joseph0625r3.html", "loubet_joseph0625r3")</f>
        <v>0</v>
      </c>
      <c r="N12550">
        <f>HYPERLINK("https://www.wikidata.org/wiki/Q3185259", "Q3185259")</f>
        <v>0</v>
      </c>
      <c r="O12550" t="s">
        <v>19974</v>
      </c>
      <c r="Q12550" t="s">
        <v>401</v>
      </c>
      <c r="R12550" t="s">
        <v>16129</v>
      </c>
      <c r="S12550">
        <v>1455</v>
      </c>
    </row>
    <row r="12551" spans="1:19">
      <c r="A12551" t="s">
        <v>140</v>
      </c>
      <c r="B12551" t="s">
        <v>150</v>
      </c>
      <c r="C12551" t="s">
        <v>272</v>
      </c>
      <c r="D12551" t="s">
        <v>401</v>
      </c>
      <c r="F12551">
        <f>HYPERLINK("https://www.wikidata.org/wiki/Q111103103", "Q111103103")</f>
        <v>0</v>
      </c>
      <c r="G12551" t="s">
        <v>5032</v>
      </c>
      <c r="H12551" t="s">
        <v>9165</v>
      </c>
      <c r="I12551" t="s">
        <v>6175</v>
      </c>
      <c r="J12551" t="s">
        <v>12231</v>
      </c>
      <c r="K12551" t="s">
        <v>19760</v>
      </c>
      <c r="M12551">
        <f>HYPERLINK("https://www.senat.fr/senateur-3eme-republique/laboulbene_georges0740r3.html", "laboulbene_georges0740r3")</f>
        <v>0</v>
      </c>
      <c r="N12551">
        <f>HYPERLINK("https://www.wikidata.org/wiki/Q3102986", "Q3102986")</f>
        <v>0</v>
      </c>
      <c r="O12551" t="s">
        <v>20043</v>
      </c>
      <c r="Q12551" t="s">
        <v>401</v>
      </c>
      <c r="R12551" t="s">
        <v>16129</v>
      </c>
      <c r="S12551">
        <v>1455</v>
      </c>
    </row>
    <row r="12552" spans="1:19">
      <c r="A12552" t="s">
        <v>140</v>
      </c>
      <c r="B12552" t="s">
        <v>150</v>
      </c>
      <c r="C12552" t="s">
        <v>272</v>
      </c>
      <c r="D12552" t="s">
        <v>401</v>
      </c>
      <c r="F12552">
        <f>HYPERLINK("https://www.wikidata.org/wiki/Q111103103", "Q111103103")</f>
        <v>0</v>
      </c>
      <c r="G12552" t="s">
        <v>5033</v>
      </c>
      <c r="H12552" t="s">
        <v>9166</v>
      </c>
      <c r="I12552" t="s">
        <v>9470</v>
      </c>
      <c r="J12552" t="s">
        <v>15459</v>
      </c>
      <c r="K12552" t="s">
        <v>19761</v>
      </c>
      <c r="M12552">
        <f>HYPERLINK("https://www.senat.fr/senateur-3eme-republique/carrere_gaston0762r3.html", "carrere_gaston0762r3")</f>
        <v>0</v>
      </c>
      <c r="N12552">
        <f>HYPERLINK("https://www.wikidata.org/wiki/Q3098937", "Q3098937")</f>
        <v>0</v>
      </c>
      <c r="O12552" t="s">
        <v>20043</v>
      </c>
      <c r="Q12552" t="s">
        <v>401</v>
      </c>
      <c r="R12552" t="s">
        <v>16129</v>
      </c>
      <c r="S12552">
        <v>1455</v>
      </c>
    </row>
    <row r="12553" spans="1:19">
      <c r="A12553" t="s">
        <v>140</v>
      </c>
      <c r="B12553" t="s">
        <v>150</v>
      </c>
      <c r="C12553" t="s">
        <v>272</v>
      </c>
      <c r="D12553" t="s">
        <v>401</v>
      </c>
      <c r="F12553">
        <f>HYPERLINK("https://www.wikidata.org/wiki/Q111103103", "Q111103103")</f>
        <v>0</v>
      </c>
      <c r="G12553" t="s">
        <v>4243</v>
      </c>
      <c r="H12553" t="s">
        <v>8417</v>
      </c>
      <c r="I12553" t="s">
        <v>6860</v>
      </c>
      <c r="J12553" t="s">
        <v>14749</v>
      </c>
      <c r="K12553" t="s">
        <v>19095</v>
      </c>
      <c r="M12553">
        <f>HYPERLINK("https://www.senat.fr/senateur-3eme-republique/marraud_pierre0748r3.html", "marraud_pierre0748r3")</f>
        <v>0</v>
      </c>
      <c r="N12553">
        <f>HYPERLINK("https://www.wikidata.org/wiki/Q3386156", "Q3386156")</f>
        <v>0</v>
      </c>
      <c r="O12553" t="s">
        <v>20043</v>
      </c>
      <c r="Q12553" t="s">
        <v>401</v>
      </c>
      <c r="R12553" t="s">
        <v>16129</v>
      </c>
      <c r="S12553">
        <v>1455</v>
      </c>
    </row>
    <row r="12554" spans="1:19">
      <c r="A12554" t="s">
        <v>140</v>
      </c>
      <c r="B12554" t="s">
        <v>150</v>
      </c>
      <c r="C12554" t="s">
        <v>272</v>
      </c>
      <c r="D12554" t="s">
        <v>401</v>
      </c>
      <c r="F12554">
        <f>HYPERLINK("https://www.wikidata.org/wiki/Q111103103", "Q111103103")</f>
        <v>0</v>
      </c>
      <c r="G12554" t="s">
        <v>4902</v>
      </c>
      <c r="H12554" t="s">
        <v>9038</v>
      </c>
      <c r="I12554" t="s">
        <v>9414</v>
      </c>
      <c r="J12554" t="s">
        <v>15346</v>
      </c>
      <c r="K12554" t="s">
        <v>19649</v>
      </c>
      <c r="M12554">
        <f>HYPERLINK("https://www.senat.fr/senateur-3eme-republique/de_las_cases_emmanuel0855r3.html", "de_las_cases_emmanuel0855r3")</f>
        <v>0</v>
      </c>
      <c r="N12554">
        <f>HYPERLINK("https://www.wikidata.org/wiki/Q3052905", "Q3052905")</f>
        <v>0</v>
      </c>
      <c r="O12554" t="s">
        <v>20004</v>
      </c>
      <c r="Q12554" t="s">
        <v>401</v>
      </c>
      <c r="R12554" t="s">
        <v>16129</v>
      </c>
      <c r="S12554">
        <v>1455</v>
      </c>
    </row>
    <row r="12555" spans="1:19">
      <c r="A12555" t="s">
        <v>140</v>
      </c>
      <c r="B12555" t="s">
        <v>150</v>
      </c>
      <c r="C12555" t="s">
        <v>272</v>
      </c>
      <c r="D12555" t="s">
        <v>401</v>
      </c>
      <c r="F12555">
        <f>HYPERLINK("https://www.wikidata.org/wiki/Q111103103", "Q111103103")</f>
        <v>0</v>
      </c>
      <c r="G12555" t="s">
        <v>4817</v>
      </c>
      <c r="H12555" t="s">
        <v>8957</v>
      </c>
      <c r="I12555" t="s">
        <v>9423</v>
      </c>
      <c r="J12555" t="s">
        <v>15273</v>
      </c>
      <c r="K12555" t="s">
        <v>19580</v>
      </c>
      <c r="M12555">
        <f>HYPERLINK("https://www.senat.fr/senateur-3eme-republique/bodinier_guillaume1159r3.html", "bodinier_guillaume1159r3")</f>
        <v>0</v>
      </c>
      <c r="N12555">
        <f>HYPERLINK("https://www.wikidata.org/wiki/Q3119691", "Q3119691")</f>
        <v>0</v>
      </c>
      <c r="O12555" t="s">
        <v>19980</v>
      </c>
      <c r="Q12555" t="s">
        <v>401</v>
      </c>
      <c r="R12555" t="s">
        <v>21650</v>
      </c>
      <c r="S12555">
        <v>9415</v>
      </c>
    </row>
    <row r="12556" spans="1:19">
      <c r="A12556" t="s">
        <v>140</v>
      </c>
      <c r="B12556" t="s">
        <v>150</v>
      </c>
      <c r="C12556" t="s">
        <v>272</v>
      </c>
      <c r="D12556" t="s">
        <v>401</v>
      </c>
      <c r="F12556">
        <f>HYPERLINK("https://www.wikidata.org/wiki/Q111103103", "Q111103103")</f>
        <v>0</v>
      </c>
      <c r="G12556" t="s">
        <v>4899</v>
      </c>
      <c r="H12556" t="s">
        <v>9035</v>
      </c>
      <c r="I12556" t="s">
        <v>9636</v>
      </c>
      <c r="J12556" t="s">
        <v>15343</v>
      </c>
      <c r="K12556" t="s">
        <v>19646</v>
      </c>
      <c r="M12556">
        <f>HYPERLINK("https://www.senat.fr/senateur-3eme-republique/delahaye_dominique1161r3.html", "delahaye_dominique1161r3")</f>
        <v>0</v>
      </c>
      <c r="N12556">
        <f>HYPERLINK("https://www.wikidata.org/wiki/Q3035090", "Q3035090")</f>
        <v>0</v>
      </c>
      <c r="O12556" t="s">
        <v>19980</v>
      </c>
      <c r="Q12556" t="s">
        <v>401</v>
      </c>
      <c r="R12556" t="s">
        <v>16129</v>
      </c>
      <c r="S12556">
        <v>1455</v>
      </c>
    </row>
    <row r="12557" spans="1:19">
      <c r="A12557" t="s">
        <v>140</v>
      </c>
      <c r="B12557" t="s">
        <v>150</v>
      </c>
      <c r="C12557" t="s">
        <v>272</v>
      </c>
      <c r="D12557" t="s">
        <v>401</v>
      </c>
      <c r="F12557">
        <f>HYPERLINK("https://www.wikidata.org/wiki/Q111103103", "Q111103103")</f>
        <v>0</v>
      </c>
      <c r="G12557" t="s">
        <v>5034</v>
      </c>
      <c r="H12557" t="s">
        <v>9167</v>
      </c>
      <c r="I12557" t="s">
        <v>9957</v>
      </c>
      <c r="J12557" t="s">
        <v>15460</v>
      </c>
      <c r="K12557" t="s">
        <v>19762</v>
      </c>
      <c r="M12557">
        <f>HYPERLINK("https://www.senat.fr/senateur-3eme-republique/de_rouge_olivier1067r3.html", "de_rouge_olivier1067r3")</f>
        <v>0</v>
      </c>
      <c r="N12557">
        <f>HYPERLINK("https://www.wikidata.org/wiki/Q3351469", "Q3351469")</f>
        <v>0</v>
      </c>
      <c r="O12557" t="s">
        <v>19980</v>
      </c>
      <c r="Q12557" t="s">
        <v>401</v>
      </c>
      <c r="R12557" t="s">
        <v>16129</v>
      </c>
      <c r="S12557">
        <v>1455</v>
      </c>
    </row>
    <row r="12558" spans="1:19">
      <c r="A12558" t="s">
        <v>140</v>
      </c>
      <c r="B12558" t="s">
        <v>150</v>
      </c>
      <c r="C12558" t="s">
        <v>272</v>
      </c>
      <c r="D12558" t="s">
        <v>401</v>
      </c>
      <c r="F12558">
        <f>HYPERLINK("https://www.wikidata.org/wiki/Q111103103", "Q111103103")</f>
        <v>0</v>
      </c>
      <c r="G12558" t="s">
        <v>5035</v>
      </c>
      <c r="H12558" t="s">
        <v>9168</v>
      </c>
      <c r="I12558" t="s">
        <v>9389</v>
      </c>
      <c r="J12558" t="s">
        <v>15461</v>
      </c>
      <c r="K12558" t="s">
        <v>19763</v>
      </c>
      <c r="M12558">
        <f>HYPERLINK("https://www.senat.fr/senateur-3eme-republique/damecour_emile1047r3.html", "damecour_emile1047r3")</f>
        <v>0</v>
      </c>
      <c r="N12558">
        <f>HYPERLINK("https://www.wikidata.org/wiki/Q3588443", "Q3588443")</f>
        <v>0</v>
      </c>
      <c r="O12558" t="s">
        <v>19985</v>
      </c>
      <c r="Q12558" t="s">
        <v>401</v>
      </c>
      <c r="R12558" t="s">
        <v>16129</v>
      </c>
      <c r="S12558">
        <v>1455</v>
      </c>
    </row>
    <row r="12559" spans="1:19">
      <c r="A12559" t="s">
        <v>140</v>
      </c>
      <c r="B12559" t="s">
        <v>150</v>
      </c>
      <c r="C12559" t="s">
        <v>272</v>
      </c>
      <c r="D12559" t="s">
        <v>401</v>
      </c>
      <c r="F12559">
        <f>HYPERLINK("https://www.wikidata.org/wiki/Q111103103", "Q111103103")</f>
        <v>0</v>
      </c>
      <c r="G12559" t="s">
        <v>4583</v>
      </c>
      <c r="H12559" t="s">
        <v>8728</v>
      </c>
      <c r="I12559" t="s">
        <v>9421</v>
      </c>
      <c r="J12559" t="s">
        <v>15062</v>
      </c>
      <c r="K12559" t="s">
        <v>19384</v>
      </c>
      <c r="M12559">
        <f>HYPERLINK("https://www.senat.fr/senateur-3eme-republique/denis_gustave0956r3.html", "denis_gustave0956r3")</f>
        <v>0</v>
      </c>
      <c r="N12559">
        <f>HYPERLINK("https://www.wikidata.org/wiki/Q3121167", "Q3121167")</f>
        <v>0</v>
      </c>
      <c r="O12559" t="s">
        <v>19984</v>
      </c>
      <c r="Q12559" t="s">
        <v>401</v>
      </c>
      <c r="R12559" t="s">
        <v>16129</v>
      </c>
      <c r="S12559">
        <v>1455</v>
      </c>
    </row>
    <row r="12560" spans="1:19">
      <c r="A12560" t="s">
        <v>140</v>
      </c>
      <c r="B12560" t="s">
        <v>150</v>
      </c>
      <c r="C12560" t="s">
        <v>272</v>
      </c>
      <c r="D12560" t="s">
        <v>401</v>
      </c>
      <c r="F12560">
        <f>HYPERLINK("https://www.wikidata.org/wiki/Q111103103", "Q111103103")</f>
        <v>0</v>
      </c>
      <c r="G12560" t="s">
        <v>5036</v>
      </c>
      <c r="H12560" t="s">
        <v>9169</v>
      </c>
      <c r="I12560" t="s">
        <v>5349</v>
      </c>
      <c r="J12560" t="s">
        <v>15462</v>
      </c>
      <c r="K12560" t="s">
        <v>19764</v>
      </c>
      <c r="M12560">
        <f>HYPERLINK("https://www.senat.fr/senateur-3eme-republique/jouis_constant0966r3.html", "jouis_constant0966r3")</f>
        <v>0</v>
      </c>
      <c r="N12560">
        <f>HYPERLINK("https://www.wikidata.org/wiki/Q2994860", "Q2994860")</f>
        <v>0</v>
      </c>
      <c r="O12560" t="s">
        <v>19984</v>
      </c>
      <c r="Q12560" t="s">
        <v>401</v>
      </c>
      <c r="R12560" t="s">
        <v>16129</v>
      </c>
      <c r="S12560">
        <v>1455</v>
      </c>
    </row>
    <row r="12561" spans="1:19">
      <c r="A12561" t="s">
        <v>140</v>
      </c>
      <c r="B12561" t="s">
        <v>150</v>
      </c>
      <c r="C12561" t="s">
        <v>272</v>
      </c>
      <c r="D12561" t="s">
        <v>401</v>
      </c>
      <c r="F12561">
        <f>HYPERLINK("https://www.wikidata.org/wiki/Q111103103", "Q111103103")</f>
        <v>0</v>
      </c>
      <c r="G12561" t="s">
        <v>5037</v>
      </c>
      <c r="H12561" t="s">
        <v>9170</v>
      </c>
      <c r="I12561" t="s">
        <v>9457</v>
      </c>
      <c r="J12561" t="s">
        <v>15463</v>
      </c>
      <c r="K12561" t="s">
        <v>19765</v>
      </c>
      <c r="M12561">
        <f>HYPERLINK("https://www.senat.fr/senateur-3eme-republique/michaut_henri0948r3.html", "michaut_henri0948r3")</f>
        <v>0</v>
      </c>
      <c r="N12561">
        <f>HYPERLINK("https://www.wikidata.org/wiki/Q2381344", "Q2381344")</f>
        <v>0</v>
      </c>
      <c r="O12561" t="s">
        <v>20007</v>
      </c>
      <c r="Q12561" t="s">
        <v>401</v>
      </c>
      <c r="R12561" t="s">
        <v>16129</v>
      </c>
      <c r="S12561">
        <v>1455</v>
      </c>
    </row>
    <row r="12562" spans="1:19">
      <c r="A12562" t="s">
        <v>140</v>
      </c>
      <c r="B12562" t="s">
        <v>150</v>
      </c>
      <c r="C12562" t="s">
        <v>272</v>
      </c>
      <c r="D12562" t="s">
        <v>401</v>
      </c>
      <c r="F12562">
        <f>HYPERLINK("https://www.wikidata.org/wiki/Q111103103", "Q111103103")</f>
        <v>0</v>
      </c>
      <c r="G12562" t="s">
        <v>5038</v>
      </c>
      <c r="H12562" t="s">
        <v>8568</v>
      </c>
      <c r="I12562" t="s">
        <v>6495</v>
      </c>
      <c r="J12562" t="s">
        <v>15464</v>
      </c>
      <c r="K12562" t="s">
        <v>19766</v>
      </c>
      <c r="M12562">
        <f>HYPERLINK("https://www.senat.fr/senateur-3eme-republique/michel_louis0933r3.html", "michel_louis0933r3")</f>
        <v>0</v>
      </c>
      <c r="N12562">
        <f>HYPERLINK("https://www.wikidata.org/wiki/Q3262697", "Q3262697")</f>
        <v>0</v>
      </c>
      <c r="O12562" t="s">
        <v>20007</v>
      </c>
      <c r="Q12562" t="s">
        <v>401</v>
      </c>
      <c r="R12562" t="s">
        <v>16129</v>
      </c>
      <c r="S12562">
        <v>1455</v>
      </c>
    </row>
    <row r="12563" spans="1:19">
      <c r="A12563" t="s">
        <v>140</v>
      </c>
      <c r="B12563" t="s">
        <v>150</v>
      </c>
      <c r="C12563" t="s">
        <v>272</v>
      </c>
      <c r="D12563" t="s">
        <v>401</v>
      </c>
      <c r="F12563">
        <f>HYPERLINK("https://www.wikidata.org/wiki/Q111103103", "Q111103103")</f>
        <v>0</v>
      </c>
      <c r="G12563" t="s">
        <v>5039</v>
      </c>
      <c r="H12563" t="s">
        <v>9171</v>
      </c>
      <c r="I12563" t="s">
        <v>11233</v>
      </c>
      <c r="J12563" t="s">
        <v>15465</v>
      </c>
      <c r="K12563" t="s">
        <v>17013</v>
      </c>
      <c r="M12563">
        <f>HYPERLINK("https://www.senat.fr/senateur-3eme-republique/chevalier_pol1014r3.html", "chevalier_pol1014r3")</f>
        <v>0</v>
      </c>
      <c r="N12563">
        <f>HYPERLINK("https://www.wikidata.org/wiki/Q3393992", "Q3393992")</f>
        <v>0</v>
      </c>
      <c r="O12563" t="s">
        <v>20030</v>
      </c>
      <c r="Q12563" t="s">
        <v>401</v>
      </c>
      <c r="R12563" t="s">
        <v>16129</v>
      </c>
      <c r="S12563">
        <v>1455</v>
      </c>
    </row>
    <row r="12564" spans="1:19">
      <c r="A12564" t="s">
        <v>140</v>
      </c>
      <c r="B12564" t="s">
        <v>150</v>
      </c>
      <c r="C12564" t="s">
        <v>272</v>
      </c>
      <c r="D12564" t="s">
        <v>401</v>
      </c>
      <c r="F12564">
        <f>HYPERLINK("https://www.wikidata.org/wiki/Q111103103", "Q111103103")</f>
        <v>0</v>
      </c>
      <c r="G12564" t="s">
        <v>5040</v>
      </c>
      <c r="H12564" t="s">
        <v>9172</v>
      </c>
      <c r="I12564" t="s">
        <v>7642</v>
      </c>
      <c r="J12564" t="s">
        <v>15466</v>
      </c>
      <c r="K12564" t="s">
        <v>19767</v>
      </c>
      <c r="M12564">
        <f>HYPERLINK("https://www.senat.fr/senateur-3eme-republique/bompard_maurice0711r3.html", "bompard_maurice0711r3")</f>
        <v>0</v>
      </c>
      <c r="N12564">
        <f>HYPERLINK("https://www.wikidata.org/wiki/Q3300459", "Q3300459")</f>
        <v>0</v>
      </c>
      <c r="O12564" t="s">
        <v>20050</v>
      </c>
      <c r="Q12564" t="s">
        <v>401</v>
      </c>
      <c r="R12564" t="s">
        <v>16129</v>
      </c>
      <c r="S12564">
        <v>1455</v>
      </c>
    </row>
    <row r="12565" spans="1:19">
      <c r="A12565" t="s">
        <v>140</v>
      </c>
      <c r="B12565" t="s">
        <v>150</v>
      </c>
      <c r="C12565" t="s">
        <v>272</v>
      </c>
      <c r="D12565" t="s">
        <v>401</v>
      </c>
      <c r="F12565">
        <f>HYPERLINK("https://www.wikidata.org/wiki/Q111103103", "Q111103103")</f>
        <v>0</v>
      </c>
      <c r="G12565" t="s">
        <v>5041</v>
      </c>
      <c r="H12565" t="s">
        <v>9173</v>
      </c>
      <c r="I12565" t="s">
        <v>6200</v>
      </c>
      <c r="J12565" t="s">
        <v>15467</v>
      </c>
      <c r="K12565" t="s">
        <v>16158</v>
      </c>
      <c r="M12565">
        <f>HYPERLINK("https://www.senat.fr/senateur-3eme-republique/stuhl_jean0708r3.html", "stuhl_jean0708r3")</f>
        <v>0</v>
      </c>
      <c r="N12565">
        <f>HYPERLINK("https://www.wikidata.org/wiki/Q3174691", "Q3174691")</f>
        <v>0</v>
      </c>
      <c r="O12565" t="s">
        <v>20050</v>
      </c>
      <c r="Q12565" t="s">
        <v>401</v>
      </c>
      <c r="R12565" t="s">
        <v>16129</v>
      </c>
      <c r="S12565">
        <v>1455</v>
      </c>
    </row>
    <row r="12566" spans="1:19">
      <c r="A12566" t="s">
        <v>140</v>
      </c>
      <c r="B12566" t="s">
        <v>150</v>
      </c>
      <c r="C12566" t="s">
        <v>272</v>
      </c>
      <c r="D12566" t="s">
        <v>401</v>
      </c>
      <c r="F12566">
        <f>HYPERLINK("https://www.wikidata.org/wiki/Q111103103", "Q111103103")</f>
        <v>0</v>
      </c>
      <c r="G12566" t="s">
        <v>5042</v>
      </c>
      <c r="H12566" t="s">
        <v>9174</v>
      </c>
      <c r="I12566" t="s">
        <v>9552</v>
      </c>
      <c r="J12566" t="s">
        <v>15468</v>
      </c>
      <c r="K12566" t="s">
        <v>19768</v>
      </c>
      <c r="M12566">
        <f>HYPERLINK("https://www.senat.fr/senateur-3eme-republique/hirschauer_auguste0707r3.html", "hirschauer_auguste0707r3")</f>
        <v>0</v>
      </c>
      <c r="N12566">
        <f>HYPERLINK("https://www.wikidata.org/wiki/Q346087", "Q346087")</f>
        <v>0</v>
      </c>
      <c r="O12566" t="s">
        <v>20050</v>
      </c>
      <c r="Q12566" t="s">
        <v>401</v>
      </c>
      <c r="R12566" t="s">
        <v>16129</v>
      </c>
      <c r="S12566">
        <v>1455</v>
      </c>
    </row>
    <row r="12567" spans="1:19">
      <c r="A12567" t="s">
        <v>140</v>
      </c>
      <c r="B12567" t="s">
        <v>150</v>
      </c>
      <c r="C12567" t="s">
        <v>272</v>
      </c>
      <c r="D12567" t="s">
        <v>401</v>
      </c>
      <c r="F12567">
        <f>HYPERLINK("https://www.wikidata.org/wiki/Q111103103", "Q111103103")</f>
        <v>0</v>
      </c>
      <c r="G12567" t="s">
        <v>5043</v>
      </c>
      <c r="H12567" t="s">
        <v>9175</v>
      </c>
      <c r="I12567" t="s">
        <v>9457</v>
      </c>
      <c r="J12567" t="s">
        <v>12216</v>
      </c>
      <c r="K12567" t="s">
        <v>19769</v>
      </c>
      <c r="M12567">
        <f>HYPERLINK("https://www.senat.fr/senateur-3eme-republique/de_marguerie_henri0709r3.html", "de_marguerie_henri0709r3")</f>
        <v>0</v>
      </c>
      <c r="N12567">
        <f>HYPERLINK("https://www.wikidata.org/wiki/Q3132324", "Q3132324")</f>
        <v>0</v>
      </c>
      <c r="O12567" t="s">
        <v>20050</v>
      </c>
      <c r="Q12567" t="s">
        <v>401</v>
      </c>
      <c r="R12567" t="s">
        <v>16129</v>
      </c>
      <c r="S12567">
        <v>1455</v>
      </c>
    </row>
    <row r="12568" spans="1:19">
      <c r="A12568" t="s">
        <v>140</v>
      </c>
      <c r="B12568" t="s">
        <v>150</v>
      </c>
      <c r="C12568" t="s">
        <v>272</v>
      </c>
      <c r="D12568" t="s">
        <v>401</v>
      </c>
      <c r="F12568">
        <f>HYPERLINK("https://www.wikidata.org/wiki/Q111103103", "Q111103103")</f>
        <v>0</v>
      </c>
      <c r="G12568" t="s">
        <v>5044</v>
      </c>
      <c r="H12568" t="s">
        <v>9176</v>
      </c>
      <c r="I12568" t="s">
        <v>6200</v>
      </c>
      <c r="J12568" t="s">
        <v>15469</v>
      </c>
      <c r="K12568" t="s">
        <v>19770</v>
      </c>
      <c r="M12568">
        <f>HYPERLINK("https://www.senat.fr/senateur-3eme-republique/imbart_de_la_tour_jean1268r3.html", "imbart_de_la_tour_jean1268r3")</f>
        <v>0</v>
      </c>
      <c r="N12568">
        <f>HYPERLINK("https://www.wikidata.org/wiki/Q3172734", "Q3172734")</f>
        <v>0</v>
      </c>
      <c r="O12568" t="s">
        <v>20032</v>
      </c>
      <c r="Q12568" t="s">
        <v>401</v>
      </c>
      <c r="R12568" t="s">
        <v>19770</v>
      </c>
      <c r="S12568">
        <v>252</v>
      </c>
    </row>
    <row r="12569" spans="1:19">
      <c r="A12569" t="s">
        <v>140</v>
      </c>
      <c r="B12569" t="s">
        <v>150</v>
      </c>
      <c r="C12569" t="s">
        <v>272</v>
      </c>
      <c r="D12569" t="s">
        <v>401</v>
      </c>
      <c r="F12569">
        <f>HYPERLINK("https://www.wikidata.org/wiki/Q111103103", "Q111103103")</f>
        <v>0</v>
      </c>
      <c r="G12569" t="s">
        <v>5045</v>
      </c>
      <c r="H12569" t="s">
        <v>9177</v>
      </c>
      <c r="I12569" t="s">
        <v>9389</v>
      </c>
      <c r="J12569" t="s">
        <v>15470</v>
      </c>
      <c r="K12569" t="s">
        <v>18993</v>
      </c>
      <c r="M12569">
        <f>HYPERLINK("https://www.senat.fr/senateur-3eme-republique/chomet_emile1264r3.html", "chomet_emile1264r3")</f>
        <v>0</v>
      </c>
      <c r="N12569">
        <f>HYPERLINK("https://www.wikidata.org/wiki/Q3588412", "Q3588412")</f>
        <v>0</v>
      </c>
      <c r="O12569" t="s">
        <v>20032</v>
      </c>
      <c r="Q12569" t="s">
        <v>401</v>
      </c>
      <c r="R12569" t="s">
        <v>16129</v>
      </c>
      <c r="S12569">
        <v>1455</v>
      </c>
    </row>
    <row r="12570" spans="1:19">
      <c r="A12570" t="s">
        <v>140</v>
      </c>
      <c r="B12570" t="s">
        <v>150</v>
      </c>
      <c r="C12570" t="s">
        <v>272</v>
      </c>
      <c r="D12570" t="s">
        <v>401</v>
      </c>
      <c r="F12570">
        <f>HYPERLINK("https://www.wikidata.org/wiki/Q111103103", "Q111103103")</f>
        <v>0</v>
      </c>
      <c r="G12570" t="s">
        <v>2865</v>
      </c>
      <c r="H12570" t="s">
        <v>8906</v>
      </c>
      <c r="I12570" t="s">
        <v>9474</v>
      </c>
      <c r="J12570" t="s">
        <v>15226</v>
      </c>
      <c r="K12570" t="s">
        <v>19540</v>
      </c>
      <c r="M12570">
        <f>HYPERLINK("https://www.senat.fr/senateur-3eme-republique/trystram_jean_baptiste1413r3.html", "trystram_jean_baptiste1413r3")</f>
        <v>0</v>
      </c>
      <c r="N12570">
        <f>HYPERLINK("https://www.wikidata.org/wiki/Q3164471", "Q3164471")</f>
        <v>0</v>
      </c>
      <c r="O12570" t="s">
        <v>20013</v>
      </c>
      <c r="Q12570" t="s">
        <v>401</v>
      </c>
      <c r="R12570" t="s">
        <v>21650</v>
      </c>
      <c r="S12570">
        <v>9415</v>
      </c>
    </row>
    <row r="12571" spans="1:19">
      <c r="A12571" t="s">
        <v>140</v>
      </c>
      <c r="B12571" t="s">
        <v>150</v>
      </c>
      <c r="C12571" t="s">
        <v>272</v>
      </c>
      <c r="D12571" t="s">
        <v>401</v>
      </c>
      <c r="F12571">
        <f>HYPERLINK("https://www.wikidata.org/wiki/Q111103103", "Q111103103")</f>
        <v>0</v>
      </c>
      <c r="G12571" t="s">
        <v>4958</v>
      </c>
      <c r="H12571" t="s">
        <v>9091</v>
      </c>
      <c r="I12571" t="s">
        <v>9385</v>
      </c>
      <c r="J12571" t="s">
        <v>15397</v>
      </c>
      <c r="K12571" t="s">
        <v>19695</v>
      </c>
      <c r="M12571">
        <f>HYPERLINK("https://www.senat.fr/senateur-3eme-republique/debierre_charles1406r3.html", "debierre_charles1406r3")</f>
        <v>0</v>
      </c>
      <c r="N12571">
        <f>HYPERLINK("https://www.wikidata.org/wiki/Q2958854", "Q2958854")</f>
        <v>0</v>
      </c>
      <c r="O12571" t="s">
        <v>20013</v>
      </c>
      <c r="Q12571" t="s">
        <v>401</v>
      </c>
      <c r="R12571" t="s">
        <v>16129</v>
      </c>
      <c r="S12571">
        <v>1455</v>
      </c>
    </row>
    <row r="12572" spans="1:19">
      <c r="A12572" t="s">
        <v>140</v>
      </c>
      <c r="B12572" t="s">
        <v>150</v>
      </c>
      <c r="C12572" t="s">
        <v>272</v>
      </c>
      <c r="D12572" t="s">
        <v>401</v>
      </c>
      <c r="F12572">
        <f>HYPERLINK("https://www.wikidata.org/wiki/Q111103103", "Q111103103")</f>
        <v>0</v>
      </c>
      <c r="G12572" t="s">
        <v>4894</v>
      </c>
      <c r="H12572" t="s">
        <v>9030</v>
      </c>
      <c r="I12572" t="s">
        <v>9552</v>
      </c>
      <c r="J12572" t="s">
        <v>15338</v>
      </c>
      <c r="K12572" t="s">
        <v>19642</v>
      </c>
      <c r="M12572">
        <f>HYPERLINK("https://www.senat.fr/senateur-3eme-republique/potie_auguste1410r3.html", "potie_auguste1410r3")</f>
        <v>0</v>
      </c>
      <c r="N12572">
        <f>HYPERLINK("https://www.wikidata.org/wiki/Q2871364", "Q2871364")</f>
        <v>0</v>
      </c>
      <c r="O12572" t="s">
        <v>20013</v>
      </c>
      <c r="Q12572" t="s">
        <v>401</v>
      </c>
      <c r="R12572" t="s">
        <v>16129</v>
      </c>
      <c r="S12572">
        <v>1455</v>
      </c>
    </row>
    <row r="12573" spans="1:19">
      <c r="A12573" t="s">
        <v>140</v>
      </c>
      <c r="B12573" t="s">
        <v>150</v>
      </c>
      <c r="C12573" t="s">
        <v>272</v>
      </c>
      <c r="D12573" t="s">
        <v>401</v>
      </c>
      <c r="F12573">
        <f>HYPERLINK("https://www.wikidata.org/wiki/Q111103103", "Q111103103")</f>
        <v>0</v>
      </c>
      <c r="G12573" t="s">
        <v>5046</v>
      </c>
      <c r="H12573" t="s">
        <v>9178</v>
      </c>
      <c r="I12573" t="s">
        <v>5528</v>
      </c>
      <c r="J12573" t="s">
        <v>15471</v>
      </c>
      <c r="K12573" t="s">
        <v>19771</v>
      </c>
      <c r="M12573">
        <f>HYPERLINK("https://www.senat.fr/senateur-3eme-republique/roland_leon0879r3.html", "roland_leon0879r3")</f>
        <v>0</v>
      </c>
      <c r="N12573">
        <f>HYPERLINK("https://www.wikidata.org/wiki/Q3271306", "Q3271306")</f>
        <v>0</v>
      </c>
      <c r="O12573" t="s">
        <v>19989</v>
      </c>
      <c r="Q12573" t="s">
        <v>401</v>
      </c>
      <c r="R12573" t="s">
        <v>16129</v>
      </c>
      <c r="S12573">
        <v>1455</v>
      </c>
    </row>
    <row r="12574" spans="1:19">
      <c r="A12574" t="s">
        <v>140</v>
      </c>
      <c r="B12574" t="s">
        <v>150</v>
      </c>
      <c r="C12574" t="s">
        <v>272</v>
      </c>
      <c r="D12574" t="s">
        <v>401</v>
      </c>
      <c r="F12574">
        <f>HYPERLINK("https://www.wikidata.org/wiki/Q111103103", "Q111103103")</f>
        <v>0</v>
      </c>
      <c r="G12574" t="s">
        <v>5047</v>
      </c>
      <c r="H12574" t="s">
        <v>9179</v>
      </c>
      <c r="I12574" t="s">
        <v>6759</v>
      </c>
      <c r="J12574" t="s">
        <v>12031</v>
      </c>
      <c r="K12574" t="s">
        <v>19772</v>
      </c>
      <c r="M12574">
        <f>HYPERLINK("https://www.senat.fr/senateur-3eme-republique/leneveu_robert0908r3.html", "leneveu_robert0908r3")</f>
        <v>0</v>
      </c>
      <c r="N12574">
        <f>HYPERLINK("https://www.wikidata.org/wiki/Q3435735", "Q3435735")</f>
        <v>0</v>
      </c>
      <c r="O12574" t="s">
        <v>19957</v>
      </c>
      <c r="Q12574" t="s">
        <v>401</v>
      </c>
      <c r="R12574" t="s">
        <v>21279</v>
      </c>
      <c r="S12574">
        <v>2554</v>
      </c>
    </row>
    <row r="12575" spans="1:19">
      <c r="A12575" t="s">
        <v>140</v>
      </c>
      <c r="B12575" t="s">
        <v>150</v>
      </c>
      <c r="C12575" t="s">
        <v>272</v>
      </c>
      <c r="D12575" t="s">
        <v>401</v>
      </c>
      <c r="F12575">
        <f>HYPERLINK("https://www.wikidata.org/wiki/Q111103103", "Q111103103")</f>
        <v>0</v>
      </c>
      <c r="G12575" t="s">
        <v>5048</v>
      </c>
      <c r="H12575" t="s">
        <v>9180</v>
      </c>
      <c r="I12575" t="s">
        <v>9458</v>
      </c>
      <c r="J12575" t="s">
        <v>15461</v>
      </c>
      <c r="K12575" t="s">
        <v>19773</v>
      </c>
      <c r="M12575">
        <f>HYPERLINK("https://www.senat.fr/senateur-3eme-republique/oriot_alfred0919r3.html", "oriot_alfred0919r3")</f>
        <v>0</v>
      </c>
      <c r="N12575">
        <f>HYPERLINK("https://www.wikidata.org/wiki/Q2835377", "Q2835377")</f>
        <v>0</v>
      </c>
      <c r="O12575" t="s">
        <v>19957</v>
      </c>
      <c r="Q12575" t="s">
        <v>401</v>
      </c>
      <c r="R12575" t="s">
        <v>21279</v>
      </c>
      <c r="S12575">
        <v>2554</v>
      </c>
    </row>
    <row r="12576" spans="1:19">
      <c r="A12576" t="s">
        <v>140</v>
      </c>
      <c r="B12576" t="s">
        <v>150</v>
      </c>
      <c r="C12576" t="s">
        <v>272</v>
      </c>
      <c r="D12576" t="s">
        <v>401</v>
      </c>
      <c r="F12576">
        <f>HYPERLINK("https://www.wikidata.org/wiki/Q111103103", "Q111103103")</f>
        <v>0</v>
      </c>
      <c r="G12576" t="s">
        <v>4801</v>
      </c>
      <c r="H12576" t="s">
        <v>8941</v>
      </c>
      <c r="I12576" t="s">
        <v>9388</v>
      </c>
      <c r="J12576" t="s">
        <v>15262</v>
      </c>
      <c r="K12576" t="s">
        <v>19569</v>
      </c>
      <c r="M12576">
        <f>HYPERLINK("https://www.senat.fr/senateur-3eme-republique/fleury_paul0896r3.html", "fleury_paul0896r3")</f>
        <v>0</v>
      </c>
      <c r="N12576">
        <f>HYPERLINK("https://www.wikidata.org/wiki/Q3371217", "Q3371217")</f>
        <v>0</v>
      </c>
      <c r="O12576" t="s">
        <v>19957</v>
      </c>
      <c r="Q12576" t="s">
        <v>401</v>
      </c>
      <c r="R12576" t="s">
        <v>21279</v>
      </c>
      <c r="S12576">
        <v>2554</v>
      </c>
    </row>
    <row r="12577" spans="1:19">
      <c r="A12577" t="s">
        <v>140</v>
      </c>
      <c r="B12577" t="s">
        <v>150</v>
      </c>
      <c r="C12577" t="s">
        <v>272</v>
      </c>
      <c r="D12577" t="s">
        <v>401</v>
      </c>
      <c r="F12577">
        <f>HYPERLINK("https://www.wikidata.org/wiki/Q111103103", "Q111103103")</f>
        <v>0</v>
      </c>
      <c r="G12577" t="s">
        <v>5049</v>
      </c>
      <c r="H12577" t="s">
        <v>9181</v>
      </c>
      <c r="I12577" t="s">
        <v>9457</v>
      </c>
      <c r="J12577" t="s">
        <v>15472</v>
      </c>
      <c r="K12577" t="s">
        <v>19051</v>
      </c>
      <c r="M12577">
        <f>HYPERLINK("https://www.senat.fr/senateur-3eme-republique/bachelet_henri0973r3.html", "bachelet_henri0973r3")</f>
        <v>0</v>
      </c>
      <c r="N12577">
        <f>HYPERLINK("https://www.wikidata.org/wiki/Q3130598", "Q3130598")</f>
        <v>0</v>
      </c>
      <c r="O12577" t="s">
        <v>19968</v>
      </c>
      <c r="Q12577" t="s">
        <v>401</v>
      </c>
      <c r="R12577" t="s">
        <v>21279</v>
      </c>
      <c r="S12577">
        <v>2554</v>
      </c>
    </row>
    <row r="12578" spans="1:19">
      <c r="A12578" t="s">
        <v>140</v>
      </c>
      <c r="B12578" t="s">
        <v>150</v>
      </c>
      <c r="C12578" t="s">
        <v>272</v>
      </c>
      <c r="D12578" t="s">
        <v>401</v>
      </c>
      <c r="F12578">
        <f>HYPERLINK("https://www.wikidata.org/wiki/Q111103103", "Q111103103")</f>
        <v>0</v>
      </c>
      <c r="G12578" t="s">
        <v>5050</v>
      </c>
      <c r="H12578" t="s">
        <v>9182</v>
      </c>
      <c r="I12578" t="s">
        <v>7308</v>
      </c>
      <c r="J12578" t="s">
        <v>15473</v>
      </c>
      <c r="K12578" t="s">
        <v>16848</v>
      </c>
      <c r="M12578">
        <f>HYPERLINK("https://www.senat.fr/senateur-3eme-republique/farjon_roger0971r3.html", "farjon_roger0971r3")</f>
        <v>0</v>
      </c>
      <c r="N12578">
        <f>HYPERLINK("https://www.wikidata.org/wiki/Q3438947", "Q3438947")</f>
        <v>0</v>
      </c>
      <c r="O12578" t="s">
        <v>19968</v>
      </c>
      <c r="Q12578" t="s">
        <v>401</v>
      </c>
      <c r="R12578" t="s">
        <v>21279</v>
      </c>
      <c r="S12578">
        <v>2554</v>
      </c>
    </row>
    <row r="12579" spans="1:19">
      <c r="A12579" t="s">
        <v>140</v>
      </c>
      <c r="B12579" t="s">
        <v>150</v>
      </c>
      <c r="C12579" t="s">
        <v>272</v>
      </c>
      <c r="D12579" t="s">
        <v>401</v>
      </c>
      <c r="F12579">
        <f>HYPERLINK("https://www.wikidata.org/wiki/Q111103103", "Q111103103")</f>
        <v>0</v>
      </c>
      <c r="G12579" t="s">
        <v>5051</v>
      </c>
      <c r="H12579" t="s">
        <v>9183</v>
      </c>
      <c r="I12579" t="s">
        <v>9465</v>
      </c>
      <c r="J12579" t="s">
        <v>15474</v>
      </c>
      <c r="K12579" t="s">
        <v>18967</v>
      </c>
      <c r="M12579">
        <f>HYPERLINK("https://www.senat.fr/senateur-3eme-republique/ruffier_eugene1122r3.html", "ruffier_eugene1122r3")</f>
        <v>0</v>
      </c>
      <c r="N12579">
        <f>HYPERLINK("https://www.wikidata.org/wiki/Q3060159", "Q3060159")</f>
        <v>0</v>
      </c>
      <c r="O12579" t="s">
        <v>19965</v>
      </c>
      <c r="Q12579" t="s">
        <v>401</v>
      </c>
      <c r="R12579" t="s">
        <v>18967</v>
      </c>
      <c r="S12579">
        <v>1494</v>
      </c>
    </row>
    <row r="12580" spans="1:19">
      <c r="A12580" t="s">
        <v>140</v>
      </c>
      <c r="B12580" t="s">
        <v>150</v>
      </c>
      <c r="C12580" t="s">
        <v>272</v>
      </c>
      <c r="D12580" t="s">
        <v>401</v>
      </c>
      <c r="F12580">
        <f>HYPERLINK("https://www.wikidata.org/wiki/Q111103103", "Q111103103")</f>
        <v>0</v>
      </c>
      <c r="G12580" t="s">
        <v>4851</v>
      </c>
      <c r="H12580" t="s">
        <v>8991</v>
      </c>
      <c r="I12580" t="s">
        <v>10017</v>
      </c>
      <c r="J12580" t="s">
        <v>15301</v>
      </c>
      <c r="K12580" t="s">
        <v>19610</v>
      </c>
      <c r="M12580">
        <f>HYPERLINK("https://www.senat.fr/senateur-3eme-republique/gourju_antonin1136r3.html", "gourju_antonin1136r3")</f>
        <v>0</v>
      </c>
      <c r="N12580">
        <f>HYPERLINK("https://www.wikidata.org/wiki/Q2857119", "Q2857119")</f>
        <v>0</v>
      </c>
      <c r="O12580" t="s">
        <v>19965</v>
      </c>
      <c r="Q12580" t="s">
        <v>401</v>
      </c>
      <c r="R12580" t="s">
        <v>21650</v>
      </c>
      <c r="S12580">
        <v>9415</v>
      </c>
    </row>
    <row r="12581" spans="1:19">
      <c r="A12581" t="s">
        <v>140</v>
      </c>
      <c r="B12581" t="s">
        <v>150</v>
      </c>
      <c r="C12581" t="s">
        <v>272</v>
      </c>
      <c r="D12581" t="s">
        <v>401</v>
      </c>
      <c r="F12581">
        <f>HYPERLINK("https://www.wikidata.org/wiki/Q111103103", "Q111103103")</f>
        <v>0</v>
      </c>
      <c r="G12581" t="s">
        <v>5052</v>
      </c>
      <c r="H12581" t="s">
        <v>9184</v>
      </c>
      <c r="I12581" t="s">
        <v>9388</v>
      </c>
      <c r="J12581" t="s">
        <v>15475</v>
      </c>
      <c r="K12581" t="s">
        <v>19774</v>
      </c>
      <c r="M12581">
        <f>HYPERLINK("https://www.senat.fr/senateur-3eme-republique/duquaire_paul1130r3.html", "duquaire_paul1130r3")</f>
        <v>0</v>
      </c>
      <c r="N12581">
        <f>HYPERLINK("https://www.wikidata.org/wiki/Q3371139", "Q3371139")</f>
        <v>0</v>
      </c>
      <c r="O12581" t="s">
        <v>19965</v>
      </c>
      <c r="Q12581" t="s">
        <v>401</v>
      </c>
      <c r="R12581" t="s">
        <v>21279</v>
      </c>
      <c r="S12581">
        <v>2554</v>
      </c>
    </row>
    <row r="12582" spans="1:19">
      <c r="A12582" t="s">
        <v>140</v>
      </c>
      <c r="B12582" t="s">
        <v>150</v>
      </c>
      <c r="C12582" t="s">
        <v>272</v>
      </c>
      <c r="D12582" t="s">
        <v>401</v>
      </c>
      <c r="F12582">
        <f>HYPERLINK("https://www.wikidata.org/wiki/Q111103103", "Q111103103")</f>
        <v>0</v>
      </c>
      <c r="G12582" t="s">
        <v>5053</v>
      </c>
      <c r="H12582" t="s">
        <v>9185</v>
      </c>
      <c r="I12582" t="s">
        <v>9465</v>
      </c>
      <c r="J12582" t="s">
        <v>15476</v>
      </c>
      <c r="K12582" t="s">
        <v>19775</v>
      </c>
      <c r="M12582">
        <f>HYPERLINK("https://www.senat.fr/senateur-3eme-republique/bussy_eugene1144r3.html", "bussy_eugene1144r3")</f>
        <v>0</v>
      </c>
      <c r="N12582">
        <f>HYPERLINK("https://www.wikidata.org/wiki/Q3059755", "Q3059755")</f>
        <v>0</v>
      </c>
      <c r="O12582" t="s">
        <v>19965</v>
      </c>
      <c r="Q12582" t="s">
        <v>401</v>
      </c>
      <c r="R12582" t="s">
        <v>21279</v>
      </c>
      <c r="S12582">
        <v>2554</v>
      </c>
    </row>
    <row r="12583" spans="1:19">
      <c r="A12583" t="s">
        <v>140</v>
      </c>
      <c r="B12583" t="s">
        <v>150</v>
      </c>
      <c r="C12583" t="s">
        <v>272</v>
      </c>
      <c r="D12583" t="s">
        <v>401</v>
      </c>
      <c r="F12583">
        <f>HYPERLINK("https://www.wikidata.org/wiki/Q111103103", "Q111103103")</f>
        <v>0</v>
      </c>
      <c r="G12583" t="s">
        <v>5054</v>
      </c>
      <c r="H12583" t="s">
        <v>9186</v>
      </c>
      <c r="I12583" t="s">
        <v>6200</v>
      </c>
      <c r="J12583" t="s">
        <v>15477</v>
      </c>
      <c r="K12583" t="s">
        <v>19776</v>
      </c>
      <c r="M12583">
        <f>HYPERLINK("https://www.senat.fr/senateur-3eme-republique/coignet_jean1150r3.html", "coignet_jean1150r3")</f>
        <v>0</v>
      </c>
      <c r="N12583">
        <f>HYPERLINK("https://www.wikidata.org/wiki/Q3171366", "Q3171366")</f>
        <v>0</v>
      </c>
      <c r="O12583" t="s">
        <v>19965</v>
      </c>
      <c r="Q12583" t="s">
        <v>401</v>
      </c>
      <c r="R12583" t="s">
        <v>21279</v>
      </c>
      <c r="S12583">
        <v>2554</v>
      </c>
    </row>
    <row r="12584" spans="1:19">
      <c r="A12584" t="s">
        <v>140</v>
      </c>
      <c r="B12584" t="s">
        <v>150</v>
      </c>
      <c r="C12584" t="s">
        <v>272</v>
      </c>
      <c r="D12584" t="s">
        <v>401</v>
      </c>
      <c r="F12584">
        <f>HYPERLINK("https://www.wikidata.org/wiki/Q111103103", "Q111103103")</f>
        <v>0</v>
      </c>
      <c r="G12584" t="s">
        <v>5055</v>
      </c>
      <c r="H12584" t="s">
        <v>9187</v>
      </c>
      <c r="I12584" t="s">
        <v>9391</v>
      </c>
      <c r="J12584" t="s">
        <v>15478</v>
      </c>
      <c r="K12584" t="s">
        <v>19777</v>
      </c>
      <c r="M12584">
        <f>HYPERLINK("https://www.senat.fr/senateur-3eme-republique/desgranges_claude1226r3.html", "desgranges_claude1226r3")</f>
        <v>0</v>
      </c>
      <c r="N12584">
        <f>HYPERLINK("https://www.wikidata.org/wiki/Q2977279", "Q2977279")</f>
        <v>0</v>
      </c>
      <c r="O12584" t="s">
        <v>19994</v>
      </c>
      <c r="Q12584" t="s">
        <v>401</v>
      </c>
      <c r="R12584" t="s">
        <v>19777</v>
      </c>
      <c r="S12584">
        <v>426</v>
      </c>
    </row>
    <row r="12585" spans="1:19">
      <c r="A12585" t="s">
        <v>140</v>
      </c>
      <c r="B12585" t="s">
        <v>150</v>
      </c>
      <c r="C12585" t="s">
        <v>272</v>
      </c>
      <c r="D12585" t="s">
        <v>401</v>
      </c>
      <c r="F12585">
        <f>HYPERLINK("https://www.wikidata.org/wiki/Q111103103", "Q111103103")</f>
        <v>0</v>
      </c>
      <c r="G12585" t="s">
        <v>5056</v>
      </c>
      <c r="H12585" t="s">
        <v>9188</v>
      </c>
      <c r="I12585" t="s">
        <v>9388</v>
      </c>
      <c r="J12585" t="s">
        <v>11901</v>
      </c>
      <c r="K12585" t="s">
        <v>19778</v>
      </c>
      <c r="M12585">
        <f>HYPERLINK("https://www.senat.fr/senateur-3eme-republique/gerbe_paul1230r3.html", "gerbe_paul1230r3")</f>
        <v>0</v>
      </c>
      <c r="N12585">
        <f>HYPERLINK("https://www.wikidata.org/wiki/Q3371305", "Q3371305")</f>
        <v>0</v>
      </c>
      <c r="O12585" t="s">
        <v>19994</v>
      </c>
      <c r="Q12585" t="s">
        <v>401</v>
      </c>
      <c r="R12585" t="s">
        <v>19778</v>
      </c>
      <c r="S12585">
        <v>1865</v>
      </c>
    </row>
    <row r="12586" spans="1:19">
      <c r="A12586" t="s">
        <v>140</v>
      </c>
      <c r="B12586" t="s">
        <v>150</v>
      </c>
      <c r="C12586" t="s">
        <v>272</v>
      </c>
      <c r="D12586" t="s">
        <v>401</v>
      </c>
      <c r="F12586">
        <f>HYPERLINK("https://www.wikidata.org/wiki/Q111103103", "Q111103103")</f>
        <v>0</v>
      </c>
      <c r="G12586" t="s">
        <v>4937</v>
      </c>
      <c r="H12586" t="s">
        <v>9072</v>
      </c>
      <c r="I12586" t="s">
        <v>6200</v>
      </c>
      <c r="J12586" t="s">
        <v>15379</v>
      </c>
      <c r="K12586" t="s">
        <v>19680</v>
      </c>
      <c r="M12586">
        <f>HYPERLINK("https://www.senat.fr/senateur-3eme-republique/richard_jean1211r3.html", "richard_jean1211r3")</f>
        <v>0</v>
      </c>
      <c r="N12586">
        <f>HYPERLINK("https://www.wikidata.org/wiki/Q3174311", "Q3174311")</f>
        <v>0</v>
      </c>
      <c r="O12586" t="s">
        <v>19994</v>
      </c>
      <c r="Q12586" t="s">
        <v>401</v>
      </c>
      <c r="R12586" t="s">
        <v>21279</v>
      </c>
      <c r="S12586">
        <v>2554</v>
      </c>
    </row>
    <row r="12587" spans="1:19">
      <c r="A12587" t="s">
        <v>140</v>
      </c>
      <c r="B12587" t="s">
        <v>150</v>
      </c>
      <c r="C12587" t="s">
        <v>272</v>
      </c>
      <c r="D12587" t="s">
        <v>401</v>
      </c>
      <c r="F12587">
        <f>HYPERLINK("https://www.wikidata.org/wiki/Q111103103", "Q111103103")</f>
        <v>0</v>
      </c>
      <c r="G12587" t="s">
        <v>4635</v>
      </c>
      <c r="H12587" t="s">
        <v>8778</v>
      </c>
      <c r="I12587" t="s">
        <v>6495</v>
      </c>
      <c r="J12587" t="s">
        <v>15090</v>
      </c>
      <c r="K12587" t="s">
        <v>19430</v>
      </c>
      <c r="M12587">
        <f>HYPERLINK("https://www.senat.fr/senateur-3eme-republique/cordelet_louis1239r3.html", "cordelet_louis1239r3")</f>
        <v>0</v>
      </c>
      <c r="N12587">
        <f>HYPERLINK("https://www.wikidata.org/wiki/Q3261588", "Q3261588")</f>
        <v>0</v>
      </c>
      <c r="O12587" t="s">
        <v>19956</v>
      </c>
      <c r="Q12587" t="s">
        <v>401</v>
      </c>
      <c r="R12587" t="s">
        <v>21650</v>
      </c>
      <c r="S12587">
        <v>9415</v>
      </c>
    </row>
    <row r="12588" spans="1:19">
      <c r="A12588" t="s">
        <v>140</v>
      </c>
      <c r="B12588" t="s">
        <v>150</v>
      </c>
      <c r="C12588" t="s">
        <v>272</v>
      </c>
      <c r="D12588" t="s">
        <v>401</v>
      </c>
      <c r="F12588">
        <f>HYPERLINK("https://www.wikidata.org/wiki/Q111103103", "Q111103103")</f>
        <v>0</v>
      </c>
      <c r="G12588" t="s">
        <v>4952</v>
      </c>
      <c r="H12588" t="s">
        <v>9086</v>
      </c>
      <c r="I12588" t="s">
        <v>6585</v>
      </c>
      <c r="J12588" t="s">
        <v>15392</v>
      </c>
      <c r="K12588" t="s">
        <v>19690</v>
      </c>
      <c r="M12588">
        <f>HYPERLINK("https://www.senat.fr/senateur-3eme-republique/lebert_andre1248r3.html", "lebert_andre1248r3")</f>
        <v>0</v>
      </c>
      <c r="N12588">
        <f>HYPERLINK("https://www.wikidata.org/wiki/Q2848126", "Q2848126")</f>
        <v>0</v>
      </c>
      <c r="O12588" t="s">
        <v>19956</v>
      </c>
      <c r="Q12588" t="s">
        <v>401</v>
      </c>
      <c r="R12588" t="s">
        <v>21279</v>
      </c>
      <c r="S12588">
        <v>2554</v>
      </c>
    </row>
    <row r="12589" spans="1:19">
      <c r="A12589" t="s">
        <v>140</v>
      </c>
      <c r="B12589" t="s">
        <v>150</v>
      </c>
      <c r="C12589" t="s">
        <v>272</v>
      </c>
      <c r="D12589" t="s">
        <v>401</v>
      </c>
      <c r="F12589">
        <f>HYPERLINK("https://www.wikidata.org/wiki/Q111103103", "Q111103103")</f>
        <v>0</v>
      </c>
      <c r="G12589" t="s">
        <v>5057</v>
      </c>
      <c r="H12589" t="s">
        <v>9189</v>
      </c>
      <c r="I12589" t="s">
        <v>6175</v>
      </c>
      <c r="J12589" t="s">
        <v>15479</v>
      </c>
      <c r="K12589" t="s">
        <v>19779</v>
      </c>
      <c r="M12589">
        <f>HYPERLINK("https://www.senat.fr/senateur-3eme-republique/machet_georges1302r3.html", "machet_georges1302r3")</f>
        <v>0</v>
      </c>
      <c r="N12589">
        <f>HYPERLINK("https://www.wikidata.org/wiki/Q3103133", "Q3103133")</f>
        <v>0</v>
      </c>
      <c r="O12589" t="s">
        <v>19988</v>
      </c>
      <c r="Q12589" t="s">
        <v>401</v>
      </c>
      <c r="R12589" t="s">
        <v>21279</v>
      </c>
      <c r="S12589">
        <v>2554</v>
      </c>
    </row>
    <row r="12590" spans="1:19">
      <c r="A12590" t="s">
        <v>140</v>
      </c>
      <c r="B12590" t="s">
        <v>150</v>
      </c>
      <c r="C12590" t="s">
        <v>272</v>
      </c>
      <c r="D12590" t="s">
        <v>401</v>
      </c>
      <c r="F12590">
        <f>HYPERLINK("https://www.wikidata.org/wiki/Q111103103", "Q111103103")</f>
        <v>0</v>
      </c>
      <c r="G12590" t="s">
        <v>5058</v>
      </c>
      <c r="H12590" t="s">
        <v>9190</v>
      </c>
      <c r="I12590" t="s">
        <v>7642</v>
      </c>
      <c r="J12590" t="s">
        <v>15480</v>
      </c>
      <c r="K12590" t="s">
        <v>19780</v>
      </c>
      <c r="M12590">
        <f>HYPERLINK("https://www.senat.fr/senateur-3eme-republique/mollard_maurice1297r3.html", "mollard_maurice1297r3")</f>
        <v>0</v>
      </c>
      <c r="N12590">
        <f>HYPERLINK("https://www.wikidata.org/wiki/Q3301172", "Q3301172")</f>
        <v>0</v>
      </c>
      <c r="O12590" t="s">
        <v>19988</v>
      </c>
      <c r="Q12590" t="s">
        <v>401</v>
      </c>
      <c r="R12590" t="s">
        <v>21279</v>
      </c>
      <c r="S12590">
        <v>2554</v>
      </c>
    </row>
    <row r="12591" spans="1:19">
      <c r="A12591" t="s">
        <v>140</v>
      </c>
      <c r="B12591" t="s">
        <v>150</v>
      </c>
      <c r="C12591" t="s">
        <v>272</v>
      </c>
      <c r="D12591" t="s">
        <v>401</v>
      </c>
      <c r="F12591">
        <f>HYPERLINK("https://www.wikidata.org/wiki/Q111103103", "Q111103103")</f>
        <v>0</v>
      </c>
      <c r="G12591" t="s">
        <v>4976</v>
      </c>
      <c r="H12591" t="s">
        <v>9109</v>
      </c>
      <c r="I12591" t="s">
        <v>6166</v>
      </c>
      <c r="J12591" t="s">
        <v>12313</v>
      </c>
      <c r="K12591" t="s">
        <v>19713</v>
      </c>
      <c r="M12591">
        <f>HYPERLINK("https://www.senat.fr/senateur-3eme-republique/milan_francois1305r3.html", "milan_francois1305r3")</f>
        <v>0</v>
      </c>
      <c r="N12591">
        <f>HYPERLINK("https://www.wikidata.org/wiki/Q3085361", "Q3085361")</f>
        <v>0</v>
      </c>
      <c r="O12591" t="s">
        <v>19988</v>
      </c>
      <c r="Q12591" t="s">
        <v>401</v>
      </c>
      <c r="R12591" t="s">
        <v>21279</v>
      </c>
      <c r="S12591">
        <v>2554</v>
      </c>
    </row>
    <row r="12592" spans="1:19">
      <c r="A12592" t="s">
        <v>140</v>
      </c>
      <c r="B12592" t="s">
        <v>150</v>
      </c>
      <c r="C12592" t="s">
        <v>272</v>
      </c>
      <c r="D12592" t="s">
        <v>401</v>
      </c>
      <c r="F12592">
        <f>HYPERLINK("https://www.wikidata.org/wiki/Q111103103", "Q111103103")</f>
        <v>0</v>
      </c>
      <c r="G12592" t="s">
        <v>4977</v>
      </c>
      <c r="H12592" t="s">
        <v>9110</v>
      </c>
      <c r="I12592" t="s">
        <v>9388</v>
      </c>
      <c r="J12592" t="s">
        <v>15413</v>
      </c>
      <c r="K12592" t="s">
        <v>19714</v>
      </c>
      <c r="M12592">
        <f>HYPERLINK("https://www.senat.fr/senateur-3eme-republique/magny_paul1561r3.html", "magny_paul1561r3")</f>
        <v>0</v>
      </c>
      <c r="N12592">
        <f>HYPERLINK("https://www.wikidata.org/wiki/Q3371747", "Q3371747")</f>
        <v>0</v>
      </c>
      <c r="O12592" t="s">
        <v>19969</v>
      </c>
      <c r="Q12592" t="s">
        <v>401</v>
      </c>
      <c r="R12592" t="s">
        <v>21650</v>
      </c>
      <c r="S12592">
        <v>9415</v>
      </c>
    </row>
    <row r="12593" spans="1:19">
      <c r="A12593" t="s">
        <v>140</v>
      </c>
      <c r="B12593" t="s">
        <v>150</v>
      </c>
      <c r="C12593" t="s">
        <v>272</v>
      </c>
      <c r="D12593" t="s">
        <v>401</v>
      </c>
      <c r="F12593">
        <f>HYPERLINK("https://www.wikidata.org/wiki/Q111103103", "Q111103103")</f>
        <v>0</v>
      </c>
      <c r="G12593" t="s">
        <v>4910</v>
      </c>
      <c r="H12593" t="s">
        <v>9046</v>
      </c>
      <c r="I12593" t="s">
        <v>9458</v>
      </c>
      <c r="J12593" t="s">
        <v>15353</v>
      </c>
      <c r="K12593" t="s">
        <v>19658</v>
      </c>
      <c r="M12593">
        <f>HYPERLINK("https://www.senat.fr/senateur-3eme-republique/mascuraud_alfred1564r3.html", "mascuraud_alfred1564r3")</f>
        <v>0</v>
      </c>
      <c r="N12593">
        <f>HYPERLINK("https://www.wikidata.org/wiki/Q2835312", "Q2835312")</f>
        <v>0</v>
      </c>
      <c r="O12593" t="s">
        <v>19969</v>
      </c>
      <c r="Q12593" t="s">
        <v>401</v>
      </c>
      <c r="R12593" t="s">
        <v>21650</v>
      </c>
      <c r="S12593">
        <v>9415</v>
      </c>
    </row>
    <row r="12594" spans="1:19">
      <c r="A12594" t="s">
        <v>140</v>
      </c>
      <c r="B12594" t="s">
        <v>150</v>
      </c>
      <c r="C12594" t="s">
        <v>272</v>
      </c>
      <c r="D12594" t="s">
        <v>401</v>
      </c>
      <c r="F12594">
        <f>HYPERLINK("https://www.wikidata.org/wiki/Q111103103", "Q111103103")</f>
        <v>0</v>
      </c>
      <c r="G12594" t="s">
        <v>4929</v>
      </c>
      <c r="H12594" t="s">
        <v>9065</v>
      </c>
      <c r="I12594" t="s">
        <v>9552</v>
      </c>
      <c r="J12594" t="s">
        <v>15371</v>
      </c>
      <c r="K12594" t="s">
        <v>19674</v>
      </c>
      <c r="M12594">
        <f>HYPERLINK("https://www.senat.fr/senateur-3eme-republique/ranson_auguste1566r3.html", "ranson_auguste1566r3")</f>
        <v>0</v>
      </c>
      <c r="N12594">
        <f>HYPERLINK("https://www.wikidata.org/wiki/Q2871369", "Q2871369")</f>
        <v>0</v>
      </c>
      <c r="O12594" t="s">
        <v>19969</v>
      </c>
      <c r="Q12594" t="s">
        <v>401</v>
      </c>
      <c r="R12594" t="s">
        <v>21650</v>
      </c>
      <c r="S12594">
        <v>9415</v>
      </c>
    </row>
    <row r="12595" spans="1:19">
      <c r="A12595" t="s">
        <v>140</v>
      </c>
      <c r="B12595" t="s">
        <v>150</v>
      </c>
      <c r="C12595" t="s">
        <v>272</v>
      </c>
      <c r="D12595" t="s">
        <v>401</v>
      </c>
      <c r="F12595">
        <f>HYPERLINK("https://www.wikidata.org/wiki/Q111103103", "Q111103103")</f>
        <v>0</v>
      </c>
      <c r="G12595" t="s">
        <v>5059</v>
      </c>
      <c r="H12595" t="s">
        <v>9191</v>
      </c>
      <c r="I12595" t="s">
        <v>9512</v>
      </c>
      <c r="J12595" t="s">
        <v>11684</v>
      </c>
      <c r="K12595" t="s">
        <v>19781</v>
      </c>
      <c r="M12595">
        <f>HYPERLINK("https://www.senat.fr/senateur-3eme-republique/levy_raphael1350r3.html", "levy_raphael1350r3")</f>
        <v>0</v>
      </c>
      <c r="N12595">
        <f>HYPERLINK("https://www.wikidata.org/wiki/Q3419384", "Q3419384")</f>
        <v>0</v>
      </c>
      <c r="O12595" t="s">
        <v>19969</v>
      </c>
      <c r="Q12595" t="s">
        <v>401</v>
      </c>
      <c r="R12595" t="s">
        <v>21279</v>
      </c>
      <c r="S12595">
        <v>2554</v>
      </c>
    </row>
    <row r="12596" spans="1:19">
      <c r="A12596" t="s">
        <v>140</v>
      </c>
      <c r="B12596" t="s">
        <v>150</v>
      </c>
      <c r="C12596" t="s">
        <v>272</v>
      </c>
      <c r="D12596" t="s">
        <v>401</v>
      </c>
      <c r="F12596">
        <f>HYPERLINK("https://www.wikidata.org/wiki/Q111103103", "Q111103103")</f>
        <v>0</v>
      </c>
      <c r="G12596" t="s">
        <v>5060</v>
      </c>
      <c r="H12596" t="s">
        <v>9192</v>
      </c>
      <c r="I12596" t="s">
        <v>9442</v>
      </c>
      <c r="J12596" t="s">
        <v>15481</v>
      </c>
      <c r="K12596" t="s">
        <v>19782</v>
      </c>
      <c r="M12596">
        <f>HYPERLINK("https://www.senat.fr/senateur-3eme-republique/billiet_ernest1330r3.html", "billiet_ernest1330r3")</f>
        <v>0</v>
      </c>
      <c r="N12596">
        <f>HYPERLINK("https://www.wikidata.org/wiki/Q3056845", "Q3056845")</f>
        <v>0</v>
      </c>
      <c r="O12596" t="s">
        <v>19969</v>
      </c>
      <c r="Q12596" t="s">
        <v>401</v>
      </c>
      <c r="R12596" t="s">
        <v>21279</v>
      </c>
      <c r="S12596">
        <v>2554</v>
      </c>
    </row>
    <row r="12597" spans="1:19">
      <c r="A12597" t="s">
        <v>140</v>
      </c>
      <c r="B12597" t="s">
        <v>150</v>
      </c>
      <c r="C12597" t="s">
        <v>272</v>
      </c>
      <c r="D12597" t="s">
        <v>401</v>
      </c>
      <c r="F12597">
        <f>HYPERLINK("https://www.wikidata.org/wiki/Q111103103", "Q111103103")</f>
        <v>0</v>
      </c>
      <c r="G12597" t="s">
        <v>5061</v>
      </c>
      <c r="H12597" t="s">
        <v>9193</v>
      </c>
      <c r="I12597" t="s">
        <v>6495</v>
      </c>
      <c r="J12597" t="s">
        <v>15482</v>
      </c>
      <c r="K12597" t="s">
        <v>16558</v>
      </c>
      <c r="M12597">
        <f>HYPERLINK("https://www.senat.fr/senateur-3eme-republique/dausset_louis1362r3.html", "dausset_louis1362r3")</f>
        <v>0</v>
      </c>
      <c r="N12597">
        <f>HYPERLINK("https://www.wikidata.org/wiki/Q3261658", "Q3261658")</f>
        <v>0</v>
      </c>
      <c r="O12597" t="s">
        <v>19969</v>
      </c>
      <c r="Q12597" t="s">
        <v>401</v>
      </c>
      <c r="R12597" t="s">
        <v>21279</v>
      </c>
      <c r="S12597">
        <v>2554</v>
      </c>
    </row>
    <row r="12598" spans="1:19">
      <c r="A12598" t="s">
        <v>140</v>
      </c>
      <c r="B12598" t="s">
        <v>150</v>
      </c>
      <c r="C12598" t="s">
        <v>272</v>
      </c>
      <c r="D12598" t="s">
        <v>401</v>
      </c>
      <c r="F12598">
        <f>HYPERLINK("https://www.wikidata.org/wiki/Q111103103", "Q111103103")</f>
        <v>0</v>
      </c>
      <c r="G12598" t="s">
        <v>4334</v>
      </c>
      <c r="H12598" t="s">
        <v>8485</v>
      </c>
      <c r="I12598" t="s">
        <v>9388</v>
      </c>
      <c r="J12598" t="s">
        <v>14829</v>
      </c>
      <c r="K12598" t="s">
        <v>19170</v>
      </c>
      <c r="M12598">
        <f>HYPERLINK("https://www.senat.fr/senateur-3eme-republique/strauss_paul1334r3.html", "strauss_paul1334r3")</f>
        <v>0</v>
      </c>
      <c r="N12598">
        <f>HYPERLINK("https://www.wikidata.org/wiki/Q3372237", "Q3372237")</f>
        <v>0</v>
      </c>
      <c r="O12598" t="s">
        <v>19969</v>
      </c>
      <c r="Q12598" t="s">
        <v>401</v>
      </c>
      <c r="R12598" t="s">
        <v>21279</v>
      </c>
      <c r="S12598">
        <v>2554</v>
      </c>
    </row>
    <row r="12599" spans="1:19">
      <c r="A12599" t="s">
        <v>140</v>
      </c>
      <c r="B12599" t="s">
        <v>150</v>
      </c>
      <c r="C12599" t="s">
        <v>272</v>
      </c>
      <c r="D12599" t="s">
        <v>401</v>
      </c>
      <c r="F12599">
        <f>HYPERLINK("https://www.wikidata.org/wiki/Q111103103", "Q111103103")</f>
        <v>0</v>
      </c>
      <c r="G12599" t="s">
        <v>4753</v>
      </c>
      <c r="H12599" t="s">
        <v>8896</v>
      </c>
      <c r="I12599" t="s">
        <v>7419</v>
      </c>
      <c r="J12599" t="s">
        <v>15216</v>
      </c>
      <c r="K12599" t="s">
        <v>19532</v>
      </c>
      <c r="M12599">
        <f>HYPERLINK("https://www.senat.fr/senateur-3eme-republique/regismanset_jacques1588r3.html", "regismanset_jacques1588r3")</f>
        <v>0</v>
      </c>
      <c r="N12599">
        <f>HYPERLINK("https://www.wikidata.org/wiki/Q3159847", "Q3159847")</f>
        <v>0</v>
      </c>
      <c r="O12599" t="s">
        <v>20026</v>
      </c>
      <c r="Q12599" t="s">
        <v>401</v>
      </c>
      <c r="R12599" t="s">
        <v>21650</v>
      </c>
      <c r="S12599">
        <v>9415</v>
      </c>
    </row>
    <row r="12600" spans="1:19">
      <c r="A12600" t="s">
        <v>140</v>
      </c>
      <c r="B12600" t="s">
        <v>150</v>
      </c>
      <c r="C12600" t="s">
        <v>272</v>
      </c>
      <c r="D12600" t="s">
        <v>401</v>
      </c>
      <c r="F12600">
        <f>HYPERLINK("https://www.wikidata.org/wiki/Q111103103", "Q111103103")</f>
        <v>0</v>
      </c>
      <c r="G12600" t="s">
        <v>4278</v>
      </c>
      <c r="H12600" t="s">
        <v>8439</v>
      </c>
      <c r="I12600" t="s">
        <v>9465</v>
      </c>
      <c r="J12600" t="s">
        <v>14777</v>
      </c>
      <c r="K12600" t="s">
        <v>19124</v>
      </c>
      <c r="M12600">
        <f>HYPERLINK("https://www.senat.fr/senateur-3eme-republique/penancier_eugene1605r3.html", "penancier_eugene1605r3")</f>
        <v>0</v>
      </c>
      <c r="N12600">
        <f>HYPERLINK("https://www.wikidata.org/wiki/Q3060086", "Q3060086")</f>
        <v>0</v>
      </c>
      <c r="O12600" t="s">
        <v>20026</v>
      </c>
      <c r="Q12600" t="s">
        <v>401</v>
      </c>
      <c r="R12600" t="s">
        <v>21279</v>
      </c>
      <c r="S12600">
        <v>2554</v>
      </c>
    </row>
    <row r="12601" spans="1:19">
      <c r="A12601" t="s">
        <v>140</v>
      </c>
      <c r="B12601" t="s">
        <v>150</v>
      </c>
      <c r="C12601" t="s">
        <v>272</v>
      </c>
      <c r="D12601" t="s">
        <v>401</v>
      </c>
      <c r="F12601">
        <f>HYPERLINK("https://www.wikidata.org/wiki/Q111103103", "Q111103103")</f>
        <v>0</v>
      </c>
      <c r="G12601" t="s">
        <v>4935</v>
      </c>
      <c r="H12601" t="s">
        <v>9070</v>
      </c>
      <c r="I12601" t="s">
        <v>9457</v>
      </c>
      <c r="J12601" t="s">
        <v>15377</v>
      </c>
      <c r="K12601" t="s">
        <v>19678</v>
      </c>
      <c r="M12601">
        <f>HYPERLINK("https://www.senat.fr/senateur-3eme-republique/poirson_henri1646r3.html", "poirson_henri1646r3")</f>
        <v>0</v>
      </c>
      <c r="N12601">
        <f>HYPERLINK("https://www.wikidata.org/wiki/Q3131810", "Q3131810")</f>
        <v>0</v>
      </c>
      <c r="O12601" t="s">
        <v>19976</v>
      </c>
      <c r="Q12601" t="s">
        <v>401</v>
      </c>
      <c r="R12601" t="s">
        <v>21650</v>
      </c>
      <c r="S12601">
        <v>9415</v>
      </c>
    </row>
    <row r="12602" spans="1:19">
      <c r="A12602" t="s">
        <v>140</v>
      </c>
      <c r="B12602" t="s">
        <v>150</v>
      </c>
      <c r="C12602" t="s">
        <v>272</v>
      </c>
      <c r="D12602" t="s">
        <v>401</v>
      </c>
      <c r="F12602">
        <f>HYPERLINK("https://www.wikidata.org/wiki/Q111103103", "Q111103103")</f>
        <v>0</v>
      </c>
      <c r="G12602" t="s">
        <v>5062</v>
      </c>
      <c r="H12602" t="s">
        <v>9194</v>
      </c>
      <c r="I12602" t="s">
        <v>6192</v>
      </c>
      <c r="J12602" t="s">
        <v>15483</v>
      </c>
      <c r="K12602" t="s">
        <v>19783</v>
      </c>
      <c r="M12602">
        <f>HYPERLINK("https://www.senat.fr/senateur-3eme-republique/le_roux_hugues1668r3.html", "le_roux_hugues1668r3")</f>
        <v>0</v>
      </c>
      <c r="N12602">
        <f>HYPERLINK("https://www.wikidata.org/wiki/Q3142623", "Q3142623")</f>
        <v>0</v>
      </c>
      <c r="O12602" t="s">
        <v>19976</v>
      </c>
      <c r="Q12602" t="s">
        <v>401</v>
      </c>
      <c r="R12602" t="s">
        <v>19783</v>
      </c>
      <c r="S12602">
        <v>2134</v>
      </c>
    </row>
    <row r="12603" spans="1:19">
      <c r="A12603" t="s">
        <v>140</v>
      </c>
      <c r="B12603" t="s">
        <v>150</v>
      </c>
      <c r="C12603" t="s">
        <v>272</v>
      </c>
      <c r="D12603" t="s">
        <v>401</v>
      </c>
      <c r="F12603">
        <f>HYPERLINK("https://www.wikidata.org/wiki/Q111103103", "Q111103103")</f>
        <v>0</v>
      </c>
      <c r="G12603" t="s">
        <v>5063</v>
      </c>
      <c r="H12603" t="s">
        <v>9195</v>
      </c>
      <c r="I12603" t="s">
        <v>9476</v>
      </c>
      <c r="J12603" t="s">
        <v>15484</v>
      </c>
      <c r="K12603" t="s">
        <v>19784</v>
      </c>
      <c r="M12603">
        <f>HYPERLINK("https://www.senat.fr/senateur-3eme-republique/gouge_rene1681r3.html", "gouge_rene1681r3")</f>
        <v>0</v>
      </c>
      <c r="N12603">
        <f>HYPERLINK("https://www.wikidata.org/wiki/Q3426284", "Q3426284")</f>
        <v>0</v>
      </c>
      <c r="O12603" t="s">
        <v>20012</v>
      </c>
      <c r="Q12603" t="s">
        <v>401</v>
      </c>
      <c r="R12603" t="s">
        <v>19784</v>
      </c>
      <c r="S12603">
        <v>1875</v>
      </c>
    </row>
    <row r="12604" spans="1:19">
      <c r="A12604" t="s">
        <v>140</v>
      </c>
      <c r="B12604" t="s">
        <v>150</v>
      </c>
      <c r="C12604" t="s">
        <v>272</v>
      </c>
      <c r="D12604" t="s">
        <v>401</v>
      </c>
      <c r="F12604">
        <f>HYPERLINK("https://www.wikidata.org/wiki/Q111103103", "Q111103103")</f>
        <v>0</v>
      </c>
      <c r="G12604" t="s">
        <v>5064</v>
      </c>
      <c r="H12604" t="s">
        <v>9196</v>
      </c>
      <c r="I12604" t="s">
        <v>9388</v>
      </c>
      <c r="J12604" t="s">
        <v>12847</v>
      </c>
      <c r="K12604" t="s">
        <v>19610</v>
      </c>
      <c r="M12604">
        <f>HYPERLINK("https://www.senat.fr/senateur-3eme-republique/thuillier_buridard_paul1692r3.html", "thuillier_buridard_paul1692r3")</f>
        <v>0</v>
      </c>
      <c r="N12604">
        <f>HYPERLINK("https://www.wikidata.org/wiki/Q3372284", "Q3372284")</f>
        <v>0</v>
      </c>
      <c r="O12604" t="s">
        <v>20012</v>
      </c>
      <c r="Q12604" t="s">
        <v>401</v>
      </c>
      <c r="R12604" t="s">
        <v>19610</v>
      </c>
      <c r="S12604">
        <v>2250</v>
      </c>
    </row>
    <row r="12605" spans="1:19">
      <c r="A12605" t="s">
        <v>140</v>
      </c>
      <c r="B12605" t="s">
        <v>150</v>
      </c>
      <c r="C12605" t="s">
        <v>272</v>
      </c>
      <c r="D12605" t="s">
        <v>401</v>
      </c>
      <c r="F12605">
        <f>HYPERLINK("https://www.wikidata.org/wiki/Q111103103", "Q111103103")</f>
        <v>0</v>
      </c>
      <c r="G12605" t="s">
        <v>5065</v>
      </c>
      <c r="H12605" t="s">
        <v>9197</v>
      </c>
      <c r="I12605" t="s">
        <v>9440</v>
      </c>
      <c r="J12605" t="s">
        <v>14490</v>
      </c>
      <c r="K12605" t="s">
        <v>19785</v>
      </c>
      <c r="M12605">
        <f>HYPERLINK("https://www.senat.fr/senateur-3eme-republique/pierrin_amedee1673r3.html", "pierrin_amedee1673r3")</f>
        <v>0</v>
      </c>
      <c r="N12605">
        <f>HYPERLINK("https://www.wikidata.org/wiki/Q2844695", "Q2844695")</f>
        <v>0</v>
      </c>
      <c r="O12605" t="s">
        <v>20012</v>
      </c>
      <c r="Q12605" t="s">
        <v>401</v>
      </c>
      <c r="R12605" t="s">
        <v>21279</v>
      </c>
      <c r="S12605">
        <v>2554</v>
      </c>
    </row>
    <row r="12606" spans="1:19">
      <c r="A12606" t="s">
        <v>140</v>
      </c>
      <c r="B12606" t="s">
        <v>150</v>
      </c>
      <c r="C12606" t="s">
        <v>272</v>
      </c>
      <c r="D12606" t="s">
        <v>401</v>
      </c>
      <c r="F12606">
        <f>HYPERLINK("https://www.wikidata.org/wiki/Q111103103", "Q111103103")</f>
        <v>0</v>
      </c>
      <c r="G12606" t="s">
        <v>4832</v>
      </c>
      <c r="H12606" t="s">
        <v>8972</v>
      </c>
      <c r="I12606" t="s">
        <v>9472</v>
      </c>
      <c r="J12606" t="s">
        <v>15285</v>
      </c>
      <c r="K12606" t="s">
        <v>19593</v>
      </c>
      <c r="M12606">
        <f>HYPERLINK("https://www.senat.fr/senateur-3eme-republique/gay_de_savary_hippolyte1696r3.html", "gay_de_savary_hippolyte1696r3")</f>
        <v>0</v>
      </c>
      <c r="N12606">
        <f>HYPERLINK("https://www.wikidata.org/wiki/Q2825179", "Q2825179")</f>
        <v>0</v>
      </c>
      <c r="O12606" t="s">
        <v>19962</v>
      </c>
      <c r="Q12606" t="s">
        <v>401</v>
      </c>
      <c r="R12606" t="s">
        <v>21650</v>
      </c>
      <c r="S12606">
        <v>9415</v>
      </c>
    </row>
    <row r="12607" spans="1:19">
      <c r="A12607" t="s">
        <v>140</v>
      </c>
      <c r="B12607" t="s">
        <v>150</v>
      </c>
      <c r="C12607" t="s">
        <v>272</v>
      </c>
      <c r="D12607" t="s">
        <v>401</v>
      </c>
      <c r="F12607">
        <f>HYPERLINK("https://www.wikidata.org/wiki/Q111103103", "Q111103103")</f>
        <v>0</v>
      </c>
      <c r="G12607" t="s">
        <v>4912</v>
      </c>
      <c r="H12607" t="s">
        <v>9048</v>
      </c>
      <c r="I12607" t="s">
        <v>6495</v>
      </c>
      <c r="J12607" t="s">
        <v>15355</v>
      </c>
      <c r="K12607" t="s">
        <v>19660</v>
      </c>
      <c r="M12607">
        <f>HYPERLINK("https://www.senat.fr/senateur-3eme-republique/vieu_louis1694r3.html", "vieu_louis1694r3")</f>
        <v>0</v>
      </c>
      <c r="N12607">
        <f>HYPERLINK("https://www.wikidata.org/wiki/Q3263283", "Q3263283")</f>
        <v>0</v>
      </c>
      <c r="O12607" t="s">
        <v>19962</v>
      </c>
      <c r="Q12607" t="s">
        <v>401</v>
      </c>
      <c r="R12607" t="s">
        <v>21279</v>
      </c>
      <c r="S12607">
        <v>2554</v>
      </c>
    </row>
    <row r="12608" spans="1:19">
      <c r="A12608" t="s">
        <v>140</v>
      </c>
      <c r="B12608" t="s">
        <v>150</v>
      </c>
      <c r="C12608" t="s">
        <v>272</v>
      </c>
      <c r="D12608" t="s">
        <v>401</v>
      </c>
      <c r="F12608">
        <f>HYPERLINK("https://www.wikidata.org/wiki/Q111103103", "Q111103103")</f>
        <v>0</v>
      </c>
      <c r="G12608" t="s">
        <v>4262</v>
      </c>
      <c r="H12608" t="s">
        <v>8431</v>
      </c>
      <c r="I12608" t="s">
        <v>9605</v>
      </c>
      <c r="J12608" t="s">
        <v>12022</v>
      </c>
      <c r="K12608" t="s">
        <v>19110</v>
      </c>
      <c r="M12608">
        <f>HYPERLINK("https://www.senat.fr/senateur-3eme-republique/de_selves_justin1727r3.html", "de_selves_justin1727r3")</f>
        <v>0</v>
      </c>
      <c r="N12608">
        <f>HYPERLINK("https://www.wikidata.org/wiki/Q2403337", "Q2403337")</f>
        <v>0</v>
      </c>
      <c r="O12608" t="s">
        <v>20045</v>
      </c>
      <c r="Q12608" t="s">
        <v>401</v>
      </c>
      <c r="R12608" t="s">
        <v>21650</v>
      </c>
      <c r="S12608">
        <v>9415</v>
      </c>
    </row>
    <row r="12609" spans="1:19">
      <c r="A12609" t="s">
        <v>140</v>
      </c>
      <c r="B12609" t="s">
        <v>150</v>
      </c>
      <c r="C12609" t="s">
        <v>272</v>
      </c>
      <c r="D12609" t="s">
        <v>401</v>
      </c>
      <c r="F12609">
        <f>HYPERLINK("https://www.wikidata.org/wiki/Q111103103", "Q111103103")</f>
        <v>0</v>
      </c>
      <c r="G12609" t="s">
        <v>4973</v>
      </c>
      <c r="H12609" t="s">
        <v>9106</v>
      </c>
      <c r="I12609" t="s">
        <v>5592</v>
      </c>
      <c r="J12609" t="s">
        <v>13882</v>
      </c>
      <c r="K12609" t="s">
        <v>19710</v>
      </c>
      <c r="M12609">
        <f>HYPERLINK("https://www.senat.fr/senateur-3eme-republique/thiery_laurent1819r3.html", "thiery_laurent1819r3")</f>
        <v>0</v>
      </c>
      <c r="N12609">
        <f>HYPERLINK("https://www.wikidata.org/wiki/Q3219536", "Q3219536")</f>
        <v>0</v>
      </c>
      <c r="O12609" t="s">
        <v>20400</v>
      </c>
      <c r="Q12609" t="s">
        <v>401</v>
      </c>
      <c r="R12609" t="s">
        <v>21650</v>
      </c>
      <c r="S12609">
        <v>9415</v>
      </c>
    </row>
    <row r="12610" spans="1:19">
      <c r="A12610" t="s">
        <v>140</v>
      </c>
      <c r="B12610" t="s">
        <v>150</v>
      </c>
      <c r="C12610" t="s">
        <v>272</v>
      </c>
      <c r="D12610" t="s">
        <v>401</v>
      </c>
      <c r="F12610">
        <f>HYPERLINK("https://www.wikidata.org/wiki/Q111103103", "Q111103103")</f>
        <v>0</v>
      </c>
      <c r="G12610" t="s">
        <v>4039</v>
      </c>
      <c r="H12610" t="s">
        <v>8551</v>
      </c>
      <c r="I12610" t="s">
        <v>6495</v>
      </c>
      <c r="J12610" t="s">
        <v>14580</v>
      </c>
      <c r="K12610" t="s">
        <v>16212</v>
      </c>
      <c r="M12610">
        <f>HYPERLINK("https://www.senat.fr/senateur-3eme-republique/martin_louis1739r3.html", "martin_louis1739r3")</f>
        <v>0</v>
      </c>
      <c r="N12610">
        <f>HYPERLINK("https://www.wikidata.org/wiki/Q3262650", "Q3262650")</f>
        <v>0</v>
      </c>
      <c r="O12610" t="s">
        <v>20042</v>
      </c>
      <c r="Q12610" t="s">
        <v>401</v>
      </c>
      <c r="R12610" t="s">
        <v>21279</v>
      </c>
      <c r="S12610">
        <v>2554</v>
      </c>
    </row>
    <row r="12611" spans="1:19">
      <c r="A12611" t="s">
        <v>140</v>
      </c>
      <c r="B12611" t="s">
        <v>150</v>
      </c>
      <c r="C12611" t="s">
        <v>272</v>
      </c>
      <c r="D12611" t="s">
        <v>401</v>
      </c>
      <c r="F12611">
        <f>HYPERLINK("https://www.wikidata.org/wiki/Q111103103", "Q111103103")</f>
        <v>0</v>
      </c>
      <c r="G12611" t="s">
        <v>5066</v>
      </c>
      <c r="H12611" t="s">
        <v>9198</v>
      </c>
      <c r="I12611" t="s">
        <v>7642</v>
      </c>
      <c r="J12611" t="s">
        <v>15485</v>
      </c>
      <c r="K12611" t="s">
        <v>19786</v>
      </c>
      <c r="M12611">
        <f>HYPERLINK("https://www.senat.fr/senateur-3eme-republique/morand_maurice1749r3.html", "morand_maurice1749r3")</f>
        <v>0</v>
      </c>
      <c r="N12611">
        <f>HYPERLINK("https://www.wikidata.org/wiki/Q3301175", "Q3301175")</f>
        <v>0</v>
      </c>
      <c r="O12611" t="s">
        <v>19972</v>
      </c>
      <c r="Q12611" t="s">
        <v>401</v>
      </c>
      <c r="R12611" t="s">
        <v>21279</v>
      </c>
      <c r="S12611">
        <v>2554</v>
      </c>
    </row>
    <row r="12612" spans="1:19">
      <c r="A12612" t="s">
        <v>140</v>
      </c>
      <c r="B12612" t="s">
        <v>150</v>
      </c>
      <c r="C12612" t="s">
        <v>272</v>
      </c>
      <c r="D12612" t="s">
        <v>401</v>
      </c>
      <c r="F12612">
        <f>HYPERLINK("https://www.wikidata.org/wiki/Q111103103", "Q111103103")</f>
        <v>0</v>
      </c>
      <c r="G12612" t="s">
        <v>4924</v>
      </c>
      <c r="H12612" t="s">
        <v>9060</v>
      </c>
      <c r="I12612" t="s">
        <v>9423</v>
      </c>
      <c r="J12612" t="s">
        <v>15366</v>
      </c>
      <c r="K12612" t="s">
        <v>19669</v>
      </c>
      <c r="M12612">
        <f>HYPERLINK("https://www.senat.fr/senateur-3eme-republique/poulle_guillaume1765r3.html", "poulle_guillaume1765r3")</f>
        <v>0</v>
      </c>
      <c r="N12612">
        <f>HYPERLINK("https://www.wikidata.org/wiki/Q3120133", "Q3120133")</f>
        <v>0</v>
      </c>
      <c r="O12612" t="s">
        <v>19982</v>
      </c>
      <c r="Q12612" t="s">
        <v>401</v>
      </c>
      <c r="R12612" t="s">
        <v>21650</v>
      </c>
      <c r="S12612">
        <v>9415</v>
      </c>
    </row>
    <row r="12613" spans="1:19">
      <c r="A12613" t="s">
        <v>140</v>
      </c>
      <c r="B12613" t="s">
        <v>150</v>
      </c>
      <c r="C12613" t="s">
        <v>272</v>
      </c>
      <c r="D12613" t="s">
        <v>401</v>
      </c>
      <c r="F12613">
        <f>HYPERLINK("https://www.wikidata.org/wiki/Q111103103", "Q111103103")</f>
        <v>0</v>
      </c>
      <c r="G12613" t="s">
        <v>5067</v>
      </c>
      <c r="H12613" t="s">
        <v>9199</v>
      </c>
      <c r="I12613" t="s">
        <v>9692</v>
      </c>
      <c r="J12613" t="s">
        <v>15486</v>
      </c>
      <c r="K12613" t="s">
        <v>19787</v>
      </c>
      <c r="M12613">
        <f>HYPERLINK("https://www.senat.fr/senateur-3eme-republique/duplantier_raymond1761r3.html", "duplantier_raymond1761r3")</f>
        <v>0</v>
      </c>
      <c r="N12613">
        <f>HYPERLINK("https://www.wikidata.org/wiki/Q3420820", "Q3420820")</f>
        <v>0</v>
      </c>
      <c r="O12613" t="s">
        <v>19982</v>
      </c>
      <c r="Q12613" t="s">
        <v>401</v>
      </c>
      <c r="R12613" t="s">
        <v>21279</v>
      </c>
      <c r="S12613">
        <v>2554</v>
      </c>
    </row>
    <row r="12614" spans="1:19">
      <c r="A12614" t="s">
        <v>140</v>
      </c>
      <c r="B12614" t="s">
        <v>150</v>
      </c>
      <c r="C12614" t="s">
        <v>272</v>
      </c>
      <c r="D12614" t="s">
        <v>401</v>
      </c>
      <c r="F12614">
        <f>HYPERLINK("https://www.wikidata.org/wiki/Q111103103", "Q111103103")</f>
        <v>0</v>
      </c>
      <c r="G12614" t="s">
        <v>5068</v>
      </c>
      <c r="H12614" t="s">
        <v>9200</v>
      </c>
      <c r="I12614" t="s">
        <v>6860</v>
      </c>
      <c r="J12614" t="s">
        <v>15487</v>
      </c>
      <c r="K12614" t="s">
        <v>19788</v>
      </c>
      <c r="M12614">
        <f>HYPERLINK("https://www.senat.fr/senateur-3eme-republique/jossot_pierre0554r3.html", "jossot_pierre0554r3")</f>
        <v>0</v>
      </c>
      <c r="N12614">
        <f>HYPERLINK("https://www.wikidata.org/wiki/Q3385628", "Q3385628")</f>
        <v>0</v>
      </c>
      <c r="Q12614" t="s">
        <v>401</v>
      </c>
      <c r="R12614" t="s">
        <v>21700</v>
      </c>
      <c r="S12614">
        <v>363</v>
      </c>
    </row>
    <row r="12615" spans="1:19">
      <c r="A12615" t="s">
        <v>140</v>
      </c>
      <c r="B12615" t="s">
        <v>150</v>
      </c>
      <c r="C12615" t="s">
        <v>272</v>
      </c>
      <c r="D12615" t="s">
        <v>401</v>
      </c>
      <c r="F12615">
        <f>HYPERLINK("https://www.wikidata.org/wiki/Q111103103", "Q111103103")</f>
        <v>0</v>
      </c>
      <c r="G12615" t="s">
        <v>4168</v>
      </c>
      <c r="H12615" t="s">
        <v>8368</v>
      </c>
      <c r="I12615" t="s">
        <v>11146</v>
      </c>
      <c r="J12615" t="s">
        <v>14691</v>
      </c>
      <c r="K12615" t="s">
        <v>19031</v>
      </c>
      <c r="L12615">
        <f>HYPERLINK("https://www2.assemblee-nationale.fr/sycomore/fiche/(num_dept)/229", "229")</f>
        <v>0</v>
      </c>
      <c r="M12615">
        <f>HYPERLINK("https://www.senat.fr/senateur-3eme-republique/auber_joseph0851r3.html", "auber_joseph0851r3")</f>
        <v>0</v>
      </c>
      <c r="N12615">
        <f>HYPERLINK("https://www.wikidata.org/wiki/Q3188407", "Q3188407")</f>
        <v>0</v>
      </c>
      <c r="O12615" t="s">
        <v>19963</v>
      </c>
      <c r="Q12615" t="s">
        <v>441</v>
      </c>
      <c r="R12615" t="s">
        <v>21700</v>
      </c>
      <c r="S12615">
        <v>356</v>
      </c>
    </row>
    <row r="12616" spans="1:19">
      <c r="A12616" t="s">
        <v>140</v>
      </c>
      <c r="B12616" t="s">
        <v>150</v>
      </c>
      <c r="C12616" t="s">
        <v>272</v>
      </c>
      <c r="D12616" t="s">
        <v>401</v>
      </c>
      <c r="F12616">
        <f>HYPERLINK("https://www.wikidata.org/wiki/Q111103103", "Q111103103")</f>
        <v>0</v>
      </c>
      <c r="G12616" t="s">
        <v>1212</v>
      </c>
      <c r="H12616" t="s">
        <v>5940</v>
      </c>
      <c r="I12616" t="s">
        <v>6478</v>
      </c>
      <c r="J12616" t="s">
        <v>11944</v>
      </c>
      <c r="K12616" t="s">
        <v>16346</v>
      </c>
      <c r="L12616">
        <f>HYPERLINK("https://www2.assemblee-nationale.fr/sycomore/fiche/(num_dept)/7751", "7751")</f>
        <v>0</v>
      </c>
      <c r="M12616">
        <f>HYPERLINK("https://www.senat.fr/senateur-3eme-republique/lemery_henry0701r3.html", "lemery_henry0701r3")</f>
        <v>0</v>
      </c>
      <c r="N12616">
        <f>HYPERLINK("https://www.wikidata.org/wiki/Q3132926", "Q3132926")</f>
        <v>0</v>
      </c>
      <c r="O12616" t="s">
        <v>20035</v>
      </c>
      <c r="Q12616" t="s">
        <v>441</v>
      </c>
      <c r="R12616" t="s">
        <v>21704</v>
      </c>
      <c r="S12616">
        <v>1560</v>
      </c>
    </row>
    <row r="12617" spans="1:19">
      <c r="A12617" t="s">
        <v>140</v>
      </c>
      <c r="B12617" t="s">
        <v>150</v>
      </c>
      <c r="C12617" t="s">
        <v>272</v>
      </c>
      <c r="D12617" t="s">
        <v>401</v>
      </c>
      <c r="F12617">
        <f>HYPERLINK("https://www.wikidata.org/wiki/Q111103103", "Q111103103")</f>
        <v>0</v>
      </c>
      <c r="G12617" t="s">
        <v>5069</v>
      </c>
      <c r="H12617" t="s">
        <v>9201</v>
      </c>
      <c r="I12617" t="s">
        <v>9457</v>
      </c>
      <c r="J12617" t="s">
        <v>11362</v>
      </c>
      <c r="K12617" t="s">
        <v>19789</v>
      </c>
      <c r="M12617">
        <f>HYPERLINK("https://www.senat.fr/senateur-3eme-republique/collin_henri0703r3.html", "collin_henri0703r3")</f>
        <v>0</v>
      </c>
      <c r="N12617">
        <f>HYPERLINK("https://www.wikidata.org/wiki/Q3130861", "Q3130861")</f>
        <v>0</v>
      </c>
      <c r="O12617" t="s">
        <v>20050</v>
      </c>
      <c r="Q12617" t="s">
        <v>21232</v>
      </c>
      <c r="R12617" t="s">
        <v>19789</v>
      </c>
      <c r="S12617">
        <v>658</v>
      </c>
    </row>
    <row r="12618" spans="1:19">
      <c r="A12618" t="s">
        <v>140</v>
      </c>
      <c r="B12618" t="s">
        <v>150</v>
      </c>
      <c r="C12618" t="s">
        <v>272</v>
      </c>
      <c r="D12618" t="s">
        <v>401</v>
      </c>
      <c r="F12618">
        <f>HYPERLINK("https://www.wikidata.org/wiki/Q111103103", "Q111103103")</f>
        <v>0</v>
      </c>
      <c r="G12618" t="s">
        <v>5070</v>
      </c>
      <c r="H12618" t="s">
        <v>9202</v>
      </c>
      <c r="I12618" t="s">
        <v>6483</v>
      </c>
      <c r="J12618" t="s">
        <v>15488</v>
      </c>
      <c r="K12618" t="s">
        <v>18616</v>
      </c>
      <c r="M12618">
        <f>HYPERLINK("https://www.senat.fr/senateur-3eme-republique/gallini_jean_francois0492r3.html", "gallini_jean_francois0492r3")</f>
        <v>0</v>
      </c>
      <c r="N12618">
        <f>HYPERLINK("https://www.wikidata.org/wiki/Q3165612", "Q3165612")</f>
        <v>0</v>
      </c>
      <c r="O12618" t="s">
        <v>19955</v>
      </c>
      <c r="Q12618" t="s">
        <v>21233</v>
      </c>
      <c r="R12618" t="s">
        <v>21700</v>
      </c>
      <c r="S12618">
        <v>272</v>
      </c>
    </row>
    <row r="12619" spans="1:19">
      <c r="A12619" t="s">
        <v>140</v>
      </c>
      <c r="B12619" t="s">
        <v>150</v>
      </c>
      <c r="C12619" t="s">
        <v>272</v>
      </c>
      <c r="D12619" t="s">
        <v>401</v>
      </c>
      <c r="F12619">
        <f>HYPERLINK("https://www.wikidata.org/wiki/Q111103103", "Q111103103")</f>
        <v>0</v>
      </c>
      <c r="G12619" t="s">
        <v>5071</v>
      </c>
      <c r="H12619" t="s">
        <v>9203</v>
      </c>
      <c r="I12619" t="s">
        <v>9457</v>
      </c>
      <c r="J12619" t="s">
        <v>15489</v>
      </c>
      <c r="K12619" t="s">
        <v>19790</v>
      </c>
      <c r="M12619">
        <f>HYPERLINK("https://www.senat.fr/senateur-3eme-republique/busson_billault_henri1291r3.html", "busson_billault_henri1291r3")</f>
        <v>0</v>
      </c>
      <c r="N12619">
        <f>HYPERLINK("https://www.wikidata.org/wiki/Q3130416", "Q3130416")</f>
        <v>0</v>
      </c>
      <c r="O12619" t="s">
        <v>20023</v>
      </c>
      <c r="Q12619" t="s">
        <v>21233</v>
      </c>
      <c r="R12619" t="s">
        <v>19790</v>
      </c>
      <c r="S12619">
        <v>1125</v>
      </c>
    </row>
    <row r="12620" spans="1:19">
      <c r="A12620" t="s">
        <v>140</v>
      </c>
      <c r="B12620" t="s">
        <v>150</v>
      </c>
      <c r="C12620" t="s">
        <v>272</v>
      </c>
      <c r="D12620" t="s">
        <v>401</v>
      </c>
      <c r="F12620">
        <f>HYPERLINK("https://www.wikidata.org/wiki/Q111103103", "Q111103103")</f>
        <v>0</v>
      </c>
      <c r="G12620" t="s">
        <v>5072</v>
      </c>
      <c r="H12620" t="s">
        <v>8738</v>
      </c>
      <c r="I12620" t="s">
        <v>6478</v>
      </c>
      <c r="J12620" t="s">
        <v>15490</v>
      </c>
      <c r="K12620" t="s">
        <v>19791</v>
      </c>
      <c r="M12620">
        <f>HYPERLINK("https://www.senat.fr/senateur-3eme-republique/merlin_henry0645r3.html", "merlin_henry0645r3")</f>
        <v>0</v>
      </c>
      <c r="N12620">
        <f>HYPERLINK("https://www.wikidata.org/wiki/Q3132957", "Q3132957")</f>
        <v>0</v>
      </c>
      <c r="O12620" t="s">
        <v>20025</v>
      </c>
      <c r="Q12620" t="s">
        <v>21233</v>
      </c>
      <c r="R12620" t="s">
        <v>16129</v>
      </c>
      <c r="S12620">
        <v>1364</v>
      </c>
    </row>
    <row r="12621" spans="1:19">
      <c r="A12621" t="s">
        <v>140</v>
      </c>
      <c r="B12621" t="s">
        <v>150</v>
      </c>
      <c r="C12621" t="s">
        <v>272</v>
      </c>
      <c r="D12621" t="s">
        <v>401</v>
      </c>
      <c r="F12621">
        <f>HYPERLINK("https://www.wikidata.org/wiki/Q111103103", "Q111103103")</f>
        <v>0</v>
      </c>
      <c r="G12621" t="s">
        <v>844</v>
      </c>
      <c r="H12621" t="s">
        <v>5601</v>
      </c>
      <c r="I12621" t="s">
        <v>9551</v>
      </c>
      <c r="J12621" t="s">
        <v>11591</v>
      </c>
      <c r="K12621" t="s">
        <v>15993</v>
      </c>
      <c r="L12621">
        <f>HYPERLINK("https://www2.assemblee-nationale.fr/sycomore/fiche/(num_dept)/7628", "7628")</f>
        <v>0</v>
      </c>
      <c r="M12621">
        <f>HYPERLINK("https://www.senat.fr/senateur-3eme-republique/le_troadec_paul0586r3.html", "le_troadec_paul0586r3")</f>
        <v>0</v>
      </c>
      <c r="N12621">
        <f>HYPERLINK("https://www.wikidata.org/wiki/Q3371653", "Q3371653")</f>
        <v>0</v>
      </c>
      <c r="O12621" t="s">
        <v>19964</v>
      </c>
      <c r="Q12621" t="s">
        <v>21234</v>
      </c>
      <c r="R12621" t="s">
        <v>21700</v>
      </c>
      <c r="S12621">
        <v>125</v>
      </c>
    </row>
    <row r="12622" spans="1:19">
      <c r="A12622" t="s">
        <v>140</v>
      </c>
      <c r="B12622" t="s">
        <v>150</v>
      </c>
      <c r="C12622" t="s">
        <v>272</v>
      </c>
      <c r="D12622" t="s">
        <v>401</v>
      </c>
      <c r="F12622">
        <f>HYPERLINK("https://www.wikidata.org/wiki/Q111103103", "Q111103103")</f>
        <v>0</v>
      </c>
      <c r="G12622" t="s">
        <v>5073</v>
      </c>
      <c r="H12622" t="s">
        <v>9204</v>
      </c>
      <c r="I12622" t="s">
        <v>9868</v>
      </c>
      <c r="J12622" t="s">
        <v>15491</v>
      </c>
      <c r="K12622" t="s">
        <v>19792</v>
      </c>
      <c r="M12622">
        <f>HYPERLINK("https://www.senat.fr/senateur-3eme-republique/mazurier_xavier1780r3.html", "mazurier_xavier1780r3")</f>
        <v>0</v>
      </c>
      <c r="N12622">
        <f>HYPERLINK("https://www.wikidata.org/wiki/Q3570739", "Q3570739")</f>
        <v>0</v>
      </c>
      <c r="O12622" t="s">
        <v>19977</v>
      </c>
      <c r="Q12622" t="s">
        <v>15915</v>
      </c>
      <c r="R12622" t="s">
        <v>21279</v>
      </c>
      <c r="S12622">
        <v>2280</v>
      </c>
    </row>
    <row r="12623" spans="1:19">
      <c r="A12623" t="s">
        <v>140</v>
      </c>
      <c r="B12623" t="s">
        <v>150</v>
      </c>
      <c r="C12623" t="s">
        <v>272</v>
      </c>
      <c r="D12623" t="s">
        <v>401</v>
      </c>
      <c r="F12623">
        <f>HYPERLINK("https://www.wikidata.org/wiki/Q111103103", "Q111103103")</f>
        <v>0</v>
      </c>
      <c r="G12623" t="s">
        <v>753</v>
      </c>
      <c r="H12623" t="s">
        <v>5511</v>
      </c>
      <c r="I12623" t="s">
        <v>9510</v>
      </c>
      <c r="J12623" t="s">
        <v>11501</v>
      </c>
      <c r="K12623" t="s">
        <v>15904</v>
      </c>
      <c r="L12623">
        <f>HYPERLINK("https://www2.assemblee-nationale.fr/sycomore/fiche/(num_dept)/5759", "5759")</f>
        <v>0</v>
      </c>
      <c r="M12623">
        <f>HYPERLINK("https://www.senat.fr/senateur-3eme-republique/pelisse_paul0240r3.html", "pelisse_paul0240r3")</f>
        <v>0</v>
      </c>
      <c r="N12623">
        <f>HYPERLINK("https://www.wikidata.org/wiki/Q3371975", "Q3371975")</f>
        <v>0</v>
      </c>
      <c r="O12623" t="s">
        <v>7411</v>
      </c>
      <c r="Q12623" t="s">
        <v>21235</v>
      </c>
      <c r="R12623" t="s">
        <v>16129</v>
      </c>
      <c r="S12623">
        <v>1150</v>
      </c>
    </row>
    <row r="12624" spans="1:19">
      <c r="A12624" t="s">
        <v>140</v>
      </c>
      <c r="B12624" t="s">
        <v>150</v>
      </c>
      <c r="C12624" t="s">
        <v>272</v>
      </c>
      <c r="D12624" t="s">
        <v>401</v>
      </c>
      <c r="F12624">
        <f>HYPERLINK("https://www.wikidata.org/wiki/Q111103103", "Q111103103")</f>
        <v>0</v>
      </c>
      <c r="G12624" t="s">
        <v>4960</v>
      </c>
      <c r="H12624" t="s">
        <v>9093</v>
      </c>
      <c r="I12624" t="s">
        <v>6200</v>
      </c>
      <c r="J12624" t="s">
        <v>15399</v>
      </c>
      <c r="K12624" t="s">
        <v>19697</v>
      </c>
      <c r="M12624">
        <f>HYPERLINK("https://www.senat.fr/senateur-3eme-republique/amic_jean0117r3.html", "amic_jean0117r3")</f>
        <v>0</v>
      </c>
      <c r="N12624">
        <f>HYPERLINK("https://www.wikidata.org/wiki/Q3170355", "Q3170355")</f>
        <v>0</v>
      </c>
      <c r="O12624" t="s">
        <v>20024</v>
      </c>
      <c r="Q12624" t="s">
        <v>21236</v>
      </c>
      <c r="R12624" t="s">
        <v>21650</v>
      </c>
      <c r="S12624">
        <v>9054</v>
      </c>
    </row>
    <row r="12625" spans="1:19">
      <c r="A12625" t="s">
        <v>140</v>
      </c>
      <c r="B12625" t="s">
        <v>150</v>
      </c>
      <c r="C12625" t="s">
        <v>272</v>
      </c>
      <c r="D12625" t="s">
        <v>401</v>
      </c>
      <c r="F12625">
        <f>HYPERLINK("https://www.wikidata.org/wiki/Q111103103", "Q111103103")</f>
        <v>0</v>
      </c>
      <c r="G12625" t="s">
        <v>4999</v>
      </c>
      <c r="H12625" t="s">
        <v>9132</v>
      </c>
      <c r="I12625" t="s">
        <v>6584</v>
      </c>
      <c r="J12625" t="s">
        <v>11812</v>
      </c>
      <c r="K12625" t="s">
        <v>19732</v>
      </c>
      <c r="M12625">
        <f>HYPERLINK("https://www.senat.fr/senateur-3eme-republique/royneau_albert0777r3.html", "royneau_albert0777r3")</f>
        <v>0</v>
      </c>
      <c r="N12625">
        <f>HYPERLINK("https://www.wikidata.org/wiki/Q2831518", "Q2831518")</f>
        <v>0</v>
      </c>
      <c r="O12625" t="s">
        <v>19971</v>
      </c>
      <c r="Q12625" t="s">
        <v>21236</v>
      </c>
      <c r="R12625" t="s">
        <v>21650</v>
      </c>
      <c r="S12625">
        <v>9054</v>
      </c>
    </row>
    <row r="12626" spans="1:19">
      <c r="A12626" t="s">
        <v>141</v>
      </c>
      <c r="B12626" t="s">
        <v>150</v>
      </c>
      <c r="C12626" t="s">
        <v>273</v>
      </c>
      <c r="D12626" t="s">
        <v>402</v>
      </c>
      <c r="F12626">
        <f>HYPERLINK("https://www.wikidata.org/wiki/Q28494844", "Q28494844")</f>
        <v>0</v>
      </c>
      <c r="G12626" t="s">
        <v>4168</v>
      </c>
      <c r="H12626" t="s">
        <v>8368</v>
      </c>
      <c r="I12626" t="s">
        <v>11146</v>
      </c>
      <c r="J12626" t="s">
        <v>14691</v>
      </c>
      <c r="K12626" t="s">
        <v>19031</v>
      </c>
      <c r="L12626">
        <f>HYPERLINK("https://www2.assemblee-nationale.fr/sycomore/fiche/(num_dept)/229", "229")</f>
        <v>0</v>
      </c>
      <c r="M12626">
        <f>HYPERLINK("https://www.senat.fr/senateur-3eme-republique/auber_joseph0851r3.html", "auber_joseph0851r3")</f>
        <v>0</v>
      </c>
      <c r="N12626">
        <f>HYPERLINK("https://www.wikidata.org/wiki/Q3188407", "Q3188407")</f>
        <v>0</v>
      </c>
      <c r="O12626" t="s">
        <v>19963</v>
      </c>
      <c r="Q12626" t="s">
        <v>402</v>
      </c>
      <c r="R12626" t="s">
        <v>21650</v>
      </c>
      <c r="S12626">
        <v>9051</v>
      </c>
    </row>
    <row r="12627" spans="1:19">
      <c r="A12627" t="s">
        <v>141</v>
      </c>
      <c r="B12627" t="s">
        <v>150</v>
      </c>
      <c r="C12627" t="s">
        <v>273</v>
      </c>
      <c r="D12627" t="s">
        <v>402</v>
      </c>
      <c r="F12627">
        <f>HYPERLINK("https://www.wikidata.org/wiki/Q28494844", "Q28494844")</f>
        <v>0</v>
      </c>
      <c r="G12627" t="s">
        <v>514</v>
      </c>
      <c r="H12627" t="s">
        <v>5279</v>
      </c>
      <c r="I12627" t="s">
        <v>9382</v>
      </c>
      <c r="J12627" t="s">
        <v>11266</v>
      </c>
      <c r="K12627" t="s">
        <v>15666</v>
      </c>
      <c r="L12627">
        <f>HYPERLINK("https://www2.assemblee-nationale.fr/sycomore/fiche/(num_dept)/488", "488")</f>
        <v>0</v>
      </c>
      <c r="M12627">
        <f>HYPERLINK("https://www.senat.fr/senateur-3eme-republique/baudet_charles0578r3.html", "baudet_charles0578r3")</f>
        <v>0</v>
      </c>
      <c r="N12627">
        <f>HYPERLINK("https://www.wikidata.org/wiki/Q2958489", "Q2958489")</f>
        <v>0</v>
      </c>
      <c r="O12627" t="s">
        <v>19964</v>
      </c>
      <c r="Q12627" t="s">
        <v>402</v>
      </c>
      <c r="R12627" t="s">
        <v>21705</v>
      </c>
      <c r="S12627">
        <v>3291</v>
      </c>
    </row>
    <row r="12628" spans="1:19">
      <c r="A12628" t="s">
        <v>141</v>
      </c>
      <c r="B12628" t="s">
        <v>150</v>
      </c>
      <c r="C12628" t="s">
        <v>273</v>
      </c>
      <c r="D12628" t="s">
        <v>402</v>
      </c>
      <c r="F12628">
        <f>HYPERLINK("https://www.wikidata.org/wiki/Q28494844", "Q28494844")</f>
        <v>0</v>
      </c>
      <c r="G12628" t="s">
        <v>3678</v>
      </c>
      <c r="H12628" t="s">
        <v>5286</v>
      </c>
      <c r="I12628" t="s">
        <v>9553</v>
      </c>
      <c r="J12628" t="s">
        <v>14255</v>
      </c>
      <c r="K12628" t="s">
        <v>18616</v>
      </c>
      <c r="L12628">
        <f>HYPERLINK("https://www2.assemblee-nationale.fr/sycomore/fiche/(num_dept)/647", "647")</f>
        <v>0</v>
      </c>
      <c r="M12628">
        <f>HYPERLINK("https://www.senat.fr/senateur-3eme-republique/berard_alexandre0019r3.html", "berard_alexandre0019r3")</f>
        <v>0</v>
      </c>
      <c r="N12628">
        <f>HYPERLINK("https://www.wikidata.org/wiki/Q2833511", "Q2833511")</f>
        <v>0</v>
      </c>
      <c r="O12628" t="s">
        <v>19986</v>
      </c>
      <c r="Q12628" t="s">
        <v>402</v>
      </c>
      <c r="R12628" t="s">
        <v>21650</v>
      </c>
      <c r="S12628">
        <v>9051</v>
      </c>
    </row>
    <row r="12629" spans="1:19">
      <c r="A12629" t="s">
        <v>141</v>
      </c>
      <c r="B12629" t="s">
        <v>150</v>
      </c>
      <c r="C12629" t="s">
        <v>273</v>
      </c>
      <c r="D12629" t="s">
        <v>402</v>
      </c>
      <c r="F12629">
        <f>HYPERLINK("https://www.wikidata.org/wiki/Q28494844", "Q28494844")</f>
        <v>0</v>
      </c>
      <c r="G12629" t="s">
        <v>1152</v>
      </c>
      <c r="H12629" t="s">
        <v>5887</v>
      </c>
      <c r="I12629" t="s">
        <v>9680</v>
      </c>
      <c r="J12629" t="s">
        <v>11886</v>
      </c>
      <c r="K12629" t="s">
        <v>16287</v>
      </c>
      <c r="L12629">
        <f>HYPERLINK("https://www2.assemblee-nationale.fr/sycomore/fiche/(num_dept)/662", "662")</f>
        <v>0</v>
      </c>
      <c r="M12629">
        <f>HYPERLINK("https://www.senat.fr/senateur-3eme-republique/bergeon_benoit0324r3.html", "bergeon_benoit0324r3")</f>
        <v>0</v>
      </c>
      <c r="N12629">
        <f>HYPERLINK("https://www.wikidata.org/wiki/Q818101", "Q818101")</f>
        <v>0</v>
      </c>
      <c r="O12629" t="s">
        <v>19990</v>
      </c>
      <c r="Q12629" t="s">
        <v>402</v>
      </c>
      <c r="R12629" t="s">
        <v>21705</v>
      </c>
      <c r="S12629">
        <v>3291</v>
      </c>
    </row>
    <row r="12630" spans="1:19">
      <c r="A12630" t="s">
        <v>141</v>
      </c>
      <c r="B12630" t="s">
        <v>150</v>
      </c>
      <c r="C12630" t="s">
        <v>273</v>
      </c>
      <c r="D12630" t="s">
        <v>402</v>
      </c>
      <c r="F12630">
        <f>HYPERLINK("https://www.wikidata.org/wiki/Q28494844", "Q28494844")</f>
        <v>0</v>
      </c>
      <c r="G12630" t="s">
        <v>537</v>
      </c>
      <c r="H12630" t="s">
        <v>5301</v>
      </c>
      <c r="I12630" t="s">
        <v>9399</v>
      </c>
      <c r="J12630" t="s">
        <v>11289</v>
      </c>
      <c r="K12630" t="s">
        <v>15689</v>
      </c>
      <c r="L12630">
        <f>HYPERLINK("https://www2.assemblee-nationale.fr/sycomore/fiche/(num_dept)/918", "918")</f>
        <v>0</v>
      </c>
      <c r="M12630">
        <f>HYPERLINK("https://www.senat.fr/senateur-3eme-republique/bollet_donat0013r3.html", "bollet_donat0013r3")</f>
        <v>0</v>
      </c>
      <c r="N12630">
        <f>HYPERLINK("https://www.wikidata.org/wiki/Q3036181", "Q3036181")</f>
        <v>0</v>
      </c>
      <c r="O12630" t="s">
        <v>19986</v>
      </c>
      <c r="Q12630" t="s">
        <v>402</v>
      </c>
      <c r="R12630" t="s">
        <v>21650</v>
      </c>
      <c r="S12630">
        <v>9051</v>
      </c>
    </row>
    <row r="12631" spans="1:19">
      <c r="A12631" t="s">
        <v>141</v>
      </c>
      <c r="B12631" t="s">
        <v>150</v>
      </c>
      <c r="C12631" t="s">
        <v>273</v>
      </c>
      <c r="D12631" t="s">
        <v>402</v>
      </c>
      <c r="F12631">
        <f>HYPERLINK("https://www.wikidata.org/wiki/Q28494844", "Q28494844")</f>
        <v>0</v>
      </c>
      <c r="G12631" t="s">
        <v>877</v>
      </c>
      <c r="H12631" t="s">
        <v>5633</v>
      </c>
      <c r="I12631" t="s">
        <v>9483</v>
      </c>
      <c r="J12631" t="s">
        <v>11623</v>
      </c>
      <c r="K12631" t="s">
        <v>343</v>
      </c>
      <c r="L12631">
        <f>HYPERLINK("https://www2.assemblee-nationale.fr/sycomore/fiche/(num_dept)/956", "956")</f>
        <v>0</v>
      </c>
      <c r="M12631">
        <f>HYPERLINK("https://www.senat.fr/senateur-3eme-republique/bonniard_victor0085r3.html", "bonniard_victor0085r3")</f>
        <v>0</v>
      </c>
      <c r="N12631">
        <f>HYPERLINK("https://www.wikidata.org/wiki/Q3557172", "Q3557172")</f>
        <v>0</v>
      </c>
      <c r="O12631" t="s">
        <v>19981</v>
      </c>
      <c r="Q12631" t="s">
        <v>402</v>
      </c>
      <c r="R12631" t="s">
        <v>343</v>
      </c>
      <c r="S12631">
        <v>1252</v>
      </c>
    </row>
    <row r="12632" spans="1:19">
      <c r="A12632" t="s">
        <v>141</v>
      </c>
      <c r="B12632" t="s">
        <v>150</v>
      </c>
      <c r="C12632" t="s">
        <v>273</v>
      </c>
      <c r="D12632" t="s">
        <v>402</v>
      </c>
      <c r="F12632">
        <f>HYPERLINK("https://www.wikidata.org/wiki/Q28494844", "Q28494844")</f>
        <v>0</v>
      </c>
      <c r="G12632" t="s">
        <v>552</v>
      </c>
      <c r="H12632" t="s">
        <v>5315</v>
      </c>
      <c r="I12632" t="s">
        <v>9410</v>
      </c>
      <c r="J12632" t="s">
        <v>11303</v>
      </c>
      <c r="K12632" t="s">
        <v>15704</v>
      </c>
      <c r="L12632">
        <f>HYPERLINK("https://www2.assemblee-nationale.fr/sycomore/fiche/(num_dept)/1203", "1203")</f>
        <v>0</v>
      </c>
      <c r="M12632">
        <f>HYPERLINK("https://www.senat.fr/senateur-3eme-republique/breton_jules0441r3.html", "breton_jules0441r3")</f>
        <v>0</v>
      </c>
      <c r="N12632">
        <f>HYPERLINK("https://www.wikidata.org/wiki/Q3188368", "Q3188368")</f>
        <v>0</v>
      </c>
      <c r="O12632" t="s">
        <v>19996</v>
      </c>
      <c r="Q12632" t="s">
        <v>402</v>
      </c>
      <c r="R12632" t="s">
        <v>21705</v>
      </c>
      <c r="S12632">
        <v>3291</v>
      </c>
    </row>
    <row r="12633" spans="1:19">
      <c r="A12633" t="s">
        <v>141</v>
      </c>
      <c r="B12633" t="s">
        <v>150</v>
      </c>
      <c r="C12633" t="s">
        <v>273</v>
      </c>
      <c r="D12633" t="s">
        <v>402</v>
      </c>
      <c r="F12633">
        <f>HYPERLINK("https://www.wikidata.org/wiki/Q28494844", "Q28494844")</f>
        <v>0</v>
      </c>
      <c r="G12633" t="s">
        <v>3688</v>
      </c>
      <c r="H12633" t="s">
        <v>8010</v>
      </c>
      <c r="I12633" t="s">
        <v>6478</v>
      </c>
      <c r="J12633" t="s">
        <v>14264</v>
      </c>
      <c r="K12633" t="s">
        <v>18625</v>
      </c>
      <c r="L12633">
        <f>HYPERLINK("https://www2.assemblee-nationale.fr/sycomore/fiche/(num_dept)/1512", "1512")</f>
        <v>0</v>
      </c>
      <c r="M12633">
        <f>HYPERLINK("https://www.senat.fr/senateur-3eme-republique/castillard_henri0222r3.html", "castillard_henri0222r3")</f>
        <v>0</v>
      </c>
      <c r="N12633">
        <f>HYPERLINK("https://www.wikidata.org/wiki/Q3130800", "Q3130800")</f>
        <v>0</v>
      </c>
      <c r="O12633" t="s">
        <v>8449</v>
      </c>
      <c r="Q12633" t="s">
        <v>402</v>
      </c>
      <c r="R12633" t="s">
        <v>21650</v>
      </c>
      <c r="S12633">
        <v>9051</v>
      </c>
    </row>
    <row r="12634" spans="1:19">
      <c r="A12634" t="s">
        <v>141</v>
      </c>
      <c r="B12634" t="s">
        <v>150</v>
      </c>
      <c r="C12634" t="s">
        <v>273</v>
      </c>
      <c r="D12634" t="s">
        <v>402</v>
      </c>
      <c r="F12634">
        <f>HYPERLINK("https://www.wikidata.org/wiki/Q28494844", "Q28494844")</f>
        <v>0</v>
      </c>
      <c r="G12634" t="s">
        <v>3901</v>
      </c>
      <c r="H12634" t="s">
        <v>6116</v>
      </c>
      <c r="I12634" t="s">
        <v>5504</v>
      </c>
      <c r="J12634" t="s">
        <v>14458</v>
      </c>
      <c r="K12634" t="s">
        <v>18808</v>
      </c>
      <c r="L12634">
        <f>HYPERLINK("https://www2.assemblee-nationale.fr/sycomore/fiche/(num_dept)/1550", "1550")</f>
        <v>0</v>
      </c>
      <c r="M12634">
        <f>HYPERLINK("https://www.senat.fr/senateur-3eme-republique/cazals_noel0372r3.html", "cazals_noel0372r3")</f>
        <v>0</v>
      </c>
      <c r="N12634">
        <f>HYPERLINK("https://www.wikidata.org/wiki/Q3345784", "Q3345784")</f>
        <v>0</v>
      </c>
      <c r="O12634" t="s">
        <v>19966</v>
      </c>
      <c r="Q12634" t="s">
        <v>402</v>
      </c>
      <c r="R12634" t="s">
        <v>21705</v>
      </c>
      <c r="S12634">
        <v>3291</v>
      </c>
    </row>
    <row r="12635" spans="1:19">
      <c r="A12635" t="s">
        <v>141</v>
      </c>
      <c r="B12635" t="s">
        <v>150</v>
      </c>
      <c r="C12635" t="s">
        <v>273</v>
      </c>
      <c r="D12635" t="s">
        <v>402</v>
      </c>
      <c r="F12635">
        <f>HYPERLINK("https://www.wikidata.org/wiki/Q28494844", "Q28494844")</f>
        <v>0</v>
      </c>
      <c r="G12635" t="s">
        <v>904</v>
      </c>
      <c r="H12635" t="s">
        <v>5660</v>
      </c>
      <c r="I12635" t="s">
        <v>9583</v>
      </c>
      <c r="J12635" t="s">
        <v>11649</v>
      </c>
      <c r="K12635" t="s">
        <v>16048</v>
      </c>
      <c r="L12635">
        <f>HYPERLINK("https://www2.assemblee-nationale.fr/sycomore/fiche/(num_dept)/1634", "1634")</f>
        <v>0</v>
      </c>
      <c r="M12635">
        <f>HYPERLINK("https://www.senat.fr/senateur-3eme-republique/chanal_jean0017r3.html", "chanal_jean0017r3")</f>
        <v>0</v>
      </c>
      <c r="N12635">
        <f>HYPERLINK("https://www.wikidata.org/wiki/Q3059763", "Q3059763")</f>
        <v>0</v>
      </c>
      <c r="O12635" t="s">
        <v>19986</v>
      </c>
      <c r="Q12635" t="s">
        <v>402</v>
      </c>
      <c r="R12635" t="s">
        <v>21705</v>
      </c>
      <c r="S12635">
        <v>3291</v>
      </c>
    </row>
    <row r="12636" spans="1:19">
      <c r="A12636" t="s">
        <v>141</v>
      </c>
      <c r="B12636" t="s">
        <v>150</v>
      </c>
      <c r="C12636" t="s">
        <v>273</v>
      </c>
      <c r="D12636" t="s">
        <v>402</v>
      </c>
      <c r="F12636">
        <f>HYPERLINK("https://www.wikidata.org/wiki/Q28494844", "Q28494844")</f>
        <v>0</v>
      </c>
      <c r="G12636" t="s">
        <v>1239</v>
      </c>
      <c r="H12636" t="s">
        <v>5964</v>
      </c>
      <c r="I12636" t="s">
        <v>9723</v>
      </c>
      <c r="J12636" t="s">
        <v>11970</v>
      </c>
      <c r="K12636" t="s">
        <v>16373</v>
      </c>
      <c r="L12636">
        <f>HYPERLINK("https://www2.assemblee-nationale.fr/sycomore/fiche/(num_dept)/1678", "1678")</f>
        <v>0</v>
      </c>
      <c r="M12636">
        <f>HYPERLINK("https://www.senat.fr/senateur-3eme-republique/charpentier_leon0163r3.html", "charpentier_leon0163r3")</f>
        <v>0</v>
      </c>
      <c r="N12636">
        <f>HYPERLINK("https://www.wikidata.org/wiki/Q3270817", "Q3270817")</f>
        <v>0</v>
      </c>
      <c r="O12636" t="s">
        <v>19959</v>
      </c>
      <c r="Q12636" t="s">
        <v>402</v>
      </c>
      <c r="R12636" t="s">
        <v>21650</v>
      </c>
      <c r="S12636">
        <v>9051</v>
      </c>
    </row>
    <row r="12637" spans="1:19">
      <c r="A12637" t="s">
        <v>141</v>
      </c>
      <c r="B12637" t="s">
        <v>150</v>
      </c>
      <c r="C12637" t="s">
        <v>273</v>
      </c>
      <c r="D12637" t="s">
        <v>402</v>
      </c>
      <c r="F12637">
        <f>HYPERLINK("https://www.wikidata.org/wiki/Q28494844", "Q28494844")</f>
        <v>0</v>
      </c>
      <c r="G12637" t="s">
        <v>576</v>
      </c>
      <c r="H12637" t="s">
        <v>5338</v>
      </c>
      <c r="I12637" t="s">
        <v>6478</v>
      </c>
      <c r="J12637" t="s">
        <v>11327</v>
      </c>
      <c r="K12637" t="s">
        <v>15728</v>
      </c>
      <c r="L12637">
        <f>HYPERLINK("https://www2.assemblee-nationale.fr/sycomore/fiche/(num_dept)/1768", "1768")</f>
        <v>0</v>
      </c>
      <c r="M12637">
        <f>HYPERLINK("https://www.senat.fr/senateur-3eme-republique/cheron_henry0337r3.html", "cheron_henry0337r3")</f>
        <v>0</v>
      </c>
      <c r="N12637">
        <f>HYPERLINK("https://www.wikidata.org/wiki/Q3132698", "Q3132698")</f>
        <v>0</v>
      </c>
      <c r="O12637" t="s">
        <v>20009</v>
      </c>
      <c r="Q12637" t="s">
        <v>402</v>
      </c>
      <c r="R12637" t="s">
        <v>21705</v>
      </c>
      <c r="S12637">
        <v>3291</v>
      </c>
    </row>
    <row r="12638" spans="1:19">
      <c r="A12638" t="s">
        <v>141</v>
      </c>
      <c r="B12638" t="s">
        <v>150</v>
      </c>
      <c r="C12638" t="s">
        <v>273</v>
      </c>
      <c r="D12638" t="s">
        <v>402</v>
      </c>
      <c r="F12638">
        <f>HYPERLINK("https://www.wikidata.org/wiki/Q28494844", "Q28494844")</f>
        <v>0</v>
      </c>
      <c r="G12638" t="s">
        <v>1105</v>
      </c>
      <c r="H12638" t="s">
        <v>5846</v>
      </c>
      <c r="I12638" t="s">
        <v>6200</v>
      </c>
      <c r="J12638" t="s">
        <v>11840</v>
      </c>
      <c r="K12638" t="s">
        <v>16241</v>
      </c>
      <c r="L12638">
        <f>HYPERLINK("https://www2.assemblee-nationale.fr/sycomore/fiche/(num_dept)/2060", "2060")</f>
        <v>0</v>
      </c>
      <c r="M12638">
        <f>HYPERLINK("https://www.senat.fr/senateur-3eme-republique/coyrard_jean0408r3.html", "coyrard_jean0408r3")</f>
        <v>0</v>
      </c>
      <c r="N12638">
        <f>HYPERLINK("https://www.wikidata.org/wiki/Q3171480", "Q3171480")</f>
        <v>0</v>
      </c>
      <c r="O12638" t="s">
        <v>20037</v>
      </c>
      <c r="Q12638" t="s">
        <v>402</v>
      </c>
      <c r="R12638" t="s">
        <v>21705</v>
      </c>
      <c r="S12638">
        <v>3291</v>
      </c>
    </row>
    <row r="12639" spans="1:19">
      <c r="A12639" t="s">
        <v>141</v>
      </c>
      <c r="B12639" t="s">
        <v>150</v>
      </c>
      <c r="C12639" t="s">
        <v>273</v>
      </c>
      <c r="D12639" t="s">
        <v>402</v>
      </c>
      <c r="F12639">
        <f>HYPERLINK("https://www.wikidata.org/wiki/Q28494844", "Q28494844")</f>
        <v>0</v>
      </c>
      <c r="G12639" t="s">
        <v>3241</v>
      </c>
      <c r="H12639" t="s">
        <v>7665</v>
      </c>
      <c r="I12639" t="s">
        <v>10726</v>
      </c>
      <c r="J12639" t="s">
        <v>13859</v>
      </c>
      <c r="K12639" t="s">
        <v>18231</v>
      </c>
      <c r="L12639">
        <f>HYPERLINK("https://www2.assemblee-nationale.fr/sycomore/fiche/(num_dept)/2063", "2063")</f>
        <v>0</v>
      </c>
      <c r="M12639">
        <f>HYPERLINK("https://www.senat.fr/senateur-3eme-republique/cremieux_fernand0821r3.html", "cremieux_fernand0821r3")</f>
        <v>0</v>
      </c>
      <c r="N12639">
        <f>HYPERLINK("https://www.wikidata.org/wiki/Q1406493", "Q1406493")</f>
        <v>0</v>
      </c>
      <c r="O12639" t="s">
        <v>20014</v>
      </c>
      <c r="Q12639" t="s">
        <v>402</v>
      </c>
      <c r="R12639" t="s">
        <v>21650</v>
      </c>
      <c r="S12639">
        <v>9051</v>
      </c>
    </row>
    <row r="12640" spans="1:19">
      <c r="A12640" t="s">
        <v>141</v>
      </c>
      <c r="B12640" t="s">
        <v>150</v>
      </c>
      <c r="C12640" t="s">
        <v>273</v>
      </c>
      <c r="D12640" t="s">
        <v>402</v>
      </c>
      <c r="F12640">
        <f>HYPERLINK("https://www.wikidata.org/wiki/Q28494844", "Q28494844")</f>
        <v>0</v>
      </c>
      <c r="G12640" t="s">
        <v>613</v>
      </c>
      <c r="H12640" t="s">
        <v>5373</v>
      </c>
      <c r="I12640" t="s">
        <v>9388</v>
      </c>
      <c r="J12640" t="s">
        <v>11364</v>
      </c>
      <c r="K12640" t="s">
        <v>15765</v>
      </c>
      <c r="L12640">
        <f>HYPERLINK("https://www2.assemblee-nationale.fr/sycomore/fiche/(num_dept)/2425", "2425")</f>
        <v>0</v>
      </c>
      <c r="M12640">
        <f>HYPERLINK("https://www.senat.fr/senateur-3eme-republique/deschanel_paul0768r3.html", "deschanel_paul0768r3")</f>
        <v>0</v>
      </c>
      <c r="N12640">
        <f>HYPERLINK("https://www.wikidata.org/wiki/Q309995", "Q309995")</f>
        <v>0</v>
      </c>
      <c r="O12640" t="s">
        <v>19971</v>
      </c>
      <c r="Q12640" t="s">
        <v>402</v>
      </c>
      <c r="R12640" t="s">
        <v>15765</v>
      </c>
      <c r="S12640">
        <v>474</v>
      </c>
    </row>
    <row r="12641" spans="1:19">
      <c r="A12641" t="s">
        <v>141</v>
      </c>
      <c r="B12641" t="s">
        <v>150</v>
      </c>
      <c r="C12641" t="s">
        <v>273</v>
      </c>
      <c r="D12641" t="s">
        <v>402</v>
      </c>
      <c r="F12641">
        <f>HYPERLINK("https://www.wikidata.org/wiki/Q28494844", "Q28494844")</f>
        <v>0</v>
      </c>
      <c r="G12641" t="s">
        <v>3381</v>
      </c>
      <c r="H12641" t="s">
        <v>7773</v>
      </c>
      <c r="I12641" t="s">
        <v>9388</v>
      </c>
      <c r="J12641" t="s">
        <v>13991</v>
      </c>
      <c r="K12641" t="s">
        <v>18361</v>
      </c>
      <c r="L12641">
        <f>HYPERLINK("https://www2.assemblee-nationale.fr/sycomore/fiche/(num_dept)/2569", "2569")</f>
        <v>0</v>
      </c>
      <c r="M12641">
        <f>HYPERLINK("https://www.senat.fr/senateur-3eme-republique/doumer_paul0473r3.html", "doumer_paul0473r3")</f>
        <v>0</v>
      </c>
      <c r="N12641">
        <f>HYPERLINK("https://www.wikidata.org/wiki/Q12680", "Q12680")</f>
        <v>0</v>
      </c>
      <c r="O12641" t="s">
        <v>19955</v>
      </c>
      <c r="Q12641" t="s">
        <v>402</v>
      </c>
      <c r="R12641" t="s">
        <v>21705</v>
      </c>
      <c r="S12641">
        <v>3291</v>
      </c>
    </row>
    <row r="12642" spans="1:19">
      <c r="A12642" t="s">
        <v>141</v>
      </c>
      <c r="B12642" t="s">
        <v>150</v>
      </c>
      <c r="C12642" t="s">
        <v>273</v>
      </c>
      <c r="D12642" t="s">
        <v>402</v>
      </c>
      <c r="F12642">
        <f>HYPERLINK("https://www.wikidata.org/wiki/Q28494844", "Q28494844")</f>
        <v>0</v>
      </c>
      <c r="G12642" t="s">
        <v>3819</v>
      </c>
      <c r="H12642" t="s">
        <v>8103</v>
      </c>
      <c r="I12642" t="s">
        <v>9470</v>
      </c>
      <c r="J12642" t="s">
        <v>14385</v>
      </c>
      <c r="K12642" t="s">
        <v>18737</v>
      </c>
      <c r="L12642">
        <f>HYPERLINK("https://www2.assemblee-nationale.fr/sycomore/fiche/(num_dept)/2570", "2570")</f>
        <v>0</v>
      </c>
      <c r="M12642">
        <f>HYPERLINK("https://www.senat.fr/senateur-3eme-republique/doumergue_gaston0833r3.html", "doumergue_gaston0833r3")</f>
        <v>0</v>
      </c>
      <c r="N12642">
        <f>HYPERLINK("https://www.wikidata.org/wiki/Q296064", "Q296064")</f>
        <v>0</v>
      </c>
      <c r="O12642" t="s">
        <v>20014</v>
      </c>
      <c r="Q12642" t="s">
        <v>402</v>
      </c>
      <c r="R12642" t="s">
        <v>21650</v>
      </c>
      <c r="S12642">
        <v>9051</v>
      </c>
    </row>
    <row r="12643" spans="1:19">
      <c r="A12643" t="s">
        <v>141</v>
      </c>
      <c r="B12643" t="s">
        <v>150</v>
      </c>
      <c r="C12643" t="s">
        <v>273</v>
      </c>
      <c r="D12643" t="s">
        <v>402</v>
      </c>
      <c r="F12643">
        <f>HYPERLINK("https://www.wikidata.org/wiki/Q28494844", "Q28494844")</f>
        <v>0</v>
      </c>
      <c r="G12643" t="s">
        <v>628</v>
      </c>
      <c r="H12643" t="s">
        <v>5388</v>
      </c>
      <c r="I12643" t="s">
        <v>6200</v>
      </c>
      <c r="J12643" t="s">
        <v>11378</v>
      </c>
      <c r="K12643" t="s">
        <v>15780</v>
      </c>
      <c r="L12643">
        <f>HYPERLINK("https://www2.assemblee-nationale.fr/sycomore/fiche/(num_dept)/2757", "2757")</f>
        <v>0</v>
      </c>
      <c r="M12643">
        <f>HYPERLINK("https://www.senat.fr/senateur-3eme-republique/durand_jean0270r3.html", "durand_jean0270r3")</f>
        <v>0</v>
      </c>
      <c r="N12643">
        <f>HYPERLINK("https://www.wikidata.org/wiki/Q3171885", "Q3171885")</f>
        <v>0</v>
      </c>
      <c r="O12643" t="s">
        <v>19960</v>
      </c>
      <c r="Q12643" t="s">
        <v>402</v>
      </c>
      <c r="R12643" t="s">
        <v>21705</v>
      </c>
      <c r="S12643">
        <v>3291</v>
      </c>
    </row>
    <row r="12644" spans="1:19">
      <c r="A12644" t="s">
        <v>141</v>
      </c>
      <c r="B12644" t="s">
        <v>150</v>
      </c>
      <c r="C12644" t="s">
        <v>273</v>
      </c>
      <c r="D12644" t="s">
        <v>402</v>
      </c>
      <c r="F12644">
        <f>HYPERLINK("https://www.wikidata.org/wiki/Q28494844", "Q28494844")</f>
        <v>0</v>
      </c>
      <c r="G12644" t="s">
        <v>3871</v>
      </c>
      <c r="H12644" t="s">
        <v>8139</v>
      </c>
      <c r="I12644" t="s">
        <v>6175</v>
      </c>
      <c r="J12644" t="s">
        <v>14430</v>
      </c>
      <c r="K12644" t="s">
        <v>18782</v>
      </c>
      <c r="L12644">
        <f>HYPERLINK("https://www2.assemblee-nationale.fr/sycomore/fiche/(num_dept)/2833", "2833")</f>
        <v>0</v>
      </c>
      <c r="M12644">
        <f>HYPERLINK("https://www.senat.fr/senateur-3eme-republique/ermant_georges0030r3.html", "ermant_georges0030r3")</f>
        <v>0</v>
      </c>
      <c r="N12644">
        <f>HYPERLINK("https://www.wikidata.org/wiki/Q3102677", "Q3102677")</f>
        <v>0</v>
      </c>
      <c r="O12644" t="s">
        <v>20015</v>
      </c>
      <c r="Q12644" t="s">
        <v>402</v>
      </c>
      <c r="R12644" t="s">
        <v>21650</v>
      </c>
      <c r="S12644">
        <v>9051</v>
      </c>
    </row>
    <row r="12645" spans="1:19">
      <c r="A12645" t="s">
        <v>141</v>
      </c>
      <c r="B12645" t="s">
        <v>150</v>
      </c>
      <c r="C12645" t="s">
        <v>273</v>
      </c>
      <c r="D12645" t="s">
        <v>402</v>
      </c>
      <c r="F12645">
        <f>HYPERLINK("https://www.wikidata.org/wiki/Q28494844", "Q28494844")</f>
        <v>0</v>
      </c>
      <c r="G12645" t="s">
        <v>681</v>
      </c>
      <c r="H12645" t="s">
        <v>5440</v>
      </c>
      <c r="I12645" t="s">
        <v>9478</v>
      </c>
      <c r="J12645" t="s">
        <v>11431</v>
      </c>
      <c r="K12645" t="s">
        <v>15832</v>
      </c>
      <c r="L12645">
        <f>HYPERLINK("https://www2.assemblee-nationale.fr/sycomore/fiche/(num_dept)/3794", "3794")</f>
        <v>0</v>
      </c>
      <c r="M12645">
        <f>HYPERLINK("https://www.senat.fr/senateur-3eme-republique/hennessy_james0392r3.html", "hennessy_james0392r3")</f>
        <v>0</v>
      </c>
      <c r="N12645">
        <f>HYPERLINK("https://www.wikidata.org/wiki/Q3161145", "Q3161145")</f>
        <v>0</v>
      </c>
      <c r="O12645" t="s">
        <v>20031</v>
      </c>
      <c r="Q12645" t="s">
        <v>402</v>
      </c>
      <c r="R12645" t="s">
        <v>21705</v>
      </c>
      <c r="S12645">
        <v>3291</v>
      </c>
    </row>
    <row r="12646" spans="1:19">
      <c r="A12646" t="s">
        <v>141</v>
      </c>
      <c r="B12646" t="s">
        <v>150</v>
      </c>
      <c r="C12646" t="s">
        <v>273</v>
      </c>
      <c r="D12646" t="s">
        <v>402</v>
      </c>
      <c r="F12646">
        <f>HYPERLINK("https://www.wikidata.org/wiki/Q28494844", "Q28494844")</f>
        <v>0</v>
      </c>
      <c r="G12646" t="s">
        <v>686</v>
      </c>
      <c r="H12646" t="s">
        <v>5444</v>
      </c>
      <c r="I12646" t="s">
        <v>6585</v>
      </c>
      <c r="J12646" t="s">
        <v>11436</v>
      </c>
      <c r="K12646" t="s">
        <v>15837</v>
      </c>
      <c r="L12646">
        <f>HYPERLINK("https://www2.assemblee-nationale.fr/sycomore/fiche/(num_dept)/3859", "3859")</f>
        <v>0</v>
      </c>
      <c r="M12646">
        <f>HYPERLINK("https://www.senat.fr/senateur-3eme-republique/honnorat_andre0070r3.html", "honnorat_andre0070r3")</f>
        <v>0</v>
      </c>
      <c r="N12646">
        <f>HYPERLINK("https://www.wikidata.org/wiki/Q23762", "Q23762")</f>
        <v>0</v>
      </c>
      <c r="O12646" t="s">
        <v>20033</v>
      </c>
      <c r="Q12646" t="s">
        <v>402</v>
      </c>
      <c r="R12646" t="s">
        <v>21705</v>
      </c>
      <c r="S12646">
        <v>3291</v>
      </c>
    </row>
    <row r="12647" spans="1:19">
      <c r="A12647" t="s">
        <v>141</v>
      </c>
      <c r="B12647" t="s">
        <v>150</v>
      </c>
      <c r="C12647" t="s">
        <v>273</v>
      </c>
      <c r="D12647" t="s">
        <v>402</v>
      </c>
      <c r="F12647">
        <f>HYPERLINK("https://www.wikidata.org/wiki/Q28494844", "Q28494844")</f>
        <v>0</v>
      </c>
      <c r="G12647" t="s">
        <v>687</v>
      </c>
      <c r="H12647" t="s">
        <v>5445</v>
      </c>
      <c r="I12647" t="s">
        <v>9455</v>
      </c>
      <c r="J12647" t="s">
        <v>11437</v>
      </c>
      <c r="K12647" t="s">
        <v>15838</v>
      </c>
      <c r="L12647">
        <f>HYPERLINK("https://www2.assemblee-nationale.fr/sycomore/fiche/(num_dept)/3885", "3885")</f>
        <v>0</v>
      </c>
      <c r="M12647">
        <f>HYPERLINK("https://www.senat.fr/senateur-3eme-republique/hubert_lucien0176r3.html", "hubert_lucien0176r3")</f>
        <v>0</v>
      </c>
      <c r="N12647">
        <f>HYPERLINK("https://www.wikidata.org/wiki/Q2117075", "Q2117075")</f>
        <v>0</v>
      </c>
      <c r="O12647" t="s">
        <v>19959</v>
      </c>
      <c r="Q12647" t="s">
        <v>402</v>
      </c>
      <c r="R12647" t="s">
        <v>21705</v>
      </c>
      <c r="S12647">
        <v>3291</v>
      </c>
    </row>
    <row r="12648" spans="1:19">
      <c r="A12648" t="s">
        <v>141</v>
      </c>
      <c r="B12648" t="s">
        <v>150</v>
      </c>
      <c r="C12648" t="s">
        <v>273</v>
      </c>
      <c r="D12648" t="s">
        <v>402</v>
      </c>
      <c r="F12648">
        <f>HYPERLINK("https://www.wikidata.org/wiki/Q28494844", "Q28494844")</f>
        <v>0</v>
      </c>
      <c r="G12648" t="s">
        <v>695</v>
      </c>
      <c r="H12648" t="s">
        <v>5453</v>
      </c>
      <c r="I12648" t="s">
        <v>9421</v>
      </c>
      <c r="J12648" t="s">
        <v>11445</v>
      </c>
      <c r="K12648" t="s">
        <v>15846</v>
      </c>
      <c r="L12648">
        <f>HYPERLINK("https://www2.assemblee-nationale.fr/sycomore/fiche/(num_dept)/4128", "4128")</f>
        <v>0</v>
      </c>
      <c r="M12648">
        <f>HYPERLINK("https://www.senat.fr/senateur-3eme-republique/de_kerguezec_gustave0567r3.html", "de_kerguezec_gustave0567r3")</f>
        <v>0</v>
      </c>
      <c r="N12648">
        <f>HYPERLINK("https://www.wikidata.org/wiki/Q3121362", "Q3121362")</f>
        <v>0</v>
      </c>
      <c r="O12648" t="s">
        <v>19964</v>
      </c>
      <c r="Q12648" t="s">
        <v>402</v>
      </c>
      <c r="R12648" t="s">
        <v>21705</v>
      </c>
      <c r="S12648">
        <v>3291</v>
      </c>
    </row>
    <row r="12649" spans="1:19">
      <c r="A12649" t="s">
        <v>141</v>
      </c>
      <c r="B12649" t="s">
        <v>150</v>
      </c>
      <c r="C12649" t="s">
        <v>273</v>
      </c>
      <c r="D12649" t="s">
        <v>402</v>
      </c>
      <c r="F12649">
        <f>HYPERLINK("https://www.wikidata.org/wiki/Q28494844", "Q28494844")</f>
        <v>0</v>
      </c>
      <c r="G12649" t="s">
        <v>698</v>
      </c>
      <c r="H12649" t="s">
        <v>5456</v>
      </c>
      <c r="I12649" t="s">
        <v>9421</v>
      </c>
      <c r="J12649" t="s">
        <v>11448</v>
      </c>
      <c r="K12649" t="s">
        <v>15849</v>
      </c>
      <c r="L12649">
        <f>HYPERLINK("https://www2.assemblee-nationale.fr/sycomore/fiche/(num_dept)/4168", "4168")</f>
        <v>0</v>
      </c>
      <c r="M12649">
        <f>HYPERLINK("https://www.senat.fr/senateur-3eme-republique/lhopiteau_gustave0772r3.html", "lhopiteau_gustave0772r3")</f>
        <v>0</v>
      </c>
      <c r="N12649">
        <f>HYPERLINK("https://www.wikidata.org/wiki/Q3121244", "Q3121244")</f>
        <v>0</v>
      </c>
      <c r="O12649" t="s">
        <v>19971</v>
      </c>
      <c r="Q12649" t="s">
        <v>402</v>
      </c>
      <c r="R12649" t="s">
        <v>21650</v>
      </c>
      <c r="S12649">
        <v>9051</v>
      </c>
    </row>
    <row r="12650" spans="1:19">
      <c r="A12650" t="s">
        <v>141</v>
      </c>
      <c r="B12650" t="s">
        <v>150</v>
      </c>
      <c r="C12650" t="s">
        <v>273</v>
      </c>
      <c r="D12650" t="s">
        <v>402</v>
      </c>
      <c r="F12650">
        <f>HYPERLINK("https://www.wikidata.org/wiki/Q28494844", "Q28494844")</f>
        <v>0</v>
      </c>
      <c r="G12650" t="s">
        <v>699</v>
      </c>
      <c r="H12650" t="s">
        <v>5457</v>
      </c>
      <c r="I12650" t="s">
        <v>9376</v>
      </c>
      <c r="J12650" t="s">
        <v>11449</v>
      </c>
      <c r="K12650" t="s">
        <v>15850</v>
      </c>
      <c r="L12650">
        <f>HYPERLINK("https://www2.assemblee-nationale.fr/sycomore/fiche/(num_dept)/4171", "4171")</f>
        <v>0</v>
      </c>
      <c r="M12650">
        <f>HYPERLINK("https://www.senat.fr/senateur-3eme-republique/de_la_batut_ferdinand0668r3.html", "de_la_batut_ferdinand0668r3")</f>
        <v>0</v>
      </c>
      <c r="N12650">
        <f>HYPERLINK("https://www.wikidata.org/wiki/Q3068680", "Q3068680")</f>
        <v>0</v>
      </c>
      <c r="O12650" t="s">
        <v>20010</v>
      </c>
      <c r="Q12650" t="s">
        <v>402</v>
      </c>
      <c r="R12650" t="s">
        <v>21650</v>
      </c>
      <c r="S12650">
        <v>9051</v>
      </c>
    </row>
    <row r="12651" spans="1:19">
      <c r="A12651" t="s">
        <v>141</v>
      </c>
      <c r="B12651" t="s">
        <v>150</v>
      </c>
      <c r="C12651" t="s">
        <v>273</v>
      </c>
      <c r="D12651" t="s">
        <v>402</v>
      </c>
      <c r="F12651">
        <f>HYPERLINK("https://www.wikidata.org/wiki/Q28494844", "Q28494844")</f>
        <v>0</v>
      </c>
      <c r="G12651" t="s">
        <v>1270</v>
      </c>
      <c r="H12651" t="s">
        <v>5994</v>
      </c>
      <c r="I12651" t="s">
        <v>9376</v>
      </c>
      <c r="J12651" t="s">
        <v>12000</v>
      </c>
      <c r="K12651" t="s">
        <v>16403</v>
      </c>
      <c r="L12651">
        <f>HYPERLINK("https://www2.assemblee-nationale.fr/sycomore/fiche/(num_dept)/4323", "4323")</f>
        <v>0</v>
      </c>
      <c r="M12651">
        <f>HYPERLINK("https://www.senat.fr/senateur-3eme-republique/lancien_ferdinand0803r3.html", "lancien_ferdinand0803r3")</f>
        <v>0</v>
      </c>
      <c r="N12651">
        <f>HYPERLINK("https://www.wikidata.org/wiki/Q3068602", "Q3068602")</f>
        <v>0</v>
      </c>
      <c r="O12651" t="s">
        <v>20011</v>
      </c>
      <c r="Q12651" t="s">
        <v>402</v>
      </c>
      <c r="R12651" t="s">
        <v>21705</v>
      </c>
      <c r="S12651">
        <v>3291</v>
      </c>
    </row>
    <row r="12652" spans="1:19">
      <c r="A12652" t="s">
        <v>141</v>
      </c>
      <c r="B12652" t="s">
        <v>150</v>
      </c>
      <c r="C12652" t="s">
        <v>273</v>
      </c>
      <c r="D12652" t="s">
        <v>402</v>
      </c>
      <c r="F12652">
        <f>HYPERLINK("https://www.wikidata.org/wiki/Q28494844", "Q28494844")</f>
        <v>0</v>
      </c>
      <c r="G12652" t="s">
        <v>1271</v>
      </c>
      <c r="H12652" t="s">
        <v>5995</v>
      </c>
      <c r="I12652" t="s">
        <v>6584</v>
      </c>
      <c r="J12652" t="s">
        <v>12001</v>
      </c>
      <c r="K12652" t="s">
        <v>16404</v>
      </c>
      <c r="L12652">
        <f>HYPERLINK("https://www2.assemblee-nationale.fr/sycomore/fiche/(num_dept)/4829", "4829")</f>
        <v>0</v>
      </c>
      <c r="M12652">
        <f>HYPERLINK("https://www.senat.fr/senateur-3eme-republique/louppe_albert0786r3.html", "louppe_albert0786r3")</f>
        <v>0</v>
      </c>
      <c r="N12652">
        <f>HYPERLINK("https://www.wikidata.org/wiki/Q2831353", "Q2831353")</f>
        <v>0</v>
      </c>
      <c r="O12652" t="s">
        <v>20011</v>
      </c>
      <c r="Q12652" t="s">
        <v>402</v>
      </c>
      <c r="R12652" t="s">
        <v>16404</v>
      </c>
      <c r="S12652">
        <v>2368</v>
      </c>
    </row>
    <row r="12653" spans="1:19">
      <c r="A12653" t="s">
        <v>141</v>
      </c>
      <c r="B12653" t="s">
        <v>150</v>
      </c>
      <c r="C12653" t="s">
        <v>273</v>
      </c>
      <c r="D12653" t="s">
        <v>402</v>
      </c>
      <c r="F12653">
        <f>HYPERLINK("https://www.wikidata.org/wiki/Q28494844", "Q28494844")</f>
        <v>0</v>
      </c>
      <c r="G12653" t="s">
        <v>722</v>
      </c>
      <c r="H12653" t="s">
        <v>5480</v>
      </c>
      <c r="I12653" t="s">
        <v>9465</v>
      </c>
      <c r="J12653" t="s">
        <v>11471</v>
      </c>
      <c r="K12653" t="s">
        <v>15873</v>
      </c>
      <c r="L12653">
        <f>HYPERLINK("https://www2.assemblee-nationale.fr/sycomore/fiche/(num_dept)/4954", "4954")</f>
        <v>0</v>
      </c>
      <c r="M12653">
        <f>HYPERLINK("https://www.senat.fr/senateur-3eme-republique/mando_eugene0573r3.html", "mando_eugene0573r3")</f>
        <v>0</v>
      </c>
      <c r="N12653">
        <f>HYPERLINK("https://www.wikidata.org/wiki/Q3060013", "Q3060013")</f>
        <v>0</v>
      </c>
      <c r="O12653" t="s">
        <v>19964</v>
      </c>
      <c r="Q12653" t="s">
        <v>402</v>
      </c>
      <c r="R12653" t="s">
        <v>21705</v>
      </c>
      <c r="S12653">
        <v>3291</v>
      </c>
    </row>
    <row r="12654" spans="1:19">
      <c r="A12654" t="s">
        <v>141</v>
      </c>
      <c r="B12654" t="s">
        <v>150</v>
      </c>
      <c r="C12654" t="s">
        <v>273</v>
      </c>
      <c r="D12654" t="s">
        <v>402</v>
      </c>
      <c r="F12654">
        <f>HYPERLINK("https://www.wikidata.org/wiki/Q28494844", "Q28494844")</f>
        <v>0</v>
      </c>
      <c r="G12654" t="s">
        <v>726</v>
      </c>
      <c r="H12654" t="s">
        <v>5484</v>
      </c>
      <c r="I12654" t="s">
        <v>9498</v>
      </c>
      <c r="J12654" t="s">
        <v>11475</v>
      </c>
      <c r="K12654" t="s">
        <v>15877</v>
      </c>
      <c r="L12654">
        <f>HYPERLINK("https://www2.assemblee-nationale.fr/sycomore/fiche/(num_dept)/5068", "5068")</f>
        <v>0</v>
      </c>
      <c r="M12654">
        <f>HYPERLINK("https://www.senat.fr/senateur-3eme-republique/massabuau_joseph0289r3.html", "massabuau_joseph0289r3")</f>
        <v>0</v>
      </c>
      <c r="N12654">
        <f>HYPERLINK("https://www.wikidata.org/wiki/Q3185335", "Q3185335")</f>
        <v>0</v>
      </c>
      <c r="O12654" t="s">
        <v>19967</v>
      </c>
      <c r="Q12654" t="s">
        <v>402</v>
      </c>
      <c r="R12654" t="s">
        <v>21705</v>
      </c>
      <c r="S12654">
        <v>3291</v>
      </c>
    </row>
    <row r="12655" spans="1:19">
      <c r="A12655" t="s">
        <v>141</v>
      </c>
      <c r="B12655" t="s">
        <v>150</v>
      </c>
      <c r="C12655" t="s">
        <v>273</v>
      </c>
      <c r="D12655" t="s">
        <v>402</v>
      </c>
      <c r="F12655">
        <f>HYPERLINK("https://www.wikidata.org/wiki/Q28494844", "Q28494844")</f>
        <v>0</v>
      </c>
      <c r="G12655" t="s">
        <v>1000</v>
      </c>
      <c r="H12655" t="s">
        <v>5751</v>
      </c>
      <c r="I12655" t="s">
        <v>9615</v>
      </c>
      <c r="J12655" t="s">
        <v>11349</v>
      </c>
      <c r="K12655" t="s">
        <v>16141</v>
      </c>
      <c r="L12655">
        <f>HYPERLINK("https://www2.assemblee-nationale.fr/sycomore/fiche/(num_dept)/5111", "5111")</f>
        <v>0</v>
      </c>
      <c r="M12655">
        <f>HYPERLINK("https://www.senat.fr/senateur-3eme-republique/mauger_hippolyte0446r3.html", "mauger_hippolyte0446r3")</f>
        <v>0</v>
      </c>
      <c r="N12655">
        <f>HYPERLINK("https://www.wikidata.org/wiki/Q3136085", "Q3136085")</f>
        <v>0</v>
      </c>
      <c r="O12655" t="s">
        <v>19996</v>
      </c>
      <c r="Q12655" t="s">
        <v>402</v>
      </c>
      <c r="R12655" t="s">
        <v>21705</v>
      </c>
      <c r="S12655">
        <v>3291</v>
      </c>
    </row>
    <row r="12656" spans="1:19">
      <c r="A12656" t="s">
        <v>141</v>
      </c>
      <c r="B12656" t="s">
        <v>150</v>
      </c>
      <c r="C12656" t="s">
        <v>273</v>
      </c>
      <c r="D12656" t="s">
        <v>402</v>
      </c>
      <c r="F12656">
        <f>HYPERLINK("https://www.wikidata.org/wiki/Q28494844", "Q28494844")</f>
        <v>0</v>
      </c>
      <c r="G12656" t="s">
        <v>3362</v>
      </c>
      <c r="H12656" t="s">
        <v>7759</v>
      </c>
      <c r="I12656" t="s">
        <v>9483</v>
      </c>
      <c r="J12656" t="s">
        <v>13974</v>
      </c>
      <c r="K12656" t="s">
        <v>18342</v>
      </c>
      <c r="L12656">
        <f>HYPERLINK("https://www2.assemblee-nationale.fr/sycomore/fiche/(num_dept)/5287", "5287")</f>
        <v>0</v>
      </c>
      <c r="M12656">
        <f>HYPERLINK("https://www.senat.fr/senateur-3eme-republique/milliard_victor0760r3.html", "milliard_victor0760r3")</f>
        <v>0</v>
      </c>
      <c r="N12656">
        <f>HYPERLINK("https://www.wikidata.org/wiki/Q3557460", "Q3557460")</f>
        <v>0</v>
      </c>
      <c r="O12656" t="s">
        <v>19992</v>
      </c>
      <c r="Q12656" t="s">
        <v>402</v>
      </c>
      <c r="R12656" t="s">
        <v>21650</v>
      </c>
      <c r="S12656">
        <v>9051</v>
      </c>
    </row>
    <row r="12657" spans="1:19">
      <c r="A12657" t="s">
        <v>141</v>
      </c>
      <c r="B12657" t="s">
        <v>150</v>
      </c>
      <c r="C12657" t="s">
        <v>273</v>
      </c>
      <c r="D12657" t="s">
        <v>402</v>
      </c>
      <c r="F12657">
        <f>HYPERLINK("https://www.wikidata.org/wiki/Q28494844", "Q28494844")</f>
        <v>0</v>
      </c>
      <c r="G12657" t="s">
        <v>1008</v>
      </c>
      <c r="H12657" t="s">
        <v>5759</v>
      </c>
      <c r="I12657" t="s">
        <v>9619</v>
      </c>
      <c r="J12657" t="s">
        <v>11745</v>
      </c>
      <c r="K12657" t="s">
        <v>16148</v>
      </c>
      <c r="L12657">
        <f>HYPERLINK("https://www2.assemblee-nationale.fr/sycomore/fiche/(num_dept)/5357", "5357")</f>
        <v>0</v>
      </c>
      <c r="M12657">
        <f>HYPERLINK("https://www.senat.fr/senateur-3eme-republique/monsservin_joseph0284r3.html", "monsservin_joseph0284r3")</f>
        <v>0</v>
      </c>
      <c r="N12657">
        <f>HYPERLINK("https://www.wikidata.org/wiki/Q3185378", "Q3185378")</f>
        <v>0</v>
      </c>
      <c r="O12657" t="s">
        <v>19967</v>
      </c>
      <c r="Q12657" t="s">
        <v>402</v>
      </c>
      <c r="R12657" t="s">
        <v>21705</v>
      </c>
      <c r="S12657">
        <v>3291</v>
      </c>
    </row>
    <row r="12658" spans="1:19">
      <c r="A12658" t="s">
        <v>141</v>
      </c>
      <c r="B12658" t="s">
        <v>150</v>
      </c>
      <c r="C12658" t="s">
        <v>273</v>
      </c>
      <c r="D12658" t="s">
        <v>402</v>
      </c>
      <c r="F12658">
        <f>HYPERLINK("https://www.wikidata.org/wiki/Q28494844", "Q28494844")</f>
        <v>0</v>
      </c>
      <c r="G12658" t="s">
        <v>1551</v>
      </c>
      <c r="H12658" t="s">
        <v>6243</v>
      </c>
      <c r="I12658" t="s">
        <v>9552</v>
      </c>
      <c r="J12658" t="s">
        <v>11511</v>
      </c>
      <c r="K12658" t="s">
        <v>16673</v>
      </c>
      <c r="L12658">
        <f>HYPERLINK("https://www2.assemblee-nationale.fr/sycomore/fiche/(num_dept)/5378", "5378")</f>
        <v>0</v>
      </c>
      <c r="M12658">
        <f>HYPERLINK("https://www.senat.fr/senateur-3eme-republique/montenot_auguste0533r3.html", "montenot_auguste0533r3")</f>
        <v>0</v>
      </c>
      <c r="N12658">
        <f>HYPERLINK("https://www.wikidata.org/wiki/Q2871322", "Q2871322")</f>
        <v>0</v>
      </c>
      <c r="Q12658" t="s">
        <v>402</v>
      </c>
      <c r="R12658" t="s">
        <v>21705</v>
      </c>
      <c r="S12658">
        <v>3291</v>
      </c>
    </row>
    <row r="12659" spans="1:19">
      <c r="A12659" t="s">
        <v>141</v>
      </c>
      <c r="B12659" t="s">
        <v>150</v>
      </c>
      <c r="C12659" t="s">
        <v>273</v>
      </c>
      <c r="D12659" t="s">
        <v>402</v>
      </c>
      <c r="F12659">
        <f>HYPERLINK("https://www.wikidata.org/wiki/Q28494844", "Q28494844")</f>
        <v>0</v>
      </c>
      <c r="G12659" t="s">
        <v>741</v>
      </c>
      <c r="H12659" t="s">
        <v>5499</v>
      </c>
      <c r="I12659" t="s">
        <v>9476</v>
      </c>
      <c r="J12659" t="s">
        <v>11490</v>
      </c>
      <c r="K12659" t="s">
        <v>15892</v>
      </c>
      <c r="L12659">
        <f>HYPERLINK("https://www2.assemblee-nationale.fr/sycomore/fiche/(num_dept)/5463", "5463")</f>
        <v>0</v>
      </c>
      <c r="M12659">
        <f>HYPERLINK("https://www.senat.fr/senateur-3eme-republique/de_moustier_rene0688r3.html", "de_moustier_rene0688r3")</f>
        <v>0</v>
      </c>
      <c r="N12659">
        <f>HYPERLINK("https://www.wikidata.org/wiki/Q3427071", "Q3427071")</f>
        <v>0</v>
      </c>
      <c r="O12659" t="s">
        <v>19973</v>
      </c>
      <c r="Q12659" t="s">
        <v>402</v>
      </c>
      <c r="R12659" t="s">
        <v>21705</v>
      </c>
      <c r="S12659">
        <v>3291</v>
      </c>
    </row>
    <row r="12660" spans="1:19">
      <c r="A12660" t="s">
        <v>141</v>
      </c>
      <c r="B12660" t="s">
        <v>150</v>
      </c>
      <c r="C12660" t="s">
        <v>273</v>
      </c>
      <c r="D12660" t="s">
        <v>402</v>
      </c>
      <c r="F12660">
        <f>HYPERLINK("https://www.wikidata.org/wiki/Q28494844", "Q28494844")</f>
        <v>0</v>
      </c>
      <c r="G12660" t="s">
        <v>4045</v>
      </c>
      <c r="H12660" t="s">
        <v>8273</v>
      </c>
      <c r="I12660" t="s">
        <v>9552</v>
      </c>
      <c r="J12660" t="s">
        <v>14586</v>
      </c>
      <c r="K12660" t="s">
        <v>18925</v>
      </c>
      <c r="L12660">
        <f>HYPERLINK("https://www2.assemblee-nationale.fr/sycomore/fiche/(num_dept)/5473", "5473")</f>
        <v>0</v>
      </c>
      <c r="M12660">
        <f>HYPERLINK("https://www.senat.fr/senateur-3eme-republique/mulac_auguste0397r3.html", "mulac_auguste0397r3")</f>
        <v>0</v>
      </c>
      <c r="N12660">
        <f>HYPERLINK("https://www.wikidata.org/wiki/Q2871332", "Q2871332")</f>
        <v>0</v>
      </c>
      <c r="O12660" t="s">
        <v>20031</v>
      </c>
      <c r="Q12660" t="s">
        <v>402</v>
      </c>
      <c r="R12660" t="s">
        <v>21650</v>
      </c>
      <c r="S12660">
        <v>9051</v>
      </c>
    </row>
    <row r="12661" spans="1:19">
      <c r="A12661" t="s">
        <v>141</v>
      </c>
      <c r="B12661" t="s">
        <v>150</v>
      </c>
      <c r="C12661" t="s">
        <v>273</v>
      </c>
      <c r="D12661" t="s">
        <v>402</v>
      </c>
      <c r="F12661">
        <f>HYPERLINK("https://www.wikidata.org/wiki/Q28494844", "Q28494844")</f>
        <v>0</v>
      </c>
      <c r="G12661" t="s">
        <v>4001</v>
      </c>
      <c r="H12661" t="s">
        <v>7185</v>
      </c>
      <c r="I12661" t="s">
        <v>11057</v>
      </c>
      <c r="J12661" t="s">
        <v>14548</v>
      </c>
      <c r="K12661" t="s">
        <v>18891</v>
      </c>
      <c r="L12661">
        <f>HYPERLINK("https://www2.assemblee-nationale.fr/sycomore/fiche/(num_dept)/5610", "5610")</f>
        <v>0</v>
      </c>
      <c r="M12661">
        <f>HYPERLINK("https://www.senat.fr/senateur-3eme-republique/ordinaire_maurice0679r3.html", "ordinaire_maurice0679r3")</f>
        <v>0</v>
      </c>
      <c r="N12661">
        <f>HYPERLINK("https://www.wikidata.org/wiki/Q3301228", "Q3301228")</f>
        <v>0</v>
      </c>
      <c r="O12661" t="s">
        <v>19973</v>
      </c>
      <c r="Q12661" t="s">
        <v>402</v>
      </c>
      <c r="R12661" t="s">
        <v>21705</v>
      </c>
      <c r="S12661">
        <v>3291</v>
      </c>
    </row>
    <row r="12662" spans="1:19">
      <c r="A12662" t="s">
        <v>141</v>
      </c>
      <c r="B12662" t="s">
        <v>150</v>
      </c>
      <c r="C12662" t="s">
        <v>273</v>
      </c>
      <c r="D12662" t="s">
        <v>402</v>
      </c>
      <c r="F12662">
        <f>HYPERLINK("https://www.wikidata.org/wiki/Q28494844", "Q28494844")</f>
        <v>0</v>
      </c>
      <c r="G12662" t="s">
        <v>3272</v>
      </c>
      <c r="H12662" t="s">
        <v>7687</v>
      </c>
      <c r="I12662" t="s">
        <v>10739</v>
      </c>
      <c r="J12662" t="s">
        <v>13886</v>
      </c>
      <c r="K12662" t="s">
        <v>18259</v>
      </c>
      <c r="L12662">
        <f>HYPERLINK("https://www2.assemblee-nationale.fr/sycomore/fiche/(num_dept)/5657", "5657")</f>
        <v>0</v>
      </c>
      <c r="M12662">
        <f>HYPERLINK("https://www.senat.fr/senateur-3eme-republique/pajot_christophe0430r3.html", "pajot_christophe0430r3")</f>
        <v>0</v>
      </c>
      <c r="N12662">
        <f>HYPERLINK("https://www.wikidata.org/wiki/Q2966424", "Q2966424")</f>
        <v>0</v>
      </c>
      <c r="O12662" t="s">
        <v>19996</v>
      </c>
      <c r="Q12662" t="s">
        <v>402</v>
      </c>
      <c r="R12662" t="s">
        <v>18259</v>
      </c>
      <c r="S12662">
        <v>2949</v>
      </c>
    </row>
    <row r="12663" spans="1:19">
      <c r="A12663" t="s">
        <v>141</v>
      </c>
      <c r="B12663" t="s">
        <v>150</v>
      </c>
      <c r="C12663" t="s">
        <v>273</v>
      </c>
      <c r="D12663" t="s">
        <v>402</v>
      </c>
      <c r="F12663">
        <f>HYPERLINK("https://www.wikidata.org/wiki/Q28494844", "Q28494844")</f>
        <v>0</v>
      </c>
      <c r="G12663" t="s">
        <v>1024</v>
      </c>
      <c r="H12663" t="s">
        <v>5774</v>
      </c>
      <c r="I12663" t="s">
        <v>9624</v>
      </c>
      <c r="J12663" t="s">
        <v>11761</v>
      </c>
      <c r="K12663" t="s">
        <v>16162</v>
      </c>
      <c r="L12663">
        <f>HYPERLINK("https://www2.assemblee-nationale.fr/sycomore/fiche/(num_dept)/5775", "5775")</f>
        <v>0</v>
      </c>
      <c r="M12663">
        <f>HYPERLINK("https://www.senat.fr/senateur-3eme-republique/perchot_justin0062r3.html", "perchot_justin0062r3")</f>
        <v>0</v>
      </c>
      <c r="N12663">
        <f>HYPERLINK("https://www.wikidata.org/wiki/Q3190486", "Q3190486")</f>
        <v>0</v>
      </c>
      <c r="O12663" t="s">
        <v>20033</v>
      </c>
      <c r="Q12663" t="s">
        <v>402</v>
      </c>
      <c r="R12663" t="s">
        <v>21650</v>
      </c>
      <c r="S12663">
        <v>9051</v>
      </c>
    </row>
    <row r="12664" spans="1:19">
      <c r="A12664" t="s">
        <v>141</v>
      </c>
      <c r="B12664" t="s">
        <v>150</v>
      </c>
      <c r="C12664" t="s">
        <v>273</v>
      </c>
      <c r="D12664" t="s">
        <v>402</v>
      </c>
      <c r="F12664">
        <f>HYPERLINK("https://www.wikidata.org/wiki/Q28494844", "Q28494844")</f>
        <v>0</v>
      </c>
      <c r="G12664" t="s">
        <v>4188</v>
      </c>
      <c r="H12664" t="s">
        <v>8381</v>
      </c>
      <c r="I12664" t="s">
        <v>9465</v>
      </c>
      <c r="J12664" t="s">
        <v>14705</v>
      </c>
      <c r="K12664" t="s">
        <v>19046</v>
      </c>
      <c r="L12664">
        <f>HYPERLINK("https://www2.assemblee-nationale.fr/sycomore/fiche/(num_dept)/5778", "5778")</f>
        <v>0</v>
      </c>
      <c r="M12664">
        <f>HYPERLINK("https://www.senat.fr/senateur-3eme-republique/peres_eugene0189r3.html", "peres_eugene0189r3")</f>
        <v>0</v>
      </c>
      <c r="N12664">
        <f>HYPERLINK("https://www.wikidata.org/wiki/Q3060087", "Q3060087")</f>
        <v>0</v>
      </c>
      <c r="O12664" t="s">
        <v>20019</v>
      </c>
      <c r="Q12664" t="s">
        <v>402</v>
      </c>
      <c r="R12664" t="s">
        <v>21650</v>
      </c>
      <c r="S12664">
        <v>9051</v>
      </c>
    </row>
    <row r="12665" spans="1:19">
      <c r="A12665" t="s">
        <v>141</v>
      </c>
      <c r="B12665" t="s">
        <v>150</v>
      </c>
      <c r="C12665" t="s">
        <v>273</v>
      </c>
      <c r="D12665" t="s">
        <v>402</v>
      </c>
      <c r="F12665">
        <f>HYPERLINK("https://www.wikidata.org/wiki/Q28494844", "Q28494844")</f>
        <v>0</v>
      </c>
      <c r="G12665" t="s">
        <v>1107</v>
      </c>
      <c r="H12665" t="s">
        <v>5848</v>
      </c>
      <c r="I12665" t="s">
        <v>9483</v>
      </c>
      <c r="J12665" t="s">
        <v>11841</v>
      </c>
      <c r="K12665" t="s">
        <v>16243</v>
      </c>
      <c r="L12665">
        <f>HYPERLINK("https://www2.assemblee-nationale.fr/sycomore/fiche/(num_dept)/5874", "5874")</f>
        <v>0</v>
      </c>
      <c r="M12665">
        <f>HYPERLINK("https://www.senat.fr/senateur-3eme-republique/peytral_victor0076r3.html", "peytral_victor0076r3")</f>
        <v>0</v>
      </c>
      <c r="N12665">
        <f>HYPERLINK("https://www.wikidata.org/wiki/Q3557505", "Q3557505")</f>
        <v>0</v>
      </c>
      <c r="O12665" t="s">
        <v>19981</v>
      </c>
      <c r="Q12665" t="s">
        <v>402</v>
      </c>
      <c r="R12665" t="s">
        <v>21650</v>
      </c>
      <c r="S12665">
        <v>9051</v>
      </c>
    </row>
    <row r="12666" spans="1:19">
      <c r="A12666" t="s">
        <v>141</v>
      </c>
      <c r="B12666" t="s">
        <v>150</v>
      </c>
      <c r="C12666" t="s">
        <v>273</v>
      </c>
      <c r="D12666" t="s">
        <v>402</v>
      </c>
      <c r="F12666">
        <f>HYPERLINK("https://www.wikidata.org/wiki/Q28494844", "Q28494844")</f>
        <v>0</v>
      </c>
      <c r="G12666" t="s">
        <v>3832</v>
      </c>
      <c r="H12666" t="s">
        <v>8112</v>
      </c>
      <c r="I12666" t="s">
        <v>10993</v>
      </c>
      <c r="J12666" t="s">
        <v>11898</v>
      </c>
      <c r="K12666" t="s">
        <v>18135</v>
      </c>
      <c r="L12666">
        <f>HYPERLINK("https://www2.assemblee-nationale.fr/sycomore/fiche/(num_dept)/6229", "6229")</f>
        <v>0</v>
      </c>
      <c r="M12666">
        <f>HYPERLINK("https://www.senat.fr/senateur-3eme-republique/saint_quentin_louis0355r3.html", "saint_quentin_louis0355r3")</f>
        <v>0</v>
      </c>
      <c r="N12666">
        <f>HYPERLINK("https://www.wikidata.org/wiki/Q3261753", "Q3261753")</f>
        <v>0</v>
      </c>
      <c r="O12666" t="s">
        <v>20009</v>
      </c>
      <c r="Q12666" t="s">
        <v>402</v>
      </c>
      <c r="R12666" t="s">
        <v>21650</v>
      </c>
      <c r="S12666">
        <v>9051</v>
      </c>
    </row>
    <row r="12667" spans="1:19">
      <c r="A12667" t="s">
        <v>141</v>
      </c>
      <c r="B12667" t="s">
        <v>150</v>
      </c>
      <c r="C12667" t="s">
        <v>273</v>
      </c>
      <c r="D12667" t="s">
        <v>402</v>
      </c>
      <c r="F12667">
        <f>HYPERLINK("https://www.wikidata.org/wiki/Q28494844", "Q28494844")</f>
        <v>0</v>
      </c>
      <c r="G12667" t="s">
        <v>4152</v>
      </c>
      <c r="H12667" t="s">
        <v>8355</v>
      </c>
      <c r="I12667" t="s">
        <v>9523</v>
      </c>
      <c r="J12667" t="s">
        <v>14681</v>
      </c>
      <c r="K12667" t="s">
        <v>19018</v>
      </c>
      <c r="L12667">
        <f>HYPERLINK("https://www2.assemblee-nationale.fr/sycomore/fiche/(num_dept)/6654", "6654")</f>
        <v>0</v>
      </c>
      <c r="M12667">
        <f>HYPERLINK("https://www.senat.fr/senateur-3eme-republique/regnier_marcel0044r3.html", "regnier_marcel0044r3")</f>
        <v>0</v>
      </c>
      <c r="N12667">
        <f>HYPERLINK("https://www.wikidata.org/wiki/Q3289373", "Q3289373")</f>
        <v>0</v>
      </c>
      <c r="O12667" t="s">
        <v>19999</v>
      </c>
      <c r="Q12667" t="s">
        <v>402</v>
      </c>
      <c r="R12667" t="s">
        <v>21705</v>
      </c>
      <c r="S12667">
        <v>3291</v>
      </c>
    </row>
    <row r="12668" spans="1:19">
      <c r="A12668" t="s">
        <v>141</v>
      </c>
      <c r="B12668" t="s">
        <v>150</v>
      </c>
      <c r="C12668" t="s">
        <v>273</v>
      </c>
      <c r="D12668" t="s">
        <v>402</v>
      </c>
      <c r="F12668">
        <f>HYPERLINK("https://www.wikidata.org/wiki/Q28494844", "Q28494844")</f>
        <v>0</v>
      </c>
      <c r="G12668" t="s">
        <v>1622</v>
      </c>
      <c r="H12668" t="s">
        <v>6307</v>
      </c>
      <c r="I12668" t="s">
        <v>9457</v>
      </c>
      <c r="J12668" t="s">
        <v>12329</v>
      </c>
      <c r="K12668" t="s">
        <v>16739</v>
      </c>
      <c r="L12668">
        <f>HYPERLINK("https://www2.assemblee-nationale.fr/sycomore/fiche/(num_dept)/6805", "6805")</f>
        <v>0</v>
      </c>
      <c r="M12668">
        <f>HYPERLINK("https://www.senat.fr/senateur-3eme-republique/servain_henri0592r3.html", "servain_henri0592r3")</f>
        <v>0</v>
      </c>
      <c r="N12668">
        <f>HYPERLINK("https://www.wikidata.org/wiki/Q3132005", "Q3132005")</f>
        <v>0</v>
      </c>
      <c r="O12668" t="s">
        <v>19964</v>
      </c>
      <c r="Q12668" t="s">
        <v>402</v>
      </c>
      <c r="R12668" t="s">
        <v>21705</v>
      </c>
      <c r="S12668">
        <v>3291</v>
      </c>
    </row>
    <row r="12669" spans="1:19">
      <c r="A12669" t="s">
        <v>141</v>
      </c>
      <c r="B12669" t="s">
        <v>150</v>
      </c>
      <c r="C12669" t="s">
        <v>273</v>
      </c>
      <c r="D12669" t="s">
        <v>402</v>
      </c>
      <c r="F12669">
        <f>HYPERLINK("https://www.wikidata.org/wiki/Q28494844", "Q28494844")</f>
        <v>0</v>
      </c>
      <c r="G12669" t="s">
        <v>810</v>
      </c>
      <c r="H12669" t="s">
        <v>5567</v>
      </c>
      <c r="I12669" t="s">
        <v>9534</v>
      </c>
      <c r="J12669" t="s">
        <v>11557</v>
      </c>
      <c r="K12669" t="s">
        <v>15961</v>
      </c>
      <c r="L12669">
        <f>HYPERLINK("https://www2.assemblee-nationale.fr/sycomore/fiche/(num_dept)/6847", "6847")</f>
        <v>0</v>
      </c>
      <c r="M12669">
        <f>HYPERLINK("https://www.senat.fr/senateur-3eme-republique/simonet_hippolyte0626r3.html", "simonet_hippolyte0626r3")</f>
        <v>0</v>
      </c>
      <c r="N12669">
        <f>HYPERLINK("https://www.wikidata.org/wiki/Q3136130", "Q3136130")</f>
        <v>0</v>
      </c>
      <c r="O12669" t="s">
        <v>19979</v>
      </c>
      <c r="Q12669" t="s">
        <v>402</v>
      </c>
      <c r="R12669" t="s">
        <v>21650</v>
      </c>
      <c r="S12669">
        <v>9051</v>
      </c>
    </row>
    <row r="12670" spans="1:19">
      <c r="A12670" t="s">
        <v>141</v>
      </c>
      <c r="B12670" t="s">
        <v>150</v>
      </c>
      <c r="C12670" t="s">
        <v>273</v>
      </c>
      <c r="D12670" t="s">
        <v>402</v>
      </c>
      <c r="F12670">
        <f>HYPERLINK("https://www.wikidata.org/wiki/Q28494844", "Q28494844")</f>
        <v>0</v>
      </c>
      <c r="G12670" t="s">
        <v>844</v>
      </c>
      <c r="H12670" t="s">
        <v>5601</v>
      </c>
      <c r="I12670" t="s">
        <v>9551</v>
      </c>
      <c r="J12670" t="s">
        <v>11591</v>
      </c>
      <c r="K12670" t="s">
        <v>15993</v>
      </c>
      <c r="L12670">
        <f>HYPERLINK("https://www2.assemblee-nationale.fr/sycomore/fiche/(num_dept)/7628", "7628")</f>
        <v>0</v>
      </c>
      <c r="M12670">
        <f>HYPERLINK("https://www.senat.fr/senateur-3eme-republique/le_troadec_paul0586r3.html", "le_troadec_paul0586r3")</f>
        <v>0</v>
      </c>
      <c r="N12670">
        <f>HYPERLINK("https://www.wikidata.org/wiki/Q3371653", "Q3371653")</f>
        <v>0</v>
      </c>
      <c r="O12670" t="s">
        <v>19964</v>
      </c>
      <c r="Q12670" t="s">
        <v>402</v>
      </c>
      <c r="R12670" t="s">
        <v>21650</v>
      </c>
      <c r="S12670">
        <v>9051</v>
      </c>
    </row>
    <row r="12671" spans="1:19">
      <c r="A12671" t="s">
        <v>141</v>
      </c>
      <c r="B12671" t="s">
        <v>150</v>
      </c>
      <c r="C12671" t="s">
        <v>273</v>
      </c>
      <c r="D12671" t="s">
        <v>402</v>
      </c>
      <c r="F12671">
        <f>HYPERLINK("https://www.wikidata.org/wiki/Q28494844", "Q28494844")</f>
        <v>0</v>
      </c>
      <c r="G12671" t="s">
        <v>4019</v>
      </c>
      <c r="H12671" t="s">
        <v>8253</v>
      </c>
      <c r="I12671" t="s">
        <v>6860</v>
      </c>
      <c r="J12671" t="s">
        <v>14563</v>
      </c>
      <c r="K12671" t="s">
        <v>16740</v>
      </c>
      <c r="L12671">
        <f>HYPERLINK("https://www2.assemblee-nationale.fr/sycomore/fiche/(num_dept)/7855", "7855")</f>
        <v>0</v>
      </c>
      <c r="M12671">
        <f>HYPERLINK("https://www.senat.fr/senateur-3eme-republique/limouzain_laplanche_pierre0400r3.html", "limouzain_laplanche_pierre0400r3")</f>
        <v>0</v>
      </c>
      <c r="N12671">
        <f>HYPERLINK("https://www.wikidata.org/wiki/Q3385965", "Q3385965")</f>
        <v>0</v>
      </c>
      <c r="O12671" t="s">
        <v>20031</v>
      </c>
      <c r="Q12671" t="s">
        <v>402</v>
      </c>
      <c r="R12671" t="s">
        <v>21650</v>
      </c>
      <c r="S12671">
        <v>9051</v>
      </c>
    </row>
    <row r="12672" spans="1:19">
      <c r="A12672" t="s">
        <v>141</v>
      </c>
      <c r="B12672" t="s">
        <v>150</v>
      </c>
      <c r="C12672" t="s">
        <v>273</v>
      </c>
      <c r="D12672" t="s">
        <v>402</v>
      </c>
      <c r="F12672">
        <f>HYPERLINK("https://www.wikidata.org/wiki/Q28494844", "Q28494844")</f>
        <v>0</v>
      </c>
      <c r="G12672" t="s">
        <v>4908</v>
      </c>
      <c r="H12672" t="s">
        <v>9044</v>
      </c>
      <c r="I12672" t="s">
        <v>9465</v>
      </c>
      <c r="J12672" t="s">
        <v>15351</v>
      </c>
      <c r="K12672" t="s">
        <v>19656</v>
      </c>
      <c r="M12672">
        <f>HYPERLINK("https://www.senat.fr/senateur-3eme-republique/touron_eugene0026r3.html", "touron_eugene0026r3")</f>
        <v>0</v>
      </c>
      <c r="N12672">
        <f>HYPERLINK("https://www.wikidata.org/wiki/Q3060195", "Q3060195")</f>
        <v>0</v>
      </c>
      <c r="O12672" t="s">
        <v>20015</v>
      </c>
      <c r="Q12672" t="s">
        <v>402</v>
      </c>
      <c r="R12672" t="s">
        <v>21650</v>
      </c>
      <c r="S12672">
        <v>9051</v>
      </c>
    </row>
    <row r="12673" spans="1:19">
      <c r="A12673" t="s">
        <v>141</v>
      </c>
      <c r="B12673" t="s">
        <v>150</v>
      </c>
      <c r="C12673" t="s">
        <v>273</v>
      </c>
      <c r="D12673" t="s">
        <v>402</v>
      </c>
      <c r="F12673">
        <f>HYPERLINK("https://www.wikidata.org/wiki/Q28494844", "Q28494844")</f>
        <v>0</v>
      </c>
      <c r="G12673" t="s">
        <v>4979</v>
      </c>
      <c r="H12673" t="s">
        <v>9112</v>
      </c>
      <c r="I12673" t="s">
        <v>5528</v>
      </c>
      <c r="J12673" t="s">
        <v>15415</v>
      </c>
      <c r="K12673" t="s">
        <v>19716</v>
      </c>
      <c r="M12673">
        <f>HYPERLINK("https://www.senat.fr/senateur-3eme-republique/chenebenoit_leon0038r3.html", "chenebenoit_leon0038r3")</f>
        <v>0</v>
      </c>
      <c r="N12673">
        <f>HYPERLINK("https://www.wikidata.org/wiki/Q3270820", "Q3270820")</f>
        <v>0</v>
      </c>
      <c r="O12673" t="s">
        <v>20015</v>
      </c>
      <c r="Q12673" t="s">
        <v>402</v>
      </c>
      <c r="R12673" t="s">
        <v>21705</v>
      </c>
      <c r="S12673">
        <v>3291</v>
      </c>
    </row>
    <row r="12674" spans="1:19">
      <c r="A12674" t="s">
        <v>141</v>
      </c>
      <c r="B12674" t="s">
        <v>150</v>
      </c>
      <c r="C12674" t="s">
        <v>273</v>
      </c>
      <c r="D12674" t="s">
        <v>402</v>
      </c>
      <c r="F12674">
        <f>HYPERLINK("https://www.wikidata.org/wiki/Q28494844", "Q28494844")</f>
        <v>0</v>
      </c>
      <c r="G12674" t="s">
        <v>4980</v>
      </c>
      <c r="H12674" t="s">
        <v>9113</v>
      </c>
      <c r="I12674" t="s">
        <v>6495</v>
      </c>
      <c r="J12674" t="s">
        <v>15416</v>
      </c>
      <c r="K12674" t="s">
        <v>19717</v>
      </c>
      <c r="M12674">
        <f>HYPERLINK("https://www.senat.fr/senateur-3eme-republique/de_lubersac_louis0034r3.html", "de_lubersac_louis0034r3")</f>
        <v>0</v>
      </c>
      <c r="N12674">
        <f>HYPERLINK("https://www.wikidata.org/wiki/Q3263518", "Q3263518")</f>
        <v>0</v>
      </c>
      <c r="O12674" t="s">
        <v>20015</v>
      </c>
      <c r="Q12674" t="s">
        <v>402</v>
      </c>
      <c r="R12674" t="s">
        <v>21705</v>
      </c>
      <c r="S12674">
        <v>3291</v>
      </c>
    </row>
    <row r="12675" spans="1:19">
      <c r="A12675" t="s">
        <v>141</v>
      </c>
      <c r="B12675" t="s">
        <v>150</v>
      </c>
      <c r="C12675" t="s">
        <v>273</v>
      </c>
      <c r="D12675" t="s">
        <v>402</v>
      </c>
      <c r="F12675">
        <f>HYPERLINK("https://www.wikidata.org/wiki/Q28494844", "Q28494844")</f>
        <v>0</v>
      </c>
      <c r="G12675" t="s">
        <v>4335</v>
      </c>
      <c r="H12675" t="s">
        <v>8486</v>
      </c>
      <c r="I12675" t="s">
        <v>6584</v>
      </c>
      <c r="J12675" t="s">
        <v>12567</v>
      </c>
      <c r="K12675" t="s">
        <v>19171</v>
      </c>
      <c r="M12675">
        <f>HYPERLINK("https://www.senat.fr/senateur-3eme-republique/peyronnet_albert0055r3.html", "peyronnet_albert0055r3")</f>
        <v>0</v>
      </c>
      <c r="N12675">
        <f>HYPERLINK("https://www.wikidata.org/wiki/Q2831464", "Q2831464")</f>
        <v>0</v>
      </c>
      <c r="O12675" t="s">
        <v>19999</v>
      </c>
      <c r="Q12675" t="s">
        <v>402</v>
      </c>
      <c r="R12675" t="s">
        <v>21705</v>
      </c>
      <c r="S12675">
        <v>3291</v>
      </c>
    </row>
    <row r="12676" spans="1:19">
      <c r="A12676" t="s">
        <v>141</v>
      </c>
      <c r="B12676" t="s">
        <v>150</v>
      </c>
      <c r="C12676" t="s">
        <v>273</v>
      </c>
      <c r="D12676" t="s">
        <v>402</v>
      </c>
      <c r="F12676">
        <f>HYPERLINK("https://www.wikidata.org/wiki/Q28494844", "Q28494844")</f>
        <v>0</v>
      </c>
      <c r="G12676" t="s">
        <v>4981</v>
      </c>
      <c r="H12676" t="s">
        <v>9114</v>
      </c>
      <c r="I12676" t="s">
        <v>6200</v>
      </c>
      <c r="J12676" t="s">
        <v>11964</v>
      </c>
      <c r="K12676" t="s">
        <v>19718</v>
      </c>
      <c r="M12676">
        <f>HYPERLINK("https://www.senat.fr/senateur-3eme-republique/beaumont_jean0050r3.html", "beaumont_jean0050r3")</f>
        <v>0</v>
      </c>
      <c r="N12676">
        <f>HYPERLINK("https://www.wikidata.org/wiki/Q55030753", "Q55030753")</f>
        <v>0</v>
      </c>
      <c r="O12676" t="s">
        <v>19999</v>
      </c>
      <c r="Q12676" t="s">
        <v>402</v>
      </c>
      <c r="R12676" t="s">
        <v>21705</v>
      </c>
      <c r="S12676">
        <v>3291</v>
      </c>
    </row>
    <row r="12677" spans="1:19">
      <c r="A12677" t="s">
        <v>141</v>
      </c>
      <c r="B12677" t="s">
        <v>150</v>
      </c>
      <c r="C12677" t="s">
        <v>273</v>
      </c>
      <c r="D12677" t="s">
        <v>402</v>
      </c>
      <c r="F12677">
        <f>HYPERLINK("https://www.wikidata.org/wiki/Q28494844", "Q28494844")</f>
        <v>0</v>
      </c>
      <c r="G12677" t="s">
        <v>4886</v>
      </c>
      <c r="H12677" t="s">
        <v>9023</v>
      </c>
      <c r="I12677" t="s">
        <v>9438</v>
      </c>
      <c r="J12677" t="s">
        <v>15330</v>
      </c>
      <c r="K12677" t="s">
        <v>430</v>
      </c>
      <c r="M12677">
        <f>HYPERLINK("https://www.senat.fr/senateur-3eme-republique/sauvan_honore0123r3.html", "sauvan_honore0123r3")</f>
        <v>0</v>
      </c>
      <c r="N12677">
        <f>HYPERLINK("https://www.wikidata.org/wiki/Q3140255", "Q3140255")</f>
        <v>0</v>
      </c>
      <c r="O12677" t="s">
        <v>20024</v>
      </c>
      <c r="Q12677" t="s">
        <v>402</v>
      </c>
      <c r="R12677" t="s">
        <v>21650</v>
      </c>
      <c r="S12677">
        <v>9051</v>
      </c>
    </row>
    <row r="12678" spans="1:19">
      <c r="A12678" t="s">
        <v>141</v>
      </c>
      <c r="B12678" t="s">
        <v>150</v>
      </c>
      <c r="C12678" t="s">
        <v>273</v>
      </c>
      <c r="D12678" t="s">
        <v>402</v>
      </c>
      <c r="F12678">
        <f>HYPERLINK("https://www.wikidata.org/wiki/Q28494844", "Q28494844")</f>
        <v>0</v>
      </c>
      <c r="G12678" t="s">
        <v>4982</v>
      </c>
      <c r="H12678" t="s">
        <v>9115</v>
      </c>
      <c r="I12678" t="s">
        <v>9457</v>
      </c>
      <c r="J12678" t="s">
        <v>15417</v>
      </c>
      <c r="K12678" t="s">
        <v>19719</v>
      </c>
      <c r="M12678">
        <f>HYPERLINK("https://www.senat.fr/senateur-3eme-republique/chalamet_henri0144r3.html", "chalamet_henri0144r3")</f>
        <v>0</v>
      </c>
      <c r="N12678">
        <f>HYPERLINK("https://www.wikidata.org/wiki/Q3130810", "Q3130810")</f>
        <v>0</v>
      </c>
      <c r="O12678" t="s">
        <v>19991</v>
      </c>
      <c r="Q12678" t="s">
        <v>402</v>
      </c>
      <c r="R12678" t="s">
        <v>21650</v>
      </c>
      <c r="S12678">
        <v>9051</v>
      </c>
    </row>
    <row r="12679" spans="1:19">
      <c r="A12679" t="s">
        <v>141</v>
      </c>
      <c r="B12679" t="s">
        <v>150</v>
      </c>
      <c r="C12679" t="s">
        <v>273</v>
      </c>
      <c r="D12679" t="s">
        <v>402</v>
      </c>
      <c r="F12679">
        <f>HYPERLINK("https://www.wikidata.org/wiki/Q28494844", "Q28494844")</f>
        <v>0</v>
      </c>
      <c r="G12679" t="s">
        <v>4983</v>
      </c>
      <c r="H12679" t="s">
        <v>9116</v>
      </c>
      <c r="I12679" t="s">
        <v>9736</v>
      </c>
      <c r="J12679" t="s">
        <v>15418</v>
      </c>
      <c r="K12679" t="s">
        <v>19720</v>
      </c>
      <c r="M12679">
        <f>HYPERLINK("https://www.senat.fr/senateur-3eme-republique/cuminal_isidore0140r3.html", "cuminal_isidore0140r3")</f>
        <v>0</v>
      </c>
      <c r="N12679">
        <f>HYPERLINK("https://www.wikidata.org/wiki/Q3155304", "Q3155304")</f>
        <v>0</v>
      </c>
      <c r="O12679" t="s">
        <v>19991</v>
      </c>
      <c r="Q12679" t="s">
        <v>402</v>
      </c>
      <c r="R12679" t="s">
        <v>21705</v>
      </c>
      <c r="S12679">
        <v>3291</v>
      </c>
    </row>
    <row r="12680" spans="1:19">
      <c r="A12680" t="s">
        <v>141</v>
      </c>
      <c r="B12680" t="s">
        <v>150</v>
      </c>
      <c r="C12680" t="s">
        <v>273</v>
      </c>
      <c r="D12680" t="s">
        <v>402</v>
      </c>
      <c r="F12680">
        <f>HYPERLINK("https://www.wikidata.org/wiki/Q28494844", "Q28494844")</f>
        <v>0</v>
      </c>
      <c r="G12680" t="s">
        <v>4984</v>
      </c>
      <c r="H12680" t="s">
        <v>9117</v>
      </c>
      <c r="I12680" t="s">
        <v>9375</v>
      </c>
      <c r="J12680" t="s">
        <v>15419</v>
      </c>
      <c r="K12680" t="s">
        <v>19721</v>
      </c>
      <c r="M12680">
        <f>HYPERLINK("https://www.senat.fr/senateur-3eme-republique/roche_edouard0134r3.html", "roche_edouard0134r3")</f>
        <v>0</v>
      </c>
      <c r="N12680">
        <f>HYPERLINK("https://www.wikidata.org/wiki/Q3580018", "Q3580018")</f>
        <v>0</v>
      </c>
      <c r="O12680" t="s">
        <v>19991</v>
      </c>
      <c r="Q12680" t="s">
        <v>402</v>
      </c>
      <c r="R12680" t="s">
        <v>21650</v>
      </c>
      <c r="S12680">
        <v>9051</v>
      </c>
    </row>
    <row r="12681" spans="1:19">
      <c r="A12681" t="s">
        <v>141</v>
      </c>
      <c r="B12681" t="s">
        <v>150</v>
      </c>
      <c r="C12681" t="s">
        <v>273</v>
      </c>
      <c r="D12681" t="s">
        <v>402</v>
      </c>
      <c r="F12681">
        <f>HYPERLINK("https://www.wikidata.org/wiki/Q28494844", "Q28494844")</f>
        <v>0</v>
      </c>
      <c r="G12681" t="s">
        <v>4887</v>
      </c>
      <c r="H12681" t="s">
        <v>9024</v>
      </c>
      <c r="I12681" t="s">
        <v>6584</v>
      </c>
      <c r="J12681" t="s">
        <v>15331</v>
      </c>
      <c r="K12681" t="s">
        <v>19637</v>
      </c>
      <c r="M12681">
        <f>HYPERLINK("https://www.senat.fr/senateur-3eme-republique/gerard_albert0168r3.html", "gerard_albert0168r3")</f>
        <v>0</v>
      </c>
      <c r="N12681">
        <f>HYPERLINK("https://www.wikidata.org/wiki/Q2831224", "Q2831224")</f>
        <v>0</v>
      </c>
      <c r="O12681" t="s">
        <v>19959</v>
      </c>
      <c r="Q12681" t="s">
        <v>402</v>
      </c>
      <c r="R12681" t="s">
        <v>21650</v>
      </c>
      <c r="S12681">
        <v>9051</v>
      </c>
    </row>
    <row r="12682" spans="1:19">
      <c r="A12682" t="s">
        <v>141</v>
      </c>
      <c r="B12682" t="s">
        <v>150</v>
      </c>
      <c r="C12682" t="s">
        <v>273</v>
      </c>
      <c r="D12682" t="s">
        <v>402</v>
      </c>
      <c r="F12682">
        <f>HYPERLINK("https://www.wikidata.org/wiki/Q28494844", "Q28494844")</f>
        <v>0</v>
      </c>
      <c r="G12682" t="s">
        <v>4964</v>
      </c>
      <c r="H12682" t="s">
        <v>9097</v>
      </c>
      <c r="I12682" t="s">
        <v>6175</v>
      </c>
      <c r="J12682" t="s">
        <v>15403</v>
      </c>
      <c r="K12682" t="s">
        <v>19701</v>
      </c>
      <c r="M12682">
        <f>HYPERLINK("https://www.senat.fr/senateur-3eme-republique/reynald_georges0183r3.html", "reynald_georges0183r3")</f>
        <v>0</v>
      </c>
      <c r="N12682">
        <f>HYPERLINK("https://www.wikidata.org/wiki/Q3103403", "Q3103403")</f>
        <v>0</v>
      </c>
      <c r="O12682" t="s">
        <v>20019</v>
      </c>
      <c r="Q12682" t="s">
        <v>402</v>
      </c>
      <c r="R12682" t="s">
        <v>21650</v>
      </c>
      <c r="S12682">
        <v>9051</v>
      </c>
    </row>
    <row r="12683" spans="1:19">
      <c r="A12683" t="s">
        <v>141</v>
      </c>
      <c r="B12683" t="s">
        <v>150</v>
      </c>
      <c r="C12683" t="s">
        <v>273</v>
      </c>
      <c r="D12683" t="s">
        <v>402</v>
      </c>
      <c r="F12683">
        <f>HYPERLINK("https://www.wikidata.org/wiki/Q28494844", "Q28494844")</f>
        <v>0</v>
      </c>
      <c r="G12683" t="s">
        <v>4985</v>
      </c>
      <c r="H12683" t="s">
        <v>9118</v>
      </c>
      <c r="I12683" t="s">
        <v>6495</v>
      </c>
      <c r="J12683" t="s">
        <v>15420</v>
      </c>
      <c r="K12683" t="s">
        <v>19722</v>
      </c>
      <c r="M12683">
        <f>HYPERLINK("https://www.senat.fr/senateur-3eme-republique/mony_louis0230r3.html", "mony_louis0230r3")</f>
        <v>0</v>
      </c>
      <c r="N12683">
        <f>HYPERLINK("https://www.wikidata.org/wiki/Q3262735", "Q3262735")</f>
        <v>0</v>
      </c>
      <c r="O12683" t="s">
        <v>8449</v>
      </c>
      <c r="Q12683" t="s">
        <v>402</v>
      </c>
      <c r="R12683" t="s">
        <v>21650</v>
      </c>
      <c r="S12683">
        <v>9051</v>
      </c>
    </row>
    <row r="12684" spans="1:19">
      <c r="A12684" t="s">
        <v>141</v>
      </c>
      <c r="B12684" t="s">
        <v>150</v>
      </c>
      <c r="C12684" t="s">
        <v>273</v>
      </c>
      <c r="D12684" t="s">
        <v>402</v>
      </c>
      <c r="F12684">
        <f>HYPERLINK("https://www.wikidata.org/wiki/Q28494844", "Q28494844")</f>
        <v>0</v>
      </c>
      <c r="G12684" t="s">
        <v>4822</v>
      </c>
      <c r="H12684" t="s">
        <v>8963</v>
      </c>
      <c r="I12684" t="s">
        <v>9426</v>
      </c>
      <c r="J12684" t="s">
        <v>15276</v>
      </c>
      <c r="K12684" t="s">
        <v>19585</v>
      </c>
      <c r="M12684">
        <f>HYPERLINK("https://www.senat.fr/senateur-3eme-republique/renaudat_alphonse0232r3.html", "renaudat_alphonse0232r3")</f>
        <v>0</v>
      </c>
      <c r="N12684">
        <f>HYPERLINK("https://www.wikidata.org/wiki/Q2839946", "Q2839946")</f>
        <v>0</v>
      </c>
      <c r="O12684" t="s">
        <v>8449</v>
      </c>
      <c r="Q12684" t="s">
        <v>402</v>
      </c>
      <c r="R12684" t="s">
        <v>21650</v>
      </c>
      <c r="S12684">
        <v>9051</v>
      </c>
    </row>
    <row r="12685" spans="1:19">
      <c r="A12685" t="s">
        <v>141</v>
      </c>
      <c r="B12685" t="s">
        <v>150</v>
      </c>
      <c r="C12685" t="s">
        <v>273</v>
      </c>
      <c r="D12685" t="s">
        <v>402</v>
      </c>
      <c r="F12685">
        <f>HYPERLINK("https://www.wikidata.org/wiki/Q28494844", "Q28494844")</f>
        <v>0</v>
      </c>
      <c r="G12685" t="s">
        <v>4293</v>
      </c>
      <c r="H12685" t="s">
        <v>8452</v>
      </c>
      <c r="I12685" t="s">
        <v>7790</v>
      </c>
      <c r="J12685" t="s">
        <v>14792</v>
      </c>
      <c r="K12685" t="s">
        <v>19136</v>
      </c>
      <c r="M12685">
        <f>HYPERLINK("https://www.senat.fr/senateur-3eme-republique/gauthier_armand0264r3.html", "gauthier_armand0264r3")</f>
        <v>0</v>
      </c>
      <c r="N12685">
        <f>HYPERLINK("https://www.wikidata.org/wiki/Q2861852", "Q2861852")</f>
        <v>0</v>
      </c>
      <c r="O12685" t="s">
        <v>19960</v>
      </c>
      <c r="Q12685" t="s">
        <v>402</v>
      </c>
      <c r="R12685" t="s">
        <v>21650</v>
      </c>
      <c r="S12685">
        <v>9051</v>
      </c>
    </row>
    <row r="12686" spans="1:19">
      <c r="A12686" t="s">
        <v>141</v>
      </c>
      <c r="B12686" t="s">
        <v>150</v>
      </c>
      <c r="C12686" t="s">
        <v>273</v>
      </c>
      <c r="D12686" t="s">
        <v>402</v>
      </c>
      <c r="F12686">
        <f>HYPERLINK("https://www.wikidata.org/wiki/Q28494844", "Q28494844")</f>
        <v>0</v>
      </c>
      <c r="G12686" t="s">
        <v>4974</v>
      </c>
      <c r="H12686" t="s">
        <v>9107</v>
      </c>
      <c r="I12686" t="s">
        <v>7642</v>
      </c>
      <c r="J12686" t="s">
        <v>15411</v>
      </c>
      <c r="K12686" t="s">
        <v>19711</v>
      </c>
      <c r="M12686">
        <f>HYPERLINK("https://www.senat.fr/senateur-3eme-republique/sarraut_maurice0276r3.html", "sarraut_maurice0276r3")</f>
        <v>0</v>
      </c>
      <c r="N12686">
        <f>HYPERLINK("https://www.wikidata.org/wiki/Q3301380", "Q3301380")</f>
        <v>0</v>
      </c>
      <c r="O12686" t="s">
        <v>19960</v>
      </c>
      <c r="Q12686" t="s">
        <v>402</v>
      </c>
      <c r="R12686" t="s">
        <v>21705</v>
      </c>
      <c r="S12686">
        <v>3291</v>
      </c>
    </row>
    <row r="12687" spans="1:19">
      <c r="A12687" t="s">
        <v>141</v>
      </c>
      <c r="B12687" t="s">
        <v>150</v>
      </c>
      <c r="C12687" t="s">
        <v>273</v>
      </c>
      <c r="D12687" t="s">
        <v>402</v>
      </c>
      <c r="F12687">
        <f>HYPERLINK("https://www.wikidata.org/wiki/Q28494844", "Q28494844")</f>
        <v>0</v>
      </c>
      <c r="G12687" t="s">
        <v>5074</v>
      </c>
      <c r="H12687" t="s">
        <v>9205</v>
      </c>
      <c r="I12687" t="s">
        <v>9440</v>
      </c>
      <c r="J12687" t="s">
        <v>15492</v>
      </c>
      <c r="K12687" t="s">
        <v>19793</v>
      </c>
      <c r="M12687">
        <f>HYPERLINK("https://www.senat.fr/senateur-3eme-republique/vidal_amedee0295r3.html", "vidal_amedee0295r3")</f>
        <v>0</v>
      </c>
      <c r="N12687">
        <f>HYPERLINK("https://www.wikidata.org/wiki/Q2844712", "Q2844712")</f>
        <v>0</v>
      </c>
      <c r="O12687" t="s">
        <v>19967</v>
      </c>
      <c r="Q12687" t="s">
        <v>402</v>
      </c>
      <c r="R12687" t="s">
        <v>21705</v>
      </c>
      <c r="S12687">
        <v>3291</v>
      </c>
    </row>
    <row r="12688" spans="1:19">
      <c r="A12688" t="s">
        <v>141</v>
      </c>
      <c r="B12688" t="s">
        <v>150</v>
      </c>
      <c r="C12688" t="s">
        <v>273</v>
      </c>
      <c r="D12688" t="s">
        <v>402</v>
      </c>
      <c r="F12688">
        <f>HYPERLINK("https://www.wikidata.org/wiki/Q28494844", "Q28494844")</f>
        <v>0</v>
      </c>
      <c r="G12688" t="s">
        <v>4914</v>
      </c>
      <c r="H12688" t="s">
        <v>9050</v>
      </c>
      <c r="I12688" t="s">
        <v>11013</v>
      </c>
      <c r="J12688" t="s">
        <v>15357</v>
      </c>
      <c r="K12688" t="s">
        <v>19662</v>
      </c>
      <c r="M12688">
        <f>HYPERLINK("https://www.senat.fr/senateur-3eme-republique/flaissieres_simeon0329r3.html", "flaissieres_simeon0329r3")</f>
        <v>0</v>
      </c>
      <c r="N12688">
        <f>HYPERLINK("https://www.wikidata.org/wiki/Q2288636", "Q2288636")</f>
        <v>0</v>
      </c>
      <c r="O12688" t="s">
        <v>19990</v>
      </c>
      <c r="Q12688" t="s">
        <v>402</v>
      </c>
      <c r="R12688" t="s">
        <v>21650</v>
      </c>
      <c r="S12688">
        <v>9051</v>
      </c>
    </row>
    <row r="12689" spans="1:19">
      <c r="A12689" t="s">
        <v>141</v>
      </c>
      <c r="B12689" t="s">
        <v>150</v>
      </c>
      <c r="C12689" t="s">
        <v>273</v>
      </c>
      <c r="D12689" t="s">
        <v>402</v>
      </c>
      <c r="F12689">
        <f>HYPERLINK("https://www.wikidata.org/wiki/Q28494844", "Q28494844")</f>
        <v>0</v>
      </c>
      <c r="G12689" t="s">
        <v>4315</v>
      </c>
      <c r="H12689" t="s">
        <v>8470</v>
      </c>
      <c r="I12689" t="s">
        <v>6495</v>
      </c>
      <c r="J12689" t="s">
        <v>14812</v>
      </c>
      <c r="K12689" t="s">
        <v>19154</v>
      </c>
      <c r="M12689">
        <f>HYPERLINK("https://www.senat.fr/senateur-3eme-republique/pasquet_louis0313r3.html", "pasquet_louis0313r3")</f>
        <v>0</v>
      </c>
      <c r="N12689">
        <f>HYPERLINK("https://www.wikidata.org/wiki/Q1871907", "Q1871907")</f>
        <v>0</v>
      </c>
      <c r="O12689" t="s">
        <v>19990</v>
      </c>
      <c r="Q12689" t="s">
        <v>402</v>
      </c>
      <c r="R12689" t="s">
        <v>21705</v>
      </c>
      <c r="S12689">
        <v>3291</v>
      </c>
    </row>
    <row r="12690" spans="1:19">
      <c r="A12690" t="s">
        <v>141</v>
      </c>
      <c r="B12690" t="s">
        <v>150</v>
      </c>
      <c r="C12690" t="s">
        <v>273</v>
      </c>
      <c r="D12690" t="s">
        <v>402</v>
      </c>
      <c r="F12690">
        <f>HYPERLINK("https://www.wikidata.org/wiki/Q28494844", "Q28494844")</f>
        <v>0</v>
      </c>
      <c r="G12690" t="s">
        <v>4323</v>
      </c>
      <c r="H12690" t="s">
        <v>8475</v>
      </c>
      <c r="I12690" t="s">
        <v>11182</v>
      </c>
      <c r="J12690" t="s">
        <v>14819</v>
      </c>
      <c r="K12690" t="s">
        <v>19159</v>
      </c>
      <c r="M12690">
        <f>HYPERLINK("https://www.senat.fr/senateur-3eme-republique/schrameck_abraham0319r3.html", "schrameck_abraham0319r3")</f>
        <v>0</v>
      </c>
      <c r="N12690">
        <f>HYPERLINK("https://www.wikidata.org/wiki/Q330586", "Q330586")</f>
        <v>0</v>
      </c>
      <c r="O12690" t="s">
        <v>19990</v>
      </c>
      <c r="Q12690" t="s">
        <v>402</v>
      </c>
      <c r="R12690" t="s">
        <v>21705</v>
      </c>
      <c r="S12690">
        <v>3291</v>
      </c>
    </row>
    <row r="12691" spans="1:19">
      <c r="A12691" t="s">
        <v>141</v>
      </c>
      <c r="B12691" t="s">
        <v>150</v>
      </c>
      <c r="C12691" t="s">
        <v>273</v>
      </c>
      <c r="D12691" t="s">
        <v>402</v>
      </c>
      <c r="F12691">
        <f>HYPERLINK("https://www.wikidata.org/wiki/Q28494844", "Q28494844")</f>
        <v>0</v>
      </c>
      <c r="G12691" t="s">
        <v>4926</v>
      </c>
      <c r="H12691" t="s">
        <v>9062</v>
      </c>
      <c r="I12691" t="s">
        <v>9388</v>
      </c>
      <c r="J12691" t="s">
        <v>15368</v>
      </c>
      <c r="K12691" t="s">
        <v>19671</v>
      </c>
      <c r="M12691">
        <f>HYPERLINK("https://www.senat.fr/senateur-3eme-republique/boivin_champeaux_paul0348r3.html", "boivin_champeaux_paul0348r3")</f>
        <v>0</v>
      </c>
      <c r="N12691">
        <f>HYPERLINK("https://www.wikidata.org/wiki/Q3370674", "Q3370674")</f>
        <v>0</v>
      </c>
      <c r="O12691" t="s">
        <v>20009</v>
      </c>
      <c r="Q12691" t="s">
        <v>402</v>
      </c>
      <c r="R12691" t="s">
        <v>19671</v>
      </c>
      <c r="S12691">
        <v>1558</v>
      </c>
    </row>
    <row r="12692" spans="1:19">
      <c r="A12692" t="s">
        <v>141</v>
      </c>
      <c r="B12692" t="s">
        <v>150</v>
      </c>
      <c r="C12692" t="s">
        <v>273</v>
      </c>
      <c r="D12692" t="s">
        <v>402</v>
      </c>
      <c r="F12692">
        <f>HYPERLINK("https://www.wikidata.org/wiki/Q28494844", "Q28494844")</f>
        <v>0</v>
      </c>
      <c r="G12692" t="s">
        <v>4308</v>
      </c>
      <c r="H12692" t="s">
        <v>8464</v>
      </c>
      <c r="I12692" t="s">
        <v>9612</v>
      </c>
      <c r="J12692" t="s">
        <v>14806</v>
      </c>
      <c r="K12692" t="s">
        <v>17434</v>
      </c>
      <c r="M12692">
        <f>HYPERLINK("https://www.senat.fr/senateur-3eme-republique/francois_marsal_frederic0362r3.html", "francois_marsal_frederic0362r3")</f>
        <v>0</v>
      </c>
      <c r="N12692">
        <f>HYPERLINK("https://www.wikidata.org/wiki/Q459212", "Q459212")</f>
        <v>0</v>
      </c>
      <c r="O12692" t="s">
        <v>19966</v>
      </c>
      <c r="Q12692" t="s">
        <v>402</v>
      </c>
      <c r="R12692" t="s">
        <v>21705</v>
      </c>
      <c r="S12692">
        <v>3291</v>
      </c>
    </row>
    <row r="12693" spans="1:19">
      <c r="A12693" t="s">
        <v>141</v>
      </c>
      <c r="B12693" t="s">
        <v>150</v>
      </c>
      <c r="C12693" t="s">
        <v>273</v>
      </c>
      <c r="D12693" t="s">
        <v>402</v>
      </c>
      <c r="F12693">
        <f>HYPERLINK("https://www.wikidata.org/wiki/Q28494844", "Q28494844")</f>
        <v>0</v>
      </c>
      <c r="G12693" t="s">
        <v>4236</v>
      </c>
      <c r="H12693" t="s">
        <v>8413</v>
      </c>
      <c r="I12693" t="s">
        <v>9437</v>
      </c>
      <c r="J12693" t="s">
        <v>14743</v>
      </c>
      <c r="K12693" t="s">
        <v>19088</v>
      </c>
      <c r="M12693">
        <f>HYPERLINK("https://www.senat.fr/senateur-3eme-republique/combes_emile0416r3.html", "combes_emile0416r3")</f>
        <v>0</v>
      </c>
      <c r="N12693">
        <f>HYPERLINK("https://www.wikidata.org/wiki/Q275020", "Q275020")</f>
        <v>0</v>
      </c>
      <c r="O12693" t="s">
        <v>20037</v>
      </c>
      <c r="Q12693" t="s">
        <v>402</v>
      </c>
      <c r="R12693" t="s">
        <v>21650</v>
      </c>
      <c r="S12693">
        <v>9051</v>
      </c>
    </row>
    <row r="12694" spans="1:19">
      <c r="A12694" t="s">
        <v>141</v>
      </c>
      <c r="B12694" t="s">
        <v>150</v>
      </c>
      <c r="C12694" t="s">
        <v>273</v>
      </c>
      <c r="D12694" t="s">
        <v>402</v>
      </c>
      <c r="F12694">
        <f>HYPERLINK("https://www.wikidata.org/wiki/Q28494844", "Q28494844")</f>
        <v>0</v>
      </c>
      <c r="G12694" t="s">
        <v>4992</v>
      </c>
      <c r="H12694" t="s">
        <v>9125</v>
      </c>
      <c r="I12694" t="s">
        <v>6860</v>
      </c>
      <c r="J12694" t="s">
        <v>15426</v>
      </c>
      <c r="K12694" t="s">
        <v>16257</v>
      </c>
      <c r="M12694">
        <f>HYPERLINK("https://www.senat.fr/senateur-3eme-republique/landrodie_pierre0421r3.html", "landrodie_pierre0421r3")</f>
        <v>0</v>
      </c>
      <c r="N12694">
        <f>HYPERLINK("https://www.wikidata.org/wiki/Q3385757", "Q3385757")</f>
        <v>0</v>
      </c>
      <c r="O12694" t="s">
        <v>20037</v>
      </c>
      <c r="Q12694" t="s">
        <v>402</v>
      </c>
      <c r="R12694" t="s">
        <v>21650</v>
      </c>
      <c r="S12694">
        <v>9051</v>
      </c>
    </row>
    <row r="12695" spans="1:19">
      <c r="A12695" t="s">
        <v>141</v>
      </c>
      <c r="B12695" t="s">
        <v>150</v>
      </c>
      <c r="C12695" t="s">
        <v>273</v>
      </c>
      <c r="D12695" t="s">
        <v>402</v>
      </c>
      <c r="F12695">
        <f>HYPERLINK("https://www.wikidata.org/wiki/Q28494844", "Q28494844")</f>
        <v>0</v>
      </c>
      <c r="G12695" t="s">
        <v>4967</v>
      </c>
      <c r="H12695" t="s">
        <v>9100</v>
      </c>
      <c r="I12695" t="s">
        <v>9421</v>
      </c>
      <c r="J12695" t="s">
        <v>15406</v>
      </c>
      <c r="K12695" t="s">
        <v>19704</v>
      </c>
      <c r="M12695">
        <f>HYPERLINK("https://www.senat.fr/senateur-3eme-republique/perreau_gustave0413r3.html", "perreau_gustave0413r3")</f>
        <v>0</v>
      </c>
      <c r="N12695">
        <f>HYPERLINK("https://www.wikidata.org/wiki/Q3121289", "Q3121289")</f>
        <v>0</v>
      </c>
      <c r="O12695" t="s">
        <v>20037</v>
      </c>
      <c r="Q12695" t="s">
        <v>402</v>
      </c>
      <c r="R12695" t="s">
        <v>21705</v>
      </c>
      <c r="S12695">
        <v>3291</v>
      </c>
    </row>
    <row r="12696" spans="1:19">
      <c r="A12696" t="s">
        <v>141</v>
      </c>
      <c r="B12696" t="s">
        <v>150</v>
      </c>
      <c r="C12696" t="s">
        <v>273</v>
      </c>
      <c r="D12696" t="s">
        <v>402</v>
      </c>
      <c r="F12696">
        <f>HYPERLINK("https://www.wikidata.org/wiki/Q28494844", "Q28494844")</f>
        <v>0</v>
      </c>
      <c r="G12696" t="s">
        <v>4253</v>
      </c>
      <c r="H12696" t="s">
        <v>8422</v>
      </c>
      <c r="I12696" t="s">
        <v>6478</v>
      </c>
      <c r="J12696" t="s">
        <v>14757</v>
      </c>
      <c r="K12696" t="s">
        <v>19104</v>
      </c>
      <c r="M12696">
        <f>HYPERLINK("https://www.senat.fr/senateur-3eme-republique/jouvenel_des_ursins_henri0468r3.html", "jouvenel_des_ursins_henri0468r3")</f>
        <v>0</v>
      </c>
      <c r="N12696">
        <f>HYPERLINK("https://www.wikidata.org/wiki/Q3133192", "Q3133192")</f>
        <v>0</v>
      </c>
      <c r="O12696" t="s">
        <v>20020</v>
      </c>
      <c r="Q12696" t="s">
        <v>402</v>
      </c>
      <c r="R12696" t="s">
        <v>21705</v>
      </c>
      <c r="S12696">
        <v>3291</v>
      </c>
    </row>
    <row r="12697" spans="1:19">
      <c r="A12697" t="s">
        <v>141</v>
      </c>
      <c r="B12697" t="s">
        <v>150</v>
      </c>
      <c r="C12697" t="s">
        <v>273</v>
      </c>
      <c r="D12697" t="s">
        <v>402</v>
      </c>
      <c r="F12697">
        <f>HYPERLINK("https://www.wikidata.org/wiki/Q28494844", "Q28494844")</f>
        <v>0</v>
      </c>
      <c r="G12697" t="s">
        <v>5075</v>
      </c>
      <c r="H12697" t="s">
        <v>9206</v>
      </c>
      <c r="I12697" t="s">
        <v>9407</v>
      </c>
      <c r="J12697" t="s">
        <v>15493</v>
      </c>
      <c r="K12697" t="s">
        <v>19794</v>
      </c>
      <c r="M12697">
        <f>HYPERLINK("https://www.senat.fr/senateur-3eme-republique/faure_joseph0463r3.html", "faure_joseph0463r3")</f>
        <v>0</v>
      </c>
      <c r="N12697">
        <f>HYPERLINK("https://www.wikidata.org/wiki/Q3184934", "Q3184934")</f>
        <v>0</v>
      </c>
      <c r="O12697" t="s">
        <v>20020</v>
      </c>
      <c r="Q12697" t="s">
        <v>402</v>
      </c>
      <c r="R12697" t="s">
        <v>21705</v>
      </c>
      <c r="S12697">
        <v>3291</v>
      </c>
    </row>
    <row r="12698" spans="1:19">
      <c r="A12698" t="s">
        <v>141</v>
      </c>
      <c r="B12698" t="s">
        <v>150</v>
      </c>
      <c r="C12698" t="s">
        <v>273</v>
      </c>
      <c r="D12698" t="s">
        <v>402</v>
      </c>
      <c r="F12698">
        <f>HYPERLINK("https://www.wikidata.org/wiki/Q28494844", "Q28494844")</f>
        <v>0</v>
      </c>
      <c r="G12698" t="s">
        <v>5076</v>
      </c>
      <c r="H12698" t="s">
        <v>9207</v>
      </c>
      <c r="I12698" t="s">
        <v>6166</v>
      </c>
      <c r="J12698" t="s">
        <v>15494</v>
      </c>
      <c r="K12698" t="s">
        <v>16538</v>
      </c>
      <c r="M12698">
        <f>HYPERLINK("https://www.senat.fr/senateur-3eme-republique/labrousse_francois0002r4.html", "labrousse_francois0002r4")</f>
        <v>0</v>
      </c>
      <c r="N12698">
        <f>HYPERLINK("https://www.wikidata.org/wiki/Q2406575", "Q2406575")</f>
        <v>0</v>
      </c>
      <c r="O12698" t="s">
        <v>20020</v>
      </c>
      <c r="Q12698" t="s">
        <v>402</v>
      </c>
      <c r="R12698" t="s">
        <v>21705</v>
      </c>
      <c r="S12698">
        <v>3291</v>
      </c>
    </row>
    <row r="12699" spans="1:19">
      <c r="A12699" t="s">
        <v>141</v>
      </c>
      <c r="B12699" t="s">
        <v>150</v>
      </c>
      <c r="C12699" t="s">
        <v>273</v>
      </c>
      <c r="D12699" t="s">
        <v>402</v>
      </c>
      <c r="F12699">
        <f>HYPERLINK("https://www.wikidata.org/wiki/Q28494844", "Q28494844")</f>
        <v>0</v>
      </c>
      <c r="G12699" t="s">
        <v>5070</v>
      </c>
      <c r="H12699" t="s">
        <v>9202</v>
      </c>
      <c r="I12699" t="s">
        <v>6483</v>
      </c>
      <c r="J12699" t="s">
        <v>15488</v>
      </c>
      <c r="K12699" t="s">
        <v>18616</v>
      </c>
      <c r="M12699">
        <f>HYPERLINK("https://www.senat.fr/senateur-3eme-republique/gallini_jean_francois0492r3.html", "gallini_jean_francois0492r3")</f>
        <v>0</v>
      </c>
      <c r="N12699">
        <f>HYPERLINK("https://www.wikidata.org/wiki/Q3165612", "Q3165612")</f>
        <v>0</v>
      </c>
      <c r="O12699" t="s">
        <v>19955</v>
      </c>
      <c r="Q12699" t="s">
        <v>402</v>
      </c>
      <c r="R12699" t="s">
        <v>21650</v>
      </c>
      <c r="S12699">
        <v>9051</v>
      </c>
    </row>
    <row r="12700" spans="1:19">
      <c r="A12700" t="s">
        <v>141</v>
      </c>
      <c r="B12700" t="s">
        <v>150</v>
      </c>
      <c r="C12700" t="s">
        <v>273</v>
      </c>
      <c r="D12700" t="s">
        <v>402</v>
      </c>
      <c r="F12700">
        <f>HYPERLINK("https://www.wikidata.org/wiki/Q28494844", "Q28494844")</f>
        <v>0</v>
      </c>
      <c r="G12700" t="s">
        <v>5077</v>
      </c>
      <c r="H12700" t="s">
        <v>9208</v>
      </c>
      <c r="I12700" t="s">
        <v>9389</v>
      </c>
      <c r="J12700" t="s">
        <v>15495</v>
      </c>
      <c r="K12700" t="s">
        <v>19795</v>
      </c>
      <c r="M12700">
        <f>HYPERLINK("https://www.senat.fr/senateur-3eme-republique/sari_emile0482r3.html", "sari_emile0482r3")</f>
        <v>0</v>
      </c>
      <c r="N12700">
        <f>HYPERLINK("https://www.wikidata.org/wiki/Q3588745", "Q3588745")</f>
        <v>0</v>
      </c>
      <c r="O12700" t="s">
        <v>19955</v>
      </c>
      <c r="Q12700" t="s">
        <v>402</v>
      </c>
      <c r="R12700" t="s">
        <v>21705</v>
      </c>
      <c r="S12700">
        <v>3291</v>
      </c>
    </row>
    <row r="12701" spans="1:19">
      <c r="A12701" t="s">
        <v>141</v>
      </c>
      <c r="B12701" t="s">
        <v>150</v>
      </c>
      <c r="C12701" t="s">
        <v>273</v>
      </c>
      <c r="D12701" t="s">
        <v>402</v>
      </c>
      <c r="F12701">
        <f>HYPERLINK("https://www.wikidata.org/wiki/Q28494844", "Q28494844")</f>
        <v>0</v>
      </c>
      <c r="G12701" t="s">
        <v>5078</v>
      </c>
      <c r="H12701" t="s">
        <v>9209</v>
      </c>
      <c r="I12701" t="s">
        <v>5528</v>
      </c>
      <c r="J12701" t="s">
        <v>12192</v>
      </c>
      <c r="K12701" t="s">
        <v>19796</v>
      </c>
      <c r="M12701">
        <f>HYPERLINK("https://www.senat.fr/senateur-3eme-republique/chagnaud_leon0646r3.html", "chagnaud_leon0646r3")</f>
        <v>0</v>
      </c>
      <c r="N12701">
        <f>HYPERLINK("https://www.wikidata.org/wiki/Q3270809", "Q3270809")</f>
        <v>0</v>
      </c>
      <c r="O12701" t="s">
        <v>19979</v>
      </c>
      <c r="Q12701" t="s">
        <v>402</v>
      </c>
      <c r="R12701" t="s">
        <v>21705</v>
      </c>
      <c r="S12701">
        <v>3291</v>
      </c>
    </row>
    <row r="12702" spans="1:19">
      <c r="A12702" t="s">
        <v>141</v>
      </c>
      <c r="B12702" t="s">
        <v>150</v>
      </c>
      <c r="C12702" t="s">
        <v>273</v>
      </c>
      <c r="D12702" t="s">
        <v>402</v>
      </c>
      <c r="F12702">
        <f>HYPERLINK("https://www.wikidata.org/wiki/Q28494844", "Q28494844")</f>
        <v>0</v>
      </c>
      <c r="G12702" t="s">
        <v>5079</v>
      </c>
      <c r="H12702" t="s">
        <v>9210</v>
      </c>
      <c r="I12702" t="s">
        <v>9458</v>
      </c>
      <c r="J12702" t="s">
        <v>15496</v>
      </c>
      <c r="K12702" t="s">
        <v>19797</v>
      </c>
      <c r="M12702">
        <f>HYPERLINK("https://www.senat.fr/senateur-3eme-republique/grand_alfred0620r3.html", "grand_alfred0620r3")</f>
        <v>0</v>
      </c>
      <c r="N12702">
        <f>HYPERLINK("https://www.wikidata.org/wiki/Q2835157", "Q2835157")</f>
        <v>0</v>
      </c>
      <c r="O12702" t="s">
        <v>19979</v>
      </c>
      <c r="Q12702" t="s">
        <v>402</v>
      </c>
      <c r="R12702" t="s">
        <v>21705</v>
      </c>
      <c r="S12702">
        <v>3291</v>
      </c>
    </row>
    <row r="12703" spans="1:19">
      <c r="A12703" t="s">
        <v>141</v>
      </c>
      <c r="B12703" t="s">
        <v>150</v>
      </c>
      <c r="C12703" t="s">
        <v>273</v>
      </c>
      <c r="D12703" t="s">
        <v>402</v>
      </c>
      <c r="F12703">
        <f>HYPERLINK("https://www.wikidata.org/wiki/Q28494844", "Q28494844")</f>
        <v>0</v>
      </c>
      <c r="G12703" t="s">
        <v>4251</v>
      </c>
      <c r="H12703" t="s">
        <v>8421</v>
      </c>
      <c r="I12703" t="s">
        <v>11174</v>
      </c>
      <c r="J12703" t="s">
        <v>14755</v>
      </c>
      <c r="K12703" t="s">
        <v>19102</v>
      </c>
      <c r="M12703">
        <f>HYPERLINK("https://www.senat.fr/senateur-3eme-republique/claveille_albert0663r3.html", "claveille_albert0663r3")</f>
        <v>0</v>
      </c>
      <c r="N12703">
        <f>HYPERLINK("https://www.wikidata.org/wiki/Q2830877", "Q2830877")</f>
        <v>0</v>
      </c>
      <c r="O12703" t="s">
        <v>20010</v>
      </c>
      <c r="Q12703" t="s">
        <v>402</v>
      </c>
      <c r="R12703" t="s">
        <v>21650</v>
      </c>
      <c r="S12703">
        <v>9051</v>
      </c>
    </row>
    <row r="12704" spans="1:19">
      <c r="A12704" t="s">
        <v>141</v>
      </c>
      <c r="B12704" t="s">
        <v>150</v>
      </c>
      <c r="C12704" t="s">
        <v>273</v>
      </c>
      <c r="D12704" t="s">
        <v>402</v>
      </c>
      <c r="F12704">
        <f>HYPERLINK("https://www.wikidata.org/wiki/Q28494844", "Q28494844")</f>
        <v>0</v>
      </c>
      <c r="G12704" t="s">
        <v>4880</v>
      </c>
      <c r="H12704" t="s">
        <v>9017</v>
      </c>
      <c r="I12704" t="s">
        <v>6860</v>
      </c>
      <c r="J12704" t="s">
        <v>15324</v>
      </c>
      <c r="K12704" t="s">
        <v>19633</v>
      </c>
      <c r="M12704">
        <f>HYPERLINK("https://www.senat.fr/senateur-3eme-republique/guillier_pierre0656r3.html", "guillier_pierre0656r3")</f>
        <v>0</v>
      </c>
      <c r="N12704">
        <f>HYPERLINK("https://www.wikidata.org/wiki/Q3385377", "Q3385377")</f>
        <v>0</v>
      </c>
      <c r="O12704" t="s">
        <v>20010</v>
      </c>
      <c r="Q12704" t="s">
        <v>402</v>
      </c>
      <c r="R12704" t="s">
        <v>21650</v>
      </c>
      <c r="S12704">
        <v>9051</v>
      </c>
    </row>
    <row r="12705" spans="1:19">
      <c r="A12705" t="s">
        <v>141</v>
      </c>
      <c r="B12705" t="s">
        <v>150</v>
      </c>
      <c r="C12705" t="s">
        <v>273</v>
      </c>
      <c r="D12705" t="s">
        <v>402</v>
      </c>
      <c r="F12705">
        <f>HYPERLINK("https://www.wikidata.org/wiki/Q28494844", "Q28494844")</f>
        <v>0</v>
      </c>
      <c r="G12705" t="s">
        <v>4996</v>
      </c>
      <c r="H12705" t="s">
        <v>9129</v>
      </c>
      <c r="I12705" t="s">
        <v>5948</v>
      </c>
      <c r="J12705" t="s">
        <v>15427</v>
      </c>
      <c r="K12705" t="s">
        <v>16028</v>
      </c>
      <c r="M12705">
        <f>HYPERLINK("https://www.senat.fr/senateur-3eme-republique/eymery_bernard0672r3.html", "eymery_bernard0672r3")</f>
        <v>0</v>
      </c>
      <c r="N12705">
        <f>HYPERLINK("https://www.wikidata.org/wiki/Q2897871", "Q2897871")</f>
        <v>0</v>
      </c>
      <c r="O12705" t="s">
        <v>20010</v>
      </c>
      <c r="Q12705" t="s">
        <v>402</v>
      </c>
      <c r="R12705" t="s">
        <v>21650</v>
      </c>
      <c r="S12705">
        <v>9051</v>
      </c>
    </row>
    <row r="12706" spans="1:19">
      <c r="A12706" t="s">
        <v>141</v>
      </c>
      <c r="B12706" t="s">
        <v>150</v>
      </c>
      <c r="C12706" t="s">
        <v>273</v>
      </c>
      <c r="D12706" t="s">
        <v>402</v>
      </c>
      <c r="F12706">
        <f>HYPERLINK("https://www.wikidata.org/wiki/Q28494844", "Q28494844")</f>
        <v>0</v>
      </c>
      <c r="G12706" t="s">
        <v>5080</v>
      </c>
      <c r="H12706" t="s">
        <v>8902</v>
      </c>
      <c r="I12706" t="s">
        <v>9470</v>
      </c>
      <c r="J12706" t="s">
        <v>15497</v>
      </c>
      <c r="K12706" t="s">
        <v>19798</v>
      </c>
      <c r="M12706">
        <f>HYPERLINK("https://www.senat.fr/senateur-3eme-republique/japy_gaston0684r3.html", "japy_gaston0684r3")</f>
        <v>0</v>
      </c>
      <c r="N12706">
        <f>HYPERLINK("https://www.wikidata.org/wiki/Q3099037", "Q3099037")</f>
        <v>0</v>
      </c>
      <c r="O12706" t="s">
        <v>19973</v>
      </c>
      <c r="Q12706" t="s">
        <v>402</v>
      </c>
      <c r="R12706" t="s">
        <v>21705</v>
      </c>
      <c r="S12706">
        <v>3291</v>
      </c>
    </row>
    <row r="12707" spans="1:19">
      <c r="A12707" t="s">
        <v>141</v>
      </c>
      <c r="B12707" t="s">
        <v>150</v>
      </c>
      <c r="C12707" t="s">
        <v>273</v>
      </c>
      <c r="D12707" t="s">
        <v>402</v>
      </c>
      <c r="F12707">
        <f>HYPERLINK("https://www.wikidata.org/wiki/Q28494844", "Q28494844")</f>
        <v>0</v>
      </c>
      <c r="G12707" t="s">
        <v>4939</v>
      </c>
      <c r="H12707" t="s">
        <v>9074</v>
      </c>
      <c r="I12707" t="s">
        <v>9385</v>
      </c>
      <c r="J12707" t="s">
        <v>15381</v>
      </c>
      <c r="K12707" t="s">
        <v>19682</v>
      </c>
      <c r="M12707">
        <f>HYPERLINK("https://www.senat.fr/senateur-3eme-republique/chabert_charles0722r3.html", "chabert_charles0722r3")</f>
        <v>0</v>
      </c>
      <c r="N12707">
        <f>HYPERLINK("https://www.wikidata.org/wiki/Q15974227", "Q15974227")</f>
        <v>0</v>
      </c>
      <c r="O12707" t="s">
        <v>20044</v>
      </c>
      <c r="Q12707" t="s">
        <v>402</v>
      </c>
      <c r="R12707" t="s">
        <v>21650</v>
      </c>
      <c r="S12707">
        <v>9051</v>
      </c>
    </row>
    <row r="12708" spans="1:19">
      <c r="A12708" t="s">
        <v>141</v>
      </c>
      <c r="B12708" t="s">
        <v>150</v>
      </c>
      <c r="C12708" t="s">
        <v>273</v>
      </c>
      <c r="D12708" t="s">
        <v>402</v>
      </c>
      <c r="F12708">
        <f>HYPERLINK("https://www.wikidata.org/wiki/Q28494844", "Q28494844")</f>
        <v>0</v>
      </c>
      <c r="G12708" t="s">
        <v>4997</v>
      </c>
      <c r="H12708" t="s">
        <v>9130</v>
      </c>
      <c r="I12708" t="s">
        <v>9407</v>
      </c>
      <c r="J12708" t="s">
        <v>15428</v>
      </c>
      <c r="K12708" t="s">
        <v>403</v>
      </c>
      <c r="M12708">
        <f>HYPERLINK("https://www.senat.fr/senateur-3eme-republique/reynaud_joseph0717r3.html", "reynaud_joseph0717r3")</f>
        <v>0</v>
      </c>
      <c r="N12708">
        <f>HYPERLINK("https://www.wikidata.org/wiki/Q3185555", "Q3185555")</f>
        <v>0</v>
      </c>
      <c r="O12708" t="s">
        <v>20044</v>
      </c>
      <c r="Q12708" t="s">
        <v>402</v>
      </c>
      <c r="R12708" t="s">
        <v>21650</v>
      </c>
      <c r="S12708">
        <v>9051</v>
      </c>
    </row>
    <row r="12709" spans="1:19">
      <c r="A12709" t="s">
        <v>141</v>
      </c>
      <c r="B12709" t="s">
        <v>150</v>
      </c>
      <c r="C12709" t="s">
        <v>273</v>
      </c>
      <c r="D12709" t="s">
        <v>402</v>
      </c>
      <c r="F12709">
        <f>HYPERLINK("https://www.wikidata.org/wiki/Q28494844", "Q28494844")</f>
        <v>0</v>
      </c>
      <c r="G12709" t="s">
        <v>4998</v>
      </c>
      <c r="H12709" t="s">
        <v>9131</v>
      </c>
      <c r="I12709" t="s">
        <v>9457</v>
      </c>
      <c r="J12709" t="s">
        <v>15429</v>
      </c>
      <c r="K12709" t="s">
        <v>15808</v>
      </c>
      <c r="M12709">
        <f>HYPERLINK("https://www.senat.fr/senateur-3eme-republique/perdrix_henri0730r3.html", "perdrix_henri0730r3")</f>
        <v>0</v>
      </c>
      <c r="N12709">
        <f>HYPERLINK("https://www.wikidata.org/wiki/Q3131758", "Q3131758")</f>
        <v>0</v>
      </c>
      <c r="O12709" t="s">
        <v>20044</v>
      </c>
      <c r="Q12709" t="s">
        <v>402</v>
      </c>
      <c r="R12709" t="s">
        <v>21705</v>
      </c>
      <c r="S12709">
        <v>3291</v>
      </c>
    </row>
    <row r="12710" spans="1:19">
      <c r="A12710" t="s">
        <v>141</v>
      </c>
      <c r="B12710" t="s">
        <v>150</v>
      </c>
      <c r="C12710" t="s">
        <v>273</v>
      </c>
      <c r="D12710" t="s">
        <v>402</v>
      </c>
      <c r="F12710">
        <f>HYPERLINK("https://www.wikidata.org/wiki/Q28494844", "Q28494844")</f>
        <v>0</v>
      </c>
      <c r="G12710" t="s">
        <v>4925</v>
      </c>
      <c r="H12710" t="s">
        <v>9061</v>
      </c>
      <c r="I12710" t="s">
        <v>5528</v>
      </c>
      <c r="J12710" t="s">
        <v>15367</v>
      </c>
      <c r="K12710" t="s">
        <v>19670</v>
      </c>
      <c r="M12710">
        <f>HYPERLINK("https://www.senat.fr/senateur-3eme-republique/monnier_leon0742r3.html", "monnier_leon0742r3")</f>
        <v>0</v>
      </c>
      <c r="N12710">
        <f>HYPERLINK("https://www.wikidata.org/wiki/Q3271207", "Q3271207")</f>
        <v>0</v>
      </c>
      <c r="O12710" t="s">
        <v>19992</v>
      </c>
      <c r="Q12710" t="s">
        <v>402</v>
      </c>
      <c r="R12710" t="s">
        <v>21650</v>
      </c>
      <c r="S12710">
        <v>9051</v>
      </c>
    </row>
    <row r="12711" spans="1:19">
      <c r="A12711" t="s">
        <v>141</v>
      </c>
      <c r="B12711" t="s">
        <v>150</v>
      </c>
      <c r="C12711" t="s">
        <v>273</v>
      </c>
      <c r="D12711" t="s">
        <v>402</v>
      </c>
      <c r="F12711">
        <f>HYPERLINK("https://www.wikidata.org/wiki/Q28494844", "Q28494844")</f>
        <v>0</v>
      </c>
      <c r="G12711" t="s">
        <v>4970</v>
      </c>
      <c r="H12711" t="s">
        <v>9103</v>
      </c>
      <c r="I12711" t="s">
        <v>7642</v>
      </c>
      <c r="J12711" t="s">
        <v>15409</v>
      </c>
      <c r="K12711" t="s">
        <v>19707</v>
      </c>
      <c r="M12711">
        <f>HYPERLINK("https://www.senat.fr/senateur-3eme-republique/hervey_maurice0758r3.html", "hervey_maurice0758r3")</f>
        <v>0</v>
      </c>
      <c r="N12711">
        <f>HYPERLINK("https://www.wikidata.org/wiki/Q3300912", "Q3300912")</f>
        <v>0</v>
      </c>
      <c r="O12711" t="s">
        <v>19992</v>
      </c>
      <c r="Q12711" t="s">
        <v>402</v>
      </c>
      <c r="R12711" t="s">
        <v>21705</v>
      </c>
      <c r="S12711">
        <v>3291</v>
      </c>
    </row>
    <row r="12712" spans="1:19">
      <c r="A12712" t="s">
        <v>141</v>
      </c>
      <c r="B12712" t="s">
        <v>150</v>
      </c>
      <c r="C12712" t="s">
        <v>273</v>
      </c>
      <c r="D12712" t="s">
        <v>402</v>
      </c>
      <c r="F12712">
        <f>HYPERLINK("https://www.wikidata.org/wiki/Q28494844", "Q28494844")</f>
        <v>0</v>
      </c>
      <c r="G12712" t="s">
        <v>5000</v>
      </c>
      <c r="H12712" t="s">
        <v>9133</v>
      </c>
      <c r="I12712" t="s">
        <v>9533</v>
      </c>
      <c r="J12712" t="s">
        <v>15430</v>
      </c>
      <c r="K12712" t="s">
        <v>19733</v>
      </c>
      <c r="M12712">
        <f>HYPERLINK("https://www.senat.fr/senateur-3eme-republique/le_hars_theodore0792r3.html", "le_hars_theodore0792r3")</f>
        <v>0</v>
      </c>
      <c r="N12712">
        <f>HYPERLINK("https://www.wikidata.org/wiki/Q3526450", "Q3526450")</f>
        <v>0</v>
      </c>
      <c r="O12712" t="s">
        <v>20011</v>
      </c>
      <c r="Q12712" t="s">
        <v>402</v>
      </c>
      <c r="R12712" t="s">
        <v>21650</v>
      </c>
      <c r="S12712">
        <v>9051</v>
      </c>
    </row>
    <row r="12713" spans="1:19">
      <c r="A12713" t="s">
        <v>141</v>
      </c>
      <c r="B12713" t="s">
        <v>150</v>
      </c>
      <c r="C12713" t="s">
        <v>273</v>
      </c>
      <c r="D12713" t="s">
        <v>402</v>
      </c>
      <c r="F12713">
        <f>HYPERLINK("https://www.wikidata.org/wiki/Q28494844", "Q28494844")</f>
        <v>0</v>
      </c>
      <c r="G12713" t="s">
        <v>4971</v>
      </c>
      <c r="H12713" t="s">
        <v>9104</v>
      </c>
      <c r="I12713" t="s">
        <v>7642</v>
      </c>
      <c r="J12713" t="s">
        <v>15410</v>
      </c>
      <c r="K12713" t="s">
        <v>19708</v>
      </c>
      <c r="M12713">
        <f>HYPERLINK("https://www.senat.fr/senateur-3eme-republique/fenoux_maurice0817r3.html", "fenoux_maurice0817r3")</f>
        <v>0</v>
      </c>
      <c r="N12713">
        <f>HYPERLINK("https://www.wikidata.org/wiki/Q3300770", "Q3300770")</f>
        <v>0</v>
      </c>
      <c r="O12713" t="s">
        <v>20011</v>
      </c>
      <c r="Q12713" t="s">
        <v>402</v>
      </c>
      <c r="R12713" t="s">
        <v>21705</v>
      </c>
      <c r="S12713">
        <v>3291</v>
      </c>
    </row>
    <row r="12714" spans="1:19">
      <c r="A12714" t="s">
        <v>141</v>
      </c>
      <c r="B12714" t="s">
        <v>150</v>
      </c>
      <c r="C12714" t="s">
        <v>273</v>
      </c>
      <c r="D12714" t="s">
        <v>402</v>
      </c>
      <c r="F12714">
        <f>HYPERLINK("https://www.wikidata.org/wiki/Q28494844", "Q28494844")</f>
        <v>0</v>
      </c>
      <c r="G12714" t="s">
        <v>4940</v>
      </c>
      <c r="H12714" t="s">
        <v>9075</v>
      </c>
      <c r="I12714" t="s">
        <v>9449</v>
      </c>
      <c r="J12714" t="s">
        <v>15382</v>
      </c>
      <c r="K12714" t="s">
        <v>19683</v>
      </c>
      <c r="M12714">
        <f>HYPERLINK("https://www.senat.fr/senateur-3eme-republique/fortin_jules0810r3.html", "fortin_jules0810r3")</f>
        <v>0</v>
      </c>
      <c r="N12714">
        <f>HYPERLINK("https://www.wikidata.org/wiki/Q3188584", "Q3188584")</f>
        <v>0</v>
      </c>
      <c r="O12714" t="s">
        <v>20011</v>
      </c>
      <c r="Q12714" t="s">
        <v>402</v>
      </c>
      <c r="R12714" t="s">
        <v>21650</v>
      </c>
      <c r="S12714">
        <v>9051</v>
      </c>
    </row>
    <row r="12715" spans="1:19">
      <c r="A12715" t="s">
        <v>141</v>
      </c>
      <c r="B12715" t="s">
        <v>150</v>
      </c>
      <c r="C12715" t="s">
        <v>273</v>
      </c>
      <c r="D12715" t="s">
        <v>402</v>
      </c>
      <c r="F12715">
        <f>HYPERLINK("https://www.wikidata.org/wiki/Q28494844", "Q28494844")</f>
        <v>0</v>
      </c>
      <c r="G12715" t="s">
        <v>5001</v>
      </c>
      <c r="H12715" t="s">
        <v>9134</v>
      </c>
      <c r="I12715" t="s">
        <v>6200</v>
      </c>
      <c r="J12715" t="s">
        <v>15431</v>
      </c>
      <c r="K12715" t="s">
        <v>19734</v>
      </c>
      <c r="M12715">
        <f>HYPERLINK("https://www.senat.fr/senateur-3eme-republique/cazelles_jean0828r3.html", "cazelles_jean0828r3")</f>
        <v>0</v>
      </c>
      <c r="N12715">
        <f>HYPERLINK("https://www.wikidata.org/wiki/Q1685418", "Q1685418")</f>
        <v>0</v>
      </c>
      <c r="O12715" t="s">
        <v>20014</v>
      </c>
      <c r="Q12715" t="s">
        <v>402</v>
      </c>
      <c r="R12715" t="s">
        <v>21650</v>
      </c>
      <c r="S12715">
        <v>9051</v>
      </c>
    </row>
    <row r="12716" spans="1:19">
      <c r="A12716" t="s">
        <v>141</v>
      </c>
      <c r="B12716" t="s">
        <v>150</v>
      </c>
      <c r="C12716" t="s">
        <v>273</v>
      </c>
      <c r="D12716" t="s">
        <v>402</v>
      </c>
      <c r="F12716">
        <f>HYPERLINK("https://www.wikidata.org/wiki/Q28494844", "Q28494844")</f>
        <v>0</v>
      </c>
      <c r="G12716" t="s">
        <v>4273</v>
      </c>
      <c r="H12716" t="s">
        <v>6822</v>
      </c>
      <c r="I12716" t="s">
        <v>6478</v>
      </c>
      <c r="J12716" t="s">
        <v>14772</v>
      </c>
      <c r="K12716" t="s">
        <v>19120</v>
      </c>
      <c r="M12716">
        <f>HYPERLINK("https://www.senat.fr/senateur-3eme-republique/berenger_henry0845r3.html", "berenger_henry0845r3")</f>
        <v>0</v>
      </c>
      <c r="N12716">
        <f>HYPERLINK("https://www.wikidata.org/wiki/Q377169", "Q377169")</f>
        <v>0</v>
      </c>
      <c r="O12716" t="s">
        <v>20028</v>
      </c>
      <c r="Q12716" t="s">
        <v>402</v>
      </c>
      <c r="R12716" t="s">
        <v>21705</v>
      </c>
      <c r="S12716">
        <v>3291</v>
      </c>
    </row>
    <row r="12717" spans="1:19">
      <c r="A12717" t="s">
        <v>141</v>
      </c>
      <c r="B12717" t="s">
        <v>150</v>
      </c>
      <c r="C12717" t="s">
        <v>273</v>
      </c>
      <c r="D12717" t="s">
        <v>402</v>
      </c>
      <c r="F12717">
        <f>HYPERLINK("https://www.wikidata.org/wiki/Q28494844", "Q28494844")</f>
        <v>0</v>
      </c>
      <c r="G12717" t="s">
        <v>5081</v>
      </c>
      <c r="H12717" t="s">
        <v>9211</v>
      </c>
      <c r="I12717" t="s">
        <v>6860</v>
      </c>
      <c r="J12717" t="s">
        <v>12380</v>
      </c>
      <c r="K12717" t="s">
        <v>19799</v>
      </c>
      <c r="M12717">
        <f>HYPERLINK("https://www.senat.fr/senateur-3eme-republique/codet_pierre1787r3.html", "codet_pierre1787r3")</f>
        <v>0</v>
      </c>
      <c r="N12717">
        <f>HYPERLINK("https://www.wikidata.org/wiki/Q3384476", "Q3384476")</f>
        <v>0</v>
      </c>
      <c r="O12717" t="s">
        <v>19977</v>
      </c>
      <c r="Q12717" t="s">
        <v>402</v>
      </c>
      <c r="R12717" t="s">
        <v>19799</v>
      </c>
      <c r="S12717">
        <v>1351</v>
      </c>
    </row>
    <row r="12718" spans="1:19">
      <c r="A12718" t="s">
        <v>141</v>
      </c>
      <c r="B12718" t="s">
        <v>150</v>
      </c>
      <c r="C12718" t="s">
        <v>273</v>
      </c>
      <c r="D12718" t="s">
        <v>402</v>
      </c>
      <c r="F12718">
        <f>HYPERLINK("https://www.wikidata.org/wiki/Q28494844", "Q28494844")</f>
        <v>0</v>
      </c>
      <c r="G12718" t="s">
        <v>5082</v>
      </c>
      <c r="H12718" t="s">
        <v>9212</v>
      </c>
      <c r="I12718" t="s">
        <v>9470</v>
      </c>
      <c r="J12718" t="s">
        <v>12218</v>
      </c>
      <c r="K12718" t="s">
        <v>19800</v>
      </c>
      <c r="M12718">
        <f>HYPERLINK("https://www.senat.fr/senateur-3eme-republique/provost_dumarchais_gaston1269r3.html", "provost_dumarchais_gaston1269r3")</f>
        <v>0</v>
      </c>
      <c r="N12718">
        <f>HYPERLINK("https://www.wikidata.org/wiki/Q3099121", "Q3099121")</f>
        <v>0</v>
      </c>
      <c r="O12718" t="s">
        <v>20032</v>
      </c>
      <c r="Q12718" t="s">
        <v>402</v>
      </c>
      <c r="R12718" t="s">
        <v>16129</v>
      </c>
      <c r="S12718">
        <v>1091</v>
      </c>
    </row>
    <row r="12719" spans="1:19">
      <c r="A12719" t="s">
        <v>141</v>
      </c>
      <c r="B12719" t="s">
        <v>150</v>
      </c>
      <c r="C12719" t="s">
        <v>273</v>
      </c>
      <c r="D12719" t="s">
        <v>402</v>
      </c>
      <c r="F12719">
        <f>HYPERLINK("https://www.wikidata.org/wiki/Q28494844", "Q28494844")</f>
        <v>0</v>
      </c>
      <c r="G12719" t="s">
        <v>4347</v>
      </c>
      <c r="H12719" t="s">
        <v>7359</v>
      </c>
      <c r="I12719" t="s">
        <v>9391</v>
      </c>
      <c r="J12719" t="s">
        <v>14839</v>
      </c>
      <c r="K12719" t="s">
        <v>19181</v>
      </c>
      <c r="M12719">
        <f>HYPERLINK("https://www.senat.fr/senateur-3eme-republique/chauveau_claude0544r3.html", "chauveau_claude0544r3")</f>
        <v>0</v>
      </c>
      <c r="N12719">
        <f>HYPERLINK("https://www.wikidata.org/wiki/Q2977185", "Q2977185")</f>
        <v>0</v>
      </c>
      <c r="Q12719" t="s">
        <v>402</v>
      </c>
      <c r="R12719" t="s">
        <v>21705</v>
      </c>
      <c r="S12719">
        <v>3291</v>
      </c>
    </row>
    <row r="12720" spans="1:19">
      <c r="A12720" t="s">
        <v>141</v>
      </c>
      <c r="B12720" t="s">
        <v>150</v>
      </c>
      <c r="C12720" t="s">
        <v>273</v>
      </c>
      <c r="D12720" t="s">
        <v>402</v>
      </c>
      <c r="F12720">
        <f>HYPERLINK("https://www.wikidata.org/wiki/Q28494844", "Q28494844")</f>
        <v>0</v>
      </c>
      <c r="G12720" t="s">
        <v>5068</v>
      </c>
      <c r="H12720" t="s">
        <v>9200</v>
      </c>
      <c r="I12720" t="s">
        <v>6860</v>
      </c>
      <c r="J12720" t="s">
        <v>15487</v>
      </c>
      <c r="K12720" t="s">
        <v>19788</v>
      </c>
      <c r="M12720">
        <f>HYPERLINK("https://www.senat.fr/senateur-3eme-republique/jossot_pierre0554r3.html", "jossot_pierre0554r3")</f>
        <v>0</v>
      </c>
      <c r="N12720">
        <f>HYPERLINK("https://www.wikidata.org/wiki/Q3385628", "Q3385628")</f>
        <v>0</v>
      </c>
      <c r="Q12720" t="s">
        <v>402</v>
      </c>
      <c r="R12720" t="s">
        <v>21705</v>
      </c>
      <c r="S12720">
        <v>3291</v>
      </c>
    </row>
    <row r="12721" spans="1:19">
      <c r="A12721" t="s">
        <v>141</v>
      </c>
      <c r="B12721" t="s">
        <v>150</v>
      </c>
      <c r="C12721" t="s">
        <v>273</v>
      </c>
      <c r="D12721" t="s">
        <v>402</v>
      </c>
      <c r="F12721">
        <f>HYPERLINK("https://www.wikidata.org/wiki/Q28494844", "Q28494844")</f>
        <v>0</v>
      </c>
      <c r="G12721" t="s">
        <v>5083</v>
      </c>
      <c r="H12721" t="s">
        <v>9213</v>
      </c>
      <c r="I12721" t="s">
        <v>7419</v>
      </c>
      <c r="J12721" t="s">
        <v>12323</v>
      </c>
      <c r="K12721" t="s">
        <v>15899</v>
      </c>
      <c r="M12721">
        <f>HYPERLINK("https://www.senat.fr/senateur-3eme-republique/duroux_jacques0840r3.html", "duroux_jacques0840r3")</f>
        <v>0</v>
      </c>
      <c r="N12721">
        <f>HYPERLINK("https://www.wikidata.org/wiki/Q20027700", "Q20027700")</f>
        <v>0</v>
      </c>
      <c r="Q12721" t="s">
        <v>402</v>
      </c>
      <c r="R12721" t="s">
        <v>21705</v>
      </c>
      <c r="S12721">
        <v>3291</v>
      </c>
    </row>
    <row r="12722" spans="1:19">
      <c r="A12722" t="s">
        <v>141</v>
      </c>
      <c r="B12722" t="s">
        <v>150</v>
      </c>
      <c r="C12722" t="s">
        <v>273</v>
      </c>
      <c r="D12722" t="s">
        <v>402</v>
      </c>
      <c r="F12722">
        <f>HYPERLINK("https://www.wikidata.org/wiki/Q28494844", "Q28494844")</f>
        <v>0</v>
      </c>
      <c r="G12722" t="s">
        <v>1305</v>
      </c>
      <c r="H12722" t="s">
        <v>6026</v>
      </c>
      <c r="I12722" t="s">
        <v>9741</v>
      </c>
      <c r="J12722" t="s">
        <v>12035</v>
      </c>
      <c r="K12722" t="s">
        <v>16436</v>
      </c>
      <c r="L12722">
        <f>HYPERLINK("https://www2.assemblee-nationale.fr/sycomore/fiche/(num_dept)/6585", "6585")</f>
        <v>0</v>
      </c>
      <c r="M12722">
        <f>HYPERLINK("https://www.senat.fr/senateur-3eme-republique/rajon_claude1188r3.html", "rajon_claude1188r3")</f>
        <v>0</v>
      </c>
      <c r="N12722">
        <f>HYPERLINK("https://www.wikidata.org/wiki/Q2978029", "Q2978029")</f>
        <v>0</v>
      </c>
      <c r="O12722" t="s">
        <v>20006</v>
      </c>
      <c r="Q12722" t="s">
        <v>21237</v>
      </c>
      <c r="R12722" t="s">
        <v>16129</v>
      </c>
      <c r="S12722">
        <v>937</v>
      </c>
    </row>
    <row r="12723" spans="1:19">
      <c r="A12723" t="s">
        <v>141</v>
      </c>
      <c r="B12723" t="s">
        <v>150</v>
      </c>
      <c r="C12723" t="s">
        <v>273</v>
      </c>
      <c r="D12723" t="s">
        <v>402</v>
      </c>
      <c r="F12723">
        <f>HYPERLINK("https://www.wikidata.org/wiki/Q28494844", "Q28494844")</f>
        <v>0</v>
      </c>
      <c r="G12723" t="s">
        <v>811</v>
      </c>
      <c r="H12723" t="s">
        <v>5568</v>
      </c>
      <c r="I12723" t="s">
        <v>9535</v>
      </c>
      <c r="J12723" t="s">
        <v>11558</v>
      </c>
      <c r="K12723" t="s">
        <v>15962</v>
      </c>
      <c r="L12723">
        <f>HYPERLINK("https://www2.assemblee-nationale.fr/sycomore/fiche/(num_dept)/6854", "6854")</f>
        <v>0</v>
      </c>
      <c r="M12723">
        <f>HYPERLINK("https://www.senat.fr/senateur-3eme-republique/simyan_julien1227r3.html", "simyan_julien1227r3")</f>
        <v>0</v>
      </c>
      <c r="N12723">
        <f>HYPERLINK("https://www.wikidata.org/wiki/Q3189661", "Q3189661")</f>
        <v>0</v>
      </c>
      <c r="O12723" t="s">
        <v>19994</v>
      </c>
      <c r="Q12723" t="s">
        <v>21237</v>
      </c>
      <c r="R12723" t="s">
        <v>15962</v>
      </c>
      <c r="S12723">
        <v>1864</v>
      </c>
    </row>
    <row r="12724" spans="1:19">
      <c r="A12724" t="s">
        <v>141</v>
      </c>
      <c r="B12724" t="s">
        <v>150</v>
      </c>
      <c r="C12724" t="s">
        <v>273</v>
      </c>
      <c r="D12724" t="s">
        <v>402</v>
      </c>
      <c r="F12724">
        <f>HYPERLINK("https://www.wikidata.org/wiki/Q28494844", "Q28494844")</f>
        <v>0</v>
      </c>
      <c r="G12724" t="s">
        <v>850</v>
      </c>
      <c r="H12724" t="s">
        <v>5607</v>
      </c>
      <c r="I12724" t="s">
        <v>8494</v>
      </c>
      <c r="J12724" t="s">
        <v>11596</v>
      </c>
      <c r="K12724" t="s">
        <v>15998</v>
      </c>
      <c r="L12724">
        <f>HYPERLINK("https://www2.assemblee-nationale.fr/sycomore/fiche/(num_dept)/7692", "7692")</f>
        <v>0</v>
      </c>
      <c r="M12724">
        <f>HYPERLINK("https://www.senat.fr/senateur-3eme-republique/lefevre_abel0761r3.html", "lefevre_abel0761r3")</f>
        <v>0</v>
      </c>
      <c r="N12724">
        <f>HYPERLINK("https://www.wikidata.org/wiki/Q2821523", "Q2821523")</f>
        <v>0</v>
      </c>
      <c r="O12724" t="s">
        <v>19992</v>
      </c>
      <c r="Q12724" t="s">
        <v>21238</v>
      </c>
      <c r="R12724" t="s">
        <v>21705</v>
      </c>
      <c r="S12724">
        <v>3102</v>
      </c>
    </row>
    <row r="12725" spans="1:19">
      <c r="A12725" t="s">
        <v>141</v>
      </c>
      <c r="B12725" t="s">
        <v>150</v>
      </c>
      <c r="C12725" t="s">
        <v>273</v>
      </c>
      <c r="D12725" t="s">
        <v>402</v>
      </c>
      <c r="F12725">
        <f>HYPERLINK("https://www.wikidata.org/wiki/Q28494844", "Q28494844")</f>
        <v>0</v>
      </c>
      <c r="G12725" t="s">
        <v>4242</v>
      </c>
      <c r="H12725" t="s">
        <v>8416</v>
      </c>
      <c r="I12725" t="s">
        <v>9446</v>
      </c>
      <c r="J12725" t="s">
        <v>14748</v>
      </c>
      <c r="K12725" t="s">
        <v>19094</v>
      </c>
      <c r="M12725">
        <f>HYPERLINK("https://www.senat.fr/senateur-3eme-republique/chapsal_fernand0417r3.html", "chapsal_fernand0417r3")</f>
        <v>0</v>
      </c>
      <c r="N12725">
        <f>HYPERLINK("https://www.wikidata.org/wiki/Q3069075", "Q3069075")</f>
        <v>0</v>
      </c>
      <c r="O12725" t="s">
        <v>20037</v>
      </c>
      <c r="Q12725" t="s">
        <v>21238</v>
      </c>
      <c r="R12725" t="s">
        <v>21705</v>
      </c>
      <c r="S12725">
        <v>3102</v>
      </c>
    </row>
    <row r="12726" spans="1:19">
      <c r="A12726" t="s">
        <v>141</v>
      </c>
      <c r="B12726" t="s">
        <v>150</v>
      </c>
      <c r="C12726" t="s">
        <v>273</v>
      </c>
      <c r="D12726" t="s">
        <v>402</v>
      </c>
      <c r="F12726">
        <f>HYPERLINK("https://www.wikidata.org/wiki/Q28494844", "Q28494844")</f>
        <v>0</v>
      </c>
      <c r="G12726" t="s">
        <v>5084</v>
      </c>
      <c r="H12726" t="s">
        <v>9214</v>
      </c>
      <c r="I12726" t="s">
        <v>9449</v>
      </c>
      <c r="J12726" t="s">
        <v>15498</v>
      </c>
      <c r="K12726" t="s">
        <v>19801</v>
      </c>
      <c r="M12726">
        <f>HYPERLINK("https://www.senat.fr/senateur-3eme-republique/gasser_jules0350r4.html", "gasser_jules0350r4")</f>
        <v>0</v>
      </c>
      <c r="N12726">
        <f>HYPERLINK("https://www.wikidata.org/wiki/Q3188605", "Q3188605")</f>
        <v>0</v>
      </c>
      <c r="Q12726" t="s">
        <v>21238</v>
      </c>
      <c r="R12726" t="s">
        <v>21279</v>
      </c>
      <c r="S12726">
        <v>2001</v>
      </c>
    </row>
    <row r="12727" spans="1:19">
      <c r="A12727" t="s">
        <v>141</v>
      </c>
      <c r="B12727" t="s">
        <v>150</v>
      </c>
      <c r="C12727" t="s">
        <v>273</v>
      </c>
      <c r="D12727" t="s">
        <v>402</v>
      </c>
      <c r="F12727">
        <f>HYPERLINK("https://www.wikidata.org/wiki/Q28494844", "Q28494844")</f>
        <v>0</v>
      </c>
      <c r="G12727" t="s">
        <v>812</v>
      </c>
      <c r="H12727" t="s">
        <v>5569</v>
      </c>
      <c r="I12727" t="s">
        <v>5528</v>
      </c>
      <c r="J12727" t="s">
        <v>11559</v>
      </c>
      <c r="K12727" t="s">
        <v>15963</v>
      </c>
      <c r="L12727">
        <f>HYPERLINK("https://www2.assemblee-nationale.fr/sycomore/fiche/(num_dept)/6857", "6857")</f>
        <v>0</v>
      </c>
      <c r="M12727">
        <f>HYPERLINK("https://www.senat.fr/senateur-3eme-republique/sireyjol_leon0664r3.html", "sireyjol_leon0664r3")</f>
        <v>0</v>
      </c>
      <c r="N12727">
        <f>HYPERLINK("https://www.wikidata.org/wiki/Q3271332", "Q3271332")</f>
        <v>0</v>
      </c>
      <c r="O12727" t="s">
        <v>20010</v>
      </c>
      <c r="Q12727" t="s">
        <v>21239</v>
      </c>
      <c r="R12727" t="s">
        <v>21705</v>
      </c>
      <c r="S12727">
        <v>2962</v>
      </c>
    </row>
    <row r="12728" spans="1:19">
      <c r="A12728" t="s">
        <v>141</v>
      </c>
      <c r="B12728" t="s">
        <v>150</v>
      </c>
      <c r="C12728" t="s">
        <v>273</v>
      </c>
      <c r="D12728" t="s">
        <v>402</v>
      </c>
      <c r="F12728">
        <f>HYPERLINK("https://www.wikidata.org/wiki/Q28494844", "Q28494844")</f>
        <v>0</v>
      </c>
      <c r="G12728" t="s">
        <v>5085</v>
      </c>
      <c r="H12728" t="s">
        <v>9215</v>
      </c>
      <c r="I12728" t="s">
        <v>9606</v>
      </c>
      <c r="J12728" t="s">
        <v>15499</v>
      </c>
      <c r="K12728" t="s">
        <v>19802</v>
      </c>
      <c r="M12728">
        <f>HYPERLINK("https://www.senat.fr/senateur-3eme-republique/de_bertier_de_sauvigny_jean_marie0704r3.html", "de_bertier_de_sauvigny_jean_marie0704r3")</f>
        <v>0</v>
      </c>
      <c r="N12728">
        <f>HYPERLINK("https://www.wikidata.org/wiki/Q3175273", "Q3175273")</f>
        <v>0</v>
      </c>
      <c r="O12728" t="s">
        <v>20050</v>
      </c>
      <c r="Q12728" t="s">
        <v>21240</v>
      </c>
      <c r="R12728" t="s">
        <v>16129</v>
      </c>
      <c r="S12728">
        <v>678</v>
      </c>
    </row>
    <row r="12729" spans="1:19">
      <c r="A12729" t="s">
        <v>141</v>
      </c>
      <c r="B12729" t="s">
        <v>150</v>
      </c>
      <c r="C12729" t="s">
        <v>273</v>
      </c>
      <c r="D12729" t="s">
        <v>402</v>
      </c>
      <c r="F12729">
        <f>HYPERLINK("https://www.wikidata.org/wiki/Q28494844", "Q28494844")</f>
        <v>0</v>
      </c>
      <c r="G12729" t="s">
        <v>798</v>
      </c>
      <c r="H12729" t="s">
        <v>5555</v>
      </c>
      <c r="I12729" t="s">
        <v>9529</v>
      </c>
      <c r="J12729" t="s">
        <v>11545</v>
      </c>
      <c r="K12729" t="s">
        <v>15949</v>
      </c>
      <c r="L12729">
        <f>HYPERLINK("https://www2.assemblee-nationale.fr/sycomore/fiche/(num_dept)/6581", "6581")</f>
        <v>0</v>
      </c>
      <c r="M12729">
        <f>HYPERLINK("https://www.senat.fr/senateur-3eme-republique/raiberti_flaminius0124r3.html", "raiberti_flaminius0124r3")</f>
        <v>0</v>
      </c>
      <c r="N12729">
        <f>HYPERLINK("https://www.wikidata.org/wiki/Q3073302", "Q3073302")</f>
        <v>0</v>
      </c>
      <c r="O12729" t="s">
        <v>20024</v>
      </c>
      <c r="Q12729" t="s">
        <v>21241</v>
      </c>
      <c r="R12729" t="s">
        <v>15949</v>
      </c>
      <c r="S12729">
        <v>2822</v>
      </c>
    </row>
    <row r="12730" spans="1:19">
      <c r="A12730" t="s">
        <v>141</v>
      </c>
      <c r="B12730" t="s">
        <v>150</v>
      </c>
      <c r="C12730" t="s">
        <v>273</v>
      </c>
      <c r="D12730" t="s">
        <v>402</v>
      </c>
      <c r="F12730">
        <f>HYPERLINK("https://www.wikidata.org/wiki/Q28494844", "Q28494844")</f>
        <v>0</v>
      </c>
      <c r="G12730" t="s">
        <v>5086</v>
      </c>
      <c r="H12730" t="s">
        <v>9216</v>
      </c>
      <c r="I12730" t="s">
        <v>9457</v>
      </c>
      <c r="J12730" t="s">
        <v>15500</v>
      </c>
      <c r="K12730" t="s">
        <v>19803</v>
      </c>
      <c r="M12730">
        <f>HYPERLINK("https://www.senat.fr/senateur-3eme-republique/villette_gate_henri0769r3.html", "villette_gate_henri0769r3")</f>
        <v>0</v>
      </c>
      <c r="N12730">
        <f>HYPERLINK("https://www.wikidata.org/wiki/Q3132163", "Q3132163")</f>
        <v>0</v>
      </c>
      <c r="O12730" t="s">
        <v>19971</v>
      </c>
      <c r="Q12730" t="s">
        <v>21242</v>
      </c>
      <c r="R12730" t="s">
        <v>19803</v>
      </c>
      <c r="S12730">
        <v>2036</v>
      </c>
    </row>
    <row r="12731" spans="1:19">
      <c r="A12731" t="s">
        <v>141</v>
      </c>
      <c r="B12731" t="s">
        <v>150</v>
      </c>
      <c r="C12731" t="s">
        <v>273</v>
      </c>
      <c r="D12731" t="s">
        <v>402</v>
      </c>
      <c r="F12731">
        <f>HYPERLINK("https://www.wikidata.org/wiki/Q28494844", "Q28494844")</f>
        <v>0</v>
      </c>
      <c r="G12731" t="s">
        <v>512</v>
      </c>
      <c r="H12731" t="s">
        <v>5277</v>
      </c>
      <c r="I12731" t="s">
        <v>6495</v>
      </c>
      <c r="J12731" t="s">
        <v>11264</v>
      </c>
      <c r="K12731" t="s">
        <v>15664</v>
      </c>
      <c r="L12731">
        <f>HYPERLINK("https://www2.assemblee-nationale.fr/sycomore/fiche/(num_dept)/451", "451")</f>
        <v>0</v>
      </c>
      <c r="M12731">
        <f>HYPERLINK("https://www.senat.fr/senateur-3eme-republique/barthou_louis1071r3.html", "barthou_louis1071r3")</f>
        <v>0</v>
      </c>
      <c r="N12731">
        <f>HYPERLINK("https://www.wikidata.org/wiki/Q271887", "Q271887")</f>
        <v>0</v>
      </c>
      <c r="O12731" t="s">
        <v>19970</v>
      </c>
      <c r="Q12731" t="s">
        <v>21243</v>
      </c>
      <c r="R12731" t="s">
        <v>21279</v>
      </c>
      <c r="S12731">
        <v>1637</v>
      </c>
    </row>
    <row r="12732" spans="1:19">
      <c r="A12732" t="s">
        <v>141</v>
      </c>
      <c r="B12732" t="s">
        <v>150</v>
      </c>
      <c r="C12732" t="s">
        <v>273</v>
      </c>
      <c r="D12732" t="s">
        <v>402</v>
      </c>
      <c r="F12732">
        <f>HYPERLINK("https://www.wikidata.org/wiki/Q28494844", "Q28494844")</f>
        <v>0</v>
      </c>
      <c r="G12732" t="s">
        <v>5087</v>
      </c>
      <c r="H12732" t="s">
        <v>9217</v>
      </c>
      <c r="I12732" t="s">
        <v>9470</v>
      </c>
      <c r="J12732" t="s">
        <v>15501</v>
      </c>
      <c r="K12732" t="s">
        <v>19804</v>
      </c>
      <c r="M12732">
        <f>HYPERLINK("https://www.senat.fr/senateur-3eme-republique/gaudaire_gaston1851r3.html", "gaudaire_gaston1851r3")</f>
        <v>0</v>
      </c>
      <c r="N12732">
        <f>HYPERLINK("https://www.wikidata.org/wiki/Q3099010", "Q3099010")</f>
        <v>0</v>
      </c>
      <c r="O12732" t="s">
        <v>20034</v>
      </c>
      <c r="Q12732" t="s">
        <v>21244</v>
      </c>
      <c r="R12732" t="s">
        <v>21279</v>
      </c>
      <c r="S12732">
        <v>1581</v>
      </c>
    </row>
    <row r="12733" spans="1:19">
      <c r="A12733" t="s">
        <v>141</v>
      </c>
      <c r="B12733" t="s">
        <v>150</v>
      </c>
      <c r="C12733" t="s">
        <v>273</v>
      </c>
      <c r="D12733" t="s">
        <v>402</v>
      </c>
      <c r="F12733">
        <f>HYPERLINK("https://www.wikidata.org/wiki/Q28494844", "Q28494844")</f>
        <v>0</v>
      </c>
      <c r="G12733" t="s">
        <v>827</v>
      </c>
      <c r="H12733" t="s">
        <v>5584</v>
      </c>
      <c r="I12733" t="s">
        <v>9476</v>
      </c>
      <c r="J12733" t="s">
        <v>11574</v>
      </c>
      <c r="K12733" t="s">
        <v>15976</v>
      </c>
      <c r="L12733">
        <f>HYPERLINK("https://www2.assemblee-nationale.fr/sycomore/fiche/(num_dept)/7368", "7368")</f>
        <v>0</v>
      </c>
      <c r="M12733">
        <f>HYPERLINK("https://www.senat.fr/senateur-3eme-republique/viviani_rene0627r3.html", "viviani_rene0627r3")</f>
        <v>0</v>
      </c>
      <c r="N12733">
        <f>HYPERLINK("https://www.wikidata.org/wiki/Q431074", "Q431074")</f>
        <v>0</v>
      </c>
      <c r="O12733" t="s">
        <v>19979</v>
      </c>
      <c r="Q12733" t="s">
        <v>21245</v>
      </c>
      <c r="R12733" t="s">
        <v>21706</v>
      </c>
      <c r="S12733">
        <v>1057</v>
      </c>
    </row>
    <row r="12734" spans="1:19">
      <c r="A12734" t="s">
        <v>141</v>
      </c>
      <c r="B12734" t="s">
        <v>150</v>
      </c>
      <c r="C12734" t="s">
        <v>273</v>
      </c>
      <c r="D12734" t="s">
        <v>402</v>
      </c>
      <c r="F12734">
        <f>HYPERLINK("https://www.wikidata.org/wiki/Q28494844", "Q28494844")</f>
        <v>0</v>
      </c>
      <c r="G12734" t="s">
        <v>5088</v>
      </c>
      <c r="H12734" t="s">
        <v>8943</v>
      </c>
      <c r="I12734" t="s">
        <v>6495</v>
      </c>
      <c r="J12734" t="s">
        <v>15502</v>
      </c>
      <c r="K12734" t="s">
        <v>19805</v>
      </c>
      <c r="M12734">
        <f>HYPERLINK("https://www.senat.fr/senateur-3eme-republique/de_blois_louis1075r3.html", "de_blois_louis1075r3")</f>
        <v>0</v>
      </c>
      <c r="N12734">
        <f>HYPERLINK("https://www.wikidata.org/wiki/Q3263379", "Q3263379")</f>
        <v>0</v>
      </c>
      <c r="O12734" t="s">
        <v>19980</v>
      </c>
      <c r="Q12734" t="s">
        <v>21246</v>
      </c>
      <c r="R12734" t="s">
        <v>16129</v>
      </c>
      <c r="S12734">
        <v>412</v>
      </c>
    </row>
    <row r="12735" spans="1:19">
      <c r="A12735" t="s">
        <v>141</v>
      </c>
      <c r="B12735" t="s">
        <v>150</v>
      </c>
      <c r="C12735" t="s">
        <v>273</v>
      </c>
      <c r="D12735" t="s">
        <v>402</v>
      </c>
      <c r="F12735">
        <f>HYPERLINK("https://www.wikidata.org/wiki/Q28494844", "Q28494844")</f>
        <v>0</v>
      </c>
      <c r="G12735" t="s">
        <v>5089</v>
      </c>
      <c r="H12735" t="s">
        <v>9218</v>
      </c>
      <c r="I12735" t="s">
        <v>9457</v>
      </c>
      <c r="J12735" t="s">
        <v>15503</v>
      </c>
      <c r="K12735" t="s">
        <v>19806</v>
      </c>
      <c r="M12735">
        <f>HYPERLINK("https://www.senat.fr/senateur-3eme-republique/hamelin_henri1847r3.html", "hamelin_henri1847r3")</f>
        <v>0</v>
      </c>
      <c r="N12735">
        <f>HYPERLINK("https://www.wikidata.org/wiki/Q3131257", "Q3131257")</f>
        <v>0</v>
      </c>
      <c r="O12735" t="s">
        <v>20034</v>
      </c>
      <c r="Q12735" t="s">
        <v>21247</v>
      </c>
      <c r="R12735" t="s">
        <v>21279</v>
      </c>
      <c r="S12735">
        <v>1490</v>
      </c>
    </row>
    <row r="12736" spans="1:19">
      <c r="A12736" t="s">
        <v>141</v>
      </c>
      <c r="B12736" t="s">
        <v>150</v>
      </c>
      <c r="C12736" t="s">
        <v>273</v>
      </c>
      <c r="D12736" t="s">
        <v>402</v>
      </c>
      <c r="F12736">
        <f>HYPERLINK("https://www.wikidata.org/wiki/Q28494844", "Q28494844")</f>
        <v>0</v>
      </c>
      <c r="G12736" t="s">
        <v>5090</v>
      </c>
      <c r="H12736" t="s">
        <v>9219</v>
      </c>
      <c r="I12736" t="s">
        <v>9388</v>
      </c>
      <c r="J12736" t="s">
        <v>15504</v>
      </c>
      <c r="K12736" t="s">
        <v>19807</v>
      </c>
      <c r="M12736">
        <f>HYPERLINK("https://www.senat.fr/senateur-3eme-republique/bouvart_paul0778r3.html", "bouvart_paul0778r3")</f>
        <v>0</v>
      </c>
      <c r="N12736">
        <f>HYPERLINK("https://www.wikidata.org/wiki/Q3370719", "Q3370719")</f>
        <v>0</v>
      </c>
      <c r="O12736" t="s">
        <v>19971</v>
      </c>
      <c r="Q12736" t="s">
        <v>21248</v>
      </c>
      <c r="R12736" t="s">
        <v>21707</v>
      </c>
      <c r="S12736">
        <v>2498</v>
      </c>
    </row>
    <row r="12737" spans="1:19">
      <c r="A12737" t="s">
        <v>141</v>
      </c>
      <c r="B12737" t="s">
        <v>150</v>
      </c>
      <c r="C12737" t="s">
        <v>273</v>
      </c>
      <c r="D12737" t="s">
        <v>402</v>
      </c>
      <c r="F12737">
        <f>HYPERLINK("https://www.wikidata.org/wiki/Q28494844", "Q28494844")</f>
        <v>0</v>
      </c>
      <c r="G12737" t="s">
        <v>5091</v>
      </c>
      <c r="H12737" t="s">
        <v>9220</v>
      </c>
      <c r="I12737" t="s">
        <v>9457</v>
      </c>
      <c r="J12737" t="s">
        <v>15505</v>
      </c>
      <c r="K12737" t="s">
        <v>19808</v>
      </c>
      <c r="M12737">
        <f>HYPERLINK("https://www.senat.fr/senateur-3eme-republique/gaebele_henri1834r3.html", "gaebele_henri1834r3")</f>
        <v>0</v>
      </c>
      <c r="N12737">
        <f>HYPERLINK("https://www.wikidata.org/wiki/Q16916472", "Q16916472")</f>
        <v>0</v>
      </c>
      <c r="Q12737" t="s">
        <v>21248</v>
      </c>
      <c r="R12737" t="s">
        <v>21708</v>
      </c>
      <c r="S12737">
        <v>396</v>
      </c>
    </row>
    <row r="12738" spans="1:19">
      <c r="A12738" t="s">
        <v>141</v>
      </c>
      <c r="B12738" t="s">
        <v>150</v>
      </c>
      <c r="C12738" t="s">
        <v>273</v>
      </c>
      <c r="D12738" t="s">
        <v>402</v>
      </c>
      <c r="F12738">
        <f>HYPERLINK("https://www.wikidata.org/wiki/Q28494844", "Q28494844")</f>
        <v>0</v>
      </c>
      <c r="G12738" t="s">
        <v>834</v>
      </c>
      <c r="H12738" t="s">
        <v>5591</v>
      </c>
      <c r="I12738" t="s">
        <v>9544</v>
      </c>
      <c r="J12738" t="s">
        <v>11581</v>
      </c>
      <c r="K12738" t="s">
        <v>15983</v>
      </c>
      <c r="L12738">
        <f>HYPERLINK("https://www2.assemblee-nationale.fr/sycomore/fiche/(num_dept)/7493", "7493")</f>
        <v>0</v>
      </c>
      <c r="M12738">
        <f>HYPERLINK("https://www.senat.fr/senateur-3eme-republique/lauraine_jean_octave0422r3.html", "lauraine_jean_octave0422r3")</f>
        <v>0</v>
      </c>
      <c r="N12738">
        <f>HYPERLINK("https://www.wikidata.org/wiki/Q3168275", "Q3168275")</f>
        <v>0</v>
      </c>
      <c r="O12738" t="s">
        <v>20037</v>
      </c>
      <c r="Q12738" t="s">
        <v>18297</v>
      </c>
      <c r="R12738" t="s">
        <v>21707</v>
      </c>
      <c r="S12738">
        <v>2477</v>
      </c>
    </row>
    <row r="12739" spans="1:19">
      <c r="A12739" t="s">
        <v>141</v>
      </c>
      <c r="B12739" t="s">
        <v>150</v>
      </c>
      <c r="C12739" t="s">
        <v>273</v>
      </c>
      <c r="D12739" t="s">
        <v>402</v>
      </c>
      <c r="F12739">
        <f>HYPERLINK("https://www.wikidata.org/wiki/Q28494844", "Q28494844")</f>
        <v>0</v>
      </c>
      <c r="G12739" t="s">
        <v>5092</v>
      </c>
      <c r="H12739" t="s">
        <v>9221</v>
      </c>
      <c r="I12739" t="s">
        <v>9449</v>
      </c>
      <c r="J12739" t="s">
        <v>15506</v>
      </c>
      <c r="K12739" t="s">
        <v>19809</v>
      </c>
      <c r="M12739">
        <f>HYPERLINK("https://www.senat.fr/senateur-3eme-republique/elby_jules0935r3.html", "elby_jules0935r3")</f>
        <v>0</v>
      </c>
      <c r="N12739">
        <f>HYPERLINK("https://www.wikidata.org/wiki/Q3188567", "Q3188567")</f>
        <v>0</v>
      </c>
      <c r="O12739" t="s">
        <v>19968</v>
      </c>
      <c r="Q12739" t="s">
        <v>18297</v>
      </c>
      <c r="R12739" t="s">
        <v>21279</v>
      </c>
      <c r="S12739">
        <v>1462</v>
      </c>
    </row>
    <row r="12740" spans="1:19">
      <c r="A12740" t="s">
        <v>141</v>
      </c>
      <c r="B12740" t="s">
        <v>150</v>
      </c>
      <c r="C12740" t="s">
        <v>273</v>
      </c>
      <c r="D12740" t="s">
        <v>402</v>
      </c>
      <c r="F12740">
        <f>HYPERLINK("https://www.wikidata.org/wiki/Q28494844", "Q28494844")</f>
        <v>0</v>
      </c>
      <c r="G12740" t="s">
        <v>573</v>
      </c>
      <c r="H12740" t="s">
        <v>5336</v>
      </c>
      <c r="I12740" t="s">
        <v>9385</v>
      </c>
      <c r="J12740" t="s">
        <v>11324</v>
      </c>
      <c r="K12740" t="s">
        <v>15725</v>
      </c>
      <c r="L12740">
        <f>HYPERLINK("https://www2.assemblee-nationale.fr/sycomore/fiche/(num_dept)/1716", "1716")</f>
        <v>0</v>
      </c>
      <c r="M12740">
        <f>HYPERLINK("https://www.senat.fr/senateur-3eme-republique/chaumet_jean0195r3.html", "chaumet_jean0195r3")</f>
        <v>0</v>
      </c>
      <c r="N12740">
        <f>HYPERLINK("https://www.wikidata.org/wiki/Q2958718", "Q2958718")</f>
        <v>0</v>
      </c>
      <c r="O12740" t="s">
        <v>19987</v>
      </c>
      <c r="Q12740" t="s">
        <v>21249</v>
      </c>
      <c r="R12740" t="s">
        <v>16129</v>
      </c>
      <c r="S12740">
        <v>342</v>
      </c>
    </row>
    <row r="12741" spans="1:19">
      <c r="A12741" t="s">
        <v>141</v>
      </c>
      <c r="B12741" t="s">
        <v>150</v>
      </c>
      <c r="C12741" t="s">
        <v>273</v>
      </c>
      <c r="D12741" t="s">
        <v>402</v>
      </c>
      <c r="F12741">
        <f>HYPERLINK("https://www.wikidata.org/wiki/Q28494844", "Q28494844")</f>
        <v>0</v>
      </c>
      <c r="G12741" t="s">
        <v>1265</v>
      </c>
      <c r="H12741" t="s">
        <v>5989</v>
      </c>
      <c r="I12741" t="s">
        <v>9729</v>
      </c>
      <c r="J12741" t="s">
        <v>11995</v>
      </c>
      <c r="K12741" t="s">
        <v>16398</v>
      </c>
      <c r="L12741">
        <f>HYPERLINK("https://www2.assemblee-nationale.fr/sycomore/fiche/(num_dept)/4079", "4079")</f>
        <v>0</v>
      </c>
      <c r="M12741">
        <f>HYPERLINK("https://www.senat.fr/senateur-3eme-republique/jovelet_anatole1661r3.html", "jovelet_anatole1661r3")</f>
        <v>0</v>
      </c>
      <c r="N12741">
        <f>HYPERLINK("https://www.wikidata.org/wiki/Q2845585", "Q2845585")</f>
        <v>0</v>
      </c>
      <c r="O12741" t="s">
        <v>20012</v>
      </c>
      <c r="Q12741" t="s">
        <v>21250</v>
      </c>
      <c r="R12741" t="s">
        <v>21279</v>
      </c>
      <c r="S12741">
        <v>1406</v>
      </c>
    </row>
    <row r="12742" spans="1:19">
      <c r="A12742" t="s">
        <v>141</v>
      </c>
      <c r="B12742" t="s">
        <v>150</v>
      </c>
      <c r="C12742" t="s">
        <v>273</v>
      </c>
      <c r="D12742" t="s">
        <v>402</v>
      </c>
      <c r="F12742">
        <f>HYPERLINK("https://www.wikidata.org/wiki/Q28494844", "Q28494844")</f>
        <v>0</v>
      </c>
      <c r="G12742" t="s">
        <v>5093</v>
      </c>
      <c r="H12742" t="s">
        <v>8832</v>
      </c>
      <c r="I12742" t="s">
        <v>9440</v>
      </c>
      <c r="J12742" t="s">
        <v>15507</v>
      </c>
      <c r="K12742" t="s">
        <v>15675</v>
      </c>
      <c r="M12742">
        <f>HYPERLINK("https://www.senat.fr/senateur-3eme-republique/petit_amedee0950r3.html", "petit_amedee0950r3")</f>
        <v>0</v>
      </c>
      <c r="N12742">
        <f>HYPERLINK("https://www.wikidata.org/wiki/Q2844692", "Q2844692")</f>
        <v>0</v>
      </c>
      <c r="O12742" t="s">
        <v>19968</v>
      </c>
      <c r="Q12742" t="s">
        <v>21251</v>
      </c>
      <c r="R12742" t="s">
        <v>21709</v>
      </c>
      <c r="S12742">
        <v>95</v>
      </c>
    </row>
    <row r="12743" spans="1:19">
      <c r="A12743" t="s">
        <v>141</v>
      </c>
      <c r="B12743" t="s">
        <v>150</v>
      </c>
      <c r="C12743" t="s">
        <v>273</v>
      </c>
      <c r="D12743" t="s">
        <v>402</v>
      </c>
      <c r="F12743">
        <f>HYPERLINK("https://www.wikidata.org/wiki/Q28494844", "Q28494844")</f>
        <v>0</v>
      </c>
      <c r="G12743" t="s">
        <v>1003</v>
      </c>
      <c r="H12743" t="s">
        <v>5754</v>
      </c>
      <c r="I12743" t="s">
        <v>9534</v>
      </c>
      <c r="J12743" t="s">
        <v>11740</v>
      </c>
      <c r="K12743" t="s">
        <v>16144</v>
      </c>
      <c r="L12743">
        <f>HYPERLINK("https://www2.assemblee-nationale.fr/sycomore/fiche/(num_dept)/5219", "5219")</f>
        <v>0</v>
      </c>
      <c r="M12743">
        <f>HYPERLINK("https://www.senat.fr/senateur-3eme-republique/messimy_adolphe0021r3.html", "messimy_adolphe0021r3")</f>
        <v>0</v>
      </c>
      <c r="N12743">
        <f>HYPERLINK("https://www.wikidata.org/wiki/Q365771", "Q365771")</f>
        <v>0</v>
      </c>
      <c r="O12743" t="s">
        <v>19986</v>
      </c>
      <c r="Q12743" t="s">
        <v>20570</v>
      </c>
      <c r="R12743" t="s">
        <v>21705</v>
      </c>
      <c r="S12743">
        <v>2409</v>
      </c>
    </row>
    <row r="12744" spans="1:19">
      <c r="A12744" t="s">
        <v>141</v>
      </c>
      <c r="B12744" t="s">
        <v>150</v>
      </c>
      <c r="C12744" t="s">
        <v>273</v>
      </c>
      <c r="D12744" t="s">
        <v>402</v>
      </c>
      <c r="F12744">
        <f>HYPERLINK("https://www.wikidata.org/wiki/Q28494844", "Q28494844")</f>
        <v>0</v>
      </c>
      <c r="G12744" t="s">
        <v>5094</v>
      </c>
      <c r="H12744" t="s">
        <v>9222</v>
      </c>
      <c r="I12744" t="s">
        <v>6584</v>
      </c>
      <c r="J12744" t="s">
        <v>15508</v>
      </c>
      <c r="K12744" t="s">
        <v>19810</v>
      </c>
      <c r="M12744">
        <f>HYPERLINK("https://www.senat.fr/senateur-3eme-republique/fouilloux_albert0014r3.html", "fouilloux_albert0014r3")</f>
        <v>0</v>
      </c>
      <c r="N12744">
        <f>HYPERLINK("https://www.wikidata.org/wiki/Q2831180", "Q2831180")</f>
        <v>0</v>
      </c>
      <c r="O12744" t="s">
        <v>19986</v>
      </c>
      <c r="Q12744" t="s">
        <v>20570</v>
      </c>
      <c r="R12744" t="s">
        <v>21705</v>
      </c>
      <c r="S12744">
        <v>2409</v>
      </c>
    </row>
    <row r="12745" spans="1:19">
      <c r="A12745" t="s">
        <v>141</v>
      </c>
      <c r="B12745" t="s">
        <v>150</v>
      </c>
      <c r="C12745" t="s">
        <v>273</v>
      </c>
      <c r="D12745" t="s">
        <v>402</v>
      </c>
      <c r="F12745">
        <f>HYPERLINK("https://www.wikidata.org/wiki/Q28494844", "Q28494844")</f>
        <v>0</v>
      </c>
      <c r="G12745" t="s">
        <v>1173</v>
      </c>
      <c r="H12745" t="s">
        <v>5904</v>
      </c>
      <c r="I12745" t="s">
        <v>9692</v>
      </c>
      <c r="J12745" t="s">
        <v>11906</v>
      </c>
      <c r="K12745" t="s">
        <v>16308</v>
      </c>
      <c r="L12745">
        <f>HYPERLINK("https://www2.assemblee-nationale.fr/sycomore/fiche/(num_dept)/3045", "3045")</f>
        <v>0</v>
      </c>
      <c r="M12745">
        <f>HYPERLINK("https://www.senat.fr/senateur-3eme-republique/de_fontaines_raymond1746r3.html", "de_fontaines_raymond1746r3")</f>
        <v>0</v>
      </c>
      <c r="N12745">
        <f>HYPERLINK("https://www.wikidata.org/wiki/Q3421220", "Q3421220")</f>
        <v>0</v>
      </c>
      <c r="O12745" t="s">
        <v>19972</v>
      </c>
      <c r="Q12745" t="s">
        <v>21252</v>
      </c>
      <c r="R12745" t="s">
        <v>21279</v>
      </c>
      <c r="S12745">
        <v>1296</v>
      </c>
    </row>
    <row r="12746" spans="1:19">
      <c r="A12746" t="s">
        <v>141</v>
      </c>
      <c r="B12746" t="s">
        <v>150</v>
      </c>
      <c r="C12746" t="s">
        <v>273</v>
      </c>
      <c r="D12746" t="s">
        <v>402</v>
      </c>
      <c r="F12746">
        <f>HYPERLINK("https://www.wikidata.org/wiki/Q28494844", "Q28494844")</f>
        <v>0</v>
      </c>
      <c r="G12746" t="s">
        <v>616</v>
      </c>
      <c r="H12746" t="s">
        <v>5376</v>
      </c>
      <c r="I12746" t="s">
        <v>6584</v>
      </c>
      <c r="J12746" t="s">
        <v>11366</v>
      </c>
      <c r="K12746" t="s">
        <v>15768</v>
      </c>
      <c r="L12746">
        <f>HYPERLINK("https://www2.assemblee-nationale.fr/sycomore/fiche/(num_dept)/2521", "2521")</f>
        <v>0</v>
      </c>
      <c r="M12746">
        <f>HYPERLINK("https://www.senat.fr/senateur-3eme-republique/de_dion_albert1292r3.html", "de_dion_albert1292r3")</f>
        <v>0</v>
      </c>
      <c r="N12746">
        <f>HYPERLINK("https://www.wikidata.org/wiki/Q971548", "Q971548")</f>
        <v>0</v>
      </c>
      <c r="O12746" t="s">
        <v>20023</v>
      </c>
      <c r="Q12746" t="s">
        <v>21253</v>
      </c>
      <c r="R12746" t="s">
        <v>16129</v>
      </c>
      <c r="S12746">
        <v>188</v>
      </c>
    </row>
    <row r="12747" spans="1:19">
      <c r="A12747" t="s">
        <v>141</v>
      </c>
      <c r="B12747" t="s">
        <v>150</v>
      </c>
      <c r="C12747" t="s">
        <v>273</v>
      </c>
      <c r="D12747" t="s">
        <v>402</v>
      </c>
      <c r="F12747">
        <f>HYPERLINK("https://www.wikidata.org/wiki/Q28494844", "Q28494844")</f>
        <v>0</v>
      </c>
      <c r="G12747" t="s">
        <v>5095</v>
      </c>
      <c r="H12747" t="s">
        <v>9223</v>
      </c>
      <c r="I12747" t="s">
        <v>6166</v>
      </c>
      <c r="J12747" t="s">
        <v>15509</v>
      </c>
      <c r="K12747" t="s">
        <v>19811</v>
      </c>
      <c r="M12747">
        <f>HYPERLINK("https://www.senat.fr/senateur-3eme-republique/coty_francois0493r3.html", "coty_francois0493r3")</f>
        <v>0</v>
      </c>
      <c r="N12747">
        <f>HYPERLINK("https://www.wikidata.org/wiki/Q1332383", "Q1332383")</f>
        <v>0</v>
      </c>
      <c r="O12747" t="s">
        <v>19955</v>
      </c>
      <c r="Q12747" t="s">
        <v>20571</v>
      </c>
      <c r="R12747" t="s">
        <v>21710</v>
      </c>
      <c r="S12747">
        <v>277</v>
      </c>
    </row>
    <row r="12748" spans="1:19">
      <c r="A12748" t="s">
        <v>142</v>
      </c>
      <c r="B12748" t="s">
        <v>150</v>
      </c>
      <c r="C12748" t="s">
        <v>274</v>
      </c>
      <c r="D12748" t="s">
        <v>403</v>
      </c>
      <c r="F12748">
        <f>HYPERLINK("https://www.wikidata.org/wiki/Q28494840", "Q28494840")</f>
        <v>0</v>
      </c>
      <c r="G12748" t="s">
        <v>495</v>
      </c>
      <c r="H12748" t="s">
        <v>5260</v>
      </c>
      <c r="I12748" t="s">
        <v>7642</v>
      </c>
      <c r="J12748" t="s">
        <v>11247</v>
      </c>
      <c r="K12748" t="s">
        <v>15647</v>
      </c>
      <c r="L12748">
        <f>HYPERLINK("https://www2.assemblee-nationale.fr/sycomore/fiche/(num_dept)/61", "61")</f>
        <v>0</v>
      </c>
      <c r="M12748">
        <f>HYPERLINK("https://www.senat.fr/senateur-3eme-republique/ajam_pierre1240r3.html", "ajam_pierre1240r3")</f>
        <v>0</v>
      </c>
      <c r="N12748">
        <f>HYPERLINK("https://www.wikidata.org/wiki/Q3383653", "Q3383653")</f>
        <v>0</v>
      </c>
      <c r="O12748" t="s">
        <v>19956</v>
      </c>
      <c r="Q12748" t="s">
        <v>403</v>
      </c>
      <c r="R12748" t="s">
        <v>21279</v>
      </c>
      <c r="S12748">
        <v>1098</v>
      </c>
    </row>
    <row r="12749" spans="1:19">
      <c r="A12749" t="s">
        <v>142</v>
      </c>
      <c r="B12749" t="s">
        <v>150</v>
      </c>
      <c r="C12749" t="s">
        <v>274</v>
      </c>
      <c r="D12749" t="s">
        <v>403</v>
      </c>
      <c r="F12749">
        <f>HYPERLINK("https://www.wikidata.org/wiki/Q28494840", "Q28494840")</f>
        <v>0</v>
      </c>
      <c r="G12749" t="s">
        <v>500</v>
      </c>
      <c r="H12749" t="s">
        <v>5265</v>
      </c>
      <c r="I12749" t="s">
        <v>9371</v>
      </c>
      <c r="J12749" t="s">
        <v>11252</v>
      </c>
      <c r="K12749" t="s">
        <v>15652</v>
      </c>
      <c r="L12749">
        <f>HYPERLINK("https://www2.assemblee-nationale.fr/sycomore/fiche/(num_dept)/84", "84")</f>
        <v>0</v>
      </c>
      <c r="M12749">
        <f>HYPERLINK("https://www.senat.fr/senateur-3eme-republique/brard_mathurin0917r3.html", "brard_mathurin0917r3")</f>
        <v>0</v>
      </c>
      <c r="N12749">
        <f>HYPERLINK("https://www.wikidata.org/wiki/Q2834988", "Q2834988")</f>
        <v>0</v>
      </c>
      <c r="O12749" t="s">
        <v>19961</v>
      </c>
      <c r="Q12749" t="s">
        <v>403</v>
      </c>
      <c r="R12749" t="s">
        <v>16357</v>
      </c>
      <c r="S12749">
        <v>3291</v>
      </c>
    </row>
    <row r="12750" spans="1:19">
      <c r="A12750" t="s">
        <v>142</v>
      </c>
      <c r="B12750" t="s">
        <v>150</v>
      </c>
      <c r="C12750" t="s">
        <v>274</v>
      </c>
      <c r="D12750" t="s">
        <v>403</v>
      </c>
      <c r="F12750">
        <f>HYPERLINK("https://www.wikidata.org/wiki/Q28494840", "Q28494840")</f>
        <v>0</v>
      </c>
      <c r="G12750" t="s">
        <v>1219</v>
      </c>
      <c r="H12750" t="s">
        <v>5946</v>
      </c>
      <c r="I12750" t="s">
        <v>9710</v>
      </c>
      <c r="J12750" t="s">
        <v>11951</v>
      </c>
      <c r="K12750" t="s">
        <v>16353</v>
      </c>
      <c r="L12750">
        <f>HYPERLINK("https://www2.assemblee-nationale.fr/sycomore/fiche/(num_dept)/668", "668")</f>
        <v>0</v>
      </c>
      <c r="M12750">
        <f>HYPERLINK("https://www.senat.fr/senateur-3eme-republique/berger_pierre0378r3.html", "berger_pierre0378r3")</f>
        <v>0</v>
      </c>
      <c r="N12750">
        <f>HYPERLINK("https://www.wikidata.org/wiki/Q3383934", "Q3383934")</f>
        <v>0</v>
      </c>
      <c r="O12750" t="s">
        <v>20039</v>
      </c>
      <c r="Q12750" t="s">
        <v>403</v>
      </c>
      <c r="R12750" t="s">
        <v>21650</v>
      </c>
      <c r="S12750">
        <v>7959</v>
      </c>
    </row>
    <row r="12751" spans="1:19">
      <c r="A12751" t="s">
        <v>142</v>
      </c>
      <c r="B12751" t="s">
        <v>150</v>
      </c>
      <c r="C12751" t="s">
        <v>274</v>
      </c>
      <c r="D12751" t="s">
        <v>403</v>
      </c>
      <c r="F12751">
        <f>HYPERLINK("https://www.wikidata.org/wiki/Q28494840", "Q28494840")</f>
        <v>0</v>
      </c>
      <c r="G12751" t="s">
        <v>3892</v>
      </c>
      <c r="H12751" t="s">
        <v>8153</v>
      </c>
      <c r="I12751" t="s">
        <v>9388</v>
      </c>
      <c r="J12751" t="s">
        <v>14450</v>
      </c>
      <c r="K12751" t="s">
        <v>18800</v>
      </c>
      <c r="L12751">
        <f>HYPERLINK("https://www2.assemblee-nationale.fr/sycomore/fiche/(num_dept)/716", "716")</f>
        <v>0</v>
      </c>
      <c r="M12751">
        <f>HYPERLINK("https://www.senat.fr/senateur-3eme-republique/bersez_paul1400r3.html", "bersez_paul1400r3")</f>
        <v>0</v>
      </c>
      <c r="N12751">
        <f>HYPERLINK("https://www.wikidata.org/wiki/Q3370626", "Q3370626")</f>
        <v>0</v>
      </c>
      <c r="O12751" t="s">
        <v>20013</v>
      </c>
      <c r="Q12751" t="s">
        <v>403</v>
      </c>
      <c r="R12751" t="s">
        <v>16357</v>
      </c>
      <c r="S12751">
        <v>3291</v>
      </c>
    </row>
    <row r="12752" spans="1:19">
      <c r="A12752" t="s">
        <v>142</v>
      </c>
      <c r="B12752" t="s">
        <v>150</v>
      </c>
      <c r="C12752" t="s">
        <v>274</v>
      </c>
      <c r="D12752" t="s">
        <v>403</v>
      </c>
      <c r="F12752">
        <f>HYPERLINK("https://www.wikidata.org/wiki/Q28494840", "Q28494840")</f>
        <v>0</v>
      </c>
      <c r="G12752" t="s">
        <v>875</v>
      </c>
      <c r="H12752" t="s">
        <v>5631</v>
      </c>
      <c r="I12752" t="s">
        <v>9476</v>
      </c>
      <c r="J12752" t="s">
        <v>11621</v>
      </c>
      <c r="K12752" t="s">
        <v>16023</v>
      </c>
      <c r="L12752">
        <f>HYPERLINK("https://www2.assemblee-nationale.fr/sycomore/fiche/(num_dept)/749", "749")</f>
        <v>0</v>
      </c>
      <c r="M12752">
        <f>HYPERLINK("https://www.senat.fr/senateur-3eme-republique/besnard_rene0300r3.html", "besnard_rene0300r3")</f>
        <v>0</v>
      </c>
      <c r="N12752">
        <f>HYPERLINK("https://www.wikidata.org/wiki/Q3425839", "Q3425839")</f>
        <v>0</v>
      </c>
      <c r="O12752" t="s">
        <v>20008</v>
      </c>
      <c r="Q12752" t="s">
        <v>403</v>
      </c>
      <c r="R12752" t="s">
        <v>16357</v>
      </c>
      <c r="S12752">
        <v>3291</v>
      </c>
    </row>
    <row r="12753" spans="1:19">
      <c r="A12753" t="s">
        <v>142</v>
      </c>
      <c r="B12753" t="s">
        <v>150</v>
      </c>
      <c r="C12753" t="s">
        <v>274</v>
      </c>
      <c r="D12753" t="s">
        <v>403</v>
      </c>
      <c r="F12753">
        <f>HYPERLINK("https://www.wikidata.org/wiki/Q28494840", "Q28494840")</f>
        <v>0</v>
      </c>
      <c r="G12753" t="s">
        <v>3373</v>
      </c>
      <c r="H12753" t="s">
        <v>7083</v>
      </c>
      <c r="I12753" t="s">
        <v>5528</v>
      </c>
      <c r="J12753" t="s">
        <v>13985</v>
      </c>
      <c r="K12753" t="s">
        <v>18353</v>
      </c>
      <c r="L12753">
        <f>HYPERLINK("https://www2.assemblee-nationale.fr/sycomore/fiche/(num_dept)/1083", "1083")</f>
        <v>0</v>
      </c>
      <c r="M12753">
        <f>HYPERLINK("https://www.senat.fr/senateur-3eme-republique/bourgeois_leon0647r3.html", "bourgeois_leon0647r3")</f>
        <v>0</v>
      </c>
      <c r="N12753">
        <f>HYPERLINK("https://www.wikidata.org/wiki/Q217706", "Q217706")</f>
        <v>0</v>
      </c>
      <c r="O12753" t="s">
        <v>20025</v>
      </c>
      <c r="Q12753" t="s">
        <v>403</v>
      </c>
      <c r="R12753" t="s">
        <v>21650</v>
      </c>
      <c r="S12753">
        <v>7959</v>
      </c>
    </row>
    <row r="12754" spans="1:19">
      <c r="A12754" t="s">
        <v>142</v>
      </c>
      <c r="B12754" t="s">
        <v>150</v>
      </c>
      <c r="C12754" t="s">
        <v>274</v>
      </c>
      <c r="D12754" t="s">
        <v>403</v>
      </c>
      <c r="F12754">
        <f>HYPERLINK("https://www.wikidata.org/wiki/Q28494840", "Q28494840")</f>
        <v>0</v>
      </c>
      <c r="G12754" t="s">
        <v>889</v>
      </c>
      <c r="H12754" t="s">
        <v>5645</v>
      </c>
      <c r="I12754" t="s">
        <v>9407</v>
      </c>
      <c r="J12754" t="s">
        <v>11635</v>
      </c>
      <c r="K12754" t="s">
        <v>16035</v>
      </c>
      <c r="L12754">
        <f>HYPERLINK("https://www2.assemblee-nationale.fr/sycomore/fiche/(num_dept)/1192", "1192")</f>
        <v>0</v>
      </c>
      <c r="M12754">
        <f>HYPERLINK("https://www.senat.fr/senateur-3eme-republique/brenier_joseph1199r3.html", "brenier_joseph1199r3")</f>
        <v>0</v>
      </c>
      <c r="N12754">
        <f>HYPERLINK("https://www.wikidata.org/wiki/Q3184661", "Q3184661")</f>
        <v>0</v>
      </c>
      <c r="O12754" t="s">
        <v>20006</v>
      </c>
      <c r="Q12754" t="s">
        <v>403</v>
      </c>
      <c r="R12754" t="s">
        <v>16357</v>
      </c>
      <c r="S12754">
        <v>3291</v>
      </c>
    </row>
    <row r="12755" spans="1:19">
      <c r="A12755" t="s">
        <v>142</v>
      </c>
      <c r="B12755" t="s">
        <v>150</v>
      </c>
      <c r="C12755" t="s">
        <v>274</v>
      </c>
      <c r="D12755" t="s">
        <v>403</v>
      </c>
      <c r="F12755">
        <f>HYPERLINK("https://www.wikidata.org/wiki/Q28494840", "Q28494840")</f>
        <v>0</v>
      </c>
      <c r="G12755" t="s">
        <v>570</v>
      </c>
      <c r="H12755" t="s">
        <v>5333</v>
      </c>
      <c r="I12755" t="s">
        <v>9423</v>
      </c>
      <c r="J12755" t="s">
        <v>11321</v>
      </c>
      <c r="K12755" t="s">
        <v>15722</v>
      </c>
      <c r="L12755">
        <f>HYPERLINK("https://www2.assemblee-nationale.fr/sycomore/fiche/(num_dept)/1701", "1701")</f>
        <v>0</v>
      </c>
      <c r="M12755">
        <f>HYPERLINK("https://www.senat.fr/senateur-3eme-republique/chastenet_de_castaing_guillaume0201r3.html", "chastenet_de_castaing_guillaume0201r3")</f>
        <v>0</v>
      </c>
      <c r="N12755">
        <f>HYPERLINK("https://www.wikidata.org/wiki/Q3119745", "Q3119745")</f>
        <v>0</v>
      </c>
      <c r="O12755" t="s">
        <v>19987</v>
      </c>
      <c r="Q12755" t="s">
        <v>403</v>
      </c>
      <c r="R12755" t="s">
        <v>21650</v>
      </c>
      <c r="S12755">
        <v>7959</v>
      </c>
    </row>
    <row r="12756" spans="1:19">
      <c r="A12756" t="s">
        <v>142</v>
      </c>
      <c r="B12756" t="s">
        <v>150</v>
      </c>
      <c r="C12756" t="s">
        <v>274</v>
      </c>
      <c r="D12756" t="s">
        <v>403</v>
      </c>
      <c r="F12756">
        <f>HYPERLINK("https://www.wikidata.org/wiki/Q28494840", "Q28494840")</f>
        <v>0</v>
      </c>
      <c r="G12756" t="s">
        <v>573</v>
      </c>
      <c r="H12756" t="s">
        <v>5336</v>
      </c>
      <c r="I12756" t="s">
        <v>9385</v>
      </c>
      <c r="J12756" t="s">
        <v>11324</v>
      </c>
      <c r="K12756" t="s">
        <v>15725</v>
      </c>
      <c r="L12756">
        <f>HYPERLINK("https://www2.assemblee-nationale.fr/sycomore/fiche/(num_dept)/1716", "1716")</f>
        <v>0</v>
      </c>
      <c r="M12756">
        <f>HYPERLINK("https://www.senat.fr/senateur-3eme-republique/chaumet_jean0195r3.html", "chaumet_jean0195r3")</f>
        <v>0</v>
      </c>
      <c r="N12756">
        <f>HYPERLINK("https://www.wikidata.org/wiki/Q2958718", "Q2958718")</f>
        <v>0</v>
      </c>
      <c r="O12756" t="s">
        <v>19987</v>
      </c>
      <c r="Q12756" t="s">
        <v>403</v>
      </c>
      <c r="R12756" t="s">
        <v>21650</v>
      </c>
      <c r="S12756">
        <v>7959</v>
      </c>
    </row>
    <row r="12757" spans="1:19">
      <c r="A12757" t="s">
        <v>142</v>
      </c>
      <c r="B12757" t="s">
        <v>150</v>
      </c>
      <c r="C12757" t="s">
        <v>274</v>
      </c>
      <c r="D12757" t="s">
        <v>403</v>
      </c>
      <c r="F12757">
        <f>HYPERLINK("https://www.wikidata.org/wiki/Q28494840", "Q28494840")</f>
        <v>0</v>
      </c>
      <c r="G12757" t="s">
        <v>574</v>
      </c>
      <c r="H12757" t="s">
        <v>5337</v>
      </c>
      <c r="I12757" t="s">
        <v>9426</v>
      </c>
      <c r="J12757" t="s">
        <v>11325</v>
      </c>
      <c r="K12757" t="s">
        <v>15726</v>
      </c>
      <c r="L12757">
        <f>HYPERLINK("https://www2.assemblee-nationale.fr/sycomore/fiche/(num_dept)/1725", "1725")</f>
        <v>0</v>
      </c>
      <c r="M12757">
        <f>HYPERLINK("https://www.senat.fr/senateur-3eme-republique/chautemps_alphonse0309r3.html", "chautemps_alphonse0309r3")</f>
        <v>0</v>
      </c>
      <c r="N12757">
        <f>HYPERLINK("https://www.wikidata.org/wiki/Q2839734", "Q2839734")</f>
        <v>0</v>
      </c>
      <c r="O12757" t="s">
        <v>20008</v>
      </c>
      <c r="Q12757" t="s">
        <v>403</v>
      </c>
      <c r="R12757" t="s">
        <v>16357</v>
      </c>
      <c r="S12757">
        <v>3291</v>
      </c>
    </row>
    <row r="12758" spans="1:19">
      <c r="A12758" t="s">
        <v>142</v>
      </c>
      <c r="B12758" t="s">
        <v>150</v>
      </c>
      <c r="C12758" t="s">
        <v>274</v>
      </c>
      <c r="D12758" t="s">
        <v>403</v>
      </c>
      <c r="F12758">
        <f>HYPERLINK("https://www.wikidata.org/wiki/Q28494840", "Q28494840")</f>
        <v>0</v>
      </c>
      <c r="G12758" t="s">
        <v>589</v>
      </c>
      <c r="H12758" t="s">
        <v>5350</v>
      </c>
      <c r="I12758" t="s">
        <v>9438</v>
      </c>
      <c r="J12758" t="s">
        <v>11340</v>
      </c>
      <c r="K12758" t="s">
        <v>15741</v>
      </c>
      <c r="L12758">
        <f>HYPERLINK("https://www2.assemblee-nationale.fr/sycomore/fiche/(num_dept)/1979", "1979")</f>
        <v>0</v>
      </c>
      <c r="M12758">
        <f>HYPERLINK("https://www.senat.fr/senateur-3eme-republique/cornudet_des_chaumettes_honore1635r3.html", "cornudet_des_chaumettes_honore1635r3")</f>
        <v>0</v>
      </c>
      <c r="N12758">
        <f>HYPERLINK("https://www.wikidata.org/wiki/Q3140215", "Q3140215")</f>
        <v>0</v>
      </c>
      <c r="O12758" t="s">
        <v>19976</v>
      </c>
      <c r="Q12758" t="s">
        <v>403</v>
      </c>
      <c r="R12758" t="s">
        <v>21711</v>
      </c>
      <c r="S12758">
        <v>1217</v>
      </c>
    </row>
    <row r="12759" spans="1:19">
      <c r="A12759" t="s">
        <v>142</v>
      </c>
      <c r="B12759" t="s">
        <v>150</v>
      </c>
      <c r="C12759" t="s">
        <v>274</v>
      </c>
      <c r="D12759" t="s">
        <v>403</v>
      </c>
      <c r="F12759">
        <f>HYPERLINK("https://www.wikidata.org/wiki/Q28494840", "Q28494840")</f>
        <v>0</v>
      </c>
      <c r="G12759" t="s">
        <v>590</v>
      </c>
      <c r="H12759" t="s">
        <v>5351</v>
      </c>
      <c r="I12759" t="s">
        <v>9439</v>
      </c>
      <c r="J12759" t="s">
        <v>11341</v>
      </c>
      <c r="K12759" t="s">
        <v>15742</v>
      </c>
      <c r="L12759">
        <f>HYPERLINK("https://www2.assemblee-nationale.fr/sycomore/fiche/(num_dept)/1989", "1989")</f>
        <v>0</v>
      </c>
      <c r="M12759">
        <f>HYPERLINK("https://www.senat.fr/senateur-3eme-republique/cosnier_henri0280r3.html", "cosnier_henri0280r3")</f>
        <v>0</v>
      </c>
      <c r="N12759">
        <f>HYPERLINK("https://www.wikidata.org/wiki/Q3130887", "Q3130887")</f>
        <v>0</v>
      </c>
      <c r="O12759" t="s">
        <v>19975</v>
      </c>
      <c r="Q12759" t="s">
        <v>403</v>
      </c>
      <c r="R12759" t="s">
        <v>21650</v>
      </c>
      <c r="S12759">
        <v>7959</v>
      </c>
    </row>
    <row r="12760" spans="1:19">
      <c r="A12760" t="s">
        <v>142</v>
      </c>
      <c r="B12760" t="s">
        <v>150</v>
      </c>
      <c r="C12760" t="s">
        <v>274</v>
      </c>
      <c r="D12760" t="s">
        <v>403</v>
      </c>
      <c r="F12760">
        <f>HYPERLINK("https://www.wikidata.org/wiki/Q28494840", "Q28494840")</f>
        <v>0</v>
      </c>
      <c r="G12760" t="s">
        <v>1419</v>
      </c>
      <c r="H12760" t="s">
        <v>6125</v>
      </c>
      <c r="I12760" t="s">
        <v>9803</v>
      </c>
      <c r="J12760" t="s">
        <v>12143</v>
      </c>
      <c r="K12760" t="s">
        <v>16545</v>
      </c>
      <c r="L12760">
        <f>HYPERLINK("https://www2.assemblee-nationale.fr/sycomore/fiche/(num_dept)/2035", "2035")</f>
        <v>0</v>
      </c>
      <c r="M12760">
        <f>HYPERLINK("https://www.senat.fr/senateur-3eme-republique/courtier_joseph0875r3.html", "courtier_joseph0875r3")</f>
        <v>0</v>
      </c>
      <c r="N12760">
        <f>HYPERLINK("https://www.wikidata.org/wiki/Q3184795", "Q3184795")</f>
        <v>0</v>
      </c>
      <c r="O12760" t="s">
        <v>20022</v>
      </c>
      <c r="Q12760" t="s">
        <v>403</v>
      </c>
      <c r="R12760" t="s">
        <v>16357</v>
      </c>
      <c r="S12760">
        <v>3291</v>
      </c>
    </row>
    <row r="12761" spans="1:19">
      <c r="A12761" t="s">
        <v>142</v>
      </c>
      <c r="B12761" t="s">
        <v>150</v>
      </c>
      <c r="C12761" t="s">
        <v>274</v>
      </c>
      <c r="D12761" t="s">
        <v>403</v>
      </c>
      <c r="F12761">
        <f>HYPERLINK("https://www.wikidata.org/wiki/Q28494840", "Q28494840")</f>
        <v>0</v>
      </c>
      <c r="G12761" t="s">
        <v>596</v>
      </c>
      <c r="H12761" t="s">
        <v>5357</v>
      </c>
      <c r="I12761" t="s">
        <v>9443</v>
      </c>
      <c r="J12761" t="s">
        <v>11347</v>
      </c>
      <c r="K12761" t="s">
        <v>15748</v>
      </c>
      <c r="L12761">
        <f>HYPERLINK("https://www2.assemblee-nationale.fr/sycomore/fiche/(num_dept)/2091", "2091")</f>
        <v>0</v>
      </c>
      <c r="M12761">
        <f>HYPERLINK("https://www.senat.fr/senateur-3eme-republique/cuttoli_paul0695r3.html", "cuttoli_paul0695r3")</f>
        <v>0</v>
      </c>
      <c r="N12761">
        <f>HYPERLINK("https://www.wikidata.org/wiki/Q3370965", "Q3370965")</f>
        <v>0</v>
      </c>
      <c r="Q12761" t="s">
        <v>403</v>
      </c>
      <c r="R12761" t="s">
        <v>16357</v>
      </c>
      <c r="S12761">
        <v>3291</v>
      </c>
    </row>
    <row r="12762" spans="1:19">
      <c r="A12762" t="s">
        <v>142</v>
      </c>
      <c r="B12762" t="s">
        <v>150</v>
      </c>
      <c r="C12762" t="s">
        <v>274</v>
      </c>
      <c r="D12762" t="s">
        <v>403</v>
      </c>
      <c r="F12762">
        <f>HYPERLINK("https://www.wikidata.org/wiki/Q28494840", "Q28494840")</f>
        <v>0</v>
      </c>
      <c r="G12762" t="s">
        <v>3962</v>
      </c>
      <c r="H12762" t="s">
        <v>8211</v>
      </c>
      <c r="I12762" t="s">
        <v>6519</v>
      </c>
      <c r="J12762" t="s">
        <v>14513</v>
      </c>
      <c r="K12762" t="s">
        <v>18857</v>
      </c>
      <c r="L12762">
        <f>HYPERLINK("https://www2.assemblee-nationale.fr/sycomore/fiche/(num_dept)/2155", "2155")</f>
        <v>0</v>
      </c>
      <c r="M12762">
        <f>HYPERLINK("https://www.senat.fr/senateur-3eme-republique/daude_gleize_paulin0860r3.html", "daude_gleize_paulin0860r3")</f>
        <v>0</v>
      </c>
      <c r="N12762">
        <f>HYPERLINK("https://www.wikidata.org/wiki/Q3372661", "Q3372661")</f>
        <v>0</v>
      </c>
      <c r="O12762" t="s">
        <v>20004</v>
      </c>
      <c r="Q12762" t="s">
        <v>403</v>
      </c>
      <c r="R12762" t="s">
        <v>21650</v>
      </c>
      <c r="S12762">
        <v>7959</v>
      </c>
    </row>
    <row r="12763" spans="1:19">
      <c r="A12763" t="s">
        <v>142</v>
      </c>
      <c r="B12763" t="s">
        <v>150</v>
      </c>
      <c r="C12763" t="s">
        <v>274</v>
      </c>
      <c r="D12763" t="s">
        <v>403</v>
      </c>
      <c r="F12763">
        <f>HYPERLINK("https://www.wikidata.org/wiki/Q28494840", "Q28494840")</f>
        <v>0</v>
      </c>
      <c r="G12763" t="s">
        <v>921</v>
      </c>
      <c r="H12763" t="s">
        <v>5677</v>
      </c>
      <c r="I12763" t="s">
        <v>9389</v>
      </c>
      <c r="J12763" t="s">
        <v>11663</v>
      </c>
      <c r="K12763" t="s">
        <v>16064</v>
      </c>
      <c r="L12763">
        <f>HYPERLINK("https://www2.assemblee-nationale.fr/sycomore/fiche/(num_dept)/2167", "2167")</f>
        <v>0</v>
      </c>
      <c r="M12763">
        <f>HYPERLINK("https://www.senat.fr/senateur-3eme-republique/davaine_emile1423r3.html", "davaine_emile1423r3")</f>
        <v>0</v>
      </c>
      <c r="N12763">
        <f>HYPERLINK("https://www.wikidata.org/wiki/Q3588444", "Q3588444")</f>
        <v>0</v>
      </c>
      <c r="O12763" t="s">
        <v>20013</v>
      </c>
      <c r="Q12763" t="s">
        <v>403</v>
      </c>
      <c r="R12763" t="s">
        <v>16357</v>
      </c>
      <c r="S12763">
        <v>3291</v>
      </c>
    </row>
    <row r="12764" spans="1:19">
      <c r="A12764" t="s">
        <v>142</v>
      </c>
      <c r="B12764" t="s">
        <v>150</v>
      </c>
      <c r="C12764" t="s">
        <v>274</v>
      </c>
      <c r="D12764" t="s">
        <v>403</v>
      </c>
      <c r="F12764">
        <f>HYPERLINK("https://www.wikidata.org/wiki/Q28494840", "Q28494840")</f>
        <v>0</v>
      </c>
      <c r="G12764" t="s">
        <v>606</v>
      </c>
      <c r="H12764" t="s">
        <v>5366</v>
      </c>
      <c r="I12764" t="s">
        <v>9449</v>
      </c>
      <c r="J12764" t="s">
        <v>11357</v>
      </c>
      <c r="K12764" t="s">
        <v>15758</v>
      </c>
      <c r="L12764">
        <f>HYPERLINK("https://www2.assemblee-nationale.fr/sycomore/fiche/(num_dept)/2254", "2254")</f>
        <v>0</v>
      </c>
      <c r="M12764">
        <f>HYPERLINK("https://www.senat.fr/senateur-3eme-republique/delahaye_jules1154r3.html", "delahaye_jules1154r3")</f>
        <v>0</v>
      </c>
      <c r="N12764">
        <f>HYPERLINK("https://www.wikidata.org/wiki/Q3188522", "Q3188522")</f>
        <v>0</v>
      </c>
      <c r="O12764" t="s">
        <v>19980</v>
      </c>
      <c r="Q12764" t="s">
        <v>403</v>
      </c>
      <c r="R12764" t="s">
        <v>21650</v>
      </c>
      <c r="S12764">
        <v>7959</v>
      </c>
    </row>
    <row r="12765" spans="1:19">
      <c r="A12765" t="s">
        <v>142</v>
      </c>
      <c r="B12765" t="s">
        <v>150</v>
      </c>
      <c r="C12765" t="s">
        <v>274</v>
      </c>
      <c r="D12765" t="s">
        <v>403</v>
      </c>
      <c r="F12765">
        <f>HYPERLINK("https://www.wikidata.org/wiki/Q28494840", "Q28494840")</f>
        <v>0</v>
      </c>
      <c r="G12765" t="s">
        <v>927</v>
      </c>
      <c r="H12765" t="s">
        <v>5683</v>
      </c>
      <c r="I12765" t="s">
        <v>9483</v>
      </c>
      <c r="J12765" t="s">
        <v>11669</v>
      </c>
      <c r="K12765" t="s">
        <v>16070</v>
      </c>
      <c r="L12765">
        <f>HYPERLINK("https://www2.assemblee-nationale.fr/sycomore/fiche/(num_dept)/2342", "2342")</f>
        <v>0</v>
      </c>
      <c r="M12765">
        <f>HYPERLINK("https://www.senat.fr/senateur-3eme-republique/delpierre_casimir0891r3.html", "delpierre_casimir0891r3")</f>
        <v>0</v>
      </c>
      <c r="N12765">
        <f>HYPERLINK("https://www.wikidata.org/wiki/Q3557252", "Q3557252")</f>
        <v>0</v>
      </c>
      <c r="O12765" t="s">
        <v>19989</v>
      </c>
      <c r="Q12765" t="s">
        <v>403</v>
      </c>
      <c r="R12765" t="s">
        <v>21650</v>
      </c>
      <c r="S12765">
        <v>7959</v>
      </c>
    </row>
    <row r="12766" spans="1:19">
      <c r="A12766" t="s">
        <v>142</v>
      </c>
      <c r="B12766" t="s">
        <v>150</v>
      </c>
      <c r="C12766" t="s">
        <v>274</v>
      </c>
      <c r="D12766" t="s">
        <v>403</v>
      </c>
      <c r="F12766">
        <f>HYPERLINK("https://www.wikidata.org/wiki/Q28494840", "Q28494840")</f>
        <v>0</v>
      </c>
      <c r="G12766" t="s">
        <v>616</v>
      </c>
      <c r="H12766" t="s">
        <v>5376</v>
      </c>
      <c r="I12766" t="s">
        <v>6584</v>
      </c>
      <c r="J12766" t="s">
        <v>11366</v>
      </c>
      <c r="K12766" t="s">
        <v>15768</v>
      </c>
      <c r="L12766">
        <f>HYPERLINK("https://www2.assemblee-nationale.fr/sycomore/fiche/(num_dept)/2521", "2521")</f>
        <v>0</v>
      </c>
      <c r="M12766">
        <f>HYPERLINK("https://www.senat.fr/senateur-3eme-republique/de_dion_albert1292r3.html", "de_dion_albert1292r3")</f>
        <v>0</v>
      </c>
      <c r="N12766">
        <f>HYPERLINK("https://www.wikidata.org/wiki/Q971548", "Q971548")</f>
        <v>0</v>
      </c>
      <c r="O12766" t="s">
        <v>20023</v>
      </c>
      <c r="Q12766" t="s">
        <v>403</v>
      </c>
      <c r="R12766" t="s">
        <v>16357</v>
      </c>
      <c r="S12766">
        <v>3291</v>
      </c>
    </row>
    <row r="12767" spans="1:19">
      <c r="A12767" t="s">
        <v>142</v>
      </c>
      <c r="B12767" t="s">
        <v>150</v>
      </c>
      <c r="C12767" t="s">
        <v>274</v>
      </c>
      <c r="D12767" t="s">
        <v>403</v>
      </c>
      <c r="F12767">
        <f>HYPERLINK("https://www.wikidata.org/wiki/Q28494840", "Q28494840")</f>
        <v>0</v>
      </c>
      <c r="G12767" t="s">
        <v>935</v>
      </c>
      <c r="H12767" t="s">
        <v>5691</v>
      </c>
      <c r="I12767" t="s">
        <v>9401</v>
      </c>
      <c r="J12767" t="s">
        <v>11676</v>
      </c>
      <c r="K12767" t="s">
        <v>16077</v>
      </c>
      <c r="L12767">
        <f>HYPERLINK("https://www2.assemblee-nationale.fr/sycomore/fiche/(num_dept)/2593", "2593")</f>
        <v>0</v>
      </c>
      <c r="M12767">
        <f>HYPERLINK("https://www.senat.fr/senateur-3eme-republique/drivet_antoine1373r3.html", "drivet_antoine1373r3")</f>
        <v>0</v>
      </c>
      <c r="N12767">
        <f>HYPERLINK("https://www.wikidata.org/wiki/Q2853879", "Q2853879")</f>
        <v>0</v>
      </c>
      <c r="O12767" t="s">
        <v>19997</v>
      </c>
      <c r="Q12767" t="s">
        <v>403</v>
      </c>
      <c r="R12767" t="s">
        <v>16357</v>
      </c>
      <c r="S12767">
        <v>3291</v>
      </c>
    </row>
    <row r="12768" spans="1:19">
      <c r="A12768" t="s">
        <v>142</v>
      </c>
      <c r="B12768" t="s">
        <v>150</v>
      </c>
      <c r="C12768" t="s">
        <v>274</v>
      </c>
      <c r="D12768" t="s">
        <v>403</v>
      </c>
      <c r="F12768">
        <f>HYPERLINK("https://www.wikidata.org/wiki/Q28494840", "Q28494840")</f>
        <v>0</v>
      </c>
      <c r="G12768" t="s">
        <v>936</v>
      </c>
      <c r="H12768" t="s">
        <v>5692</v>
      </c>
      <c r="I12768" t="s">
        <v>9421</v>
      </c>
      <c r="J12768" t="s">
        <v>11677</v>
      </c>
      <c r="K12768" t="s">
        <v>16078</v>
      </c>
      <c r="L12768">
        <f>HYPERLINK("https://www2.assemblee-nationale.fr/sycomore/fiche/(num_dept)/2595", "2595")</f>
        <v>0</v>
      </c>
      <c r="M12768">
        <f>HYPERLINK("https://www.senat.fr/senateur-3eme-republique/dron_gustave1388r3.html", "dron_gustave1388r3")</f>
        <v>0</v>
      </c>
      <c r="N12768">
        <f>HYPERLINK("https://www.wikidata.org/wiki/Q3121171", "Q3121171")</f>
        <v>0</v>
      </c>
      <c r="O12768" t="s">
        <v>20013</v>
      </c>
      <c r="Q12768" t="s">
        <v>403</v>
      </c>
      <c r="R12768" t="s">
        <v>21650</v>
      </c>
      <c r="S12768">
        <v>7959</v>
      </c>
    </row>
    <row r="12769" spans="1:19">
      <c r="A12769" t="s">
        <v>142</v>
      </c>
      <c r="B12769" t="s">
        <v>150</v>
      </c>
      <c r="C12769" t="s">
        <v>274</v>
      </c>
      <c r="D12769" t="s">
        <v>403</v>
      </c>
      <c r="F12769">
        <f>HYPERLINK("https://www.wikidata.org/wiki/Q28494840", "Q28494840")</f>
        <v>0</v>
      </c>
      <c r="G12769" t="s">
        <v>4162</v>
      </c>
      <c r="H12769" t="s">
        <v>8364</v>
      </c>
      <c r="I12769" t="s">
        <v>6860</v>
      </c>
      <c r="J12769" t="s">
        <v>14688</v>
      </c>
      <c r="K12769" t="s">
        <v>19025</v>
      </c>
      <c r="L12769">
        <f>HYPERLINK("https://www2.assemblee-nationale.fr/sycomore/fiche/(num_dept)/2662", "2662")</f>
        <v>0</v>
      </c>
      <c r="M12769">
        <f>HYPERLINK("https://www.senat.fr/senateur-3eme-republique/dudouyt_pierre1037r3.html", "dudouyt_pierre1037r3")</f>
        <v>0</v>
      </c>
      <c r="N12769">
        <f>HYPERLINK("https://www.wikidata.org/wiki/Q3384838", "Q3384838")</f>
        <v>0</v>
      </c>
      <c r="O12769" t="s">
        <v>19985</v>
      </c>
      <c r="Q12769" t="s">
        <v>403</v>
      </c>
      <c r="R12769" t="s">
        <v>16357</v>
      </c>
      <c r="S12769">
        <v>3291</v>
      </c>
    </row>
    <row r="12770" spans="1:19">
      <c r="A12770" t="s">
        <v>142</v>
      </c>
      <c r="B12770" t="s">
        <v>150</v>
      </c>
      <c r="C12770" t="s">
        <v>274</v>
      </c>
      <c r="D12770" t="s">
        <v>403</v>
      </c>
      <c r="F12770">
        <f>HYPERLINK("https://www.wikidata.org/wiki/Q28494840", "Q28494840")</f>
        <v>0</v>
      </c>
      <c r="G12770" t="s">
        <v>948</v>
      </c>
      <c r="H12770" t="s">
        <v>5386</v>
      </c>
      <c r="I12770" t="s">
        <v>9385</v>
      </c>
      <c r="J12770" t="s">
        <v>11689</v>
      </c>
      <c r="K12770" t="s">
        <v>16090</v>
      </c>
      <c r="L12770">
        <f>HYPERLINK("https://www2.assemblee-nationale.fr/sycomore/fiche/(num_dept)/2702", "2702")</f>
        <v>0</v>
      </c>
      <c r="M12770">
        <f>HYPERLINK("https://www.senat.fr/senateur-3eme-republique/dumont_charles0432r3.html", "dumont_charles0432r3")</f>
        <v>0</v>
      </c>
      <c r="N12770">
        <f>HYPERLINK("https://www.wikidata.org/wiki/Q2958960", "Q2958960")</f>
        <v>0</v>
      </c>
      <c r="O12770" t="s">
        <v>20041</v>
      </c>
      <c r="Q12770" t="s">
        <v>403</v>
      </c>
      <c r="R12770" t="s">
        <v>16357</v>
      </c>
      <c r="S12770">
        <v>3291</v>
      </c>
    </row>
    <row r="12771" spans="1:19">
      <c r="A12771" t="s">
        <v>142</v>
      </c>
      <c r="B12771" t="s">
        <v>150</v>
      </c>
      <c r="C12771" t="s">
        <v>274</v>
      </c>
      <c r="D12771" t="s">
        <v>403</v>
      </c>
      <c r="F12771">
        <f>HYPERLINK("https://www.wikidata.org/wiki/Q28494840", "Q28494840")</f>
        <v>0</v>
      </c>
      <c r="G12771" t="s">
        <v>3435</v>
      </c>
      <c r="H12771" t="s">
        <v>7813</v>
      </c>
      <c r="I12771" t="s">
        <v>10827</v>
      </c>
      <c r="J12771" t="s">
        <v>11615</v>
      </c>
      <c r="K12771" t="s">
        <v>18407</v>
      </c>
      <c r="L12771">
        <f>HYPERLINK("https://www2.assemblee-nationale.fr/sycomore/fiche/(num_dept)/2823", "2823")</f>
        <v>0</v>
      </c>
      <c r="M12771">
        <f>HYPERLINK("https://www.senat.fr/senateur-3eme-republique/elva_christian0958r3.html", "elva_christian0958r3")</f>
        <v>0</v>
      </c>
      <c r="N12771">
        <f>HYPERLINK("https://www.wikidata.org/wiki/Q2965715", "Q2965715")</f>
        <v>0</v>
      </c>
      <c r="O12771" t="s">
        <v>19984</v>
      </c>
      <c r="Q12771" t="s">
        <v>403</v>
      </c>
      <c r="R12771" t="s">
        <v>21650</v>
      </c>
      <c r="S12771">
        <v>7959</v>
      </c>
    </row>
    <row r="12772" spans="1:19">
      <c r="A12772" t="s">
        <v>142</v>
      </c>
      <c r="B12772" t="s">
        <v>150</v>
      </c>
      <c r="C12772" t="s">
        <v>274</v>
      </c>
      <c r="D12772" t="s">
        <v>403</v>
      </c>
      <c r="F12772">
        <f>HYPERLINK("https://www.wikidata.org/wiki/Q28494840", "Q28494840")</f>
        <v>0</v>
      </c>
      <c r="G12772" t="s">
        <v>3250</v>
      </c>
      <c r="H12772" t="s">
        <v>5397</v>
      </c>
      <c r="I12772" t="s">
        <v>9446</v>
      </c>
      <c r="J12772" t="s">
        <v>13868</v>
      </c>
      <c r="K12772" t="s">
        <v>18238</v>
      </c>
      <c r="L12772">
        <f>HYPERLINK("https://www2.assemblee-nationale.fr/sycomore/fiche/(num_dept)/2927", "2927")</f>
        <v>0</v>
      </c>
      <c r="M12772">
        <f>HYPERLINK("https://www.senat.fr/senateur-3eme-republique/faure_fernand0214r3.html", "faure_fernand0214r3")</f>
        <v>0</v>
      </c>
      <c r="N12772">
        <f>HYPERLINK("https://www.wikidata.org/wiki/Q3069150", "Q3069150")</f>
        <v>0</v>
      </c>
      <c r="O12772" t="s">
        <v>19987</v>
      </c>
      <c r="Q12772" t="s">
        <v>403</v>
      </c>
      <c r="R12772" t="s">
        <v>18238</v>
      </c>
      <c r="S12772">
        <v>2131</v>
      </c>
    </row>
    <row r="12773" spans="1:19">
      <c r="A12773" t="s">
        <v>142</v>
      </c>
      <c r="B12773" t="s">
        <v>150</v>
      </c>
      <c r="C12773" t="s">
        <v>274</v>
      </c>
      <c r="D12773" t="s">
        <v>403</v>
      </c>
      <c r="F12773">
        <f>HYPERLINK("https://www.wikidata.org/wiki/Q28494840", "Q28494840")</f>
        <v>0</v>
      </c>
      <c r="G12773" t="s">
        <v>648</v>
      </c>
      <c r="H12773" t="s">
        <v>5407</v>
      </c>
      <c r="I12773" t="s">
        <v>9468</v>
      </c>
      <c r="J12773" t="s">
        <v>11398</v>
      </c>
      <c r="K12773" t="s">
        <v>15800</v>
      </c>
      <c r="L12773">
        <f>HYPERLINK("https://www2.assemblee-nationale.fr/sycomore/fiche/(num_dept)/3072", "3072")</f>
        <v>0</v>
      </c>
      <c r="M12773">
        <f>HYPERLINK("https://www.senat.fr/senateur-3eme-republique/foucher_octave0306r3.html", "foucher_octave0306r3")</f>
        <v>0</v>
      </c>
      <c r="N12773">
        <f>HYPERLINK("https://www.wikidata.org/wiki/Q3348830", "Q3348830")</f>
        <v>0</v>
      </c>
      <c r="O12773" t="s">
        <v>20008</v>
      </c>
      <c r="Q12773" t="s">
        <v>403</v>
      </c>
      <c r="R12773" t="s">
        <v>16357</v>
      </c>
      <c r="S12773">
        <v>3291</v>
      </c>
    </row>
    <row r="12774" spans="1:19">
      <c r="A12774" t="s">
        <v>142</v>
      </c>
      <c r="B12774" t="s">
        <v>150</v>
      </c>
      <c r="C12774" t="s">
        <v>274</v>
      </c>
      <c r="D12774" t="s">
        <v>403</v>
      </c>
      <c r="F12774">
        <f>HYPERLINK("https://www.wikidata.org/wiki/Q28494840", "Q28494840")</f>
        <v>0</v>
      </c>
      <c r="G12774" t="s">
        <v>1175</v>
      </c>
      <c r="H12774" t="s">
        <v>5906</v>
      </c>
      <c r="I12774" t="s">
        <v>8494</v>
      </c>
      <c r="J12774" t="s">
        <v>11908</v>
      </c>
      <c r="K12774" t="s">
        <v>16310</v>
      </c>
      <c r="L12774">
        <f>HYPERLINK("https://www2.assemblee-nationale.fr/sycomore/fiche/(num_dept)/3254", "3254")</f>
        <v>0</v>
      </c>
      <c r="M12774">
        <f>HYPERLINK("https://www.senat.fr/senateur-3eme-republique/gardey_abel0150r3.html", "gardey_abel0150r3")</f>
        <v>0</v>
      </c>
      <c r="N12774">
        <f>HYPERLINK("https://www.wikidata.org/wiki/Q2821514", "Q2821514")</f>
        <v>0</v>
      </c>
      <c r="O12774" t="s">
        <v>20003</v>
      </c>
      <c r="Q12774" t="s">
        <v>403</v>
      </c>
      <c r="R12774" t="s">
        <v>16357</v>
      </c>
      <c r="S12774">
        <v>3291</v>
      </c>
    </row>
    <row r="12775" spans="1:19">
      <c r="A12775" t="s">
        <v>142</v>
      </c>
      <c r="B12775" t="s">
        <v>150</v>
      </c>
      <c r="C12775" t="s">
        <v>274</v>
      </c>
      <c r="D12775" t="s">
        <v>403</v>
      </c>
      <c r="F12775">
        <f>HYPERLINK("https://www.wikidata.org/wiki/Q28494840", "Q28494840")</f>
        <v>0</v>
      </c>
      <c r="G12775" t="s">
        <v>3838</v>
      </c>
      <c r="H12775" t="s">
        <v>8116</v>
      </c>
      <c r="I12775" t="s">
        <v>10996</v>
      </c>
      <c r="J12775" t="s">
        <v>11776</v>
      </c>
      <c r="K12775" t="s">
        <v>18754</v>
      </c>
      <c r="L12775">
        <f>HYPERLINK("https://www2.assemblee-nationale.fr/sycomore/fiche/(num_dept)/3312", "3312")</f>
        <v>0</v>
      </c>
      <c r="M12775">
        <f>HYPERLINK("https://www.senat.fr/senateur-3eme-republique/gauvin_eusebe0384r3.html", "gauvin_eusebe0384r3")</f>
        <v>0</v>
      </c>
      <c r="N12775">
        <f>HYPERLINK("https://www.wikidata.org/wiki/Q3061098", "Q3061098")</f>
        <v>0</v>
      </c>
      <c r="O12775" t="s">
        <v>20039</v>
      </c>
      <c r="Q12775" t="s">
        <v>403</v>
      </c>
      <c r="R12775" t="s">
        <v>21650</v>
      </c>
      <c r="S12775">
        <v>7959</v>
      </c>
    </row>
    <row r="12776" spans="1:19">
      <c r="A12776" t="s">
        <v>142</v>
      </c>
      <c r="B12776" t="s">
        <v>150</v>
      </c>
      <c r="C12776" t="s">
        <v>274</v>
      </c>
      <c r="D12776" t="s">
        <v>403</v>
      </c>
      <c r="F12776">
        <f>HYPERLINK("https://www.wikidata.org/wiki/Q28494840", "Q28494840")</f>
        <v>0</v>
      </c>
      <c r="G12776" t="s">
        <v>2249</v>
      </c>
      <c r="H12776" t="s">
        <v>6854</v>
      </c>
      <c r="I12776" t="s">
        <v>6495</v>
      </c>
      <c r="J12776" t="s">
        <v>12909</v>
      </c>
      <c r="K12776" t="s">
        <v>17320</v>
      </c>
      <c r="L12776">
        <f>HYPERLINK("https://www2.assemblee-nationale.fr/sycomore/fiche/(num_dept)/3681", "3681")</f>
        <v>0</v>
      </c>
      <c r="M12776">
        <f>HYPERLINK("https://www.senat.fr/senateur-3eme-republique/guillois_louis0898r3.html", "guillois_louis0898r3")</f>
        <v>0</v>
      </c>
      <c r="N12776">
        <f>HYPERLINK("https://www.wikidata.org/wiki/Q3262110", "Q3262110")</f>
        <v>0</v>
      </c>
      <c r="O12776" t="s">
        <v>19961</v>
      </c>
      <c r="Q12776" t="s">
        <v>403</v>
      </c>
      <c r="R12776" t="s">
        <v>21650</v>
      </c>
      <c r="S12776">
        <v>7959</v>
      </c>
    </row>
    <row r="12777" spans="1:19">
      <c r="A12777" t="s">
        <v>142</v>
      </c>
      <c r="B12777" t="s">
        <v>150</v>
      </c>
      <c r="C12777" t="s">
        <v>274</v>
      </c>
      <c r="D12777" t="s">
        <v>403</v>
      </c>
      <c r="F12777">
        <f>HYPERLINK("https://www.wikidata.org/wiki/Q28494840", "Q28494840")</f>
        <v>0</v>
      </c>
      <c r="G12777" t="s">
        <v>3787</v>
      </c>
      <c r="H12777" t="s">
        <v>8077</v>
      </c>
      <c r="I12777" t="s">
        <v>9388</v>
      </c>
      <c r="J12777" t="s">
        <v>14357</v>
      </c>
      <c r="K12777" t="s">
        <v>18708</v>
      </c>
      <c r="L12777">
        <f>HYPERLINK("https://www2.assemblee-nationale.fr/sycomore/fiche/(num_dept)/3774", "3774")</f>
        <v>0</v>
      </c>
      <c r="M12777">
        <f>HYPERLINK("https://www.senat.fr/senateur-3eme-republique/hayez_paul1415r3.html", "hayez_paul1415r3")</f>
        <v>0</v>
      </c>
      <c r="N12777">
        <f>HYPERLINK("https://www.wikidata.org/wiki/Q3371447", "Q3371447")</f>
        <v>0</v>
      </c>
      <c r="O12777" t="s">
        <v>20013</v>
      </c>
      <c r="Q12777" t="s">
        <v>403</v>
      </c>
      <c r="R12777" t="s">
        <v>16357</v>
      </c>
      <c r="S12777">
        <v>3291</v>
      </c>
    </row>
    <row r="12778" spans="1:19">
      <c r="A12778" t="s">
        <v>142</v>
      </c>
      <c r="B12778" t="s">
        <v>150</v>
      </c>
      <c r="C12778" t="s">
        <v>274</v>
      </c>
      <c r="D12778" t="s">
        <v>403</v>
      </c>
      <c r="F12778">
        <f>HYPERLINK("https://www.wikidata.org/wiki/Q28494840", "Q28494840")</f>
        <v>0</v>
      </c>
      <c r="G12778" t="s">
        <v>1142</v>
      </c>
      <c r="H12778" t="s">
        <v>5877</v>
      </c>
      <c r="I12778" t="s">
        <v>9675</v>
      </c>
      <c r="J12778" t="s">
        <v>11876</v>
      </c>
      <c r="K12778" t="s">
        <v>16278</v>
      </c>
      <c r="L12778">
        <f>HYPERLINK("https://www2.assemblee-nationale.fr/sycomore/fiche/(num_dept)/4053", "4053")</f>
        <v>0</v>
      </c>
      <c r="M12778">
        <f>HYPERLINK("https://www.senat.fr/senateur-3eme-republique/josse_prosper0745r3.html", "josse_prosper0745r3")</f>
        <v>0</v>
      </c>
      <c r="N12778">
        <f>HYPERLINK("https://www.wikidata.org/wiki/Q3407787", "Q3407787")</f>
        <v>0</v>
      </c>
      <c r="O12778" t="s">
        <v>19992</v>
      </c>
      <c r="Q12778" t="s">
        <v>403</v>
      </c>
      <c r="R12778" t="s">
        <v>21712</v>
      </c>
      <c r="S12778">
        <v>5482</v>
      </c>
    </row>
    <row r="12779" spans="1:19">
      <c r="A12779" t="s">
        <v>142</v>
      </c>
      <c r="B12779" t="s">
        <v>150</v>
      </c>
      <c r="C12779" t="s">
        <v>274</v>
      </c>
      <c r="D12779" t="s">
        <v>403</v>
      </c>
      <c r="F12779">
        <f>HYPERLINK("https://www.wikidata.org/wiki/Q28494840", "Q28494840")</f>
        <v>0</v>
      </c>
      <c r="G12779" t="s">
        <v>708</v>
      </c>
      <c r="H12779" t="s">
        <v>5466</v>
      </c>
      <c r="I12779" t="s">
        <v>9442</v>
      </c>
      <c r="J12779" t="s">
        <v>11458</v>
      </c>
      <c r="K12779" t="s">
        <v>15859</v>
      </c>
      <c r="L12779">
        <f>HYPERLINK("https://www2.assemblee-nationale.fr/sycomore/fiche/(num_dept)/4320", "4320")</f>
        <v>0</v>
      </c>
      <c r="M12779">
        <f>HYPERLINK("https://www.senat.fr/senateur-3eme-republique/lamy_ernest0911r3.html", "lamy_ernest0911r3")</f>
        <v>0</v>
      </c>
      <c r="N12779">
        <f>HYPERLINK("https://www.wikidata.org/wiki/Q3057035", "Q3057035")</f>
        <v>0</v>
      </c>
      <c r="O12779" t="s">
        <v>19961</v>
      </c>
      <c r="Q12779" t="s">
        <v>403</v>
      </c>
      <c r="R12779" t="s">
        <v>15859</v>
      </c>
      <c r="S12779">
        <v>1253</v>
      </c>
    </row>
    <row r="12780" spans="1:19">
      <c r="A12780" t="s">
        <v>142</v>
      </c>
      <c r="B12780" t="s">
        <v>150</v>
      </c>
      <c r="C12780" t="s">
        <v>274</v>
      </c>
      <c r="D12780" t="s">
        <v>403</v>
      </c>
      <c r="F12780">
        <f>HYPERLINK("https://www.wikidata.org/wiki/Q28494840", "Q28494840")</f>
        <v>0</v>
      </c>
      <c r="G12780" t="s">
        <v>1276</v>
      </c>
      <c r="H12780" t="s">
        <v>6000</v>
      </c>
      <c r="I12780" t="s">
        <v>9446</v>
      </c>
      <c r="J12780" t="s">
        <v>12006</v>
      </c>
      <c r="K12780" t="s">
        <v>16409</v>
      </c>
      <c r="L12780">
        <f>HYPERLINK("https://www2.assemblee-nationale.fr/sycomore/fiche/(num_dept)/5208", "5208")</f>
        <v>0</v>
      </c>
      <c r="M12780">
        <f>HYPERLINK("https://www.senat.fr/senateur-3eme-republique/merlin_fernand1341r3.html", "merlin_fernand1341r3")</f>
        <v>0</v>
      </c>
      <c r="N12780">
        <f>HYPERLINK("https://www.wikidata.org/wiki/Q3069270", "Q3069270")</f>
        <v>0</v>
      </c>
      <c r="O12780" t="s">
        <v>19997</v>
      </c>
      <c r="Q12780" t="s">
        <v>403</v>
      </c>
      <c r="R12780" t="s">
        <v>16357</v>
      </c>
      <c r="S12780">
        <v>3291</v>
      </c>
    </row>
    <row r="12781" spans="1:19">
      <c r="A12781" t="s">
        <v>142</v>
      </c>
      <c r="B12781" t="s">
        <v>150</v>
      </c>
      <c r="C12781" t="s">
        <v>274</v>
      </c>
      <c r="D12781" t="s">
        <v>403</v>
      </c>
      <c r="F12781">
        <f>HYPERLINK("https://www.wikidata.org/wiki/Q28494840", "Q28494840")</f>
        <v>0</v>
      </c>
      <c r="G12781" t="s">
        <v>3998</v>
      </c>
      <c r="H12781" t="s">
        <v>8237</v>
      </c>
      <c r="I12781" t="s">
        <v>11056</v>
      </c>
      <c r="J12781" t="s">
        <v>14545</v>
      </c>
      <c r="K12781" t="s">
        <v>18888</v>
      </c>
      <c r="L12781">
        <f>HYPERLINK("https://www2.assemblee-nationale.fr/sycomore/fiche/(num_dept)/5338", "5338")</f>
        <v>0</v>
      </c>
      <c r="M12781">
        <f>HYPERLINK("https://www.senat.fr/senateur-3eme-republique/monfeuillart_ernest0635r3.html", "monfeuillart_ernest0635r3")</f>
        <v>0</v>
      </c>
      <c r="N12781">
        <f>HYPERLINK("https://www.wikidata.org/wiki/Q3057090", "Q3057090")</f>
        <v>0</v>
      </c>
      <c r="O12781" t="s">
        <v>20025</v>
      </c>
      <c r="Q12781" t="s">
        <v>403</v>
      </c>
      <c r="R12781" t="s">
        <v>16357</v>
      </c>
      <c r="S12781">
        <v>3291</v>
      </c>
    </row>
    <row r="12782" spans="1:19">
      <c r="A12782" t="s">
        <v>142</v>
      </c>
      <c r="B12782" t="s">
        <v>150</v>
      </c>
      <c r="C12782" t="s">
        <v>274</v>
      </c>
      <c r="D12782" t="s">
        <v>403</v>
      </c>
      <c r="F12782">
        <f>HYPERLINK("https://www.wikidata.org/wiki/Q28494840", "Q28494840")</f>
        <v>0</v>
      </c>
      <c r="G12782" t="s">
        <v>3929</v>
      </c>
      <c r="H12782" t="s">
        <v>8184</v>
      </c>
      <c r="I12782" t="s">
        <v>6860</v>
      </c>
      <c r="J12782" t="s">
        <v>14483</v>
      </c>
      <c r="K12782" t="s">
        <v>18834</v>
      </c>
      <c r="L12782">
        <f>HYPERLINK("https://www2.assemblee-nationale.fr/sycomore/fiche/(num_dept)/5364", "5364")</f>
        <v>0</v>
      </c>
      <c r="M12782">
        <f>HYPERLINK("https://www.senat.fr/senateur-3eme-republique/de_montaigu_pierre1277r3.html", "de_montaigu_pierre1277r3")</f>
        <v>0</v>
      </c>
      <c r="N12782">
        <f>HYPERLINK("https://www.wikidata.org/wiki/Q3387636", "Q3387636")</f>
        <v>0</v>
      </c>
      <c r="O12782" t="s">
        <v>20023</v>
      </c>
      <c r="Q12782" t="s">
        <v>403</v>
      </c>
      <c r="R12782" t="s">
        <v>21650</v>
      </c>
      <c r="S12782">
        <v>7959</v>
      </c>
    </row>
    <row r="12783" spans="1:19">
      <c r="A12783" t="s">
        <v>142</v>
      </c>
      <c r="B12783" t="s">
        <v>150</v>
      </c>
      <c r="C12783" t="s">
        <v>274</v>
      </c>
      <c r="D12783" t="s">
        <v>403</v>
      </c>
      <c r="F12783">
        <f>HYPERLINK("https://www.wikidata.org/wiki/Q28494840", "Q28494840")</f>
        <v>0</v>
      </c>
      <c r="G12783" t="s">
        <v>738</v>
      </c>
      <c r="H12783" t="s">
        <v>5496</v>
      </c>
      <c r="I12783" t="s">
        <v>9503</v>
      </c>
      <c r="J12783" t="s">
        <v>11487</v>
      </c>
      <c r="K12783" t="s">
        <v>15889</v>
      </c>
      <c r="L12783">
        <f>HYPERLINK("https://www2.assemblee-nationale.fr/sycomore/fiche/(num_dept)/5394", "5394")</f>
        <v>0</v>
      </c>
      <c r="M12783">
        <f>HYPERLINK("https://www.senat.fr/senateur-3eme-republique/de_monzie_anatole0605r3.html", "de_monzie_anatole0605r3")</f>
        <v>0</v>
      </c>
      <c r="N12783">
        <f>HYPERLINK("https://www.wikidata.org/wiki/Q2845619", "Q2845619")</f>
        <v>0</v>
      </c>
      <c r="O12783" t="s">
        <v>19974</v>
      </c>
      <c r="Q12783" t="s">
        <v>403</v>
      </c>
      <c r="R12783" t="s">
        <v>21650</v>
      </c>
      <c r="S12783">
        <v>7959</v>
      </c>
    </row>
    <row r="12784" spans="1:19">
      <c r="A12784" t="s">
        <v>142</v>
      </c>
      <c r="B12784" t="s">
        <v>150</v>
      </c>
      <c r="C12784" t="s">
        <v>274</v>
      </c>
      <c r="D12784" t="s">
        <v>403</v>
      </c>
      <c r="F12784">
        <f>HYPERLINK("https://www.wikidata.org/wiki/Q28494840", "Q28494840")</f>
        <v>0</v>
      </c>
      <c r="G12784" t="s">
        <v>739</v>
      </c>
      <c r="H12784" t="s">
        <v>5497</v>
      </c>
      <c r="I12784" t="s">
        <v>9504</v>
      </c>
      <c r="J12784" t="s">
        <v>11488</v>
      </c>
      <c r="K12784" t="s">
        <v>15890</v>
      </c>
      <c r="L12784">
        <f>HYPERLINK("https://www2.assemblee-nationale.fr/sycomore/fiche/(num_dept)/5410", "5410")</f>
        <v>0</v>
      </c>
      <c r="M12784">
        <f>HYPERLINK("https://www.senat.fr/senateur-3eme-republique/morel_jean_baptiste1326r3.html", "morel_jean_baptiste1326r3")</f>
        <v>0</v>
      </c>
      <c r="N12784">
        <f>HYPERLINK("https://www.wikidata.org/wiki/Q2627978", "Q2627978")</f>
        <v>0</v>
      </c>
      <c r="O12784" t="s">
        <v>19997</v>
      </c>
      <c r="Q12784" t="s">
        <v>403</v>
      </c>
      <c r="R12784" t="s">
        <v>21650</v>
      </c>
      <c r="S12784">
        <v>7959</v>
      </c>
    </row>
    <row r="12785" spans="1:19">
      <c r="A12785" t="s">
        <v>142</v>
      </c>
      <c r="B12785" t="s">
        <v>150</v>
      </c>
      <c r="C12785" t="s">
        <v>274</v>
      </c>
      <c r="D12785" t="s">
        <v>403</v>
      </c>
      <c r="F12785">
        <f>HYPERLINK("https://www.wikidata.org/wiki/Q28494840", "Q28494840")</f>
        <v>0</v>
      </c>
      <c r="G12785" t="s">
        <v>744</v>
      </c>
      <c r="H12785" t="s">
        <v>5502</v>
      </c>
      <c r="I12785" t="s">
        <v>9375</v>
      </c>
      <c r="J12785" t="s">
        <v>11493</v>
      </c>
      <c r="K12785" t="s">
        <v>15895</v>
      </c>
      <c r="L12785">
        <f>HYPERLINK("https://www2.assemblee-nationale.fr/sycomore/fiche/(num_dept)/5529", "5529")</f>
        <v>0</v>
      </c>
      <c r="M12785">
        <f>HYPERLINK("https://www.senat.fr/senateur-3eme-republique/neron_edouard0523r3.html", "neron_edouard0523r3")</f>
        <v>0</v>
      </c>
      <c r="N12785">
        <f>HYPERLINK("https://www.wikidata.org/wiki/Q3579976", "Q3579976")</f>
        <v>0</v>
      </c>
      <c r="O12785" t="s">
        <v>19993</v>
      </c>
      <c r="Q12785" t="s">
        <v>403</v>
      </c>
      <c r="R12785" t="s">
        <v>16357</v>
      </c>
      <c r="S12785">
        <v>3291</v>
      </c>
    </row>
    <row r="12786" spans="1:19">
      <c r="A12786" t="s">
        <v>142</v>
      </c>
      <c r="B12786" t="s">
        <v>150</v>
      </c>
      <c r="C12786" t="s">
        <v>274</v>
      </c>
      <c r="D12786" t="s">
        <v>403</v>
      </c>
      <c r="F12786">
        <f>HYPERLINK("https://www.wikidata.org/wiki/Q28494840", "Q28494840")</f>
        <v>0</v>
      </c>
      <c r="G12786" t="s">
        <v>3720</v>
      </c>
      <c r="H12786" t="s">
        <v>5504</v>
      </c>
      <c r="I12786" t="s">
        <v>9442</v>
      </c>
      <c r="J12786" t="s">
        <v>14295</v>
      </c>
      <c r="K12786" t="s">
        <v>15930</v>
      </c>
      <c r="L12786">
        <f>HYPERLINK("https://www2.assemblee-nationale.fr/sycomore/fiche/(num_dept)/5564", "5564")</f>
        <v>0</v>
      </c>
      <c r="M12786">
        <f>HYPERLINK("https://www.senat.fr/senateur-3eme-republique/noel_charles0885r3.html", "noel_charles0885r3")</f>
        <v>0</v>
      </c>
      <c r="N12786">
        <f>HYPERLINK("https://www.wikidata.org/wiki/Q2959917", "Q2959917")</f>
        <v>0</v>
      </c>
      <c r="O12786" t="s">
        <v>19989</v>
      </c>
      <c r="Q12786" t="s">
        <v>403</v>
      </c>
      <c r="R12786" t="s">
        <v>21650</v>
      </c>
      <c r="S12786">
        <v>7959</v>
      </c>
    </row>
    <row r="12787" spans="1:19">
      <c r="A12787" t="s">
        <v>142</v>
      </c>
      <c r="B12787" t="s">
        <v>150</v>
      </c>
      <c r="C12787" t="s">
        <v>274</v>
      </c>
      <c r="D12787" t="s">
        <v>403</v>
      </c>
      <c r="F12787">
        <f>HYPERLINK("https://www.wikidata.org/wiki/Q28494840", "Q28494840")</f>
        <v>0</v>
      </c>
      <c r="G12787" t="s">
        <v>1018</v>
      </c>
      <c r="H12787" t="s">
        <v>5768</v>
      </c>
      <c r="I12787" t="s">
        <v>5528</v>
      </c>
      <c r="J12787" t="s">
        <v>11755</v>
      </c>
      <c r="K12787" t="s">
        <v>16032</v>
      </c>
      <c r="L12787">
        <f>HYPERLINK("https://www2.assemblee-nationale.fr/sycomore/fiche/(num_dept)/5699", "5699")</f>
        <v>0</v>
      </c>
      <c r="M12787">
        <f>HYPERLINK("https://www.senat.fr/senateur-3eme-republique/pasqual_leon1381r3.html", "pasqual_leon1381r3")</f>
        <v>0</v>
      </c>
      <c r="N12787">
        <f>HYPERLINK("https://www.wikidata.org/wiki/Q3271250", "Q3271250")</f>
        <v>0</v>
      </c>
      <c r="O12787" t="s">
        <v>20013</v>
      </c>
      <c r="Q12787" t="s">
        <v>403</v>
      </c>
      <c r="R12787" t="s">
        <v>16032</v>
      </c>
      <c r="S12787">
        <v>1154</v>
      </c>
    </row>
    <row r="12788" spans="1:19">
      <c r="A12788" t="s">
        <v>142</v>
      </c>
      <c r="B12788" t="s">
        <v>150</v>
      </c>
      <c r="C12788" t="s">
        <v>274</v>
      </c>
      <c r="D12788" t="s">
        <v>403</v>
      </c>
      <c r="F12788">
        <f>HYPERLINK("https://www.wikidata.org/wiki/Q28494840", "Q28494840")</f>
        <v>0</v>
      </c>
      <c r="G12788" t="s">
        <v>753</v>
      </c>
      <c r="H12788" t="s">
        <v>5511</v>
      </c>
      <c r="I12788" t="s">
        <v>9510</v>
      </c>
      <c r="J12788" t="s">
        <v>11501</v>
      </c>
      <c r="K12788" t="s">
        <v>15904</v>
      </c>
      <c r="L12788">
        <f>HYPERLINK("https://www2.assemblee-nationale.fr/sycomore/fiche/(num_dept)/5759", "5759")</f>
        <v>0</v>
      </c>
      <c r="M12788">
        <f>HYPERLINK("https://www.senat.fr/senateur-3eme-republique/pelisse_paul0240r3.html", "pelisse_paul0240r3")</f>
        <v>0</v>
      </c>
      <c r="N12788">
        <f>HYPERLINK("https://www.wikidata.org/wiki/Q3371975", "Q3371975")</f>
        <v>0</v>
      </c>
      <c r="O12788" t="s">
        <v>7411</v>
      </c>
      <c r="Q12788" t="s">
        <v>403</v>
      </c>
      <c r="R12788" t="s">
        <v>16357</v>
      </c>
      <c r="S12788">
        <v>3291</v>
      </c>
    </row>
    <row r="12789" spans="1:19">
      <c r="A12789" t="s">
        <v>142</v>
      </c>
      <c r="B12789" t="s">
        <v>150</v>
      </c>
      <c r="C12789" t="s">
        <v>274</v>
      </c>
      <c r="D12789" t="s">
        <v>403</v>
      </c>
      <c r="F12789">
        <f>HYPERLINK("https://www.wikidata.org/wiki/Q28494840", "Q28494840")</f>
        <v>0</v>
      </c>
      <c r="G12789" t="s">
        <v>1026</v>
      </c>
      <c r="H12789" t="s">
        <v>5776</v>
      </c>
      <c r="I12789" t="s">
        <v>5528</v>
      </c>
      <c r="J12789" t="s">
        <v>11763</v>
      </c>
      <c r="K12789" t="s">
        <v>16164</v>
      </c>
      <c r="L12789">
        <f>HYPERLINK("https://www2.assemblee-nationale.fr/sycomore/fiche/(num_dept)/5811", "5811")</f>
        <v>0</v>
      </c>
      <c r="M12789">
        <f>HYPERLINK("https://www.senat.fr/senateur-3eme-republique/perrier_leon1193r3.html", "perrier_leon1193r3")</f>
        <v>0</v>
      </c>
      <c r="N12789">
        <f>HYPERLINK("https://www.wikidata.org/wiki/Q3271259", "Q3271259")</f>
        <v>0</v>
      </c>
      <c r="O12789" t="s">
        <v>20006</v>
      </c>
      <c r="Q12789" t="s">
        <v>403</v>
      </c>
      <c r="R12789" t="s">
        <v>16357</v>
      </c>
      <c r="S12789">
        <v>3291</v>
      </c>
    </row>
    <row r="12790" spans="1:19">
      <c r="A12790" t="s">
        <v>142</v>
      </c>
      <c r="B12790" t="s">
        <v>150</v>
      </c>
      <c r="C12790" t="s">
        <v>274</v>
      </c>
      <c r="D12790" t="s">
        <v>403</v>
      </c>
      <c r="F12790">
        <f>HYPERLINK("https://www.wikidata.org/wiki/Q28494840", "Q28494840")</f>
        <v>0</v>
      </c>
      <c r="G12790" t="s">
        <v>759</v>
      </c>
      <c r="H12790" t="s">
        <v>5517</v>
      </c>
      <c r="I12790" t="s">
        <v>6860</v>
      </c>
      <c r="J12790" t="s">
        <v>11507</v>
      </c>
      <c r="K12790" t="s">
        <v>15910</v>
      </c>
      <c r="L12790">
        <f>HYPERLINK("https://www2.assemblee-nationale.fr/sycomore/fiche/(num_dept)/5903", "5903")</f>
        <v>0</v>
      </c>
      <c r="M12790">
        <f>HYPERLINK("https://www.senat.fr/senateur-3eme-republique/pichery_pierre0386r3.html", "pichery_pierre0386r3")</f>
        <v>0</v>
      </c>
      <c r="N12790">
        <f>HYPERLINK("https://www.wikidata.org/wiki/Q3386607", "Q3386607")</f>
        <v>0</v>
      </c>
      <c r="O12790" t="s">
        <v>20039</v>
      </c>
      <c r="Q12790" t="s">
        <v>403</v>
      </c>
      <c r="R12790" t="s">
        <v>16357</v>
      </c>
      <c r="S12790">
        <v>3291</v>
      </c>
    </row>
    <row r="12791" spans="1:19">
      <c r="A12791" t="s">
        <v>142</v>
      </c>
      <c r="B12791" t="s">
        <v>150</v>
      </c>
      <c r="C12791" t="s">
        <v>274</v>
      </c>
      <c r="D12791" t="s">
        <v>403</v>
      </c>
      <c r="F12791">
        <f>HYPERLINK("https://www.wikidata.org/wiki/Q28494840", "Q28494840")</f>
        <v>0</v>
      </c>
      <c r="G12791" t="s">
        <v>3369</v>
      </c>
      <c r="H12791" t="s">
        <v>7766</v>
      </c>
      <c r="I12791" t="s">
        <v>9692</v>
      </c>
      <c r="J12791" t="s">
        <v>13981</v>
      </c>
      <c r="K12791" t="s">
        <v>18349</v>
      </c>
      <c r="L12791">
        <f>HYPERLINK("https://www2.assemblee-nationale.fr/sycomore/fiche/(num_dept)/5994", "5994")</f>
        <v>0</v>
      </c>
      <c r="M12791">
        <f>HYPERLINK("https://www.senat.fr/senateur-3eme-republique/poincare_raymond1024r3.html", "poincare_raymond1024r3")</f>
        <v>0</v>
      </c>
      <c r="N12791">
        <f>HYPERLINK("https://www.wikidata.org/wiki/Q191974", "Q191974")</f>
        <v>0</v>
      </c>
      <c r="O12791" t="s">
        <v>20030</v>
      </c>
      <c r="Q12791" t="s">
        <v>403</v>
      </c>
      <c r="R12791" t="s">
        <v>16357</v>
      </c>
      <c r="S12791">
        <v>3291</v>
      </c>
    </row>
    <row r="12792" spans="1:19">
      <c r="A12792" t="s">
        <v>142</v>
      </c>
      <c r="B12792" t="s">
        <v>150</v>
      </c>
      <c r="C12792" t="s">
        <v>274</v>
      </c>
      <c r="D12792" t="s">
        <v>403</v>
      </c>
      <c r="F12792">
        <f>HYPERLINK("https://www.wikidata.org/wiki/Q28494840", "Q28494840")</f>
        <v>0</v>
      </c>
      <c r="G12792" t="s">
        <v>1032</v>
      </c>
      <c r="H12792" t="s">
        <v>5781</v>
      </c>
      <c r="I12792" t="s">
        <v>9457</v>
      </c>
      <c r="J12792" t="s">
        <v>11769</v>
      </c>
      <c r="K12792" t="s">
        <v>16170</v>
      </c>
      <c r="L12792">
        <f>HYPERLINK("https://www2.assemblee-nationale.fr/sycomore/fiche/(num_dept)/6171", "6171")</f>
        <v>0</v>
      </c>
      <c r="M12792">
        <f>HYPERLINK("https://www.senat.fr/senateur-3eme-republique/roy_henri0510r3.html", "roy_henri0510r3")</f>
        <v>0</v>
      </c>
      <c r="N12792">
        <f>HYPERLINK("https://www.wikidata.org/wiki/Q3131955", "Q3131955")</f>
        <v>0</v>
      </c>
      <c r="O12792" t="s">
        <v>19958</v>
      </c>
      <c r="Q12792" t="s">
        <v>403</v>
      </c>
      <c r="R12792" t="s">
        <v>16357</v>
      </c>
      <c r="S12792">
        <v>3291</v>
      </c>
    </row>
    <row r="12793" spans="1:19">
      <c r="A12793" t="s">
        <v>142</v>
      </c>
      <c r="B12793" t="s">
        <v>150</v>
      </c>
      <c r="C12793" t="s">
        <v>274</v>
      </c>
      <c r="D12793" t="s">
        <v>403</v>
      </c>
      <c r="F12793">
        <f>HYPERLINK("https://www.wikidata.org/wiki/Q28494840", "Q28494840")</f>
        <v>0</v>
      </c>
      <c r="G12793" t="s">
        <v>789</v>
      </c>
      <c r="H12793" t="s">
        <v>5546</v>
      </c>
      <c r="I12793" t="s">
        <v>9524</v>
      </c>
      <c r="J12793" t="s">
        <v>11536</v>
      </c>
      <c r="K12793" t="s">
        <v>15940</v>
      </c>
      <c r="L12793">
        <f>HYPERLINK("https://www2.assemblee-nationale.fr/sycomore/fiche/(num_dept)/6433", "6433")</f>
        <v>0</v>
      </c>
      <c r="M12793">
        <f>HYPERLINK("https://www.senat.fr/senateur-3eme-republique/porteu_andre0542r3.html", "porteu_andre0542r3")</f>
        <v>0</v>
      </c>
      <c r="N12793">
        <f>HYPERLINK("https://www.wikidata.org/wiki/Q2848467", "Q2848467")</f>
        <v>0</v>
      </c>
      <c r="O12793" t="s">
        <v>19998</v>
      </c>
      <c r="Q12793" t="s">
        <v>403</v>
      </c>
      <c r="R12793" t="s">
        <v>21650</v>
      </c>
      <c r="S12793">
        <v>7959</v>
      </c>
    </row>
    <row r="12794" spans="1:19">
      <c r="A12794" t="s">
        <v>142</v>
      </c>
      <c r="B12794" t="s">
        <v>150</v>
      </c>
      <c r="C12794" t="s">
        <v>274</v>
      </c>
      <c r="D12794" t="s">
        <v>403</v>
      </c>
      <c r="F12794">
        <f>HYPERLINK("https://www.wikidata.org/wiki/Q28494840", "Q28494840")</f>
        <v>0</v>
      </c>
      <c r="G12794" t="s">
        <v>796</v>
      </c>
      <c r="H12794" t="s">
        <v>5553</v>
      </c>
      <c r="I12794" t="s">
        <v>9527</v>
      </c>
      <c r="J12794" t="s">
        <v>11543</v>
      </c>
      <c r="K12794" t="s">
        <v>15947</v>
      </c>
      <c r="L12794">
        <f>HYPERLINK("https://www2.assemblee-nationale.fr/sycomore/fiche/(num_dept)/6567", "6567")</f>
        <v>0</v>
      </c>
      <c r="M12794">
        <f>HYPERLINK("https://www.senat.fr/senateur-3eme-republique/rabier_fernand0501r3.html", "rabier_fernand0501r3")</f>
        <v>0</v>
      </c>
      <c r="N12794">
        <f>HYPERLINK("https://www.wikidata.org/wiki/Q3069308", "Q3069308")</f>
        <v>0</v>
      </c>
      <c r="O12794" t="s">
        <v>19958</v>
      </c>
      <c r="Q12794" t="s">
        <v>403</v>
      </c>
      <c r="R12794" t="s">
        <v>16357</v>
      </c>
      <c r="S12794">
        <v>3291</v>
      </c>
    </row>
    <row r="12795" spans="1:19">
      <c r="A12795" t="s">
        <v>142</v>
      </c>
      <c r="B12795" t="s">
        <v>150</v>
      </c>
      <c r="C12795" t="s">
        <v>274</v>
      </c>
      <c r="D12795" t="s">
        <v>403</v>
      </c>
      <c r="F12795">
        <f>HYPERLINK("https://www.wikidata.org/wiki/Q28494840", "Q28494840")</f>
        <v>0</v>
      </c>
      <c r="G12795" t="s">
        <v>1305</v>
      </c>
      <c r="H12795" t="s">
        <v>6026</v>
      </c>
      <c r="I12795" t="s">
        <v>9741</v>
      </c>
      <c r="J12795" t="s">
        <v>12035</v>
      </c>
      <c r="K12795" t="s">
        <v>16436</v>
      </c>
      <c r="L12795">
        <f>HYPERLINK("https://www2.assemblee-nationale.fr/sycomore/fiche/(num_dept)/6585", "6585")</f>
        <v>0</v>
      </c>
      <c r="M12795">
        <f>HYPERLINK("https://www.senat.fr/senateur-3eme-republique/rajon_claude1188r3.html", "rajon_claude1188r3")</f>
        <v>0</v>
      </c>
      <c r="N12795">
        <f>HYPERLINK("https://www.wikidata.org/wiki/Q2978029", "Q2978029")</f>
        <v>0</v>
      </c>
      <c r="O12795" t="s">
        <v>20006</v>
      </c>
      <c r="Q12795" t="s">
        <v>403</v>
      </c>
      <c r="R12795" t="s">
        <v>21650</v>
      </c>
      <c r="S12795">
        <v>7959</v>
      </c>
    </row>
    <row r="12796" spans="1:19">
      <c r="A12796" t="s">
        <v>142</v>
      </c>
      <c r="B12796" t="s">
        <v>150</v>
      </c>
      <c r="C12796" t="s">
        <v>274</v>
      </c>
      <c r="D12796" t="s">
        <v>403</v>
      </c>
      <c r="F12796">
        <f>HYPERLINK("https://www.wikidata.org/wiki/Q28494840", "Q28494840")</f>
        <v>0</v>
      </c>
      <c r="G12796" t="s">
        <v>1047</v>
      </c>
      <c r="H12796" t="s">
        <v>5795</v>
      </c>
      <c r="I12796" t="s">
        <v>9641</v>
      </c>
      <c r="J12796" t="s">
        <v>11784</v>
      </c>
      <c r="K12796" t="s">
        <v>16185</v>
      </c>
      <c r="L12796">
        <f>HYPERLINK("https://www2.assemblee-nationale.fr/sycomore/fiche/(num_dept)/6641", "6641")</f>
        <v>0</v>
      </c>
      <c r="M12796">
        <f>HYPERLINK("https://www.senat.fr/senateur-3eme-republique/reboul_camille0252r3.html", "reboul_camille0252r3")</f>
        <v>0</v>
      </c>
      <c r="N12796">
        <f>HYPERLINK("https://www.wikidata.org/wiki/Q2935052", "Q2935052")</f>
        <v>0</v>
      </c>
      <c r="O12796" t="s">
        <v>7411</v>
      </c>
      <c r="Q12796" t="s">
        <v>403</v>
      </c>
      <c r="R12796" t="s">
        <v>16357</v>
      </c>
      <c r="S12796">
        <v>3291</v>
      </c>
    </row>
    <row r="12797" spans="1:19">
      <c r="A12797" t="s">
        <v>142</v>
      </c>
      <c r="B12797" t="s">
        <v>150</v>
      </c>
      <c r="C12797" t="s">
        <v>274</v>
      </c>
      <c r="D12797" t="s">
        <v>403</v>
      </c>
      <c r="F12797">
        <f>HYPERLINK("https://www.wikidata.org/wiki/Q28494840", "Q28494840")</f>
        <v>0</v>
      </c>
      <c r="G12797" t="s">
        <v>1621</v>
      </c>
      <c r="H12797" t="s">
        <v>6306</v>
      </c>
      <c r="I12797" t="s">
        <v>9426</v>
      </c>
      <c r="J12797" t="s">
        <v>12328</v>
      </c>
      <c r="K12797" t="s">
        <v>16738</v>
      </c>
      <c r="L12797">
        <f>HYPERLINK("https://www2.assemblee-nationale.fr/sycomore/fiche/(num_dept)/6781", "6781")</f>
        <v>0</v>
      </c>
      <c r="M12797">
        <f>HYPERLINK("https://www.senat.fr/senateur-3eme-republique/rio_alphonse0903r3.html", "rio_alphonse0903r3")</f>
        <v>0</v>
      </c>
      <c r="N12797">
        <f>HYPERLINK("https://www.wikidata.org/wiki/Q2839950", "Q2839950")</f>
        <v>0</v>
      </c>
      <c r="O12797" t="s">
        <v>19961</v>
      </c>
      <c r="Q12797" t="s">
        <v>403</v>
      </c>
      <c r="R12797" t="s">
        <v>16357</v>
      </c>
      <c r="S12797">
        <v>3291</v>
      </c>
    </row>
    <row r="12798" spans="1:19">
      <c r="A12798" t="s">
        <v>142</v>
      </c>
      <c r="B12798" t="s">
        <v>150</v>
      </c>
      <c r="C12798" t="s">
        <v>274</v>
      </c>
      <c r="D12798" t="s">
        <v>403</v>
      </c>
      <c r="F12798">
        <f>HYPERLINK("https://www.wikidata.org/wiki/Q28494840", "Q28494840")</f>
        <v>0</v>
      </c>
      <c r="G12798" t="s">
        <v>2674</v>
      </c>
      <c r="H12798" t="s">
        <v>7209</v>
      </c>
      <c r="I12798" t="s">
        <v>10355</v>
      </c>
      <c r="J12798" t="s">
        <v>13315</v>
      </c>
      <c r="K12798" t="s">
        <v>17715</v>
      </c>
      <c r="L12798">
        <f>HYPERLINK("https://www2.assemblee-nationale.fr/sycomore/fiche/(num_dept)/6782", "6782")</f>
        <v>0</v>
      </c>
      <c r="M12798">
        <f>HYPERLINK("https://www.senat.fr/senateur-3eme-republique/riotteau_emile1031r3.html", "riotteau_emile1031r3")</f>
        <v>0</v>
      </c>
      <c r="N12798">
        <f>HYPERLINK("https://www.wikidata.org/wiki/Q3588719", "Q3588719")</f>
        <v>0</v>
      </c>
      <c r="O12798" t="s">
        <v>19985</v>
      </c>
      <c r="Q12798" t="s">
        <v>403</v>
      </c>
      <c r="R12798" t="s">
        <v>21650</v>
      </c>
      <c r="S12798">
        <v>7959</v>
      </c>
    </row>
    <row r="12799" spans="1:19">
      <c r="A12799" t="s">
        <v>142</v>
      </c>
      <c r="B12799" t="s">
        <v>150</v>
      </c>
      <c r="C12799" t="s">
        <v>274</v>
      </c>
      <c r="D12799" t="s">
        <v>403</v>
      </c>
      <c r="F12799">
        <f>HYPERLINK("https://www.wikidata.org/wiki/Q28494840", "Q28494840")</f>
        <v>0</v>
      </c>
      <c r="G12799" t="s">
        <v>1064</v>
      </c>
      <c r="H12799" t="s">
        <v>5810</v>
      </c>
      <c r="I12799" t="s">
        <v>9650</v>
      </c>
      <c r="J12799" t="s">
        <v>11801</v>
      </c>
      <c r="K12799" t="s">
        <v>16201</v>
      </c>
      <c r="L12799">
        <f>HYPERLINK("https://www2.assemblee-nationale.fr/sycomore/fiche/(num_dept)/7115", "7115")</f>
        <v>0</v>
      </c>
      <c r="M12799">
        <f>HYPERLINK("https://www.senat.fr/senateur-3eme-republique/tournan_isidore0158r3.html", "tournan_isidore0158r3")</f>
        <v>0</v>
      </c>
      <c r="N12799">
        <f>HYPERLINK("https://www.wikidata.org/wiki/Q3155332", "Q3155332")</f>
        <v>0</v>
      </c>
      <c r="O12799" t="s">
        <v>20003</v>
      </c>
      <c r="Q12799" t="s">
        <v>403</v>
      </c>
      <c r="R12799" t="s">
        <v>16357</v>
      </c>
      <c r="S12799">
        <v>3291</v>
      </c>
    </row>
    <row r="12800" spans="1:19">
      <c r="A12800" t="s">
        <v>142</v>
      </c>
      <c r="B12800" t="s">
        <v>150</v>
      </c>
      <c r="C12800" t="s">
        <v>274</v>
      </c>
      <c r="D12800" t="s">
        <v>403</v>
      </c>
      <c r="F12800">
        <f>HYPERLINK("https://www.wikidata.org/wiki/Q28494840", "Q28494840")</f>
        <v>0</v>
      </c>
      <c r="G12800" t="s">
        <v>846</v>
      </c>
      <c r="H12800" t="s">
        <v>5603</v>
      </c>
      <c r="I12800" t="s">
        <v>6584</v>
      </c>
      <c r="J12800" t="s">
        <v>11593</v>
      </c>
      <c r="K12800" t="s">
        <v>15784</v>
      </c>
      <c r="L12800">
        <f>HYPERLINK("https://www2.assemblee-nationale.fr/sycomore/fiche/(num_dept)/7652", "7652")</f>
        <v>0</v>
      </c>
      <c r="M12800">
        <f>HYPERLINK("https://www.senat.fr/senateur-3eme-republique/lebrun_albert0945r3.html", "lebrun_albert0945r3")</f>
        <v>0</v>
      </c>
      <c r="N12800">
        <f>HYPERLINK("https://www.wikidata.org/wiki/Q158749", "Q158749")</f>
        <v>0</v>
      </c>
      <c r="O12800" t="s">
        <v>20007</v>
      </c>
      <c r="Q12800" t="s">
        <v>403</v>
      </c>
      <c r="R12800" t="s">
        <v>21650</v>
      </c>
      <c r="S12800">
        <v>7959</v>
      </c>
    </row>
    <row r="12801" spans="1:19">
      <c r="A12801" t="s">
        <v>142</v>
      </c>
      <c r="B12801" t="s">
        <v>150</v>
      </c>
      <c r="C12801" t="s">
        <v>274</v>
      </c>
      <c r="D12801" t="s">
        <v>403</v>
      </c>
      <c r="F12801">
        <f>HYPERLINK("https://www.wikidata.org/wiki/Q28494840", "Q28494840")</f>
        <v>0</v>
      </c>
      <c r="G12801" t="s">
        <v>1661</v>
      </c>
      <c r="H12801" t="s">
        <v>6344</v>
      </c>
      <c r="I12801" t="s">
        <v>6175</v>
      </c>
      <c r="J12801" t="s">
        <v>12368</v>
      </c>
      <c r="K12801" t="s">
        <v>16775</v>
      </c>
      <c r="L12801">
        <f>HYPERLINK("https://www2.assemblee-nationale.fr/sycomore/fiche/(num_dept)/7669", "7669")</f>
        <v>0</v>
      </c>
      <c r="M12801">
        <f>HYPERLINK("https://www.senat.fr/senateur-3eme-republique/lecourtier_georges1026r3.html", "lecourtier_georges1026r3")</f>
        <v>0</v>
      </c>
      <c r="N12801">
        <f>HYPERLINK("https://www.wikidata.org/wiki/Q3103064", "Q3103064")</f>
        <v>0</v>
      </c>
      <c r="O12801" t="s">
        <v>20030</v>
      </c>
      <c r="Q12801" t="s">
        <v>403</v>
      </c>
      <c r="R12801" t="s">
        <v>16357</v>
      </c>
      <c r="S12801">
        <v>3291</v>
      </c>
    </row>
    <row r="12802" spans="1:19">
      <c r="A12802" t="s">
        <v>142</v>
      </c>
      <c r="B12802" t="s">
        <v>150</v>
      </c>
      <c r="C12802" t="s">
        <v>274</v>
      </c>
      <c r="D12802" t="s">
        <v>403</v>
      </c>
      <c r="F12802">
        <f>HYPERLINK("https://www.wikidata.org/wiki/Q28494840", "Q28494840")</f>
        <v>0</v>
      </c>
      <c r="G12802" t="s">
        <v>3946</v>
      </c>
      <c r="H12802" t="s">
        <v>8198</v>
      </c>
      <c r="I12802" t="s">
        <v>9407</v>
      </c>
      <c r="J12802" t="s">
        <v>12003</v>
      </c>
      <c r="K12802" t="s">
        <v>18847</v>
      </c>
      <c r="L12802">
        <f>HYPERLINK("https://www2.assemblee-nationale.fr/sycomore/fiche/(num_dept)/7720", "7720")</f>
        <v>0</v>
      </c>
      <c r="M12802">
        <f>HYPERLINK("https://www.senat.fr/senateur-3eme-republique/leglos_joseph0273r3.html", "leglos_joseph0273r3")</f>
        <v>0</v>
      </c>
      <c r="N12802">
        <f>HYPERLINK("https://www.wikidata.org/wiki/Q3185240", "Q3185240")</f>
        <v>0</v>
      </c>
      <c r="O12802" t="s">
        <v>19975</v>
      </c>
      <c r="Q12802" t="s">
        <v>403</v>
      </c>
      <c r="R12802" t="s">
        <v>21650</v>
      </c>
      <c r="S12802">
        <v>7959</v>
      </c>
    </row>
    <row r="12803" spans="1:19">
      <c r="A12803" t="s">
        <v>142</v>
      </c>
      <c r="B12803" t="s">
        <v>150</v>
      </c>
      <c r="C12803" t="s">
        <v>274</v>
      </c>
      <c r="D12803" t="s">
        <v>403</v>
      </c>
      <c r="F12803">
        <f>HYPERLINK("https://www.wikidata.org/wiki/Q28494840", "Q28494840")</f>
        <v>0</v>
      </c>
      <c r="G12803" t="s">
        <v>3194</v>
      </c>
      <c r="H12803" t="s">
        <v>7623</v>
      </c>
      <c r="I12803" t="s">
        <v>9445</v>
      </c>
      <c r="J12803" t="s">
        <v>13815</v>
      </c>
      <c r="K12803" t="s">
        <v>18190</v>
      </c>
      <c r="L12803">
        <f>HYPERLINK("https://www2.assemblee-nationale.fr/sycomore/fiche/(num_dept)/7952", "7952")</f>
        <v>0</v>
      </c>
      <c r="M12803">
        <f>HYPERLINK("https://www.senat.fr/senateur-3eme-republique/gaudin_de_villaine_adrien1041r3.html", "gaudin_de_villaine_adrien1041r3")</f>
        <v>0</v>
      </c>
      <c r="N12803">
        <f>HYPERLINK("https://www.wikidata.org/wiki/Q2825178", "Q2825178")</f>
        <v>0</v>
      </c>
      <c r="O12803" t="s">
        <v>19985</v>
      </c>
      <c r="Q12803" t="s">
        <v>403</v>
      </c>
      <c r="R12803" t="s">
        <v>21650</v>
      </c>
      <c r="S12803">
        <v>7959</v>
      </c>
    </row>
    <row r="12804" spans="1:19">
      <c r="A12804" t="s">
        <v>142</v>
      </c>
      <c r="B12804" t="s">
        <v>150</v>
      </c>
      <c r="C12804" t="s">
        <v>274</v>
      </c>
      <c r="D12804" t="s">
        <v>403</v>
      </c>
      <c r="F12804">
        <f>HYPERLINK("https://www.wikidata.org/wiki/Q28494840", "Q28494840")</f>
        <v>0</v>
      </c>
      <c r="G12804" t="s">
        <v>1676</v>
      </c>
      <c r="H12804" t="s">
        <v>6356</v>
      </c>
      <c r="I12804" t="s">
        <v>9879</v>
      </c>
      <c r="J12804" t="s">
        <v>11862</v>
      </c>
      <c r="K12804" t="s">
        <v>16790</v>
      </c>
      <c r="L12804">
        <f>HYPERLINK("https://www2.assemblee-nationale.fr/sycomore/fiche/(num_dept)/9981", "9981")</f>
        <v>0</v>
      </c>
      <c r="M12804">
        <f>HYPERLINK("https://www.senat.fr/senateur-3eme-republique/clerc_fernand0702r3.html", "clerc_fernand0702r3")</f>
        <v>0</v>
      </c>
      <c r="N12804">
        <f>HYPERLINK("https://www.wikidata.org/wiki/Q3069089", "Q3069089")</f>
        <v>0</v>
      </c>
      <c r="O12804" t="s">
        <v>20035</v>
      </c>
      <c r="Q12804" t="s">
        <v>403</v>
      </c>
      <c r="R12804" t="s">
        <v>21713</v>
      </c>
      <c r="S12804">
        <v>60</v>
      </c>
    </row>
    <row r="12805" spans="1:19">
      <c r="A12805" t="s">
        <v>142</v>
      </c>
      <c r="B12805" t="s">
        <v>150</v>
      </c>
      <c r="C12805" t="s">
        <v>274</v>
      </c>
      <c r="D12805" t="s">
        <v>403</v>
      </c>
      <c r="F12805">
        <f>HYPERLINK("https://www.wikidata.org/wiki/Q28494840", "Q28494840")</f>
        <v>0</v>
      </c>
      <c r="G12805" t="s">
        <v>4280</v>
      </c>
      <c r="H12805" t="s">
        <v>8441</v>
      </c>
      <c r="I12805" t="s">
        <v>9437</v>
      </c>
      <c r="J12805" t="s">
        <v>14779</v>
      </c>
      <c r="K12805" t="s">
        <v>19126</v>
      </c>
      <c r="M12805">
        <f>HYPERLINK("https://www.senat.fr/senateur-3eme-republique/lisbonne_emile0723r3.html", "lisbonne_emile0723r3")</f>
        <v>0</v>
      </c>
      <c r="N12805">
        <f>HYPERLINK("https://www.wikidata.org/wiki/Q3588624", "Q3588624")</f>
        <v>0</v>
      </c>
      <c r="O12805" t="s">
        <v>20044</v>
      </c>
      <c r="Q12805" t="s">
        <v>403</v>
      </c>
      <c r="R12805" t="s">
        <v>21705</v>
      </c>
      <c r="S12805">
        <v>2199</v>
      </c>
    </row>
    <row r="12806" spans="1:19">
      <c r="A12806" t="s">
        <v>142</v>
      </c>
      <c r="B12806" t="s">
        <v>150</v>
      </c>
      <c r="C12806" t="s">
        <v>274</v>
      </c>
      <c r="D12806" t="s">
        <v>403</v>
      </c>
      <c r="F12806">
        <f>HYPERLINK("https://www.wikidata.org/wiki/Q28494840", "Q28494840")</f>
        <v>0</v>
      </c>
      <c r="G12806" t="s">
        <v>5002</v>
      </c>
      <c r="H12806" t="s">
        <v>9135</v>
      </c>
      <c r="I12806" t="s">
        <v>6200</v>
      </c>
      <c r="J12806" t="s">
        <v>15432</v>
      </c>
      <c r="K12806" t="s">
        <v>19735</v>
      </c>
      <c r="M12806">
        <f>HYPERLINK("https://www.senat.fr/senateur-3eme-republique/philip_jean0155r3.html", "philip_jean0155r3")</f>
        <v>0</v>
      </c>
      <c r="N12806">
        <f>HYPERLINK("https://www.wikidata.org/wiki/Q3173958", "Q3173958")</f>
        <v>0</v>
      </c>
      <c r="O12806" t="s">
        <v>20003</v>
      </c>
      <c r="Q12806" t="s">
        <v>403</v>
      </c>
      <c r="R12806" t="s">
        <v>16357</v>
      </c>
      <c r="S12806">
        <v>3291</v>
      </c>
    </row>
    <row r="12807" spans="1:19">
      <c r="A12807" t="s">
        <v>142</v>
      </c>
      <c r="B12807" t="s">
        <v>150</v>
      </c>
      <c r="C12807" t="s">
        <v>274</v>
      </c>
      <c r="D12807" t="s">
        <v>403</v>
      </c>
      <c r="F12807">
        <f>HYPERLINK("https://www.wikidata.org/wiki/Q28494840", "Q28494840")</f>
        <v>0</v>
      </c>
      <c r="G12807" t="s">
        <v>5005</v>
      </c>
      <c r="H12807" t="s">
        <v>9138</v>
      </c>
      <c r="I12807" t="s">
        <v>9465</v>
      </c>
      <c r="J12807" t="s">
        <v>15435</v>
      </c>
      <c r="K12807" t="s">
        <v>19738</v>
      </c>
      <c r="M12807">
        <f>HYPERLINK("https://www.senat.fr/senateur-3eme-republique/buhan_eugene0218r3.html", "buhan_eugene0218r3")</f>
        <v>0</v>
      </c>
      <c r="N12807">
        <f>HYPERLINK("https://www.wikidata.org/wiki/Q3059753", "Q3059753")</f>
        <v>0</v>
      </c>
      <c r="O12807" t="s">
        <v>19987</v>
      </c>
      <c r="Q12807" t="s">
        <v>403</v>
      </c>
      <c r="R12807" t="s">
        <v>21650</v>
      </c>
      <c r="S12807">
        <v>7959</v>
      </c>
    </row>
    <row r="12808" spans="1:19">
      <c r="A12808" t="s">
        <v>142</v>
      </c>
      <c r="B12808" t="s">
        <v>150</v>
      </c>
      <c r="C12808" t="s">
        <v>274</v>
      </c>
      <c r="D12808" t="s">
        <v>403</v>
      </c>
      <c r="F12808">
        <f>HYPERLINK("https://www.wikidata.org/wiki/Q28494840", "Q28494840")</f>
        <v>0</v>
      </c>
      <c r="G12808" t="s">
        <v>5096</v>
      </c>
      <c r="H12808" t="s">
        <v>9224</v>
      </c>
      <c r="I12808" t="s">
        <v>7790</v>
      </c>
      <c r="J12808" t="s">
        <v>15510</v>
      </c>
      <c r="K12808" t="s">
        <v>19812</v>
      </c>
      <c r="M12808">
        <f>HYPERLINK("https://www.senat.fr/senateur-3eme-republique/calmel_armand0209r3.html", "calmel_armand0209r3")</f>
        <v>0</v>
      </c>
      <c r="N12808">
        <f>HYPERLINK("https://www.wikidata.org/wiki/Q2861790", "Q2861790")</f>
        <v>0</v>
      </c>
      <c r="O12808" t="s">
        <v>19987</v>
      </c>
      <c r="Q12808" t="s">
        <v>403</v>
      </c>
      <c r="R12808" t="s">
        <v>16357</v>
      </c>
      <c r="S12808">
        <v>3291</v>
      </c>
    </row>
    <row r="12809" spans="1:19">
      <c r="A12809" t="s">
        <v>142</v>
      </c>
      <c r="B12809" t="s">
        <v>150</v>
      </c>
      <c r="C12809" t="s">
        <v>274</v>
      </c>
      <c r="D12809" t="s">
        <v>403</v>
      </c>
      <c r="F12809">
        <f>HYPERLINK("https://www.wikidata.org/wiki/Q28494840", "Q28494840")</f>
        <v>0</v>
      </c>
      <c r="G12809" t="s">
        <v>5097</v>
      </c>
      <c r="H12809" t="s">
        <v>9225</v>
      </c>
      <c r="I12809" t="s">
        <v>9606</v>
      </c>
      <c r="J12809" t="s">
        <v>15511</v>
      </c>
      <c r="K12809" t="s">
        <v>19813</v>
      </c>
      <c r="M12809">
        <f>HYPERLINK("https://www.senat.fr/senateur-3eme-republique/saint_martin_jean_marie0110r3.html", "saint_martin_jean_marie0110r3")</f>
        <v>0</v>
      </c>
      <c r="N12809">
        <f>HYPERLINK("https://www.wikidata.org/wiki/Q3167814", "Q3167814")</f>
        <v>0</v>
      </c>
      <c r="O12809" t="s">
        <v>20016</v>
      </c>
      <c r="Q12809" t="s">
        <v>403</v>
      </c>
      <c r="R12809" t="s">
        <v>19813</v>
      </c>
      <c r="S12809">
        <v>1671</v>
      </c>
    </row>
    <row r="12810" spans="1:19">
      <c r="A12810" t="s">
        <v>142</v>
      </c>
      <c r="B12810" t="s">
        <v>150</v>
      </c>
      <c r="C12810" t="s">
        <v>274</v>
      </c>
      <c r="D12810" t="s">
        <v>403</v>
      </c>
      <c r="F12810">
        <f>HYPERLINK("https://www.wikidata.org/wiki/Q28494840", "Q28494840")</f>
        <v>0</v>
      </c>
      <c r="G12810" t="s">
        <v>5010</v>
      </c>
      <c r="H12810" t="s">
        <v>9143</v>
      </c>
      <c r="I12810" t="s">
        <v>10026</v>
      </c>
      <c r="J12810" t="s">
        <v>12880</v>
      </c>
      <c r="K12810" t="s">
        <v>19743</v>
      </c>
      <c r="M12810">
        <f>HYPERLINK("https://www.senat.fr/senateur-3eme-republique/duchein_fabien0088r3.html", "duchein_fabien0088r3")</f>
        <v>0</v>
      </c>
      <c r="N12810">
        <f>HYPERLINK("https://www.wikidata.org/wiki/Q3063581", "Q3063581")</f>
        <v>0</v>
      </c>
      <c r="O12810" t="s">
        <v>20016</v>
      </c>
      <c r="Q12810" t="s">
        <v>403</v>
      </c>
      <c r="R12810" t="s">
        <v>21650</v>
      </c>
      <c r="S12810">
        <v>7959</v>
      </c>
    </row>
    <row r="12811" spans="1:19">
      <c r="A12811" t="s">
        <v>142</v>
      </c>
      <c r="B12811" t="s">
        <v>150</v>
      </c>
      <c r="C12811" t="s">
        <v>274</v>
      </c>
      <c r="D12811" t="s">
        <v>403</v>
      </c>
      <c r="F12811">
        <f>HYPERLINK("https://www.wikidata.org/wiki/Q28494840", "Q28494840")</f>
        <v>0</v>
      </c>
      <c r="G12811" t="s">
        <v>5098</v>
      </c>
      <c r="H12811" t="s">
        <v>9226</v>
      </c>
      <c r="I12811" t="s">
        <v>9388</v>
      </c>
      <c r="J12811" t="s">
        <v>15455</v>
      </c>
      <c r="K12811" t="s">
        <v>16281</v>
      </c>
      <c r="M12811">
        <f>HYPERLINK("https://www.senat.fr/senateur-3eme-republique/feuga_paul0096r3.html", "feuga_paul0096r3")</f>
        <v>0</v>
      </c>
      <c r="N12811">
        <f>HYPERLINK("https://www.wikidata.org/wiki/Q3371211", "Q3371211")</f>
        <v>0</v>
      </c>
      <c r="O12811" t="s">
        <v>20016</v>
      </c>
      <c r="Q12811" t="s">
        <v>403</v>
      </c>
      <c r="R12811" t="s">
        <v>16357</v>
      </c>
      <c r="S12811">
        <v>3291</v>
      </c>
    </row>
    <row r="12812" spans="1:19">
      <c r="A12812" t="s">
        <v>142</v>
      </c>
      <c r="B12812" t="s">
        <v>150</v>
      </c>
      <c r="C12812" t="s">
        <v>274</v>
      </c>
      <c r="D12812" t="s">
        <v>403</v>
      </c>
      <c r="F12812">
        <f>HYPERLINK("https://www.wikidata.org/wiki/Q28494840", "Q28494840")</f>
        <v>0</v>
      </c>
      <c r="G12812" t="s">
        <v>5011</v>
      </c>
      <c r="H12812" t="s">
        <v>9144</v>
      </c>
      <c r="I12812" t="s">
        <v>9692</v>
      </c>
      <c r="J12812" t="s">
        <v>15439</v>
      </c>
      <c r="K12812" t="s">
        <v>19744</v>
      </c>
      <c r="M12812">
        <f>HYPERLINK("https://www.senat.fr/senateur-3eme-republique/blaignan_raymond0104r3.html", "blaignan_raymond0104r3")</f>
        <v>0</v>
      </c>
      <c r="N12812">
        <f>HYPERLINK("https://www.wikidata.org/wiki/Q3420675", "Q3420675")</f>
        <v>0</v>
      </c>
      <c r="O12812" t="s">
        <v>20016</v>
      </c>
      <c r="Q12812" t="s">
        <v>403</v>
      </c>
      <c r="R12812" t="s">
        <v>21650</v>
      </c>
      <c r="S12812">
        <v>7959</v>
      </c>
    </row>
    <row r="12813" spans="1:19">
      <c r="A12813" t="s">
        <v>142</v>
      </c>
      <c r="B12813" t="s">
        <v>150</v>
      </c>
      <c r="C12813" t="s">
        <v>274</v>
      </c>
      <c r="D12813" t="s">
        <v>403</v>
      </c>
      <c r="F12813">
        <f>HYPERLINK("https://www.wikidata.org/wiki/Q28494840", "Q28494840")</f>
        <v>0</v>
      </c>
      <c r="G12813" t="s">
        <v>5013</v>
      </c>
      <c r="H12813" t="s">
        <v>9146</v>
      </c>
      <c r="I12813" t="s">
        <v>10410</v>
      </c>
      <c r="J12813" t="s">
        <v>14667</v>
      </c>
      <c r="K12813" t="s">
        <v>19746</v>
      </c>
      <c r="M12813">
        <f>HYPERLINK("https://www.senat.fr/senateur-3eme-republique/enjolras_francisque0518r3.html", "enjolras_francisque0518r3")</f>
        <v>0</v>
      </c>
      <c r="N12813">
        <f>HYPERLINK("https://www.wikidata.org/wiki/Q3081999", "Q3081999")</f>
        <v>0</v>
      </c>
      <c r="O12813" t="s">
        <v>19993</v>
      </c>
      <c r="Q12813" t="s">
        <v>403</v>
      </c>
      <c r="R12813" t="s">
        <v>21650</v>
      </c>
      <c r="S12813">
        <v>7959</v>
      </c>
    </row>
    <row r="12814" spans="1:19">
      <c r="A12814" t="s">
        <v>142</v>
      </c>
      <c r="B12814" t="s">
        <v>150</v>
      </c>
      <c r="C12814" t="s">
        <v>274</v>
      </c>
      <c r="D12814" t="s">
        <v>403</v>
      </c>
      <c r="F12814">
        <f>HYPERLINK("https://www.wikidata.org/wiki/Q28494840", "Q28494840")</f>
        <v>0</v>
      </c>
      <c r="G12814" t="s">
        <v>5099</v>
      </c>
      <c r="H12814" t="s">
        <v>9227</v>
      </c>
      <c r="I12814" t="s">
        <v>6542</v>
      </c>
      <c r="J12814" t="s">
        <v>15512</v>
      </c>
      <c r="K12814" t="s">
        <v>19814</v>
      </c>
      <c r="M12814">
        <f>HYPERLINK("https://www.senat.fr/senateur-3eme-republique/martin_binachon_regis0514r3.html", "martin_binachon_regis0514r3")</f>
        <v>0</v>
      </c>
      <c r="N12814">
        <f>HYPERLINK("https://www.wikidata.org/wiki/Q3455758", "Q3455758")</f>
        <v>0</v>
      </c>
      <c r="O12814" t="s">
        <v>19993</v>
      </c>
      <c r="Q12814" t="s">
        <v>403</v>
      </c>
      <c r="R12814" t="s">
        <v>16811</v>
      </c>
      <c r="S12814">
        <v>3205</v>
      </c>
    </row>
    <row r="12815" spans="1:19">
      <c r="A12815" t="s">
        <v>142</v>
      </c>
      <c r="B12815" t="s">
        <v>150</v>
      </c>
      <c r="C12815" t="s">
        <v>274</v>
      </c>
      <c r="D12815" t="s">
        <v>403</v>
      </c>
      <c r="F12815">
        <f>HYPERLINK("https://www.wikidata.org/wiki/Q28494840", "Q28494840")</f>
        <v>0</v>
      </c>
      <c r="G12815" t="s">
        <v>5015</v>
      </c>
      <c r="H12815" t="s">
        <v>9148</v>
      </c>
      <c r="I12815" t="s">
        <v>9389</v>
      </c>
      <c r="J12815" t="s">
        <v>15442</v>
      </c>
      <c r="K12815" t="s">
        <v>19748</v>
      </c>
      <c r="M12815">
        <f>HYPERLINK("https://www.senat.fr/senateur-3eme-republique/humblot_emile0871r3.html", "humblot_emile0871r3")</f>
        <v>0</v>
      </c>
      <c r="N12815">
        <f>HYPERLINK("https://www.wikidata.org/wiki/Q3588567", "Q3588567")</f>
        <v>0</v>
      </c>
      <c r="O12815" t="s">
        <v>20022</v>
      </c>
      <c r="Q12815" t="s">
        <v>403</v>
      </c>
      <c r="R12815" t="s">
        <v>21650</v>
      </c>
      <c r="S12815">
        <v>7959</v>
      </c>
    </row>
    <row r="12816" spans="1:19">
      <c r="A12816" t="s">
        <v>142</v>
      </c>
      <c r="B12816" t="s">
        <v>150</v>
      </c>
      <c r="C12816" t="s">
        <v>274</v>
      </c>
      <c r="D12816" t="s">
        <v>403</v>
      </c>
      <c r="F12816">
        <f>HYPERLINK("https://www.wikidata.org/wiki/Q28494840", "Q28494840")</f>
        <v>0</v>
      </c>
      <c r="G12816" t="s">
        <v>4304</v>
      </c>
      <c r="H12816" t="s">
        <v>8461</v>
      </c>
      <c r="I12816" t="s">
        <v>9437</v>
      </c>
      <c r="J12816" t="s">
        <v>14802</v>
      </c>
      <c r="K12816" t="s">
        <v>19145</v>
      </c>
      <c r="M12816">
        <f>HYPERLINK("https://www.senat.fr/senateur-3eme-republique/cassez_emile0867r3.html", "cassez_emile0867r3")</f>
        <v>0</v>
      </c>
      <c r="N12816">
        <f>HYPERLINK("https://www.wikidata.org/wiki/Q3588397", "Q3588397")</f>
        <v>0</v>
      </c>
      <c r="O12816" t="s">
        <v>20022</v>
      </c>
      <c r="Q12816" t="s">
        <v>403</v>
      </c>
      <c r="R12816" t="s">
        <v>16357</v>
      </c>
      <c r="S12816">
        <v>3291</v>
      </c>
    </row>
    <row r="12817" spans="1:19">
      <c r="A12817" t="s">
        <v>142</v>
      </c>
      <c r="B12817" t="s">
        <v>150</v>
      </c>
      <c r="C12817" t="s">
        <v>274</v>
      </c>
      <c r="D12817" t="s">
        <v>403</v>
      </c>
      <c r="F12817">
        <f>HYPERLINK("https://www.wikidata.org/wiki/Q28494840", "Q28494840")</f>
        <v>0</v>
      </c>
      <c r="G12817" t="s">
        <v>4234</v>
      </c>
      <c r="H12817" t="s">
        <v>8411</v>
      </c>
      <c r="I12817" t="s">
        <v>9593</v>
      </c>
      <c r="J12817" t="s">
        <v>14741</v>
      </c>
      <c r="K12817" t="s">
        <v>19086</v>
      </c>
      <c r="M12817">
        <f>HYPERLINK("https://www.senat.fr/senateur-3eme-republique/roustan_marius0246r3.html", "roustan_marius0246r3")</f>
        <v>0</v>
      </c>
      <c r="N12817">
        <f>HYPERLINK("https://www.wikidata.org/wiki/Q3293852", "Q3293852")</f>
        <v>0</v>
      </c>
      <c r="O12817" t="s">
        <v>7411</v>
      </c>
      <c r="Q12817" t="s">
        <v>403</v>
      </c>
      <c r="R12817" t="s">
        <v>16357</v>
      </c>
      <c r="S12817">
        <v>3291</v>
      </c>
    </row>
    <row r="12818" spans="1:19">
      <c r="A12818" t="s">
        <v>142</v>
      </c>
      <c r="B12818" t="s">
        <v>150</v>
      </c>
      <c r="C12818" t="s">
        <v>274</v>
      </c>
      <c r="D12818" t="s">
        <v>403</v>
      </c>
      <c r="F12818">
        <f>HYPERLINK("https://www.wikidata.org/wiki/Q28494840", "Q28494840")</f>
        <v>0</v>
      </c>
      <c r="G12818" t="s">
        <v>4931</v>
      </c>
      <c r="H12818" t="s">
        <v>9066</v>
      </c>
      <c r="I12818" t="s">
        <v>6495</v>
      </c>
      <c r="J12818" t="s">
        <v>15373</v>
      </c>
      <c r="K12818" t="s">
        <v>19676</v>
      </c>
      <c r="M12818">
        <f>HYPERLINK("https://www.senat.fr/senateur-3eme-republique/lemarie_louis0562r3.html", "lemarie_louis0562r3")</f>
        <v>0</v>
      </c>
      <c r="N12818">
        <f>HYPERLINK("https://www.wikidata.org/wiki/Q3262514", "Q3262514")</f>
        <v>0</v>
      </c>
      <c r="O12818" t="s">
        <v>19998</v>
      </c>
      <c r="Q12818" t="s">
        <v>403</v>
      </c>
      <c r="R12818" t="s">
        <v>21650</v>
      </c>
      <c r="S12818">
        <v>7959</v>
      </c>
    </row>
    <row r="12819" spans="1:19">
      <c r="A12819" t="s">
        <v>142</v>
      </c>
      <c r="B12819" t="s">
        <v>150</v>
      </c>
      <c r="C12819" t="s">
        <v>274</v>
      </c>
      <c r="D12819" t="s">
        <v>403</v>
      </c>
      <c r="F12819">
        <f>HYPERLINK("https://www.wikidata.org/wiki/Q28494840", "Q28494840")</f>
        <v>0</v>
      </c>
      <c r="G12819" t="s">
        <v>4932</v>
      </c>
      <c r="H12819" t="s">
        <v>9067</v>
      </c>
      <c r="I12819" t="s">
        <v>5528</v>
      </c>
      <c r="J12819" t="s">
        <v>15374</v>
      </c>
      <c r="K12819" t="s">
        <v>19677</v>
      </c>
      <c r="M12819">
        <f>HYPERLINK("https://www.senat.fr/senateur-3eme-republique/jenouvrier_leon0560r3.html", "jenouvrier_leon0560r3")</f>
        <v>0</v>
      </c>
      <c r="N12819">
        <f>HYPERLINK("https://www.wikidata.org/wiki/Q3271082", "Q3271082")</f>
        <v>0</v>
      </c>
      <c r="O12819" t="s">
        <v>19998</v>
      </c>
      <c r="Q12819" t="s">
        <v>403</v>
      </c>
      <c r="R12819" t="s">
        <v>21650</v>
      </c>
      <c r="S12819">
        <v>7959</v>
      </c>
    </row>
    <row r="12820" spans="1:19">
      <c r="A12820" t="s">
        <v>142</v>
      </c>
      <c r="B12820" t="s">
        <v>150</v>
      </c>
      <c r="C12820" t="s">
        <v>274</v>
      </c>
      <c r="D12820" t="s">
        <v>403</v>
      </c>
      <c r="F12820">
        <f>HYPERLINK("https://www.wikidata.org/wiki/Q28494840", "Q28494840")</f>
        <v>0</v>
      </c>
      <c r="G12820" t="s">
        <v>4905</v>
      </c>
      <c r="H12820" t="s">
        <v>9041</v>
      </c>
      <c r="I12820" t="s">
        <v>9465</v>
      </c>
      <c r="J12820" t="s">
        <v>15349</v>
      </c>
      <c r="K12820" t="s">
        <v>19652</v>
      </c>
      <c r="M12820">
        <f>HYPERLINK("https://www.senat.fr/senateur-3eme-republique/brager_de_la_ville_moysan_eugene0529r3.html", "brager_de_la_ville_moysan_eugene0529r3")</f>
        <v>0</v>
      </c>
      <c r="N12820">
        <f>HYPERLINK("https://www.wikidata.org/wiki/Q3059747", "Q3059747")</f>
        <v>0</v>
      </c>
      <c r="O12820" t="s">
        <v>19998</v>
      </c>
      <c r="Q12820" t="s">
        <v>403</v>
      </c>
      <c r="R12820" t="s">
        <v>21650</v>
      </c>
      <c r="S12820">
        <v>7959</v>
      </c>
    </row>
    <row r="12821" spans="1:19">
      <c r="A12821" t="s">
        <v>142</v>
      </c>
      <c r="B12821" t="s">
        <v>150</v>
      </c>
      <c r="C12821" t="s">
        <v>274</v>
      </c>
      <c r="D12821" t="s">
        <v>403</v>
      </c>
      <c r="F12821">
        <f>HYPERLINK("https://www.wikidata.org/wiki/Q28494840", "Q28494840")</f>
        <v>0</v>
      </c>
      <c r="G12821" t="s">
        <v>5019</v>
      </c>
      <c r="H12821" t="s">
        <v>9152</v>
      </c>
      <c r="I12821" t="s">
        <v>9388</v>
      </c>
      <c r="J12821" t="s">
        <v>15446</v>
      </c>
      <c r="K12821" t="s">
        <v>16165</v>
      </c>
      <c r="M12821">
        <f>HYPERLINK("https://www.senat.fr/senateur-3eme-republique/garnier_paul0557r3.html", "garnier_paul0557r3")</f>
        <v>0</v>
      </c>
      <c r="N12821">
        <f>HYPERLINK("https://www.wikidata.org/wiki/Q3371287", "Q3371287")</f>
        <v>0</v>
      </c>
      <c r="O12821" t="s">
        <v>19998</v>
      </c>
      <c r="Q12821" t="s">
        <v>403</v>
      </c>
      <c r="R12821" t="s">
        <v>21650</v>
      </c>
      <c r="S12821">
        <v>7959</v>
      </c>
    </row>
    <row r="12822" spans="1:19">
      <c r="A12822" t="s">
        <v>142</v>
      </c>
      <c r="B12822" t="s">
        <v>150</v>
      </c>
      <c r="C12822" t="s">
        <v>274</v>
      </c>
      <c r="D12822" t="s">
        <v>403</v>
      </c>
      <c r="F12822">
        <f>HYPERLINK("https://www.wikidata.org/wiki/Q28494840", "Q28494840")</f>
        <v>0</v>
      </c>
      <c r="G12822" t="s">
        <v>4224</v>
      </c>
      <c r="H12822" t="s">
        <v>8404</v>
      </c>
      <c r="I12822" t="s">
        <v>9608</v>
      </c>
      <c r="J12822" t="s">
        <v>11706</v>
      </c>
      <c r="K12822" t="s">
        <v>19077</v>
      </c>
      <c r="M12822">
        <f>HYPERLINK("https://www.senat.fr/senateur-3eme-republique/ratier_antony0259r3.html", "ratier_antony0259r3")</f>
        <v>0</v>
      </c>
      <c r="N12822">
        <f>HYPERLINK("https://www.wikidata.org/wiki/Q2342450", "Q2342450")</f>
        <v>0</v>
      </c>
      <c r="O12822" t="s">
        <v>19975</v>
      </c>
      <c r="Q12822" t="s">
        <v>403</v>
      </c>
      <c r="R12822" t="s">
        <v>21650</v>
      </c>
      <c r="S12822">
        <v>7959</v>
      </c>
    </row>
    <row r="12823" spans="1:19">
      <c r="A12823" t="s">
        <v>142</v>
      </c>
      <c r="B12823" t="s">
        <v>150</v>
      </c>
      <c r="C12823" t="s">
        <v>274</v>
      </c>
      <c r="D12823" t="s">
        <v>403</v>
      </c>
      <c r="F12823">
        <f>HYPERLINK("https://www.wikidata.org/wiki/Q28494840", "Q28494840")</f>
        <v>0</v>
      </c>
      <c r="G12823" t="s">
        <v>5020</v>
      </c>
      <c r="H12823" t="s">
        <v>8753</v>
      </c>
      <c r="I12823" t="s">
        <v>9407</v>
      </c>
      <c r="J12823" t="s">
        <v>15447</v>
      </c>
      <c r="K12823" t="s">
        <v>19752</v>
      </c>
      <c r="M12823">
        <f>HYPERLINK("https://www.senat.fr/senateur-3eme-republique/vallier_joseph1201r3.html", "vallier_joseph1201r3")</f>
        <v>0</v>
      </c>
      <c r="N12823">
        <f>HYPERLINK("https://www.wikidata.org/wiki/Q3185711", "Q3185711")</f>
        <v>0</v>
      </c>
      <c r="O12823" t="s">
        <v>20006</v>
      </c>
      <c r="Q12823" t="s">
        <v>403</v>
      </c>
      <c r="R12823" t="s">
        <v>16357</v>
      </c>
      <c r="S12823">
        <v>3291</v>
      </c>
    </row>
    <row r="12824" spans="1:19">
      <c r="A12824" t="s">
        <v>142</v>
      </c>
      <c r="B12824" t="s">
        <v>150</v>
      </c>
      <c r="C12824" t="s">
        <v>274</v>
      </c>
      <c r="D12824" t="s">
        <v>403</v>
      </c>
      <c r="F12824">
        <f>HYPERLINK("https://www.wikidata.org/wiki/Q28494840", "Q28494840")</f>
        <v>0</v>
      </c>
      <c r="G12824" t="s">
        <v>5021</v>
      </c>
      <c r="H12824" t="s">
        <v>9153</v>
      </c>
      <c r="I12824" t="s">
        <v>9483</v>
      </c>
      <c r="J12824" t="s">
        <v>15448</v>
      </c>
      <c r="K12824" t="s">
        <v>19753</v>
      </c>
      <c r="M12824">
        <f>HYPERLINK("https://www.senat.fr/senateur-3eme-republique/berard_victor0445r3.html", "berard_victor0445r3")</f>
        <v>0</v>
      </c>
      <c r="N12824">
        <f>HYPERLINK("https://www.wikidata.org/wiki/Q2484224", "Q2484224")</f>
        <v>0</v>
      </c>
      <c r="O12824" t="s">
        <v>20041</v>
      </c>
      <c r="Q12824" t="s">
        <v>403</v>
      </c>
      <c r="R12824" t="s">
        <v>19753</v>
      </c>
      <c r="S12824">
        <v>2868</v>
      </c>
    </row>
    <row r="12825" spans="1:19">
      <c r="A12825" t="s">
        <v>142</v>
      </c>
      <c r="B12825" t="s">
        <v>150</v>
      </c>
      <c r="C12825" t="s">
        <v>274</v>
      </c>
      <c r="D12825" t="s">
        <v>403</v>
      </c>
      <c r="F12825">
        <f>HYPERLINK("https://www.wikidata.org/wiki/Q28494840", "Q28494840")</f>
        <v>0</v>
      </c>
      <c r="G12825" t="s">
        <v>5022</v>
      </c>
      <c r="H12825" t="s">
        <v>9154</v>
      </c>
      <c r="I12825" t="s">
        <v>11232</v>
      </c>
      <c r="J12825" t="s">
        <v>15449</v>
      </c>
      <c r="K12825" t="s">
        <v>19754</v>
      </c>
      <c r="M12825">
        <f>HYPERLINK("https://www.senat.fr/senateur-3eme-republique/brocard_maximin0452r3.html", "brocard_maximin0452r3")</f>
        <v>0</v>
      </c>
      <c r="N12825">
        <f>HYPERLINK("https://www.wikidata.org/wiki/Q3084105", "Q3084105")</f>
        <v>0</v>
      </c>
      <c r="O12825" t="s">
        <v>20041</v>
      </c>
      <c r="Q12825" t="s">
        <v>403</v>
      </c>
      <c r="R12825" t="s">
        <v>21650</v>
      </c>
      <c r="S12825">
        <v>7959</v>
      </c>
    </row>
    <row r="12826" spans="1:19">
      <c r="A12826" t="s">
        <v>142</v>
      </c>
      <c r="B12826" t="s">
        <v>150</v>
      </c>
      <c r="C12826" t="s">
        <v>274</v>
      </c>
      <c r="D12826" t="s">
        <v>403</v>
      </c>
      <c r="F12826">
        <f>HYPERLINK("https://www.wikidata.org/wiki/Q28494840", "Q28494840")</f>
        <v>0</v>
      </c>
      <c r="G12826" t="s">
        <v>5023</v>
      </c>
      <c r="H12826" t="s">
        <v>9155</v>
      </c>
      <c r="I12826" t="s">
        <v>9442</v>
      </c>
      <c r="J12826" t="s">
        <v>15450</v>
      </c>
      <c r="K12826" t="s">
        <v>19755</v>
      </c>
      <c r="M12826">
        <f>HYPERLINK("https://www.senat.fr/senateur-3eme-republique/daraignez_ernest0341r3.html", "daraignez_ernest0341r3")</f>
        <v>0</v>
      </c>
      <c r="N12826">
        <f>HYPERLINK("https://www.wikidata.org/wiki/Q3056913", "Q3056913")</f>
        <v>0</v>
      </c>
      <c r="O12826" t="s">
        <v>19995</v>
      </c>
      <c r="Q12826" t="s">
        <v>403</v>
      </c>
      <c r="R12826" t="s">
        <v>16357</v>
      </c>
      <c r="S12826">
        <v>3291</v>
      </c>
    </row>
    <row r="12827" spans="1:19">
      <c r="A12827" t="s">
        <v>142</v>
      </c>
      <c r="B12827" t="s">
        <v>150</v>
      </c>
      <c r="C12827" t="s">
        <v>274</v>
      </c>
      <c r="D12827" t="s">
        <v>403</v>
      </c>
      <c r="F12827">
        <f>HYPERLINK("https://www.wikidata.org/wiki/Q28494840", "Q28494840")</f>
        <v>0</v>
      </c>
      <c r="G12827" t="s">
        <v>5024</v>
      </c>
      <c r="H12827" t="s">
        <v>9156</v>
      </c>
      <c r="I12827" t="s">
        <v>9385</v>
      </c>
      <c r="J12827" t="s">
        <v>15451</v>
      </c>
      <c r="K12827" t="s">
        <v>19756</v>
      </c>
      <c r="M12827">
        <f>HYPERLINK("https://www.senat.fr/senateur-3eme-republique/cadilhon_charles0345r3.html", "cadilhon_charles0345r3")</f>
        <v>0</v>
      </c>
      <c r="N12827">
        <f>HYPERLINK("https://www.wikidata.org/wiki/Q2958656", "Q2958656")</f>
        <v>0</v>
      </c>
      <c r="O12827" t="s">
        <v>19995</v>
      </c>
      <c r="Q12827" t="s">
        <v>403</v>
      </c>
      <c r="R12827" t="s">
        <v>21650</v>
      </c>
      <c r="S12827">
        <v>7959</v>
      </c>
    </row>
    <row r="12828" spans="1:19">
      <c r="A12828" t="s">
        <v>142</v>
      </c>
      <c r="B12828" t="s">
        <v>150</v>
      </c>
      <c r="C12828" t="s">
        <v>274</v>
      </c>
      <c r="D12828" t="s">
        <v>403</v>
      </c>
      <c r="F12828">
        <f>HYPERLINK("https://www.wikidata.org/wiki/Q28494840", "Q28494840")</f>
        <v>0</v>
      </c>
      <c r="G12828" t="s">
        <v>4272</v>
      </c>
      <c r="H12828" t="s">
        <v>8436</v>
      </c>
      <c r="I12828" t="s">
        <v>9512</v>
      </c>
      <c r="J12828" t="s">
        <v>14771</v>
      </c>
      <c r="K12828" t="s">
        <v>19119</v>
      </c>
      <c r="M12828">
        <f>HYPERLINK("https://www.senat.fr/senateur-3eme-republique/millies_lacroix_raphael0351r3.html", "millies_lacroix_raphael0351r3")</f>
        <v>0</v>
      </c>
      <c r="N12828">
        <f>HYPERLINK("https://www.wikidata.org/wiki/Q3419492", "Q3419492")</f>
        <v>0</v>
      </c>
      <c r="O12828" t="s">
        <v>19995</v>
      </c>
      <c r="Q12828" t="s">
        <v>403</v>
      </c>
      <c r="R12828" t="s">
        <v>21650</v>
      </c>
      <c r="S12828">
        <v>7959</v>
      </c>
    </row>
    <row r="12829" spans="1:19">
      <c r="A12829" t="s">
        <v>142</v>
      </c>
      <c r="B12829" t="s">
        <v>150</v>
      </c>
      <c r="C12829" t="s">
        <v>274</v>
      </c>
      <c r="D12829" t="s">
        <v>403</v>
      </c>
      <c r="F12829">
        <f>HYPERLINK("https://www.wikidata.org/wiki/Q28494840", "Q28494840")</f>
        <v>0</v>
      </c>
      <c r="G12829" t="s">
        <v>5100</v>
      </c>
      <c r="H12829" t="s">
        <v>9228</v>
      </c>
      <c r="I12829" t="s">
        <v>6166</v>
      </c>
      <c r="J12829" t="s">
        <v>15513</v>
      </c>
      <c r="K12829" t="s">
        <v>19815</v>
      </c>
      <c r="M12829">
        <f>HYPERLINK("https://www.senat.fr/senateur-3eme-republique/delay_francois1363r3.html", "delay_francois1363r3")</f>
        <v>0</v>
      </c>
      <c r="N12829">
        <f>HYPERLINK("https://www.wikidata.org/wiki/Q3084394", "Q3084394")</f>
        <v>0</v>
      </c>
      <c r="O12829" t="s">
        <v>19997</v>
      </c>
      <c r="Q12829" t="s">
        <v>403</v>
      </c>
      <c r="R12829" t="s">
        <v>16357</v>
      </c>
      <c r="S12829">
        <v>3291</v>
      </c>
    </row>
    <row r="12830" spans="1:19">
      <c r="A12830" t="s">
        <v>142</v>
      </c>
      <c r="B12830" t="s">
        <v>150</v>
      </c>
      <c r="C12830" t="s">
        <v>274</v>
      </c>
      <c r="D12830" t="s">
        <v>403</v>
      </c>
      <c r="F12830">
        <f>HYPERLINK("https://www.wikidata.org/wiki/Q28494840", "Q28494840")</f>
        <v>0</v>
      </c>
      <c r="G12830" t="s">
        <v>5025</v>
      </c>
      <c r="H12830" t="s">
        <v>9158</v>
      </c>
      <c r="I12830" t="s">
        <v>6495</v>
      </c>
      <c r="J12830" t="s">
        <v>15452</v>
      </c>
      <c r="K12830" t="s">
        <v>19064</v>
      </c>
      <c r="M12830">
        <f>HYPERLINK("https://www.senat.fr/senateur-3eme-republique/soulie_louis1355r3.html", "soulie_louis1355r3")</f>
        <v>0</v>
      </c>
      <c r="N12830">
        <f>HYPERLINK("https://www.wikidata.org/wiki/Q3263128", "Q3263128")</f>
        <v>0</v>
      </c>
      <c r="O12830" t="s">
        <v>19997</v>
      </c>
      <c r="Q12830" t="s">
        <v>403</v>
      </c>
      <c r="R12830" t="s">
        <v>21650</v>
      </c>
      <c r="S12830">
        <v>7959</v>
      </c>
    </row>
    <row r="12831" spans="1:19">
      <c r="A12831" t="s">
        <v>142</v>
      </c>
      <c r="B12831" t="s">
        <v>150</v>
      </c>
      <c r="C12831" t="s">
        <v>274</v>
      </c>
      <c r="D12831" t="s">
        <v>403</v>
      </c>
      <c r="F12831">
        <f>HYPERLINK("https://www.wikidata.org/wiki/Q28494840", "Q28494840")</f>
        <v>0</v>
      </c>
      <c r="G12831" t="s">
        <v>5027</v>
      </c>
      <c r="H12831" t="s">
        <v>9160</v>
      </c>
      <c r="I12831" t="s">
        <v>9858</v>
      </c>
      <c r="J12831" t="s">
        <v>15454</v>
      </c>
      <c r="K12831" t="s">
        <v>15705</v>
      </c>
      <c r="M12831">
        <f>HYPERLINK("https://www.senat.fr/senateur-3eme-republique/de_landemont_ambroise1273r3.html", "de_landemont_ambroise1273r3")</f>
        <v>0</v>
      </c>
      <c r="N12831">
        <f>HYPERLINK("https://www.wikidata.org/wiki/Q2842425", "Q2842425")</f>
        <v>0</v>
      </c>
      <c r="O12831" t="s">
        <v>20023</v>
      </c>
      <c r="Q12831" t="s">
        <v>403</v>
      </c>
      <c r="R12831" t="s">
        <v>21650</v>
      </c>
      <c r="S12831">
        <v>7959</v>
      </c>
    </row>
    <row r="12832" spans="1:19">
      <c r="A12832" t="s">
        <v>142</v>
      </c>
      <c r="B12832" t="s">
        <v>150</v>
      </c>
      <c r="C12832" t="s">
        <v>274</v>
      </c>
      <c r="D12832" t="s">
        <v>403</v>
      </c>
      <c r="F12832">
        <f>HYPERLINK("https://www.wikidata.org/wiki/Q28494840", "Q28494840")</f>
        <v>0</v>
      </c>
      <c r="G12832" t="s">
        <v>5028</v>
      </c>
      <c r="H12832" t="s">
        <v>9161</v>
      </c>
      <c r="I12832" t="s">
        <v>6200</v>
      </c>
      <c r="J12832" t="s">
        <v>15455</v>
      </c>
      <c r="K12832" t="s">
        <v>19757</v>
      </c>
      <c r="M12832">
        <f>HYPERLINK("https://www.senat.fr/senateur-3eme-republique/babin_chevaye_jean1285r3.html", "babin_chevaye_jean1285r3")</f>
        <v>0</v>
      </c>
      <c r="N12832">
        <f>HYPERLINK("https://www.wikidata.org/wiki/Q3170485", "Q3170485")</f>
        <v>0</v>
      </c>
      <c r="O12832" t="s">
        <v>20023</v>
      </c>
      <c r="Q12832" t="s">
        <v>403</v>
      </c>
      <c r="R12832" t="s">
        <v>16357</v>
      </c>
      <c r="S12832">
        <v>3291</v>
      </c>
    </row>
    <row r="12833" spans="1:19">
      <c r="A12833" t="s">
        <v>142</v>
      </c>
      <c r="B12833" t="s">
        <v>150</v>
      </c>
      <c r="C12833" t="s">
        <v>274</v>
      </c>
      <c r="D12833" t="s">
        <v>403</v>
      </c>
      <c r="F12833">
        <f>HYPERLINK("https://www.wikidata.org/wiki/Q28494840", "Q28494840")</f>
        <v>0</v>
      </c>
      <c r="G12833" t="s">
        <v>5029</v>
      </c>
      <c r="H12833" t="s">
        <v>9162</v>
      </c>
      <c r="I12833" t="s">
        <v>9385</v>
      </c>
      <c r="J12833" t="s">
        <v>15456</v>
      </c>
      <c r="K12833" t="s">
        <v>16838</v>
      </c>
      <c r="M12833">
        <f>HYPERLINK("https://www.senat.fr/senateur-3eme-republique/francois_saint_maur_charles1294r3.html", "francois_saint_maur_charles1294r3")</f>
        <v>0</v>
      </c>
      <c r="N12833">
        <f>HYPERLINK("https://www.wikidata.org/wiki/Q2959090", "Q2959090")</f>
        <v>0</v>
      </c>
      <c r="O12833" t="s">
        <v>20023</v>
      </c>
      <c r="Q12833" t="s">
        <v>403</v>
      </c>
      <c r="R12833" t="s">
        <v>16357</v>
      </c>
      <c r="S12833">
        <v>3291</v>
      </c>
    </row>
    <row r="12834" spans="1:19">
      <c r="A12834" t="s">
        <v>142</v>
      </c>
      <c r="B12834" t="s">
        <v>150</v>
      </c>
      <c r="C12834" t="s">
        <v>274</v>
      </c>
      <c r="D12834" t="s">
        <v>403</v>
      </c>
      <c r="F12834">
        <f>HYPERLINK("https://www.wikidata.org/wiki/Q28494840", "Q28494840")</f>
        <v>0</v>
      </c>
      <c r="G12834" t="s">
        <v>5030</v>
      </c>
      <c r="H12834" t="s">
        <v>9163</v>
      </c>
      <c r="I12834" t="s">
        <v>9523</v>
      </c>
      <c r="J12834" t="s">
        <v>15457</v>
      </c>
      <c r="K12834" t="s">
        <v>19758</v>
      </c>
      <c r="M12834">
        <f>HYPERLINK("https://www.senat.fr/senateur-3eme-republique/donon_marcel0508r3.html", "donon_marcel0508r3")</f>
        <v>0</v>
      </c>
      <c r="N12834">
        <f>HYPERLINK("https://www.wikidata.org/wiki/Q3288903", "Q3288903")</f>
        <v>0</v>
      </c>
      <c r="O12834" t="s">
        <v>19958</v>
      </c>
      <c r="Q12834" t="s">
        <v>403</v>
      </c>
      <c r="R12834" t="s">
        <v>16357</v>
      </c>
      <c r="S12834">
        <v>3291</v>
      </c>
    </row>
    <row r="12835" spans="1:19">
      <c r="A12835" t="s">
        <v>142</v>
      </c>
      <c r="B12835" t="s">
        <v>150</v>
      </c>
      <c r="C12835" t="s">
        <v>274</v>
      </c>
      <c r="D12835" t="s">
        <v>403</v>
      </c>
      <c r="F12835">
        <f>HYPERLINK("https://www.wikidata.org/wiki/Q28494840", "Q28494840")</f>
        <v>0</v>
      </c>
      <c r="G12835" t="s">
        <v>5031</v>
      </c>
      <c r="H12835" t="s">
        <v>9164</v>
      </c>
      <c r="I12835" t="s">
        <v>9476</v>
      </c>
      <c r="J12835" t="s">
        <v>15458</v>
      </c>
      <c r="K12835" t="s">
        <v>19759</v>
      </c>
      <c r="M12835">
        <f>HYPERLINK("https://www.senat.fr/senateur-3eme-republique/fontanille_rene0614r3.html", "fontanille_rene0614r3")</f>
        <v>0</v>
      </c>
      <c r="N12835">
        <f>HYPERLINK("https://www.wikidata.org/wiki/Q3426203", "Q3426203")</f>
        <v>0</v>
      </c>
      <c r="O12835" t="s">
        <v>19974</v>
      </c>
      <c r="Q12835" t="s">
        <v>403</v>
      </c>
      <c r="R12835" t="s">
        <v>16357</v>
      </c>
      <c r="S12835">
        <v>3291</v>
      </c>
    </row>
    <row r="12836" spans="1:19">
      <c r="A12836" t="s">
        <v>142</v>
      </c>
      <c r="B12836" t="s">
        <v>150</v>
      </c>
      <c r="C12836" t="s">
        <v>274</v>
      </c>
      <c r="D12836" t="s">
        <v>403</v>
      </c>
      <c r="F12836">
        <f>HYPERLINK("https://www.wikidata.org/wiki/Q28494840", "Q28494840")</f>
        <v>0</v>
      </c>
      <c r="G12836" t="s">
        <v>4954</v>
      </c>
      <c r="H12836" t="s">
        <v>9088</v>
      </c>
      <c r="I12836" t="s">
        <v>9407</v>
      </c>
      <c r="J12836" t="s">
        <v>15394</v>
      </c>
      <c r="K12836" t="s">
        <v>19692</v>
      </c>
      <c r="M12836">
        <f>HYPERLINK("https://www.senat.fr/senateur-3eme-republique/loubet_joseph0625r3.html", "loubet_joseph0625r3")</f>
        <v>0</v>
      </c>
      <c r="N12836">
        <f>HYPERLINK("https://www.wikidata.org/wiki/Q3185259", "Q3185259")</f>
        <v>0</v>
      </c>
      <c r="O12836" t="s">
        <v>19974</v>
      </c>
      <c r="Q12836" t="s">
        <v>403</v>
      </c>
      <c r="R12836" t="s">
        <v>16357</v>
      </c>
      <c r="S12836">
        <v>3291</v>
      </c>
    </row>
    <row r="12837" spans="1:19">
      <c r="A12837" t="s">
        <v>142</v>
      </c>
      <c r="B12837" t="s">
        <v>150</v>
      </c>
      <c r="C12837" t="s">
        <v>274</v>
      </c>
      <c r="D12837" t="s">
        <v>403</v>
      </c>
      <c r="F12837">
        <f>HYPERLINK("https://www.wikidata.org/wiki/Q28494840", "Q28494840")</f>
        <v>0</v>
      </c>
      <c r="G12837" t="s">
        <v>5032</v>
      </c>
      <c r="H12837" t="s">
        <v>9165</v>
      </c>
      <c r="I12837" t="s">
        <v>6175</v>
      </c>
      <c r="J12837" t="s">
        <v>12231</v>
      </c>
      <c r="K12837" t="s">
        <v>19760</v>
      </c>
      <c r="M12837">
        <f>HYPERLINK("https://www.senat.fr/senateur-3eme-republique/laboulbene_georges0740r3.html", "laboulbene_georges0740r3")</f>
        <v>0</v>
      </c>
      <c r="N12837">
        <f>HYPERLINK("https://www.wikidata.org/wiki/Q3102986", "Q3102986")</f>
        <v>0</v>
      </c>
      <c r="O12837" t="s">
        <v>20043</v>
      </c>
      <c r="Q12837" t="s">
        <v>403</v>
      </c>
      <c r="R12837" t="s">
        <v>16357</v>
      </c>
      <c r="S12837">
        <v>3291</v>
      </c>
    </row>
    <row r="12838" spans="1:19">
      <c r="A12838" t="s">
        <v>142</v>
      </c>
      <c r="B12838" t="s">
        <v>150</v>
      </c>
      <c r="C12838" t="s">
        <v>274</v>
      </c>
      <c r="D12838" t="s">
        <v>403</v>
      </c>
      <c r="F12838">
        <f>HYPERLINK("https://www.wikidata.org/wiki/Q28494840", "Q28494840")</f>
        <v>0</v>
      </c>
      <c r="G12838" t="s">
        <v>5033</v>
      </c>
      <c r="H12838" t="s">
        <v>9166</v>
      </c>
      <c r="I12838" t="s">
        <v>9470</v>
      </c>
      <c r="J12838" t="s">
        <v>15459</v>
      </c>
      <c r="K12838" t="s">
        <v>19761</v>
      </c>
      <c r="M12838">
        <f>HYPERLINK("https://www.senat.fr/senateur-3eme-republique/carrere_gaston0762r3.html", "carrere_gaston0762r3")</f>
        <v>0</v>
      </c>
      <c r="N12838">
        <f>HYPERLINK("https://www.wikidata.org/wiki/Q3098937", "Q3098937")</f>
        <v>0</v>
      </c>
      <c r="O12838" t="s">
        <v>20043</v>
      </c>
      <c r="Q12838" t="s">
        <v>403</v>
      </c>
      <c r="R12838" t="s">
        <v>16811</v>
      </c>
      <c r="S12838">
        <v>3205</v>
      </c>
    </row>
    <row r="12839" spans="1:19">
      <c r="A12839" t="s">
        <v>142</v>
      </c>
      <c r="B12839" t="s">
        <v>150</v>
      </c>
      <c r="C12839" t="s">
        <v>274</v>
      </c>
      <c r="D12839" t="s">
        <v>403</v>
      </c>
      <c r="F12839">
        <f>HYPERLINK("https://www.wikidata.org/wiki/Q28494840", "Q28494840")</f>
        <v>0</v>
      </c>
      <c r="G12839" t="s">
        <v>4243</v>
      </c>
      <c r="H12839" t="s">
        <v>8417</v>
      </c>
      <c r="I12839" t="s">
        <v>6860</v>
      </c>
      <c r="J12839" t="s">
        <v>14749</v>
      </c>
      <c r="K12839" t="s">
        <v>19095</v>
      </c>
      <c r="M12839">
        <f>HYPERLINK("https://www.senat.fr/senateur-3eme-republique/marraud_pierre0748r3.html", "marraud_pierre0748r3")</f>
        <v>0</v>
      </c>
      <c r="N12839">
        <f>HYPERLINK("https://www.wikidata.org/wiki/Q3386156", "Q3386156")</f>
        <v>0</v>
      </c>
      <c r="O12839" t="s">
        <v>20043</v>
      </c>
      <c r="Q12839" t="s">
        <v>403</v>
      </c>
      <c r="R12839" t="s">
        <v>21650</v>
      </c>
      <c r="S12839">
        <v>7959</v>
      </c>
    </row>
    <row r="12840" spans="1:19">
      <c r="A12840" t="s">
        <v>142</v>
      </c>
      <c r="B12840" t="s">
        <v>150</v>
      </c>
      <c r="C12840" t="s">
        <v>274</v>
      </c>
      <c r="D12840" t="s">
        <v>403</v>
      </c>
      <c r="F12840">
        <f>HYPERLINK("https://www.wikidata.org/wiki/Q28494840", "Q28494840")</f>
        <v>0</v>
      </c>
      <c r="G12840" t="s">
        <v>4902</v>
      </c>
      <c r="H12840" t="s">
        <v>9038</v>
      </c>
      <c r="I12840" t="s">
        <v>9414</v>
      </c>
      <c r="J12840" t="s">
        <v>15346</v>
      </c>
      <c r="K12840" t="s">
        <v>19649</v>
      </c>
      <c r="M12840">
        <f>HYPERLINK("https://www.senat.fr/senateur-3eme-republique/de_las_cases_emmanuel0855r3.html", "de_las_cases_emmanuel0855r3")</f>
        <v>0</v>
      </c>
      <c r="N12840">
        <f>HYPERLINK("https://www.wikidata.org/wiki/Q3052905", "Q3052905")</f>
        <v>0</v>
      </c>
      <c r="O12840" t="s">
        <v>20004</v>
      </c>
      <c r="Q12840" t="s">
        <v>403</v>
      </c>
      <c r="R12840" t="s">
        <v>21650</v>
      </c>
      <c r="S12840">
        <v>7959</v>
      </c>
    </row>
    <row r="12841" spans="1:19">
      <c r="A12841" t="s">
        <v>142</v>
      </c>
      <c r="B12841" t="s">
        <v>150</v>
      </c>
      <c r="C12841" t="s">
        <v>274</v>
      </c>
      <c r="D12841" t="s">
        <v>403</v>
      </c>
      <c r="F12841">
        <f>HYPERLINK("https://www.wikidata.org/wiki/Q28494840", "Q28494840")</f>
        <v>0</v>
      </c>
      <c r="G12841" t="s">
        <v>4899</v>
      </c>
      <c r="H12841" t="s">
        <v>9035</v>
      </c>
      <c r="I12841" t="s">
        <v>9636</v>
      </c>
      <c r="J12841" t="s">
        <v>15343</v>
      </c>
      <c r="K12841" t="s">
        <v>19646</v>
      </c>
      <c r="M12841">
        <f>HYPERLINK("https://www.senat.fr/senateur-3eme-republique/delahaye_dominique1161r3.html", "delahaye_dominique1161r3")</f>
        <v>0</v>
      </c>
      <c r="N12841">
        <f>HYPERLINK("https://www.wikidata.org/wiki/Q3035090", "Q3035090")</f>
        <v>0</v>
      </c>
      <c r="O12841" t="s">
        <v>19980</v>
      </c>
      <c r="Q12841" t="s">
        <v>403</v>
      </c>
      <c r="R12841" t="s">
        <v>21650</v>
      </c>
      <c r="S12841">
        <v>7959</v>
      </c>
    </row>
    <row r="12842" spans="1:19">
      <c r="A12842" t="s">
        <v>142</v>
      </c>
      <c r="B12842" t="s">
        <v>150</v>
      </c>
      <c r="C12842" t="s">
        <v>274</v>
      </c>
      <c r="D12842" t="s">
        <v>403</v>
      </c>
      <c r="F12842">
        <f>HYPERLINK("https://www.wikidata.org/wiki/Q28494840", "Q28494840")</f>
        <v>0</v>
      </c>
      <c r="G12842" t="s">
        <v>5034</v>
      </c>
      <c r="H12842" t="s">
        <v>9167</v>
      </c>
      <c r="I12842" t="s">
        <v>9957</v>
      </c>
      <c r="J12842" t="s">
        <v>15460</v>
      </c>
      <c r="K12842" t="s">
        <v>19762</v>
      </c>
      <c r="M12842">
        <f>HYPERLINK("https://www.senat.fr/senateur-3eme-republique/de_rouge_olivier1067r3.html", "de_rouge_olivier1067r3")</f>
        <v>0</v>
      </c>
      <c r="N12842">
        <f>HYPERLINK("https://www.wikidata.org/wiki/Q3351469", "Q3351469")</f>
        <v>0</v>
      </c>
      <c r="O12842" t="s">
        <v>19980</v>
      </c>
      <c r="Q12842" t="s">
        <v>403</v>
      </c>
      <c r="R12842" t="s">
        <v>21650</v>
      </c>
      <c r="S12842">
        <v>7959</v>
      </c>
    </row>
    <row r="12843" spans="1:19">
      <c r="A12843" t="s">
        <v>142</v>
      </c>
      <c r="B12843" t="s">
        <v>150</v>
      </c>
      <c r="C12843" t="s">
        <v>274</v>
      </c>
      <c r="D12843" t="s">
        <v>403</v>
      </c>
      <c r="F12843">
        <f>HYPERLINK("https://www.wikidata.org/wiki/Q28494840", "Q28494840")</f>
        <v>0</v>
      </c>
      <c r="G12843" t="s">
        <v>5088</v>
      </c>
      <c r="H12843" t="s">
        <v>8943</v>
      </c>
      <c r="I12843" t="s">
        <v>6495</v>
      </c>
      <c r="J12843" t="s">
        <v>15502</v>
      </c>
      <c r="K12843" t="s">
        <v>19805</v>
      </c>
      <c r="M12843">
        <f>HYPERLINK("https://www.senat.fr/senateur-3eme-republique/de_blois_louis1075r3.html", "de_blois_louis1075r3")</f>
        <v>0</v>
      </c>
      <c r="N12843">
        <f>HYPERLINK("https://www.wikidata.org/wiki/Q3263379", "Q3263379")</f>
        <v>0</v>
      </c>
      <c r="O12843" t="s">
        <v>19980</v>
      </c>
      <c r="Q12843" t="s">
        <v>403</v>
      </c>
      <c r="R12843" t="s">
        <v>16357</v>
      </c>
      <c r="S12843">
        <v>3291</v>
      </c>
    </row>
    <row r="12844" spans="1:19">
      <c r="A12844" t="s">
        <v>142</v>
      </c>
      <c r="B12844" t="s">
        <v>150</v>
      </c>
      <c r="C12844" t="s">
        <v>274</v>
      </c>
      <c r="D12844" t="s">
        <v>403</v>
      </c>
      <c r="F12844">
        <f>HYPERLINK("https://www.wikidata.org/wiki/Q28494840", "Q28494840")</f>
        <v>0</v>
      </c>
      <c r="G12844" t="s">
        <v>5035</v>
      </c>
      <c r="H12844" t="s">
        <v>9168</v>
      </c>
      <c r="I12844" t="s">
        <v>9389</v>
      </c>
      <c r="J12844" t="s">
        <v>15461</v>
      </c>
      <c r="K12844" t="s">
        <v>19763</v>
      </c>
      <c r="M12844">
        <f>HYPERLINK("https://www.senat.fr/senateur-3eme-republique/damecour_emile1047r3.html", "damecour_emile1047r3")</f>
        <v>0</v>
      </c>
      <c r="N12844">
        <f>HYPERLINK("https://www.wikidata.org/wiki/Q3588443", "Q3588443")</f>
        <v>0</v>
      </c>
      <c r="O12844" t="s">
        <v>19985</v>
      </c>
      <c r="Q12844" t="s">
        <v>403</v>
      </c>
      <c r="R12844" t="s">
        <v>16357</v>
      </c>
      <c r="S12844">
        <v>3291</v>
      </c>
    </row>
    <row r="12845" spans="1:19">
      <c r="A12845" t="s">
        <v>142</v>
      </c>
      <c r="B12845" t="s">
        <v>150</v>
      </c>
      <c r="C12845" t="s">
        <v>274</v>
      </c>
      <c r="D12845" t="s">
        <v>403</v>
      </c>
      <c r="F12845">
        <f>HYPERLINK("https://www.wikidata.org/wiki/Q28494840", "Q28494840")</f>
        <v>0</v>
      </c>
      <c r="G12845" t="s">
        <v>5072</v>
      </c>
      <c r="H12845" t="s">
        <v>8738</v>
      </c>
      <c r="I12845" t="s">
        <v>6478</v>
      </c>
      <c r="J12845" t="s">
        <v>15490</v>
      </c>
      <c r="K12845" t="s">
        <v>19791</v>
      </c>
      <c r="M12845">
        <f>HYPERLINK("https://www.senat.fr/senateur-3eme-republique/merlin_henry0645r3.html", "merlin_henry0645r3")</f>
        <v>0</v>
      </c>
      <c r="N12845">
        <f>HYPERLINK("https://www.wikidata.org/wiki/Q3132957", "Q3132957")</f>
        <v>0</v>
      </c>
      <c r="O12845" t="s">
        <v>20025</v>
      </c>
      <c r="Q12845" t="s">
        <v>403</v>
      </c>
      <c r="R12845" t="s">
        <v>16357</v>
      </c>
      <c r="S12845">
        <v>3291</v>
      </c>
    </row>
    <row r="12846" spans="1:19">
      <c r="A12846" t="s">
        <v>142</v>
      </c>
      <c r="B12846" t="s">
        <v>150</v>
      </c>
      <c r="C12846" t="s">
        <v>274</v>
      </c>
      <c r="D12846" t="s">
        <v>403</v>
      </c>
      <c r="F12846">
        <f>HYPERLINK("https://www.wikidata.org/wiki/Q28494840", "Q28494840")</f>
        <v>0</v>
      </c>
      <c r="G12846" t="s">
        <v>4583</v>
      </c>
      <c r="H12846" t="s">
        <v>8728</v>
      </c>
      <c r="I12846" t="s">
        <v>9421</v>
      </c>
      <c r="J12846" t="s">
        <v>15062</v>
      </c>
      <c r="K12846" t="s">
        <v>19384</v>
      </c>
      <c r="M12846">
        <f>HYPERLINK("https://www.senat.fr/senateur-3eme-republique/denis_gustave0956r3.html", "denis_gustave0956r3")</f>
        <v>0</v>
      </c>
      <c r="N12846">
        <f>HYPERLINK("https://www.wikidata.org/wiki/Q3121167", "Q3121167")</f>
        <v>0</v>
      </c>
      <c r="O12846" t="s">
        <v>19984</v>
      </c>
      <c r="Q12846" t="s">
        <v>403</v>
      </c>
      <c r="R12846" t="s">
        <v>21650</v>
      </c>
      <c r="S12846">
        <v>7959</v>
      </c>
    </row>
    <row r="12847" spans="1:19">
      <c r="A12847" t="s">
        <v>142</v>
      </c>
      <c r="B12847" t="s">
        <v>150</v>
      </c>
      <c r="C12847" t="s">
        <v>274</v>
      </c>
      <c r="D12847" t="s">
        <v>403</v>
      </c>
      <c r="F12847">
        <f>HYPERLINK("https://www.wikidata.org/wiki/Q28494840", "Q28494840")</f>
        <v>0</v>
      </c>
      <c r="G12847" t="s">
        <v>5101</v>
      </c>
      <c r="H12847" t="s">
        <v>9159</v>
      </c>
      <c r="I12847" t="s">
        <v>9465</v>
      </c>
      <c r="J12847" t="s">
        <v>15514</v>
      </c>
      <c r="K12847" t="s">
        <v>375</v>
      </c>
      <c r="M12847">
        <f>HYPERLINK("https://www.senat.fr/senateur-3eme-republique/jamin_eugene0967r3.html", "jamin_eugene0967r3")</f>
        <v>0</v>
      </c>
      <c r="N12847">
        <f>HYPERLINK("https://www.wikidata.org/wiki/Q3059943", "Q3059943")</f>
        <v>0</v>
      </c>
      <c r="O12847" t="s">
        <v>19984</v>
      </c>
      <c r="Q12847" t="s">
        <v>403</v>
      </c>
      <c r="R12847" t="s">
        <v>16357</v>
      </c>
      <c r="S12847">
        <v>3291</v>
      </c>
    </row>
    <row r="12848" spans="1:19">
      <c r="A12848" t="s">
        <v>142</v>
      </c>
      <c r="B12848" t="s">
        <v>150</v>
      </c>
      <c r="C12848" t="s">
        <v>274</v>
      </c>
      <c r="D12848" t="s">
        <v>403</v>
      </c>
      <c r="F12848">
        <f>HYPERLINK("https://www.wikidata.org/wiki/Q28494840", "Q28494840")</f>
        <v>0</v>
      </c>
      <c r="G12848" t="s">
        <v>5037</v>
      </c>
      <c r="H12848" t="s">
        <v>9170</v>
      </c>
      <c r="I12848" t="s">
        <v>9457</v>
      </c>
      <c r="J12848" t="s">
        <v>15463</v>
      </c>
      <c r="K12848" t="s">
        <v>19765</v>
      </c>
      <c r="M12848">
        <f>HYPERLINK("https://www.senat.fr/senateur-3eme-republique/michaut_henri0948r3.html", "michaut_henri0948r3")</f>
        <v>0</v>
      </c>
      <c r="N12848">
        <f>HYPERLINK("https://www.wikidata.org/wiki/Q2381344", "Q2381344")</f>
        <v>0</v>
      </c>
      <c r="O12848" t="s">
        <v>20007</v>
      </c>
      <c r="Q12848" t="s">
        <v>403</v>
      </c>
      <c r="R12848" t="s">
        <v>21650</v>
      </c>
      <c r="S12848">
        <v>7959</v>
      </c>
    </row>
    <row r="12849" spans="1:19">
      <c r="A12849" t="s">
        <v>142</v>
      </c>
      <c r="B12849" t="s">
        <v>150</v>
      </c>
      <c r="C12849" t="s">
        <v>274</v>
      </c>
      <c r="D12849" t="s">
        <v>403</v>
      </c>
      <c r="F12849">
        <f>HYPERLINK("https://www.wikidata.org/wiki/Q28494840", "Q28494840")</f>
        <v>0</v>
      </c>
      <c r="G12849" t="s">
        <v>5038</v>
      </c>
      <c r="H12849" t="s">
        <v>8568</v>
      </c>
      <c r="I12849" t="s">
        <v>6495</v>
      </c>
      <c r="J12849" t="s">
        <v>15464</v>
      </c>
      <c r="K12849" t="s">
        <v>19766</v>
      </c>
      <c r="M12849">
        <f>HYPERLINK("https://www.senat.fr/senateur-3eme-republique/michel_louis0933r3.html", "michel_louis0933r3")</f>
        <v>0</v>
      </c>
      <c r="N12849">
        <f>HYPERLINK("https://www.wikidata.org/wiki/Q3262697", "Q3262697")</f>
        <v>0</v>
      </c>
      <c r="O12849" t="s">
        <v>20007</v>
      </c>
      <c r="Q12849" t="s">
        <v>403</v>
      </c>
      <c r="R12849" t="s">
        <v>16357</v>
      </c>
      <c r="S12849">
        <v>3291</v>
      </c>
    </row>
    <row r="12850" spans="1:19">
      <c r="A12850" t="s">
        <v>142</v>
      </c>
      <c r="B12850" t="s">
        <v>150</v>
      </c>
      <c r="C12850" t="s">
        <v>274</v>
      </c>
      <c r="D12850" t="s">
        <v>403</v>
      </c>
      <c r="F12850">
        <f>HYPERLINK("https://www.wikidata.org/wiki/Q28494840", "Q28494840")</f>
        <v>0</v>
      </c>
      <c r="G12850" t="s">
        <v>5039</v>
      </c>
      <c r="H12850" t="s">
        <v>9171</v>
      </c>
      <c r="I12850" t="s">
        <v>11233</v>
      </c>
      <c r="J12850" t="s">
        <v>15465</v>
      </c>
      <c r="K12850" t="s">
        <v>17013</v>
      </c>
      <c r="M12850">
        <f>HYPERLINK("https://www.senat.fr/senateur-3eme-republique/chevalier_pol1014r3.html", "chevalier_pol1014r3")</f>
        <v>0</v>
      </c>
      <c r="N12850">
        <f>HYPERLINK("https://www.wikidata.org/wiki/Q3393992", "Q3393992")</f>
        <v>0</v>
      </c>
      <c r="O12850" t="s">
        <v>20030</v>
      </c>
      <c r="Q12850" t="s">
        <v>403</v>
      </c>
      <c r="R12850" t="s">
        <v>16357</v>
      </c>
      <c r="S12850">
        <v>3291</v>
      </c>
    </row>
    <row r="12851" spans="1:19">
      <c r="A12851" t="s">
        <v>142</v>
      </c>
      <c r="B12851" t="s">
        <v>150</v>
      </c>
      <c r="C12851" t="s">
        <v>274</v>
      </c>
      <c r="D12851" t="s">
        <v>403</v>
      </c>
      <c r="F12851">
        <f>HYPERLINK("https://www.wikidata.org/wiki/Q28494840", "Q28494840")</f>
        <v>0</v>
      </c>
      <c r="G12851" t="s">
        <v>5085</v>
      </c>
      <c r="H12851" t="s">
        <v>9215</v>
      </c>
      <c r="I12851" t="s">
        <v>9606</v>
      </c>
      <c r="J12851" t="s">
        <v>15499</v>
      </c>
      <c r="K12851" t="s">
        <v>19802</v>
      </c>
      <c r="M12851">
        <f>HYPERLINK("https://www.senat.fr/senateur-3eme-republique/de_bertier_de_sauvigny_jean_marie0704r3.html", "de_bertier_de_sauvigny_jean_marie0704r3")</f>
        <v>0</v>
      </c>
      <c r="N12851">
        <f>HYPERLINK("https://www.wikidata.org/wiki/Q3175273", "Q3175273")</f>
        <v>0</v>
      </c>
      <c r="O12851" t="s">
        <v>20050</v>
      </c>
      <c r="Q12851" t="s">
        <v>403</v>
      </c>
      <c r="R12851" t="s">
        <v>21650</v>
      </c>
      <c r="S12851">
        <v>7959</v>
      </c>
    </row>
    <row r="12852" spans="1:19">
      <c r="A12852" t="s">
        <v>142</v>
      </c>
      <c r="B12852" t="s">
        <v>150</v>
      </c>
      <c r="C12852" t="s">
        <v>274</v>
      </c>
      <c r="D12852" t="s">
        <v>403</v>
      </c>
      <c r="F12852">
        <f>HYPERLINK("https://www.wikidata.org/wiki/Q28494840", "Q28494840")</f>
        <v>0</v>
      </c>
      <c r="G12852" t="s">
        <v>5040</v>
      </c>
      <c r="H12852" t="s">
        <v>9172</v>
      </c>
      <c r="I12852" t="s">
        <v>7642</v>
      </c>
      <c r="J12852" t="s">
        <v>15466</v>
      </c>
      <c r="K12852" t="s">
        <v>19767</v>
      </c>
      <c r="M12852">
        <f>HYPERLINK("https://www.senat.fr/senateur-3eme-republique/bompard_maurice0711r3.html", "bompard_maurice0711r3")</f>
        <v>0</v>
      </c>
      <c r="N12852">
        <f>HYPERLINK("https://www.wikidata.org/wiki/Q3300459", "Q3300459")</f>
        <v>0</v>
      </c>
      <c r="O12852" t="s">
        <v>20050</v>
      </c>
      <c r="Q12852" t="s">
        <v>403</v>
      </c>
      <c r="R12852" t="s">
        <v>21650</v>
      </c>
      <c r="S12852">
        <v>7959</v>
      </c>
    </row>
    <row r="12853" spans="1:19">
      <c r="A12853" t="s">
        <v>142</v>
      </c>
      <c r="B12853" t="s">
        <v>150</v>
      </c>
      <c r="C12853" t="s">
        <v>274</v>
      </c>
      <c r="D12853" t="s">
        <v>403</v>
      </c>
      <c r="F12853">
        <f>HYPERLINK("https://www.wikidata.org/wiki/Q28494840", "Q28494840")</f>
        <v>0</v>
      </c>
      <c r="G12853" t="s">
        <v>5041</v>
      </c>
      <c r="H12853" t="s">
        <v>9173</v>
      </c>
      <c r="I12853" t="s">
        <v>6200</v>
      </c>
      <c r="J12853" t="s">
        <v>15467</v>
      </c>
      <c r="K12853" t="s">
        <v>16158</v>
      </c>
      <c r="M12853">
        <f>HYPERLINK("https://www.senat.fr/senateur-3eme-republique/stuhl_jean0708r3.html", "stuhl_jean0708r3")</f>
        <v>0</v>
      </c>
      <c r="N12853">
        <f>HYPERLINK("https://www.wikidata.org/wiki/Q3174691", "Q3174691")</f>
        <v>0</v>
      </c>
      <c r="O12853" t="s">
        <v>20050</v>
      </c>
      <c r="Q12853" t="s">
        <v>403</v>
      </c>
      <c r="R12853" t="s">
        <v>16357</v>
      </c>
      <c r="S12853">
        <v>3291</v>
      </c>
    </row>
    <row r="12854" spans="1:19">
      <c r="A12854" t="s">
        <v>142</v>
      </c>
      <c r="B12854" t="s">
        <v>150</v>
      </c>
      <c r="C12854" t="s">
        <v>274</v>
      </c>
      <c r="D12854" t="s">
        <v>403</v>
      </c>
      <c r="F12854">
        <f>HYPERLINK("https://www.wikidata.org/wiki/Q28494840", "Q28494840")</f>
        <v>0</v>
      </c>
      <c r="G12854" t="s">
        <v>5042</v>
      </c>
      <c r="H12854" t="s">
        <v>9174</v>
      </c>
      <c r="I12854" t="s">
        <v>9552</v>
      </c>
      <c r="J12854" t="s">
        <v>15468</v>
      </c>
      <c r="K12854" t="s">
        <v>19768</v>
      </c>
      <c r="M12854">
        <f>HYPERLINK("https://www.senat.fr/senateur-3eme-republique/hirschauer_auguste0707r3.html", "hirschauer_auguste0707r3")</f>
        <v>0</v>
      </c>
      <c r="N12854">
        <f>HYPERLINK("https://www.wikidata.org/wiki/Q346087", "Q346087")</f>
        <v>0</v>
      </c>
      <c r="O12854" t="s">
        <v>20050</v>
      </c>
      <c r="Q12854" t="s">
        <v>403</v>
      </c>
      <c r="R12854" t="s">
        <v>16357</v>
      </c>
      <c r="S12854">
        <v>3291</v>
      </c>
    </row>
    <row r="12855" spans="1:19">
      <c r="A12855" t="s">
        <v>142</v>
      </c>
      <c r="B12855" t="s">
        <v>150</v>
      </c>
      <c r="C12855" t="s">
        <v>274</v>
      </c>
      <c r="D12855" t="s">
        <v>403</v>
      </c>
      <c r="F12855">
        <f>HYPERLINK("https://www.wikidata.org/wiki/Q28494840", "Q28494840")</f>
        <v>0</v>
      </c>
      <c r="G12855" t="s">
        <v>5043</v>
      </c>
      <c r="H12855" t="s">
        <v>9175</v>
      </c>
      <c r="I12855" t="s">
        <v>9457</v>
      </c>
      <c r="J12855" t="s">
        <v>12216</v>
      </c>
      <c r="K12855" t="s">
        <v>19769</v>
      </c>
      <c r="M12855">
        <f>HYPERLINK("https://www.senat.fr/senateur-3eme-republique/de_marguerie_henri0709r3.html", "de_marguerie_henri0709r3")</f>
        <v>0</v>
      </c>
      <c r="N12855">
        <f>HYPERLINK("https://www.wikidata.org/wiki/Q3132324", "Q3132324")</f>
        <v>0</v>
      </c>
      <c r="O12855" t="s">
        <v>20050</v>
      </c>
      <c r="Q12855" t="s">
        <v>403</v>
      </c>
      <c r="R12855" t="s">
        <v>21650</v>
      </c>
      <c r="S12855">
        <v>7959</v>
      </c>
    </row>
    <row r="12856" spans="1:19">
      <c r="A12856" t="s">
        <v>142</v>
      </c>
      <c r="B12856" t="s">
        <v>150</v>
      </c>
      <c r="C12856" t="s">
        <v>274</v>
      </c>
      <c r="D12856" t="s">
        <v>403</v>
      </c>
      <c r="F12856">
        <f>HYPERLINK("https://www.wikidata.org/wiki/Q28494840", "Q28494840")</f>
        <v>0</v>
      </c>
      <c r="G12856" t="s">
        <v>5102</v>
      </c>
      <c r="H12856" t="s">
        <v>9229</v>
      </c>
      <c r="I12856" t="s">
        <v>9389</v>
      </c>
      <c r="J12856" t="s">
        <v>11890</v>
      </c>
      <c r="K12856" t="s">
        <v>18498</v>
      </c>
      <c r="M12856">
        <f>HYPERLINK("https://www.senat.fr/senateur-3eme-republique/magnien_emile1256r3.html", "magnien_emile1256r3")</f>
        <v>0</v>
      </c>
      <c r="N12856">
        <f>HYPERLINK("https://www.wikidata.org/wiki/Q3588631", "Q3588631")</f>
        <v>0</v>
      </c>
      <c r="O12856" t="s">
        <v>20032</v>
      </c>
      <c r="Q12856" t="s">
        <v>403</v>
      </c>
      <c r="R12856" t="s">
        <v>16357</v>
      </c>
      <c r="S12856">
        <v>3291</v>
      </c>
    </row>
    <row r="12857" spans="1:19">
      <c r="A12857" t="s">
        <v>142</v>
      </c>
      <c r="B12857" t="s">
        <v>150</v>
      </c>
      <c r="C12857" t="s">
        <v>274</v>
      </c>
      <c r="D12857" t="s">
        <v>403</v>
      </c>
      <c r="F12857">
        <f>HYPERLINK("https://www.wikidata.org/wiki/Q28494840", "Q28494840")</f>
        <v>0</v>
      </c>
      <c r="G12857" t="s">
        <v>5103</v>
      </c>
      <c r="H12857" t="s">
        <v>9230</v>
      </c>
      <c r="I12857" t="s">
        <v>6166</v>
      </c>
      <c r="J12857" t="s">
        <v>15490</v>
      </c>
      <c r="K12857" t="s">
        <v>19816</v>
      </c>
      <c r="M12857">
        <f>HYPERLINK("https://www.senat.fr/senateur-3eme-republique/gay_francois1265r3.html", "gay_francois1265r3")</f>
        <v>0</v>
      </c>
      <c r="N12857">
        <f>HYPERLINK("https://www.wikidata.org/wiki/Q3084708", "Q3084708")</f>
        <v>0</v>
      </c>
      <c r="O12857" t="s">
        <v>20032</v>
      </c>
      <c r="Q12857" t="s">
        <v>403</v>
      </c>
      <c r="R12857" t="s">
        <v>16357</v>
      </c>
      <c r="S12857">
        <v>3291</v>
      </c>
    </row>
    <row r="12858" spans="1:19">
      <c r="A12858" t="s">
        <v>142</v>
      </c>
      <c r="B12858" t="s">
        <v>150</v>
      </c>
      <c r="C12858" t="s">
        <v>274</v>
      </c>
      <c r="D12858" t="s">
        <v>403</v>
      </c>
      <c r="F12858">
        <f>HYPERLINK("https://www.wikidata.org/wiki/Q28494840", "Q28494840")</f>
        <v>0</v>
      </c>
      <c r="G12858" t="s">
        <v>5082</v>
      </c>
      <c r="H12858" t="s">
        <v>9212</v>
      </c>
      <c r="I12858" t="s">
        <v>9470</v>
      </c>
      <c r="J12858" t="s">
        <v>12218</v>
      </c>
      <c r="K12858" t="s">
        <v>19800</v>
      </c>
      <c r="M12858">
        <f>HYPERLINK("https://www.senat.fr/senateur-3eme-republique/provost_dumarchais_gaston1269r3.html", "provost_dumarchais_gaston1269r3")</f>
        <v>0</v>
      </c>
      <c r="N12858">
        <f>HYPERLINK("https://www.wikidata.org/wiki/Q3099121", "Q3099121")</f>
        <v>0</v>
      </c>
      <c r="O12858" t="s">
        <v>20032</v>
      </c>
      <c r="Q12858" t="s">
        <v>403</v>
      </c>
      <c r="R12858" t="s">
        <v>16357</v>
      </c>
      <c r="S12858">
        <v>3291</v>
      </c>
    </row>
    <row r="12859" spans="1:19">
      <c r="A12859" t="s">
        <v>142</v>
      </c>
      <c r="B12859" t="s">
        <v>150</v>
      </c>
      <c r="C12859" t="s">
        <v>274</v>
      </c>
      <c r="D12859" t="s">
        <v>403</v>
      </c>
      <c r="F12859">
        <f>HYPERLINK("https://www.wikidata.org/wiki/Q28494840", "Q28494840")</f>
        <v>0</v>
      </c>
      <c r="G12859" t="s">
        <v>4958</v>
      </c>
      <c r="H12859" t="s">
        <v>9091</v>
      </c>
      <c r="I12859" t="s">
        <v>9385</v>
      </c>
      <c r="J12859" t="s">
        <v>15397</v>
      </c>
      <c r="K12859" t="s">
        <v>19695</v>
      </c>
      <c r="M12859">
        <f>HYPERLINK("https://www.senat.fr/senateur-3eme-republique/debierre_charles1406r3.html", "debierre_charles1406r3")</f>
        <v>0</v>
      </c>
      <c r="N12859">
        <f>HYPERLINK("https://www.wikidata.org/wiki/Q2958854", "Q2958854")</f>
        <v>0</v>
      </c>
      <c r="O12859" t="s">
        <v>20013</v>
      </c>
      <c r="Q12859" t="s">
        <v>403</v>
      </c>
      <c r="R12859" t="s">
        <v>21650</v>
      </c>
      <c r="S12859">
        <v>7959</v>
      </c>
    </row>
    <row r="12860" spans="1:19">
      <c r="A12860" t="s">
        <v>142</v>
      </c>
      <c r="B12860" t="s">
        <v>150</v>
      </c>
      <c r="C12860" t="s">
        <v>274</v>
      </c>
      <c r="D12860" t="s">
        <v>403</v>
      </c>
      <c r="F12860">
        <f>HYPERLINK("https://www.wikidata.org/wiki/Q28494840", "Q28494840")</f>
        <v>0</v>
      </c>
      <c r="G12860" t="s">
        <v>4894</v>
      </c>
      <c r="H12860" t="s">
        <v>9030</v>
      </c>
      <c r="I12860" t="s">
        <v>9552</v>
      </c>
      <c r="J12860" t="s">
        <v>15338</v>
      </c>
      <c r="K12860" t="s">
        <v>19642</v>
      </c>
      <c r="M12860">
        <f>HYPERLINK("https://www.senat.fr/senateur-3eme-republique/potie_auguste1410r3.html", "potie_auguste1410r3")</f>
        <v>0</v>
      </c>
      <c r="N12860">
        <f>HYPERLINK("https://www.wikidata.org/wiki/Q2871364", "Q2871364")</f>
        <v>0</v>
      </c>
      <c r="O12860" t="s">
        <v>20013</v>
      </c>
      <c r="Q12860" t="s">
        <v>403</v>
      </c>
      <c r="R12860" t="s">
        <v>16357</v>
      </c>
      <c r="S12860">
        <v>3291</v>
      </c>
    </row>
    <row r="12861" spans="1:19">
      <c r="A12861" t="s">
        <v>142</v>
      </c>
      <c r="B12861" t="s">
        <v>150</v>
      </c>
      <c r="C12861" t="s">
        <v>274</v>
      </c>
      <c r="D12861" t="s">
        <v>403</v>
      </c>
      <c r="F12861">
        <f>HYPERLINK("https://www.wikidata.org/wiki/Q28494840", "Q28494840")</f>
        <v>0</v>
      </c>
      <c r="G12861" t="s">
        <v>5104</v>
      </c>
      <c r="H12861" t="s">
        <v>9231</v>
      </c>
      <c r="I12861" t="s">
        <v>6584</v>
      </c>
      <c r="J12861" t="s">
        <v>15515</v>
      </c>
      <c r="K12861" t="s">
        <v>19817</v>
      </c>
      <c r="M12861">
        <f>HYPERLINK("https://www.senat.fr/senateur-3eme-republique/mahieu_albert1396r3.html", "mahieu_albert1396r3")</f>
        <v>0</v>
      </c>
      <c r="N12861">
        <f>HYPERLINK("https://www.wikidata.org/wiki/Q2831368", "Q2831368")</f>
        <v>0</v>
      </c>
      <c r="O12861" t="s">
        <v>20013</v>
      </c>
      <c r="Q12861" t="s">
        <v>403</v>
      </c>
      <c r="R12861" t="s">
        <v>16357</v>
      </c>
      <c r="S12861">
        <v>3291</v>
      </c>
    </row>
    <row r="12862" spans="1:19">
      <c r="A12862" t="s">
        <v>142</v>
      </c>
      <c r="B12862" t="s">
        <v>150</v>
      </c>
      <c r="C12862" t="s">
        <v>274</v>
      </c>
      <c r="D12862" t="s">
        <v>403</v>
      </c>
      <c r="F12862">
        <f>HYPERLINK("https://www.wikidata.org/wiki/Q28494840", "Q28494840")</f>
        <v>0</v>
      </c>
      <c r="G12862" t="s">
        <v>5046</v>
      </c>
      <c r="H12862" t="s">
        <v>9178</v>
      </c>
      <c r="I12862" t="s">
        <v>5528</v>
      </c>
      <c r="J12862" t="s">
        <v>15471</v>
      </c>
      <c r="K12862" t="s">
        <v>19771</v>
      </c>
      <c r="M12862">
        <f>HYPERLINK("https://www.senat.fr/senateur-3eme-republique/roland_leon0879r3.html", "roland_leon0879r3")</f>
        <v>0</v>
      </c>
      <c r="N12862">
        <f>HYPERLINK("https://www.wikidata.org/wiki/Q3271306", "Q3271306")</f>
        <v>0</v>
      </c>
      <c r="O12862" t="s">
        <v>19989</v>
      </c>
      <c r="Q12862" t="s">
        <v>403</v>
      </c>
      <c r="R12862" t="s">
        <v>21650</v>
      </c>
      <c r="S12862">
        <v>7959</v>
      </c>
    </row>
    <row r="12863" spans="1:19">
      <c r="A12863" t="s">
        <v>142</v>
      </c>
      <c r="B12863" t="s">
        <v>150</v>
      </c>
      <c r="C12863" t="s">
        <v>274</v>
      </c>
      <c r="D12863" t="s">
        <v>403</v>
      </c>
      <c r="F12863">
        <f>HYPERLINK("https://www.wikidata.org/wiki/Q28494840", "Q28494840")</f>
        <v>0</v>
      </c>
      <c r="G12863" t="s">
        <v>5105</v>
      </c>
      <c r="H12863" t="s">
        <v>9232</v>
      </c>
      <c r="I12863" t="s">
        <v>9602</v>
      </c>
      <c r="J12863" t="s">
        <v>15516</v>
      </c>
      <c r="K12863" t="s">
        <v>19818</v>
      </c>
      <c r="M12863">
        <f>HYPERLINK("https://www.senat.fr/senateur-3eme-republique/theret_edmond0951r3.html", "theret_edmond0951r3")</f>
        <v>0</v>
      </c>
      <c r="N12863">
        <f>HYPERLINK("https://www.wikidata.org/wiki/Q3048001", "Q3048001")</f>
        <v>0</v>
      </c>
      <c r="O12863" t="s">
        <v>19968</v>
      </c>
      <c r="Q12863" t="s">
        <v>403</v>
      </c>
      <c r="R12863" t="s">
        <v>21279</v>
      </c>
      <c r="S12863">
        <v>1098</v>
      </c>
    </row>
    <row r="12864" spans="1:19">
      <c r="A12864" t="s">
        <v>142</v>
      </c>
      <c r="B12864" t="s">
        <v>150</v>
      </c>
      <c r="C12864" t="s">
        <v>274</v>
      </c>
      <c r="D12864" t="s">
        <v>403</v>
      </c>
      <c r="F12864">
        <f>HYPERLINK("https://www.wikidata.org/wiki/Q28494840", "Q28494840")</f>
        <v>0</v>
      </c>
      <c r="G12864" t="s">
        <v>5106</v>
      </c>
      <c r="H12864" t="s">
        <v>9233</v>
      </c>
      <c r="I12864" t="s">
        <v>9818</v>
      </c>
      <c r="J12864" t="s">
        <v>15517</v>
      </c>
      <c r="K12864" t="s">
        <v>16855</v>
      </c>
      <c r="M12864">
        <f>HYPERLINK("https://www.senat.fr/senateur-3eme-republique/valette_desire0718r3.html", "valette_desire0718r3")</f>
        <v>0</v>
      </c>
      <c r="N12864">
        <f>HYPERLINK("https://www.wikidata.org/wiki/Q3045197", "Q3045197")</f>
        <v>0</v>
      </c>
      <c r="O12864" t="s">
        <v>20044</v>
      </c>
      <c r="Q12864" t="s">
        <v>21254</v>
      </c>
      <c r="R12864" t="s">
        <v>21705</v>
      </c>
      <c r="S12864">
        <v>2143</v>
      </c>
    </row>
    <row r="12865" spans="1:19">
      <c r="A12865" t="s">
        <v>142</v>
      </c>
      <c r="B12865" t="s">
        <v>150</v>
      </c>
      <c r="C12865" t="s">
        <v>274</v>
      </c>
      <c r="D12865" t="s">
        <v>403</v>
      </c>
      <c r="F12865">
        <f>HYPERLINK("https://www.wikidata.org/wiki/Q28494840", "Q28494840")</f>
        <v>0</v>
      </c>
      <c r="G12865" t="s">
        <v>534</v>
      </c>
      <c r="H12865" t="s">
        <v>5298</v>
      </c>
      <c r="I12865" t="s">
        <v>9388</v>
      </c>
      <c r="J12865" t="s">
        <v>11286</v>
      </c>
      <c r="K12865" t="s">
        <v>15686</v>
      </c>
      <c r="L12865">
        <f>HYPERLINK("https://www2.assemblee-nationale.fr/sycomore/fiche/(num_dept)/882", "882")</f>
        <v>0</v>
      </c>
      <c r="M12865">
        <f>HYPERLINK("https://www.senat.fr/senateur-3eme-republique/bluysen_paul1835r3.html", "bluysen_paul1835r3")</f>
        <v>0</v>
      </c>
      <c r="N12865">
        <f>HYPERLINK("https://www.wikidata.org/wiki/Q20027761", "Q20027761")</f>
        <v>0</v>
      </c>
      <c r="Q12865" t="s">
        <v>21255</v>
      </c>
      <c r="R12865" t="s">
        <v>21714</v>
      </c>
      <c r="S12865">
        <v>1032</v>
      </c>
    </row>
    <row r="12866" spans="1:19">
      <c r="A12866" t="s">
        <v>142</v>
      </c>
      <c r="B12866" t="s">
        <v>150</v>
      </c>
      <c r="C12866" t="s">
        <v>274</v>
      </c>
      <c r="D12866" t="s">
        <v>403</v>
      </c>
      <c r="F12866">
        <f>HYPERLINK("https://www.wikidata.org/wiki/Q28494840", "Q28494840")</f>
        <v>0</v>
      </c>
      <c r="G12866" t="s">
        <v>1273</v>
      </c>
      <c r="H12866" t="s">
        <v>5997</v>
      </c>
      <c r="I12866" t="s">
        <v>6175</v>
      </c>
      <c r="J12866" t="s">
        <v>12003</v>
      </c>
      <c r="K12866" t="s">
        <v>16406</v>
      </c>
      <c r="L12866">
        <f>HYPERLINK("https://www2.assemblee-nationale.fr/sycomore/fiche/(num_dept)/4850", "4850")</f>
        <v>0</v>
      </c>
      <c r="M12866">
        <f>HYPERLINK("https://www.senat.fr/senateur-3eme-republique/lugol_georges1591r3.html", "lugol_georges1591r3")</f>
        <v>0</v>
      </c>
      <c r="N12866">
        <f>HYPERLINK("https://www.wikidata.org/wiki/Q3188745", "Q3188745")</f>
        <v>0</v>
      </c>
      <c r="O12866" t="s">
        <v>20026</v>
      </c>
      <c r="Q12866" t="s">
        <v>21255</v>
      </c>
      <c r="R12866" t="s">
        <v>21279</v>
      </c>
      <c r="S12866">
        <v>1035</v>
      </c>
    </row>
    <row r="12867" spans="1:19">
      <c r="A12867" t="s">
        <v>142</v>
      </c>
      <c r="B12867" t="s">
        <v>150</v>
      </c>
      <c r="C12867" t="s">
        <v>274</v>
      </c>
      <c r="D12867" t="s">
        <v>403</v>
      </c>
      <c r="F12867">
        <f>HYPERLINK("https://www.wikidata.org/wiki/Q28494840", "Q28494840")</f>
        <v>0</v>
      </c>
      <c r="G12867" t="s">
        <v>538</v>
      </c>
      <c r="H12867" t="s">
        <v>5302</v>
      </c>
      <c r="I12867" t="s">
        <v>5592</v>
      </c>
      <c r="J12867" t="s">
        <v>11290</v>
      </c>
      <c r="K12867" t="s">
        <v>15690</v>
      </c>
      <c r="L12867">
        <f>HYPERLINK("https://www2.assemblee-nationale.fr/sycomore/fiche/(num_dept)/955", "955")</f>
        <v>0</v>
      </c>
      <c r="M12867">
        <f>HYPERLINK("https://www.senat.fr/senateur-3eme-republique/bonnevay_laurent1123r3.html", "bonnevay_laurent1123r3")</f>
        <v>0</v>
      </c>
      <c r="N12867">
        <f>HYPERLINK("https://www.wikidata.org/wiki/Q3219051", "Q3219051")</f>
        <v>0</v>
      </c>
      <c r="O12867" t="s">
        <v>19965</v>
      </c>
      <c r="Q12867" t="s">
        <v>21256</v>
      </c>
      <c r="R12867" t="s">
        <v>21279</v>
      </c>
      <c r="S12867">
        <v>1000</v>
      </c>
    </row>
    <row r="12868" spans="1:19">
      <c r="A12868" t="s">
        <v>142</v>
      </c>
      <c r="B12868" t="s">
        <v>150</v>
      </c>
      <c r="C12868" t="s">
        <v>274</v>
      </c>
      <c r="D12868" t="s">
        <v>403</v>
      </c>
      <c r="F12868">
        <f>HYPERLINK("https://www.wikidata.org/wiki/Q28494840", "Q28494840")</f>
        <v>0</v>
      </c>
      <c r="G12868" t="s">
        <v>1212</v>
      </c>
      <c r="H12868" t="s">
        <v>5940</v>
      </c>
      <c r="I12868" t="s">
        <v>6478</v>
      </c>
      <c r="J12868" t="s">
        <v>11944</v>
      </c>
      <c r="K12868" t="s">
        <v>16346</v>
      </c>
      <c r="L12868">
        <f>HYPERLINK("https://www2.assemblee-nationale.fr/sycomore/fiche/(num_dept)/7751", "7751")</f>
        <v>0</v>
      </c>
      <c r="M12868">
        <f>HYPERLINK("https://www.senat.fr/senateur-3eme-republique/lemery_henry0701r3.html", "lemery_henry0701r3")</f>
        <v>0</v>
      </c>
      <c r="N12868">
        <f>HYPERLINK("https://www.wikidata.org/wiki/Q3132926", "Q3132926")</f>
        <v>0</v>
      </c>
      <c r="O12868" t="s">
        <v>20035</v>
      </c>
      <c r="Q12868" t="s">
        <v>21257</v>
      </c>
      <c r="R12868" t="s">
        <v>16357</v>
      </c>
      <c r="S12868">
        <v>3179</v>
      </c>
    </row>
    <row r="12869" spans="1:19">
      <c r="A12869" t="s">
        <v>142</v>
      </c>
      <c r="B12869" t="s">
        <v>150</v>
      </c>
      <c r="C12869" t="s">
        <v>274</v>
      </c>
      <c r="D12869" t="s">
        <v>403</v>
      </c>
      <c r="F12869">
        <f>HYPERLINK("https://www.wikidata.org/wiki/Q28494840", "Q28494840")</f>
        <v>0</v>
      </c>
      <c r="G12869" t="s">
        <v>4174</v>
      </c>
      <c r="H12869" t="s">
        <v>6445</v>
      </c>
      <c r="I12869" t="s">
        <v>9457</v>
      </c>
      <c r="J12869" t="s">
        <v>14695</v>
      </c>
      <c r="K12869" t="s">
        <v>19036</v>
      </c>
      <c r="L12869">
        <f>HYPERLINK("https://www2.assemblee-nationale.fr/sycomore/fiche/(num_dept)/2163", "2163")</f>
        <v>0</v>
      </c>
      <c r="M12869">
        <f>HYPERLINK("https://www.senat.fr/senateur-3eme-republique/dauthy_henry0275r3.html", "dauthy_henry0275r3")</f>
        <v>0</v>
      </c>
      <c r="N12869">
        <f>HYPERLINK("https://www.wikidata.org/wiki/Q3132716", "Q3132716")</f>
        <v>0</v>
      </c>
      <c r="O12869" t="s">
        <v>19975</v>
      </c>
      <c r="Q12869" t="s">
        <v>21258</v>
      </c>
      <c r="R12869" t="s">
        <v>16357</v>
      </c>
      <c r="S12869">
        <v>3172</v>
      </c>
    </row>
    <row r="12870" spans="1:19">
      <c r="A12870" t="s">
        <v>142</v>
      </c>
      <c r="B12870" t="s">
        <v>150</v>
      </c>
      <c r="C12870" t="s">
        <v>274</v>
      </c>
      <c r="D12870" t="s">
        <v>403</v>
      </c>
      <c r="F12870">
        <f>HYPERLINK("https://www.wikidata.org/wiki/Q28494840", "Q28494840")</f>
        <v>0</v>
      </c>
      <c r="G12870" t="s">
        <v>1382</v>
      </c>
      <c r="H12870" t="s">
        <v>6093</v>
      </c>
      <c r="I12870" t="s">
        <v>6731</v>
      </c>
      <c r="J12870" t="s">
        <v>12108</v>
      </c>
      <c r="K12870" t="s">
        <v>16509</v>
      </c>
      <c r="L12870">
        <f>HYPERLINK("https://www2.assemblee-nationale.fr/sycomore/fiche/(num_dept)/953", "953")</f>
        <v>0</v>
      </c>
      <c r="M12870">
        <f>HYPERLINK("https://www.senat.fr/senateur-3eme-republique/bonnet_de_paillerets_marie0861r3.html", "bonnet_de_paillerets_marie0861r3")</f>
        <v>0</v>
      </c>
      <c r="N12870">
        <f>HYPERLINK("https://www.wikidata.org/wiki/Q3184631", "Q3184631")</f>
        <v>0</v>
      </c>
      <c r="O12870" t="s">
        <v>20004</v>
      </c>
      <c r="Q12870" t="s">
        <v>20572</v>
      </c>
      <c r="R12870" t="s">
        <v>21715</v>
      </c>
      <c r="S12870">
        <v>1588</v>
      </c>
    </row>
    <row r="12871" spans="1:19">
      <c r="A12871" t="s">
        <v>142</v>
      </c>
      <c r="B12871" t="s">
        <v>150</v>
      </c>
      <c r="C12871" t="s">
        <v>274</v>
      </c>
      <c r="D12871" t="s">
        <v>403</v>
      </c>
      <c r="F12871">
        <f>HYPERLINK("https://www.wikidata.org/wiki/Q28494840", "Q28494840")</f>
        <v>0</v>
      </c>
      <c r="G12871" t="s">
        <v>5107</v>
      </c>
      <c r="H12871" t="s">
        <v>9234</v>
      </c>
      <c r="I12871" t="s">
        <v>6175</v>
      </c>
      <c r="J12871" t="s">
        <v>15518</v>
      </c>
      <c r="K12871" t="s">
        <v>19819</v>
      </c>
      <c r="M12871">
        <f>HYPERLINK("https://www.senat.fr/senateur-3eme-republique/bruguier_georges0829r3.html", "bruguier_georges0829r3")</f>
        <v>0</v>
      </c>
      <c r="N12871">
        <f>HYPERLINK("https://www.wikidata.org/wiki/Q1508824", "Q1508824")</f>
        <v>0</v>
      </c>
      <c r="O12871" t="s">
        <v>20014</v>
      </c>
      <c r="Q12871" t="s">
        <v>21259</v>
      </c>
      <c r="R12871" t="s">
        <v>21707</v>
      </c>
      <c r="S12871">
        <v>1980</v>
      </c>
    </row>
    <row r="12872" spans="1:19">
      <c r="A12872" t="s">
        <v>142</v>
      </c>
      <c r="B12872" t="s">
        <v>150</v>
      </c>
      <c r="C12872" t="s">
        <v>274</v>
      </c>
      <c r="D12872" t="s">
        <v>403</v>
      </c>
      <c r="F12872">
        <f>HYPERLINK("https://www.wikidata.org/wiki/Q28494840", "Q28494840")</f>
        <v>0</v>
      </c>
      <c r="G12872" t="s">
        <v>5108</v>
      </c>
      <c r="H12872" t="s">
        <v>9235</v>
      </c>
      <c r="I12872" t="s">
        <v>7642</v>
      </c>
      <c r="J12872" t="s">
        <v>15519</v>
      </c>
      <c r="K12872" t="s">
        <v>19820</v>
      </c>
      <c r="M12872">
        <f>HYPERLINK("https://www.senat.fr/senateur-3eme-republique/langlois_meurinne_maurice0880r3.html", "langlois_meurinne_maurice0880r3")</f>
        <v>0</v>
      </c>
      <c r="N12872">
        <f>HYPERLINK("https://www.wikidata.org/wiki/Q3301006", "Q3301006")</f>
        <v>0</v>
      </c>
      <c r="O12872" t="s">
        <v>19989</v>
      </c>
      <c r="Q12872" t="s">
        <v>21260</v>
      </c>
      <c r="R12872" t="s">
        <v>16357</v>
      </c>
      <c r="S12872">
        <v>3123</v>
      </c>
    </row>
    <row r="12873" spans="1:19">
      <c r="A12873" t="s">
        <v>142</v>
      </c>
      <c r="B12873" t="s">
        <v>150</v>
      </c>
      <c r="C12873" t="s">
        <v>274</v>
      </c>
      <c r="D12873" t="s">
        <v>403</v>
      </c>
      <c r="F12873">
        <f>HYPERLINK("https://www.wikidata.org/wiki/Q28494840", "Q28494840")</f>
        <v>0</v>
      </c>
      <c r="G12873" t="s">
        <v>1101</v>
      </c>
      <c r="H12873" t="s">
        <v>5842</v>
      </c>
      <c r="I12873" t="s">
        <v>9407</v>
      </c>
      <c r="J12873" t="s">
        <v>11837</v>
      </c>
      <c r="K12873" t="s">
        <v>16237</v>
      </c>
      <c r="L12873">
        <f>HYPERLINK("https://www2.assemblee-nationale.fr/sycomore/fiche/(num_dept)/3420", "3420")</f>
        <v>0</v>
      </c>
      <c r="M12873">
        <f>HYPERLINK("https://www.senat.fr/senateur-3eme-republique/giordan_joseph0494r3.html", "giordan_joseph0494r3")</f>
        <v>0</v>
      </c>
      <c r="N12873">
        <f>HYPERLINK("https://www.wikidata.org/wiki/Q3185017", "Q3185017")</f>
        <v>0</v>
      </c>
      <c r="O12873" t="s">
        <v>19955</v>
      </c>
      <c r="Q12873" t="s">
        <v>21261</v>
      </c>
      <c r="R12873" t="s">
        <v>17145</v>
      </c>
      <c r="S12873">
        <v>2624</v>
      </c>
    </row>
    <row r="12874" spans="1:19">
      <c r="A12874" t="s">
        <v>142</v>
      </c>
      <c r="B12874" t="s">
        <v>150</v>
      </c>
      <c r="C12874" t="s">
        <v>274</v>
      </c>
      <c r="D12874" t="s">
        <v>403</v>
      </c>
      <c r="F12874">
        <f>HYPERLINK("https://www.wikidata.org/wiki/Q28494840", "Q28494840")</f>
        <v>0</v>
      </c>
      <c r="G12874" t="s">
        <v>5109</v>
      </c>
      <c r="H12874" t="s">
        <v>9236</v>
      </c>
      <c r="I12874" t="s">
        <v>9375</v>
      </c>
      <c r="J12874" t="s">
        <v>15520</v>
      </c>
      <c r="K12874" t="s">
        <v>19821</v>
      </c>
      <c r="M12874">
        <f>HYPERLINK("https://www.senat.fr/senateur-3eme-republique/gigon_edouard1253r3.html", "gigon_edouard1253r3")</f>
        <v>0</v>
      </c>
      <c r="N12874">
        <f>HYPERLINK("https://www.wikidata.org/wiki/Q3579860", "Q3579860")</f>
        <v>0</v>
      </c>
      <c r="O12874" t="s">
        <v>19956</v>
      </c>
      <c r="Q12874" t="s">
        <v>21262</v>
      </c>
      <c r="R12874" t="s">
        <v>21716</v>
      </c>
      <c r="S12874">
        <v>295</v>
      </c>
    </row>
    <row r="12875" spans="1:19">
      <c r="A12875" t="s">
        <v>142</v>
      </c>
      <c r="B12875" t="s">
        <v>150</v>
      </c>
      <c r="C12875" t="s">
        <v>274</v>
      </c>
      <c r="D12875" t="s">
        <v>403</v>
      </c>
      <c r="F12875">
        <f>HYPERLINK("https://www.wikidata.org/wiki/Q28494840", "Q28494840")</f>
        <v>0</v>
      </c>
      <c r="G12875" t="s">
        <v>1771</v>
      </c>
      <c r="H12875" t="s">
        <v>6439</v>
      </c>
      <c r="I12875" t="s">
        <v>9941</v>
      </c>
      <c r="J12875" t="s">
        <v>12469</v>
      </c>
      <c r="K12875" t="s">
        <v>16877</v>
      </c>
      <c r="L12875">
        <f>HYPERLINK("https://www2.assemblee-nationale.fr/sycomore/fiche/(num_dept)/1966", "1966")</f>
        <v>0</v>
      </c>
      <c r="M12875">
        <f>HYPERLINK("https://www.senat.fr/senateur-3eme-republique/cornand_leon0086r3.html", "cornand_leon0086r3")</f>
        <v>0</v>
      </c>
      <c r="N12875">
        <f>HYPERLINK("https://www.wikidata.org/wiki/Q3270842", "Q3270842")</f>
        <v>0</v>
      </c>
      <c r="O12875" t="s">
        <v>19981</v>
      </c>
      <c r="Q12875" t="s">
        <v>20575</v>
      </c>
      <c r="R12875" t="s">
        <v>16877</v>
      </c>
      <c r="S12875">
        <v>1746</v>
      </c>
    </row>
    <row r="12876" spans="1:19">
      <c r="A12876" t="s">
        <v>142</v>
      </c>
      <c r="B12876" t="s">
        <v>150</v>
      </c>
      <c r="C12876" t="s">
        <v>274</v>
      </c>
      <c r="D12876" t="s">
        <v>403</v>
      </c>
      <c r="F12876">
        <f>HYPERLINK("https://www.wikidata.org/wiki/Q28494840", "Q28494840")</f>
        <v>0</v>
      </c>
      <c r="G12876" t="s">
        <v>5110</v>
      </c>
      <c r="H12876" t="s">
        <v>9237</v>
      </c>
      <c r="I12876" t="s">
        <v>6495</v>
      </c>
      <c r="J12876" t="s">
        <v>15521</v>
      </c>
      <c r="K12876" t="s">
        <v>19822</v>
      </c>
      <c r="M12876">
        <f>HYPERLINK("https://www.senat.fr/senateur-3eme-republique/mejan_louis0834r3.html", "mejan_louis0834r3")</f>
        <v>0</v>
      </c>
      <c r="N12876">
        <f>HYPERLINK("https://www.wikidata.org/wiki/Q1871880", "Q1871880")</f>
        <v>0</v>
      </c>
      <c r="O12876" t="s">
        <v>20014</v>
      </c>
      <c r="Q12876" t="s">
        <v>21263</v>
      </c>
      <c r="R12876" t="s">
        <v>21705</v>
      </c>
      <c r="S12876">
        <v>1961</v>
      </c>
    </row>
    <row r="12877" spans="1:19">
      <c r="A12877" t="s">
        <v>142</v>
      </c>
      <c r="B12877" t="s">
        <v>150</v>
      </c>
      <c r="C12877" t="s">
        <v>274</v>
      </c>
      <c r="D12877" t="s">
        <v>403</v>
      </c>
      <c r="F12877">
        <f>HYPERLINK("https://www.wikidata.org/wiki/Q28494840", "Q28494840")</f>
        <v>0</v>
      </c>
      <c r="G12877" t="s">
        <v>4080</v>
      </c>
      <c r="H12877" t="s">
        <v>6012</v>
      </c>
      <c r="I12877" t="s">
        <v>11098</v>
      </c>
      <c r="J12877" t="s">
        <v>14619</v>
      </c>
      <c r="K12877" t="s">
        <v>18956</v>
      </c>
      <c r="L12877">
        <f>HYPERLINK("https://www2.assemblee-nationale.fr/sycomore/fiche/(num_dept)/5852", "5852")</f>
        <v>0</v>
      </c>
      <c r="M12877">
        <f>HYPERLINK("https://www.senat.fr/senateur-3eme-republique/petitjean_claude1221r3.html", "petitjean_claude1221r3")</f>
        <v>0</v>
      </c>
      <c r="N12877">
        <f>HYPERLINK("https://www.wikidata.org/wiki/Q2977946", "Q2977946")</f>
        <v>0</v>
      </c>
      <c r="O12877" t="s">
        <v>19994</v>
      </c>
      <c r="Q12877" t="s">
        <v>21264</v>
      </c>
      <c r="R12877" t="s">
        <v>21279</v>
      </c>
      <c r="S12877">
        <v>818</v>
      </c>
    </row>
    <row r="12878" spans="1:19">
      <c r="A12878" t="s">
        <v>142</v>
      </c>
      <c r="B12878" t="s">
        <v>150</v>
      </c>
      <c r="C12878" t="s">
        <v>274</v>
      </c>
      <c r="D12878" t="s">
        <v>403</v>
      </c>
      <c r="F12878">
        <f>HYPERLINK("https://www.wikidata.org/wiki/Q28494840", "Q28494840")</f>
        <v>0</v>
      </c>
      <c r="G12878" t="s">
        <v>5111</v>
      </c>
      <c r="H12878" t="s">
        <v>9238</v>
      </c>
      <c r="I12878" t="s">
        <v>6175</v>
      </c>
      <c r="J12878" t="s">
        <v>15522</v>
      </c>
      <c r="K12878" t="s">
        <v>19823</v>
      </c>
      <c r="M12878">
        <f>HYPERLINK("https://www.senat.fr/senateur-3eme-republique/duprey_georges1215r3.html", "duprey_georges1215r3")</f>
        <v>0</v>
      </c>
      <c r="N12878">
        <f>HYPERLINK("https://www.wikidata.org/wiki/Q3102656", "Q3102656")</f>
        <v>0</v>
      </c>
      <c r="O12878" t="s">
        <v>19994</v>
      </c>
      <c r="Q12878" t="s">
        <v>21264</v>
      </c>
      <c r="R12878" t="s">
        <v>21279</v>
      </c>
      <c r="S12878">
        <v>818</v>
      </c>
    </row>
    <row r="12879" spans="1:19">
      <c r="A12879" t="s">
        <v>142</v>
      </c>
      <c r="B12879" t="s">
        <v>150</v>
      </c>
      <c r="C12879" t="s">
        <v>274</v>
      </c>
      <c r="D12879" t="s">
        <v>403</v>
      </c>
      <c r="F12879">
        <f>HYPERLINK("https://www.wikidata.org/wiki/Q28494840", "Q28494840")</f>
        <v>0</v>
      </c>
      <c r="G12879" t="s">
        <v>526</v>
      </c>
      <c r="H12879" t="s">
        <v>5290</v>
      </c>
      <c r="I12879" t="s">
        <v>5528</v>
      </c>
      <c r="J12879" t="s">
        <v>11278</v>
      </c>
      <c r="K12879" t="s">
        <v>15678</v>
      </c>
      <c r="L12879">
        <f>HYPERLINK("https://www2.assemblee-nationale.fr/sycomore/fiche/(num_dept)/768", "768")</f>
        <v>0</v>
      </c>
      <c r="M12879">
        <f>HYPERLINK("https://www.senat.fr/senateur-3eme-republique/betoulle_leon1788r3.html", "betoulle_leon1788r3")</f>
        <v>0</v>
      </c>
      <c r="N12879">
        <f>HYPERLINK("https://www.wikidata.org/wiki/Q3270743", "Q3270743")</f>
        <v>0</v>
      </c>
      <c r="O12879" t="s">
        <v>19977</v>
      </c>
      <c r="Q12879" t="s">
        <v>21265</v>
      </c>
      <c r="R12879" t="s">
        <v>21279</v>
      </c>
      <c r="S12879">
        <v>755</v>
      </c>
    </row>
    <row r="12880" spans="1:19">
      <c r="A12880" t="s">
        <v>142</v>
      </c>
      <c r="B12880" t="s">
        <v>150</v>
      </c>
      <c r="C12880" t="s">
        <v>274</v>
      </c>
      <c r="D12880" t="s">
        <v>403</v>
      </c>
      <c r="F12880">
        <f>HYPERLINK("https://www.wikidata.org/wiki/Q28494840", "Q28494840")</f>
        <v>0</v>
      </c>
      <c r="G12880" t="s">
        <v>5112</v>
      </c>
      <c r="H12880" t="s">
        <v>8723</v>
      </c>
      <c r="I12880" t="s">
        <v>9389</v>
      </c>
      <c r="J12880" t="s">
        <v>11282</v>
      </c>
      <c r="K12880" t="s">
        <v>19824</v>
      </c>
      <c r="M12880">
        <f>HYPERLINK("https://www.senat.fr/senateur-3eme-republique/roussel_emile0027r3.html", "roussel_emile0027r3")</f>
        <v>0</v>
      </c>
      <c r="N12880">
        <f>HYPERLINK("https://www.wikidata.org/wiki/Q3588730", "Q3588730")</f>
        <v>0</v>
      </c>
      <c r="O12880" t="s">
        <v>20015</v>
      </c>
      <c r="Q12880" t="s">
        <v>21266</v>
      </c>
      <c r="R12880" t="s">
        <v>21705</v>
      </c>
      <c r="S12880">
        <v>1758</v>
      </c>
    </row>
    <row r="12881" spans="1:19">
      <c r="A12881" t="s">
        <v>142</v>
      </c>
      <c r="B12881" t="s">
        <v>150</v>
      </c>
      <c r="C12881" t="s">
        <v>274</v>
      </c>
      <c r="D12881" t="s">
        <v>403</v>
      </c>
      <c r="F12881">
        <f>HYPERLINK("https://www.wikidata.org/wiki/Q28494840", "Q28494840")</f>
        <v>0</v>
      </c>
      <c r="G12881" t="s">
        <v>1005</v>
      </c>
      <c r="H12881" t="s">
        <v>5756</v>
      </c>
      <c r="I12881" t="s">
        <v>9553</v>
      </c>
      <c r="J12881" t="s">
        <v>11742</v>
      </c>
      <c r="K12881" t="s">
        <v>16146</v>
      </c>
      <c r="L12881">
        <f>HYPERLINK("https://www2.assemblee-nationale.fr/sycomore/fiche/(num_dept)/5284", "5284")</f>
        <v>0</v>
      </c>
      <c r="M12881">
        <f>HYPERLINK("https://www.senat.fr/senateur-3eme-republique/millerand_alexandre0910r3.html", "millerand_alexandre0910r3")</f>
        <v>0</v>
      </c>
      <c r="N12881">
        <f>HYPERLINK("https://www.wikidata.org/wiki/Q274540", "Q274540")</f>
        <v>0</v>
      </c>
      <c r="O12881" t="s">
        <v>19957</v>
      </c>
      <c r="Q12881" t="s">
        <v>18684</v>
      </c>
      <c r="R12881" t="s">
        <v>21717</v>
      </c>
      <c r="S12881">
        <v>937</v>
      </c>
    </row>
    <row r="12882" spans="1:19">
      <c r="A12882" t="s">
        <v>142</v>
      </c>
      <c r="B12882" t="s">
        <v>150</v>
      </c>
      <c r="C12882" t="s">
        <v>274</v>
      </c>
      <c r="D12882" t="s">
        <v>403</v>
      </c>
      <c r="F12882">
        <f>HYPERLINK("https://www.wikidata.org/wiki/Q28494840", "Q28494840")</f>
        <v>0</v>
      </c>
      <c r="G12882" t="s">
        <v>4189</v>
      </c>
      <c r="H12882" t="s">
        <v>7631</v>
      </c>
      <c r="I12882" t="s">
        <v>9602</v>
      </c>
      <c r="J12882" t="s">
        <v>14706</v>
      </c>
      <c r="K12882" t="s">
        <v>17268</v>
      </c>
      <c r="L12882">
        <f>HYPERLINK("https://www2.assemblee-nationale.fr/sycomore/fiche/(num_dept)/7642", "7642")</f>
        <v>0</v>
      </c>
      <c r="M12882">
        <f>HYPERLINK("https://www.senat.fr/senateur-3eme-republique/leblanc_edmond0970r3.html", "leblanc_edmond0970r3")</f>
        <v>0</v>
      </c>
      <c r="N12882">
        <f>HYPERLINK("https://www.wikidata.org/wiki/Q3047896", "Q3047896")</f>
        <v>0</v>
      </c>
      <c r="O12882" t="s">
        <v>19984</v>
      </c>
      <c r="Q12882" t="s">
        <v>21267</v>
      </c>
      <c r="R12882" t="s">
        <v>16357</v>
      </c>
      <c r="S12882">
        <v>2822</v>
      </c>
    </row>
    <row r="12883" spans="1:19">
      <c r="A12883" t="s">
        <v>142</v>
      </c>
      <c r="B12883" t="s">
        <v>150</v>
      </c>
      <c r="C12883" t="s">
        <v>274</v>
      </c>
      <c r="D12883" t="s">
        <v>403</v>
      </c>
      <c r="F12883">
        <f>HYPERLINK("https://www.wikidata.org/wiki/Q28494840", "Q28494840")</f>
        <v>0</v>
      </c>
      <c r="G12883" t="s">
        <v>5113</v>
      </c>
      <c r="H12883" t="s">
        <v>9239</v>
      </c>
      <c r="I12883" t="s">
        <v>9389</v>
      </c>
      <c r="J12883" t="s">
        <v>15523</v>
      </c>
      <c r="K12883" t="s">
        <v>16677</v>
      </c>
      <c r="M12883">
        <f>HYPERLINK("https://www.senat.fr/senateur-3eme-republique/chopin_emile1231r3.html", "chopin_emile1231r3")</f>
        <v>0</v>
      </c>
      <c r="N12883">
        <f>HYPERLINK("https://www.wikidata.org/wiki/Q3588413", "Q3588413")</f>
        <v>0</v>
      </c>
      <c r="O12883" t="s">
        <v>19994</v>
      </c>
      <c r="Q12883" t="s">
        <v>21267</v>
      </c>
      <c r="R12883" t="s">
        <v>21279</v>
      </c>
      <c r="S12883">
        <v>629</v>
      </c>
    </row>
    <row r="12884" spans="1:19">
      <c r="A12884" t="s">
        <v>142</v>
      </c>
      <c r="B12884" t="s">
        <v>150</v>
      </c>
      <c r="C12884" t="s">
        <v>274</v>
      </c>
      <c r="D12884" t="s">
        <v>403</v>
      </c>
      <c r="F12884">
        <f>HYPERLINK("https://www.wikidata.org/wiki/Q28494840", "Q28494840")</f>
        <v>0</v>
      </c>
      <c r="G12884" t="s">
        <v>696</v>
      </c>
      <c r="H12884" t="s">
        <v>5454</v>
      </c>
      <c r="I12884" t="s">
        <v>9484</v>
      </c>
      <c r="J12884" t="s">
        <v>11446</v>
      </c>
      <c r="K12884" t="s">
        <v>15847</v>
      </c>
      <c r="L12884">
        <f>HYPERLINK("https://www2.assemblee-nationale.fr/sycomore/fiche/(num_dept)/4148", "4148")</f>
        <v>0</v>
      </c>
      <c r="M12884">
        <f>HYPERLINK("https://www.senat.fr/senateur-3eme-republique/klotz_louis1683r3.html", "klotz_louis1683r3")</f>
        <v>0</v>
      </c>
      <c r="N12884">
        <f>HYPERLINK("https://www.wikidata.org/wiki/Q179586", "Q179586")</f>
        <v>0</v>
      </c>
      <c r="O12884" t="s">
        <v>20012</v>
      </c>
      <c r="Q12884" t="s">
        <v>21268</v>
      </c>
      <c r="R12884" t="s">
        <v>21279</v>
      </c>
      <c r="S12884">
        <v>622</v>
      </c>
    </row>
    <row r="12885" spans="1:19">
      <c r="A12885" t="s">
        <v>142</v>
      </c>
      <c r="B12885" t="s">
        <v>150</v>
      </c>
      <c r="C12885" t="s">
        <v>274</v>
      </c>
      <c r="D12885" t="s">
        <v>403</v>
      </c>
      <c r="F12885">
        <f>HYPERLINK("https://www.wikidata.org/wiki/Q28494840", "Q28494840")</f>
        <v>0</v>
      </c>
      <c r="G12885" t="s">
        <v>5114</v>
      </c>
      <c r="H12885" t="s">
        <v>9240</v>
      </c>
      <c r="I12885" t="s">
        <v>9472</v>
      </c>
      <c r="J12885" t="s">
        <v>15524</v>
      </c>
      <c r="K12885" t="s">
        <v>19825</v>
      </c>
      <c r="M12885">
        <f>HYPERLINK("https://www.senat.fr/senateur-3eme-republique/curral_hippolyte1322r3.html", "curral_hippolyte1322r3")</f>
        <v>0</v>
      </c>
      <c r="N12885">
        <f>HYPERLINK("https://www.wikidata.org/wiki/Q3136044", "Q3136044")</f>
        <v>0</v>
      </c>
      <c r="O12885" t="s">
        <v>20018</v>
      </c>
      <c r="Q12885" t="s">
        <v>21268</v>
      </c>
      <c r="R12885" t="s">
        <v>21279</v>
      </c>
      <c r="S12885">
        <v>622</v>
      </c>
    </row>
    <row r="12886" spans="1:19">
      <c r="A12886" t="s">
        <v>142</v>
      </c>
      <c r="B12886" t="s">
        <v>150</v>
      </c>
      <c r="C12886" t="s">
        <v>274</v>
      </c>
      <c r="D12886" t="s">
        <v>403</v>
      </c>
      <c r="F12886">
        <f>HYPERLINK("https://www.wikidata.org/wiki/Q28494840", "Q28494840")</f>
        <v>0</v>
      </c>
      <c r="G12886" t="s">
        <v>1188</v>
      </c>
      <c r="H12886" t="s">
        <v>5918</v>
      </c>
      <c r="I12886" t="s">
        <v>9457</v>
      </c>
      <c r="J12886" t="s">
        <v>11921</v>
      </c>
      <c r="K12886" t="s">
        <v>16322</v>
      </c>
      <c r="L12886">
        <f>HYPERLINK("https://www2.assemblee-nationale.fr/sycomore/fiche/(num_dept)/5387", "5387")</f>
        <v>0</v>
      </c>
      <c r="M12886">
        <f>HYPERLINK("https://www.senat.fr/senateur-3eme-republique/de_monti_de_reze_henri0960r3.html", "de_monti_de_reze_henri0960r3")</f>
        <v>0</v>
      </c>
      <c r="N12886">
        <f>HYPERLINK("https://www.wikidata.org/wiki/Q3132339", "Q3132339")</f>
        <v>0</v>
      </c>
      <c r="O12886" t="s">
        <v>19984</v>
      </c>
      <c r="Q12886" t="s">
        <v>20577</v>
      </c>
      <c r="R12886" t="s">
        <v>16357</v>
      </c>
      <c r="S12886">
        <v>2766</v>
      </c>
    </row>
    <row r="12887" spans="1:19">
      <c r="A12887" t="s">
        <v>142</v>
      </c>
      <c r="B12887" t="s">
        <v>150</v>
      </c>
      <c r="C12887" t="s">
        <v>274</v>
      </c>
      <c r="D12887" t="s">
        <v>403</v>
      </c>
      <c r="F12887">
        <f>HYPERLINK("https://www.wikidata.org/wiki/Q28494840", "Q28494840")</f>
        <v>0</v>
      </c>
      <c r="G12887" t="s">
        <v>747</v>
      </c>
      <c r="H12887" t="s">
        <v>5505</v>
      </c>
      <c r="I12887" t="s">
        <v>9507</v>
      </c>
      <c r="J12887" t="s">
        <v>11496</v>
      </c>
      <c r="K12887" t="s">
        <v>15898</v>
      </c>
      <c r="L12887">
        <f>HYPERLINK("https://www2.assemblee-nationale.fr/sycomore/fiche/(num_dept)/5571", "5571")</f>
        <v>0</v>
      </c>
      <c r="M12887">
        <f>HYPERLINK("https://www.senat.fr/senateur-3eme-republique/nogues_louis1080r3.html", "nogues_louis1080r3")</f>
        <v>0</v>
      </c>
      <c r="N12887">
        <f>HYPERLINK("https://www.wikidata.org/wiki/Q3262803", "Q3262803")</f>
        <v>0</v>
      </c>
      <c r="O12887" t="s">
        <v>20027</v>
      </c>
      <c r="Q12887" t="s">
        <v>21269</v>
      </c>
      <c r="R12887" t="s">
        <v>21279</v>
      </c>
      <c r="S12887">
        <v>566</v>
      </c>
    </row>
    <row r="12888" spans="1:19">
      <c r="A12888" t="s">
        <v>142</v>
      </c>
      <c r="B12888" t="s">
        <v>150</v>
      </c>
      <c r="C12888" t="s">
        <v>274</v>
      </c>
      <c r="D12888" t="s">
        <v>403</v>
      </c>
      <c r="F12888">
        <f>HYPERLINK("https://www.wikidata.org/wiki/Q28494840", "Q28494840")</f>
        <v>0</v>
      </c>
      <c r="G12888" t="s">
        <v>1490</v>
      </c>
      <c r="H12888" t="s">
        <v>6188</v>
      </c>
      <c r="I12888" t="s">
        <v>9385</v>
      </c>
      <c r="J12888" t="s">
        <v>12209</v>
      </c>
      <c r="K12888" t="s">
        <v>16614</v>
      </c>
      <c r="L12888">
        <f>HYPERLINK("https://www2.assemblee-nationale.fr/sycomore/fiche/(num_dept)/3748", "3748")</f>
        <v>0</v>
      </c>
      <c r="M12888">
        <f>HYPERLINK("https://www.senat.fr/senateur-3eme-republique/d_harcourt_charles0350r3.html", "d_harcourt_charles0350r3")</f>
        <v>0</v>
      </c>
      <c r="N12888">
        <f>HYPERLINK("https://www.wikidata.org/wiki/Q2960506", "Q2960506")</f>
        <v>0</v>
      </c>
      <c r="O12888" t="s">
        <v>20009</v>
      </c>
      <c r="Q12888" t="s">
        <v>21270</v>
      </c>
      <c r="R12888" t="s">
        <v>21705</v>
      </c>
      <c r="S12888">
        <v>1660</v>
      </c>
    </row>
    <row r="12889" spans="1:19">
      <c r="A12889" t="s">
        <v>142</v>
      </c>
      <c r="B12889" t="s">
        <v>150</v>
      </c>
      <c r="C12889" t="s">
        <v>274</v>
      </c>
      <c r="D12889" t="s">
        <v>403</v>
      </c>
      <c r="F12889">
        <f>HYPERLINK("https://www.wikidata.org/wiki/Q28494840", "Q28494840")</f>
        <v>0</v>
      </c>
      <c r="G12889" t="s">
        <v>1525</v>
      </c>
      <c r="H12889" t="s">
        <v>6220</v>
      </c>
      <c r="I12889" t="s">
        <v>9503</v>
      </c>
      <c r="J12889" t="s">
        <v>12242</v>
      </c>
      <c r="K12889" t="s">
        <v>16648</v>
      </c>
      <c r="L12889">
        <f>HYPERLINK("https://www2.assemblee-nationale.fr/sycomore/fiche/(num_dept)/4947", "4947")</f>
        <v>0</v>
      </c>
      <c r="M12889">
        <f>HYPERLINK("https://www.senat.fr/senateur-3eme-republique/manceau_anatole1155r3.html", "manceau_anatole1155r3")</f>
        <v>0</v>
      </c>
      <c r="N12889">
        <f>HYPERLINK("https://www.wikidata.org/wiki/Q2845594", "Q2845594")</f>
        <v>0</v>
      </c>
      <c r="O12889" t="s">
        <v>19980</v>
      </c>
      <c r="Q12889" t="s">
        <v>21270</v>
      </c>
      <c r="R12889" t="s">
        <v>16357</v>
      </c>
      <c r="S12889">
        <v>2752</v>
      </c>
    </row>
    <row r="12890" spans="1:19">
      <c r="A12890" t="s">
        <v>142</v>
      </c>
      <c r="B12890" t="s">
        <v>150</v>
      </c>
      <c r="C12890" t="s">
        <v>274</v>
      </c>
      <c r="D12890" t="s">
        <v>403</v>
      </c>
      <c r="F12890">
        <f>HYPERLINK("https://www.wikidata.org/wiki/Q28494840", "Q28494840")</f>
        <v>0</v>
      </c>
      <c r="G12890" t="s">
        <v>560</v>
      </c>
      <c r="H12890" t="s">
        <v>5323</v>
      </c>
      <c r="I12890" t="s">
        <v>9407</v>
      </c>
      <c r="J12890" t="s">
        <v>11311</v>
      </c>
      <c r="K12890" t="s">
        <v>15712</v>
      </c>
      <c r="L12890">
        <f>HYPERLINK("https://www2.assemblee-nationale.fr/sycomore/fiche/(num_dept)/1366", "1366")</f>
        <v>0</v>
      </c>
      <c r="M12890">
        <f>HYPERLINK("https://www.senat.fr/senateur-3eme-republique/caillaux_joseph1254r3.html", "caillaux_joseph1254r3")</f>
        <v>0</v>
      </c>
      <c r="N12890">
        <f>HYPERLINK("https://www.wikidata.org/wiki/Q450463", "Q450463")</f>
        <v>0</v>
      </c>
      <c r="O12890" t="s">
        <v>19956</v>
      </c>
      <c r="Q12890" t="s">
        <v>21271</v>
      </c>
      <c r="R12890" t="s">
        <v>21279</v>
      </c>
      <c r="S12890">
        <v>545</v>
      </c>
    </row>
    <row r="12891" spans="1:19">
      <c r="A12891" t="s">
        <v>142</v>
      </c>
      <c r="B12891" t="s">
        <v>150</v>
      </c>
      <c r="C12891" t="s">
        <v>274</v>
      </c>
      <c r="D12891" t="s">
        <v>403</v>
      </c>
      <c r="F12891">
        <f>HYPERLINK("https://www.wikidata.org/wiki/Q28494840", "Q28494840")</f>
        <v>0</v>
      </c>
      <c r="G12891" t="s">
        <v>694</v>
      </c>
      <c r="H12891" t="s">
        <v>5452</v>
      </c>
      <c r="I12891" t="s">
        <v>9483</v>
      </c>
      <c r="J12891" t="s">
        <v>11444</v>
      </c>
      <c r="K12891" t="s">
        <v>15845</v>
      </c>
      <c r="L12891">
        <f>HYPERLINK("https://www2.assemblee-nationale.fr/sycomore/fiche/(num_dept)/4086", "4086")</f>
        <v>0</v>
      </c>
      <c r="M12891">
        <f>HYPERLINK("https://www.senat.fr/senateur-3eme-republique/judet_victor0628r3.html", "judet_victor0628r3")</f>
        <v>0</v>
      </c>
      <c r="N12891">
        <f>HYPERLINK("https://www.wikidata.org/wiki/Q2398706", "Q2398706")</f>
        <v>0</v>
      </c>
      <c r="O12891" t="s">
        <v>19979</v>
      </c>
      <c r="Q12891" t="s">
        <v>21272</v>
      </c>
      <c r="R12891" t="s">
        <v>21705</v>
      </c>
      <c r="S12891">
        <v>1527</v>
      </c>
    </row>
    <row r="12892" spans="1:19">
      <c r="A12892" t="s">
        <v>142</v>
      </c>
      <c r="B12892" t="s">
        <v>150</v>
      </c>
      <c r="C12892" t="s">
        <v>274</v>
      </c>
      <c r="D12892" t="s">
        <v>403</v>
      </c>
      <c r="F12892">
        <f>HYPERLINK("https://www.wikidata.org/wiki/Q28494840", "Q28494840")</f>
        <v>0</v>
      </c>
      <c r="G12892" t="s">
        <v>678</v>
      </c>
      <c r="H12892" t="s">
        <v>5437</v>
      </c>
      <c r="I12892" t="s">
        <v>9442</v>
      </c>
      <c r="J12892" t="s">
        <v>11428</v>
      </c>
      <c r="K12892" t="s">
        <v>15829</v>
      </c>
      <c r="L12892">
        <f>HYPERLINK("https://www2.assemblee-nationale.fr/sycomore/fiche/(num_dept)/3760", "3760")</f>
        <v>0</v>
      </c>
      <c r="M12892">
        <f>HYPERLINK("https://www.senat.fr/senateur-3eme-republique/haudos_ernest0650r3.html", "haudos_ernest0650r3")</f>
        <v>0</v>
      </c>
      <c r="N12892">
        <f>HYPERLINK("https://www.wikidata.org/wiki/Q3057000", "Q3057000")</f>
        <v>0</v>
      </c>
      <c r="O12892" t="s">
        <v>20025</v>
      </c>
      <c r="Q12892" t="s">
        <v>21273</v>
      </c>
      <c r="R12892" t="s">
        <v>16357</v>
      </c>
      <c r="S12892">
        <v>2577</v>
      </c>
    </row>
    <row r="12893" spans="1:19">
      <c r="A12893" t="s">
        <v>142</v>
      </c>
      <c r="B12893" t="s">
        <v>150</v>
      </c>
      <c r="C12893" t="s">
        <v>274</v>
      </c>
      <c r="D12893" t="s">
        <v>403</v>
      </c>
      <c r="F12893">
        <f>HYPERLINK("https://www.wikidata.org/wiki/Q28494840", "Q28494840")</f>
        <v>0</v>
      </c>
      <c r="G12893" t="s">
        <v>859</v>
      </c>
      <c r="H12893" t="s">
        <v>5615</v>
      </c>
      <c r="I12893" t="s">
        <v>9559</v>
      </c>
      <c r="J12893" t="s">
        <v>11605</v>
      </c>
      <c r="K12893" t="s">
        <v>16007</v>
      </c>
      <c r="L12893">
        <f>HYPERLINK("https://www2.assemblee-nationale.fr/sycomore/fiche/(num_dept)/112", "112")</f>
        <v>0</v>
      </c>
      <c r="M12893">
        <f>HYPERLINK("https://www.senat.fr/senateur-3eme-republique/amiard_louis1670r3.html", "amiard_louis1670r3")</f>
        <v>0</v>
      </c>
      <c r="N12893">
        <f>HYPERLINK("https://www.wikidata.org/wiki/Q3261035", "Q3261035")</f>
        <v>0</v>
      </c>
      <c r="O12893" t="s">
        <v>19976</v>
      </c>
      <c r="Q12893" t="s">
        <v>20579</v>
      </c>
      <c r="R12893" t="s">
        <v>21279</v>
      </c>
      <c r="S12893">
        <v>328</v>
      </c>
    </row>
    <row r="12894" spans="1:19">
      <c r="A12894" t="s">
        <v>142</v>
      </c>
      <c r="B12894" t="s">
        <v>150</v>
      </c>
      <c r="C12894" t="s">
        <v>274</v>
      </c>
      <c r="D12894" t="s">
        <v>403</v>
      </c>
      <c r="F12894">
        <f>HYPERLINK("https://www.wikidata.org/wiki/Q28494840", "Q28494840")</f>
        <v>0</v>
      </c>
      <c r="G12894" t="s">
        <v>644</v>
      </c>
      <c r="H12894" t="s">
        <v>5403</v>
      </c>
      <c r="I12894" t="s">
        <v>7642</v>
      </c>
      <c r="J12894" t="s">
        <v>11394</v>
      </c>
      <c r="K12894" t="s">
        <v>15796</v>
      </c>
      <c r="L12894">
        <f>HYPERLINK("https://www2.assemblee-nationale.fr/sycomore/fiche/(num_dept)/3025", "3025")</f>
        <v>0</v>
      </c>
      <c r="M12894">
        <f>HYPERLINK("https://www.senat.fr/senateur-3eme-republique/flayelle_maurice1800r3.html", "flayelle_maurice1800r3")</f>
        <v>0</v>
      </c>
      <c r="N12894">
        <f>HYPERLINK("https://www.wikidata.org/wiki/Q3300781", "Q3300781")</f>
        <v>0</v>
      </c>
      <c r="O12894" t="s">
        <v>20017</v>
      </c>
      <c r="Q12894" t="s">
        <v>21274</v>
      </c>
      <c r="R12894" t="s">
        <v>21279</v>
      </c>
      <c r="S12894">
        <v>300</v>
      </c>
    </row>
    <row r="12895" spans="1:19">
      <c r="A12895" t="s">
        <v>142</v>
      </c>
      <c r="B12895" t="s">
        <v>150</v>
      </c>
      <c r="C12895" t="s">
        <v>274</v>
      </c>
      <c r="D12895" t="s">
        <v>403</v>
      </c>
      <c r="F12895">
        <f>HYPERLINK("https://www.wikidata.org/wiki/Q28494840", "Q28494840")</f>
        <v>0</v>
      </c>
      <c r="G12895" t="s">
        <v>5115</v>
      </c>
      <c r="H12895" t="s">
        <v>9241</v>
      </c>
      <c r="I12895" t="s">
        <v>9465</v>
      </c>
      <c r="J12895" t="s">
        <v>15525</v>
      </c>
      <c r="K12895" t="s">
        <v>19826</v>
      </c>
      <c r="M12895">
        <f>HYPERLINK("https://www.senat.fr/senateur-3eme-republique/charabot_eugene0118r3.html", "charabot_eugene0118r3")</f>
        <v>0</v>
      </c>
      <c r="N12895">
        <f>HYPERLINK("https://www.wikidata.org/wiki/Q3059764", "Q3059764")</f>
        <v>0</v>
      </c>
      <c r="O12895" t="s">
        <v>20024</v>
      </c>
      <c r="Q12895" t="s">
        <v>21275</v>
      </c>
      <c r="R12895" t="s">
        <v>21705</v>
      </c>
      <c r="S12895">
        <v>1366</v>
      </c>
    </row>
    <row r="12896" spans="1:19">
      <c r="A12896" t="s">
        <v>142</v>
      </c>
      <c r="B12896" t="s">
        <v>150</v>
      </c>
      <c r="C12896" t="s">
        <v>274</v>
      </c>
      <c r="D12896" t="s">
        <v>403</v>
      </c>
      <c r="F12896">
        <f>HYPERLINK("https://www.wikidata.org/wiki/Q28494840", "Q28494840")</f>
        <v>0</v>
      </c>
      <c r="G12896" t="s">
        <v>966</v>
      </c>
      <c r="H12896" t="s">
        <v>5718</v>
      </c>
      <c r="I12896" t="s">
        <v>9605</v>
      </c>
      <c r="J12896" t="s">
        <v>11705</v>
      </c>
      <c r="K12896" t="s">
        <v>16108</v>
      </c>
      <c r="L12896">
        <f>HYPERLINK("https://www2.assemblee-nationale.fr/sycomore/fiche/(num_dept)/3460", "3460")</f>
        <v>0</v>
      </c>
      <c r="M12896">
        <f>HYPERLINK("https://www.senat.fr/senateur-3eme-republique/godart_justin1138r3.html", "godart_justin1138r3")</f>
        <v>0</v>
      </c>
      <c r="N12896">
        <f>HYPERLINK("https://www.wikidata.org/wiki/Q3190446", "Q3190446")</f>
        <v>0</v>
      </c>
      <c r="O12896" t="s">
        <v>19965</v>
      </c>
      <c r="Q12896" t="s">
        <v>16708</v>
      </c>
      <c r="R12896" t="s">
        <v>21279</v>
      </c>
      <c r="S12896">
        <v>237</v>
      </c>
    </row>
    <row r="12897" spans="1:19">
      <c r="A12897" t="s">
        <v>142</v>
      </c>
      <c r="B12897" t="s">
        <v>150</v>
      </c>
      <c r="C12897" t="s">
        <v>274</v>
      </c>
      <c r="D12897" t="s">
        <v>403</v>
      </c>
      <c r="F12897">
        <f>HYPERLINK("https://www.wikidata.org/wiki/Q28494840", "Q28494840")</f>
        <v>0</v>
      </c>
      <c r="G12897" t="s">
        <v>5116</v>
      </c>
      <c r="H12897" t="s">
        <v>9242</v>
      </c>
      <c r="I12897" t="s">
        <v>9602</v>
      </c>
      <c r="J12897" t="s">
        <v>15526</v>
      </c>
      <c r="K12897" t="s">
        <v>19827</v>
      </c>
      <c r="M12897">
        <f>HYPERLINK("https://www.senat.fr/senateur-3eme-republique/cavillon_edmond1697r3.html", "cavillon_edmond1697r3")</f>
        <v>0</v>
      </c>
      <c r="N12897">
        <f>HYPERLINK("https://www.wikidata.org/wiki/Q3047778", "Q3047778")</f>
        <v>0</v>
      </c>
      <c r="O12897" t="s">
        <v>20012</v>
      </c>
      <c r="Q12897" t="s">
        <v>21276</v>
      </c>
      <c r="R12897" t="s">
        <v>21279</v>
      </c>
      <c r="S12897">
        <v>223</v>
      </c>
    </row>
    <row r="12898" spans="1:19">
      <c r="A12898" t="s">
        <v>142</v>
      </c>
      <c r="B12898" t="s">
        <v>150</v>
      </c>
      <c r="C12898" t="s">
        <v>274</v>
      </c>
      <c r="D12898" t="s">
        <v>403</v>
      </c>
      <c r="F12898">
        <f>HYPERLINK("https://www.wikidata.org/wiki/Q28494840", "Q28494840")</f>
        <v>0</v>
      </c>
      <c r="G12898" t="s">
        <v>778</v>
      </c>
      <c r="H12898" t="s">
        <v>5536</v>
      </c>
      <c r="I12898" t="s">
        <v>6584</v>
      </c>
      <c r="J12898" t="s">
        <v>11525</v>
      </c>
      <c r="K12898" t="s">
        <v>15929</v>
      </c>
      <c r="L12898">
        <f>HYPERLINK("https://www2.assemblee-nationale.fr/sycomore/fiche/(num_dept)/6293", "6293")</f>
        <v>0</v>
      </c>
      <c r="M12898">
        <f>HYPERLINK("https://www.senat.fr/senateur-3eme-republique/sarraut_albert0265r3.html", "sarraut_albert0265r3")</f>
        <v>0</v>
      </c>
      <c r="N12898">
        <f>HYPERLINK("https://www.wikidata.org/wiki/Q460318", "Q460318")</f>
        <v>0</v>
      </c>
      <c r="O12898" t="s">
        <v>19960</v>
      </c>
      <c r="Q12898" t="s">
        <v>21277</v>
      </c>
      <c r="R12898" t="s">
        <v>21705</v>
      </c>
      <c r="S12898">
        <v>1275</v>
      </c>
    </row>
    <row r="12899" spans="1:19">
      <c r="A12899" t="s">
        <v>142</v>
      </c>
      <c r="B12899" t="s">
        <v>150</v>
      </c>
      <c r="C12899" t="s">
        <v>274</v>
      </c>
      <c r="D12899" t="s">
        <v>403</v>
      </c>
      <c r="F12899">
        <f>HYPERLINK("https://www.wikidata.org/wiki/Q28494840", "Q28494840")</f>
        <v>0</v>
      </c>
      <c r="G12899" t="s">
        <v>534</v>
      </c>
      <c r="H12899" t="s">
        <v>5298</v>
      </c>
      <c r="I12899" t="s">
        <v>9388</v>
      </c>
      <c r="J12899" t="s">
        <v>11286</v>
      </c>
      <c r="K12899" t="s">
        <v>15686</v>
      </c>
      <c r="L12899">
        <f>HYPERLINK("https://www2.assemblee-nationale.fr/sycomore/fiche/(num_dept)/882", "882")</f>
        <v>0</v>
      </c>
      <c r="M12899">
        <f>HYPERLINK("https://www.senat.fr/senateur-3eme-republique/bluysen_paul1835r3.html", "bluysen_paul1835r3")</f>
        <v>0</v>
      </c>
      <c r="N12899">
        <f>HYPERLINK("https://www.wikidata.org/wiki/Q20027761", "Q20027761")</f>
        <v>0</v>
      </c>
      <c r="Q12899" t="s">
        <v>21278</v>
      </c>
      <c r="R12899" t="s">
        <v>21650</v>
      </c>
      <c r="S12899">
        <v>6863</v>
      </c>
    </row>
    <row r="12900" spans="1:19">
      <c r="A12900" t="s">
        <v>142</v>
      </c>
      <c r="B12900" t="s">
        <v>150</v>
      </c>
      <c r="C12900" t="s">
        <v>274</v>
      </c>
      <c r="D12900" t="s">
        <v>403</v>
      </c>
      <c r="F12900">
        <f>HYPERLINK("https://www.wikidata.org/wiki/Q28494840", "Q28494840")</f>
        <v>0</v>
      </c>
      <c r="G12900" t="s">
        <v>787</v>
      </c>
      <c r="H12900" t="s">
        <v>5544</v>
      </c>
      <c r="I12900" t="s">
        <v>6941</v>
      </c>
      <c r="J12900" t="s">
        <v>11534</v>
      </c>
      <c r="K12900" t="s">
        <v>15938</v>
      </c>
      <c r="L12900">
        <f>HYPERLINK("https://www2.assemblee-nationale.fr/sycomore/fiche/(num_dept)/6407", "6407")</f>
        <v>0</v>
      </c>
      <c r="M12900">
        <f>HYPERLINK("https://www.senat.fr/senateur-3eme-republique/de_pomereu_michel1598r3.html", "de_pomereu_michel1598r3")</f>
        <v>0</v>
      </c>
      <c r="N12900">
        <f>HYPERLINK("https://www.wikidata.org/wiki/Q3436712", "Q3436712")</f>
        <v>0</v>
      </c>
      <c r="O12900" t="s">
        <v>19978</v>
      </c>
      <c r="Q12900" t="s">
        <v>21279</v>
      </c>
      <c r="R12900" t="s">
        <v>21650</v>
      </c>
      <c r="S12900">
        <v>6861</v>
      </c>
    </row>
    <row r="12901" spans="1:19">
      <c r="A12901" t="s">
        <v>143</v>
      </c>
      <c r="B12901" t="s">
        <v>150</v>
      </c>
      <c r="C12901" t="s">
        <v>275</v>
      </c>
      <c r="D12901" t="s">
        <v>404</v>
      </c>
      <c r="F12901">
        <f>HYPERLINK("https://www.wikidata.org/wiki/Q28494841", "Q28494841")</f>
        <v>0</v>
      </c>
      <c r="G12901" t="s">
        <v>3829</v>
      </c>
      <c r="H12901" t="s">
        <v>8109</v>
      </c>
      <c r="I12901" t="s">
        <v>10992</v>
      </c>
      <c r="J12901" t="s">
        <v>14393</v>
      </c>
      <c r="K12901" t="s">
        <v>18746</v>
      </c>
      <c r="L12901">
        <f>HYPERLINK("https://www2.assemblee-nationale.fr/sycomore/fiche/(num_dept)/103", "103")</f>
        <v>0</v>
      </c>
      <c r="M12901">
        <f>HYPERLINK("https://www.senat.fr/senateur-3eme-republique/comte_d_alsace_thierry1812r3.html", "comte_d_alsace_thierry1812r3")</f>
        <v>0</v>
      </c>
      <c r="N12901">
        <f>HYPERLINK("https://www.wikidata.org/wiki/Q3524185", "Q3524185")</f>
        <v>0</v>
      </c>
      <c r="O12901" t="s">
        <v>20017</v>
      </c>
      <c r="Q12901" t="s">
        <v>404</v>
      </c>
      <c r="R12901" t="s">
        <v>21650</v>
      </c>
      <c r="S12901">
        <v>6860</v>
      </c>
    </row>
    <row r="12902" spans="1:19">
      <c r="A12902" t="s">
        <v>143</v>
      </c>
      <c r="B12902" t="s">
        <v>150</v>
      </c>
      <c r="C12902" t="s">
        <v>275</v>
      </c>
      <c r="D12902" t="s">
        <v>404</v>
      </c>
      <c r="F12902">
        <f>HYPERLINK("https://www.wikidata.org/wiki/Q28494841", "Q28494841")</f>
        <v>0</v>
      </c>
      <c r="G12902" t="s">
        <v>859</v>
      </c>
      <c r="H12902" t="s">
        <v>5615</v>
      </c>
      <c r="I12902" t="s">
        <v>9559</v>
      </c>
      <c r="J12902" t="s">
        <v>11605</v>
      </c>
      <c r="K12902" t="s">
        <v>16007</v>
      </c>
      <c r="L12902">
        <f>HYPERLINK("https://www2.assemblee-nationale.fr/sycomore/fiche/(num_dept)/112", "112")</f>
        <v>0</v>
      </c>
      <c r="M12902">
        <f>HYPERLINK("https://www.senat.fr/senateur-3eme-republique/amiard_louis1670r3.html", "amiard_louis1670r3")</f>
        <v>0</v>
      </c>
      <c r="N12902">
        <f>HYPERLINK("https://www.wikidata.org/wiki/Q3261035", "Q3261035")</f>
        <v>0</v>
      </c>
      <c r="O12902" t="s">
        <v>19976</v>
      </c>
      <c r="Q12902" t="s">
        <v>404</v>
      </c>
      <c r="R12902" t="s">
        <v>21718</v>
      </c>
      <c r="S12902">
        <v>3082</v>
      </c>
    </row>
    <row r="12903" spans="1:19">
      <c r="A12903" t="s">
        <v>143</v>
      </c>
      <c r="B12903" t="s">
        <v>150</v>
      </c>
      <c r="C12903" t="s">
        <v>275</v>
      </c>
      <c r="D12903" t="s">
        <v>404</v>
      </c>
      <c r="F12903">
        <f>HYPERLINK("https://www.wikidata.org/wiki/Q28494841", "Q28494841")</f>
        <v>0</v>
      </c>
      <c r="G12903" t="s">
        <v>501</v>
      </c>
      <c r="H12903" t="s">
        <v>5266</v>
      </c>
      <c r="I12903" t="s">
        <v>9372</v>
      </c>
      <c r="J12903" t="s">
        <v>11253</v>
      </c>
      <c r="K12903" t="s">
        <v>15653</v>
      </c>
      <c r="L12903">
        <f>HYPERLINK("https://www2.assemblee-nationale.fr/sycomore/fiche/(num_dept)/137", "137")</f>
        <v>0</v>
      </c>
      <c r="M12903">
        <f>HYPERLINK("https://www.senat.fr/senateur-3eme-republique/andrieu_edouard1688r3.html", "andrieu_edouard1688r3")</f>
        <v>0</v>
      </c>
      <c r="N12903">
        <f>HYPERLINK("https://www.wikidata.org/wiki/Q3579721", "Q3579721")</f>
        <v>0</v>
      </c>
      <c r="O12903" t="s">
        <v>19962</v>
      </c>
      <c r="Q12903" t="s">
        <v>404</v>
      </c>
      <c r="R12903" t="s">
        <v>21650</v>
      </c>
      <c r="S12903">
        <v>6860</v>
      </c>
    </row>
    <row r="12904" spans="1:19">
      <c r="A12904" t="s">
        <v>143</v>
      </c>
      <c r="B12904" t="s">
        <v>150</v>
      </c>
      <c r="C12904" t="s">
        <v>275</v>
      </c>
      <c r="D12904" t="s">
        <v>404</v>
      </c>
      <c r="F12904">
        <f>HYPERLINK("https://www.wikidata.org/wiki/Q28494841", "Q28494841")</f>
        <v>0</v>
      </c>
      <c r="G12904" t="s">
        <v>1705</v>
      </c>
      <c r="H12904" t="s">
        <v>6380</v>
      </c>
      <c r="I12904" t="s">
        <v>9900</v>
      </c>
      <c r="J12904" t="s">
        <v>12408</v>
      </c>
      <c r="K12904" t="s">
        <v>16508</v>
      </c>
      <c r="L12904">
        <f>HYPERLINK("https://www2.assemblee-nationale.fr/sycomore/fiche/(num_dept)/278", "278")</f>
        <v>0</v>
      </c>
      <c r="M12904">
        <f>HYPERLINK("https://www.senat.fr/senateur-3eme-republique/auray_charles1351r3.html", "auray_charles1351r3")</f>
        <v>0</v>
      </c>
      <c r="N12904">
        <f>HYPERLINK("https://www.wikidata.org/wiki/Q2958450", "Q2958450")</f>
        <v>0</v>
      </c>
      <c r="O12904" t="s">
        <v>19969</v>
      </c>
      <c r="Q12904" t="s">
        <v>404</v>
      </c>
      <c r="R12904" t="s">
        <v>21719</v>
      </c>
      <c r="S12904">
        <v>3291</v>
      </c>
    </row>
    <row r="12905" spans="1:19">
      <c r="A12905" t="s">
        <v>143</v>
      </c>
      <c r="B12905" t="s">
        <v>150</v>
      </c>
      <c r="C12905" t="s">
        <v>275</v>
      </c>
      <c r="D12905" t="s">
        <v>404</v>
      </c>
      <c r="F12905">
        <f>HYPERLINK("https://www.wikidata.org/wiki/Q28494841", "Q28494841")</f>
        <v>0</v>
      </c>
      <c r="G12905" t="s">
        <v>512</v>
      </c>
      <c r="H12905" t="s">
        <v>5277</v>
      </c>
      <c r="I12905" t="s">
        <v>6495</v>
      </c>
      <c r="J12905" t="s">
        <v>11264</v>
      </c>
      <c r="K12905" t="s">
        <v>15664</v>
      </c>
      <c r="L12905">
        <f>HYPERLINK("https://www2.assemblee-nationale.fr/sycomore/fiche/(num_dept)/451", "451")</f>
        <v>0</v>
      </c>
      <c r="M12905">
        <f>HYPERLINK("https://www.senat.fr/senateur-3eme-republique/barthou_louis1071r3.html", "barthou_louis1071r3")</f>
        <v>0</v>
      </c>
      <c r="N12905">
        <f>HYPERLINK("https://www.wikidata.org/wiki/Q271887", "Q271887")</f>
        <v>0</v>
      </c>
      <c r="O12905" t="s">
        <v>19970</v>
      </c>
      <c r="Q12905" t="s">
        <v>404</v>
      </c>
      <c r="R12905" t="s">
        <v>21650</v>
      </c>
      <c r="S12905">
        <v>6860</v>
      </c>
    </row>
    <row r="12906" spans="1:19">
      <c r="A12906" t="s">
        <v>143</v>
      </c>
      <c r="B12906" t="s">
        <v>150</v>
      </c>
      <c r="C12906" t="s">
        <v>275</v>
      </c>
      <c r="D12906" t="s">
        <v>404</v>
      </c>
      <c r="F12906">
        <f>HYPERLINK("https://www.wikidata.org/wiki/Q28494841", "Q28494841")</f>
        <v>0</v>
      </c>
      <c r="G12906" t="s">
        <v>522</v>
      </c>
      <c r="H12906" t="s">
        <v>5286</v>
      </c>
      <c r="I12906" t="s">
        <v>9390</v>
      </c>
      <c r="J12906" t="s">
        <v>11274</v>
      </c>
      <c r="K12906" t="s">
        <v>15674</v>
      </c>
      <c r="L12906">
        <f>HYPERLINK("https://www2.assemblee-nationale.fr/sycomore/fiche/(num_dept)/650", "650")</f>
        <v>0</v>
      </c>
      <c r="M12906">
        <f>HYPERLINK("https://www.senat.fr/senateur-3eme-republique/berard_leon1053r3.html", "berard_leon1053r3")</f>
        <v>0</v>
      </c>
      <c r="N12906">
        <f>HYPERLINK("https://www.wikidata.org/wiki/Q716823", "Q716823")</f>
        <v>0</v>
      </c>
      <c r="O12906" t="s">
        <v>19970</v>
      </c>
      <c r="Q12906" t="s">
        <v>404</v>
      </c>
      <c r="R12906" t="s">
        <v>21719</v>
      </c>
      <c r="S12906">
        <v>3291</v>
      </c>
    </row>
    <row r="12907" spans="1:19">
      <c r="A12907" t="s">
        <v>143</v>
      </c>
      <c r="B12907" t="s">
        <v>150</v>
      </c>
      <c r="C12907" t="s">
        <v>275</v>
      </c>
      <c r="D12907" t="s">
        <v>404</v>
      </c>
      <c r="F12907">
        <f>HYPERLINK("https://www.wikidata.org/wiki/Q28494841", "Q28494841")</f>
        <v>0</v>
      </c>
      <c r="G12907" t="s">
        <v>4096</v>
      </c>
      <c r="H12907" t="s">
        <v>8309</v>
      </c>
      <c r="I12907" t="s">
        <v>11108</v>
      </c>
      <c r="J12907" t="s">
        <v>14634</v>
      </c>
      <c r="K12907" t="s">
        <v>18970</v>
      </c>
      <c r="L12907">
        <f>HYPERLINK("https://www2.assemblee-nationale.fr/sycomore/fiche/(num_dept)/738", "738")</f>
        <v>0</v>
      </c>
      <c r="M12907">
        <f>HYPERLINK("https://www.senat.fr/senateur-3eme-republique/berthoulat_georges1656r3.html", "berthoulat_georges1656r3")</f>
        <v>0</v>
      </c>
      <c r="N12907">
        <f>HYPERLINK("https://www.wikidata.org/wiki/Q3102285", "Q3102285")</f>
        <v>0</v>
      </c>
      <c r="O12907" t="s">
        <v>19976</v>
      </c>
      <c r="Q12907" t="s">
        <v>404</v>
      </c>
      <c r="R12907" t="s">
        <v>21650</v>
      </c>
      <c r="S12907">
        <v>6860</v>
      </c>
    </row>
    <row r="12908" spans="1:19">
      <c r="A12908" t="s">
        <v>143</v>
      </c>
      <c r="B12908" t="s">
        <v>150</v>
      </c>
      <c r="C12908" t="s">
        <v>275</v>
      </c>
      <c r="D12908" t="s">
        <v>404</v>
      </c>
      <c r="F12908">
        <f>HYPERLINK("https://www.wikidata.org/wiki/Q28494841", "Q28494841")</f>
        <v>0</v>
      </c>
      <c r="G12908" t="s">
        <v>526</v>
      </c>
      <c r="H12908" t="s">
        <v>5290</v>
      </c>
      <c r="I12908" t="s">
        <v>5528</v>
      </c>
      <c r="J12908" t="s">
        <v>11278</v>
      </c>
      <c r="K12908" t="s">
        <v>15678</v>
      </c>
      <c r="L12908">
        <f>HYPERLINK("https://www2.assemblee-nationale.fr/sycomore/fiche/(num_dept)/768", "768")</f>
        <v>0</v>
      </c>
      <c r="M12908">
        <f>HYPERLINK("https://www.senat.fr/senateur-3eme-republique/betoulle_leon1788r3.html", "betoulle_leon1788r3")</f>
        <v>0</v>
      </c>
      <c r="N12908">
        <f>HYPERLINK("https://www.wikidata.org/wiki/Q3270743", "Q3270743")</f>
        <v>0</v>
      </c>
      <c r="O12908" t="s">
        <v>19977</v>
      </c>
      <c r="Q12908" t="s">
        <v>404</v>
      </c>
      <c r="R12908" t="s">
        <v>21719</v>
      </c>
      <c r="S12908">
        <v>3291</v>
      </c>
    </row>
    <row r="12909" spans="1:19">
      <c r="A12909" t="s">
        <v>143</v>
      </c>
      <c r="B12909" t="s">
        <v>150</v>
      </c>
      <c r="C12909" t="s">
        <v>275</v>
      </c>
      <c r="D12909" t="s">
        <v>404</v>
      </c>
      <c r="F12909">
        <f>HYPERLINK("https://www.wikidata.org/wiki/Q28494841", "Q28494841")</f>
        <v>0</v>
      </c>
      <c r="G12909" t="s">
        <v>3872</v>
      </c>
      <c r="H12909" t="s">
        <v>8140</v>
      </c>
      <c r="I12909" t="s">
        <v>6200</v>
      </c>
      <c r="J12909" t="s">
        <v>14431</v>
      </c>
      <c r="K12909" t="s">
        <v>18783</v>
      </c>
      <c r="L12909">
        <f>HYPERLINK("https://www2.assemblee-nationale.fr/sycomore/fiche/(num_dept)/790", "790")</f>
        <v>0</v>
      </c>
      <c r="M12909">
        <f>HYPERLINK("https://www.senat.fr/senateur-3eme-republique/bienvenu_martin_jean_baptiste1840r3.html", "bienvenu_martin_jean_baptiste1840r3")</f>
        <v>0</v>
      </c>
      <c r="N12909">
        <f>HYPERLINK("https://www.wikidata.org/wiki/Q325552", "Q325552")</f>
        <v>0</v>
      </c>
      <c r="O12909" t="s">
        <v>20034</v>
      </c>
      <c r="Q12909" t="s">
        <v>404</v>
      </c>
      <c r="R12909" t="s">
        <v>21719</v>
      </c>
      <c r="S12909">
        <v>3291</v>
      </c>
    </row>
    <row r="12910" spans="1:19">
      <c r="A12910" t="s">
        <v>143</v>
      </c>
      <c r="B12910" t="s">
        <v>150</v>
      </c>
      <c r="C12910" t="s">
        <v>275</v>
      </c>
      <c r="D12910" t="s">
        <v>404</v>
      </c>
      <c r="F12910">
        <f>HYPERLINK("https://www.wikidata.org/wiki/Q28494841", "Q28494841")</f>
        <v>0</v>
      </c>
      <c r="G12910" t="s">
        <v>528</v>
      </c>
      <c r="H12910" t="s">
        <v>5292</v>
      </c>
      <c r="I12910" t="s">
        <v>9388</v>
      </c>
      <c r="J12910" t="s">
        <v>11280</v>
      </c>
      <c r="K12910" t="s">
        <v>15680</v>
      </c>
      <c r="L12910">
        <f>HYPERLINK("https://www2.assemblee-nationale.fr/sycomore/fiche/(num_dept)/799", "799")</f>
        <v>0</v>
      </c>
      <c r="M12910">
        <f>HYPERLINK("https://www.senat.fr/senateur-3eme-republique/bignon_paul1577r3.html", "bignon_paul1577r3")</f>
        <v>0</v>
      </c>
      <c r="N12910">
        <f>HYPERLINK("https://www.wikidata.org/wiki/Q3370646", "Q3370646")</f>
        <v>0</v>
      </c>
      <c r="O12910" t="s">
        <v>19978</v>
      </c>
      <c r="Q12910" t="s">
        <v>404</v>
      </c>
      <c r="R12910" t="s">
        <v>15680</v>
      </c>
      <c r="S12910">
        <v>1841</v>
      </c>
    </row>
    <row r="12911" spans="1:19">
      <c r="A12911" t="s">
        <v>143</v>
      </c>
      <c r="B12911" t="s">
        <v>150</v>
      </c>
      <c r="C12911" t="s">
        <v>275</v>
      </c>
      <c r="D12911" t="s">
        <v>404</v>
      </c>
      <c r="F12911">
        <f>HYPERLINK("https://www.wikidata.org/wiki/Q28494841", "Q28494841")</f>
        <v>0</v>
      </c>
      <c r="G12911" t="s">
        <v>878</v>
      </c>
      <c r="H12911" t="s">
        <v>5634</v>
      </c>
      <c r="I12911" t="s">
        <v>9483</v>
      </c>
      <c r="J12911" t="s">
        <v>11624</v>
      </c>
      <c r="K12911" t="s">
        <v>16025</v>
      </c>
      <c r="L12911">
        <f>HYPERLINK("https://www2.assemblee-nationale.fr/sycomore/fiche/(num_dept)/976", "976")</f>
        <v>0</v>
      </c>
      <c r="M12911">
        <f>HYPERLINK("https://www.senat.fr/senateur-3eme-republique/boret_victor1774r3.html", "boret_victor1774r3")</f>
        <v>0</v>
      </c>
      <c r="N12911">
        <f>HYPERLINK("https://www.wikidata.org/wiki/Q3557173", "Q3557173")</f>
        <v>0</v>
      </c>
      <c r="O12911" t="s">
        <v>19982</v>
      </c>
      <c r="Q12911" t="s">
        <v>404</v>
      </c>
      <c r="R12911" t="s">
        <v>21719</v>
      </c>
      <c r="S12911">
        <v>3291</v>
      </c>
    </row>
    <row r="12912" spans="1:19">
      <c r="A12912" t="s">
        <v>143</v>
      </c>
      <c r="B12912" t="s">
        <v>150</v>
      </c>
      <c r="C12912" t="s">
        <v>275</v>
      </c>
      <c r="D12912" t="s">
        <v>404</v>
      </c>
      <c r="F12912">
        <f>HYPERLINK("https://www.wikidata.org/wiki/Q28494841", "Q28494841")</f>
        <v>0</v>
      </c>
      <c r="G12912" t="s">
        <v>1735</v>
      </c>
      <c r="H12912" t="s">
        <v>6408</v>
      </c>
      <c r="I12912" t="s">
        <v>9917</v>
      </c>
      <c r="J12912" t="s">
        <v>12436</v>
      </c>
      <c r="K12912" t="s">
        <v>16844</v>
      </c>
      <c r="L12912">
        <f>HYPERLINK("https://www2.assemblee-nationale.fr/sycomore/fiche/(num_dept)/1197", "1197")</f>
        <v>0</v>
      </c>
      <c r="M12912">
        <f>HYPERLINK("https://www.senat.fr/senateur-3eme-republique/breteau_almire1241r3.html", "breteau_almire1241r3")</f>
        <v>0</v>
      </c>
      <c r="N12912">
        <f>HYPERLINK("https://www.wikidata.org/wiki/Q2839123", "Q2839123")</f>
        <v>0</v>
      </c>
      <c r="O12912" t="s">
        <v>19956</v>
      </c>
      <c r="Q12912" t="s">
        <v>404</v>
      </c>
      <c r="R12912" t="s">
        <v>16844</v>
      </c>
      <c r="S12912">
        <v>1274</v>
      </c>
    </row>
    <row r="12913" spans="1:19">
      <c r="A12913" t="s">
        <v>143</v>
      </c>
      <c r="B12913" t="s">
        <v>150</v>
      </c>
      <c r="C12913" t="s">
        <v>275</v>
      </c>
      <c r="D12913" t="s">
        <v>404</v>
      </c>
      <c r="F12913">
        <f>HYPERLINK("https://www.wikidata.org/wiki/Q28494841", "Q28494841")</f>
        <v>0</v>
      </c>
      <c r="G12913" t="s">
        <v>890</v>
      </c>
      <c r="H12913" t="s">
        <v>5646</v>
      </c>
      <c r="I12913" t="s">
        <v>9577</v>
      </c>
      <c r="J12913" t="s">
        <v>11636</v>
      </c>
      <c r="K12913" t="s">
        <v>16036</v>
      </c>
      <c r="L12913">
        <f>HYPERLINK("https://www2.assemblee-nationale.fr/sycomore/fiche/(num_dept)/1234", "1234")</f>
        <v>0</v>
      </c>
      <c r="M12913">
        <f>HYPERLINK("https://www.senat.fr/senateur-3eme-republique/brindeau_louis1617r3.html", "brindeau_louis1617r3")</f>
        <v>0</v>
      </c>
      <c r="N12913">
        <f>HYPERLINK("https://www.wikidata.org/wiki/Q3261358", "Q3261358")</f>
        <v>0</v>
      </c>
      <c r="O12913" t="s">
        <v>19978</v>
      </c>
      <c r="Q12913" t="s">
        <v>404</v>
      </c>
      <c r="R12913" t="s">
        <v>21650</v>
      </c>
      <c r="S12913">
        <v>6860</v>
      </c>
    </row>
    <row r="12914" spans="1:19">
      <c r="A12914" t="s">
        <v>143</v>
      </c>
      <c r="B12914" t="s">
        <v>150</v>
      </c>
      <c r="C12914" t="s">
        <v>275</v>
      </c>
      <c r="D12914" t="s">
        <v>404</v>
      </c>
      <c r="F12914">
        <f>HYPERLINK("https://www.wikidata.org/wiki/Q28494841", "Q28494841")</f>
        <v>0</v>
      </c>
      <c r="G12914" t="s">
        <v>560</v>
      </c>
      <c r="H12914" t="s">
        <v>5323</v>
      </c>
      <c r="I12914" t="s">
        <v>9407</v>
      </c>
      <c r="J12914" t="s">
        <v>11311</v>
      </c>
      <c r="K12914" t="s">
        <v>15712</v>
      </c>
      <c r="L12914">
        <f>HYPERLINK("https://www2.assemblee-nationale.fr/sycomore/fiche/(num_dept)/1366", "1366")</f>
        <v>0</v>
      </c>
      <c r="M12914">
        <f>HYPERLINK("https://www.senat.fr/senateur-3eme-republique/caillaux_joseph1254r3.html", "caillaux_joseph1254r3")</f>
        <v>0</v>
      </c>
      <c r="N12914">
        <f>HYPERLINK("https://www.wikidata.org/wiki/Q450463", "Q450463")</f>
        <v>0</v>
      </c>
      <c r="O12914" t="s">
        <v>19956</v>
      </c>
      <c r="Q12914" t="s">
        <v>404</v>
      </c>
      <c r="R12914" t="s">
        <v>21719</v>
      </c>
      <c r="S12914">
        <v>3291</v>
      </c>
    </row>
    <row r="12915" spans="1:19">
      <c r="A12915" t="s">
        <v>143</v>
      </c>
      <c r="B12915" t="s">
        <v>150</v>
      </c>
      <c r="C12915" t="s">
        <v>275</v>
      </c>
      <c r="D12915" t="s">
        <v>404</v>
      </c>
      <c r="F12915">
        <f>HYPERLINK("https://www.wikidata.org/wiki/Q28494841", "Q28494841")</f>
        <v>0</v>
      </c>
      <c r="G12915" t="s">
        <v>4056</v>
      </c>
      <c r="H12915" t="s">
        <v>8280</v>
      </c>
      <c r="I12915" t="s">
        <v>11084</v>
      </c>
      <c r="J12915" t="s">
        <v>14596</v>
      </c>
      <c r="K12915" t="s">
        <v>18934</v>
      </c>
      <c r="L12915">
        <f>HYPERLINK("https://www2.assemblee-nationale.fr/sycomore/fiche/(num_dept)/1517", "1517")</f>
        <v>0</v>
      </c>
      <c r="M12915">
        <f>HYPERLINK("https://www.senat.fr/senateur-3eme-republique/catalogne_jacques1059r3.html", "catalogne_jacques1059r3")</f>
        <v>0</v>
      </c>
      <c r="N12915">
        <f>HYPERLINK("https://www.wikidata.org/wiki/Q3012747", "Q3012747")</f>
        <v>0</v>
      </c>
      <c r="O12915" t="s">
        <v>19970</v>
      </c>
      <c r="Q12915" t="s">
        <v>404</v>
      </c>
      <c r="R12915" t="s">
        <v>21650</v>
      </c>
      <c r="S12915">
        <v>6860</v>
      </c>
    </row>
    <row r="12916" spans="1:19">
      <c r="A12916" t="s">
        <v>143</v>
      </c>
      <c r="B12916" t="s">
        <v>150</v>
      </c>
      <c r="C12916" t="s">
        <v>275</v>
      </c>
      <c r="D12916" t="s">
        <v>404</v>
      </c>
      <c r="F12916">
        <f>HYPERLINK("https://www.wikidata.org/wiki/Q28494841", "Q28494841")</f>
        <v>0</v>
      </c>
      <c r="G12916" t="s">
        <v>579</v>
      </c>
      <c r="H12916" t="s">
        <v>5341</v>
      </c>
      <c r="I12916" t="s">
        <v>5394</v>
      </c>
      <c r="J12916" t="s">
        <v>11330</v>
      </c>
      <c r="K12916" t="s">
        <v>15731</v>
      </c>
      <c r="L12916">
        <f>HYPERLINK("https://www2.assemblee-nationale.fr/sycomore/fiche/(num_dept)/1849", "1849")</f>
        <v>0</v>
      </c>
      <c r="M12916">
        <f>HYPERLINK("https://www.senat.fr/senateur-3eme-republique/clementel_etienne1006r3.html", "clementel_etienne1006r3")</f>
        <v>0</v>
      </c>
      <c r="N12916">
        <f>HYPERLINK("https://www.wikidata.org/wiki/Q3592114", "Q3592114")</f>
        <v>0</v>
      </c>
      <c r="O12916" t="s">
        <v>20005</v>
      </c>
      <c r="Q12916" t="s">
        <v>404</v>
      </c>
      <c r="R12916" t="s">
        <v>21650</v>
      </c>
      <c r="S12916">
        <v>6860</v>
      </c>
    </row>
    <row r="12917" spans="1:19">
      <c r="A12917" t="s">
        <v>143</v>
      </c>
      <c r="B12917" t="s">
        <v>150</v>
      </c>
      <c r="C12917" t="s">
        <v>275</v>
      </c>
      <c r="D12917" t="s">
        <v>404</v>
      </c>
      <c r="F12917">
        <f>HYPERLINK("https://www.wikidata.org/wiki/Q28494841", "Q28494841")</f>
        <v>0</v>
      </c>
      <c r="G12917" t="s">
        <v>918</v>
      </c>
      <c r="H12917" t="s">
        <v>5674</v>
      </c>
      <c r="I12917" t="s">
        <v>9483</v>
      </c>
      <c r="J12917" t="s">
        <v>11661</v>
      </c>
      <c r="K12917" t="s">
        <v>16061</v>
      </c>
      <c r="L12917">
        <f>HYPERLINK("https://www2.assemblee-nationale.fr/sycomore/fiche/(num_dept)/2108", "2108")</f>
        <v>0</v>
      </c>
      <c r="M12917">
        <f>HYPERLINK("https://www.senat.fr/senateur-3eme-republique/dalbiez_victor1098r3.html", "dalbiez_victor1098r3")</f>
        <v>0</v>
      </c>
      <c r="N12917">
        <f>HYPERLINK("https://www.wikidata.org/wiki/Q3557251", "Q3557251")</f>
        <v>0</v>
      </c>
      <c r="O12917" t="s">
        <v>20001</v>
      </c>
      <c r="Q12917" t="s">
        <v>404</v>
      </c>
      <c r="R12917" t="s">
        <v>21719</v>
      </c>
      <c r="S12917">
        <v>3291</v>
      </c>
    </row>
    <row r="12918" spans="1:19">
      <c r="A12918" t="s">
        <v>143</v>
      </c>
      <c r="B12918" t="s">
        <v>150</v>
      </c>
      <c r="C12918" t="s">
        <v>275</v>
      </c>
      <c r="D12918" t="s">
        <v>404</v>
      </c>
      <c r="F12918">
        <f>HYPERLINK("https://www.wikidata.org/wiki/Q28494841", "Q28494841")</f>
        <v>0</v>
      </c>
      <c r="G12918" t="s">
        <v>600</v>
      </c>
      <c r="H12918" t="s">
        <v>5361</v>
      </c>
      <c r="I12918" t="s">
        <v>9446</v>
      </c>
      <c r="J12918" t="s">
        <v>11351</v>
      </c>
      <c r="K12918" t="s">
        <v>15752</v>
      </c>
      <c r="L12918">
        <f>HYPERLINK("https://www2.assemblee-nationale.fr/sycomore/fiche/(num_dept)/2171", "2171")</f>
        <v>0</v>
      </c>
      <c r="M12918">
        <f>HYPERLINK("https://www.senat.fr/senateur-3eme-republique/david_fernand1309r3.html", "david_fernand1309r3")</f>
        <v>0</v>
      </c>
      <c r="N12918">
        <f>HYPERLINK("https://www.wikidata.org/wiki/Q3069115", "Q3069115")</f>
        <v>0</v>
      </c>
      <c r="O12918" t="s">
        <v>20018</v>
      </c>
      <c r="Q12918" t="s">
        <v>404</v>
      </c>
      <c r="R12918" t="s">
        <v>21650</v>
      </c>
      <c r="S12918">
        <v>6860</v>
      </c>
    </row>
    <row r="12919" spans="1:19">
      <c r="A12919" t="s">
        <v>143</v>
      </c>
      <c r="B12919" t="s">
        <v>150</v>
      </c>
      <c r="C12919" t="s">
        <v>275</v>
      </c>
      <c r="D12919" t="s">
        <v>404</v>
      </c>
      <c r="F12919">
        <f>HYPERLINK("https://www.wikidata.org/wiki/Q28494841", "Q28494841")</f>
        <v>0</v>
      </c>
      <c r="G12919" t="s">
        <v>925</v>
      </c>
      <c r="H12919" t="s">
        <v>5681</v>
      </c>
      <c r="I12919" t="s">
        <v>9591</v>
      </c>
      <c r="J12919" t="s">
        <v>11667</v>
      </c>
      <c r="K12919" t="s">
        <v>16068</v>
      </c>
      <c r="L12919">
        <f>HYPERLINK("https://www2.assemblee-nationale.fr/sycomore/fiche/(num_dept)/2327", "2327")</f>
        <v>0</v>
      </c>
      <c r="M12919">
        <f>HYPERLINK("https://www.senat.fr/senateur-3eme-republique/deloncle_charles1374r3.html", "deloncle_charles1374r3")</f>
        <v>0</v>
      </c>
      <c r="N12919">
        <f>HYPERLINK("https://www.wikidata.org/wiki/Q2958871", "Q2958871")</f>
        <v>0</v>
      </c>
      <c r="O12919" t="s">
        <v>19969</v>
      </c>
      <c r="Q12919" t="s">
        <v>404</v>
      </c>
      <c r="R12919" t="s">
        <v>21650</v>
      </c>
      <c r="S12919">
        <v>6860</v>
      </c>
    </row>
    <row r="12920" spans="1:19">
      <c r="A12920" t="s">
        <v>143</v>
      </c>
      <c r="B12920" t="s">
        <v>150</v>
      </c>
      <c r="C12920" t="s">
        <v>275</v>
      </c>
      <c r="D12920" t="s">
        <v>404</v>
      </c>
      <c r="F12920">
        <f>HYPERLINK("https://www.wikidata.org/wiki/Q28494841", "Q28494841")</f>
        <v>0</v>
      </c>
      <c r="G12920" t="s">
        <v>1782</v>
      </c>
      <c r="H12920" t="s">
        <v>6450</v>
      </c>
      <c r="I12920" t="s">
        <v>9949</v>
      </c>
      <c r="J12920" t="s">
        <v>12478</v>
      </c>
      <c r="K12920" t="s">
        <v>16888</v>
      </c>
      <c r="L12920">
        <f>HYPERLINK("https://www2.assemblee-nationale.fr/sycomore/fiche/(num_dept)/2350", "2350")</f>
        <v>0</v>
      </c>
      <c r="M12920">
        <f>HYPERLINK("https://www.senat.fr/senateur-3eme-republique/delthil_roger0436r4.html", "delthil_roger0436r4")</f>
        <v>0</v>
      </c>
      <c r="N12920">
        <f>HYPERLINK("https://www.wikidata.org/wiki/Q3438883", "Q3438883")</f>
        <v>0</v>
      </c>
      <c r="O12920" t="s">
        <v>20045</v>
      </c>
      <c r="Q12920" t="s">
        <v>404</v>
      </c>
      <c r="R12920" t="s">
        <v>21719</v>
      </c>
      <c r="S12920">
        <v>3291</v>
      </c>
    </row>
    <row r="12921" spans="1:19">
      <c r="A12921" t="s">
        <v>143</v>
      </c>
      <c r="B12921" t="s">
        <v>150</v>
      </c>
      <c r="C12921" t="s">
        <v>275</v>
      </c>
      <c r="D12921" t="s">
        <v>404</v>
      </c>
      <c r="F12921">
        <f>HYPERLINK("https://www.wikidata.org/wiki/Q28494841", "Q28494841")</f>
        <v>0</v>
      </c>
      <c r="G12921" t="s">
        <v>950</v>
      </c>
      <c r="H12921" t="s">
        <v>5387</v>
      </c>
      <c r="I12921" t="s">
        <v>9599</v>
      </c>
      <c r="J12921" t="s">
        <v>11691</v>
      </c>
      <c r="K12921" t="s">
        <v>16092</v>
      </c>
      <c r="L12921">
        <f>HYPERLINK("https://www2.assemblee-nationale.fr/sycomore/fiche/(num_dept)/2741", "2741")</f>
        <v>0</v>
      </c>
      <c r="M12921">
        <f>HYPERLINK("https://www.senat.fr/senateur-3eme-republique/dupuy_paul1085r3.html", "dupuy_paul1085r3")</f>
        <v>0</v>
      </c>
      <c r="N12921">
        <f>HYPERLINK("https://www.wikidata.org/wiki/Q3371141", "Q3371141")</f>
        <v>0</v>
      </c>
      <c r="O12921" t="s">
        <v>20027</v>
      </c>
      <c r="Q12921" t="s">
        <v>404</v>
      </c>
      <c r="R12921" t="s">
        <v>21650</v>
      </c>
      <c r="S12921">
        <v>6860</v>
      </c>
    </row>
    <row r="12922" spans="1:19">
      <c r="A12922" t="s">
        <v>143</v>
      </c>
      <c r="B12922" t="s">
        <v>150</v>
      </c>
      <c r="C12922" t="s">
        <v>275</v>
      </c>
      <c r="D12922" t="s">
        <v>404</v>
      </c>
      <c r="F12922">
        <f>HYPERLINK("https://www.wikidata.org/wiki/Q28494841", "Q28494841")</f>
        <v>0</v>
      </c>
      <c r="G12922" t="s">
        <v>644</v>
      </c>
      <c r="H12922" t="s">
        <v>5403</v>
      </c>
      <c r="I12922" t="s">
        <v>7642</v>
      </c>
      <c r="J12922" t="s">
        <v>11394</v>
      </c>
      <c r="K12922" t="s">
        <v>15796</v>
      </c>
      <c r="L12922">
        <f>HYPERLINK("https://www2.assemblee-nationale.fr/sycomore/fiche/(num_dept)/3025", "3025")</f>
        <v>0</v>
      </c>
      <c r="M12922">
        <f>HYPERLINK("https://www.senat.fr/senateur-3eme-republique/flayelle_maurice1800r3.html", "flayelle_maurice1800r3")</f>
        <v>0</v>
      </c>
      <c r="N12922">
        <f>HYPERLINK("https://www.wikidata.org/wiki/Q3300781", "Q3300781")</f>
        <v>0</v>
      </c>
      <c r="O12922" t="s">
        <v>20017</v>
      </c>
      <c r="Q12922" t="s">
        <v>404</v>
      </c>
      <c r="R12922" t="s">
        <v>21719</v>
      </c>
      <c r="S12922">
        <v>3291</v>
      </c>
    </row>
    <row r="12923" spans="1:19">
      <c r="A12923" t="s">
        <v>143</v>
      </c>
      <c r="B12923" t="s">
        <v>150</v>
      </c>
      <c r="C12923" t="s">
        <v>275</v>
      </c>
      <c r="D12923" t="s">
        <v>404</v>
      </c>
      <c r="F12923">
        <f>HYPERLINK("https://www.wikidata.org/wiki/Q28494841", "Q28494841")</f>
        <v>0</v>
      </c>
      <c r="G12923" t="s">
        <v>1173</v>
      </c>
      <c r="H12923" t="s">
        <v>5904</v>
      </c>
      <c r="I12923" t="s">
        <v>9692</v>
      </c>
      <c r="J12923" t="s">
        <v>11906</v>
      </c>
      <c r="K12923" t="s">
        <v>16308</v>
      </c>
      <c r="L12923">
        <f>HYPERLINK("https://www2.assemblee-nationale.fr/sycomore/fiche/(num_dept)/3045", "3045")</f>
        <v>0</v>
      </c>
      <c r="M12923">
        <f>HYPERLINK("https://www.senat.fr/senateur-3eme-republique/de_fontaines_raymond1746r3.html", "de_fontaines_raymond1746r3")</f>
        <v>0</v>
      </c>
      <c r="N12923">
        <f>HYPERLINK("https://www.wikidata.org/wiki/Q3421220", "Q3421220")</f>
        <v>0</v>
      </c>
      <c r="O12923" t="s">
        <v>19972</v>
      </c>
      <c r="Q12923" t="s">
        <v>404</v>
      </c>
      <c r="R12923" t="s">
        <v>21719</v>
      </c>
      <c r="S12923">
        <v>3291</v>
      </c>
    </row>
    <row r="12924" spans="1:19">
      <c r="A12924" t="s">
        <v>143</v>
      </c>
      <c r="B12924" t="s">
        <v>150</v>
      </c>
      <c r="C12924" t="s">
        <v>275</v>
      </c>
      <c r="D12924" t="s">
        <v>404</v>
      </c>
      <c r="F12924">
        <f>HYPERLINK("https://www.wikidata.org/wiki/Q28494841", "Q28494841")</f>
        <v>0</v>
      </c>
      <c r="G12924" t="s">
        <v>956</v>
      </c>
      <c r="H12924" t="s">
        <v>5708</v>
      </c>
      <c r="I12924" t="s">
        <v>9421</v>
      </c>
      <c r="J12924" t="s">
        <v>11697</v>
      </c>
      <c r="K12924" t="s">
        <v>16098</v>
      </c>
      <c r="L12924">
        <f>HYPERLINK("https://www2.assemblee-nationale.fr/sycomore/fiche/(num_dept)/3093", "3093")</f>
        <v>0</v>
      </c>
      <c r="M12924">
        <f>HYPERLINK("https://www.senat.fr/senateur-3eme-republique/fourment_gustave1742r3.html", "fourment_gustave1742r3")</f>
        <v>0</v>
      </c>
      <c r="N12924">
        <f>HYPERLINK("https://www.wikidata.org/wiki/Q3121186", "Q3121186")</f>
        <v>0</v>
      </c>
      <c r="O12924" t="s">
        <v>20042</v>
      </c>
      <c r="Q12924" t="s">
        <v>404</v>
      </c>
      <c r="R12924" t="s">
        <v>21719</v>
      </c>
      <c r="S12924">
        <v>3291</v>
      </c>
    </row>
    <row r="12925" spans="1:19">
      <c r="A12925" t="s">
        <v>143</v>
      </c>
      <c r="B12925" t="s">
        <v>150</v>
      </c>
      <c r="C12925" t="s">
        <v>275</v>
      </c>
      <c r="D12925" t="s">
        <v>404</v>
      </c>
      <c r="F12925">
        <f>HYPERLINK("https://www.wikidata.org/wiki/Q28494841", "Q28494841")</f>
        <v>0</v>
      </c>
      <c r="G12925" t="s">
        <v>966</v>
      </c>
      <c r="H12925" t="s">
        <v>5718</v>
      </c>
      <c r="I12925" t="s">
        <v>9605</v>
      </c>
      <c r="J12925" t="s">
        <v>11705</v>
      </c>
      <c r="K12925" t="s">
        <v>16108</v>
      </c>
      <c r="L12925">
        <f>HYPERLINK("https://www2.assemblee-nationale.fr/sycomore/fiche/(num_dept)/3460", "3460")</f>
        <v>0</v>
      </c>
      <c r="M12925">
        <f>HYPERLINK("https://www.senat.fr/senateur-3eme-republique/godart_justin1138r3.html", "godart_justin1138r3")</f>
        <v>0</v>
      </c>
      <c r="N12925">
        <f>HYPERLINK("https://www.wikidata.org/wiki/Q3190446", "Q3190446")</f>
        <v>0</v>
      </c>
      <c r="O12925" t="s">
        <v>19965</v>
      </c>
      <c r="Q12925" t="s">
        <v>404</v>
      </c>
      <c r="R12925" t="s">
        <v>21719</v>
      </c>
      <c r="S12925">
        <v>3291</v>
      </c>
    </row>
    <row r="12926" spans="1:19">
      <c r="A12926" t="s">
        <v>143</v>
      </c>
      <c r="B12926" t="s">
        <v>150</v>
      </c>
      <c r="C12926" t="s">
        <v>275</v>
      </c>
      <c r="D12926" t="s">
        <v>404</v>
      </c>
      <c r="F12926">
        <f>HYPERLINK("https://www.wikidata.org/wiki/Q28494841", "Q28494841")</f>
        <v>0</v>
      </c>
      <c r="G12926" t="s">
        <v>1807</v>
      </c>
      <c r="H12926" t="s">
        <v>6472</v>
      </c>
      <c r="I12926" t="s">
        <v>6585</v>
      </c>
      <c r="J12926" t="s">
        <v>12502</v>
      </c>
      <c r="K12926" t="s">
        <v>16912</v>
      </c>
      <c r="L12926">
        <f>HYPERLINK("https://www2.assemblee-nationale.fr/sycomore/fiche/(num_dept)/3471", "3471")</f>
        <v>0</v>
      </c>
      <c r="M12926">
        <f>HYPERLINK("https://www.senat.fr/senateur-3eme-republique/goirand_andre1629r3.html", "goirand_andre1629r3")</f>
        <v>0</v>
      </c>
      <c r="N12926">
        <f>HYPERLINK("https://www.wikidata.org/wiki/Q2847861", "Q2847861")</f>
        <v>0</v>
      </c>
      <c r="O12926" t="s">
        <v>20021</v>
      </c>
      <c r="Q12926" t="s">
        <v>404</v>
      </c>
      <c r="R12926" t="s">
        <v>21719</v>
      </c>
      <c r="S12926">
        <v>3291</v>
      </c>
    </row>
    <row r="12927" spans="1:19">
      <c r="A12927" t="s">
        <v>143</v>
      </c>
      <c r="B12927" t="s">
        <v>150</v>
      </c>
      <c r="C12927" t="s">
        <v>275</v>
      </c>
      <c r="D12927" t="s">
        <v>404</v>
      </c>
      <c r="F12927">
        <f>HYPERLINK("https://www.wikidata.org/wiki/Q28494841", "Q28494841")</f>
        <v>0</v>
      </c>
      <c r="G12927" t="s">
        <v>970</v>
      </c>
      <c r="H12927" t="s">
        <v>5722</v>
      </c>
      <c r="I12927" t="s">
        <v>7642</v>
      </c>
      <c r="J12927" t="s">
        <v>11708</v>
      </c>
      <c r="K12927" t="s">
        <v>16112</v>
      </c>
      <c r="L12927">
        <f>HYPERLINK("https://www2.assemblee-nationale.fr/sycomore/fiche/(num_dept)/3640", "3640")</f>
        <v>0</v>
      </c>
      <c r="M12927">
        <f>HYPERLINK("https://www.senat.fr/senateur-3eme-republique/guesnier_maurice1633r3.html", "guesnier_maurice1633r3")</f>
        <v>0</v>
      </c>
      <c r="N12927">
        <f>HYPERLINK("https://www.wikidata.org/wiki/Q3300873", "Q3300873")</f>
        <v>0</v>
      </c>
      <c r="O12927" t="s">
        <v>19976</v>
      </c>
      <c r="Q12927" t="s">
        <v>404</v>
      </c>
      <c r="R12927" t="s">
        <v>21650</v>
      </c>
      <c r="S12927">
        <v>6860</v>
      </c>
    </row>
    <row r="12928" spans="1:19">
      <c r="A12928" t="s">
        <v>143</v>
      </c>
      <c r="B12928" t="s">
        <v>150</v>
      </c>
      <c r="C12928" t="s">
        <v>275</v>
      </c>
      <c r="D12928" t="s">
        <v>404</v>
      </c>
      <c r="F12928">
        <f>HYPERLINK("https://www.wikidata.org/wiki/Q28494841", "Q28494841")</f>
        <v>0</v>
      </c>
      <c r="G12928" t="s">
        <v>4068</v>
      </c>
      <c r="H12928" t="s">
        <v>8288</v>
      </c>
      <c r="I12928" t="s">
        <v>9449</v>
      </c>
      <c r="J12928" t="s">
        <v>14608</v>
      </c>
      <c r="K12928" t="s">
        <v>18945</v>
      </c>
      <c r="L12928">
        <f>HYPERLINK("https://www2.assemblee-nationale.fr/sycomore/fiche/(num_dept)/4024", "4024")</f>
        <v>0</v>
      </c>
      <c r="M12928">
        <f>HYPERLINK("https://www.senat.fr/senateur-3eme-republique/jeanneney_jules1206r3.html", "jeanneney_jules1206r3")</f>
        <v>0</v>
      </c>
      <c r="N12928">
        <f>HYPERLINK("https://www.wikidata.org/wiki/Q3188688", "Q3188688")</f>
        <v>0</v>
      </c>
      <c r="O12928" t="s">
        <v>20036</v>
      </c>
      <c r="Q12928" t="s">
        <v>404</v>
      </c>
      <c r="R12928" t="s">
        <v>21719</v>
      </c>
      <c r="S12928">
        <v>3291</v>
      </c>
    </row>
    <row r="12929" spans="1:19">
      <c r="A12929" t="s">
        <v>143</v>
      </c>
      <c r="B12929" t="s">
        <v>150</v>
      </c>
      <c r="C12929" t="s">
        <v>275</v>
      </c>
      <c r="D12929" t="s">
        <v>404</v>
      </c>
      <c r="F12929">
        <f>HYPERLINK("https://www.wikidata.org/wiki/Q28494841", "Q28494841")</f>
        <v>0</v>
      </c>
      <c r="G12929" t="s">
        <v>692</v>
      </c>
      <c r="H12929" t="s">
        <v>5450</v>
      </c>
      <c r="I12929" t="s">
        <v>9385</v>
      </c>
      <c r="J12929" t="s">
        <v>11442</v>
      </c>
      <c r="K12929" t="s">
        <v>15843</v>
      </c>
      <c r="L12929">
        <f>HYPERLINK("https://www2.assemblee-nationale.fr/sycomore/fiche/(num_dept)/4047", "4047")</f>
        <v>0</v>
      </c>
      <c r="M12929">
        <f>HYPERLINK("https://www.senat.fr/senateur-3eme-republique/jonnart_celestin0975r3.html", "jonnart_celestin0975r3")</f>
        <v>0</v>
      </c>
      <c r="N12929">
        <f>HYPERLINK("https://www.wikidata.org/wiki/Q212634", "Q212634")</f>
        <v>0</v>
      </c>
      <c r="O12929" t="s">
        <v>19968</v>
      </c>
      <c r="Q12929" t="s">
        <v>404</v>
      </c>
      <c r="R12929" t="s">
        <v>21650</v>
      </c>
      <c r="S12929">
        <v>6860</v>
      </c>
    </row>
    <row r="12930" spans="1:19">
      <c r="A12930" t="s">
        <v>143</v>
      </c>
      <c r="B12930" t="s">
        <v>150</v>
      </c>
      <c r="C12930" t="s">
        <v>275</v>
      </c>
      <c r="D12930" t="s">
        <v>404</v>
      </c>
      <c r="F12930">
        <f>HYPERLINK("https://www.wikidata.org/wiki/Q28494841", "Q28494841")</f>
        <v>0</v>
      </c>
      <c r="G12930" t="s">
        <v>1507</v>
      </c>
      <c r="H12930" t="s">
        <v>6204</v>
      </c>
      <c r="I12930" t="s">
        <v>9388</v>
      </c>
      <c r="J12930" t="s">
        <v>12225</v>
      </c>
      <c r="K12930" t="s">
        <v>16630</v>
      </c>
      <c r="L12930">
        <f>HYPERLINK("https://www2.assemblee-nationale.fr/sycomore/fiche/(num_dept)/4069", "4069")</f>
        <v>0</v>
      </c>
      <c r="M12930">
        <f>HYPERLINK("https://www.senat.fr/senateur-3eme-republique/jourdain_paul1113r3.html", "jourdain_paul1113r3")</f>
        <v>0</v>
      </c>
      <c r="N12930">
        <f>HYPERLINK("https://www.wikidata.org/wiki/Q3371547", "Q3371547")</f>
        <v>0</v>
      </c>
      <c r="O12930" t="s">
        <v>20049</v>
      </c>
      <c r="Q12930" t="s">
        <v>404</v>
      </c>
      <c r="R12930" t="s">
        <v>21719</v>
      </c>
      <c r="S12930">
        <v>3291</v>
      </c>
    </row>
    <row r="12931" spans="1:19">
      <c r="A12931" t="s">
        <v>143</v>
      </c>
      <c r="B12931" t="s">
        <v>150</v>
      </c>
      <c r="C12931" t="s">
        <v>275</v>
      </c>
      <c r="D12931" t="s">
        <v>404</v>
      </c>
      <c r="F12931">
        <f>HYPERLINK("https://www.wikidata.org/wiki/Q28494841", "Q28494841")</f>
        <v>0</v>
      </c>
      <c r="G12931" t="s">
        <v>1265</v>
      </c>
      <c r="H12931" t="s">
        <v>5989</v>
      </c>
      <c r="I12931" t="s">
        <v>9729</v>
      </c>
      <c r="J12931" t="s">
        <v>11995</v>
      </c>
      <c r="K12931" t="s">
        <v>16398</v>
      </c>
      <c r="L12931">
        <f>HYPERLINK("https://www2.assemblee-nationale.fr/sycomore/fiche/(num_dept)/4079", "4079")</f>
        <v>0</v>
      </c>
      <c r="M12931">
        <f>HYPERLINK("https://www.senat.fr/senateur-3eme-republique/jovelet_anatole1661r3.html", "jovelet_anatole1661r3")</f>
        <v>0</v>
      </c>
      <c r="N12931">
        <f>HYPERLINK("https://www.wikidata.org/wiki/Q2845585", "Q2845585")</f>
        <v>0</v>
      </c>
      <c r="O12931" t="s">
        <v>20012</v>
      </c>
      <c r="Q12931" t="s">
        <v>404</v>
      </c>
      <c r="R12931" t="s">
        <v>21719</v>
      </c>
      <c r="S12931">
        <v>3291</v>
      </c>
    </row>
    <row r="12932" spans="1:19">
      <c r="A12932" t="s">
        <v>143</v>
      </c>
      <c r="B12932" t="s">
        <v>150</v>
      </c>
      <c r="C12932" t="s">
        <v>275</v>
      </c>
      <c r="D12932" t="s">
        <v>404</v>
      </c>
      <c r="F12932">
        <f>HYPERLINK("https://www.wikidata.org/wiki/Q28494841", "Q28494841")</f>
        <v>0</v>
      </c>
      <c r="G12932" t="s">
        <v>696</v>
      </c>
      <c r="H12932" t="s">
        <v>5454</v>
      </c>
      <c r="I12932" t="s">
        <v>9484</v>
      </c>
      <c r="J12932" t="s">
        <v>11446</v>
      </c>
      <c r="K12932" t="s">
        <v>15847</v>
      </c>
      <c r="L12932">
        <f>HYPERLINK("https://www2.assemblee-nationale.fr/sycomore/fiche/(num_dept)/4148", "4148")</f>
        <v>0</v>
      </c>
      <c r="M12932">
        <f>HYPERLINK("https://www.senat.fr/senateur-3eme-republique/klotz_louis1683r3.html", "klotz_louis1683r3")</f>
        <v>0</v>
      </c>
      <c r="N12932">
        <f>HYPERLINK("https://www.wikidata.org/wiki/Q179586", "Q179586")</f>
        <v>0</v>
      </c>
      <c r="O12932" t="s">
        <v>20012</v>
      </c>
      <c r="Q12932" t="s">
        <v>404</v>
      </c>
      <c r="R12932" t="s">
        <v>21650</v>
      </c>
      <c r="S12932">
        <v>6860</v>
      </c>
    </row>
    <row r="12933" spans="1:19">
      <c r="A12933" t="s">
        <v>143</v>
      </c>
      <c r="B12933" t="s">
        <v>150</v>
      </c>
      <c r="C12933" t="s">
        <v>275</v>
      </c>
      <c r="D12933" t="s">
        <v>404</v>
      </c>
      <c r="F12933">
        <f>HYPERLINK("https://www.wikidata.org/wiki/Q28494841", "Q28494841")</f>
        <v>0</v>
      </c>
      <c r="G12933" t="s">
        <v>1273</v>
      </c>
      <c r="H12933" t="s">
        <v>5997</v>
      </c>
      <c r="I12933" t="s">
        <v>6175</v>
      </c>
      <c r="J12933" t="s">
        <v>12003</v>
      </c>
      <c r="K12933" t="s">
        <v>16406</v>
      </c>
      <c r="L12933">
        <f>HYPERLINK("https://www2.assemblee-nationale.fr/sycomore/fiche/(num_dept)/4850", "4850")</f>
        <v>0</v>
      </c>
      <c r="M12933">
        <f>HYPERLINK("https://www.senat.fr/senateur-3eme-republique/lugol_georges1591r3.html", "lugol_georges1591r3")</f>
        <v>0</v>
      </c>
      <c r="N12933">
        <f>HYPERLINK("https://www.wikidata.org/wiki/Q3188745", "Q3188745")</f>
        <v>0</v>
      </c>
      <c r="O12933" t="s">
        <v>20026</v>
      </c>
      <c r="Q12933" t="s">
        <v>404</v>
      </c>
      <c r="R12933" t="s">
        <v>21650</v>
      </c>
      <c r="S12933">
        <v>6860</v>
      </c>
    </row>
    <row r="12934" spans="1:19">
      <c r="A12934" t="s">
        <v>143</v>
      </c>
      <c r="B12934" t="s">
        <v>150</v>
      </c>
      <c r="C12934" t="s">
        <v>275</v>
      </c>
      <c r="D12934" t="s">
        <v>404</v>
      </c>
      <c r="F12934">
        <f>HYPERLINK("https://www.wikidata.org/wiki/Q28494841", "Q28494841")</f>
        <v>0</v>
      </c>
      <c r="G12934" t="s">
        <v>725</v>
      </c>
      <c r="H12934" t="s">
        <v>5483</v>
      </c>
      <c r="I12934" t="s">
        <v>9497</v>
      </c>
      <c r="J12934" t="s">
        <v>11474</v>
      </c>
      <c r="K12934" t="s">
        <v>15876</v>
      </c>
      <c r="L12934">
        <f>HYPERLINK("https://www2.assemblee-nationale.fr/sycomore/fiche/(num_dept)/5024", "5024")</f>
        <v>0</v>
      </c>
      <c r="M12934">
        <f>HYPERLINK("https://www.senat.fr/senateur-3eme-republique/marrou_baptiste0987r3.html", "marrou_baptiste0987r3")</f>
        <v>0</v>
      </c>
      <c r="N12934">
        <f>HYPERLINK("https://www.wikidata.org/wiki/Q2883668", "Q2883668")</f>
        <v>0</v>
      </c>
      <c r="O12934" t="s">
        <v>20005</v>
      </c>
      <c r="Q12934" t="s">
        <v>404</v>
      </c>
      <c r="R12934" t="s">
        <v>21719</v>
      </c>
      <c r="S12934">
        <v>3291</v>
      </c>
    </row>
    <row r="12935" spans="1:19">
      <c r="A12935" t="s">
        <v>143</v>
      </c>
      <c r="B12935" t="s">
        <v>150</v>
      </c>
      <c r="C12935" t="s">
        <v>275</v>
      </c>
      <c r="D12935" t="s">
        <v>404</v>
      </c>
      <c r="F12935">
        <f>HYPERLINK("https://www.wikidata.org/wiki/Q28494841", "Q28494841")</f>
        <v>0</v>
      </c>
      <c r="G12935" t="s">
        <v>3997</v>
      </c>
      <c r="H12935" t="s">
        <v>6603</v>
      </c>
      <c r="I12935" t="s">
        <v>11055</v>
      </c>
      <c r="J12935" t="s">
        <v>11345</v>
      </c>
      <c r="K12935" t="s">
        <v>18887</v>
      </c>
      <c r="L12935">
        <f>HYPERLINK("https://www2.assemblee-nationale.fr/sycomore/fiche/(num_dept)/5179", "5179")</f>
        <v>0</v>
      </c>
      <c r="M12935">
        <f>HYPERLINK("https://www.senat.fr/senateur-3eme-republique/menier_gaston1610r3.html", "menier_gaston1610r3")</f>
        <v>0</v>
      </c>
      <c r="N12935">
        <f>HYPERLINK("https://www.wikidata.org/wiki/Q3099085", "Q3099085")</f>
        <v>0</v>
      </c>
      <c r="O12935" t="s">
        <v>20026</v>
      </c>
      <c r="Q12935" t="s">
        <v>404</v>
      </c>
      <c r="R12935" t="s">
        <v>21650</v>
      </c>
      <c r="S12935">
        <v>6860</v>
      </c>
    </row>
    <row r="12936" spans="1:19">
      <c r="A12936" t="s">
        <v>143</v>
      </c>
      <c r="B12936" t="s">
        <v>150</v>
      </c>
      <c r="C12936" t="s">
        <v>275</v>
      </c>
      <c r="D12936" t="s">
        <v>404</v>
      </c>
      <c r="F12936">
        <f>HYPERLINK("https://www.wikidata.org/wiki/Q28494841", "Q28494841")</f>
        <v>0</v>
      </c>
      <c r="G12936" t="s">
        <v>1557</v>
      </c>
      <c r="H12936" t="s">
        <v>6248</v>
      </c>
      <c r="I12936" t="s">
        <v>9465</v>
      </c>
      <c r="J12936" t="s">
        <v>12270</v>
      </c>
      <c r="K12936" t="s">
        <v>16679</v>
      </c>
      <c r="L12936">
        <f>HYPERLINK("https://www2.assemblee-nationale.fr/sycomore/fiche/(num_dept)/5478", "5478")</f>
        <v>0</v>
      </c>
      <c r="M12936">
        <f>HYPERLINK("https://www.senat.fr/senateur-3eme-republique/muller_eugene1101r3.html", "muller_eugene1101r3")</f>
        <v>0</v>
      </c>
      <c r="N12936">
        <f>HYPERLINK("https://www.wikidata.org/wiki/Q3060060", "Q3060060")</f>
        <v>0</v>
      </c>
      <c r="O12936" t="s">
        <v>20048</v>
      </c>
      <c r="Q12936" t="s">
        <v>404</v>
      </c>
      <c r="R12936" t="s">
        <v>21719</v>
      </c>
      <c r="S12936">
        <v>3291</v>
      </c>
    </row>
    <row r="12937" spans="1:19">
      <c r="A12937" t="s">
        <v>143</v>
      </c>
      <c r="B12937" t="s">
        <v>150</v>
      </c>
      <c r="C12937" t="s">
        <v>275</v>
      </c>
      <c r="D12937" t="s">
        <v>404</v>
      </c>
      <c r="F12937">
        <f>HYPERLINK("https://www.wikidata.org/wiki/Q28494841", "Q28494841")</f>
        <v>0</v>
      </c>
      <c r="G12937" t="s">
        <v>747</v>
      </c>
      <c r="H12937" t="s">
        <v>5505</v>
      </c>
      <c r="I12937" t="s">
        <v>9507</v>
      </c>
      <c r="J12937" t="s">
        <v>11496</v>
      </c>
      <c r="K12937" t="s">
        <v>15898</v>
      </c>
      <c r="L12937">
        <f>HYPERLINK("https://www2.assemblee-nationale.fr/sycomore/fiche/(num_dept)/5571", "5571")</f>
        <v>0</v>
      </c>
      <c r="M12937">
        <f>HYPERLINK("https://www.senat.fr/senateur-3eme-republique/nogues_louis1080r3.html", "nogues_louis1080r3")</f>
        <v>0</v>
      </c>
      <c r="N12937">
        <f>HYPERLINK("https://www.wikidata.org/wiki/Q3262803", "Q3262803")</f>
        <v>0</v>
      </c>
      <c r="O12937" t="s">
        <v>20027</v>
      </c>
      <c r="Q12937" t="s">
        <v>404</v>
      </c>
      <c r="R12937" t="s">
        <v>21719</v>
      </c>
      <c r="S12937">
        <v>3291</v>
      </c>
    </row>
    <row r="12938" spans="1:19">
      <c r="A12938" t="s">
        <v>143</v>
      </c>
      <c r="B12938" t="s">
        <v>150</v>
      </c>
      <c r="C12938" t="s">
        <v>275</v>
      </c>
      <c r="D12938" t="s">
        <v>404</v>
      </c>
      <c r="F12938">
        <f>HYPERLINK("https://www.wikidata.org/wiki/Q28494841", "Q28494841")</f>
        <v>0</v>
      </c>
      <c r="G12938" t="s">
        <v>755</v>
      </c>
      <c r="H12938" t="s">
        <v>5513</v>
      </c>
      <c r="I12938" t="s">
        <v>9500</v>
      </c>
      <c r="J12938" t="s">
        <v>11503</v>
      </c>
      <c r="K12938" t="s">
        <v>15906</v>
      </c>
      <c r="L12938">
        <f>HYPERLINK("https://www2.assemblee-nationale.fr/sycomore/fiche/(num_dept)/5779", "5779")</f>
        <v>0</v>
      </c>
      <c r="M12938">
        <f>HYPERLINK("https://www.senat.fr/senateur-3eme-republique/peret_raoul1766r3.html", "peret_raoul1766r3")</f>
        <v>0</v>
      </c>
      <c r="N12938">
        <f>HYPERLINK("https://www.wikidata.org/wiki/Q3419252", "Q3419252")</f>
        <v>0</v>
      </c>
      <c r="O12938" t="s">
        <v>19982</v>
      </c>
      <c r="Q12938" t="s">
        <v>404</v>
      </c>
      <c r="R12938" t="s">
        <v>21719</v>
      </c>
      <c r="S12938">
        <v>3291</v>
      </c>
    </row>
    <row r="12939" spans="1:19">
      <c r="A12939" t="s">
        <v>143</v>
      </c>
      <c r="B12939" t="s">
        <v>150</v>
      </c>
      <c r="C12939" t="s">
        <v>275</v>
      </c>
      <c r="D12939" t="s">
        <v>404</v>
      </c>
      <c r="F12939">
        <f>HYPERLINK("https://www.wikidata.org/wiki/Q28494841", "Q28494841")</f>
        <v>0</v>
      </c>
      <c r="G12939" t="s">
        <v>4080</v>
      </c>
      <c r="H12939" t="s">
        <v>6012</v>
      </c>
      <c r="I12939" t="s">
        <v>11098</v>
      </c>
      <c r="J12939" t="s">
        <v>14619</v>
      </c>
      <c r="K12939" t="s">
        <v>18956</v>
      </c>
      <c r="L12939">
        <f>HYPERLINK("https://www2.assemblee-nationale.fr/sycomore/fiche/(num_dept)/5852", "5852")</f>
        <v>0</v>
      </c>
      <c r="M12939">
        <f>HYPERLINK("https://www.senat.fr/senateur-3eme-republique/petitjean_claude1221r3.html", "petitjean_claude1221r3")</f>
        <v>0</v>
      </c>
      <c r="N12939">
        <f>HYPERLINK("https://www.wikidata.org/wiki/Q2977946", "Q2977946")</f>
        <v>0</v>
      </c>
      <c r="O12939" t="s">
        <v>19994</v>
      </c>
      <c r="Q12939" t="s">
        <v>404</v>
      </c>
      <c r="R12939" t="s">
        <v>21650</v>
      </c>
      <c r="S12939">
        <v>6860</v>
      </c>
    </row>
    <row r="12940" spans="1:19">
      <c r="A12940" t="s">
        <v>143</v>
      </c>
      <c r="B12940" t="s">
        <v>150</v>
      </c>
      <c r="C12940" t="s">
        <v>275</v>
      </c>
      <c r="D12940" t="s">
        <v>404</v>
      </c>
      <c r="F12940">
        <f>HYPERLINK("https://www.wikidata.org/wiki/Q28494841", "Q28494841")</f>
        <v>0</v>
      </c>
      <c r="G12940" t="s">
        <v>4085</v>
      </c>
      <c r="H12940" t="s">
        <v>8300</v>
      </c>
      <c r="I12940" t="s">
        <v>9638</v>
      </c>
      <c r="J12940" t="s">
        <v>14624</v>
      </c>
      <c r="K12940" t="s">
        <v>18959</v>
      </c>
      <c r="L12940">
        <f>HYPERLINK("https://www2.assemblee-nationale.fr/sycomore/fiche/(num_dept)/6196", "6196")</f>
        <v>0</v>
      </c>
      <c r="M12940">
        <f>HYPERLINK("https://www.senat.fr/senateur-3eme-republique/sabaterie_pierre_jean0994r3.html", "sabaterie_pierre_jean0994r3")</f>
        <v>0</v>
      </c>
      <c r="N12940">
        <f>HYPERLINK("https://www.wikidata.org/wiki/Q3383181", "Q3383181")</f>
        <v>0</v>
      </c>
      <c r="O12940" t="s">
        <v>20005</v>
      </c>
      <c r="Q12940" t="s">
        <v>404</v>
      </c>
      <c r="R12940" t="s">
        <v>21650</v>
      </c>
      <c r="S12940">
        <v>6860</v>
      </c>
    </row>
    <row r="12941" spans="1:19">
      <c r="A12941" t="s">
        <v>143</v>
      </c>
      <c r="B12941" t="s">
        <v>150</v>
      </c>
      <c r="C12941" t="s">
        <v>275</v>
      </c>
      <c r="D12941" t="s">
        <v>404</v>
      </c>
      <c r="F12941">
        <f>HYPERLINK("https://www.wikidata.org/wiki/Q28494841", "Q28494841")</f>
        <v>0</v>
      </c>
      <c r="G12941" t="s">
        <v>1298</v>
      </c>
      <c r="H12941" t="s">
        <v>6020</v>
      </c>
      <c r="I12941" t="s">
        <v>6495</v>
      </c>
      <c r="J12941" t="s">
        <v>12028</v>
      </c>
      <c r="K12941" t="s">
        <v>16430</v>
      </c>
      <c r="L12941">
        <f>HYPERLINK("https://www2.assemblee-nationale.fr/sycomore/fiche/(num_dept)/6399", "6399")</f>
        <v>0</v>
      </c>
      <c r="M12941">
        <f>HYPERLINK("https://www.senat.fr/senateur-3eme-republique/serre_louis1705r3.html", "serre_louis1705r3")</f>
        <v>0</v>
      </c>
      <c r="N12941">
        <f>HYPERLINK("https://www.wikidata.org/wiki/Q195990", "Q195990")</f>
        <v>0</v>
      </c>
      <c r="O12941" t="s">
        <v>20047</v>
      </c>
      <c r="Q12941" t="s">
        <v>404</v>
      </c>
      <c r="R12941" t="s">
        <v>21650</v>
      </c>
      <c r="S12941">
        <v>6860</v>
      </c>
    </row>
    <row r="12942" spans="1:19">
      <c r="A12942" t="s">
        <v>143</v>
      </c>
      <c r="B12942" t="s">
        <v>150</v>
      </c>
      <c r="C12942" t="s">
        <v>275</v>
      </c>
      <c r="D12942" t="s">
        <v>404</v>
      </c>
      <c r="F12942">
        <f>HYPERLINK("https://www.wikidata.org/wiki/Q28494841", "Q28494841")</f>
        <v>0</v>
      </c>
      <c r="G12942" t="s">
        <v>1605</v>
      </c>
      <c r="H12942" t="s">
        <v>6293</v>
      </c>
      <c r="I12942" t="s">
        <v>9552</v>
      </c>
      <c r="J12942" t="s">
        <v>12313</v>
      </c>
      <c r="K12942" t="s">
        <v>16722</v>
      </c>
      <c r="L12942">
        <f>HYPERLINK("https://www2.assemblee-nationale.fr/sycomore/fiche/(num_dept)/6537", "6537")</f>
        <v>0</v>
      </c>
      <c r="M12942">
        <f>HYPERLINK("https://www.senat.fr/senateur-3eme-republique/puis_auguste1718r3.html", "puis_auguste1718r3")</f>
        <v>0</v>
      </c>
      <c r="N12942">
        <f>HYPERLINK("https://www.wikidata.org/wiki/Q2871367", "Q2871367")</f>
        <v>0</v>
      </c>
      <c r="O12942" t="s">
        <v>20045</v>
      </c>
      <c r="Q12942" t="s">
        <v>404</v>
      </c>
      <c r="R12942" t="s">
        <v>21720</v>
      </c>
      <c r="S12942">
        <v>2683</v>
      </c>
    </row>
    <row r="12943" spans="1:19">
      <c r="A12943" t="s">
        <v>143</v>
      </c>
      <c r="B12943" t="s">
        <v>150</v>
      </c>
      <c r="C12943" t="s">
        <v>275</v>
      </c>
      <c r="D12943" t="s">
        <v>404</v>
      </c>
      <c r="F12943">
        <f>HYPERLINK("https://www.wikidata.org/wiki/Q28494841", "Q28494841")</f>
        <v>0</v>
      </c>
      <c r="G12943" t="s">
        <v>804</v>
      </c>
      <c r="H12943" t="s">
        <v>5561</v>
      </c>
      <c r="I12943" t="s">
        <v>9476</v>
      </c>
      <c r="J12943" t="s">
        <v>11551</v>
      </c>
      <c r="K12943" t="s">
        <v>15955</v>
      </c>
      <c r="L12943">
        <f>HYPERLINK("https://www2.assemblee-nationale.fr/sycomore/fiche/(num_dept)/6684", "6684")</f>
        <v>0</v>
      </c>
      <c r="M12943">
        <f>HYPERLINK("https://www.senat.fr/senateur-3eme-republique/renoult_rene1734r3.html", "renoult_rene1734r3")</f>
        <v>0</v>
      </c>
      <c r="N12943">
        <f>HYPERLINK("https://www.wikidata.org/wiki/Q3426810", "Q3426810")</f>
        <v>0</v>
      </c>
      <c r="O12943" t="s">
        <v>20042</v>
      </c>
      <c r="Q12943" t="s">
        <v>404</v>
      </c>
      <c r="R12943" t="s">
        <v>21719</v>
      </c>
      <c r="S12943">
        <v>3291</v>
      </c>
    </row>
    <row r="12944" spans="1:19">
      <c r="A12944" t="s">
        <v>143</v>
      </c>
      <c r="B12944" t="s">
        <v>150</v>
      </c>
      <c r="C12944" t="s">
        <v>275</v>
      </c>
      <c r="D12944" t="s">
        <v>404</v>
      </c>
      <c r="F12944">
        <f>HYPERLINK("https://www.wikidata.org/wiki/Q28494841", "Q28494841")</f>
        <v>0</v>
      </c>
      <c r="G12944" t="s">
        <v>814</v>
      </c>
      <c r="H12944" t="s">
        <v>5571</v>
      </c>
      <c r="I12944" t="s">
        <v>9533</v>
      </c>
      <c r="J12944" t="s">
        <v>11561</v>
      </c>
      <c r="K12944" t="s">
        <v>15965</v>
      </c>
      <c r="L12944">
        <f>HYPERLINK("https://www2.assemblee-nationale.fr/sycomore/fiche/(num_dept)/6904", "6904")</f>
        <v>0</v>
      </c>
      <c r="M12944">
        <f>HYPERLINK("https://www.senat.fr/senateur-3eme-republique/steeg_theodore1554r3.html", "steeg_theodore1554r3")</f>
        <v>0</v>
      </c>
      <c r="N12944">
        <f>HYPERLINK("https://www.wikidata.org/wiki/Q717905", "Q717905")</f>
        <v>0</v>
      </c>
      <c r="O12944" t="s">
        <v>19969</v>
      </c>
      <c r="Q12944" t="s">
        <v>404</v>
      </c>
      <c r="R12944" t="s">
        <v>21719</v>
      </c>
      <c r="S12944">
        <v>3291</v>
      </c>
    </row>
    <row r="12945" spans="1:19">
      <c r="A12945" t="s">
        <v>143</v>
      </c>
      <c r="B12945" t="s">
        <v>150</v>
      </c>
      <c r="C12945" t="s">
        <v>275</v>
      </c>
      <c r="D12945" t="s">
        <v>404</v>
      </c>
      <c r="F12945">
        <f>HYPERLINK("https://www.wikidata.org/wiki/Q28494841", "Q28494841")</f>
        <v>0</v>
      </c>
      <c r="G12945" t="s">
        <v>1127</v>
      </c>
      <c r="H12945" t="s">
        <v>5865</v>
      </c>
      <c r="I12945" t="s">
        <v>9594</v>
      </c>
      <c r="J12945" t="s">
        <v>11861</v>
      </c>
      <c r="K12945" t="s">
        <v>16263</v>
      </c>
      <c r="L12945">
        <f>HYPERLINK("https://www2.assemblee-nationale.fr/sycomore/fiche/(num_dept)/7090", "7090")</f>
        <v>0</v>
      </c>
      <c r="M12945">
        <f>HYPERLINK("https://www.senat.fr/senateur-3eme-republique/tissier_louis1710r3.html", "tissier_louis1710r3")</f>
        <v>0</v>
      </c>
      <c r="N12945">
        <f>HYPERLINK("https://www.wikidata.org/wiki/Q3263199", "Q3263199")</f>
        <v>0</v>
      </c>
      <c r="O12945" t="s">
        <v>20047</v>
      </c>
      <c r="Q12945" t="s">
        <v>404</v>
      </c>
      <c r="R12945" t="s">
        <v>21650</v>
      </c>
      <c r="S12945">
        <v>6860</v>
      </c>
    </row>
    <row r="12946" spans="1:19">
      <c r="A12946" t="s">
        <v>143</v>
      </c>
      <c r="B12946" t="s">
        <v>150</v>
      </c>
      <c r="C12946" t="s">
        <v>275</v>
      </c>
      <c r="D12946" t="s">
        <v>404</v>
      </c>
      <c r="F12946">
        <f>HYPERLINK("https://www.wikidata.org/wiki/Q28494841", "Q28494841")</f>
        <v>0</v>
      </c>
      <c r="G12946" t="s">
        <v>1646</v>
      </c>
      <c r="H12946" t="s">
        <v>5937</v>
      </c>
      <c r="I12946" t="s">
        <v>6713</v>
      </c>
      <c r="J12946" t="s">
        <v>12353</v>
      </c>
      <c r="K12946" t="s">
        <v>16760</v>
      </c>
      <c r="L12946">
        <f>HYPERLINK("https://www2.assemblee-nationale.fr/sycomore/fiche/(num_dept)/7360", "7360")</f>
        <v>0</v>
      </c>
      <c r="M12946">
        <f>HYPERLINK("https://www.senat.fr/senateur-3eme-republique/de_wendel_guy0706r3.html", "de_wendel_guy0706r3")</f>
        <v>0</v>
      </c>
      <c r="N12946">
        <f>HYPERLINK("https://www.wikidata.org/wiki/Q3122301", "Q3122301")</f>
        <v>0</v>
      </c>
      <c r="O12946" t="s">
        <v>20050</v>
      </c>
      <c r="Q12946" t="s">
        <v>404</v>
      </c>
      <c r="R12946" t="s">
        <v>16811</v>
      </c>
      <c r="S12946">
        <v>2106</v>
      </c>
    </row>
    <row r="12947" spans="1:19">
      <c r="A12947" t="s">
        <v>143</v>
      </c>
      <c r="B12947" t="s">
        <v>150</v>
      </c>
      <c r="C12947" t="s">
        <v>275</v>
      </c>
      <c r="D12947" t="s">
        <v>404</v>
      </c>
      <c r="F12947">
        <f>HYPERLINK("https://www.wikidata.org/wiki/Q28494841", "Q28494841")</f>
        <v>0</v>
      </c>
      <c r="G12947" t="s">
        <v>826</v>
      </c>
      <c r="H12947" t="s">
        <v>5583</v>
      </c>
      <c r="I12947" t="s">
        <v>9455</v>
      </c>
      <c r="J12947" t="s">
        <v>11573</v>
      </c>
      <c r="K12947" t="s">
        <v>15975</v>
      </c>
      <c r="L12947">
        <f>HYPERLINK("https://www2.assemblee-nationale.fr/sycomore/fiche/(num_dept)/7364", "7364")</f>
        <v>0</v>
      </c>
      <c r="M12947">
        <f>HYPERLINK("https://www.senat.fr/senateur-3eme-republique/voilin_lucien1366r3.html", "voilin_lucien1366r3")</f>
        <v>0</v>
      </c>
      <c r="N12947">
        <f>HYPERLINK("https://www.wikidata.org/wiki/Q3265740", "Q3265740")</f>
        <v>0</v>
      </c>
      <c r="O12947" t="s">
        <v>19969</v>
      </c>
      <c r="Q12947" t="s">
        <v>404</v>
      </c>
      <c r="R12947" t="s">
        <v>21719</v>
      </c>
      <c r="S12947">
        <v>3291</v>
      </c>
    </row>
    <row r="12948" spans="1:19">
      <c r="A12948" t="s">
        <v>143</v>
      </c>
      <c r="B12948" t="s">
        <v>150</v>
      </c>
      <c r="C12948" t="s">
        <v>275</v>
      </c>
      <c r="D12948" t="s">
        <v>404</v>
      </c>
      <c r="F12948">
        <f>HYPERLINK("https://www.wikidata.org/wiki/Q28494841", "Q28494841")</f>
        <v>0</v>
      </c>
      <c r="G12948" t="s">
        <v>1319</v>
      </c>
      <c r="H12948" t="s">
        <v>6039</v>
      </c>
      <c r="I12948" t="s">
        <v>9749</v>
      </c>
      <c r="J12948" t="s">
        <v>12049</v>
      </c>
      <c r="K12948" t="s">
        <v>16449</v>
      </c>
      <c r="L12948">
        <f>HYPERLINK("https://www2.assemblee-nationale.fr/sycomore/fiche/(num_dept)/7385", "7385")</f>
        <v>0</v>
      </c>
      <c r="M12948">
        <f>HYPERLINK("https://www.senat.fr/senateur-3eme-republique/weiller_jean1106r3.html", "weiller_jean1106r3")</f>
        <v>0</v>
      </c>
      <c r="N12948">
        <f>HYPERLINK("https://www.wikidata.org/wiki/Q166295", "Q166295")</f>
        <v>0</v>
      </c>
      <c r="O12948" t="s">
        <v>20048</v>
      </c>
      <c r="Q12948" t="s">
        <v>404</v>
      </c>
      <c r="R12948" t="s">
        <v>21650</v>
      </c>
      <c r="S12948">
        <v>6860</v>
      </c>
    </row>
    <row r="12949" spans="1:19">
      <c r="A12949" t="s">
        <v>143</v>
      </c>
      <c r="B12949" t="s">
        <v>150</v>
      </c>
      <c r="C12949" t="s">
        <v>275</v>
      </c>
      <c r="D12949" t="s">
        <v>404</v>
      </c>
      <c r="F12949">
        <f>HYPERLINK("https://www.wikidata.org/wiki/Q28494841", "Q28494841")</f>
        <v>0</v>
      </c>
      <c r="G12949" t="s">
        <v>1210</v>
      </c>
      <c r="H12949" t="s">
        <v>5938</v>
      </c>
      <c r="I12949" t="s">
        <v>6495</v>
      </c>
      <c r="J12949" t="s">
        <v>11942</v>
      </c>
      <c r="K12949" t="s">
        <v>16344</v>
      </c>
      <c r="L12949">
        <f>HYPERLINK("https://www2.assemblee-nationale.fr/sycomore/fiche/(num_dept)/7388", "7388")</f>
        <v>0</v>
      </c>
      <c r="M12949">
        <f>HYPERLINK("https://www.senat.fr/senateur-3eme-republique/viellard_louis1820r3.html", "viellard_louis1820r3")</f>
        <v>0</v>
      </c>
      <c r="N12949">
        <f>HYPERLINK("https://www.wikidata.org/wiki/Q3263279", "Q3263279")</f>
        <v>0</v>
      </c>
      <c r="O12949" t="s">
        <v>20400</v>
      </c>
      <c r="Q12949" t="s">
        <v>404</v>
      </c>
      <c r="R12949" t="s">
        <v>21719</v>
      </c>
      <c r="S12949">
        <v>3291</v>
      </c>
    </row>
    <row r="12950" spans="1:19">
      <c r="A12950" t="s">
        <v>143</v>
      </c>
      <c r="B12950" t="s">
        <v>150</v>
      </c>
      <c r="C12950" t="s">
        <v>275</v>
      </c>
      <c r="D12950" t="s">
        <v>404</v>
      </c>
      <c r="F12950">
        <f>HYPERLINK("https://www.wikidata.org/wiki/Q28494841", "Q28494841")</f>
        <v>0</v>
      </c>
      <c r="G12950" t="s">
        <v>1321</v>
      </c>
      <c r="H12950" t="s">
        <v>6041</v>
      </c>
      <c r="I12950" t="s">
        <v>6200</v>
      </c>
      <c r="J12950" t="s">
        <v>12051</v>
      </c>
      <c r="K12950" t="s">
        <v>16451</v>
      </c>
      <c r="L12950">
        <f>HYPERLINK("https://www2.assemblee-nationale.fr/sycomore/fiche/(num_dept)/7389", "7389")</f>
        <v>0</v>
      </c>
      <c r="M12950">
        <f>HYPERLINK("https://www.senat.fr/senateur-3eme-republique/voillot_jean1145r3.html", "voillot_jean1145r3")</f>
        <v>0</v>
      </c>
      <c r="N12950">
        <f>HYPERLINK("https://www.wikidata.org/wiki/Q3175075", "Q3175075")</f>
        <v>0</v>
      </c>
      <c r="O12950" t="s">
        <v>19965</v>
      </c>
      <c r="Q12950" t="s">
        <v>404</v>
      </c>
      <c r="R12950" t="s">
        <v>21719</v>
      </c>
      <c r="S12950">
        <v>3291</v>
      </c>
    </row>
    <row r="12951" spans="1:19">
      <c r="A12951" t="s">
        <v>143</v>
      </c>
      <c r="B12951" t="s">
        <v>150</v>
      </c>
      <c r="C12951" t="s">
        <v>275</v>
      </c>
      <c r="D12951" t="s">
        <v>404</v>
      </c>
      <c r="F12951">
        <f>HYPERLINK("https://www.wikidata.org/wiki/Q28494841", "Q28494841")</f>
        <v>0</v>
      </c>
      <c r="G12951" t="s">
        <v>1323</v>
      </c>
      <c r="H12951" t="s">
        <v>6042</v>
      </c>
      <c r="I12951" t="s">
        <v>6860</v>
      </c>
      <c r="J12951" t="s">
        <v>12052</v>
      </c>
      <c r="K12951" t="s">
        <v>16453</v>
      </c>
      <c r="L12951">
        <f>HYPERLINK("https://www2.assemblee-nationale.fr/sycomore/fiche/(num_dept)/7519", "7519")</f>
        <v>0</v>
      </c>
      <c r="M12951">
        <f>HYPERLINK("https://www.senat.fr/senateur-3eme-republique/laval_pierre1565r3.html", "laval_pierre1565r3")</f>
        <v>0</v>
      </c>
      <c r="N12951">
        <f>HYPERLINK("https://www.wikidata.org/wiki/Q151983", "Q151983")</f>
        <v>0</v>
      </c>
      <c r="O12951" t="s">
        <v>20005</v>
      </c>
      <c r="Q12951" t="s">
        <v>404</v>
      </c>
      <c r="R12951" t="s">
        <v>21719</v>
      </c>
      <c r="S12951">
        <v>3291</v>
      </c>
    </row>
    <row r="12952" spans="1:19">
      <c r="A12952" t="s">
        <v>143</v>
      </c>
      <c r="B12952" t="s">
        <v>150</v>
      </c>
      <c r="C12952" t="s">
        <v>275</v>
      </c>
      <c r="D12952" t="s">
        <v>404</v>
      </c>
      <c r="F12952">
        <f>HYPERLINK("https://www.wikidata.org/wiki/Q28494841", "Q28494841")</f>
        <v>0</v>
      </c>
      <c r="G12952" t="s">
        <v>1114</v>
      </c>
      <c r="H12952" t="s">
        <v>5855</v>
      </c>
      <c r="I12952" t="s">
        <v>6585</v>
      </c>
      <c r="J12952" t="s">
        <v>11848</v>
      </c>
      <c r="K12952" t="s">
        <v>16250</v>
      </c>
      <c r="L12952">
        <f>HYPERLINK("https://www2.assemblee-nationale.fr/sycomore/fiche/(num_dept)/7530", "7530")</f>
        <v>0</v>
      </c>
      <c r="M12952">
        <f>HYPERLINK("https://www.senat.fr/senateur-3eme-republique/lavoinne_andre1612r3.html", "lavoinne_andre1612r3")</f>
        <v>0</v>
      </c>
      <c r="N12952">
        <f>HYPERLINK("https://www.wikidata.org/wiki/Q2848110", "Q2848110")</f>
        <v>0</v>
      </c>
      <c r="O12952" t="s">
        <v>19978</v>
      </c>
      <c r="Q12952" t="s">
        <v>404</v>
      </c>
      <c r="R12952" t="s">
        <v>21719</v>
      </c>
      <c r="S12952">
        <v>3291</v>
      </c>
    </row>
    <row r="12953" spans="1:19">
      <c r="A12953" t="s">
        <v>143</v>
      </c>
      <c r="B12953" t="s">
        <v>150</v>
      </c>
      <c r="C12953" t="s">
        <v>275</v>
      </c>
      <c r="D12953" t="s">
        <v>404</v>
      </c>
      <c r="F12953">
        <f>HYPERLINK("https://www.wikidata.org/wiki/Q28494841", "Q28494841")</f>
        <v>0</v>
      </c>
      <c r="G12953" t="s">
        <v>836</v>
      </c>
      <c r="H12953" t="s">
        <v>5593</v>
      </c>
      <c r="I12953" t="s">
        <v>9457</v>
      </c>
      <c r="J12953" t="s">
        <v>11583</v>
      </c>
      <c r="K12953" t="s">
        <v>15985</v>
      </c>
      <c r="L12953">
        <f>HYPERLINK("https://www2.assemblee-nationale.fr/sycomore/fiche/(num_dept)/7531", "7531")</f>
        <v>0</v>
      </c>
      <c r="M12953">
        <f>HYPERLINK("https://www.senat.fr/senateur-3eme-republique/de_lavrignais_henri1754r3.html", "de_lavrignais_henri1754r3")</f>
        <v>0</v>
      </c>
      <c r="N12953">
        <f>HYPERLINK("https://www.wikidata.org/wiki/Q3132304", "Q3132304")</f>
        <v>0</v>
      </c>
      <c r="O12953" t="s">
        <v>19972</v>
      </c>
      <c r="Q12953" t="s">
        <v>404</v>
      </c>
      <c r="R12953" t="s">
        <v>21650</v>
      </c>
      <c r="S12953">
        <v>6860</v>
      </c>
    </row>
    <row r="12954" spans="1:19">
      <c r="A12954" t="s">
        <v>143</v>
      </c>
      <c r="B12954" t="s">
        <v>150</v>
      </c>
      <c r="C12954" t="s">
        <v>275</v>
      </c>
      <c r="D12954" t="s">
        <v>404</v>
      </c>
      <c r="F12954">
        <f>HYPERLINK("https://www.wikidata.org/wiki/Q28494841", "Q28494841")</f>
        <v>0</v>
      </c>
      <c r="G12954" t="s">
        <v>1328</v>
      </c>
      <c r="H12954" t="s">
        <v>6047</v>
      </c>
      <c r="I12954" t="s">
        <v>6175</v>
      </c>
      <c r="J12954" t="s">
        <v>12056</v>
      </c>
      <c r="K12954" t="s">
        <v>16457</v>
      </c>
      <c r="L12954">
        <f>HYPERLINK("https://www2.assemblee-nationale.fr/sycomore/fiche/(num_dept)/7789", "7789")</f>
        <v>0</v>
      </c>
      <c r="M12954">
        <f>HYPERLINK("https://www.senat.fr/senateur-3eme-republique/leredu_georges1647r3.html", "leredu_georges1647r3")</f>
        <v>0</v>
      </c>
      <c r="N12954">
        <f>HYPERLINK("https://www.wikidata.org/wiki/Q3103090", "Q3103090")</f>
        <v>0</v>
      </c>
      <c r="O12954" t="s">
        <v>19976</v>
      </c>
      <c r="Q12954" t="s">
        <v>404</v>
      </c>
      <c r="R12954" t="s">
        <v>21719</v>
      </c>
      <c r="S12954">
        <v>3291</v>
      </c>
    </row>
    <row r="12955" spans="1:19">
      <c r="A12955" t="s">
        <v>143</v>
      </c>
      <c r="B12955" t="s">
        <v>150</v>
      </c>
      <c r="C12955" t="s">
        <v>275</v>
      </c>
      <c r="D12955" t="s">
        <v>404</v>
      </c>
      <c r="F12955">
        <f>HYPERLINK("https://www.wikidata.org/wiki/Q28494841", "Q28494841")</f>
        <v>0</v>
      </c>
      <c r="G12955" t="s">
        <v>1667</v>
      </c>
      <c r="H12955" t="s">
        <v>6347</v>
      </c>
      <c r="I12955" t="s">
        <v>6200</v>
      </c>
      <c r="J12955" t="s">
        <v>12373</v>
      </c>
      <c r="K12955" t="s">
        <v>16781</v>
      </c>
      <c r="L12955">
        <f>HYPERLINK("https://www2.assemblee-nationale.fr/sycomore/fiche/(num_dept)/7822", "7822")</f>
        <v>0</v>
      </c>
      <c r="M12955">
        <f>HYPERLINK("https://www.senat.fr/senateur-3eme-republique/de_leusse_jean1109r3.html", "de_leusse_jean1109r3")</f>
        <v>0</v>
      </c>
      <c r="N12955">
        <f>HYPERLINK("https://www.wikidata.org/wiki/Q3175525", "Q3175525")</f>
        <v>0</v>
      </c>
      <c r="O12955" t="s">
        <v>20048</v>
      </c>
      <c r="Q12955" t="s">
        <v>404</v>
      </c>
      <c r="R12955" t="s">
        <v>21719</v>
      </c>
      <c r="S12955">
        <v>3291</v>
      </c>
    </row>
    <row r="12956" spans="1:19">
      <c r="A12956" t="s">
        <v>143</v>
      </c>
      <c r="B12956" t="s">
        <v>150</v>
      </c>
      <c r="C12956" t="s">
        <v>275</v>
      </c>
      <c r="D12956" t="s">
        <v>404</v>
      </c>
      <c r="F12956">
        <f>HYPERLINK("https://www.wikidata.org/wiki/Q28494841", "Q28494841")</f>
        <v>0</v>
      </c>
      <c r="G12956" t="s">
        <v>5117</v>
      </c>
      <c r="H12956" t="s">
        <v>9243</v>
      </c>
      <c r="I12956" t="s">
        <v>9692</v>
      </c>
      <c r="J12956" t="s">
        <v>15527</v>
      </c>
      <c r="K12956" t="s">
        <v>19828</v>
      </c>
      <c r="M12956">
        <f>HYPERLINK("https://www.senat.fr/senateur-3eme-republique/armbruster_raymond0231r3.html", "armbruster_raymond0231r3")</f>
        <v>0</v>
      </c>
      <c r="N12956">
        <f>HYPERLINK("https://www.wikidata.org/wiki/Q3420638", "Q3420638")</f>
        <v>0</v>
      </c>
      <c r="O12956" t="s">
        <v>8449</v>
      </c>
      <c r="Q12956" t="s">
        <v>404</v>
      </c>
      <c r="R12956" t="s">
        <v>21705</v>
      </c>
      <c r="S12956">
        <v>1100</v>
      </c>
    </row>
    <row r="12957" spans="1:19">
      <c r="A12957" t="s">
        <v>143</v>
      </c>
      <c r="B12957" t="s">
        <v>150</v>
      </c>
      <c r="C12957" t="s">
        <v>275</v>
      </c>
      <c r="D12957" t="s">
        <v>404</v>
      </c>
      <c r="F12957">
        <f>HYPERLINK("https://www.wikidata.org/wiki/Q28494841", "Q28494841")</f>
        <v>0</v>
      </c>
      <c r="G12957" t="s">
        <v>4987</v>
      </c>
      <c r="H12957" t="s">
        <v>9120</v>
      </c>
      <c r="I12957" t="s">
        <v>6941</v>
      </c>
      <c r="J12957" t="s">
        <v>12088</v>
      </c>
      <c r="K12957" t="s">
        <v>19724</v>
      </c>
      <c r="M12957">
        <f>HYPERLINK("https://www.senat.fr/senateur-3eme-republique/diebolt_weber_michel1104r3.html", "diebolt_weber_michel1104r3")</f>
        <v>0</v>
      </c>
      <c r="N12957">
        <f>HYPERLINK("https://www.wikidata.org/wiki/Q3309479", "Q3309479")</f>
        <v>0</v>
      </c>
      <c r="O12957" t="s">
        <v>20048</v>
      </c>
      <c r="Q12957" t="s">
        <v>404</v>
      </c>
      <c r="R12957" t="s">
        <v>21650</v>
      </c>
      <c r="S12957">
        <v>6860</v>
      </c>
    </row>
    <row r="12958" spans="1:19">
      <c r="A12958" t="s">
        <v>143</v>
      </c>
      <c r="B12958" t="s">
        <v>150</v>
      </c>
      <c r="C12958" t="s">
        <v>275</v>
      </c>
      <c r="D12958" t="s">
        <v>404</v>
      </c>
      <c r="F12958">
        <f>HYPERLINK("https://www.wikidata.org/wiki/Q28494841", "Q28494841")</f>
        <v>0</v>
      </c>
      <c r="G12958" t="s">
        <v>4989</v>
      </c>
      <c r="H12958" t="s">
        <v>9122</v>
      </c>
      <c r="I12958" t="s">
        <v>9612</v>
      </c>
      <c r="J12958" t="s">
        <v>15423</v>
      </c>
      <c r="K12958" t="s">
        <v>19726</v>
      </c>
      <c r="M12958">
        <f>HYPERLINK("https://www.senat.fr/senateur-3eme-republique/eccard_frederic1102r3.html", "eccard_frederic1102r3")</f>
        <v>0</v>
      </c>
      <c r="N12958">
        <f>HYPERLINK("https://www.wikidata.org/wiki/Q3089792", "Q3089792")</f>
        <v>0</v>
      </c>
      <c r="O12958" t="s">
        <v>20048</v>
      </c>
      <c r="Q12958" t="s">
        <v>404</v>
      </c>
      <c r="R12958" t="s">
        <v>21650</v>
      </c>
      <c r="S12958">
        <v>6860</v>
      </c>
    </row>
    <row r="12959" spans="1:19">
      <c r="A12959" t="s">
        <v>143</v>
      </c>
      <c r="B12959" t="s">
        <v>150</v>
      </c>
      <c r="C12959" t="s">
        <v>275</v>
      </c>
      <c r="D12959" t="s">
        <v>404</v>
      </c>
      <c r="F12959">
        <f>HYPERLINK("https://www.wikidata.org/wiki/Q28494841", "Q28494841")</f>
        <v>0</v>
      </c>
      <c r="G12959" t="s">
        <v>5118</v>
      </c>
      <c r="H12959" t="s">
        <v>9244</v>
      </c>
      <c r="I12959" t="s">
        <v>6495</v>
      </c>
      <c r="J12959" t="s">
        <v>15528</v>
      </c>
      <c r="K12959" t="s">
        <v>19829</v>
      </c>
      <c r="M12959">
        <f>HYPERLINK("https://www.senat.fr/senateur-3eme-republique/dutaud_louis1640r3.html", "dutaud_louis1640r3")</f>
        <v>0</v>
      </c>
      <c r="N12959">
        <f>HYPERLINK("https://www.wikidata.org/wiki/Q3261823", "Q3261823")</f>
        <v>0</v>
      </c>
      <c r="O12959" t="s">
        <v>20021</v>
      </c>
      <c r="Q12959" t="s">
        <v>404</v>
      </c>
      <c r="R12959" t="s">
        <v>19829</v>
      </c>
      <c r="S12959">
        <v>926</v>
      </c>
    </row>
    <row r="12960" spans="1:19">
      <c r="A12960" t="s">
        <v>143</v>
      </c>
      <c r="B12960" t="s">
        <v>150</v>
      </c>
      <c r="C12960" t="s">
        <v>275</v>
      </c>
      <c r="D12960" t="s">
        <v>404</v>
      </c>
      <c r="F12960">
        <f>HYPERLINK("https://www.wikidata.org/wiki/Q28494841", "Q28494841")</f>
        <v>0</v>
      </c>
      <c r="G12960" t="s">
        <v>4994</v>
      </c>
      <c r="H12960" t="s">
        <v>9127</v>
      </c>
      <c r="I12960" t="s">
        <v>9476</v>
      </c>
      <c r="J12960" t="s">
        <v>12888</v>
      </c>
      <c r="K12960" t="s">
        <v>19730</v>
      </c>
      <c r="M12960">
        <f>HYPERLINK("https://www.senat.fr/senateur-3eme-republique/hery_rene1637r3.html", "hery_rene1637r3")</f>
        <v>0</v>
      </c>
      <c r="N12960">
        <f>HYPERLINK("https://www.wikidata.org/wiki/Q3426381", "Q3426381")</f>
        <v>0</v>
      </c>
      <c r="O12960" t="s">
        <v>20021</v>
      </c>
      <c r="Q12960" t="s">
        <v>404</v>
      </c>
      <c r="R12960" t="s">
        <v>21719</v>
      </c>
      <c r="S12960">
        <v>3291</v>
      </c>
    </row>
    <row r="12961" spans="1:19">
      <c r="A12961" t="s">
        <v>143</v>
      </c>
      <c r="B12961" t="s">
        <v>150</v>
      </c>
      <c r="C12961" t="s">
        <v>275</v>
      </c>
      <c r="D12961" t="s">
        <v>404</v>
      </c>
      <c r="F12961">
        <f>HYPERLINK("https://www.wikidata.org/wiki/Q28494841", "Q28494841")</f>
        <v>0</v>
      </c>
      <c r="G12961" t="s">
        <v>5006</v>
      </c>
      <c r="H12961" t="s">
        <v>9139</v>
      </c>
      <c r="I12961" t="s">
        <v>9388</v>
      </c>
      <c r="J12961" t="s">
        <v>15436</v>
      </c>
      <c r="K12961" t="s">
        <v>19739</v>
      </c>
      <c r="M12961">
        <f>HYPERLINK("https://www.senat.fr/senateur-3eme-republique/helmer_paul1114r3.html", "helmer_paul1114r3")</f>
        <v>0</v>
      </c>
      <c r="N12961">
        <f>HYPERLINK("https://www.wikidata.org/wiki/Q3371452", "Q3371452")</f>
        <v>0</v>
      </c>
      <c r="O12961" t="s">
        <v>20049</v>
      </c>
      <c r="Q12961" t="s">
        <v>404</v>
      </c>
      <c r="R12961" t="s">
        <v>21650</v>
      </c>
      <c r="S12961">
        <v>6860</v>
      </c>
    </row>
    <row r="12962" spans="1:19">
      <c r="A12962" t="s">
        <v>143</v>
      </c>
      <c r="B12962" t="s">
        <v>150</v>
      </c>
      <c r="C12962" t="s">
        <v>275</v>
      </c>
      <c r="D12962" t="s">
        <v>404</v>
      </c>
      <c r="F12962">
        <f>HYPERLINK("https://www.wikidata.org/wiki/Q28494841", "Q28494841")</f>
        <v>0</v>
      </c>
      <c r="G12962" t="s">
        <v>5007</v>
      </c>
      <c r="H12962" t="s">
        <v>9140</v>
      </c>
      <c r="I12962" t="s">
        <v>10942</v>
      </c>
      <c r="J12962" t="s">
        <v>15437</v>
      </c>
      <c r="K12962" t="s">
        <v>19740</v>
      </c>
      <c r="M12962">
        <f>HYPERLINK("https://www.senat.fr/senateur-3eme-republique/gegauff_sebastien1117r3.html", "gegauff_sebastien1117r3")</f>
        <v>0</v>
      </c>
      <c r="N12962">
        <f>HYPERLINK("https://www.wikidata.org/wiki/Q3510095", "Q3510095")</f>
        <v>0</v>
      </c>
      <c r="O12962" t="s">
        <v>20049</v>
      </c>
      <c r="Q12962" t="s">
        <v>404</v>
      </c>
      <c r="R12962" t="s">
        <v>21650</v>
      </c>
      <c r="S12962">
        <v>6860</v>
      </c>
    </row>
    <row r="12963" spans="1:19">
      <c r="A12963" t="s">
        <v>143</v>
      </c>
      <c r="B12963" t="s">
        <v>150</v>
      </c>
      <c r="C12963" t="s">
        <v>275</v>
      </c>
      <c r="D12963" t="s">
        <v>404</v>
      </c>
      <c r="F12963">
        <f>HYPERLINK("https://www.wikidata.org/wiki/Q28494841", "Q28494841")</f>
        <v>0</v>
      </c>
      <c r="G12963" t="s">
        <v>5009</v>
      </c>
      <c r="H12963" t="s">
        <v>9142</v>
      </c>
      <c r="I12963" t="s">
        <v>9407</v>
      </c>
      <c r="J12963" t="s">
        <v>15438</v>
      </c>
      <c r="K12963" t="s">
        <v>19742</v>
      </c>
      <c r="M12963">
        <f>HYPERLINK("https://www.senat.fr/senateur-3eme-republique/bourgeois_joseph1110r3.html", "bourgeois_joseph1110r3")</f>
        <v>0</v>
      </c>
      <c r="N12963">
        <f>HYPERLINK("https://www.wikidata.org/wiki/Q1711802", "Q1711802")</f>
        <v>0</v>
      </c>
      <c r="O12963" t="s">
        <v>20049</v>
      </c>
      <c r="Q12963" t="s">
        <v>404</v>
      </c>
      <c r="R12963" t="s">
        <v>21650</v>
      </c>
      <c r="S12963">
        <v>6860</v>
      </c>
    </row>
    <row r="12964" spans="1:19">
      <c r="A12964" t="s">
        <v>143</v>
      </c>
      <c r="B12964" t="s">
        <v>150</v>
      </c>
      <c r="C12964" t="s">
        <v>275</v>
      </c>
      <c r="D12964" t="s">
        <v>404</v>
      </c>
      <c r="F12964">
        <f>HYPERLINK("https://www.wikidata.org/wiki/Q28494841", "Q28494841")</f>
        <v>0</v>
      </c>
      <c r="G12964" t="s">
        <v>5119</v>
      </c>
      <c r="H12964" t="s">
        <v>9245</v>
      </c>
      <c r="I12964" t="s">
        <v>9449</v>
      </c>
      <c r="J12964" t="s">
        <v>15529</v>
      </c>
      <c r="K12964" t="s">
        <v>19830</v>
      </c>
      <c r="M12964">
        <f>HYPERLINK("https://www.senat.fr/senateur-3eme-republique/hayaux_jules1173r3.html", "hayaux_jules1173r3")</f>
        <v>0</v>
      </c>
      <c r="N12964">
        <f>HYPERLINK("https://www.wikidata.org/wiki/Q3188654", "Q3188654")</f>
        <v>0</v>
      </c>
      <c r="O12964" t="s">
        <v>20036</v>
      </c>
      <c r="Q12964" t="s">
        <v>404</v>
      </c>
      <c r="R12964" t="s">
        <v>21719</v>
      </c>
      <c r="S12964">
        <v>3291</v>
      </c>
    </row>
    <row r="12965" spans="1:19">
      <c r="A12965" t="s">
        <v>143</v>
      </c>
      <c r="B12965" t="s">
        <v>150</v>
      </c>
      <c r="C12965" t="s">
        <v>275</v>
      </c>
      <c r="D12965" t="s">
        <v>404</v>
      </c>
      <c r="F12965">
        <f>HYPERLINK("https://www.wikidata.org/wiki/Q28494841", "Q28494841")</f>
        <v>0</v>
      </c>
      <c r="G12965" t="s">
        <v>5120</v>
      </c>
      <c r="H12965" t="s">
        <v>9246</v>
      </c>
      <c r="I12965" t="s">
        <v>11234</v>
      </c>
      <c r="J12965" t="s">
        <v>15530</v>
      </c>
      <c r="K12965" t="s">
        <v>19831</v>
      </c>
      <c r="M12965">
        <f>HYPERLINK("https://www.senat.fr/senateur-3eme-republique/renaudot_alcime1180r3.html", "renaudot_alcime1180r3")</f>
        <v>0</v>
      </c>
      <c r="N12965">
        <f>HYPERLINK("https://www.wikidata.org/wiki/Q2832175", "Q2832175")</f>
        <v>0</v>
      </c>
      <c r="O12965" t="s">
        <v>20036</v>
      </c>
      <c r="Q12965" t="s">
        <v>404</v>
      </c>
      <c r="R12965" t="s">
        <v>21719</v>
      </c>
      <c r="S12965">
        <v>3291</v>
      </c>
    </row>
    <row r="12966" spans="1:19">
      <c r="A12966" t="s">
        <v>143</v>
      </c>
      <c r="B12966" t="s">
        <v>150</v>
      </c>
      <c r="C12966" t="s">
        <v>275</v>
      </c>
      <c r="D12966" t="s">
        <v>404</v>
      </c>
      <c r="F12966">
        <f>HYPERLINK("https://www.wikidata.org/wiki/Q28494841", "Q28494841")</f>
        <v>0</v>
      </c>
      <c r="G12966" t="s">
        <v>4266</v>
      </c>
      <c r="H12966" t="s">
        <v>6698</v>
      </c>
      <c r="I12966" t="s">
        <v>10909</v>
      </c>
      <c r="J12966" t="s">
        <v>14766</v>
      </c>
      <c r="K12966" t="s">
        <v>19114</v>
      </c>
      <c r="M12966">
        <f>HYPERLINK("https://www.senat.fr/senateur-3eme-republique/gallet_claudius1314r3.html", "gallet_claudius1314r3")</f>
        <v>0</v>
      </c>
      <c r="N12966">
        <f>HYPERLINK("https://www.wikidata.org/wiki/Q2978569", "Q2978569")</f>
        <v>0</v>
      </c>
      <c r="O12966" t="s">
        <v>20018</v>
      </c>
      <c r="Q12966" t="s">
        <v>404</v>
      </c>
      <c r="R12966" t="s">
        <v>21719</v>
      </c>
      <c r="S12966">
        <v>3291</v>
      </c>
    </row>
    <row r="12967" spans="1:19">
      <c r="A12967" t="s">
        <v>143</v>
      </c>
      <c r="B12967" t="s">
        <v>150</v>
      </c>
      <c r="C12967" t="s">
        <v>275</v>
      </c>
      <c r="D12967" t="s">
        <v>404</v>
      </c>
      <c r="F12967">
        <f>HYPERLINK("https://www.wikidata.org/wiki/Q28494841", "Q28494841")</f>
        <v>0</v>
      </c>
      <c r="G12967" t="s">
        <v>5114</v>
      </c>
      <c r="H12967" t="s">
        <v>9240</v>
      </c>
      <c r="I12967" t="s">
        <v>9472</v>
      </c>
      <c r="J12967" t="s">
        <v>15524</v>
      </c>
      <c r="K12967" t="s">
        <v>19825</v>
      </c>
      <c r="M12967">
        <f>HYPERLINK("https://www.senat.fr/senateur-3eme-republique/curral_hippolyte1322r3.html", "curral_hippolyte1322r3")</f>
        <v>0</v>
      </c>
      <c r="N12967">
        <f>HYPERLINK("https://www.wikidata.org/wiki/Q3136044", "Q3136044")</f>
        <v>0</v>
      </c>
      <c r="O12967" t="s">
        <v>20018</v>
      </c>
      <c r="Q12967" t="s">
        <v>404</v>
      </c>
      <c r="R12967" t="s">
        <v>21650</v>
      </c>
      <c r="S12967">
        <v>6860</v>
      </c>
    </row>
    <row r="12968" spans="1:19">
      <c r="A12968" t="s">
        <v>143</v>
      </c>
      <c r="B12968" t="s">
        <v>150</v>
      </c>
      <c r="C12968" t="s">
        <v>275</v>
      </c>
      <c r="D12968" t="s">
        <v>404</v>
      </c>
      <c r="F12968">
        <f>HYPERLINK("https://www.wikidata.org/wiki/Q28494841", "Q28494841")</f>
        <v>0</v>
      </c>
      <c r="G12968" t="s">
        <v>5121</v>
      </c>
      <c r="H12968" t="s">
        <v>9247</v>
      </c>
      <c r="I12968" t="s">
        <v>9681</v>
      </c>
      <c r="J12968" t="s">
        <v>15531</v>
      </c>
      <c r="K12968" t="s">
        <v>19832</v>
      </c>
      <c r="M12968">
        <f>HYPERLINK("https://www.senat.fr/senateur-3eme-republique/fevre_achille1781r3.html", "fevre_achille1781r3")</f>
        <v>0</v>
      </c>
      <c r="N12968">
        <f>HYPERLINK("https://www.wikidata.org/wiki/Q2823060", "Q2823060")</f>
        <v>0</v>
      </c>
      <c r="O12968" t="s">
        <v>19977</v>
      </c>
      <c r="Q12968" t="s">
        <v>404</v>
      </c>
      <c r="R12968" t="s">
        <v>21719</v>
      </c>
      <c r="S12968">
        <v>3291</v>
      </c>
    </row>
    <row r="12969" spans="1:19">
      <c r="A12969" t="s">
        <v>143</v>
      </c>
      <c r="B12969" t="s">
        <v>150</v>
      </c>
      <c r="C12969" t="s">
        <v>275</v>
      </c>
      <c r="D12969" t="s">
        <v>404</v>
      </c>
      <c r="F12969">
        <f>HYPERLINK("https://www.wikidata.org/wiki/Q28494841", "Q28494841")</f>
        <v>0</v>
      </c>
      <c r="G12969" t="s">
        <v>5122</v>
      </c>
      <c r="H12969" t="s">
        <v>9248</v>
      </c>
      <c r="I12969" t="s">
        <v>6200</v>
      </c>
      <c r="J12969" t="s">
        <v>15532</v>
      </c>
      <c r="K12969" t="s">
        <v>19833</v>
      </c>
      <c r="M12969">
        <f>HYPERLINK("https://www.senat.fr/senateur-3eme-republique/leclerc_jean1793r3.html", "leclerc_jean1793r3")</f>
        <v>0</v>
      </c>
      <c r="N12969">
        <f>HYPERLINK("https://www.wikidata.org/wiki/Q3173130", "Q3173130")</f>
        <v>0</v>
      </c>
      <c r="O12969" t="s">
        <v>19977</v>
      </c>
      <c r="Q12969" t="s">
        <v>404</v>
      </c>
      <c r="R12969" t="s">
        <v>21719</v>
      </c>
      <c r="S12969">
        <v>3291</v>
      </c>
    </row>
    <row r="12970" spans="1:19">
      <c r="A12970" t="s">
        <v>143</v>
      </c>
      <c r="B12970" t="s">
        <v>150</v>
      </c>
      <c r="C12970" t="s">
        <v>275</v>
      </c>
      <c r="D12970" t="s">
        <v>404</v>
      </c>
      <c r="F12970">
        <f>HYPERLINK("https://www.wikidata.org/wiki/Q28494841", "Q28494841")</f>
        <v>0</v>
      </c>
      <c r="G12970" t="s">
        <v>5047</v>
      </c>
      <c r="H12970" t="s">
        <v>9179</v>
      </c>
      <c r="I12970" t="s">
        <v>6759</v>
      </c>
      <c r="J12970" t="s">
        <v>12031</v>
      </c>
      <c r="K12970" t="s">
        <v>19772</v>
      </c>
      <c r="M12970">
        <f>HYPERLINK("https://www.senat.fr/senateur-3eme-republique/leneveu_robert0908r3.html", "leneveu_robert0908r3")</f>
        <v>0</v>
      </c>
      <c r="N12970">
        <f>HYPERLINK("https://www.wikidata.org/wiki/Q3435735", "Q3435735")</f>
        <v>0</v>
      </c>
      <c r="O12970" t="s">
        <v>19957</v>
      </c>
      <c r="Q12970" t="s">
        <v>404</v>
      </c>
      <c r="R12970" t="s">
        <v>21650</v>
      </c>
      <c r="S12970">
        <v>6860</v>
      </c>
    </row>
    <row r="12971" spans="1:19">
      <c r="A12971" t="s">
        <v>143</v>
      </c>
      <c r="B12971" t="s">
        <v>150</v>
      </c>
      <c r="C12971" t="s">
        <v>275</v>
      </c>
      <c r="D12971" t="s">
        <v>404</v>
      </c>
      <c r="F12971">
        <f>HYPERLINK("https://www.wikidata.org/wiki/Q28494841", "Q28494841")</f>
        <v>0</v>
      </c>
      <c r="G12971" t="s">
        <v>4801</v>
      </c>
      <c r="H12971" t="s">
        <v>8941</v>
      </c>
      <c r="I12971" t="s">
        <v>9388</v>
      </c>
      <c r="J12971" t="s">
        <v>15262</v>
      </c>
      <c r="K12971" t="s">
        <v>19569</v>
      </c>
      <c r="M12971">
        <f>HYPERLINK("https://www.senat.fr/senateur-3eme-republique/fleury_paul0896r3.html", "fleury_paul0896r3")</f>
        <v>0</v>
      </c>
      <c r="N12971">
        <f>HYPERLINK("https://www.wikidata.org/wiki/Q3371217", "Q3371217")</f>
        <v>0</v>
      </c>
      <c r="O12971" t="s">
        <v>19957</v>
      </c>
      <c r="Q12971" t="s">
        <v>404</v>
      </c>
      <c r="R12971" t="s">
        <v>21650</v>
      </c>
      <c r="S12971">
        <v>6860</v>
      </c>
    </row>
    <row r="12972" spans="1:19">
      <c r="A12972" t="s">
        <v>143</v>
      </c>
      <c r="B12972" t="s">
        <v>150</v>
      </c>
      <c r="C12972" t="s">
        <v>275</v>
      </c>
      <c r="D12972" t="s">
        <v>404</v>
      </c>
      <c r="F12972">
        <f>HYPERLINK("https://www.wikidata.org/wiki/Q28494841", "Q28494841")</f>
        <v>0</v>
      </c>
      <c r="G12972" t="s">
        <v>5123</v>
      </c>
      <c r="H12972" t="s">
        <v>9249</v>
      </c>
      <c r="I12972" t="s">
        <v>6175</v>
      </c>
      <c r="J12972" t="s">
        <v>15533</v>
      </c>
      <c r="K12972" t="s">
        <v>19834</v>
      </c>
      <c r="M12972">
        <f>HYPERLINK("https://www.senat.fr/senateur-3eme-republique/dentu_georges0920r3.html", "dentu_georges0920r3")</f>
        <v>0</v>
      </c>
      <c r="N12972">
        <f>HYPERLINK("https://www.wikidata.org/wiki/Q3102594", "Q3102594")</f>
        <v>0</v>
      </c>
      <c r="O12972" t="s">
        <v>19957</v>
      </c>
      <c r="Q12972" t="s">
        <v>404</v>
      </c>
      <c r="R12972" t="s">
        <v>21719</v>
      </c>
      <c r="S12972">
        <v>3291</v>
      </c>
    </row>
    <row r="12973" spans="1:19">
      <c r="A12973" t="s">
        <v>143</v>
      </c>
      <c r="B12973" t="s">
        <v>150</v>
      </c>
      <c r="C12973" t="s">
        <v>275</v>
      </c>
      <c r="D12973" t="s">
        <v>404</v>
      </c>
      <c r="F12973">
        <f>HYPERLINK("https://www.wikidata.org/wiki/Q28494841", "Q28494841")</f>
        <v>0</v>
      </c>
      <c r="G12973" t="s">
        <v>5049</v>
      </c>
      <c r="H12973" t="s">
        <v>9181</v>
      </c>
      <c r="I12973" t="s">
        <v>9457</v>
      </c>
      <c r="J12973" t="s">
        <v>15472</v>
      </c>
      <c r="K12973" t="s">
        <v>19051</v>
      </c>
      <c r="M12973">
        <f>HYPERLINK("https://www.senat.fr/senateur-3eme-republique/bachelet_henri0973r3.html", "bachelet_henri0973r3")</f>
        <v>0</v>
      </c>
      <c r="N12973">
        <f>HYPERLINK("https://www.wikidata.org/wiki/Q3130598", "Q3130598")</f>
        <v>0</v>
      </c>
      <c r="O12973" t="s">
        <v>19968</v>
      </c>
      <c r="Q12973" t="s">
        <v>404</v>
      </c>
      <c r="R12973" t="s">
        <v>19051</v>
      </c>
      <c r="S12973">
        <v>1361</v>
      </c>
    </row>
    <row r="12974" spans="1:19">
      <c r="A12974" t="s">
        <v>143</v>
      </c>
      <c r="B12974" t="s">
        <v>150</v>
      </c>
      <c r="C12974" t="s">
        <v>275</v>
      </c>
      <c r="D12974" t="s">
        <v>404</v>
      </c>
      <c r="F12974">
        <f>HYPERLINK("https://www.wikidata.org/wiki/Q28494841", "Q28494841")</f>
        <v>0</v>
      </c>
      <c r="G12974" t="s">
        <v>5092</v>
      </c>
      <c r="H12974" t="s">
        <v>9221</v>
      </c>
      <c r="I12974" t="s">
        <v>9449</v>
      </c>
      <c r="J12974" t="s">
        <v>15506</v>
      </c>
      <c r="K12974" t="s">
        <v>19809</v>
      </c>
      <c r="M12974">
        <f>HYPERLINK("https://www.senat.fr/senateur-3eme-republique/elby_jules0935r3.html", "elby_jules0935r3")</f>
        <v>0</v>
      </c>
      <c r="N12974">
        <f>HYPERLINK("https://www.wikidata.org/wiki/Q3188567", "Q3188567")</f>
        <v>0</v>
      </c>
      <c r="O12974" t="s">
        <v>19968</v>
      </c>
      <c r="Q12974" t="s">
        <v>404</v>
      </c>
      <c r="R12974" t="s">
        <v>21650</v>
      </c>
      <c r="S12974">
        <v>6860</v>
      </c>
    </row>
    <row r="12975" spans="1:19">
      <c r="A12975" t="s">
        <v>143</v>
      </c>
      <c r="B12975" t="s">
        <v>150</v>
      </c>
      <c r="C12975" t="s">
        <v>275</v>
      </c>
      <c r="D12975" t="s">
        <v>404</v>
      </c>
      <c r="F12975">
        <f>HYPERLINK("https://www.wikidata.org/wiki/Q28494841", "Q28494841")</f>
        <v>0</v>
      </c>
      <c r="G12975" t="s">
        <v>5105</v>
      </c>
      <c r="H12975" t="s">
        <v>9232</v>
      </c>
      <c r="I12975" t="s">
        <v>9602</v>
      </c>
      <c r="J12975" t="s">
        <v>15516</v>
      </c>
      <c r="K12975" t="s">
        <v>19818</v>
      </c>
      <c r="M12975">
        <f>HYPERLINK("https://www.senat.fr/senateur-3eme-republique/theret_edmond0951r3.html", "theret_edmond0951r3")</f>
        <v>0</v>
      </c>
      <c r="N12975">
        <f>HYPERLINK("https://www.wikidata.org/wiki/Q3048001", "Q3048001")</f>
        <v>0</v>
      </c>
      <c r="O12975" t="s">
        <v>19968</v>
      </c>
      <c r="Q12975" t="s">
        <v>404</v>
      </c>
      <c r="R12975" t="s">
        <v>21650</v>
      </c>
      <c r="S12975">
        <v>6860</v>
      </c>
    </row>
    <row r="12976" spans="1:19">
      <c r="A12976" t="s">
        <v>143</v>
      </c>
      <c r="B12976" t="s">
        <v>150</v>
      </c>
      <c r="C12976" t="s">
        <v>275</v>
      </c>
      <c r="D12976" t="s">
        <v>404</v>
      </c>
      <c r="F12976">
        <f>HYPERLINK("https://www.wikidata.org/wiki/Q28494841", "Q28494841")</f>
        <v>0</v>
      </c>
      <c r="G12976" t="s">
        <v>5050</v>
      </c>
      <c r="H12976" t="s">
        <v>9182</v>
      </c>
      <c r="I12976" t="s">
        <v>7308</v>
      </c>
      <c r="J12976" t="s">
        <v>15473</v>
      </c>
      <c r="K12976" t="s">
        <v>16848</v>
      </c>
      <c r="M12976">
        <f>HYPERLINK("https://www.senat.fr/senateur-3eme-republique/farjon_roger0971r3.html", "farjon_roger0971r3")</f>
        <v>0</v>
      </c>
      <c r="N12976">
        <f>HYPERLINK("https://www.wikidata.org/wiki/Q3438947", "Q3438947")</f>
        <v>0</v>
      </c>
      <c r="O12976" t="s">
        <v>19968</v>
      </c>
      <c r="Q12976" t="s">
        <v>404</v>
      </c>
      <c r="R12976" t="s">
        <v>21719</v>
      </c>
      <c r="S12976">
        <v>3291</v>
      </c>
    </row>
    <row r="12977" spans="1:19">
      <c r="A12977" t="s">
        <v>143</v>
      </c>
      <c r="B12977" t="s">
        <v>150</v>
      </c>
      <c r="C12977" t="s">
        <v>275</v>
      </c>
      <c r="D12977" t="s">
        <v>404</v>
      </c>
      <c r="F12977">
        <f>HYPERLINK("https://www.wikidata.org/wiki/Q28494841", "Q28494841")</f>
        <v>0</v>
      </c>
      <c r="G12977" t="s">
        <v>5124</v>
      </c>
      <c r="H12977" t="s">
        <v>9250</v>
      </c>
      <c r="I12977" t="s">
        <v>6495</v>
      </c>
      <c r="J12977" t="s">
        <v>15534</v>
      </c>
      <c r="K12977" t="s">
        <v>19835</v>
      </c>
      <c r="M12977">
        <f>HYPERLINK("https://www.senat.fr/senateur-3eme-republique/darteyre_louis1000r3.html", "darteyre_louis1000r3")</f>
        <v>0</v>
      </c>
      <c r="N12977">
        <f>HYPERLINK("https://www.wikidata.org/wiki/Q3261653", "Q3261653")</f>
        <v>0</v>
      </c>
      <c r="O12977" t="s">
        <v>20005</v>
      </c>
      <c r="Q12977" t="s">
        <v>404</v>
      </c>
      <c r="R12977" t="s">
        <v>19835</v>
      </c>
      <c r="S12977">
        <v>2116</v>
      </c>
    </row>
    <row r="12978" spans="1:19">
      <c r="A12978" t="s">
        <v>143</v>
      </c>
      <c r="B12978" t="s">
        <v>150</v>
      </c>
      <c r="C12978" t="s">
        <v>275</v>
      </c>
      <c r="D12978" t="s">
        <v>404</v>
      </c>
      <c r="F12978">
        <f>HYPERLINK("https://www.wikidata.org/wiki/Q28494841", "Q28494841")</f>
        <v>0</v>
      </c>
      <c r="G12978" t="s">
        <v>5125</v>
      </c>
      <c r="H12978" t="s">
        <v>9251</v>
      </c>
      <c r="I12978" t="s">
        <v>6759</v>
      </c>
      <c r="J12978" t="s">
        <v>15535</v>
      </c>
      <c r="K12978" t="s">
        <v>19836</v>
      </c>
      <c r="M12978">
        <f>HYPERLINK("https://www.senat.fr/senateur-3eme-republique/lacroix_robert1124r3.html", "lacroix_robert1124r3")</f>
        <v>0</v>
      </c>
      <c r="N12978">
        <f>HYPERLINK("https://www.wikidata.org/wiki/Q3435630", "Q3435630")</f>
        <v>0</v>
      </c>
      <c r="O12978" t="s">
        <v>19965</v>
      </c>
      <c r="Q12978" t="s">
        <v>404</v>
      </c>
      <c r="R12978" t="s">
        <v>19836</v>
      </c>
      <c r="S12978">
        <v>1510</v>
      </c>
    </row>
    <row r="12979" spans="1:19">
      <c r="A12979" t="s">
        <v>143</v>
      </c>
      <c r="B12979" t="s">
        <v>150</v>
      </c>
      <c r="C12979" t="s">
        <v>275</v>
      </c>
      <c r="D12979" t="s">
        <v>404</v>
      </c>
      <c r="F12979">
        <f>HYPERLINK("https://www.wikidata.org/wiki/Q28494841", "Q28494841")</f>
        <v>0</v>
      </c>
      <c r="G12979" t="s">
        <v>5126</v>
      </c>
      <c r="H12979" t="s">
        <v>9252</v>
      </c>
      <c r="I12979" t="s">
        <v>11235</v>
      </c>
      <c r="J12979" t="s">
        <v>11450</v>
      </c>
      <c r="K12979" t="s">
        <v>19837</v>
      </c>
      <c r="M12979">
        <f>HYPERLINK("https://www.senat.fr/senateur-3eme-republique/giraud_irenee1151r3.html", "giraud_irenee1151r3")</f>
        <v>0</v>
      </c>
      <c r="N12979">
        <f>HYPERLINK("https://www.wikidata.org/wiki/Q3154691", "Q3154691")</f>
        <v>0</v>
      </c>
      <c r="O12979" t="s">
        <v>19965</v>
      </c>
      <c r="Q12979" t="s">
        <v>404</v>
      </c>
      <c r="R12979" t="s">
        <v>21719</v>
      </c>
      <c r="S12979">
        <v>3291</v>
      </c>
    </row>
    <row r="12980" spans="1:19">
      <c r="A12980" t="s">
        <v>143</v>
      </c>
      <c r="B12980" t="s">
        <v>150</v>
      </c>
      <c r="C12980" t="s">
        <v>275</v>
      </c>
      <c r="D12980" t="s">
        <v>404</v>
      </c>
      <c r="F12980">
        <f>HYPERLINK("https://www.wikidata.org/wiki/Q28494841", "Q28494841")</f>
        <v>0</v>
      </c>
      <c r="G12980" t="s">
        <v>5127</v>
      </c>
      <c r="H12980" t="s">
        <v>8891</v>
      </c>
      <c r="I12980" t="s">
        <v>9506</v>
      </c>
      <c r="J12980" t="s">
        <v>15536</v>
      </c>
      <c r="K12980" t="s">
        <v>19838</v>
      </c>
      <c r="M12980">
        <f>HYPERLINK("https://www.senat.fr/senateur-3eme-republique/rolland_camille1131r3.html", "rolland_camille1131r3")</f>
        <v>0</v>
      </c>
      <c r="N12980">
        <f>HYPERLINK("https://www.wikidata.org/wiki/Q2935065", "Q2935065")</f>
        <v>0</v>
      </c>
      <c r="O12980" t="s">
        <v>19965</v>
      </c>
      <c r="Q12980" t="s">
        <v>404</v>
      </c>
      <c r="R12980" t="s">
        <v>21719</v>
      </c>
      <c r="S12980">
        <v>3291</v>
      </c>
    </row>
    <row r="12981" spans="1:19">
      <c r="A12981" t="s">
        <v>143</v>
      </c>
      <c r="B12981" t="s">
        <v>150</v>
      </c>
      <c r="C12981" t="s">
        <v>275</v>
      </c>
      <c r="D12981" t="s">
        <v>404</v>
      </c>
      <c r="F12981">
        <f>HYPERLINK("https://www.wikidata.org/wiki/Q28494841", "Q28494841")</f>
        <v>0</v>
      </c>
      <c r="G12981" t="s">
        <v>4937</v>
      </c>
      <c r="H12981" t="s">
        <v>9072</v>
      </c>
      <c r="I12981" t="s">
        <v>6200</v>
      </c>
      <c r="J12981" t="s">
        <v>15379</v>
      </c>
      <c r="K12981" t="s">
        <v>19680</v>
      </c>
      <c r="M12981">
        <f>HYPERLINK("https://www.senat.fr/senateur-3eme-republique/richard_jean1211r3.html", "richard_jean1211r3")</f>
        <v>0</v>
      </c>
      <c r="N12981">
        <f>HYPERLINK("https://www.wikidata.org/wiki/Q3174311", "Q3174311")</f>
        <v>0</v>
      </c>
      <c r="O12981" t="s">
        <v>19994</v>
      </c>
      <c r="Q12981" t="s">
        <v>404</v>
      </c>
      <c r="R12981" t="s">
        <v>21650</v>
      </c>
      <c r="S12981">
        <v>6860</v>
      </c>
    </row>
    <row r="12982" spans="1:19">
      <c r="A12982" t="s">
        <v>143</v>
      </c>
      <c r="B12982" t="s">
        <v>150</v>
      </c>
      <c r="C12982" t="s">
        <v>275</v>
      </c>
      <c r="D12982" t="s">
        <v>404</v>
      </c>
      <c r="F12982">
        <f>HYPERLINK("https://www.wikidata.org/wiki/Q28494841", "Q28494841")</f>
        <v>0</v>
      </c>
      <c r="G12982" t="s">
        <v>5113</v>
      </c>
      <c r="H12982" t="s">
        <v>9239</v>
      </c>
      <c r="I12982" t="s">
        <v>9389</v>
      </c>
      <c r="J12982" t="s">
        <v>15523</v>
      </c>
      <c r="K12982" t="s">
        <v>16677</v>
      </c>
      <c r="M12982">
        <f>HYPERLINK("https://www.senat.fr/senateur-3eme-republique/chopin_emile1231r3.html", "chopin_emile1231r3")</f>
        <v>0</v>
      </c>
      <c r="N12982">
        <f>HYPERLINK("https://www.wikidata.org/wiki/Q3588413", "Q3588413")</f>
        <v>0</v>
      </c>
      <c r="O12982" t="s">
        <v>19994</v>
      </c>
      <c r="Q12982" t="s">
        <v>404</v>
      </c>
      <c r="R12982" t="s">
        <v>21650</v>
      </c>
      <c r="S12982">
        <v>6860</v>
      </c>
    </row>
    <row r="12983" spans="1:19">
      <c r="A12983" t="s">
        <v>143</v>
      </c>
      <c r="B12983" t="s">
        <v>150</v>
      </c>
      <c r="C12983" t="s">
        <v>275</v>
      </c>
      <c r="D12983" t="s">
        <v>404</v>
      </c>
      <c r="F12983">
        <f>HYPERLINK("https://www.wikidata.org/wiki/Q28494841", "Q28494841")</f>
        <v>0</v>
      </c>
      <c r="G12983" t="s">
        <v>5128</v>
      </c>
      <c r="H12983" t="s">
        <v>9253</v>
      </c>
      <c r="I12983" t="s">
        <v>6200</v>
      </c>
      <c r="J12983" t="s">
        <v>15537</v>
      </c>
      <c r="K12983" t="s">
        <v>15726</v>
      </c>
      <c r="M12983">
        <f>HYPERLINK("https://www.senat.fr/senateur-3eme-republique/pelletier_jean1228r3.html", "pelletier_jean1228r3")</f>
        <v>0</v>
      </c>
      <c r="N12983">
        <f>HYPERLINK("https://www.wikidata.org/wiki/Q3173890", "Q3173890")</f>
        <v>0</v>
      </c>
      <c r="O12983" t="s">
        <v>19994</v>
      </c>
      <c r="Q12983" t="s">
        <v>404</v>
      </c>
      <c r="R12983" t="s">
        <v>21719</v>
      </c>
      <c r="S12983">
        <v>3291</v>
      </c>
    </row>
    <row r="12984" spans="1:19">
      <c r="A12984" t="s">
        <v>143</v>
      </c>
      <c r="B12984" t="s">
        <v>150</v>
      </c>
      <c r="C12984" t="s">
        <v>275</v>
      </c>
      <c r="D12984" t="s">
        <v>404</v>
      </c>
      <c r="F12984">
        <f>HYPERLINK("https://www.wikidata.org/wiki/Q28494841", "Q28494841")</f>
        <v>0</v>
      </c>
      <c r="G12984" t="s">
        <v>5111</v>
      </c>
      <c r="H12984" t="s">
        <v>9238</v>
      </c>
      <c r="I12984" t="s">
        <v>6175</v>
      </c>
      <c r="J12984" t="s">
        <v>15522</v>
      </c>
      <c r="K12984" t="s">
        <v>19823</v>
      </c>
      <c r="M12984">
        <f>HYPERLINK("https://www.senat.fr/senateur-3eme-republique/duprey_georges1215r3.html", "duprey_georges1215r3")</f>
        <v>0</v>
      </c>
      <c r="N12984">
        <f>HYPERLINK("https://www.wikidata.org/wiki/Q3102656", "Q3102656")</f>
        <v>0</v>
      </c>
      <c r="O12984" t="s">
        <v>19994</v>
      </c>
      <c r="Q12984" t="s">
        <v>404</v>
      </c>
      <c r="R12984" t="s">
        <v>21650</v>
      </c>
      <c r="S12984">
        <v>6860</v>
      </c>
    </row>
    <row r="12985" spans="1:19">
      <c r="A12985" t="s">
        <v>143</v>
      </c>
      <c r="B12985" t="s">
        <v>150</v>
      </c>
      <c r="C12985" t="s">
        <v>275</v>
      </c>
      <c r="D12985" t="s">
        <v>404</v>
      </c>
      <c r="F12985">
        <f>HYPERLINK("https://www.wikidata.org/wiki/Q28494841", "Q28494841")</f>
        <v>0</v>
      </c>
      <c r="G12985" t="s">
        <v>4952</v>
      </c>
      <c r="H12985" t="s">
        <v>9086</v>
      </c>
      <c r="I12985" t="s">
        <v>6585</v>
      </c>
      <c r="J12985" t="s">
        <v>15392</v>
      </c>
      <c r="K12985" t="s">
        <v>19690</v>
      </c>
      <c r="M12985">
        <f>HYPERLINK("https://www.senat.fr/senateur-3eme-republique/lebert_andre1248r3.html", "lebert_andre1248r3")</f>
        <v>0</v>
      </c>
      <c r="N12985">
        <f>HYPERLINK("https://www.wikidata.org/wiki/Q2848126", "Q2848126")</f>
        <v>0</v>
      </c>
      <c r="O12985" t="s">
        <v>19956</v>
      </c>
      <c r="Q12985" t="s">
        <v>404</v>
      </c>
      <c r="R12985" t="s">
        <v>21719</v>
      </c>
      <c r="S12985">
        <v>3291</v>
      </c>
    </row>
    <row r="12986" spans="1:19">
      <c r="A12986" t="s">
        <v>143</v>
      </c>
      <c r="B12986" t="s">
        <v>150</v>
      </c>
      <c r="C12986" t="s">
        <v>275</v>
      </c>
      <c r="D12986" t="s">
        <v>404</v>
      </c>
      <c r="F12986">
        <f>HYPERLINK("https://www.wikidata.org/wiki/Q28494841", "Q28494841")</f>
        <v>0</v>
      </c>
      <c r="G12986" t="s">
        <v>5057</v>
      </c>
      <c r="H12986" t="s">
        <v>9189</v>
      </c>
      <c r="I12986" t="s">
        <v>6175</v>
      </c>
      <c r="J12986" t="s">
        <v>15479</v>
      </c>
      <c r="K12986" t="s">
        <v>19779</v>
      </c>
      <c r="M12986">
        <f>HYPERLINK("https://www.senat.fr/senateur-3eme-republique/machet_georges1302r3.html", "machet_georges1302r3")</f>
        <v>0</v>
      </c>
      <c r="N12986">
        <f>HYPERLINK("https://www.wikidata.org/wiki/Q3103133", "Q3103133")</f>
        <v>0</v>
      </c>
      <c r="O12986" t="s">
        <v>19988</v>
      </c>
      <c r="Q12986" t="s">
        <v>404</v>
      </c>
      <c r="R12986" t="s">
        <v>21650</v>
      </c>
      <c r="S12986">
        <v>6860</v>
      </c>
    </row>
    <row r="12987" spans="1:19">
      <c r="A12987" t="s">
        <v>143</v>
      </c>
      <c r="B12987" t="s">
        <v>150</v>
      </c>
      <c r="C12987" t="s">
        <v>275</v>
      </c>
      <c r="D12987" t="s">
        <v>404</v>
      </c>
      <c r="F12987">
        <f>HYPERLINK("https://www.wikidata.org/wiki/Q28494841", "Q28494841")</f>
        <v>0</v>
      </c>
      <c r="G12987" t="s">
        <v>5058</v>
      </c>
      <c r="H12987" t="s">
        <v>9190</v>
      </c>
      <c r="I12987" t="s">
        <v>7642</v>
      </c>
      <c r="J12987" t="s">
        <v>15480</v>
      </c>
      <c r="K12987" t="s">
        <v>19780</v>
      </c>
      <c r="M12987">
        <f>HYPERLINK("https://www.senat.fr/senateur-3eme-republique/mollard_maurice1297r3.html", "mollard_maurice1297r3")</f>
        <v>0</v>
      </c>
      <c r="N12987">
        <f>HYPERLINK("https://www.wikidata.org/wiki/Q3301172", "Q3301172")</f>
        <v>0</v>
      </c>
      <c r="O12987" t="s">
        <v>19988</v>
      </c>
      <c r="Q12987" t="s">
        <v>404</v>
      </c>
      <c r="R12987" t="s">
        <v>21719</v>
      </c>
      <c r="S12987">
        <v>3291</v>
      </c>
    </row>
    <row r="12988" spans="1:19">
      <c r="A12988" t="s">
        <v>143</v>
      </c>
      <c r="B12988" t="s">
        <v>150</v>
      </c>
      <c r="C12988" t="s">
        <v>275</v>
      </c>
      <c r="D12988" t="s">
        <v>404</v>
      </c>
      <c r="F12988">
        <f>HYPERLINK("https://www.wikidata.org/wiki/Q28494841", "Q28494841")</f>
        <v>0</v>
      </c>
      <c r="G12988" t="s">
        <v>4976</v>
      </c>
      <c r="H12988" t="s">
        <v>9109</v>
      </c>
      <c r="I12988" t="s">
        <v>6166</v>
      </c>
      <c r="J12988" t="s">
        <v>12313</v>
      </c>
      <c r="K12988" t="s">
        <v>19713</v>
      </c>
      <c r="M12988">
        <f>HYPERLINK("https://www.senat.fr/senateur-3eme-republique/milan_francois1305r3.html", "milan_francois1305r3")</f>
        <v>0</v>
      </c>
      <c r="N12988">
        <f>HYPERLINK("https://www.wikidata.org/wiki/Q3085361", "Q3085361")</f>
        <v>0</v>
      </c>
      <c r="O12988" t="s">
        <v>19988</v>
      </c>
      <c r="Q12988" t="s">
        <v>404</v>
      </c>
      <c r="R12988" t="s">
        <v>21719</v>
      </c>
      <c r="S12988">
        <v>3291</v>
      </c>
    </row>
    <row r="12989" spans="1:19">
      <c r="A12989" t="s">
        <v>143</v>
      </c>
      <c r="B12989" t="s">
        <v>150</v>
      </c>
      <c r="C12989" t="s">
        <v>275</v>
      </c>
      <c r="D12989" t="s">
        <v>404</v>
      </c>
      <c r="F12989">
        <f>HYPERLINK("https://www.wikidata.org/wiki/Q28494841", "Q28494841")</f>
        <v>0</v>
      </c>
      <c r="G12989" t="s">
        <v>5129</v>
      </c>
      <c r="H12989" t="s">
        <v>9254</v>
      </c>
      <c r="I12989" t="s">
        <v>9440</v>
      </c>
      <c r="J12989" t="s">
        <v>15538</v>
      </c>
      <c r="K12989" t="s">
        <v>19839</v>
      </c>
      <c r="M12989">
        <f>HYPERLINK("https://www.senat.fr/senateur-3eme-republique/dherbecourt_amedee1418r3.html", "dherbecourt_amedee1418r3")</f>
        <v>0</v>
      </c>
      <c r="N12989">
        <f>HYPERLINK("https://www.wikidata.org/wiki/Q2844641", "Q2844641")</f>
        <v>0</v>
      </c>
      <c r="O12989" t="s">
        <v>19969</v>
      </c>
      <c r="Q12989" t="s">
        <v>404</v>
      </c>
      <c r="R12989" t="s">
        <v>21719</v>
      </c>
      <c r="S12989">
        <v>3291</v>
      </c>
    </row>
    <row r="12990" spans="1:19">
      <c r="A12990" t="s">
        <v>143</v>
      </c>
      <c r="B12990" t="s">
        <v>150</v>
      </c>
      <c r="C12990" t="s">
        <v>275</v>
      </c>
      <c r="D12990" t="s">
        <v>404</v>
      </c>
      <c r="F12990">
        <f>HYPERLINK("https://www.wikidata.org/wiki/Q28494841", "Q28494841")</f>
        <v>0</v>
      </c>
      <c r="G12990" t="s">
        <v>4346</v>
      </c>
      <c r="H12990" t="s">
        <v>8497</v>
      </c>
      <c r="I12990" t="s">
        <v>9552</v>
      </c>
      <c r="J12990" t="s">
        <v>14838</v>
      </c>
      <c r="K12990" t="s">
        <v>19180</v>
      </c>
      <c r="M12990">
        <f>HYPERLINK("https://www.senat.fr/senateur-3eme-republique/mounie_auguste1331r3.html", "mounie_auguste1331r3")</f>
        <v>0</v>
      </c>
      <c r="N12990">
        <f>HYPERLINK("https://www.wikidata.org/wiki/Q2871327", "Q2871327")</f>
        <v>0</v>
      </c>
      <c r="O12990" t="s">
        <v>19969</v>
      </c>
      <c r="Q12990" t="s">
        <v>404</v>
      </c>
      <c r="R12990" t="s">
        <v>21719</v>
      </c>
      <c r="S12990">
        <v>3291</v>
      </c>
    </row>
    <row r="12991" spans="1:19">
      <c r="A12991" t="s">
        <v>143</v>
      </c>
      <c r="B12991" t="s">
        <v>150</v>
      </c>
      <c r="C12991" t="s">
        <v>275</v>
      </c>
      <c r="D12991" t="s">
        <v>404</v>
      </c>
      <c r="F12991">
        <f>HYPERLINK("https://www.wikidata.org/wiki/Q28494841", "Q28494841")</f>
        <v>0</v>
      </c>
      <c r="G12991" t="s">
        <v>4334</v>
      </c>
      <c r="H12991" t="s">
        <v>8485</v>
      </c>
      <c r="I12991" t="s">
        <v>9388</v>
      </c>
      <c r="J12991" t="s">
        <v>14829</v>
      </c>
      <c r="K12991" t="s">
        <v>19170</v>
      </c>
      <c r="M12991">
        <f>HYPERLINK("https://www.senat.fr/senateur-3eme-republique/strauss_paul1334r3.html", "strauss_paul1334r3")</f>
        <v>0</v>
      </c>
      <c r="N12991">
        <f>HYPERLINK("https://www.wikidata.org/wiki/Q3372237", "Q3372237")</f>
        <v>0</v>
      </c>
      <c r="O12991" t="s">
        <v>19969</v>
      </c>
      <c r="Q12991" t="s">
        <v>404</v>
      </c>
      <c r="R12991" t="s">
        <v>21650</v>
      </c>
      <c r="S12991">
        <v>6860</v>
      </c>
    </row>
    <row r="12992" spans="1:19">
      <c r="A12992" t="s">
        <v>143</v>
      </c>
      <c r="B12992" t="s">
        <v>150</v>
      </c>
      <c r="C12992" t="s">
        <v>275</v>
      </c>
      <c r="D12992" t="s">
        <v>404</v>
      </c>
      <c r="F12992">
        <f>HYPERLINK("https://www.wikidata.org/wiki/Q28494841", "Q28494841")</f>
        <v>0</v>
      </c>
      <c r="G12992" t="s">
        <v>5130</v>
      </c>
      <c r="H12992" t="s">
        <v>9255</v>
      </c>
      <c r="I12992" t="s">
        <v>6585</v>
      </c>
      <c r="J12992" t="s">
        <v>15539</v>
      </c>
      <c r="K12992" t="s">
        <v>19840</v>
      </c>
      <c r="M12992">
        <f>HYPERLINK("https://www.senat.fr/senateur-3eme-republique/morizet_andre1567r3.html", "morizet_andre1567r3")</f>
        <v>0</v>
      </c>
      <c r="N12992">
        <f>HYPERLINK("https://www.wikidata.org/wiki/Q2848326", "Q2848326")</f>
        <v>0</v>
      </c>
      <c r="O12992" t="s">
        <v>19969</v>
      </c>
      <c r="Q12992" t="s">
        <v>404</v>
      </c>
      <c r="R12992" t="s">
        <v>21719</v>
      </c>
      <c r="S12992">
        <v>3291</v>
      </c>
    </row>
    <row r="12993" spans="1:19">
      <c r="A12993" t="s">
        <v>143</v>
      </c>
      <c r="B12993" t="s">
        <v>150</v>
      </c>
      <c r="C12993" t="s">
        <v>275</v>
      </c>
      <c r="D12993" t="s">
        <v>404</v>
      </c>
      <c r="F12993">
        <f>HYPERLINK("https://www.wikidata.org/wiki/Q28494841", "Q28494841")</f>
        <v>0</v>
      </c>
      <c r="G12993" t="s">
        <v>5131</v>
      </c>
      <c r="H12993" t="s">
        <v>9181</v>
      </c>
      <c r="I12993" t="s">
        <v>9553</v>
      </c>
      <c r="J12993" t="s">
        <v>15540</v>
      </c>
      <c r="K12993" t="s">
        <v>19841</v>
      </c>
      <c r="M12993">
        <f>HYPERLINK("https://www.senat.fr/senateur-3eme-republique/bachelet_alexandre1563r3.html", "bachelet_alexandre1563r3")</f>
        <v>0</v>
      </c>
      <c r="N12993">
        <f>HYPERLINK("https://www.wikidata.org/wiki/Q2833420", "Q2833420")</f>
        <v>0</v>
      </c>
      <c r="O12993" t="s">
        <v>19969</v>
      </c>
      <c r="Q12993" t="s">
        <v>404</v>
      </c>
      <c r="R12993" t="s">
        <v>21719</v>
      </c>
      <c r="S12993">
        <v>3291</v>
      </c>
    </row>
    <row r="12994" spans="1:19">
      <c r="A12994" t="s">
        <v>143</v>
      </c>
      <c r="B12994" t="s">
        <v>150</v>
      </c>
      <c r="C12994" t="s">
        <v>275</v>
      </c>
      <c r="D12994" t="s">
        <v>404</v>
      </c>
      <c r="F12994">
        <f>HYPERLINK("https://www.wikidata.org/wiki/Q28494841", "Q28494841")</f>
        <v>0</v>
      </c>
      <c r="G12994" t="s">
        <v>4278</v>
      </c>
      <c r="H12994" t="s">
        <v>8439</v>
      </c>
      <c r="I12994" t="s">
        <v>9465</v>
      </c>
      <c r="J12994" t="s">
        <v>14777</v>
      </c>
      <c r="K12994" t="s">
        <v>19124</v>
      </c>
      <c r="M12994">
        <f>HYPERLINK("https://www.senat.fr/senateur-3eme-republique/penancier_eugene1605r3.html", "penancier_eugene1605r3")</f>
        <v>0</v>
      </c>
      <c r="N12994">
        <f>HYPERLINK("https://www.wikidata.org/wiki/Q3060086", "Q3060086")</f>
        <v>0</v>
      </c>
      <c r="O12994" t="s">
        <v>20026</v>
      </c>
      <c r="Q12994" t="s">
        <v>404</v>
      </c>
      <c r="R12994" t="s">
        <v>21650</v>
      </c>
      <c r="S12994">
        <v>6860</v>
      </c>
    </row>
    <row r="12995" spans="1:19">
      <c r="A12995" t="s">
        <v>143</v>
      </c>
      <c r="B12995" t="s">
        <v>150</v>
      </c>
      <c r="C12995" t="s">
        <v>275</v>
      </c>
      <c r="D12995" t="s">
        <v>404</v>
      </c>
      <c r="F12995">
        <f>HYPERLINK("https://www.wikidata.org/wiki/Q28494841", "Q28494841")</f>
        <v>0</v>
      </c>
      <c r="G12995" t="s">
        <v>5132</v>
      </c>
      <c r="H12995" t="s">
        <v>9256</v>
      </c>
      <c r="I12995" t="s">
        <v>9470</v>
      </c>
      <c r="J12995" t="s">
        <v>15541</v>
      </c>
      <c r="K12995" t="s">
        <v>16471</v>
      </c>
      <c r="M12995">
        <f>HYPERLINK("https://www.senat.fr/senateur-3eme-republique/veyssiere_gaston1589r3.html", "veyssiere_gaston1589r3")</f>
        <v>0</v>
      </c>
      <c r="N12995">
        <f>HYPERLINK("https://www.wikidata.org/wiki/Q3099176", "Q3099176")</f>
        <v>0</v>
      </c>
      <c r="O12995" t="s">
        <v>19978</v>
      </c>
      <c r="Q12995" t="s">
        <v>404</v>
      </c>
      <c r="R12995" t="s">
        <v>21719</v>
      </c>
      <c r="S12995">
        <v>3291</v>
      </c>
    </row>
    <row r="12996" spans="1:19">
      <c r="A12996" t="s">
        <v>143</v>
      </c>
      <c r="B12996" t="s">
        <v>150</v>
      </c>
      <c r="C12996" t="s">
        <v>275</v>
      </c>
      <c r="D12996" t="s">
        <v>404</v>
      </c>
      <c r="F12996">
        <f>HYPERLINK("https://www.wikidata.org/wiki/Q28494841", "Q28494841")</f>
        <v>0</v>
      </c>
      <c r="G12996" t="s">
        <v>5065</v>
      </c>
      <c r="H12996" t="s">
        <v>9197</v>
      </c>
      <c r="I12996" t="s">
        <v>9440</v>
      </c>
      <c r="J12996" t="s">
        <v>14490</v>
      </c>
      <c r="K12996" t="s">
        <v>19785</v>
      </c>
      <c r="M12996">
        <f>HYPERLINK("https://www.senat.fr/senateur-3eme-republique/pierrin_amedee1673r3.html", "pierrin_amedee1673r3")</f>
        <v>0</v>
      </c>
      <c r="N12996">
        <f>HYPERLINK("https://www.wikidata.org/wiki/Q2844695", "Q2844695")</f>
        <v>0</v>
      </c>
      <c r="O12996" t="s">
        <v>20012</v>
      </c>
      <c r="Q12996" t="s">
        <v>404</v>
      </c>
      <c r="R12996" t="s">
        <v>21650</v>
      </c>
      <c r="S12996">
        <v>6860</v>
      </c>
    </row>
    <row r="12997" spans="1:19">
      <c r="A12997" t="s">
        <v>143</v>
      </c>
      <c r="B12997" t="s">
        <v>150</v>
      </c>
      <c r="C12997" t="s">
        <v>275</v>
      </c>
      <c r="D12997" t="s">
        <v>404</v>
      </c>
      <c r="F12997">
        <f>HYPERLINK("https://www.wikidata.org/wiki/Q28494841", "Q28494841")</f>
        <v>0</v>
      </c>
      <c r="G12997" t="s">
        <v>5116</v>
      </c>
      <c r="H12997" t="s">
        <v>9242</v>
      </c>
      <c r="I12997" t="s">
        <v>9602</v>
      </c>
      <c r="J12997" t="s">
        <v>15526</v>
      </c>
      <c r="K12997" t="s">
        <v>19827</v>
      </c>
      <c r="M12997">
        <f>HYPERLINK("https://www.senat.fr/senateur-3eme-republique/cavillon_edmond1697r3.html", "cavillon_edmond1697r3")</f>
        <v>0</v>
      </c>
      <c r="N12997">
        <f>HYPERLINK("https://www.wikidata.org/wiki/Q3047778", "Q3047778")</f>
        <v>0</v>
      </c>
      <c r="O12997" t="s">
        <v>20012</v>
      </c>
      <c r="Q12997" t="s">
        <v>404</v>
      </c>
      <c r="R12997" t="s">
        <v>21650</v>
      </c>
      <c r="S12997">
        <v>6860</v>
      </c>
    </row>
    <row r="12998" spans="1:19">
      <c r="A12998" t="s">
        <v>143</v>
      </c>
      <c r="B12998" t="s">
        <v>150</v>
      </c>
      <c r="C12998" t="s">
        <v>275</v>
      </c>
      <c r="D12998" t="s">
        <v>404</v>
      </c>
      <c r="F12998">
        <f>HYPERLINK("https://www.wikidata.org/wiki/Q28494841", "Q28494841")</f>
        <v>0</v>
      </c>
      <c r="G12998" t="s">
        <v>4912</v>
      </c>
      <c r="H12998" t="s">
        <v>9048</v>
      </c>
      <c r="I12998" t="s">
        <v>6495</v>
      </c>
      <c r="J12998" t="s">
        <v>15355</v>
      </c>
      <c r="K12998" t="s">
        <v>19660</v>
      </c>
      <c r="M12998">
        <f>HYPERLINK("https://www.senat.fr/senateur-3eme-republique/vieu_louis1694r3.html", "vieu_louis1694r3")</f>
        <v>0</v>
      </c>
      <c r="N12998">
        <f>HYPERLINK("https://www.wikidata.org/wiki/Q3263283", "Q3263283")</f>
        <v>0</v>
      </c>
      <c r="O12998" t="s">
        <v>19962</v>
      </c>
      <c r="Q12998" t="s">
        <v>404</v>
      </c>
      <c r="R12998" t="s">
        <v>21650</v>
      </c>
      <c r="S12998">
        <v>6860</v>
      </c>
    </row>
    <row r="12999" spans="1:19">
      <c r="A12999" t="s">
        <v>143</v>
      </c>
      <c r="B12999" t="s">
        <v>150</v>
      </c>
      <c r="C12999" t="s">
        <v>275</v>
      </c>
      <c r="D12999" t="s">
        <v>404</v>
      </c>
      <c r="F12999">
        <f>HYPERLINK("https://www.wikidata.org/wiki/Q28494841", "Q28494841")</f>
        <v>0</v>
      </c>
      <c r="G12999" t="s">
        <v>5133</v>
      </c>
      <c r="H12999" t="s">
        <v>9257</v>
      </c>
      <c r="I12999" t="s">
        <v>6860</v>
      </c>
      <c r="J12999" t="s">
        <v>15542</v>
      </c>
      <c r="K12999" t="s">
        <v>19842</v>
      </c>
      <c r="M12999">
        <f>HYPERLINK("https://www.senat.fr/senateur-3eme-republique/loubat_pierre1698r3.html", "loubat_pierre1698r3")</f>
        <v>0</v>
      </c>
      <c r="N12999">
        <f>HYPERLINK("https://www.wikidata.org/wiki/Q3385994", "Q3385994")</f>
        <v>0</v>
      </c>
      <c r="O12999" t="s">
        <v>19962</v>
      </c>
      <c r="Q12999" t="s">
        <v>404</v>
      </c>
      <c r="R12999" t="s">
        <v>21719</v>
      </c>
      <c r="S12999">
        <v>3291</v>
      </c>
    </row>
    <row r="13000" spans="1:19">
      <c r="A13000" t="s">
        <v>143</v>
      </c>
      <c r="B13000" t="s">
        <v>150</v>
      </c>
      <c r="C13000" t="s">
        <v>275</v>
      </c>
      <c r="D13000" t="s">
        <v>404</v>
      </c>
      <c r="F13000">
        <f>HYPERLINK("https://www.wikidata.org/wiki/Q28494841", "Q28494841")</f>
        <v>0</v>
      </c>
      <c r="G13000" t="s">
        <v>4039</v>
      </c>
      <c r="H13000" t="s">
        <v>8551</v>
      </c>
      <c r="I13000" t="s">
        <v>6495</v>
      </c>
      <c r="J13000" t="s">
        <v>14580</v>
      </c>
      <c r="K13000" t="s">
        <v>16212</v>
      </c>
      <c r="M13000">
        <f>HYPERLINK("https://www.senat.fr/senateur-3eme-republique/martin_louis1739r3.html", "martin_louis1739r3")</f>
        <v>0</v>
      </c>
      <c r="N13000">
        <f>HYPERLINK("https://www.wikidata.org/wiki/Q3262650", "Q3262650")</f>
        <v>0</v>
      </c>
      <c r="O13000" t="s">
        <v>20042</v>
      </c>
      <c r="Q13000" t="s">
        <v>404</v>
      </c>
      <c r="R13000" t="s">
        <v>21650</v>
      </c>
      <c r="S13000">
        <v>6860</v>
      </c>
    </row>
    <row r="13001" spans="1:19">
      <c r="A13001" t="s">
        <v>143</v>
      </c>
      <c r="B13001" t="s">
        <v>150</v>
      </c>
      <c r="C13001" t="s">
        <v>275</v>
      </c>
      <c r="D13001" t="s">
        <v>404</v>
      </c>
      <c r="F13001">
        <f>HYPERLINK("https://www.wikidata.org/wiki/Q28494841", "Q28494841")</f>
        <v>0</v>
      </c>
      <c r="G13001" t="s">
        <v>5066</v>
      </c>
      <c r="H13001" t="s">
        <v>9198</v>
      </c>
      <c r="I13001" t="s">
        <v>7642</v>
      </c>
      <c r="J13001" t="s">
        <v>15485</v>
      </c>
      <c r="K13001" t="s">
        <v>19786</v>
      </c>
      <c r="M13001">
        <f>HYPERLINK("https://www.senat.fr/senateur-3eme-republique/morand_maurice1749r3.html", "morand_maurice1749r3")</f>
        <v>0</v>
      </c>
      <c r="N13001">
        <f>HYPERLINK("https://www.wikidata.org/wiki/Q3301175", "Q3301175")</f>
        <v>0</v>
      </c>
      <c r="O13001" t="s">
        <v>19972</v>
      </c>
      <c r="Q13001" t="s">
        <v>404</v>
      </c>
      <c r="R13001" t="s">
        <v>21650</v>
      </c>
      <c r="S13001">
        <v>6860</v>
      </c>
    </row>
    <row r="13002" spans="1:19">
      <c r="A13002" t="s">
        <v>143</v>
      </c>
      <c r="B13002" t="s">
        <v>150</v>
      </c>
      <c r="C13002" t="s">
        <v>275</v>
      </c>
      <c r="D13002" t="s">
        <v>404</v>
      </c>
      <c r="F13002">
        <f>HYPERLINK("https://www.wikidata.org/wiki/Q28494841", "Q28494841")</f>
        <v>0</v>
      </c>
      <c r="G13002" t="s">
        <v>5067</v>
      </c>
      <c r="H13002" t="s">
        <v>9199</v>
      </c>
      <c r="I13002" t="s">
        <v>9692</v>
      </c>
      <c r="J13002" t="s">
        <v>15486</v>
      </c>
      <c r="K13002" t="s">
        <v>19787</v>
      </c>
      <c r="M13002">
        <f>HYPERLINK("https://www.senat.fr/senateur-3eme-republique/duplantier_raymond1761r3.html", "duplantier_raymond1761r3")</f>
        <v>0</v>
      </c>
      <c r="N13002">
        <f>HYPERLINK("https://www.wikidata.org/wiki/Q3420820", "Q3420820")</f>
        <v>0</v>
      </c>
      <c r="O13002" t="s">
        <v>19982</v>
      </c>
      <c r="Q13002" t="s">
        <v>404</v>
      </c>
      <c r="R13002" t="s">
        <v>21650</v>
      </c>
      <c r="S13002">
        <v>6860</v>
      </c>
    </row>
    <row r="13003" spans="1:19">
      <c r="A13003" t="s">
        <v>143</v>
      </c>
      <c r="B13003" t="s">
        <v>150</v>
      </c>
      <c r="C13003" t="s">
        <v>275</v>
      </c>
      <c r="D13003" t="s">
        <v>404</v>
      </c>
      <c r="F13003">
        <f>HYPERLINK("https://www.wikidata.org/wiki/Q28494841", "Q28494841")</f>
        <v>0</v>
      </c>
      <c r="G13003" t="s">
        <v>5134</v>
      </c>
      <c r="H13003" t="s">
        <v>9072</v>
      </c>
      <c r="I13003" t="s">
        <v>9445</v>
      </c>
      <c r="J13003" t="s">
        <v>12956</v>
      </c>
      <c r="K13003" t="s">
        <v>19843</v>
      </c>
      <c r="M13003">
        <f>HYPERLINK("https://www.senat.fr/senateur-3eme-republique/richard_adrien1807r3.html", "richard_adrien1807r3")</f>
        <v>0</v>
      </c>
      <c r="N13003">
        <f>HYPERLINK("https://www.wikidata.org/wiki/Q2825255", "Q2825255")</f>
        <v>0</v>
      </c>
      <c r="O13003" t="s">
        <v>20017</v>
      </c>
      <c r="Q13003" t="s">
        <v>404</v>
      </c>
      <c r="R13003" t="s">
        <v>21719</v>
      </c>
      <c r="S13003">
        <v>3291</v>
      </c>
    </row>
    <row r="13004" spans="1:19">
      <c r="A13004" t="s">
        <v>143</v>
      </c>
      <c r="B13004" t="s">
        <v>150</v>
      </c>
      <c r="C13004" t="s">
        <v>275</v>
      </c>
      <c r="D13004" t="s">
        <v>404</v>
      </c>
      <c r="F13004">
        <f>HYPERLINK("https://www.wikidata.org/wiki/Q28494841", "Q28494841")</f>
        <v>0</v>
      </c>
      <c r="G13004" t="s">
        <v>5089</v>
      </c>
      <c r="H13004" t="s">
        <v>9218</v>
      </c>
      <c r="I13004" t="s">
        <v>9457</v>
      </c>
      <c r="J13004" t="s">
        <v>15503</v>
      </c>
      <c r="K13004" t="s">
        <v>19806</v>
      </c>
      <c r="M13004">
        <f>HYPERLINK("https://www.senat.fr/senateur-3eme-republique/hamelin_henri1847r3.html", "hamelin_henri1847r3")</f>
        <v>0</v>
      </c>
      <c r="N13004">
        <f>HYPERLINK("https://www.wikidata.org/wiki/Q3131257", "Q3131257")</f>
        <v>0</v>
      </c>
      <c r="O13004" t="s">
        <v>20034</v>
      </c>
      <c r="Q13004" t="s">
        <v>404</v>
      </c>
      <c r="R13004" t="s">
        <v>21719</v>
      </c>
      <c r="S13004">
        <v>3291</v>
      </c>
    </row>
    <row r="13005" spans="1:19">
      <c r="A13005" t="s">
        <v>143</v>
      </c>
      <c r="B13005" t="s">
        <v>150</v>
      </c>
      <c r="C13005" t="s">
        <v>275</v>
      </c>
      <c r="D13005" t="s">
        <v>404</v>
      </c>
      <c r="F13005">
        <f>HYPERLINK("https://www.wikidata.org/wiki/Q28494841", "Q28494841")</f>
        <v>0</v>
      </c>
      <c r="G13005" t="s">
        <v>5087</v>
      </c>
      <c r="H13005" t="s">
        <v>9217</v>
      </c>
      <c r="I13005" t="s">
        <v>9470</v>
      </c>
      <c r="J13005" t="s">
        <v>15501</v>
      </c>
      <c r="K13005" t="s">
        <v>19804</v>
      </c>
      <c r="M13005">
        <f>HYPERLINK("https://www.senat.fr/senateur-3eme-republique/gaudaire_gaston1851r3.html", "gaudaire_gaston1851r3")</f>
        <v>0</v>
      </c>
      <c r="N13005">
        <f>HYPERLINK("https://www.wikidata.org/wiki/Q3099010", "Q3099010")</f>
        <v>0</v>
      </c>
      <c r="O13005" t="s">
        <v>20034</v>
      </c>
      <c r="Q13005" t="s">
        <v>404</v>
      </c>
      <c r="R13005" t="s">
        <v>21650</v>
      </c>
      <c r="S13005">
        <v>6860</v>
      </c>
    </row>
    <row r="13006" spans="1:19">
      <c r="A13006" t="s">
        <v>143</v>
      </c>
      <c r="B13006" t="s">
        <v>150</v>
      </c>
      <c r="C13006" t="s">
        <v>275</v>
      </c>
      <c r="D13006" t="s">
        <v>404</v>
      </c>
      <c r="F13006">
        <f>HYPERLINK("https://www.wikidata.org/wiki/Q28494841", "Q28494841")</f>
        <v>0</v>
      </c>
      <c r="G13006" t="s">
        <v>5135</v>
      </c>
      <c r="H13006" t="s">
        <v>9258</v>
      </c>
      <c r="I13006" t="s">
        <v>9388</v>
      </c>
      <c r="J13006" t="s">
        <v>14512</v>
      </c>
      <c r="K13006" t="s">
        <v>19844</v>
      </c>
      <c r="M13006">
        <f>HYPERLINK("https://www.senat.fr/senateur-3eme-republique/saurin_paul1826r3.html", "saurin_paul1826r3")</f>
        <v>0</v>
      </c>
      <c r="N13006">
        <f>HYPERLINK("https://www.wikidata.org/wiki/Q20027765", "Q20027765")</f>
        <v>0</v>
      </c>
      <c r="Q13006" t="s">
        <v>404</v>
      </c>
      <c r="R13006" t="s">
        <v>19844</v>
      </c>
      <c r="S13006">
        <v>2469</v>
      </c>
    </row>
    <row r="13007" spans="1:19">
      <c r="A13007" t="s">
        <v>143</v>
      </c>
      <c r="B13007" t="s">
        <v>150</v>
      </c>
      <c r="C13007" t="s">
        <v>275</v>
      </c>
      <c r="D13007" t="s">
        <v>404</v>
      </c>
      <c r="F13007">
        <f>HYPERLINK("https://www.wikidata.org/wiki/Q28494841", "Q28494841")</f>
        <v>0</v>
      </c>
      <c r="G13007" t="s">
        <v>1150</v>
      </c>
      <c r="H13007" t="s">
        <v>5885</v>
      </c>
      <c r="I13007" t="s">
        <v>7790</v>
      </c>
      <c r="J13007" t="s">
        <v>11884</v>
      </c>
      <c r="K13007" t="s">
        <v>16286</v>
      </c>
      <c r="L13007">
        <f>HYPERLINK("https://www2.assemblee-nationale.fr/sycomore/fiche/(num_dept)/500", "500")</f>
        <v>0</v>
      </c>
      <c r="M13007">
        <f>HYPERLINK("https://www.senat.fr/senateur-3eme-republique/de_baudry_d_asson_armand1755r3.html", "de_baudry_d_asson_armand1755r3")</f>
        <v>0</v>
      </c>
      <c r="N13007">
        <f>HYPERLINK("https://www.wikidata.org/wiki/Q2861799", "Q2861799")</f>
        <v>0</v>
      </c>
      <c r="O13007" t="s">
        <v>19972</v>
      </c>
      <c r="Q13007" t="s">
        <v>21280</v>
      </c>
      <c r="R13007" t="s">
        <v>21719</v>
      </c>
      <c r="S13007">
        <v>3172</v>
      </c>
    </row>
    <row r="13008" spans="1:19">
      <c r="A13008" t="s">
        <v>143</v>
      </c>
      <c r="B13008" t="s">
        <v>150</v>
      </c>
      <c r="C13008" t="s">
        <v>275</v>
      </c>
      <c r="D13008" t="s">
        <v>404</v>
      </c>
      <c r="F13008">
        <f>HYPERLINK("https://www.wikidata.org/wiki/Q28494841", "Q28494841")</f>
        <v>0</v>
      </c>
      <c r="G13008" t="s">
        <v>589</v>
      </c>
      <c r="H13008" t="s">
        <v>5350</v>
      </c>
      <c r="I13008" t="s">
        <v>9438</v>
      </c>
      <c r="J13008" t="s">
        <v>11340</v>
      </c>
      <c r="K13008" t="s">
        <v>15741</v>
      </c>
      <c r="L13008">
        <f>HYPERLINK("https://www2.assemblee-nationale.fr/sycomore/fiche/(num_dept)/1979", "1979")</f>
        <v>0</v>
      </c>
      <c r="M13008">
        <f>HYPERLINK("https://www.senat.fr/senateur-3eme-republique/cornudet_des_chaumettes_honore1635r3.html", "cornudet_des_chaumettes_honore1635r3")</f>
        <v>0</v>
      </c>
      <c r="N13008">
        <f>HYPERLINK("https://www.wikidata.org/wiki/Q3140215", "Q3140215")</f>
        <v>0</v>
      </c>
      <c r="O13008" t="s">
        <v>19976</v>
      </c>
      <c r="Q13008" t="s">
        <v>21280</v>
      </c>
      <c r="R13008" t="s">
        <v>21650</v>
      </c>
      <c r="S13008">
        <v>6741</v>
      </c>
    </row>
    <row r="13009" spans="1:19">
      <c r="A13009" t="s">
        <v>143</v>
      </c>
      <c r="B13009" t="s">
        <v>150</v>
      </c>
      <c r="C13009" t="s">
        <v>275</v>
      </c>
      <c r="D13009" t="s">
        <v>404</v>
      </c>
      <c r="F13009">
        <f>HYPERLINK("https://www.wikidata.org/wiki/Q28494841", "Q28494841")</f>
        <v>0</v>
      </c>
      <c r="G13009" t="s">
        <v>1192</v>
      </c>
      <c r="H13009" t="s">
        <v>5922</v>
      </c>
      <c r="I13009" t="s">
        <v>9700</v>
      </c>
      <c r="J13009" t="s">
        <v>11925</v>
      </c>
      <c r="K13009" t="s">
        <v>16326</v>
      </c>
      <c r="L13009">
        <f>HYPERLINK("https://www2.assemblee-nationale.fr/sycomore/fiche/(num_dept)/6016", "6016")</f>
        <v>0</v>
      </c>
      <c r="M13009">
        <f>HYPERLINK("https://www.senat.fr/senateur-3eme-republique/robert_pierre1327r3.html", "robert_pierre1327r3")</f>
        <v>0</v>
      </c>
      <c r="N13009">
        <f>HYPERLINK("https://www.wikidata.org/wiki/Q3386818", "Q3386818")</f>
        <v>0</v>
      </c>
      <c r="O13009" t="s">
        <v>19997</v>
      </c>
      <c r="Q13009" t="s">
        <v>21280</v>
      </c>
      <c r="R13009" t="s">
        <v>16357</v>
      </c>
      <c r="S13009">
        <v>2073</v>
      </c>
    </row>
    <row r="13010" spans="1:19">
      <c r="A13010" t="s">
        <v>143</v>
      </c>
      <c r="B13010" t="s">
        <v>150</v>
      </c>
      <c r="C13010" t="s">
        <v>275</v>
      </c>
      <c r="D13010" t="s">
        <v>404</v>
      </c>
      <c r="F13010">
        <f>HYPERLINK("https://www.wikidata.org/wiki/Q28494841", "Q28494841")</f>
        <v>0</v>
      </c>
      <c r="G13010" t="s">
        <v>825</v>
      </c>
      <c r="H13010" t="s">
        <v>5582</v>
      </c>
      <c r="I13010" t="s">
        <v>6200</v>
      </c>
      <c r="J13010" t="s">
        <v>11572</v>
      </c>
      <c r="K13010" t="s">
        <v>15974</v>
      </c>
      <c r="L13010">
        <f>HYPERLINK("https://www2.assemblee-nationale.fr/sycomore/fiche/(num_dept)/7358", "7358")</f>
        <v>0</v>
      </c>
      <c r="M13010">
        <f>HYPERLINK("https://www.senat.fr/senateur-3eme-republique/villault_duchesnois_jean1032r3.html", "villault_duchesnois_jean1032r3")</f>
        <v>0</v>
      </c>
      <c r="N13010">
        <f>HYPERLINK("https://www.wikidata.org/wiki/Q3175043", "Q3175043")</f>
        <v>0</v>
      </c>
      <c r="O13010" t="s">
        <v>19985</v>
      </c>
      <c r="Q13010" t="s">
        <v>21281</v>
      </c>
      <c r="R13010" t="s">
        <v>16357</v>
      </c>
      <c r="S13010">
        <v>2052</v>
      </c>
    </row>
    <row r="13011" spans="1:19">
      <c r="A13011" t="s">
        <v>143</v>
      </c>
      <c r="B13011" t="s">
        <v>150</v>
      </c>
      <c r="C13011" t="s">
        <v>275</v>
      </c>
      <c r="D13011" t="s">
        <v>404</v>
      </c>
      <c r="F13011">
        <f>HYPERLINK("https://www.wikidata.org/wiki/Q28494841", "Q28494841")</f>
        <v>0</v>
      </c>
      <c r="G13011" t="s">
        <v>1067</v>
      </c>
      <c r="H13011" t="s">
        <v>5812</v>
      </c>
      <c r="I13011" t="s">
        <v>9488</v>
      </c>
      <c r="J13011" t="s">
        <v>11804</v>
      </c>
      <c r="K13011" t="s">
        <v>16204</v>
      </c>
      <c r="L13011">
        <f>HYPERLINK("https://www2.assemblee-nationale.fr/sycomore/fiche/(num_dept)/7361", "7361")</f>
        <v>0</v>
      </c>
      <c r="M13011">
        <f>HYPERLINK("https://www.senat.fr/senateur-3eme-republique/daniel_vincent_charles1382r3.html", "daniel_vincent_charles1382r3")</f>
        <v>0</v>
      </c>
      <c r="N13011">
        <f>HYPERLINK("https://www.wikidata.org/wiki/Q3014792", "Q3014792")</f>
        <v>0</v>
      </c>
      <c r="O13011" t="s">
        <v>20013</v>
      </c>
      <c r="Q13011" t="s">
        <v>21281</v>
      </c>
      <c r="R13011" t="s">
        <v>16357</v>
      </c>
      <c r="S13011">
        <v>2052</v>
      </c>
    </row>
    <row r="13012" spans="1:19">
      <c r="A13012" t="s">
        <v>143</v>
      </c>
      <c r="B13012" t="s">
        <v>150</v>
      </c>
      <c r="C13012" t="s">
        <v>275</v>
      </c>
      <c r="D13012" t="s">
        <v>404</v>
      </c>
      <c r="F13012">
        <f>HYPERLINK("https://www.wikidata.org/wiki/Q28494841", "Q28494841")</f>
        <v>0</v>
      </c>
      <c r="G13012" t="s">
        <v>5136</v>
      </c>
      <c r="H13012" t="s">
        <v>9210</v>
      </c>
      <c r="I13012" t="s">
        <v>7308</v>
      </c>
      <c r="J13012" t="s">
        <v>15543</v>
      </c>
      <c r="K13012" t="s">
        <v>19845</v>
      </c>
      <c r="M13012">
        <f>HYPERLINK("https://www.senat.fr/senateur-3eme-republique/grand_roger0912r3.html", "grand_roger0912r3")</f>
        <v>0</v>
      </c>
      <c r="N13012">
        <f>HYPERLINK("https://www.wikidata.org/wiki/Q3439046", "Q3439046")</f>
        <v>0</v>
      </c>
      <c r="O13012" t="s">
        <v>19961</v>
      </c>
      <c r="Q13012" t="s">
        <v>21282</v>
      </c>
      <c r="R13012" t="s">
        <v>16357</v>
      </c>
      <c r="S13012">
        <v>1961</v>
      </c>
    </row>
    <row r="13013" spans="1:19">
      <c r="A13013" t="s">
        <v>143</v>
      </c>
      <c r="B13013" t="s">
        <v>150</v>
      </c>
      <c r="C13013" t="s">
        <v>275</v>
      </c>
      <c r="D13013" t="s">
        <v>404</v>
      </c>
      <c r="F13013">
        <f>HYPERLINK("https://www.wikidata.org/wiki/Q28494841", "Q28494841")</f>
        <v>0</v>
      </c>
      <c r="G13013" t="s">
        <v>1498</v>
      </c>
      <c r="H13013" t="s">
        <v>6196</v>
      </c>
      <c r="I13013" t="s">
        <v>9553</v>
      </c>
      <c r="J13013" t="s">
        <v>12216</v>
      </c>
      <c r="K13013" t="s">
        <v>16621</v>
      </c>
      <c r="L13013">
        <f>HYPERLINK("https://www2.assemblee-nationale.fr/sycomore/fiche/(num_dept)/3948", "3948")</f>
        <v>0</v>
      </c>
      <c r="M13013">
        <f>HYPERLINK("https://www.senat.fr/senateur-3eme-republique/israel_alexandre0223r3.html", "israel_alexandre0223r3")</f>
        <v>0</v>
      </c>
      <c r="N13013">
        <f>HYPERLINK("https://www.wikidata.org/wiki/Q2833756", "Q2833756")</f>
        <v>0</v>
      </c>
      <c r="O13013" t="s">
        <v>8449</v>
      </c>
      <c r="Q13013" t="s">
        <v>21283</v>
      </c>
      <c r="R13013" t="s">
        <v>21705</v>
      </c>
      <c r="S13013">
        <v>841</v>
      </c>
    </row>
    <row r="13014" spans="1:19">
      <c r="A13014" t="s">
        <v>143</v>
      </c>
      <c r="B13014" t="s">
        <v>150</v>
      </c>
      <c r="C13014" t="s">
        <v>275</v>
      </c>
      <c r="D13014" t="s">
        <v>404</v>
      </c>
      <c r="F13014">
        <f>HYPERLINK("https://www.wikidata.org/wiki/Q28494841", "Q28494841")</f>
        <v>0</v>
      </c>
      <c r="G13014" t="s">
        <v>5137</v>
      </c>
      <c r="H13014" t="s">
        <v>9259</v>
      </c>
      <c r="I13014" t="s">
        <v>11236</v>
      </c>
      <c r="J13014" t="s">
        <v>15544</v>
      </c>
      <c r="K13014" t="s">
        <v>19846</v>
      </c>
      <c r="M13014">
        <f>HYPERLINK("https://www.senat.fr/senateur-3eme-republique/fourcade_manuel1086r3.html", "fourcade_manuel1086r3")</f>
        <v>0</v>
      </c>
      <c r="N13014">
        <f>HYPERLINK("https://www.wikidata.org/wiki/Q3286809", "Q3286809")</f>
        <v>0</v>
      </c>
      <c r="O13014" t="s">
        <v>20027</v>
      </c>
      <c r="Q13014" t="s">
        <v>21283</v>
      </c>
      <c r="R13014" t="s">
        <v>21719</v>
      </c>
      <c r="S13014">
        <v>3032</v>
      </c>
    </row>
    <row r="13015" spans="1:19">
      <c r="A13015" t="s">
        <v>143</v>
      </c>
      <c r="B13015" t="s">
        <v>150</v>
      </c>
      <c r="C13015" t="s">
        <v>275</v>
      </c>
      <c r="D13015" t="s">
        <v>404</v>
      </c>
      <c r="F13015">
        <f>HYPERLINK("https://www.wikidata.org/wiki/Q28494841", "Q28494841")</f>
        <v>0</v>
      </c>
      <c r="G13015" t="s">
        <v>5138</v>
      </c>
      <c r="H13015" t="s">
        <v>9260</v>
      </c>
      <c r="I13015" t="s">
        <v>9843</v>
      </c>
      <c r="J13015" t="s">
        <v>15545</v>
      </c>
      <c r="K13015" t="s">
        <v>17017</v>
      </c>
      <c r="M13015">
        <f>HYPERLINK("https://www.senat.fr/senateur-3eme-republique/guillemot_yves0787r3.html", "guillemot_yves0787r3")</f>
        <v>0</v>
      </c>
      <c r="N13015">
        <f>HYPERLINK("https://www.wikidata.org/wiki/Q3573691", "Q3573691")</f>
        <v>0</v>
      </c>
      <c r="O13015" t="s">
        <v>20011</v>
      </c>
      <c r="Q13015" t="s">
        <v>18218</v>
      </c>
      <c r="R13015" t="s">
        <v>21705</v>
      </c>
      <c r="S13015">
        <v>834</v>
      </c>
    </row>
    <row r="13016" spans="1:19">
      <c r="A13016" t="s">
        <v>143</v>
      </c>
      <c r="B13016" t="s">
        <v>150</v>
      </c>
      <c r="C13016" t="s">
        <v>275</v>
      </c>
      <c r="D13016" t="s">
        <v>404</v>
      </c>
      <c r="F13016">
        <f>HYPERLINK("https://www.wikidata.org/wiki/Q28494841", "Q28494841")</f>
        <v>0</v>
      </c>
      <c r="G13016" t="s">
        <v>1005</v>
      </c>
      <c r="H13016" t="s">
        <v>5756</v>
      </c>
      <c r="I13016" t="s">
        <v>9553</v>
      </c>
      <c r="J13016" t="s">
        <v>11742</v>
      </c>
      <c r="K13016" t="s">
        <v>16146</v>
      </c>
      <c r="L13016">
        <f>HYPERLINK("https://www2.assemblee-nationale.fr/sycomore/fiche/(num_dept)/5284", "5284")</f>
        <v>0</v>
      </c>
      <c r="M13016">
        <f>HYPERLINK("https://www.senat.fr/senateur-3eme-republique/millerand_alexandre0910r3.html", "millerand_alexandre0910r3")</f>
        <v>0</v>
      </c>
      <c r="N13016">
        <f>HYPERLINK("https://www.wikidata.org/wiki/Q274540", "Q274540")</f>
        <v>0</v>
      </c>
      <c r="O13016" t="s">
        <v>19957</v>
      </c>
      <c r="Q13016" t="s">
        <v>21284</v>
      </c>
      <c r="R13016" t="s">
        <v>21719</v>
      </c>
      <c r="S13016">
        <v>2997</v>
      </c>
    </row>
    <row r="13017" spans="1:19">
      <c r="A13017" t="s">
        <v>143</v>
      </c>
      <c r="B13017" t="s">
        <v>150</v>
      </c>
      <c r="C13017" t="s">
        <v>275</v>
      </c>
      <c r="D13017" t="s">
        <v>404</v>
      </c>
      <c r="F13017">
        <f>HYPERLINK("https://www.wikidata.org/wiki/Q28494841", "Q28494841")</f>
        <v>0</v>
      </c>
      <c r="G13017" t="s">
        <v>3721</v>
      </c>
      <c r="H13017" t="s">
        <v>8030</v>
      </c>
      <c r="I13017" t="s">
        <v>9449</v>
      </c>
      <c r="J13017" t="s">
        <v>14296</v>
      </c>
      <c r="K13017" t="s">
        <v>18650</v>
      </c>
      <c r="L13017">
        <f>HYPERLINK("https://www2.assemblee-nationale.fr/sycomore/fiche/(num_dept)/5665", "5665")</f>
        <v>0</v>
      </c>
      <c r="M13017">
        <f>HYPERLINK("https://www.senat.fr/senateur-3eme-republique/pams_jules1089r3.html", "pams_jules1089r3")</f>
        <v>0</v>
      </c>
      <c r="N13017">
        <f>HYPERLINK("https://www.wikidata.org/wiki/Q3188830", "Q3188830")</f>
        <v>0</v>
      </c>
      <c r="O13017" t="s">
        <v>20001</v>
      </c>
      <c r="Q13017" t="s">
        <v>21285</v>
      </c>
      <c r="R13017" t="s">
        <v>21650</v>
      </c>
      <c r="S13017">
        <v>6556</v>
      </c>
    </row>
    <row r="13018" spans="1:19">
      <c r="A13018" t="s">
        <v>143</v>
      </c>
      <c r="B13018" t="s">
        <v>150</v>
      </c>
      <c r="C13018" t="s">
        <v>275</v>
      </c>
      <c r="D13018" t="s">
        <v>404</v>
      </c>
      <c r="F13018">
        <f>HYPERLINK("https://www.wikidata.org/wiki/Q28494841", "Q28494841")</f>
        <v>0</v>
      </c>
      <c r="G13018" t="s">
        <v>1076</v>
      </c>
      <c r="H13018" t="s">
        <v>5820</v>
      </c>
      <c r="I13018" t="s">
        <v>9602</v>
      </c>
      <c r="J13018" t="s">
        <v>11812</v>
      </c>
      <c r="K13018" t="s">
        <v>16213</v>
      </c>
      <c r="L13018">
        <f>HYPERLINK("https://www2.assemblee-nationale.fr/sycomore/fiche/(num_dept)/7691", "7691")</f>
        <v>0</v>
      </c>
      <c r="M13018">
        <f>HYPERLINK("https://www.senat.fr/senateur-3eme-republique/lefebvre_du_prey_edmond0976r3.html", "lefebvre_du_prey_edmond0976r3")</f>
        <v>0</v>
      </c>
      <c r="N13018">
        <f>HYPERLINK("https://www.wikidata.org/wiki/Q1285694", "Q1285694")</f>
        <v>0</v>
      </c>
      <c r="O13018" t="s">
        <v>19968</v>
      </c>
      <c r="Q13018" t="s">
        <v>21286</v>
      </c>
      <c r="R13018" t="s">
        <v>21719</v>
      </c>
      <c r="S13018">
        <v>2948</v>
      </c>
    </row>
    <row r="13019" spans="1:19">
      <c r="A13019" t="s">
        <v>143</v>
      </c>
      <c r="B13019" t="s">
        <v>150</v>
      </c>
      <c r="C13019" t="s">
        <v>275</v>
      </c>
      <c r="D13019" t="s">
        <v>404</v>
      </c>
      <c r="F13019">
        <f>HYPERLINK("https://www.wikidata.org/wiki/Q28494841", "Q28494841")</f>
        <v>0</v>
      </c>
      <c r="G13019" t="s">
        <v>5139</v>
      </c>
      <c r="H13019" t="s">
        <v>9261</v>
      </c>
      <c r="I13019" t="s">
        <v>6495</v>
      </c>
      <c r="J13019" t="s">
        <v>15546</v>
      </c>
      <c r="K13019" t="s">
        <v>19847</v>
      </c>
      <c r="M13019">
        <f>HYPERLINK("https://www.senat.fr/senateur-3eme-republique/linyer_louis1278r3.html", "linyer_louis1278r3")</f>
        <v>0</v>
      </c>
      <c r="N13019">
        <f>HYPERLINK("https://www.wikidata.org/wiki/Q3262543", "Q3262543")</f>
        <v>0</v>
      </c>
      <c r="O13019" t="s">
        <v>20023</v>
      </c>
      <c r="Q13019" t="s">
        <v>21286</v>
      </c>
      <c r="R13019" t="s">
        <v>16357</v>
      </c>
      <c r="S13019">
        <v>1849</v>
      </c>
    </row>
    <row r="13020" spans="1:19">
      <c r="A13020" t="s">
        <v>143</v>
      </c>
      <c r="B13020" t="s">
        <v>150</v>
      </c>
      <c r="C13020" t="s">
        <v>275</v>
      </c>
      <c r="D13020" t="s">
        <v>404</v>
      </c>
      <c r="F13020">
        <f>HYPERLINK("https://www.wikidata.org/wiki/Q28494841", "Q28494841")</f>
        <v>0</v>
      </c>
      <c r="G13020" t="s">
        <v>5140</v>
      </c>
      <c r="H13020" t="s">
        <v>8568</v>
      </c>
      <c r="I13020" t="s">
        <v>9523</v>
      </c>
      <c r="J13020" t="s">
        <v>15547</v>
      </c>
      <c r="K13020" t="s">
        <v>19848</v>
      </c>
      <c r="M13020">
        <f>HYPERLINK("https://www.senat.fr/senateur-3eme-republique/michel_marcel0657r3.html", "michel_marcel0657r3")</f>
        <v>0</v>
      </c>
      <c r="N13020">
        <f>HYPERLINK("https://www.wikidata.org/wiki/Q3289228", "Q3289228")</f>
        <v>0</v>
      </c>
      <c r="O13020" t="s">
        <v>20010</v>
      </c>
      <c r="Q13020" t="s">
        <v>21287</v>
      </c>
      <c r="R13020" t="s">
        <v>21707</v>
      </c>
      <c r="S13020">
        <v>636</v>
      </c>
    </row>
    <row r="13021" spans="1:19">
      <c r="A13021" t="s">
        <v>143</v>
      </c>
      <c r="B13021" t="s">
        <v>150</v>
      </c>
      <c r="C13021" t="s">
        <v>275</v>
      </c>
      <c r="D13021" t="s">
        <v>404</v>
      </c>
      <c r="F13021">
        <f>HYPERLINK("https://www.wikidata.org/wiki/Q28494841", "Q28494841")</f>
        <v>0</v>
      </c>
      <c r="G13021" t="s">
        <v>1632</v>
      </c>
      <c r="H13021" t="s">
        <v>6317</v>
      </c>
      <c r="I13021" t="s">
        <v>6759</v>
      </c>
      <c r="J13021" t="s">
        <v>12339</v>
      </c>
      <c r="K13021" t="s">
        <v>16748</v>
      </c>
      <c r="L13021">
        <f>HYPERLINK("https://www2.assemblee-nationale.fr/sycomore/fiche/(num_dept)/7066", "7066")</f>
        <v>0</v>
      </c>
      <c r="M13021">
        <f>HYPERLINK("https://www.senat.fr/senateur-3eme-republique/thoumyre_robert1579r3.html", "thoumyre_robert1579r3")</f>
        <v>0</v>
      </c>
      <c r="N13021">
        <f>HYPERLINK("https://www.wikidata.org/wiki/Q3436407", "Q3436407")</f>
        <v>0</v>
      </c>
      <c r="O13021" t="s">
        <v>19978</v>
      </c>
      <c r="Q13021" t="s">
        <v>20587</v>
      </c>
      <c r="R13021" t="s">
        <v>18333</v>
      </c>
      <c r="S13021">
        <v>1441</v>
      </c>
    </row>
    <row r="13022" spans="1:19">
      <c r="A13022" t="s">
        <v>143</v>
      </c>
      <c r="B13022" t="s">
        <v>150</v>
      </c>
      <c r="C13022" t="s">
        <v>275</v>
      </c>
      <c r="D13022" t="s">
        <v>404</v>
      </c>
      <c r="F13022">
        <f>HYPERLINK("https://www.wikidata.org/wiki/Q28494841", "Q28494841")</f>
        <v>0</v>
      </c>
      <c r="G13022" t="s">
        <v>4282</v>
      </c>
      <c r="H13022" t="s">
        <v>8442</v>
      </c>
      <c r="I13022" t="s">
        <v>6200</v>
      </c>
      <c r="J13022" t="s">
        <v>14781</v>
      </c>
      <c r="K13022" t="s">
        <v>19127</v>
      </c>
      <c r="M13022">
        <f>HYPERLINK("https://www.senat.fr/senateur-3eme-republique/valadier_jean0770r3.html", "valadier_jean0770r3")</f>
        <v>0</v>
      </c>
      <c r="N13022">
        <f>HYPERLINK("https://www.wikidata.org/wiki/Q3174926", "Q3174926")</f>
        <v>0</v>
      </c>
      <c r="O13022" t="s">
        <v>19971</v>
      </c>
      <c r="Q13022" t="s">
        <v>21288</v>
      </c>
      <c r="R13022" t="s">
        <v>21705</v>
      </c>
      <c r="S13022">
        <v>617</v>
      </c>
    </row>
    <row r="13023" spans="1:19">
      <c r="A13023" t="s">
        <v>143</v>
      </c>
      <c r="B13023" t="s">
        <v>150</v>
      </c>
      <c r="C13023" t="s">
        <v>275</v>
      </c>
      <c r="D13023" t="s">
        <v>404</v>
      </c>
      <c r="F13023">
        <f>HYPERLINK("https://www.wikidata.org/wiki/Q28494841", "Q28494841")</f>
        <v>0</v>
      </c>
      <c r="G13023" t="s">
        <v>5141</v>
      </c>
      <c r="H13023" t="s">
        <v>9062</v>
      </c>
      <c r="I13023" t="s">
        <v>6200</v>
      </c>
      <c r="J13023" t="s">
        <v>15548</v>
      </c>
      <c r="K13023" t="s">
        <v>19849</v>
      </c>
      <c r="M13023">
        <f>HYPERLINK("https://www.senat.fr/senateur-3eme-republique/boivin_champeaux_jean0407r4.html", "boivin_champeaux_jean0407r4")</f>
        <v>0</v>
      </c>
      <c r="N13023">
        <f>HYPERLINK("https://www.wikidata.org/wiki/Q3170823", "Q3170823")</f>
        <v>0</v>
      </c>
      <c r="O13023" t="s">
        <v>20009</v>
      </c>
      <c r="Q13023" t="s">
        <v>21289</v>
      </c>
      <c r="R13023" t="s">
        <v>21705</v>
      </c>
      <c r="S13023">
        <v>554</v>
      </c>
    </row>
    <row r="13024" spans="1:19">
      <c r="A13024" t="s">
        <v>143</v>
      </c>
      <c r="B13024" t="s">
        <v>150</v>
      </c>
      <c r="C13024" t="s">
        <v>275</v>
      </c>
      <c r="D13024" t="s">
        <v>404</v>
      </c>
      <c r="F13024">
        <f>HYPERLINK("https://www.wikidata.org/wiki/Q28494841", "Q28494841")</f>
        <v>0</v>
      </c>
      <c r="G13024" t="s">
        <v>5142</v>
      </c>
      <c r="H13024" t="s">
        <v>9262</v>
      </c>
      <c r="I13024" t="s">
        <v>6495</v>
      </c>
      <c r="J13024" t="s">
        <v>15549</v>
      </c>
      <c r="K13024" t="s">
        <v>19850</v>
      </c>
      <c r="M13024">
        <f>HYPERLINK("https://www.senat.fr/senateur-3eme-republique/delhoume_louis0401r3.html", "delhoume_louis0401r3")</f>
        <v>0</v>
      </c>
      <c r="N13024">
        <f>HYPERLINK("https://www.wikidata.org/wiki/Q3261688", "Q3261688")</f>
        <v>0</v>
      </c>
      <c r="O13024" t="s">
        <v>20031</v>
      </c>
      <c r="Q13024" t="s">
        <v>16449</v>
      </c>
      <c r="R13024" t="s">
        <v>21705</v>
      </c>
      <c r="S13024">
        <v>519</v>
      </c>
    </row>
    <row r="13025" spans="1:19">
      <c r="A13025" t="s">
        <v>143</v>
      </c>
      <c r="B13025" t="s">
        <v>150</v>
      </c>
      <c r="C13025" t="s">
        <v>275</v>
      </c>
      <c r="D13025" t="s">
        <v>404</v>
      </c>
      <c r="F13025">
        <f>HYPERLINK("https://www.wikidata.org/wiki/Q28494841", "Q28494841")</f>
        <v>0</v>
      </c>
      <c r="G13025" t="s">
        <v>5143</v>
      </c>
      <c r="H13025" t="s">
        <v>9263</v>
      </c>
      <c r="I13025" t="s">
        <v>11237</v>
      </c>
      <c r="J13025" t="s">
        <v>15550</v>
      </c>
      <c r="K13025" t="s">
        <v>19851</v>
      </c>
      <c r="M13025">
        <f>HYPERLINK("https://www.senat.fr/senateur-3eme-republique/benard_leonus0852r3.html", "benard_leonus0852r3")</f>
        <v>0</v>
      </c>
      <c r="N13025">
        <f>HYPERLINK("https://www.wikidata.org/wiki/Q3271752", "Q3271752")</f>
        <v>0</v>
      </c>
      <c r="O13025" t="s">
        <v>19963</v>
      </c>
      <c r="Q13025" t="s">
        <v>21290</v>
      </c>
      <c r="R13025" t="s">
        <v>21721</v>
      </c>
      <c r="S13025">
        <v>433</v>
      </c>
    </row>
    <row r="13026" spans="1:19">
      <c r="A13026" t="s">
        <v>143</v>
      </c>
      <c r="B13026" t="s">
        <v>150</v>
      </c>
      <c r="C13026" t="s">
        <v>275</v>
      </c>
      <c r="D13026" t="s">
        <v>404</v>
      </c>
      <c r="F13026">
        <f>HYPERLINK("https://www.wikidata.org/wiki/Q28494841", "Q28494841")</f>
        <v>0</v>
      </c>
      <c r="G13026" t="s">
        <v>1382</v>
      </c>
      <c r="H13026" t="s">
        <v>6093</v>
      </c>
      <c r="I13026" t="s">
        <v>6731</v>
      </c>
      <c r="J13026" t="s">
        <v>12108</v>
      </c>
      <c r="K13026" t="s">
        <v>16509</v>
      </c>
      <c r="L13026">
        <f>HYPERLINK("https://www2.assemblee-nationale.fr/sycomore/fiche/(num_dept)/953", "953")</f>
        <v>0</v>
      </c>
      <c r="M13026">
        <f>HYPERLINK("https://www.senat.fr/senateur-3eme-republique/bonnet_de_paillerets_marie0861r3.html", "bonnet_de_paillerets_marie0861r3")</f>
        <v>0</v>
      </c>
      <c r="N13026">
        <f>HYPERLINK("https://www.wikidata.org/wiki/Q3184631", "Q3184631")</f>
        <v>0</v>
      </c>
      <c r="O13026" t="s">
        <v>20004</v>
      </c>
      <c r="Q13026" t="s">
        <v>16021</v>
      </c>
      <c r="R13026" t="s">
        <v>21427</v>
      </c>
      <c r="S13026">
        <v>501</v>
      </c>
    </row>
    <row r="13027" spans="1:19">
      <c r="A13027" t="s">
        <v>143</v>
      </c>
      <c r="B13027" t="s">
        <v>150</v>
      </c>
      <c r="C13027" t="s">
        <v>275</v>
      </c>
      <c r="D13027" t="s">
        <v>404</v>
      </c>
      <c r="F13027">
        <f>HYPERLINK("https://www.wikidata.org/wiki/Q28494841", "Q28494841")</f>
        <v>0</v>
      </c>
      <c r="G13027" t="s">
        <v>5144</v>
      </c>
      <c r="H13027" t="s">
        <v>9264</v>
      </c>
      <c r="I13027" t="s">
        <v>5800</v>
      </c>
      <c r="J13027" t="s">
        <v>15551</v>
      </c>
      <c r="K13027" t="s">
        <v>19852</v>
      </c>
      <c r="M13027">
        <f>HYPERLINK("https://www.senat.fr/senateur-3eme-republique/savignol_simon0111r3.html", "savignol_simon0111r3")</f>
        <v>0</v>
      </c>
      <c r="N13027">
        <f>HYPERLINK("https://www.wikidata.org/wiki/Q3484441", "Q3484441")</f>
        <v>0</v>
      </c>
      <c r="O13027" t="s">
        <v>20016</v>
      </c>
      <c r="Q13027" t="s">
        <v>20589</v>
      </c>
      <c r="R13027" t="s">
        <v>16357</v>
      </c>
      <c r="S13027">
        <v>1555</v>
      </c>
    </row>
    <row r="13028" spans="1:19">
      <c r="A13028" t="s">
        <v>143</v>
      </c>
      <c r="B13028" t="s">
        <v>150</v>
      </c>
      <c r="C13028" t="s">
        <v>275</v>
      </c>
      <c r="D13028" t="s">
        <v>404</v>
      </c>
      <c r="F13028">
        <f>HYPERLINK("https://www.wikidata.org/wiki/Q28494841", "Q28494841")</f>
        <v>0</v>
      </c>
      <c r="G13028" t="s">
        <v>5145</v>
      </c>
      <c r="H13028" t="s">
        <v>9265</v>
      </c>
      <c r="I13028" t="s">
        <v>5445</v>
      </c>
      <c r="J13028" t="s">
        <v>15552</v>
      </c>
      <c r="K13028" t="s">
        <v>19853</v>
      </c>
      <c r="M13028">
        <f>HYPERLINK("https://www.senat.fr/senateur-3eme-republique/d_andlau_de_hombourg_hubert1107r3.html", "d_andlau_de_hombourg_hubert1107r3")</f>
        <v>0</v>
      </c>
      <c r="N13028">
        <f>HYPERLINK("https://www.wikidata.org/wiki/Q1299805", "Q1299805")</f>
        <v>0</v>
      </c>
      <c r="O13028" t="s">
        <v>20048</v>
      </c>
      <c r="Q13028" t="s">
        <v>21291</v>
      </c>
      <c r="R13028" t="s">
        <v>21719</v>
      </c>
      <c r="S13028">
        <v>2626</v>
      </c>
    </row>
    <row r="13029" spans="1:19">
      <c r="A13029" t="s">
        <v>143</v>
      </c>
      <c r="B13029" t="s">
        <v>150</v>
      </c>
      <c r="C13029" t="s">
        <v>275</v>
      </c>
      <c r="D13029" t="s">
        <v>404</v>
      </c>
      <c r="F13029">
        <f>HYPERLINK("https://www.wikidata.org/wiki/Q28494841", "Q28494841")</f>
        <v>0</v>
      </c>
      <c r="G13029" t="s">
        <v>5146</v>
      </c>
      <c r="H13029" t="s">
        <v>9266</v>
      </c>
      <c r="I13029" t="s">
        <v>9465</v>
      </c>
      <c r="J13029" t="s">
        <v>15553</v>
      </c>
      <c r="K13029" t="s">
        <v>19854</v>
      </c>
      <c r="M13029">
        <f>HYPERLINK("https://www.senat.fr/senateur-3eme-republique/le_moignic_eugene1836r3.html", "le_moignic_eugene1836r3")</f>
        <v>0</v>
      </c>
      <c r="N13029">
        <f>HYPERLINK("https://www.wikidata.org/wiki/Q3059976", "Q3059976")</f>
        <v>0</v>
      </c>
      <c r="Q13029" t="s">
        <v>21292</v>
      </c>
      <c r="R13029" t="s">
        <v>21722</v>
      </c>
      <c r="S13029">
        <v>2505</v>
      </c>
    </row>
    <row r="13030" spans="1:19">
      <c r="A13030" t="s">
        <v>143</v>
      </c>
      <c r="B13030" t="s">
        <v>150</v>
      </c>
      <c r="C13030" t="s">
        <v>275</v>
      </c>
      <c r="D13030" t="s">
        <v>404</v>
      </c>
      <c r="F13030">
        <f>HYPERLINK("https://www.wikidata.org/wiki/Q28494841", "Q28494841")</f>
        <v>0</v>
      </c>
      <c r="G13030" t="s">
        <v>837</v>
      </c>
      <c r="H13030" t="s">
        <v>5594</v>
      </c>
      <c r="I13030" t="s">
        <v>9545</v>
      </c>
      <c r="J13030" t="s">
        <v>11584</v>
      </c>
      <c r="K13030" t="s">
        <v>15986</v>
      </c>
      <c r="L13030">
        <f>HYPERLINK("https://www2.assemblee-nationale.fr/sycomore/fiche/(num_dept)/7540", "7540")</f>
        <v>0</v>
      </c>
      <c r="M13030">
        <f>HYPERLINK("https://www.senat.fr/senateur-3eme-republique/le_bail_georges0793r3.html", "le_bail_georges0793r3")</f>
        <v>0</v>
      </c>
      <c r="N13030">
        <f>HYPERLINK("https://www.wikidata.org/wiki/Q2381659", "Q2381659")</f>
        <v>0</v>
      </c>
      <c r="O13030" t="s">
        <v>20011</v>
      </c>
      <c r="Q13030" t="s">
        <v>21293</v>
      </c>
      <c r="R13030" t="s">
        <v>21705</v>
      </c>
      <c r="S13030">
        <v>393</v>
      </c>
    </row>
    <row r="13031" spans="1:19">
      <c r="A13031" t="s">
        <v>143</v>
      </c>
      <c r="B13031" t="s">
        <v>150</v>
      </c>
      <c r="C13031" t="s">
        <v>275</v>
      </c>
      <c r="D13031" t="s">
        <v>404</v>
      </c>
      <c r="F13031">
        <f>HYPERLINK("https://www.wikidata.org/wiki/Q28494841", "Q28494841")</f>
        <v>0</v>
      </c>
      <c r="G13031" t="s">
        <v>1470</v>
      </c>
      <c r="H13031" t="s">
        <v>6169</v>
      </c>
      <c r="I13031" t="s">
        <v>6158</v>
      </c>
      <c r="J13031" t="s">
        <v>12189</v>
      </c>
      <c r="K13031" t="s">
        <v>16595</v>
      </c>
      <c r="L13031">
        <f>HYPERLINK("https://www2.assemblee-nationale.fr/sycomore/fiche/(num_dept)/3193", "3193")</f>
        <v>0</v>
      </c>
      <c r="M13031">
        <f>HYPERLINK("https://www.senat.fr/senateur-3eme-republique/gadaud_felix0673r3.html", "gadaud_felix0673r3")</f>
        <v>0</v>
      </c>
      <c r="N13031">
        <f>HYPERLINK("https://www.wikidata.org/wiki/Q3092440", "Q3092440")</f>
        <v>0</v>
      </c>
      <c r="O13031" t="s">
        <v>20010</v>
      </c>
      <c r="Q13031" t="s">
        <v>21294</v>
      </c>
      <c r="R13031" t="s">
        <v>21705</v>
      </c>
      <c r="S13031">
        <v>372</v>
      </c>
    </row>
    <row r="13032" spans="1:19">
      <c r="A13032" t="s">
        <v>143</v>
      </c>
      <c r="B13032" t="s">
        <v>150</v>
      </c>
      <c r="C13032" t="s">
        <v>275</v>
      </c>
      <c r="D13032" t="s">
        <v>404</v>
      </c>
      <c r="F13032">
        <f>HYPERLINK("https://www.wikidata.org/wiki/Q28494841", "Q28494841")</f>
        <v>0</v>
      </c>
      <c r="G13032" t="s">
        <v>5147</v>
      </c>
      <c r="H13032" t="s">
        <v>9267</v>
      </c>
      <c r="I13032" t="s">
        <v>11238</v>
      </c>
      <c r="J13032" t="s">
        <v>13085</v>
      </c>
      <c r="K13032" t="s">
        <v>19855</v>
      </c>
      <c r="M13032">
        <f>HYPERLINK("https://www.senat.fr/senateur-3eme-republique/babaud_lacroze_leonide0398r3.html", "babaud_lacroze_leonide0398r3")</f>
        <v>0</v>
      </c>
      <c r="N13032">
        <f>HYPERLINK("https://www.wikidata.org/wiki/Q3271689", "Q3271689")</f>
        <v>0</v>
      </c>
      <c r="O13032" t="s">
        <v>20031</v>
      </c>
      <c r="Q13032" t="s">
        <v>21295</v>
      </c>
      <c r="R13032" t="s">
        <v>21705</v>
      </c>
      <c r="S13032">
        <v>337</v>
      </c>
    </row>
    <row r="13033" spans="1:19">
      <c r="A13033" t="s">
        <v>143</v>
      </c>
      <c r="B13033" t="s">
        <v>150</v>
      </c>
      <c r="C13033" t="s">
        <v>275</v>
      </c>
      <c r="D13033" t="s">
        <v>404</v>
      </c>
      <c r="F13033">
        <f>HYPERLINK("https://www.wikidata.org/wiki/Q28494841", "Q28494841")</f>
        <v>0</v>
      </c>
      <c r="G13033" t="s">
        <v>1726</v>
      </c>
      <c r="H13033" t="s">
        <v>6400</v>
      </c>
      <c r="I13033" t="s">
        <v>6200</v>
      </c>
      <c r="J13033" t="s">
        <v>12427</v>
      </c>
      <c r="K13033" t="s">
        <v>16835</v>
      </c>
      <c r="L13033">
        <f>HYPERLINK("https://www2.assemblee-nationale.fr/sycomore/fiche/(num_dept)/990", "990")</f>
        <v>0</v>
      </c>
      <c r="M13033">
        <f>HYPERLINK("https://www.senat.fr/senateur-3eme-republique/bosc_jean0822r3.html", "bosc_jean0822r3")</f>
        <v>0</v>
      </c>
      <c r="N13033">
        <f>HYPERLINK("https://www.wikidata.org/wiki/Q1685388", "Q1685388")</f>
        <v>0</v>
      </c>
      <c r="O13033" t="s">
        <v>20014</v>
      </c>
      <c r="Q13033" t="s">
        <v>20596</v>
      </c>
      <c r="R13033" t="s">
        <v>21705</v>
      </c>
      <c r="S13033">
        <v>323</v>
      </c>
    </row>
    <row r="13034" spans="1:19">
      <c r="A13034" t="s">
        <v>143</v>
      </c>
      <c r="B13034" t="s">
        <v>150</v>
      </c>
      <c r="C13034" t="s">
        <v>275</v>
      </c>
      <c r="D13034" t="s">
        <v>404</v>
      </c>
      <c r="F13034">
        <f>HYPERLINK("https://www.wikidata.org/wiki/Q28494841", "Q28494841")</f>
        <v>0</v>
      </c>
      <c r="G13034" t="s">
        <v>5148</v>
      </c>
      <c r="H13034" t="s">
        <v>9268</v>
      </c>
      <c r="I13034" t="s">
        <v>6478</v>
      </c>
      <c r="J13034" t="s">
        <v>15554</v>
      </c>
      <c r="K13034" t="s">
        <v>16536</v>
      </c>
      <c r="M13034">
        <f>HYPERLINK("https://www.senat.fr/senateur-3eme-republique/bourdeaux_henry1685r3.html", "bourdeaux_henry1685r3")</f>
        <v>0</v>
      </c>
      <c r="N13034">
        <f>HYPERLINK("https://www.wikidata.org/wiki/Q3132649", "Q3132649")</f>
        <v>0</v>
      </c>
      <c r="O13034" t="s">
        <v>20012</v>
      </c>
      <c r="Q13034" t="s">
        <v>20596</v>
      </c>
      <c r="R13034" t="s">
        <v>21722</v>
      </c>
      <c r="S13034">
        <v>2428</v>
      </c>
    </row>
    <row r="13035" spans="1:19">
      <c r="A13035" t="s">
        <v>143</v>
      </c>
      <c r="B13035" t="s">
        <v>150</v>
      </c>
      <c r="C13035" t="s">
        <v>275</v>
      </c>
      <c r="D13035" t="s">
        <v>404</v>
      </c>
      <c r="F13035">
        <f>HYPERLINK("https://www.wikidata.org/wiki/Q28494841", "Q28494841")</f>
        <v>0</v>
      </c>
      <c r="G13035" t="s">
        <v>1577</v>
      </c>
      <c r="H13035" t="s">
        <v>6267</v>
      </c>
      <c r="I13035" t="s">
        <v>9523</v>
      </c>
      <c r="J13035" t="s">
        <v>12290</v>
      </c>
      <c r="K13035" t="s">
        <v>16696</v>
      </c>
      <c r="L13035">
        <f>HYPERLINK("https://www2.assemblee-nationale.fr/sycomore/fiche/(num_dept)/5965", "5965")</f>
        <v>0</v>
      </c>
      <c r="M13035">
        <f>HYPERLINK("https://www.senat.fr/senateur-3eme-republique/plaisant_marcel0005r4.html", "plaisant_marcel0005r4")</f>
        <v>0</v>
      </c>
      <c r="N13035">
        <f>HYPERLINK("https://www.wikidata.org/wiki/Q3289294", "Q3289294")</f>
        <v>0</v>
      </c>
      <c r="O13035" t="s">
        <v>19996</v>
      </c>
      <c r="Q13035" t="s">
        <v>21296</v>
      </c>
      <c r="R13035" t="s">
        <v>21705</v>
      </c>
      <c r="S13035">
        <v>281</v>
      </c>
    </row>
    <row r="13036" spans="1:19">
      <c r="A13036" t="s">
        <v>143</v>
      </c>
      <c r="B13036" t="s">
        <v>150</v>
      </c>
      <c r="C13036" t="s">
        <v>275</v>
      </c>
      <c r="D13036" t="s">
        <v>404</v>
      </c>
      <c r="F13036">
        <f>HYPERLINK("https://www.wikidata.org/wiki/Q28494841", "Q28494841")</f>
        <v>0</v>
      </c>
      <c r="G13036" t="s">
        <v>1584</v>
      </c>
      <c r="H13036" t="s">
        <v>6274</v>
      </c>
      <c r="I13036" t="s">
        <v>7642</v>
      </c>
      <c r="J13036" t="s">
        <v>12295</v>
      </c>
      <c r="K13036" t="s">
        <v>16703</v>
      </c>
      <c r="L13036">
        <f>HYPERLINK("https://www2.assemblee-nationale.fr/sycomore/fiche/(num_dept)/6102", "6102")</f>
        <v>0</v>
      </c>
      <c r="M13036">
        <f>HYPERLINK("https://www.senat.fr/senateur-3eme-republique/de_rothschild_maurice0087r3.html", "de_rothschild_maurice0087r3")</f>
        <v>0</v>
      </c>
      <c r="N13036">
        <f>HYPERLINK("https://www.wikidata.org/wiki/Q3301570", "Q3301570")</f>
        <v>0</v>
      </c>
      <c r="O13036" t="s">
        <v>19981</v>
      </c>
      <c r="Q13036" t="s">
        <v>21297</v>
      </c>
      <c r="R13036" t="s">
        <v>21705</v>
      </c>
      <c r="S13036">
        <v>141</v>
      </c>
    </row>
    <row r="13037" spans="1:19">
      <c r="A13037" t="s">
        <v>143</v>
      </c>
      <c r="B13037" t="s">
        <v>150</v>
      </c>
      <c r="C13037" t="s">
        <v>275</v>
      </c>
      <c r="D13037" t="s">
        <v>404</v>
      </c>
      <c r="F13037">
        <f>HYPERLINK("https://www.wikidata.org/wiki/Q28494841", "Q28494841")</f>
        <v>0</v>
      </c>
      <c r="G13037" t="s">
        <v>5149</v>
      </c>
      <c r="H13037" t="s">
        <v>9269</v>
      </c>
      <c r="I13037" t="s">
        <v>9385</v>
      </c>
      <c r="J13037" t="s">
        <v>15555</v>
      </c>
      <c r="K13037" t="s">
        <v>19856</v>
      </c>
      <c r="M13037">
        <f>HYPERLINK("https://www.senat.fr/senateur-3eme-republique/borgeot_charles1212r3.html", "borgeot_charles1212r3")</f>
        <v>0</v>
      </c>
      <c r="N13037">
        <f>HYPERLINK("https://www.wikidata.org/wiki/Q2958580", "Q2958580")</f>
        <v>0</v>
      </c>
      <c r="O13037" t="s">
        <v>19994</v>
      </c>
      <c r="Q13037" t="s">
        <v>21297</v>
      </c>
      <c r="R13037" t="s">
        <v>21719</v>
      </c>
      <c r="S13037">
        <v>2332</v>
      </c>
    </row>
    <row r="13038" spans="1:19">
      <c r="A13038" t="s">
        <v>144</v>
      </c>
      <c r="B13038" t="s">
        <v>150</v>
      </c>
      <c r="C13038" t="s">
        <v>276</v>
      </c>
      <c r="D13038" t="s">
        <v>405</v>
      </c>
      <c r="F13038">
        <f>HYPERLINK("https://www.wikidata.org/wiki/Q28494842", "Q28494842")</f>
        <v>0</v>
      </c>
      <c r="G13038" t="s">
        <v>612</v>
      </c>
      <c r="H13038" t="s">
        <v>5372</v>
      </c>
      <c r="I13038" t="s">
        <v>6495</v>
      </c>
      <c r="J13038" t="s">
        <v>11363</v>
      </c>
      <c r="K13038" t="s">
        <v>15764</v>
      </c>
      <c r="L13038">
        <f>HYPERLINK("https://www2.assemblee-nationale.fr/sycomore/fiche/(num_dept)/2362", "2362")</f>
        <v>0</v>
      </c>
      <c r="M13038">
        <f>HYPERLINK("https://www.senat.fr/senateur-3eme-republique/demellier_louis1641r3.html", "demellier_louis1641r3")</f>
        <v>0</v>
      </c>
      <c r="N13038">
        <f>HYPERLINK("https://www.wikidata.org/wiki/Q3261694", "Q3261694")</f>
        <v>0</v>
      </c>
      <c r="O13038" t="s">
        <v>20021</v>
      </c>
      <c r="Q13038" t="s">
        <v>405</v>
      </c>
      <c r="R13038" t="s">
        <v>21719</v>
      </c>
      <c r="S13038">
        <v>2276</v>
      </c>
    </row>
    <row r="13039" spans="1:19">
      <c r="A13039" t="s">
        <v>144</v>
      </c>
      <c r="B13039" t="s">
        <v>150</v>
      </c>
      <c r="C13039" t="s">
        <v>276</v>
      </c>
      <c r="D13039" t="s">
        <v>405</v>
      </c>
      <c r="F13039">
        <f>HYPERLINK("https://www.wikidata.org/wiki/Q28494842", "Q28494842")</f>
        <v>0</v>
      </c>
      <c r="G13039" t="s">
        <v>1571</v>
      </c>
      <c r="H13039" t="s">
        <v>6261</v>
      </c>
      <c r="I13039" t="s">
        <v>9407</v>
      </c>
      <c r="J13039" t="s">
        <v>12284</v>
      </c>
      <c r="K13039" t="s">
        <v>16691</v>
      </c>
      <c r="L13039">
        <f>HYPERLINK("https://www2.assemblee-nationale.fr/sycomore/fiche/(num_dept)/5880", "5880")</f>
        <v>0</v>
      </c>
      <c r="M13039">
        <f>HYPERLINK("https://www.senat.fr/senateur-3eme-republique/pfleger_joseph0282r4.html", "pfleger_joseph0282r4")</f>
        <v>0</v>
      </c>
      <c r="N13039">
        <f>HYPERLINK("https://www.wikidata.org/wiki/Q1707820", "Q1707820")</f>
        <v>0</v>
      </c>
      <c r="O13039" t="s">
        <v>20049</v>
      </c>
      <c r="Q13039" t="s">
        <v>405</v>
      </c>
      <c r="R13039" t="s">
        <v>21719</v>
      </c>
      <c r="S13039">
        <v>2276</v>
      </c>
    </row>
    <row r="13040" spans="1:19">
      <c r="A13040" t="s">
        <v>144</v>
      </c>
      <c r="B13040" t="s">
        <v>150</v>
      </c>
      <c r="C13040" t="s">
        <v>276</v>
      </c>
      <c r="D13040" t="s">
        <v>405</v>
      </c>
      <c r="F13040">
        <f>HYPERLINK("https://www.wikidata.org/wiki/Q28494842", "Q28494842")</f>
        <v>0</v>
      </c>
      <c r="G13040" t="s">
        <v>834</v>
      </c>
      <c r="H13040" t="s">
        <v>5591</v>
      </c>
      <c r="I13040" t="s">
        <v>9544</v>
      </c>
      <c r="J13040" t="s">
        <v>11581</v>
      </c>
      <c r="K13040" t="s">
        <v>15983</v>
      </c>
      <c r="L13040">
        <f>HYPERLINK("https://www2.assemblee-nationale.fr/sycomore/fiche/(num_dept)/7493", "7493")</f>
        <v>0</v>
      </c>
      <c r="M13040">
        <f>HYPERLINK("https://www.senat.fr/senateur-3eme-republique/lauraine_jean_octave0422r3.html", "lauraine_jean_octave0422r3")</f>
        <v>0</v>
      </c>
      <c r="N13040">
        <f>HYPERLINK("https://www.wikidata.org/wiki/Q3168275", "Q3168275")</f>
        <v>0</v>
      </c>
      <c r="O13040" t="s">
        <v>20037</v>
      </c>
      <c r="Q13040" t="s">
        <v>405</v>
      </c>
      <c r="R13040" t="s">
        <v>21705</v>
      </c>
      <c r="S13040">
        <v>85</v>
      </c>
    </row>
    <row r="13041" spans="1:19">
      <c r="A13041" t="s">
        <v>144</v>
      </c>
      <c r="B13041" t="s">
        <v>150</v>
      </c>
      <c r="C13041" t="s">
        <v>276</v>
      </c>
      <c r="D13041" t="s">
        <v>405</v>
      </c>
      <c r="F13041">
        <f>HYPERLINK("https://www.wikidata.org/wiki/Q28494842", "Q28494842")</f>
        <v>0</v>
      </c>
      <c r="G13041" t="s">
        <v>5150</v>
      </c>
      <c r="H13041" t="s">
        <v>9270</v>
      </c>
      <c r="I13041" t="s">
        <v>6495</v>
      </c>
      <c r="J13041" t="s">
        <v>15481</v>
      </c>
      <c r="K13041" t="s">
        <v>19857</v>
      </c>
      <c r="M13041">
        <f>HYPERLINK("https://www.senat.fr/senateur-3eme-republique/dauzier_louis0363r3.html", "dauzier_louis0363r3")</f>
        <v>0</v>
      </c>
      <c r="N13041">
        <f>HYPERLINK("https://www.wikidata.org/wiki/Q3261660", "Q3261660")</f>
        <v>0</v>
      </c>
      <c r="O13041" t="s">
        <v>19966</v>
      </c>
      <c r="Q13041" t="s">
        <v>405</v>
      </c>
      <c r="R13041" t="s">
        <v>21712</v>
      </c>
      <c r="S13041">
        <v>3368</v>
      </c>
    </row>
    <row r="13042" spans="1:19">
      <c r="A13042" t="s">
        <v>144</v>
      </c>
      <c r="B13042" t="s">
        <v>150</v>
      </c>
      <c r="C13042" t="s">
        <v>276</v>
      </c>
      <c r="D13042" t="s">
        <v>405</v>
      </c>
      <c r="F13042">
        <f>HYPERLINK("https://www.wikidata.org/wiki/Q28494842", "Q28494842")</f>
        <v>0</v>
      </c>
      <c r="G13042" t="s">
        <v>5140</v>
      </c>
      <c r="H13042" t="s">
        <v>8568</v>
      </c>
      <c r="I13042" t="s">
        <v>9523</v>
      </c>
      <c r="J13042" t="s">
        <v>15547</v>
      </c>
      <c r="K13042" t="s">
        <v>19848</v>
      </c>
      <c r="M13042">
        <f>HYPERLINK("https://www.senat.fr/senateur-3eme-republique/michel_marcel0657r3.html", "michel_marcel0657r3")</f>
        <v>0</v>
      </c>
      <c r="N13042">
        <f>HYPERLINK("https://www.wikidata.org/wiki/Q3289228", "Q3289228")</f>
        <v>0</v>
      </c>
      <c r="O13042" t="s">
        <v>20010</v>
      </c>
      <c r="Q13042" t="s">
        <v>405</v>
      </c>
      <c r="R13042" t="s">
        <v>21705</v>
      </c>
      <c r="S13042">
        <v>85</v>
      </c>
    </row>
    <row r="13043" spans="1:19">
      <c r="A13043" t="s">
        <v>144</v>
      </c>
      <c r="B13043" t="s">
        <v>150</v>
      </c>
      <c r="C13043" t="s">
        <v>276</v>
      </c>
      <c r="D13043" t="s">
        <v>405</v>
      </c>
      <c r="F13043">
        <f>HYPERLINK("https://www.wikidata.org/wiki/Q28494842", "Q28494842")</f>
        <v>0</v>
      </c>
      <c r="G13043" t="s">
        <v>5090</v>
      </c>
      <c r="H13043" t="s">
        <v>9219</v>
      </c>
      <c r="I13043" t="s">
        <v>9388</v>
      </c>
      <c r="J13043" t="s">
        <v>15504</v>
      </c>
      <c r="K13043" t="s">
        <v>19807</v>
      </c>
      <c r="M13043">
        <f>HYPERLINK("https://www.senat.fr/senateur-3eme-republique/bouvart_paul0778r3.html", "bouvart_paul0778r3")</f>
        <v>0</v>
      </c>
      <c r="N13043">
        <f>HYPERLINK("https://www.wikidata.org/wiki/Q3370719", "Q3370719")</f>
        <v>0</v>
      </c>
      <c r="O13043" t="s">
        <v>19971</v>
      </c>
      <c r="Q13043" t="s">
        <v>405</v>
      </c>
      <c r="R13043" t="s">
        <v>21705</v>
      </c>
      <c r="S13043">
        <v>85</v>
      </c>
    </row>
    <row r="13044" spans="1:19">
      <c r="A13044" t="s">
        <v>144</v>
      </c>
      <c r="B13044" t="s">
        <v>150</v>
      </c>
      <c r="C13044" t="s">
        <v>276</v>
      </c>
      <c r="D13044" t="s">
        <v>405</v>
      </c>
      <c r="F13044">
        <f>HYPERLINK("https://www.wikidata.org/wiki/Q28494842", "Q28494842")</f>
        <v>0</v>
      </c>
      <c r="G13044" t="s">
        <v>5107</v>
      </c>
      <c r="H13044" t="s">
        <v>9234</v>
      </c>
      <c r="I13044" t="s">
        <v>6175</v>
      </c>
      <c r="J13044" t="s">
        <v>15518</v>
      </c>
      <c r="K13044" t="s">
        <v>19819</v>
      </c>
      <c r="M13044">
        <f>HYPERLINK("https://www.senat.fr/senateur-3eme-republique/bruguier_georges0829r3.html", "bruguier_georges0829r3")</f>
        <v>0</v>
      </c>
      <c r="N13044">
        <f>HYPERLINK("https://www.wikidata.org/wiki/Q1508824", "Q1508824")</f>
        <v>0</v>
      </c>
      <c r="O13044" t="s">
        <v>20014</v>
      </c>
      <c r="Q13044" t="s">
        <v>405</v>
      </c>
      <c r="R13044" t="s">
        <v>21705</v>
      </c>
      <c r="S13044">
        <v>85</v>
      </c>
    </row>
    <row r="13045" spans="1:19">
      <c r="A13045" t="s">
        <v>144</v>
      </c>
      <c r="B13045" t="s">
        <v>150</v>
      </c>
      <c r="C13045" t="s">
        <v>276</v>
      </c>
      <c r="D13045" t="s">
        <v>405</v>
      </c>
      <c r="F13045">
        <f>HYPERLINK("https://www.wikidata.org/wiki/Q28494842", "Q28494842")</f>
        <v>0</v>
      </c>
      <c r="G13045" t="s">
        <v>5143</v>
      </c>
      <c r="H13045" t="s">
        <v>9263</v>
      </c>
      <c r="I13045" t="s">
        <v>11237</v>
      </c>
      <c r="J13045" t="s">
        <v>15550</v>
      </c>
      <c r="K13045" t="s">
        <v>19851</v>
      </c>
      <c r="M13045">
        <f>HYPERLINK("https://www.senat.fr/senateur-3eme-republique/benard_leonus0852r3.html", "benard_leonus0852r3")</f>
        <v>0</v>
      </c>
      <c r="N13045">
        <f>HYPERLINK("https://www.wikidata.org/wiki/Q3271752", "Q3271752")</f>
        <v>0</v>
      </c>
      <c r="O13045" t="s">
        <v>19963</v>
      </c>
      <c r="Q13045" t="s">
        <v>21298</v>
      </c>
      <c r="R13045" t="s">
        <v>21705</v>
      </c>
      <c r="S13045">
        <v>78</v>
      </c>
    </row>
    <row r="13046" spans="1:19">
      <c r="A13046" t="s">
        <v>144</v>
      </c>
      <c r="B13046" t="s">
        <v>150</v>
      </c>
      <c r="C13046" t="s">
        <v>276</v>
      </c>
      <c r="D13046" t="s">
        <v>405</v>
      </c>
      <c r="F13046">
        <f>HYPERLINK("https://www.wikidata.org/wiki/Q28494842", "Q28494842")</f>
        <v>0</v>
      </c>
      <c r="G13046" t="s">
        <v>1152</v>
      </c>
      <c r="H13046" t="s">
        <v>5887</v>
      </c>
      <c r="I13046" t="s">
        <v>9680</v>
      </c>
      <c r="J13046" t="s">
        <v>11886</v>
      </c>
      <c r="K13046" t="s">
        <v>16287</v>
      </c>
      <c r="L13046">
        <f>HYPERLINK("https://www2.assemblee-nationale.fr/sycomore/fiche/(num_dept)/662", "662")</f>
        <v>0</v>
      </c>
      <c r="M13046">
        <f>HYPERLINK("https://www.senat.fr/senateur-3eme-republique/bergeon_benoit0324r3.html", "bergeon_benoit0324r3")</f>
        <v>0</v>
      </c>
      <c r="N13046">
        <f>HYPERLINK("https://www.wikidata.org/wiki/Q818101", "Q818101")</f>
        <v>0</v>
      </c>
      <c r="O13046" t="s">
        <v>19990</v>
      </c>
      <c r="Q13046" t="s">
        <v>16590</v>
      </c>
      <c r="R13046" t="s">
        <v>21650</v>
      </c>
      <c r="S13046">
        <v>5759</v>
      </c>
    </row>
    <row r="13047" spans="1:19">
      <c r="A13047" t="s">
        <v>144</v>
      </c>
      <c r="B13047" t="s">
        <v>150</v>
      </c>
      <c r="C13047" t="s">
        <v>276</v>
      </c>
      <c r="D13047" t="s">
        <v>405</v>
      </c>
      <c r="F13047">
        <f>HYPERLINK("https://www.wikidata.org/wiki/Q28494842", "Q28494842")</f>
        <v>0</v>
      </c>
      <c r="G13047" t="s">
        <v>530</v>
      </c>
      <c r="H13047" t="s">
        <v>5294</v>
      </c>
      <c r="I13047" t="s">
        <v>6166</v>
      </c>
      <c r="J13047" t="s">
        <v>11282</v>
      </c>
      <c r="K13047" t="s">
        <v>15682</v>
      </c>
      <c r="L13047">
        <f>HYPERLINK("https://www2.assemblee-nationale.fr/sycomore/fiche/(num_dept)/818", "818")</f>
        <v>0</v>
      </c>
      <c r="M13047">
        <f>HYPERLINK("https://www.senat.fr/senateur-3eme-republique/binet_francois0648r3.html", "binet_francois0648r3")</f>
        <v>0</v>
      </c>
      <c r="N13047">
        <f>HYPERLINK("https://www.wikidata.org/wiki/Q15973693", "Q15973693")</f>
        <v>0</v>
      </c>
      <c r="O13047" t="s">
        <v>19979</v>
      </c>
      <c r="Q13047" t="s">
        <v>16590</v>
      </c>
      <c r="R13047" t="s">
        <v>15682</v>
      </c>
      <c r="S13047">
        <v>322</v>
      </c>
    </row>
    <row r="13048" spans="1:19">
      <c r="A13048" t="s">
        <v>144</v>
      </c>
      <c r="B13048" t="s">
        <v>150</v>
      </c>
      <c r="C13048" t="s">
        <v>276</v>
      </c>
      <c r="D13048" t="s">
        <v>405</v>
      </c>
      <c r="F13048">
        <f>HYPERLINK("https://www.wikidata.org/wiki/Q28494842", "Q28494842")</f>
        <v>0</v>
      </c>
      <c r="G13048" t="s">
        <v>1726</v>
      </c>
      <c r="H13048" t="s">
        <v>6400</v>
      </c>
      <c r="I13048" t="s">
        <v>6200</v>
      </c>
      <c r="J13048" t="s">
        <v>12427</v>
      </c>
      <c r="K13048" t="s">
        <v>16835</v>
      </c>
      <c r="L13048">
        <f>HYPERLINK("https://www2.assemblee-nationale.fr/sycomore/fiche/(num_dept)/990", "990")</f>
        <v>0</v>
      </c>
      <c r="M13048">
        <f>HYPERLINK("https://www.senat.fr/senateur-3eme-republique/bosc_jean0822r3.html", "bosc_jean0822r3")</f>
        <v>0</v>
      </c>
      <c r="N13048">
        <f>HYPERLINK("https://www.wikidata.org/wiki/Q1685388", "Q1685388")</f>
        <v>0</v>
      </c>
      <c r="O13048" t="s">
        <v>20014</v>
      </c>
      <c r="Q13048" t="s">
        <v>16590</v>
      </c>
      <c r="R13048" t="s">
        <v>21650</v>
      </c>
      <c r="S13048">
        <v>5759</v>
      </c>
    </row>
    <row r="13049" spans="1:19">
      <c r="A13049" t="s">
        <v>144</v>
      </c>
      <c r="B13049" t="s">
        <v>150</v>
      </c>
      <c r="C13049" t="s">
        <v>276</v>
      </c>
      <c r="D13049" t="s">
        <v>405</v>
      </c>
      <c r="F13049">
        <f>HYPERLINK("https://www.wikidata.org/wiki/Q28494842", "Q28494842")</f>
        <v>0</v>
      </c>
      <c r="G13049" t="s">
        <v>904</v>
      </c>
      <c r="H13049" t="s">
        <v>5660</v>
      </c>
      <c r="I13049" t="s">
        <v>9583</v>
      </c>
      <c r="J13049" t="s">
        <v>11649</v>
      </c>
      <c r="K13049" t="s">
        <v>16048</v>
      </c>
      <c r="L13049">
        <f>HYPERLINK("https://www2.assemblee-nationale.fr/sycomore/fiche/(num_dept)/1634", "1634")</f>
        <v>0</v>
      </c>
      <c r="M13049">
        <f>HYPERLINK("https://www.senat.fr/senateur-3eme-republique/chanal_jean0017r3.html", "chanal_jean0017r3")</f>
        <v>0</v>
      </c>
      <c r="N13049">
        <f>HYPERLINK("https://www.wikidata.org/wiki/Q3059763", "Q3059763")</f>
        <v>0</v>
      </c>
      <c r="O13049" t="s">
        <v>19986</v>
      </c>
      <c r="Q13049" t="s">
        <v>16590</v>
      </c>
      <c r="R13049" t="s">
        <v>21712</v>
      </c>
      <c r="S13049">
        <v>3282</v>
      </c>
    </row>
    <row r="13050" spans="1:19">
      <c r="A13050" t="s">
        <v>144</v>
      </c>
      <c r="B13050" t="s">
        <v>150</v>
      </c>
      <c r="C13050" t="s">
        <v>276</v>
      </c>
      <c r="D13050" t="s">
        <v>405</v>
      </c>
      <c r="F13050">
        <f>HYPERLINK("https://www.wikidata.org/wiki/Q28494842", "Q28494842")</f>
        <v>0</v>
      </c>
      <c r="G13050" t="s">
        <v>576</v>
      </c>
      <c r="H13050" t="s">
        <v>5338</v>
      </c>
      <c r="I13050" t="s">
        <v>6478</v>
      </c>
      <c r="J13050" t="s">
        <v>11327</v>
      </c>
      <c r="K13050" t="s">
        <v>15728</v>
      </c>
      <c r="L13050">
        <f>HYPERLINK("https://www2.assemblee-nationale.fr/sycomore/fiche/(num_dept)/1768", "1768")</f>
        <v>0</v>
      </c>
      <c r="M13050">
        <f>HYPERLINK("https://www.senat.fr/senateur-3eme-republique/cheron_henry0337r3.html", "cheron_henry0337r3")</f>
        <v>0</v>
      </c>
      <c r="N13050">
        <f>HYPERLINK("https://www.wikidata.org/wiki/Q3132698", "Q3132698")</f>
        <v>0</v>
      </c>
      <c r="O13050" t="s">
        <v>20009</v>
      </c>
      <c r="Q13050" t="s">
        <v>16590</v>
      </c>
      <c r="R13050" t="s">
        <v>21650</v>
      </c>
      <c r="S13050">
        <v>5759</v>
      </c>
    </row>
    <row r="13051" spans="1:19">
      <c r="A13051" t="s">
        <v>144</v>
      </c>
      <c r="B13051" t="s">
        <v>150</v>
      </c>
      <c r="C13051" t="s">
        <v>276</v>
      </c>
      <c r="D13051" t="s">
        <v>405</v>
      </c>
      <c r="F13051">
        <f>HYPERLINK("https://www.wikidata.org/wiki/Q28494842", "Q28494842")</f>
        <v>0</v>
      </c>
      <c r="G13051" t="s">
        <v>1417</v>
      </c>
      <c r="H13051" t="s">
        <v>6123</v>
      </c>
      <c r="I13051" t="s">
        <v>9407</v>
      </c>
      <c r="J13051" t="s">
        <v>12141</v>
      </c>
      <c r="K13051" t="s">
        <v>16543</v>
      </c>
      <c r="L13051">
        <f>HYPERLINK("https://www2.assemblee-nationale.fr/sycomore/fiche/(num_dept)/2003", "2003")</f>
        <v>0</v>
      </c>
      <c r="M13051">
        <f>HYPERLINK("https://www.senat.fr/senateur-3eme-republique/coucoureux_joseph0296r3.html", "coucoureux_joseph0296r3")</f>
        <v>0</v>
      </c>
      <c r="N13051">
        <f>HYPERLINK("https://www.wikidata.org/wiki/Q3184791", "Q3184791")</f>
        <v>0</v>
      </c>
      <c r="O13051" t="s">
        <v>19967</v>
      </c>
      <c r="Q13051" t="s">
        <v>16590</v>
      </c>
      <c r="R13051" t="s">
        <v>21712</v>
      </c>
      <c r="S13051">
        <v>3282</v>
      </c>
    </row>
    <row r="13052" spans="1:19">
      <c r="A13052" t="s">
        <v>144</v>
      </c>
      <c r="B13052" t="s">
        <v>150</v>
      </c>
      <c r="C13052" t="s">
        <v>276</v>
      </c>
      <c r="D13052" t="s">
        <v>405</v>
      </c>
      <c r="F13052">
        <f>HYPERLINK("https://www.wikidata.org/wiki/Q28494842", "Q28494842")</f>
        <v>0</v>
      </c>
      <c r="G13052" t="s">
        <v>1105</v>
      </c>
      <c r="H13052" t="s">
        <v>5846</v>
      </c>
      <c r="I13052" t="s">
        <v>6200</v>
      </c>
      <c r="J13052" t="s">
        <v>11840</v>
      </c>
      <c r="K13052" t="s">
        <v>16241</v>
      </c>
      <c r="L13052">
        <f>HYPERLINK("https://www2.assemblee-nationale.fr/sycomore/fiche/(num_dept)/2060", "2060")</f>
        <v>0</v>
      </c>
      <c r="M13052">
        <f>HYPERLINK("https://www.senat.fr/senateur-3eme-republique/coyrard_jean0408r3.html", "coyrard_jean0408r3")</f>
        <v>0</v>
      </c>
      <c r="N13052">
        <f>HYPERLINK("https://www.wikidata.org/wiki/Q3171480", "Q3171480")</f>
        <v>0</v>
      </c>
      <c r="O13052" t="s">
        <v>20037</v>
      </c>
      <c r="Q13052" t="s">
        <v>16590</v>
      </c>
      <c r="R13052" t="s">
        <v>21650</v>
      </c>
      <c r="S13052">
        <v>5759</v>
      </c>
    </row>
    <row r="13053" spans="1:19">
      <c r="A13053" t="s">
        <v>144</v>
      </c>
      <c r="B13053" t="s">
        <v>150</v>
      </c>
      <c r="C13053" t="s">
        <v>276</v>
      </c>
      <c r="D13053" t="s">
        <v>405</v>
      </c>
      <c r="F13053">
        <f>HYPERLINK("https://www.wikidata.org/wiki/Q28494842", "Q28494842")</f>
        <v>0</v>
      </c>
      <c r="G13053" t="s">
        <v>1435</v>
      </c>
      <c r="H13053" t="s">
        <v>5686</v>
      </c>
      <c r="I13053" t="s">
        <v>9385</v>
      </c>
      <c r="J13053" t="s">
        <v>11756</v>
      </c>
      <c r="K13053" t="s">
        <v>16561</v>
      </c>
      <c r="L13053">
        <f>HYPERLINK("https://www2.assemblee-nationale.fr/sycomore/fiche/(num_dept)/2441", "2441")</f>
        <v>0</v>
      </c>
      <c r="M13053">
        <f>HYPERLINK("https://www.senat.fr/senateur-3eme-republique/desjardins_charles0031r3.html", "desjardins_charles0031r3")</f>
        <v>0</v>
      </c>
      <c r="N13053">
        <f>HYPERLINK("https://www.wikidata.org/wiki/Q2958888", "Q2958888")</f>
        <v>0</v>
      </c>
      <c r="O13053" t="s">
        <v>20015</v>
      </c>
      <c r="Q13053" t="s">
        <v>16590</v>
      </c>
      <c r="R13053" t="s">
        <v>21712</v>
      </c>
      <c r="S13053">
        <v>3282</v>
      </c>
    </row>
    <row r="13054" spans="1:19">
      <c r="A13054" t="s">
        <v>144</v>
      </c>
      <c r="B13054" t="s">
        <v>150</v>
      </c>
      <c r="C13054" t="s">
        <v>276</v>
      </c>
      <c r="D13054" t="s">
        <v>405</v>
      </c>
      <c r="F13054">
        <f>HYPERLINK("https://www.wikidata.org/wiki/Q28494842", "Q28494842")</f>
        <v>0</v>
      </c>
      <c r="G13054" t="s">
        <v>620</v>
      </c>
      <c r="H13054" t="s">
        <v>5380</v>
      </c>
      <c r="I13054" t="s">
        <v>9458</v>
      </c>
      <c r="J13054" t="s">
        <v>11370</v>
      </c>
      <c r="K13054" t="s">
        <v>15772</v>
      </c>
      <c r="L13054">
        <f>HYPERLINK("https://www2.assemblee-nationale.fr/sycomore/fiche/(num_dept)/2546", "2546")</f>
        <v>0</v>
      </c>
      <c r="M13054">
        <f>HYPERLINK("https://www.senat.fr/senateur-3eme-republique/donadei_alfred0125r3.html", "donadei_alfred0125r3")</f>
        <v>0</v>
      </c>
      <c r="N13054">
        <f>HYPERLINK("https://www.wikidata.org/wiki/Q2835074", "Q2835074")</f>
        <v>0</v>
      </c>
      <c r="O13054" t="s">
        <v>20024</v>
      </c>
      <c r="Q13054" t="s">
        <v>16590</v>
      </c>
      <c r="R13054" t="s">
        <v>15772</v>
      </c>
      <c r="S13054">
        <v>1232</v>
      </c>
    </row>
    <row r="13055" spans="1:19">
      <c r="A13055" t="s">
        <v>144</v>
      </c>
      <c r="B13055" t="s">
        <v>150</v>
      </c>
      <c r="C13055" t="s">
        <v>276</v>
      </c>
      <c r="D13055" t="s">
        <v>405</v>
      </c>
      <c r="F13055">
        <f>HYPERLINK("https://www.wikidata.org/wiki/Q28494842", "Q28494842")</f>
        <v>0</v>
      </c>
      <c r="G13055" t="s">
        <v>3381</v>
      </c>
      <c r="H13055" t="s">
        <v>7773</v>
      </c>
      <c r="I13055" t="s">
        <v>9388</v>
      </c>
      <c r="J13055" t="s">
        <v>13991</v>
      </c>
      <c r="K13055" t="s">
        <v>18361</v>
      </c>
      <c r="L13055">
        <f>HYPERLINK("https://www2.assemblee-nationale.fr/sycomore/fiche/(num_dept)/2569", "2569")</f>
        <v>0</v>
      </c>
      <c r="M13055">
        <f>HYPERLINK("https://www.senat.fr/senateur-3eme-republique/doumer_paul0473r3.html", "doumer_paul0473r3")</f>
        <v>0</v>
      </c>
      <c r="N13055">
        <f>HYPERLINK("https://www.wikidata.org/wiki/Q12680", "Q12680")</f>
        <v>0</v>
      </c>
      <c r="O13055" t="s">
        <v>19955</v>
      </c>
      <c r="Q13055" t="s">
        <v>16590</v>
      </c>
      <c r="R13055" t="s">
        <v>21650</v>
      </c>
      <c r="S13055">
        <v>5759</v>
      </c>
    </row>
    <row r="13056" spans="1:19">
      <c r="A13056" t="s">
        <v>144</v>
      </c>
      <c r="B13056" t="s">
        <v>150</v>
      </c>
      <c r="C13056" t="s">
        <v>276</v>
      </c>
      <c r="D13056" t="s">
        <v>405</v>
      </c>
      <c r="F13056">
        <f>HYPERLINK("https://www.wikidata.org/wiki/Q28494842", "Q28494842")</f>
        <v>0</v>
      </c>
      <c r="G13056" t="s">
        <v>942</v>
      </c>
      <c r="H13056" t="s">
        <v>5698</v>
      </c>
      <c r="I13056" t="s">
        <v>9449</v>
      </c>
      <c r="J13056" t="s">
        <v>11683</v>
      </c>
      <c r="K13056" t="s">
        <v>16084</v>
      </c>
      <c r="L13056">
        <f>HYPERLINK("https://www2.assemblee-nationale.fr/sycomore/fiche/(num_dept)/2651", "2651")</f>
        <v>0</v>
      </c>
      <c r="M13056">
        <f>HYPERLINK("https://www.senat.fr/senateur-3eme-republique/duclaux_monteil_jules0135r3.html", "duclaux_monteil_jules0135r3")</f>
        <v>0</v>
      </c>
      <c r="N13056">
        <f>HYPERLINK("https://www.wikidata.org/wiki/Q3188550", "Q3188550")</f>
        <v>0</v>
      </c>
      <c r="O13056" t="s">
        <v>19991</v>
      </c>
      <c r="Q13056" t="s">
        <v>16590</v>
      </c>
      <c r="R13056" t="s">
        <v>21712</v>
      </c>
      <c r="S13056">
        <v>3282</v>
      </c>
    </row>
    <row r="13057" spans="1:19">
      <c r="A13057" t="s">
        <v>144</v>
      </c>
      <c r="B13057" t="s">
        <v>150</v>
      </c>
      <c r="C13057" t="s">
        <v>276</v>
      </c>
      <c r="D13057" t="s">
        <v>405</v>
      </c>
      <c r="F13057">
        <f>HYPERLINK("https://www.wikidata.org/wiki/Q28494842", "Q28494842")</f>
        <v>0</v>
      </c>
      <c r="G13057" t="s">
        <v>628</v>
      </c>
      <c r="H13057" t="s">
        <v>5388</v>
      </c>
      <c r="I13057" t="s">
        <v>6200</v>
      </c>
      <c r="J13057" t="s">
        <v>11378</v>
      </c>
      <c r="K13057" t="s">
        <v>15780</v>
      </c>
      <c r="L13057">
        <f>HYPERLINK("https://www2.assemblee-nationale.fr/sycomore/fiche/(num_dept)/2757", "2757")</f>
        <v>0</v>
      </c>
      <c r="M13057">
        <f>HYPERLINK("https://www.senat.fr/senateur-3eme-republique/durand_jean0270r3.html", "durand_jean0270r3")</f>
        <v>0</v>
      </c>
      <c r="N13057">
        <f>HYPERLINK("https://www.wikidata.org/wiki/Q3171885", "Q3171885")</f>
        <v>0</v>
      </c>
      <c r="O13057" t="s">
        <v>19960</v>
      </c>
      <c r="Q13057" t="s">
        <v>16590</v>
      </c>
      <c r="R13057" t="s">
        <v>21650</v>
      </c>
      <c r="S13057">
        <v>5759</v>
      </c>
    </row>
    <row r="13058" spans="1:19">
      <c r="A13058" t="s">
        <v>144</v>
      </c>
      <c r="B13058" t="s">
        <v>150</v>
      </c>
      <c r="C13058" t="s">
        <v>276</v>
      </c>
      <c r="D13058" t="s">
        <v>405</v>
      </c>
      <c r="F13058">
        <f>HYPERLINK("https://www.wikidata.org/wiki/Q28494842", "Q28494842")</f>
        <v>0</v>
      </c>
      <c r="G13058" t="s">
        <v>953</v>
      </c>
      <c r="H13058" t="s">
        <v>5705</v>
      </c>
      <c r="I13058" t="s">
        <v>6860</v>
      </c>
      <c r="J13058" t="s">
        <v>11694</v>
      </c>
      <c r="K13058" t="s">
        <v>16095</v>
      </c>
      <c r="L13058">
        <f>HYPERLINK("https://www2.assemblee-nationale.fr/sycomore/fiche/(num_dept)/2866", "2866")</f>
        <v>0</v>
      </c>
      <c r="M13058">
        <f>HYPERLINK("https://www.senat.fr/senateur-3eme-republique/even_pierre0579r3.html", "even_pierre0579r3")</f>
        <v>0</v>
      </c>
      <c r="N13058">
        <f>HYPERLINK("https://www.wikidata.org/wiki/Q3384931", "Q3384931")</f>
        <v>0</v>
      </c>
      <c r="O13058" t="s">
        <v>19964</v>
      </c>
      <c r="Q13058" t="s">
        <v>16590</v>
      </c>
      <c r="R13058" t="s">
        <v>21712</v>
      </c>
      <c r="S13058">
        <v>3282</v>
      </c>
    </row>
    <row r="13059" spans="1:19">
      <c r="A13059" t="s">
        <v>144</v>
      </c>
      <c r="B13059" t="s">
        <v>150</v>
      </c>
      <c r="C13059" t="s">
        <v>276</v>
      </c>
      <c r="D13059" t="s">
        <v>405</v>
      </c>
      <c r="F13059">
        <f>HYPERLINK("https://www.wikidata.org/wiki/Q28494842", "Q28494842")</f>
        <v>0</v>
      </c>
      <c r="G13059" t="s">
        <v>1793</v>
      </c>
      <c r="H13059" t="s">
        <v>6460</v>
      </c>
      <c r="I13059" t="s">
        <v>6175</v>
      </c>
      <c r="J13059" t="s">
        <v>12488</v>
      </c>
      <c r="K13059" t="s">
        <v>16898</v>
      </c>
      <c r="L13059">
        <f>HYPERLINK("https://www2.assemblee-nationale.fr/sycomore/fiche/(num_dept)/2918", "2918")</f>
        <v>0</v>
      </c>
      <c r="M13059">
        <f>HYPERLINK("https://www.senat.fr/senateur-3eme-republique/faugere_georges0669r3.html", "faugere_georges0669r3")</f>
        <v>0</v>
      </c>
      <c r="N13059">
        <f>HYPERLINK("https://www.wikidata.org/wiki/Q3102698", "Q3102698")</f>
        <v>0</v>
      </c>
      <c r="O13059" t="s">
        <v>20010</v>
      </c>
      <c r="Q13059" t="s">
        <v>16590</v>
      </c>
      <c r="R13059" t="s">
        <v>16898</v>
      </c>
      <c r="S13059">
        <v>2410</v>
      </c>
    </row>
    <row r="13060" spans="1:19">
      <c r="A13060" t="s">
        <v>144</v>
      </c>
      <c r="B13060" t="s">
        <v>150</v>
      </c>
      <c r="C13060" t="s">
        <v>276</v>
      </c>
      <c r="D13060" t="s">
        <v>405</v>
      </c>
      <c r="F13060">
        <f>HYPERLINK("https://www.wikidata.org/wiki/Q28494842", "Q28494842")</f>
        <v>0</v>
      </c>
      <c r="G13060" t="s">
        <v>1470</v>
      </c>
      <c r="H13060" t="s">
        <v>6169</v>
      </c>
      <c r="I13060" t="s">
        <v>6158</v>
      </c>
      <c r="J13060" t="s">
        <v>12189</v>
      </c>
      <c r="K13060" t="s">
        <v>16595</v>
      </c>
      <c r="L13060">
        <f>HYPERLINK("https://www2.assemblee-nationale.fr/sycomore/fiche/(num_dept)/3193", "3193")</f>
        <v>0</v>
      </c>
      <c r="M13060">
        <f>HYPERLINK("https://www.senat.fr/senateur-3eme-republique/gadaud_felix0673r3.html", "gadaud_felix0673r3")</f>
        <v>0</v>
      </c>
      <c r="N13060">
        <f>HYPERLINK("https://www.wikidata.org/wiki/Q3092440", "Q3092440")</f>
        <v>0</v>
      </c>
      <c r="O13060" t="s">
        <v>20010</v>
      </c>
      <c r="Q13060" t="s">
        <v>16590</v>
      </c>
      <c r="R13060" t="s">
        <v>21712</v>
      </c>
      <c r="S13060">
        <v>3282</v>
      </c>
    </row>
    <row r="13061" spans="1:19">
      <c r="A13061" t="s">
        <v>144</v>
      </c>
      <c r="B13061" t="s">
        <v>150</v>
      </c>
      <c r="C13061" t="s">
        <v>276</v>
      </c>
      <c r="D13061" t="s">
        <v>405</v>
      </c>
      <c r="F13061">
        <f>HYPERLINK("https://www.wikidata.org/wiki/Q28494842", "Q28494842")</f>
        <v>0</v>
      </c>
      <c r="G13061" t="s">
        <v>1490</v>
      </c>
      <c r="H13061" t="s">
        <v>6188</v>
      </c>
      <c r="I13061" t="s">
        <v>9385</v>
      </c>
      <c r="J13061" t="s">
        <v>12209</v>
      </c>
      <c r="K13061" t="s">
        <v>16614</v>
      </c>
      <c r="L13061">
        <f>HYPERLINK("https://www2.assemblee-nationale.fr/sycomore/fiche/(num_dept)/3748", "3748")</f>
        <v>0</v>
      </c>
      <c r="M13061">
        <f>HYPERLINK("https://www.senat.fr/senateur-3eme-republique/d_harcourt_charles0350r3.html", "d_harcourt_charles0350r3")</f>
        <v>0</v>
      </c>
      <c r="N13061">
        <f>HYPERLINK("https://www.wikidata.org/wiki/Q2960506", "Q2960506")</f>
        <v>0</v>
      </c>
      <c r="O13061" t="s">
        <v>20009</v>
      </c>
      <c r="Q13061" t="s">
        <v>16590</v>
      </c>
      <c r="R13061" t="s">
        <v>21712</v>
      </c>
      <c r="S13061">
        <v>3282</v>
      </c>
    </row>
    <row r="13062" spans="1:19">
      <c r="A13062" t="s">
        <v>144</v>
      </c>
      <c r="B13062" t="s">
        <v>150</v>
      </c>
      <c r="C13062" t="s">
        <v>276</v>
      </c>
      <c r="D13062" t="s">
        <v>405</v>
      </c>
      <c r="F13062">
        <f>HYPERLINK("https://www.wikidata.org/wiki/Q28494842", "Q28494842")</f>
        <v>0</v>
      </c>
      <c r="G13062" t="s">
        <v>681</v>
      </c>
      <c r="H13062" t="s">
        <v>5440</v>
      </c>
      <c r="I13062" t="s">
        <v>9478</v>
      </c>
      <c r="J13062" t="s">
        <v>11431</v>
      </c>
      <c r="K13062" t="s">
        <v>15832</v>
      </c>
      <c r="L13062">
        <f>HYPERLINK("https://www2.assemblee-nationale.fr/sycomore/fiche/(num_dept)/3794", "3794")</f>
        <v>0</v>
      </c>
      <c r="M13062">
        <f>HYPERLINK("https://www.senat.fr/senateur-3eme-republique/hennessy_james0392r3.html", "hennessy_james0392r3")</f>
        <v>0</v>
      </c>
      <c r="N13062">
        <f>HYPERLINK("https://www.wikidata.org/wiki/Q3161145", "Q3161145")</f>
        <v>0</v>
      </c>
      <c r="O13062" t="s">
        <v>20031</v>
      </c>
      <c r="Q13062" t="s">
        <v>16590</v>
      </c>
      <c r="R13062" t="s">
        <v>21712</v>
      </c>
      <c r="S13062">
        <v>3282</v>
      </c>
    </row>
    <row r="13063" spans="1:19">
      <c r="A13063" t="s">
        <v>144</v>
      </c>
      <c r="B13063" t="s">
        <v>150</v>
      </c>
      <c r="C13063" t="s">
        <v>276</v>
      </c>
      <c r="D13063" t="s">
        <v>405</v>
      </c>
      <c r="F13063">
        <f>HYPERLINK("https://www.wikidata.org/wiki/Q28494842", "Q28494842")</f>
        <v>0</v>
      </c>
      <c r="G13063" t="s">
        <v>686</v>
      </c>
      <c r="H13063" t="s">
        <v>5444</v>
      </c>
      <c r="I13063" t="s">
        <v>6585</v>
      </c>
      <c r="J13063" t="s">
        <v>11436</v>
      </c>
      <c r="K13063" t="s">
        <v>15837</v>
      </c>
      <c r="L13063">
        <f>HYPERLINK("https://www2.assemblee-nationale.fr/sycomore/fiche/(num_dept)/3859", "3859")</f>
        <v>0</v>
      </c>
      <c r="M13063">
        <f>HYPERLINK("https://www.senat.fr/senateur-3eme-republique/honnorat_andre0070r3.html", "honnorat_andre0070r3")</f>
        <v>0</v>
      </c>
      <c r="N13063">
        <f>HYPERLINK("https://www.wikidata.org/wiki/Q23762", "Q23762")</f>
        <v>0</v>
      </c>
      <c r="O13063" t="s">
        <v>20033</v>
      </c>
      <c r="Q13063" t="s">
        <v>16590</v>
      </c>
      <c r="R13063" t="s">
        <v>21712</v>
      </c>
      <c r="S13063">
        <v>3282</v>
      </c>
    </row>
    <row r="13064" spans="1:19">
      <c r="A13064" t="s">
        <v>144</v>
      </c>
      <c r="B13064" t="s">
        <v>150</v>
      </c>
      <c r="C13064" t="s">
        <v>276</v>
      </c>
      <c r="D13064" t="s">
        <v>405</v>
      </c>
      <c r="F13064">
        <f>HYPERLINK("https://www.wikidata.org/wiki/Q28494842", "Q28494842")</f>
        <v>0</v>
      </c>
      <c r="G13064" t="s">
        <v>687</v>
      </c>
      <c r="H13064" t="s">
        <v>5445</v>
      </c>
      <c r="I13064" t="s">
        <v>9455</v>
      </c>
      <c r="J13064" t="s">
        <v>11437</v>
      </c>
      <c r="K13064" t="s">
        <v>15838</v>
      </c>
      <c r="L13064">
        <f>HYPERLINK("https://www2.assemblee-nationale.fr/sycomore/fiche/(num_dept)/3885", "3885")</f>
        <v>0</v>
      </c>
      <c r="M13064">
        <f>HYPERLINK("https://www.senat.fr/senateur-3eme-republique/hubert_lucien0176r3.html", "hubert_lucien0176r3")</f>
        <v>0</v>
      </c>
      <c r="N13064">
        <f>HYPERLINK("https://www.wikidata.org/wiki/Q2117075", "Q2117075")</f>
        <v>0</v>
      </c>
      <c r="O13064" t="s">
        <v>19959</v>
      </c>
      <c r="Q13064" t="s">
        <v>16590</v>
      </c>
      <c r="R13064" t="s">
        <v>21650</v>
      </c>
      <c r="S13064">
        <v>5759</v>
      </c>
    </row>
    <row r="13065" spans="1:19">
      <c r="A13065" t="s">
        <v>144</v>
      </c>
      <c r="B13065" t="s">
        <v>150</v>
      </c>
      <c r="C13065" t="s">
        <v>276</v>
      </c>
      <c r="D13065" t="s">
        <v>405</v>
      </c>
      <c r="F13065">
        <f>HYPERLINK("https://www.wikidata.org/wiki/Q28494842", "Q28494842")</f>
        <v>0</v>
      </c>
      <c r="G13065" t="s">
        <v>1498</v>
      </c>
      <c r="H13065" t="s">
        <v>6196</v>
      </c>
      <c r="I13065" t="s">
        <v>9553</v>
      </c>
      <c r="J13065" t="s">
        <v>12216</v>
      </c>
      <c r="K13065" t="s">
        <v>16621</v>
      </c>
      <c r="L13065">
        <f>HYPERLINK("https://www2.assemblee-nationale.fr/sycomore/fiche/(num_dept)/3948", "3948")</f>
        <v>0</v>
      </c>
      <c r="M13065">
        <f>HYPERLINK("https://www.senat.fr/senateur-3eme-republique/israel_alexandre0223r3.html", "israel_alexandre0223r3")</f>
        <v>0</v>
      </c>
      <c r="N13065">
        <f>HYPERLINK("https://www.wikidata.org/wiki/Q2833756", "Q2833756")</f>
        <v>0</v>
      </c>
      <c r="O13065" t="s">
        <v>8449</v>
      </c>
      <c r="Q13065" t="s">
        <v>16590</v>
      </c>
      <c r="R13065" t="s">
        <v>21650</v>
      </c>
      <c r="S13065">
        <v>5759</v>
      </c>
    </row>
    <row r="13066" spans="1:19">
      <c r="A13066" t="s">
        <v>144</v>
      </c>
      <c r="B13066" t="s">
        <v>150</v>
      </c>
      <c r="C13066" t="s">
        <v>276</v>
      </c>
      <c r="D13066" t="s">
        <v>405</v>
      </c>
      <c r="F13066">
        <f>HYPERLINK("https://www.wikidata.org/wiki/Q28494842", "Q28494842")</f>
        <v>0</v>
      </c>
      <c r="G13066" t="s">
        <v>694</v>
      </c>
      <c r="H13066" t="s">
        <v>5452</v>
      </c>
      <c r="I13066" t="s">
        <v>9483</v>
      </c>
      <c r="J13066" t="s">
        <v>11444</v>
      </c>
      <c r="K13066" t="s">
        <v>15845</v>
      </c>
      <c r="L13066">
        <f>HYPERLINK("https://www2.assemblee-nationale.fr/sycomore/fiche/(num_dept)/4086", "4086")</f>
        <v>0</v>
      </c>
      <c r="M13066">
        <f>HYPERLINK("https://www.senat.fr/senateur-3eme-republique/judet_victor0628r3.html", "judet_victor0628r3")</f>
        <v>0</v>
      </c>
      <c r="N13066">
        <f>HYPERLINK("https://www.wikidata.org/wiki/Q2398706", "Q2398706")</f>
        <v>0</v>
      </c>
      <c r="O13066" t="s">
        <v>19979</v>
      </c>
      <c r="Q13066" t="s">
        <v>16590</v>
      </c>
      <c r="R13066" t="s">
        <v>21650</v>
      </c>
      <c r="S13066">
        <v>5759</v>
      </c>
    </row>
    <row r="13067" spans="1:19">
      <c r="A13067" t="s">
        <v>144</v>
      </c>
      <c r="B13067" t="s">
        <v>150</v>
      </c>
      <c r="C13067" t="s">
        <v>276</v>
      </c>
      <c r="D13067" t="s">
        <v>405</v>
      </c>
      <c r="F13067">
        <f>HYPERLINK("https://www.wikidata.org/wiki/Q28494842", "Q28494842")</f>
        <v>0</v>
      </c>
      <c r="G13067" t="s">
        <v>695</v>
      </c>
      <c r="H13067" t="s">
        <v>5453</v>
      </c>
      <c r="I13067" t="s">
        <v>9421</v>
      </c>
      <c r="J13067" t="s">
        <v>11445</v>
      </c>
      <c r="K13067" t="s">
        <v>15846</v>
      </c>
      <c r="L13067">
        <f>HYPERLINK("https://www2.assemblee-nationale.fr/sycomore/fiche/(num_dept)/4128", "4128")</f>
        <v>0</v>
      </c>
      <c r="M13067">
        <f>HYPERLINK("https://www.senat.fr/senateur-3eme-republique/de_kerguezec_gustave0567r3.html", "de_kerguezec_gustave0567r3")</f>
        <v>0</v>
      </c>
      <c r="N13067">
        <f>HYPERLINK("https://www.wikidata.org/wiki/Q3121362", "Q3121362")</f>
        <v>0</v>
      </c>
      <c r="O13067" t="s">
        <v>19964</v>
      </c>
      <c r="Q13067" t="s">
        <v>16590</v>
      </c>
      <c r="R13067" t="s">
        <v>21650</v>
      </c>
      <c r="S13067">
        <v>5759</v>
      </c>
    </row>
    <row r="13068" spans="1:19">
      <c r="A13068" t="s">
        <v>144</v>
      </c>
      <c r="B13068" t="s">
        <v>150</v>
      </c>
      <c r="C13068" t="s">
        <v>276</v>
      </c>
      <c r="D13068" t="s">
        <v>405</v>
      </c>
      <c r="F13068">
        <f>HYPERLINK("https://www.wikidata.org/wiki/Q28494842", "Q28494842")</f>
        <v>0</v>
      </c>
      <c r="G13068" t="s">
        <v>1267</v>
      </c>
      <c r="H13068" t="s">
        <v>5991</v>
      </c>
      <c r="I13068" t="s">
        <v>9388</v>
      </c>
      <c r="J13068" t="s">
        <v>11997</v>
      </c>
      <c r="K13068" t="s">
        <v>16400</v>
      </c>
      <c r="L13068">
        <f>HYPERLINK("https://www2.assemblee-nationale.fr/sycomore/fiche/(num_dept)/4253", "4253")</f>
        <v>0</v>
      </c>
      <c r="M13068">
        <f>HYPERLINK("https://www.senat.fr/senateur-3eme-republique/laffont_paul0184r3.html", "laffont_paul0184r3")</f>
        <v>0</v>
      </c>
      <c r="N13068">
        <f>HYPERLINK("https://www.wikidata.org/wiki/Q3371619", "Q3371619")</f>
        <v>0</v>
      </c>
      <c r="O13068" t="s">
        <v>20019</v>
      </c>
      <c r="Q13068" t="s">
        <v>16590</v>
      </c>
      <c r="R13068" t="s">
        <v>21712</v>
      </c>
      <c r="S13068">
        <v>3282</v>
      </c>
    </row>
    <row r="13069" spans="1:19">
      <c r="A13069" t="s">
        <v>144</v>
      </c>
      <c r="B13069" t="s">
        <v>150</v>
      </c>
      <c r="C13069" t="s">
        <v>276</v>
      </c>
      <c r="D13069" t="s">
        <v>405</v>
      </c>
      <c r="F13069">
        <f>HYPERLINK("https://www.wikidata.org/wiki/Q28494842", "Q28494842")</f>
        <v>0</v>
      </c>
      <c r="G13069" t="s">
        <v>1270</v>
      </c>
      <c r="H13069" t="s">
        <v>5994</v>
      </c>
      <c r="I13069" t="s">
        <v>9376</v>
      </c>
      <c r="J13069" t="s">
        <v>12000</v>
      </c>
      <c r="K13069" t="s">
        <v>16403</v>
      </c>
      <c r="L13069">
        <f>HYPERLINK("https://www2.assemblee-nationale.fr/sycomore/fiche/(num_dept)/4323", "4323")</f>
        <v>0</v>
      </c>
      <c r="M13069">
        <f>HYPERLINK("https://www.senat.fr/senateur-3eme-republique/lancien_ferdinand0803r3.html", "lancien_ferdinand0803r3")</f>
        <v>0</v>
      </c>
      <c r="N13069">
        <f>HYPERLINK("https://www.wikidata.org/wiki/Q3068602", "Q3068602")</f>
        <v>0</v>
      </c>
      <c r="O13069" t="s">
        <v>20011</v>
      </c>
      <c r="Q13069" t="s">
        <v>16590</v>
      </c>
      <c r="R13069" t="s">
        <v>21712</v>
      </c>
      <c r="S13069">
        <v>3282</v>
      </c>
    </row>
    <row r="13070" spans="1:19">
      <c r="A13070" t="s">
        <v>144</v>
      </c>
      <c r="B13070" t="s">
        <v>150</v>
      </c>
      <c r="C13070" t="s">
        <v>276</v>
      </c>
      <c r="D13070" t="s">
        <v>405</v>
      </c>
      <c r="F13070">
        <f>HYPERLINK("https://www.wikidata.org/wiki/Q28494842", "Q28494842")</f>
        <v>0</v>
      </c>
      <c r="G13070" t="s">
        <v>983</v>
      </c>
      <c r="H13070" t="s">
        <v>5735</v>
      </c>
      <c r="I13070" t="s">
        <v>9534</v>
      </c>
      <c r="J13070" t="s">
        <v>11721</v>
      </c>
      <c r="K13070" t="s">
        <v>16125</v>
      </c>
      <c r="L13070">
        <f>HYPERLINK("https://www2.assemblee-nationale.fr/sycomore/fiche/(num_dept)/4326", "4326")</f>
        <v>0</v>
      </c>
      <c r="M13070">
        <f>HYPERLINK("https://www.senat.fr/senateur-3eme-republique/landry_adolphe0199r4.html", "landry_adolphe0199r4")</f>
        <v>0</v>
      </c>
      <c r="N13070">
        <f>HYPERLINK("https://www.wikidata.org/wiki/Q2824853", "Q2824853")</f>
        <v>0</v>
      </c>
      <c r="O13070" t="s">
        <v>19955</v>
      </c>
      <c r="Q13070" t="s">
        <v>16590</v>
      </c>
      <c r="R13070" t="s">
        <v>21723</v>
      </c>
      <c r="S13070">
        <v>30</v>
      </c>
    </row>
    <row r="13071" spans="1:19">
      <c r="A13071" t="s">
        <v>144</v>
      </c>
      <c r="B13071" t="s">
        <v>150</v>
      </c>
      <c r="C13071" t="s">
        <v>276</v>
      </c>
      <c r="D13071" t="s">
        <v>405</v>
      </c>
      <c r="F13071">
        <f>HYPERLINK("https://www.wikidata.org/wiki/Q28494842", "Q28494842")</f>
        <v>0</v>
      </c>
      <c r="G13071" t="s">
        <v>1515</v>
      </c>
      <c r="H13071" t="s">
        <v>6211</v>
      </c>
      <c r="I13071" t="s">
        <v>9457</v>
      </c>
      <c r="J13071" t="s">
        <v>12232</v>
      </c>
      <c r="K13071" t="s">
        <v>16638</v>
      </c>
      <c r="L13071">
        <f>HYPERLINK("https://www2.assemblee-nationale.fr/sycomore/fiche/(num_dept)/4393", "4393")</f>
        <v>0</v>
      </c>
      <c r="M13071">
        <f>HYPERLINK("https://www.senat.fr/senateur-3eme-republique/laudier_henri0442r3.html", "laudier_henri0442r3")</f>
        <v>0</v>
      </c>
      <c r="N13071">
        <f>HYPERLINK("https://www.wikidata.org/wiki/Q3131426", "Q3131426")</f>
        <v>0</v>
      </c>
      <c r="O13071" t="s">
        <v>19996</v>
      </c>
      <c r="Q13071" t="s">
        <v>16590</v>
      </c>
      <c r="R13071" t="s">
        <v>21712</v>
      </c>
      <c r="S13071">
        <v>3282</v>
      </c>
    </row>
    <row r="13072" spans="1:19">
      <c r="A13072" t="s">
        <v>144</v>
      </c>
      <c r="B13072" t="s">
        <v>150</v>
      </c>
      <c r="C13072" t="s">
        <v>276</v>
      </c>
      <c r="D13072" t="s">
        <v>405</v>
      </c>
      <c r="F13072">
        <f>HYPERLINK("https://www.wikidata.org/wiki/Q28494842", "Q28494842")</f>
        <v>0</v>
      </c>
      <c r="G13072" t="s">
        <v>722</v>
      </c>
      <c r="H13072" t="s">
        <v>5480</v>
      </c>
      <c r="I13072" t="s">
        <v>9465</v>
      </c>
      <c r="J13072" t="s">
        <v>11471</v>
      </c>
      <c r="K13072" t="s">
        <v>15873</v>
      </c>
      <c r="L13072">
        <f>HYPERLINK("https://www2.assemblee-nationale.fr/sycomore/fiche/(num_dept)/4954", "4954")</f>
        <v>0</v>
      </c>
      <c r="M13072">
        <f>HYPERLINK("https://www.senat.fr/senateur-3eme-republique/mando_eugene0573r3.html", "mando_eugene0573r3")</f>
        <v>0</v>
      </c>
      <c r="N13072">
        <f>HYPERLINK("https://www.wikidata.org/wiki/Q3060013", "Q3060013")</f>
        <v>0</v>
      </c>
      <c r="O13072" t="s">
        <v>19964</v>
      </c>
      <c r="Q13072" t="s">
        <v>16590</v>
      </c>
      <c r="R13072" t="s">
        <v>21650</v>
      </c>
      <c r="S13072">
        <v>5759</v>
      </c>
    </row>
    <row r="13073" spans="1:19">
      <c r="A13073" t="s">
        <v>144</v>
      </c>
      <c r="B13073" t="s">
        <v>150</v>
      </c>
      <c r="C13073" t="s">
        <v>276</v>
      </c>
      <c r="D13073" t="s">
        <v>405</v>
      </c>
      <c r="F13073">
        <f>HYPERLINK("https://www.wikidata.org/wiki/Q28494842", "Q28494842")</f>
        <v>0</v>
      </c>
      <c r="G13073" t="s">
        <v>1000</v>
      </c>
      <c r="H13073" t="s">
        <v>5751</v>
      </c>
      <c r="I13073" t="s">
        <v>9615</v>
      </c>
      <c r="J13073" t="s">
        <v>11349</v>
      </c>
      <c r="K13073" t="s">
        <v>16141</v>
      </c>
      <c r="L13073">
        <f>HYPERLINK("https://www2.assemblee-nationale.fr/sycomore/fiche/(num_dept)/5111", "5111")</f>
        <v>0</v>
      </c>
      <c r="M13073">
        <f>HYPERLINK("https://www.senat.fr/senateur-3eme-republique/mauger_hippolyte0446r3.html", "mauger_hippolyte0446r3")</f>
        <v>0</v>
      </c>
      <c r="N13073">
        <f>HYPERLINK("https://www.wikidata.org/wiki/Q3136085", "Q3136085")</f>
        <v>0</v>
      </c>
      <c r="O13073" t="s">
        <v>19996</v>
      </c>
      <c r="Q13073" t="s">
        <v>16590</v>
      </c>
      <c r="R13073" t="s">
        <v>21650</v>
      </c>
      <c r="S13073">
        <v>5759</v>
      </c>
    </row>
    <row r="13074" spans="1:19">
      <c r="A13074" t="s">
        <v>144</v>
      </c>
      <c r="B13074" t="s">
        <v>150</v>
      </c>
      <c r="C13074" t="s">
        <v>276</v>
      </c>
      <c r="D13074" t="s">
        <v>405</v>
      </c>
      <c r="F13074">
        <f>HYPERLINK("https://www.wikidata.org/wiki/Q28494842", "Q28494842")</f>
        <v>0</v>
      </c>
      <c r="G13074" t="s">
        <v>1003</v>
      </c>
      <c r="H13074" t="s">
        <v>5754</v>
      </c>
      <c r="I13074" t="s">
        <v>9534</v>
      </c>
      <c r="J13074" t="s">
        <v>11740</v>
      </c>
      <c r="K13074" t="s">
        <v>16144</v>
      </c>
      <c r="L13074">
        <f>HYPERLINK("https://www2.assemblee-nationale.fr/sycomore/fiche/(num_dept)/5219", "5219")</f>
        <v>0</v>
      </c>
      <c r="M13074">
        <f>HYPERLINK("https://www.senat.fr/senateur-3eme-republique/messimy_adolphe0021r3.html", "messimy_adolphe0021r3")</f>
        <v>0</v>
      </c>
      <c r="N13074">
        <f>HYPERLINK("https://www.wikidata.org/wiki/Q365771", "Q365771")</f>
        <v>0</v>
      </c>
      <c r="O13074" t="s">
        <v>19986</v>
      </c>
      <c r="Q13074" t="s">
        <v>16590</v>
      </c>
      <c r="R13074" t="s">
        <v>21650</v>
      </c>
      <c r="S13074">
        <v>5759</v>
      </c>
    </row>
    <row r="13075" spans="1:19">
      <c r="A13075" t="s">
        <v>144</v>
      </c>
      <c r="B13075" t="s">
        <v>150</v>
      </c>
      <c r="C13075" t="s">
        <v>276</v>
      </c>
      <c r="D13075" t="s">
        <v>405</v>
      </c>
      <c r="F13075">
        <f>HYPERLINK("https://www.wikidata.org/wiki/Q28494842", "Q28494842")</f>
        <v>0</v>
      </c>
      <c r="G13075" t="s">
        <v>1545</v>
      </c>
      <c r="H13075" t="s">
        <v>5489</v>
      </c>
      <c r="I13075" t="s">
        <v>9837</v>
      </c>
      <c r="J13075" t="s">
        <v>12260</v>
      </c>
      <c r="K13075" t="s">
        <v>16667</v>
      </c>
      <c r="L13075">
        <f>HYPERLINK("https://www2.assemblee-nationale.fr/sycomore/fiche/(num_dept)/5232", "5232")</f>
        <v>0</v>
      </c>
      <c r="M13075">
        <f>HYPERLINK("https://www.senat.fr/senateur-3eme-republique/meunier_albert0164r3.html", "meunier_albert0164r3")</f>
        <v>0</v>
      </c>
      <c r="N13075">
        <f>HYPERLINK("https://www.wikidata.org/wiki/Q16026095", "Q16026095")</f>
        <v>0</v>
      </c>
      <c r="O13075" t="s">
        <v>19959</v>
      </c>
      <c r="Q13075" t="s">
        <v>16590</v>
      </c>
      <c r="R13075" t="s">
        <v>21712</v>
      </c>
      <c r="S13075">
        <v>3282</v>
      </c>
    </row>
    <row r="13076" spans="1:19">
      <c r="A13076" t="s">
        <v>144</v>
      </c>
      <c r="B13076" t="s">
        <v>150</v>
      </c>
      <c r="C13076" t="s">
        <v>276</v>
      </c>
      <c r="D13076" t="s">
        <v>405</v>
      </c>
      <c r="F13076">
        <f>HYPERLINK("https://www.wikidata.org/wiki/Q28494842", "Q28494842")</f>
        <v>0</v>
      </c>
      <c r="G13076" t="s">
        <v>1008</v>
      </c>
      <c r="H13076" t="s">
        <v>5759</v>
      </c>
      <c r="I13076" t="s">
        <v>9619</v>
      </c>
      <c r="J13076" t="s">
        <v>11745</v>
      </c>
      <c r="K13076" t="s">
        <v>16148</v>
      </c>
      <c r="L13076">
        <f>HYPERLINK("https://www2.assemblee-nationale.fr/sycomore/fiche/(num_dept)/5357", "5357")</f>
        <v>0</v>
      </c>
      <c r="M13076">
        <f>HYPERLINK("https://www.senat.fr/senateur-3eme-republique/monsservin_joseph0284r3.html", "monsservin_joseph0284r3")</f>
        <v>0</v>
      </c>
      <c r="N13076">
        <f>HYPERLINK("https://www.wikidata.org/wiki/Q3185378", "Q3185378")</f>
        <v>0</v>
      </c>
      <c r="O13076" t="s">
        <v>19967</v>
      </c>
      <c r="Q13076" t="s">
        <v>16590</v>
      </c>
      <c r="R13076" t="s">
        <v>21712</v>
      </c>
      <c r="S13076">
        <v>3282</v>
      </c>
    </row>
    <row r="13077" spans="1:19">
      <c r="A13077" t="s">
        <v>144</v>
      </c>
      <c r="B13077" t="s">
        <v>150</v>
      </c>
      <c r="C13077" t="s">
        <v>276</v>
      </c>
      <c r="D13077" t="s">
        <v>405</v>
      </c>
      <c r="F13077">
        <f>HYPERLINK("https://www.wikidata.org/wiki/Q28494842", "Q28494842")</f>
        <v>0</v>
      </c>
      <c r="G13077" t="s">
        <v>1551</v>
      </c>
      <c r="H13077" t="s">
        <v>6243</v>
      </c>
      <c r="I13077" t="s">
        <v>9552</v>
      </c>
      <c r="J13077" t="s">
        <v>11511</v>
      </c>
      <c r="K13077" t="s">
        <v>16673</v>
      </c>
      <c r="L13077">
        <f>HYPERLINK("https://www2.assemblee-nationale.fr/sycomore/fiche/(num_dept)/5378", "5378")</f>
        <v>0</v>
      </c>
      <c r="M13077">
        <f>HYPERLINK("https://www.senat.fr/senateur-3eme-republique/montenot_auguste0533r3.html", "montenot_auguste0533r3")</f>
        <v>0</v>
      </c>
      <c r="N13077">
        <f>HYPERLINK("https://www.wikidata.org/wiki/Q2871322", "Q2871322")</f>
        <v>0</v>
      </c>
      <c r="Q13077" t="s">
        <v>16590</v>
      </c>
      <c r="R13077" t="s">
        <v>16188</v>
      </c>
      <c r="S13077">
        <v>2144</v>
      </c>
    </row>
    <row r="13078" spans="1:19">
      <c r="A13078" t="s">
        <v>144</v>
      </c>
      <c r="B13078" t="s">
        <v>150</v>
      </c>
      <c r="C13078" t="s">
        <v>276</v>
      </c>
      <c r="D13078" t="s">
        <v>405</v>
      </c>
      <c r="F13078">
        <f>HYPERLINK("https://www.wikidata.org/wiki/Q28494842", "Q28494842")</f>
        <v>0</v>
      </c>
      <c r="G13078" t="s">
        <v>741</v>
      </c>
      <c r="H13078" t="s">
        <v>5499</v>
      </c>
      <c r="I13078" t="s">
        <v>9476</v>
      </c>
      <c r="J13078" t="s">
        <v>11490</v>
      </c>
      <c r="K13078" t="s">
        <v>15892</v>
      </c>
      <c r="L13078">
        <f>HYPERLINK("https://www2.assemblee-nationale.fr/sycomore/fiche/(num_dept)/5463", "5463")</f>
        <v>0</v>
      </c>
      <c r="M13078">
        <f>HYPERLINK("https://www.senat.fr/senateur-3eme-republique/de_moustier_rene0688r3.html", "de_moustier_rene0688r3")</f>
        <v>0</v>
      </c>
      <c r="N13078">
        <f>HYPERLINK("https://www.wikidata.org/wiki/Q3427071", "Q3427071")</f>
        <v>0</v>
      </c>
      <c r="O13078" t="s">
        <v>19973</v>
      </c>
      <c r="Q13078" t="s">
        <v>16590</v>
      </c>
      <c r="R13078" t="s">
        <v>21650</v>
      </c>
      <c r="S13078">
        <v>5759</v>
      </c>
    </row>
    <row r="13079" spans="1:19">
      <c r="A13079" t="s">
        <v>144</v>
      </c>
      <c r="B13079" t="s">
        <v>150</v>
      </c>
      <c r="C13079" t="s">
        <v>276</v>
      </c>
      <c r="D13079" t="s">
        <v>405</v>
      </c>
      <c r="F13079">
        <f>HYPERLINK("https://www.wikidata.org/wiki/Q28494842", "Q28494842")</f>
        <v>0</v>
      </c>
      <c r="G13079" t="s">
        <v>4001</v>
      </c>
      <c r="H13079" t="s">
        <v>7185</v>
      </c>
      <c r="I13079" t="s">
        <v>11057</v>
      </c>
      <c r="J13079" t="s">
        <v>14548</v>
      </c>
      <c r="K13079" t="s">
        <v>18891</v>
      </c>
      <c r="L13079">
        <f>HYPERLINK("https://www2.assemblee-nationale.fr/sycomore/fiche/(num_dept)/5610", "5610")</f>
        <v>0</v>
      </c>
      <c r="M13079">
        <f>HYPERLINK("https://www.senat.fr/senateur-3eme-republique/ordinaire_maurice0679r3.html", "ordinaire_maurice0679r3")</f>
        <v>0</v>
      </c>
      <c r="N13079">
        <f>HYPERLINK("https://www.wikidata.org/wiki/Q3301228", "Q3301228")</f>
        <v>0</v>
      </c>
      <c r="O13079" t="s">
        <v>19973</v>
      </c>
      <c r="Q13079" t="s">
        <v>16590</v>
      </c>
      <c r="R13079" t="s">
        <v>21650</v>
      </c>
      <c r="S13079">
        <v>5759</v>
      </c>
    </row>
    <row r="13080" spans="1:19">
      <c r="A13080" t="s">
        <v>144</v>
      </c>
      <c r="B13080" t="s">
        <v>150</v>
      </c>
      <c r="C13080" t="s">
        <v>276</v>
      </c>
      <c r="D13080" t="s">
        <v>405</v>
      </c>
      <c r="F13080">
        <f>HYPERLINK("https://www.wikidata.org/wiki/Q28494842", "Q28494842")</f>
        <v>0</v>
      </c>
      <c r="G13080" t="s">
        <v>1572</v>
      </c>
      <c r="H13080" t="s">
        <v>6262</v>
      </c>
      <c r="I13080" t="s">
        <v>9457</v>
      </c>
      <c r="J13080" t="s">
        <v>12285</v>
      </c>
      <c r="K13080" t="s">
        <v>15702</v>
      </c>
      <c r="L13080">
        <f>HYPERLINK("https://www2.assemblee-nationale.fr/sycomore/fiche/(num_dept)/5891", "5891")</f>
        <v>0</v>
      </c>
      <c r="M13080">
        <f>HYPERLINK("https://www.senat.fr/senateur-3eme-republique/philippoteaux_henri0169r3.html", "philippoteaux_henri0169r3")</f>
        <v>0</v>
      </c>
      <c r="N13080">
        <f>HYPERLINK("https://www.wikidata.org/wiki/Q3131770", "Q3131770")</f>
        <v>0</v>
      </c>
      <c r="O13080" t="s">
        <v>19959</v>
      </c>
      <c r="Q13080" t="s">
        <v>16590</v>
      </c>
      <c r="R13080" t="s">
        <v>15702</v>
      </c>
      <c r="S13080">
        <v>2132</v>
      </c>
    </row>
    <row r="13081" spans="1:19">
      <c r="A13081" t="s">
        <v>144</v>
      </c>
      <c r="B13081" t="s">
        <v>150</v>
      </c>
      <c r="C13081" t="s">
        <v>276</v>
      </c>
      <c r="D13081" t="s">
        <v>405</v>
      </c>
      <c r="F13081">
        <f>HYPERLINK("https://www.wikidata.org/wiki/Q28494842", "Q28494842")</f>
        <v>0</v>
      </c>
      <c r="G13081" t="s">
        <v>1577</v>
      </c>
      <c r="H13081" t="s">
        <v>6267</v>
      </c>
      <c r="I13081" t="s">
        <v>9523</v>
      </c>
      <c r="J13081" t="s">
        <v>12290</v>
      </c>
      <c r="K13081" t="s">
        <v>16696</v>
      </c>
      <c r="L13081">
        <f>HYPERLINK("https://www2.assemblee-nationale.fr/sycomore/fiche/(num_dept)/5965", "5965")</f>
        <v>0</v>
      </c>
      <c r="M13081">
        <f>HYPERLINK("https://www.senat.fr/senateur-3eme-republique/plaisant_marcel0005r4.html", "plaisant_marcel0005r4")</f>
        <v>0</v>
      </c>
      <c r="N13081">
        <f>HYPERLINK("https://www.wikidata.org/wiki/Q3289294", "Q3289294")</f>
        <v>0</v>
      </c>
      <c r="O13081" t="s">
        <v>19996</v>
      </c>
      <c r="Q13081" t="s">
        <v>16590</v>
      </c>
      <c r="R13081" t="s">
        <v>21712</v>
      </c>
      <c r="S13081">
        <v>3282</v>
      </c>
    </row>
    <row r="13082" spans="1:19">
      <c r="A13082" t="s">
        <v>144</v>
      </c>
      <c r="B13082" t="s">
        <v>150</v>
      </c>
      <c r="C13082" t="s">
        <v>276</v>
      </c>
      <c r="D13082" t="s">
        <v>405</v>
      </c>
      <c r="F13082">
        <f>HYPERLINK("https://www.wikidata.org/wiki/Q28494842", "Q28494842")</f>
        <v>0</v>
      </c>
      <c r="G13082" t="s">
        <v>1584</v>
      </c>
      <c r="H13082" t="s">
        <v>6274</v>
      </c>
      <c r="I13082" t="s">
        <v>7642</v>
      </c>
      <c r="J13082" t="s">
        <v>12295</v>
      </c>
      <c r="K13082" t="s">
        <v>16703</v>
      </c>
      <c r="L13082">
        <f>HYPERLINK("https://www2.assemblee-nationale.fr/sycomore/fiche/(num_dept)/6102", "6102")</f>
        <v>0</v>
      </c>
      <c r="M13082">
        <f>HYPERLINK("https://www.senat.fr/senateur-3eme-republique/de_rothschild_maurice0087r3.html", "de_rothschild_maurice0087r3")</f>
        <v>0</v>
      </c>
      <c r="N13082">
        <f>HYPERLINK("https://www.wikidata.org/wiki/Q3301570", "Q3301570")</f>
        <v>0</v>
      </c>
      <c r="O13082" t="s">
        <v>19981</v>
      </c>
      <c r="Q13082" t="s">
        <v>16590</v>
      </c>
      <c r="R13082" t="s">
        <v>21712</v>
      </c>
      <c r="S13082">
        <v>3282</v>
      </c>
    </row>
    <row r="13083" spans="1:19">
      <c r="A13083" t="s">
        <v>144</v>
      </c>
      <c r="B13083" t="s">
        <v>150</v>
      </c>
      <c r="C13083" t="s">
        <v>276</v>
      </c>
      <c r="D13083" t="s">
        <v>405</v>
      </c>
      <c r="F13083">
        <f>HYPERLINK("https://www.wikidata.org/wiki/Q28494842", "Q28494842")</f>
        <v>0</v>
      </c>
      <c r="G13083" t="s">
        <v>778</v>
      </c>
      <c r="H13083" t="s">
        <v>5536</v>
      </c>
      <c r="I13083" t="s">
        <v>6584</v>
      </c>
      <c r="J13083" t="s">
        <v>11525</v>
      </c>
      <c r="K13083" t="s">
        <v>15929</v>
      </c>
      <c r="L13083">
        <f>HYPERLINK("https://www2.assemblee-nationale.fr/sycomore/fiche/(num_dept)/6293", "6293")</f>
        <v>0</v>
      </c>
      <c r="M13083">
        <f>HYPERLINK("https://www.senat.fr/senateur-3eme-republique/sarraut_albert0265r3.html", "sarraut_albert0265r3")</f>
        <v>0</v>
      </c>
      <c r="N13083">
        <f>HYPERLINK("https://www.wikidata.org/wiki/Q460318", "Q460318")</f>
        <v>0</v>
      </c>
      <c r="O13083" t="s">
        <v>19960</v>
      </c>
      <c r="Q13083" t="s">
        <v>16590</v>
      </c>
      <c r="R13083" t="s">
        <v>21712</v>
      </c>
      <c r="S13083">
        <v>3282</v>
      </c>
    </row>
    <row r="13084" spans="1:19">
      <c r="A13084" t="s">
        <v>144</v>
      </c>
      <c r="B13084" t="s">
        <v>150</v>
      </c>
      <c r="C13084" t="s">
        <v>276</v>
      </c>
      <c r="D13084" t="s">
        <v>405</v>
      </c>
      <c r="F13084">
        <f>HYPERLINK("https://www.wikidata.org/wiki/Q28494842", "Q28494842")</f>
        <v>0</v>
      </c>
      <c r="G13084" t="s">
        <v>1608</v>
      </c>
      <c r="H13084" t="s">
        <v>6295</v>
      </c>
      <c r="I13084" t="s">
        <v>9465</v>
      </c>
      <c r="J13084" t="s">
        <v>12315</v>
      </c>
      <c r="K13084" t="s">
        <v>16725</v>
      </c>
      <c r="L13084">
        <f>HYPERLINK("https://www2.assemblee-nationale.fr/sycomore/fiche/(num_dept)/6633", "6633")</f>
        <v>0</v>
      </c>
      <c r="M13084">
        <f>HYPERLINK("https://www.senat.fr/senateur-3eme-republique/raynaldy_eugene0290r3.html", "raynaldy_eugene0290r3")</f>
        <v>0</v>
      </c>
      <c r="N13084">
        <f>HYPERLINK("https://www.wikidata.org/wiki/Q3060128", "Q3060128")</f>
        <v>0</v>
      </c>
      <c r="O13084" t="s">
        <v>19967</v>
      </c>
      <c r="Q13084" t="s">
        <v>16590</v>
      </c>
      <c r="R13084" t="s">
        <v>16725</v>
      </c>
      <c r="S13084">
        <v>3074</v>
      </c>
    </row>
    <row r="13085" spans="1:19">
      <c r="A13085" t="s">
        <v>144</v>
      </c>
      <c r="B13085" t="s">
        <v>150</v>
      </c>
      <c r="C13085" t="s">
        <v>276</v>
      </c>
      <c r="D13085" t="s">
        <v>405</v>
      </c>
      <c r="F13085">
        <f>HYPERLINK("https://www.wikidata.org/wiki/Q28494842", "Q28494842")</f>
        <v>0</v>
      </c>
      <c r="G13085" t="s">
        <v>4152</v>
      </c>
      <c r="H13085" t="s">
        <v>8355</v>
      </c>
      <c r="I13085" t="s">
        <v>9523</v>
      </c>
      <c r="J13085" t="s">
        <v>14681</v>
      </c>
      <c r="K13085" t="s">
        <v>19018</v>
      </c>
      <c r="L13085">
        <f>HYPERLINK("https://www2.assemblee-nationale.fr/sycomore/fiche/(num_dept)/6654", "6654")</f>
        <v>0</v>
      </c>
      <c r="M13085">
        <f>HYPERLINK("https://www.senat.fr/senateur-3eme-republique/regnier_marcel0044r3.html", "regnier_marcel0044r3")</f>
        <v>0</v>
      </c>
      <c r="N13085">
        <f>HYPERLINK("https://www.wikidata.org/wiki/Q3289373", "Q3289373")</f>
        <v>0</v>
      </c>
      <c r="O13085" t="s">
        <v>19999</v>
      </c>
      <c r="Q13085" t="s">
        <v>16590</v>
      </c>
      <c r="R13085" t="s">
        <v>21650</v>
      </c>
      <c r="S13085">
        <v>5759</v>
      </c>
    </row>
    <row r="13086" spans="1:19">
      <c r="A13086" t="s">
        <v>144</v>
      </c>
      <c r="B13086" t="s">
        <v>150</v>
      </c>
      <c r="C13086" t="s">
        <v>276</v>
      </c>
      <c r="D13086" t="s">
        <v>405</v>
      </c>
      <c r="F13086">
        <f>HYPERLINK("https://www.wikidata.org/wiki/Q28494842", "Q28494842")</f>
        <v>0</v>
      </c>
      <c r="G13086" t="s">
        <v>1622</v>
      </c>
      <c r="H13086" t="s">
        <v>6307</v>
      </c>
      <c r="I13086" t="s">
        <v>9457</v>
      </c>
      <c r="J13086" t="s">
        <v>12329</v>
      </c>
      <c r="K13086" t="s">
        <v>16739</v>
      </c>
      <c r="L13086">
        <f>HYPERLINK("https://www2.assemblee-nationale.fr/sycomore/fiche/(num_dept)/6805", "6805")</f>
        <v>0</v>
      </c>
      <c r="M13086">
        <f>HYPERLINK("https://www.senat.fr/senateur-3eme-republique/servain_henri0592r3.html", "servain_henri0592r3")</f>
        <v>0</v>
      </c>
      <c r="N13086">
        <f>HYPERLINK("https://www.wikidata.org/wiki/Q3132005", "Q3132005")</f>
        <v>0</v>
      </c>
      <c r="O13086" t="s">
        <v>19964</v>
      </c>
      <c r="Q13086" t="s">
        <v>16590</v>
      </c>
      <c r="R13086" t="s">
        <v>21650</v>
      </c>
      <c r="S13086">
        <v>5759</v>
      </c>
    </row>
    <row r="13087" spans="1:19">
      <c r="A13087" t="s">
        <v>144</v>
      </c>
      <c r="B13087" t="s">
        <v>150</v>
      </c>
      <c r="C13087" t="s">
        <v>276</v>
      </c>
      <c r="D13087" t="s">
        <v>405</v>
      </c>
      <c r="F13087">
        <f>HYPERLINK("https://www.wikidata.org/wiki/Q28494842", "Q28494842")</f>
        <v>0</v>
      </c>
      <c r="G13087" t="s">
        <v>812</v>
      </c>
      <c r="H13087" t="s">
        <v>5569</v>
      </c>
      <c r="I13087" t="s">
        <v>5528</v>
      </c>
      <c r="J13087" t="s">
        <v>11559</v>
      </c>
      <c r="K13087" t="s">
        <v>15963</v>
      </c>
      <c r="L13087">
        <f>HYPERLINK("https://www2.assemblee-nationale.fr/sycomore/fiche/(num_dept)/6857", "6857")</f>
        <v>0</v>
      </c>
      <c r="M13087">
        <f>HYPERLINK("https://www.senat.fr/senateur-3eme-republique/sireyjol_leon0664r3.html", "sireyjol_leon0664r3")</f>
        <v>0</v>
      </c>
      <c r="N13087">
        <f>HYPERLINK("https://www.wikidata.org/wiki/Q3271332", "Q3271332")</f>
        <v>0</v>
      </c>
      <c r="O13087" t="s">
        <v>20010</v>
      </c>
      <c r="Q13087" t="s">
        <v>16590</v>
      </c>
      <c r="R13087" t="s">
        <v>21712</v>
      </c>
      <c r="S13087">
        <v>3282</v>
      </c>
    </row>
    <row r="13088" spans="1:19">
      <c r="A13088" t="s">
        <v>144</v>
      </c>
      <c r="B13088" t="s">
        <v>150</v>
      </c>
      <c r="C13088" t="s">
        <v>276</v>
      </c>
      <c r="D13088" t="s">
        <v>405</v>
      </c>
      <c r="F13088">
        <f>HYPERLINK("https://www.wikidata.org/wiki/Q28494842", "Q28494842")</f>
        <v>0</v>
      </c>
      <c r="G13088" t="s">
        <v>1065</v>
      </c>
      <c r="H13088" t="s">
        <v>5811</v>
      </c>
      <c r="I13088" t="s">
        <v>9651</v>
      </c>
      <c r="J13088" t="s">
        <v>11802</v>
      </c>
      <c r="K13088" t="s">
        <v>16202</v>
      </c>
      <c r="L13088">
        <f>HYPERLINK("https://www2.assemblee-nationale.fr/sycomore/fiche/(num_dept)/7125", "7125")</f>
        <v>0</v>
      </c>
      <c r="M13088">
        <f>HYPERLINK("https://www.senat.fr/senateur-3eme-republique/toy_riont_maurice0081r3.html", "toy_riont_maurice0081r3")</f>
        <v>0</v>
      </c>
      <c r="N13088">
        <f>HYPERLINK("https://www.wikidata.org/wiki/Q3301463", "Q3301463")</f>
        <v>0</v>
      </c>
      <c r="O13088" t="s">
        <v>19981</v>
      </c>
      <c r="Q13088" t="s">
        <v>16590</v>
      </c>
      <c r="R13088" t="s">
        <v>21712</v>
      </c>
      <c r="S13088">
        <v>3282</v>
      </c>
    </row>
    <row r="13089" spans="1:19">
      <c r="A13089" t="s">
        <v>144</v>
      </c>
      <c r="B13089" t="s">
        <v>150</v>
      </c>
      <c r="C13089" t="s">
        <v>276</v>
      </c>
      <c r="D13089" t="s">
        <v>405</v>
      </c>
      <c r="F13089">
        <f>HYPERLINK("https://www.wikidata.org/wiki/Q28494842", "Q28494842")</f>
        <v>0</v>
      </c>
      <c r="G13089" t="s">
        <v>823</v>
      </c>
      <c r="H13089" t="s">
        <v>5580</v>
      </c>
      <c r="I13089" t="s">
        <v>7642</v>
      </c>
      <c r="J13089" t="s">
        <v>11570</v>
      </c>
      <c r="K13089" t="s">
        <v>15973</v>
      </c>
      <c r="L13089">
        <f>HYPERLINK("https://www2.assemblee-nationale.fr/sycomore/fiche/(num_dept)/7238", "7238")</f>
        <v>0</v>
      </c>
      <c r="M13089">
        <f>HYPERLINK("https://www.senat.fr/senateur-3eme-republique/viollette_maurice0773r3.html", "viollette_maurice0773r3")</f>
        <v>0</v>
      </c>
      <c r="N13089">
        <f>HYPERLINK("https://www.wikidata.org/wiki/Q3301513", "Q3301513")</f>
        <v>0</v>
      </c>
      <c r="O13089" t="s">
        <v>19971</v>
      </c>
      <c r="Q13089" t="s">
        <v>16590</v>
      </c>
      <c r="R13089" t="s">
        <v>21712</v>
      </c>
      <c r="S13089">
        <v>3282</v>
      </c>
    </row>
    <row r="13090" spans="1:19">
      <c r="A13090" t="s">
        <v>144</v>
      </c>
      <c r="B13090" t="s">
        <v>150</v>
      </c>
      <c r="C13090" t="s">
        <v>276</v>
      </c>
      <c r="D13090" t="s">
        <v>405</v>
      </c>
      <c r="F13090">
        <f>HYPERLINK("https://www.wikidata.org/wiki/Q28494842", "Q28494842")</f>
        <v>0</v>
      </c>
      <c r="G13090" t="s">
        <v>834</v>
      </c>
      <c r="H13090" t="s">
        <v>5591</v>
      </c>
      <c r="I13090" t="s">
        <v>9544</v>
      </c>
      <c r="J13090" t="s">
        <v>11581</v>
      </c>
      <c r="K13090" t="s">
        <v>15983</v>
      </c>
      <c r="L13090">
        <f>HYPERLINK("https://www2.assemblee-nationale.fr/sycomore/fiche/(num_dept)/7493", "7493")</f>
        <v>0</v>
      </c>
      <c r="M13090">
        <f>HYPERLINK("https://www.senat.fr/senateur-3eme-republique/lauraine_jean_octave0422r3.html", "lauraine_jean_octave0422r3")</f>
        <v>0</v>
      </c>
      <c r="N13090">
        <f>HYPERLINK("https://www.wikidata.org/wiki/Q3168275", "Q3168275")</f>
        <v>0</v>
      </c>
      <c r="O13090" t="s">
        <v>20037</v>
      </c>
      <c r="Q13090" t="s">
        <v>16590</v>
      </c>
      <c r="R13090" t="s">
        <v>21650</v>
      </c>
      <c r="S13090">
        <v>5759</v>
      </c>
    </row>
    <row r="13091" spans="1:19">
      <c r="A13091" t="s">
        <v>144</v>
      </c>
      <c r="B13091" t="s">
        <v>150</v>
      </c>
      <c r="C13091" t="s">
        <v>276</v>
      </c>
      <c r="D13091" t="s">
        <v>405</v>
      </c>
      <c r="F13091">
        <f>HYPERLINK("https://www.wikidata.org/wiki/Q28494842", "Q28494842")</f>
        <v>0</v>
      </c>
      <c r="G13091" t="s">
        <v>837</v>
      </c>
      <c r="H13091" t="s">
        <v>5594</v>
      </c>
      <c r="I13091" t="s">
        <v>9545</v>
      </c>
      <c r="J13091" t="s">
        <v>11584</v>
      </c>
      <c r="K13091" t="s">
        <v>15986</v>
      </c>
      <c r="L13091">
        <f>HYPERLINK("https://www2.assemblee-nationale.fr/sycomore/fiche/(num_dept)/7540", "7540")</f>
        <v>0</v>
      </c>
      <c r="M13091">
        <f>HYPERLINK("https://www.senat.fr/senateur-3eme-republique/le_bail_georges0793r3.html", "le_bail_georges0793r3")</f>
        <v>0</v>
      </c>
      <c r="N13091">
        <f>HYPERLINK("https://www.wikidata.org/wiki/Q2381659", "Q2381659")</f>
        <v>0</v>
      </c>
      <c r="O13091" t="s">
        <v>20011</v>
      </c>
      <c r="Q13091" t="s">
        <v>16590</v>
      </c>
      <c r="R13091" t="s">
        <v>21650</v>
      </c>
      <c r="S13091">
        <v>5759</v>
      </c>
    </row>
    <row r="13092" spans="1:19">
      <c r="A13092" t="s">
        <v>144</v>
      </c>
      <c r="B13092" t="s">
        <v>150</v>
      </c>
      <c r="C13092" t="s">
        <v>276</v>
      </c>
      <c r="D13092" t="s">
        <v>405</v>
      </c>
      <c r="F13092">
        <f>HYPERLINK("https://www.wikidata.org/wiki/Q28494842", "Q28494842")</f>
        <v>0</v>
      </c>
      <c r="G13092" t="s">
        <v>842</v>
      </c>
      <c r="H13092" t="s">
        <v>5599</v>
      </c>
      <c r="I13092" t="s">
        <v>9549</v>
      </c>
      <c r="J13092" t="s">
        <v>11589</v>
      </c>
      <c r="K13092" t="s">
        <v>15991</v>
      </c>
      <c r="L13092">
        <f>HYPERLINK("https://www2.assemblee-nationale.fr/sycomore/fiche/(num_dept)/7595", "7595")</f>
        <v>0</v>
      </c>
      <c r="M13092">
        <f>HYPERLINK("https://www.senat.fr/senateur-3eme-republique/le_louedec_jules0811r3.html", "le_louedec_jules0811r3")</f>
        <v>0</v>
      </c>
      <c r="N13092">
        <f>HYPERLINK("https://www.wikidata.org/wiki/Q3188719", "Q3188719")</f>
        <v>0</v>
      </c>
      <c r="O13092" t="s">
        <v>20011</v>
      </c>
      <c r="Q13092" t="s">
        <v>16590</v>
      </c>
      <c r="R13092" t="s">
        <v>15991</v>
      </c>
      <c r="S13092">
        <v>429</v>
      </c>
    </row>
    <row r="13093" spans="1:19">
      <c r="A13093" t="s">
        <v>144</v>
      </c>
      <c r="B13093" t="s">
        <v>150</v>
      </c>
      <c r="C13093" t="s">
        <v>276</v>
      </c>
      <c r="D13093" t="s">
        <v>405</v>
      </c>
      <c r="F13093">
        <f>HYPERLINK("https://www.wikidata.org/wiki/Q28494842", "Q28494842")</f>
        <v>0</v>
      </c>
      <c r="G13093" t="s">
        <v>1659</v>
      </c>
      <c r="H13093" t="s">
        <v>6342</v>
      </c>
      <c r="I13093" t="s">
        <v>9843</v>
      </c>
      <c r="J13093" t="s">
        <v>12366</v>
      </c>
      <c r="K13093" t="s">
        <v>16773</v>
      </c>
      <c r="L13093">
        <f>HYPERLINK("https://www2.assemblee-nationale.fr/sycomore/fiche/(num_dept)/7630", "7630")</f>
        <v>0</v>
      </c>
      <c r="M13093">
        <f>HYPERLINK("https://www.senat.fr/senateur-3eme-republique/le_trocquer_yves0588r3.html", "le_trocquer_yves0588r3")</f>
        <v>0</v>
      </c>
      <c r="N13093">
        <f>HYPERLINK("https://www.wikidata.org/wiki/Q3573784", "Q3573784")</f>
        <v>0</v>
      </c>
      <c r="O13093" t="s">
        <v>19964</v>
      </c>
      <c r="Q13093" t="s">
        <v>16590</v>
      </c>
      <c r="R13093" t="s">
        <v>16773</v>
      </c>
      <c r="S13093">
        <v>2960</v>
      </c>
    </row>
    <row r="13094" spans="1:19">
      <c r="A13094" t="s">
        <v>144</v>
      </c>
      <c r="B13094" t="s">
        <v>150</v>
      </c>
      <c r="C13094" t="s">
        <v>276</v>
      </c>
      <c r="D13094" t="s">
        <v>405</v>
      </c>
      <c r="F13094">
        <f>HYPERLINK("https://www.wikidata.org/wiki/Q28494842", "Q28494842")</f>
        <v>0</v>
      </c>
      <c r="G13094" t="s">
        <v>850</v>
      </c>
      <c r="H13094" t="s">
        <v>5607</v>
      </c>
      <c r="I13094" t="s">
        <v>8494</v>
      </c>
      <c r="J13094" t="s">
        <v>11596</v>
      </c>
      <c r="K13094" t="s">
        <v>15998</v>
      </c>
      <c r="L13094">
        <f>HYPERLINK("https://www2.assemblee-nationale.fr/sycomore/fiche/(num_dept)/7692", "7692")</f>
        <v>0</v>
      </c>
      <c r="M13094">
        <f>HYPERLINK("https://www.senat.fr/senateur-3eme-republique/lefevre_abel0761r3.html", "lefevre_abel0761r3")</f>
        <v>0</v>
      </c>
      <c r="N13094">
        <f>HYPERLINK("https://www.wikidata.org/wiki/Q2821523", "Q2821523")</f>
        <v>0</v>
      </c>
      <c r="O13094" t="s">
        <v>19992</v>
      </c>
      <c r="Q13094" t="s">
        <v>16590</v>
      </c>
      <c r="R13094" t="s">
        <v>21650</v>
      </c>
      <c r="S13094">
        <v>5759</v>
      </c>
    </row>
    <row r="13095" spans="1:19">
      <c r="A13095" t="s">
        <v>144</v>
      </c>
      <c r="B13095" t="s">
        <v>150</v>
      </c>
      <c r="C13095" t="s">
        <v>276</v>
      </c>
      <c r="D13095" t="s">
        <v>405</v>
      </c>
      <c r="F13095">
        <f>HYPERLINK("https://www.wikidata.org/wiki/Q28494842", "Q28494842")</f>
        <v>0</v>
      </c>
      <c r="G13095" t="s">
        <v>1666</v>
      </c>
      <c r="H13095" t="s">
        <v>6346</v>
      </c>
      <c r="I13095" t="s">
        <v>9483</v>
      </c>
      <c r="J13095" t="s">
        <v>12372</v>
      </c>
      <c r="K13095" t="s">
        <v>16780</v>
      </c>
      <c r="L13095">
        <f>HYPERLINK("https://www2.assemblee-nationale.fr/sycomore/fiche/(num_dept)/7806", "7806")</f>
        <v>0</v>
      </c>
      <c r="M13095">
        <f>HYPERLINK("https://www.senat.fr/senateur-3eme-republique/lesache_victor0233r3.html", "lesache_victor0233r3")</f>
        <v>0</v>
      </c>
      <c r="N13095">
        <f>HYPERLINK("https://www.wikidata.org/wiki/Q3557416", "Q3557416")</f>
        <v>0</v>
      </c>
      <c r="O13095" t="s">
        <v>8449</v>
      </c>
      <c r="Q13095" t="s">
        <v>16590</v>
      </c>
      <c r="R13095" t="s">
        <v>16780</v>
      </c>
      <c r="S13095">
        <v>3055</v>
      </c>
    </row>
    <row r="13096" spans="1:19">
      <c r="A13096" t="s">
        <v>144</v>
      </c>
      <c r="B13096" t="s">
        <v>150</v>
      </c>
      <c r="C13096" t="s">
        <v>276</v>
      </c>
      <c r="D13096" t="s">
        <v>405</v>
      </c>
      <c r="F13096">
        <f>HYPERLINK("https://www.wikidata.org/wiki/Q28494842", "Q28494842")</f>
        <v>0</v>
      </c>
      <c r="G13096" t="s">
        <v>5094</v>
      </c>
      <c r="H13096" t="s">
        <v>9222</v>
      </c>
      <c r="I13096" t="s">
        <v>6584</v>
      </c>
      <c r="J13096" t="s">
        <v>15508</v>
      </c>
      <c r="K13096" t="s">
        <v>19810</v>
      </c>
      <c r="M13096">
        <f>HYPERLINK("https://www.senat.fr/senateur-3eme-republique/fouilloux_albert0014r3.html", "fouilloux_albert0014r3")</f>
        <v>0</v>
      </c>
      <c r="N13096">
        <f>HYPERLINK("https://www.wikidata.org/wiki/Q2831180", "Q2831180")</f>
        <v>0</v>
      </c>
      <c r="O13096" t="s">
        <v>19986</v>
      </c>
      <c r="Q13096" t="s">
        <v>16590</v>
      </c>
      <c r="R13096" t="s">
        <v>21712</v>
      </c>
      <c r="S13096">
        <v>3282</v>
      </c>
    </row>
    <row r="13097" spans="1:19">
      <c r="A13097" t="s">
        <v>144</v>
      </c>
      <c r="B13097" t="s">
        <v>150</v>
      </c>
      <c r="C13097" t="s">
        <v>276</v>
      </c>
      <c r="D13097" t="s">
        <v>405</v>
      </c>
      <c r="F13097">
        <f>HYPERLINK("https://www.wikidata.org/wiki/Q28494842", "Q28494842")</f>
        <v>0</v>
      </c>
      <c r="G13097" t="s">
        <v>4979</v>
      </c>
      <c r="H13097" t="s">
        <v>9112</v>
      </c>
      <c r="I13097" t="s">
        <v>5528</v>
      </c>
      <c r="J13097" t="s">
        <v>15415</v>
      </c>
      <c r="K13097" t="s">
        <v>19716</v>
      </c>
      <c r="M13097">
        <f>HYPERLINK("https://www.senat.fr/senateur-3eme-republique/chenebenoit_leon0038r3.html", "chenebenoit_leon0038r3")</f>
        <v>0</v>
      </c>
      <c r="N13097">
        <f>HYPERLINK("https://www.wikidata.org/wiki/Q3270820", "Q3270820")</f>
        <v>0</v>
      </c>
      <c r="O13097" t="s">
        <v>20015</v>
      </c>
      <c r="Q13097" t="s">
        <v>16590</v>
      </c>
      <c r="R13097" t="s">
        <v>21650</v>
      </c>
      <c r="S13097">
        <v>5759</v>
      </c>
    </row>
    <row r="13098" spans="1:19">
      <c r="A13098" t="s">
        <v>144</v>
      </c>
      <c r="B13098" t="s">
        <v>150</v>
      </c>
      <c r="C13098" t="s">
        <v>276</v>
      </c>
      <c r="D13098" t="s">
        <v>405</v>
      </c>
      <c r="F13098">
        <f>HYPERLINK("https://www.wikidata.org/wiki/Q28494842", "Q28494842")</f>
        <v>0</v>
      </c>
      <c r="G13098" t="s">
        <v>4980</v>
      </c>
      <c r="H13098" t="s">
        <v>9113</v>
      </c>
      <c r="I13098" t="s">
        <v>6495</v>
      </c>
      <c r="J13098" t="s">
        <v>15416</v>
      </c>
      <c r="K13098" t="s">
        <v>19717</v>
      </c>
      <c r="M13098">
        <f>HYPERLINK("https://www.senat.fr/senateur-3eme-republique/de_lubersac_louis0034r3.html", "de_lubersac_louis0034r3")</f>
        <v>0</v>
      </c>
      <c r="N13098">
        <f>HYPERLINK("https://www.wikidata.org/wiki/Q3263518", "Q3263518")</f>
        <v>0</v>
      </c>
      <c r="O13098" t="s">
        <v>20015</v>
      </c>
      <c r="Q13098" t="s">
        <v>16590</v>
      </c>
      <c r="R13098" t="s">
        <v>21650</v>
      </c>
      <c r="S13098">
        <v>5759</v>
      </c>
    </row>
    <row r="13099" spans="1:19">
      <c r="A13099" t="s">
        <v>144</v>
      </c>
      <c r="B13099" t="s">
        <v>150</v>
      </c>
      <c r="C13099" t="s">
        <v>276</v>
      </c>
      <c r="D13099" t="s">
        <v>405</v>
      </c>
      <c r="F13099">
        <f>HYPERLINK("https://www.wikidata.org/wiki/Q28494842", "Q28494842")</f>
        <v>0</v>
      </c>
      <c r="G13099" t="s">
        <v>5112</v>
      </c>
      <c r="H13099" t="s">
        <v>8723</v>
      </c>
      <c r="I13099" t="s">
        <v>9389</v>
      </c>
      <c r="J13099" t="s">
        <v>11282</v>
      </c>
      <c r="K13099" t="s">
        <v>19824</v>
      </c>
      <c r="M13099">
        <f>HYPERLINK("https://www.senat.fr/senateur-3eme-republique/roussel_emile0027r3.html", "roussel_emile0027r3")</f>
        <v>0</v>
      </c>
      <c r="N13099">
        <f>HYPERLINK("https://www.wikidata.org/wiki/Q3588730", "Q3588730")</f>
        <v>0</v>
      </c>
      <c r="O13099" t="s">
        <v>20015</v>
      </c>
      <c r="Q13099" t="s">
        <v>16590</v>
      </c>
      <c r="R13099" t="s">
        <v>21712</v>
      </c>
      <c r="S13099">
        <v>3282</v>
      </c>
    </row>
    <row r="13100" spans="1:19">
      <c r="A13100" t="s">
        <v>144</v>
      </c>
      <c r="B13100" t="s">
        <v>150</v>
      </c>
      <c r="C13100" t="s">
        <v>276</v>
      </c>
      <c r="D13100" t="s">
        <v>405</v>
      </c>
      <c r="F13100">
        <f>HYPERLINK("https://www.wikidata.org/wiki/Q28494842", "Q28494842")</f>
        <v>0</v>
      </c>
      <c r="G13100" t="s">
        <v>4335</v>
      </c>
      <c r="H13100" t="s">
        <v>8486</v>
      </c>
      <c r="I13100" t="s">
        <v>6584</v>
      </c>
      <c r="J13100" t="s">
        <v>12567</v>
      </c>
      <c r="K13100" t="s">
        <v>19171</v>
      </c>
      <c r="M13100">
        <f>HYPERLINK("https://www.senat.fr/senateur-3eme-republique/peyronnet_albert0055r3.html", "peyronnet_albert0055r3")</f>
        <v>0</v>
      </c>
      <c r="N13100">
        <f>HYPERLINK("https://www.wikidata.org/wiki/Q2831464", "Q2831464")</f>
        <v>0</v>
      </c>
      <c r="O13100" t="s">
        <v>19999</v>
      </c>
      <c r="Q13100" t="s">
        <v>16590</v>
      </c>
      <c r="R13100" t="s">
        <v>21712</v>
      </c>
      <c r="S13100">
        <v>3282</v>
      </c>
    </row>
    <row r="13101" spans="1:19">
      <c r="A13101" t="s">
        <v>144</v>
      </c>
      <c r="B13101" t="s">
        <v>150</v>
      </c>
      <c r="C13101" t="s">
        <v>276</v>
      </c>
      <c r="D13101" t="s">
        <v>405</v>
      </c>
      <c r="F13101">
        <f>HYPERLINK("https://www.wikidata.org/wiki/Q28494842", "Q28494842")</f>
        <v>0</v>
      </c>
      <c r="G13101" t="s">
        <v>4981</v>
      </c>
      <c r="H13101" t="s">
        <v>9114</v>
      </c>
      <c r="I13101" t="s">
        <v>6200</v>
      </c>
      <c r="J13101" t="s">
        <v>11964</v>
      </c>
      <c r="K13101" t="s">
        <v>19718</v>
      </c>
      <c r="M13101">
        <f>HYPERLINK("https://www.senat.fr/senateur-3eme-republique/beaumont_jean0050r3.html", "beaumont_jean0050r3")</f>
        <v>0</v>
      </c>
      <c r="N13101">
        <f>HYPERLINK("https://www.wikidata.org/wiki/Q55030753", "Q55030753")</f>
        <v>0</v>
      </c>
      <c r="O13101" t="s">
        <v>19999</v>
      </c>
      <c r="Q13101" t="s">
        <v>16590</v>
      </c>
      <c r="R13101" t="s">
        <v>21712</v>
      </c>
      <c r="S13101">
        <v>3282</v>
      </c>
    </row>
    <row r="13102" spans="1:19">
      <c r="A13102" t="s">
        <v>144</v>
      </c>
      <c r="B13102" t="s">
        <v>150</v>
      </c>
      <c r="C13102" t="s">
        <v>276</v>
      </c>
      <c r="D13102" t="s">
        <v>405</v>
      </c>
      <c r="F13102">
        <f>HYPERLINK("https://www.wikidata.org/wiki/Q28494842", "Q28494842")</f>
        <v>0</v>
      </c>
      <c r="G13102" t="s">
        <v>5115</v>
      </c>
      <c r="H13102" t="s">
        <v>9241</v>
      </c>
      <c r="I13102" t="s">
        <v>9465</v>
      </c>
      <c r="J13102" t="s">
        <v>15525</v>
      </c>
      <c r="K13102" t="s">
        <v>19826</v>
      </c>
      <c r="M13102">
        <f>HYPERLINK("https://www.senat.fr/senateur-3eme-republique/charabot_eugene0118r3.html", "charabot_eugene0118r3")</f>
        <v>0</v>
      </c>
      <c r="N13102">
        <f>HYPERLINK("https://www.wikidata.org/wiki/Q3059764", "Q3059764")</f>
        <v>0</v>
      </c>
      <c r="O13102" t="s">
        <v>20024</v>
      </c>
      <c r="Q13102" t="s">
        <v>16590</v>
      </c>
      <c r="R13102" t="s">
        <v>21650</v>
      </c>
      <c r="S13102">
        <v>5759</v>
      </c>
    </row>
    <row r="13103" spans="1:19">
      <c r="A13103" t="s">
        <v>144</v>
      </c>
      <c r="B13103" t="s">
        <v>150</v>
      </c>
      <c r="C13103" t="s">
        <v>276</v>
      </c>
      <c r="D13103" t="s">
        <v>405</v>
      </c>
      <c r="F13103">
        <f>HYPERLINK("https://www.wikidata.org/wiki/Q28494842", "Q28494842")</f>
        <v>0</v>
      </c>
      <c r="G13103" t="s">
        <v>4983</v>
      </c>
      <c r="H13103" t="s">
        <v>9116</v>
      </c>
      <c r="I13103" t="s">
        <v>9736</v>
      </c>
      <c r="J13103" t="s">
        <v>15418</v>
      </c>
      <c r="K13103" t="s">
        <v>19720</v>
      </c>
      <c r="M13103">
        <f>HYPERLINK("https://www.senat.fr/senateur-3eme-republique/cuminal_isidore0140r3.html", "cuminal_isidore0140r3")</f>
        <v>0</v>
      </c>
      <c r="N13103">
        <f>HYPERLINK("https://www.wikidata.org/wiki/Q3155304", "Q3155304")</f>
        <v>0</v>
      </c>
      <c r="O13103" t="s">
        <v>19991</v>
      </c>
      <c r="Q13103" t="s">
        <v>16590</v>
      </c>
      <c r="R13103" t="s">
        <v>21650</v>
      </c>
      <c r="S13103">
        <v>5759</v>
      </c>
    </row>
    <row r="13104" spans="1:19">
      <c r="A13104" t="s">
        <v>144</v>
      </c>
      <c r="B13104" t="s">
        <v>150</v>
      </c>
      <c r="C13104" t="s">
        <v>276</v>
      </c>
      <c r="D13104" t="s">
        <v>405</v>
      </c>
      <c r="F13104">
        <f>HYPERLINK("https://www.wikidata.org/wiki/Q28494842", "Q28494842")</f>
        <v>0</v>
      </c>
      <c r="G13104" t="s">
        <v>5151</v>
      </c>
      <c r="H13104" t="s">
        <v>9271</v>
      </c>
      <c r="I13104" t="s">
        <v>9457</v>
      </c>
      <c r="J13104" t="s">
        <v>15556</v>
      </c>
      <c r="K13104" t="s">
        <v>19858</v>
      </c>
      <c r="M13104">
        <f>HYPERLINK("https://www.senat.fr/senateur-3eme-republique/de_pavin_de_lafarge_henri0145r3.html", "de_pavin_de_lafarge_henri0145r3")</f>
        <v>0</v>
      </c>
      <c r="N13104">
        <f>HYPERLINK("https://www.wikidata.org/wiki/Q3131752", "Q3131752")</f>
        <v>0</v>
      </c>
      <c r="O13104" t="s">
        <v>19991</v>
      </c>
      <c r="Q13104" t="s">
        <v>16590</v>
      </c>
      <c r="R13104" t="s">
        <v>21712</v>
      </c>
      <c r="S13104">
        <v>3282</v>
      </c>
    </row>
    <row r="13105" spans="1:19">
      <c r="A13105" t="s">
        <v>144</v>
      </c>
      <c r="B13105" t="s">
        <v>150</v>
      </c>
      <c r="C13105" t="s">
        <v>276</v>
      </c>
      <c r="D13105" t="s">
        <v>405</v>
      </c>
      <c r="F13105">
        <f>HYPERLINK("https://www.wikidata.org/wiki/Q28494842", "Q28494842")</f>
        <v>0</v>
      </c>
      <c r="G13105" t="s">
        <v>5152</v>
      </c>
      <c r="H13105" t="s">
        <v>9272</v>
      </c>
      <c r="I13105" t="s">
        <v>9407</v>
      </c>
      <c r="J13105" t="s">
        <v>15557</v>
      </c>
      <c r="K13105" t="s">
        <v>19859</v>
      </c>
      <c r="M13105">
        <f>HYPERLINK("https://www.senat.fr/senateur-3eme-republique/rambaud_joseph0190r3.html", "rambaud_joseph0190r3")</f>
        <v>0</v>
      </c>
      <c r="N13105">
        <f>HYPERLINK("https://www.wikidata.org/wiki/Q3184402", "Q3184402")</f>
        <v>0</v>
      </c>
      <c r="O13105" t="s">
        <v>20019</v>
      </c>
      <c r="Q13105" t="s">
        <v>16590</v>
      </c>
      <c r="R13105" t="s">
        <v>21712</v>
      </c>
      <c r="S13105">
        <v>3282</v>
      </c>
    </row>
    <row r="13106" spans="1:19">
      <c r="A13106" t="s">
        <v>144</v>
      </c>
      <c r="B13106" t="s">
        <v>150</v>
      </c>
      <c r="C13106" t="s">
        <v>276</v>
      </c>
      <c r="D13106" t="s">
        <v>405</v>
      </c>
      <c r="F13106">
        <f>HYPERLINK("https://www.wikidata.org/wiki/Q28494842", "Q28494842")</f>
        <v>0</v>
      </c>
      <c r="G13106" t="s">
        <v>5117</v>
      </c>
      <c r="H13106" t="s">
        <v>9243</v>
      </c>
      <c r="I13106" t="s">
        <v>9692</v>
      </c>
      <c r="J13106" t="s">
        <v>15527</v>
      </c>
      <c r="K13106" t="s">
        <v>19828</v>
      </c>
      <c r="M13106">
        <f>HYPERLINK("https://www.senat.fr/senateur-3eme-republique/armbruster_raymond0231r3.html", "armbruster_raymond0231r3")</f>
        <v>0</v>
      </c>
      <c r="N13106">
        <f>HYPERLINK("https://www.wikidata.org/wiki/Q3420638", "Q3420638")</f>
        <v>0</v>
      </c>
      <c r="O13106" t="s">
        <v>8449</v>
      </c>
      <c r="Q13106" t="s">
        <v>16590</v>
      </c>
      <c r="R13106" t="s">
        <v>21712</v>
      </c>
      <c r="S13106">
        <v>3282</v>
      </c>
    </row>
    <row r="13107" spans="1:19">
      <c r="A13107" t="s">
        <v>144</v>
      </c>
      <c r="B13107" t="s">
        <v>150</v>
      </c>
      <c r="C13107" t="s">
        <v>276</v>
      </c>
      <c r="D13107" t="s">
        <v>405</v>
      </c>
      <c r="F13107">
        <f>HYPERLINK("https://www.wikidata.org/wiki/Q28494842", "Q28494842")</f>
        <v>0</v>
      </c>
      <c r="G13107" t="s">
        <v>4974</v>
      </c>
      <c r="H13107" t="s">
        <v>9107</v>
      </c>
      <c r="I13107" t="s">
        <v>7642</v>
      </c>
      <c r="J13107" t="s">
        <v>15411</v>
      </c>
      <c r="K13107" t="s">
        <v>19711</v>
      </c>
      <c r="M13107">
        <f>HYPERLINK("https://www.senat.fr/senateur-3eme-republique/sarraut_maurice0276r3.html", "sarraut_maurice0276r3")</f>
        <v>0</v>
      </c>
      <c r="N13107">
        <f>HYPERLINK("https://www.wikidata.org/wiki/Q3301380", "Q3301380")</f>
        <v>0</v>
      </c>
      <c r="O13107" t="s">
        <v>19960</v>
      </c>
      <c r="Q13107" t="s">
        <v>16590</v>
      </c>
      <c r="R13107" t="s">
        <v>21650</v>
      </c>
      <c r="S13107">
        <v>5759</v>
      </c>
    </row>
    <row r="13108" spans="1:19">
      <c r="A13108" t="s">
        <v>144</v>
      </c>
      <c r="B13108" t="s">
        <v>150</v>
      </c>
      <c r="C13108" t="s">
        <v>276</v>
      </c>
      <c r="D13108" t="s">
        <v>405</v>
      </c>
      <c r="F13108">
        <f>HYPERLINK("https://www.wikidata.org/wiki/Q28494842", "Q28494842")</f>
        <v>0</v>
      </c>
      <c r="G13108" t="s">
        <v>5153</v>
      </c>
      <c r="H13108" t="s">
        <v>9273</v>
      </c>
      <c r="I13108" t="s">
        <v>6860</v>
      </c>
      <c r="J13108" t="s">
        <v>15558</v>
      </c>
      <c r="K13108" t="s">
        <v>19860</v>
      </c>
      <c r="M13108">
        <f>HYPERLINK("https://www.senat.fr/senateur-3eme-republique/de_courtois_pierre0063r3.html", "de_courtois_pierre0063r3")</f>
        <v>0</v>
      </c>
      <c r="N13108">
        <f>HYPERLINK("https://www.wikidata.org/wiki/Q3387513", "Q3387513")</f>
        <v>0</v>
      </c>
      <c r="O13108" t="s">
        <v>20033</v>
      </c>
      <c r="Q13108" t="s">
        <v>16590</v>
      </c>
      <c r="R13108" t="s">
        <v>21712</v>
      </c>
      <c r="S13108">
        <v>3282</v>
      </c>
    </row>
    <row r="13109" spans="1:19">
      <c r="A13109" t="s">
        <v>144</v>
      </c>
      <c r="B13109" t="s">
        <v>150</v>
      </c>
      <c r="C13109" t="s">
        <v>276</v>
      </c>
      <c r="D13109" t="s">
        <v>405</v>
      </c>
      <c r="F13109">
        <f>HYPERLINK("https://www.wikidata.org/wiki/Q28494842", "Q28494842")</f>
        <v>0</v>
      </c>
      <c r="G13109" t="s">
        <v>4315</v>
      </c>
      <c r="H13109" t="s">
        <v>8470</v>
      </c>
      <c r="I13109" t="s">
        <v>6495</v>
      </c>
      <c r="J13109" t="s">
        <v>14812</v>
      </c>
      <c r="K13109" t="s">
        <v>19154</v>
      </c>
      <c r="M13109">
        <f>HYPERLINK("https://www.senat.fr/senateur-3eme-republique/pasquet_louis0313r3.html", "pasquet_louis0313r3")</f>
        <v>0</v>
      </c>
      <c r="N13109">
        <f>HYPERLINK("https://www.wikidata.org/wiki/Q1871907", "Q1871907")</f>
        <v>0</v>
      </c>
      <c r="O13109" t="s">
        <v>19990</v>
      </c>
      <c r="Q13109" t="s">
        <v>16590</v>
      </c>
      <c r="R13109" t="s">
        <v>21650</v>
      </c>
      <c r="S13109">
        <v>5759</v>
      </c>
    </row>
    <row r="13110" spans="1:19">
      <c r="A13110" t="s">
        <v>144</v>
      </c>
      <c r="B13110" t="s">
        <v>150</v>
      </c>
      <c r="C13110" t="s">
        <v>276</v>
      </c>
      <c r="D13110" t="s">
        <v>405</v>
      </c>
      <c r="F13110">
        <f>HYPERLINK("https://www.wikidata.org/wiki/Q28494842", "Q28494842")</f>
        <v>0</v>
      </c>
      <c r="G13110" t="s">
        <v>5154</v>
      </c>
      <c r="H13110" t="s">
        <v>9274</v>
      </c>
      <c r="I13110" t="s">
        <v>9451</v>
      </c>
      <c r="J13110" t="s">
        <v>15559</v>
      </c>
      <c r="K13110" t="s">
        <v>19861</v>
      </c>
      <c r="M13110">
        <f>HYPERLINK("https://www.senat.fr/senateur-3eme-republique/pujes_theophile0330r3.html", "pujes_theophile0330r3")</f>
        <v>0</v>
      </c>
      <c r="N13110">
        <f>HYPERLINK("https://www.wikidata.org/wiki/Q2430606", "Q2430606")</f>
        <v>0</v>
      </c>
      <c r="O13110" t="s">
        <v>19990</v>
      </c>
      <c r="Q13110" t="s">
        <v>16590</v>
      </c>
      <c r="R13110" t="s">
        <v>21712</v>
      </c>
      <c r="S13110">
        <v>3282</v>
      </c>
    </row>
    <row r="13111" spans="1:19">
      <c r="A13111" t="s">
        <v>144</v>
      </c>
      <c r="B13111" t="s">
        <v>150</v>
      </c>
      <c r="C13111" t="s">
        <v>276</v>
      </c>
      <c r="D13111" t="s">
        <v>405</v>
      </c>
      <c r="F13111">
        <f>HYPERLINK("https://www.wikidata.org/wiki/Q28494842", "Q28494842")</f>
        <v>0</v>
      </c>
      <c r="G13111" t="s">
        <v>4323</v>
      </c>
      <c r="H13111" t="s">
        <v>8475</v>
      </c>
      <c r="I13111" t="s">
        <v>11182</v>
      </c>
      <c r="J13111" t="s">
        <v>14819</v>
      </c>
      <c r="K13111" t="s">
        <v>19159</v>
      </c>
      <c r="M13111">
        <f>HYPERLINK("https://www.senat.fr/senateur-3eme-republique/schrameck_abraham0319r3.html", "schrameck_abraham0319r3")</f>
        <v>0</v>
      </c>
      <c r="N13111">
        <f>HYPERLINK("https://www.wikidata.org/wiki/Q330586", "Q330586")</f>
        <v>0</v>
      </c>
      <c r="O13111" t="s">
        <v>19990</v>
      </c>
      <c r="Q13111" t="s">
        <v>16590</v>
      </c>
      <c r="R13111" t="s">
        <v>21712</v>
      </c>
      <c r="S13111">
        <v>3282</v>
      </c>
    </row>
    <row r="13112" spans="1:19">
      <c r="A13112" t="s">
        <v>144</v>
      </c>
      <c r="B13112" t="s">
        <v>150</v>
      </c>
      <c r="C13112" t="s">
        <v>276</v>
      </c>
      <c r="D13112" t="s">
        <v>405</v>
      </c>
      <c r="F13112">
        <f>HYPERLINK("https://www.wikidata.org/wiki/Q28494842", "Q28494842")</f>
        <v>0</v>
      </c>
      <c r="G13112" t="s">
        <v>5141</v>
      </c>
      <c r="H13112" t="s">
        <v>9062</v>
      </c>
      <c r="I13112" t="s">
        <v>6200</v>
      </c>
      <c r="J13112" t="s">
        <v>15548</v>
      </c>
      <c r="K13112" t="s">
        <v>19849</v>
      </c>
      <c r="M13112">
        <f>HYPERLINK("https://www.senat.fr/senateur-3eme-republique/boivin_champeaux_jean0407r4.html", "boivin_champeaux_jean0407r4")</f>
        <v>0</v>
      </c>
      <c r="N13112">
        <f>HYPERLINK("https://www.wikidata.org/wiki/Q3170823", "Q3170823")</f>
        <v>0</v>
      </c>
      <c r="O13112" t="s">
        <v>20009</v>
      </c>
      <c r="Q13112" t="s">
        <v>16590</v>
      </c>
      <c r="R13112" t="s">
        <v>21712</v>
      </c>
      <c r="S13112">
        <v>3282</v>
      </c>
    </row>
    <row r="13113" spans="1:19">
      <c r="A13113" t="s">
        <v>144</v>
      </c>
      <c r="B13113" t="s">
        <v>150</v>
      </c>
      <c r="C13113" t="s">
        <v>276</v>
      </c>
      <c r="D13113" t="s">
        <v>405</v>
      </c>
      <c r="F13113">
        <f>HYPERLINK("https://www.wikidata.org/wiki/Q28494842", "Q28494842")</f>
        <v>0</v>
      </c>
      <c r="G13113" t="s">
        <v>5155</v>
      </c>
      <c r="H13113" t="s">
        <v>9275</v>
      </c>
      <c r="I13113" t="s">
        <v>9457</v>
      </c>
      <c r="J13113" t="s">
        <v>15560</v>
      </c>
      <c r="K13113" t="s">
        <v>19862</v>
      </c>
      <c r="M13113">
        <f>HYPERLINK("https://www.senat.fr/senateur-3eme-republique/brunel_henri0373r3.html", "brunel_henri0373r3")</f>
        <v>0</v>
      </c>
      <c r="N13113">
        <f>HYPERLINK("https://www.wikidata.org/wiki/Q3130752", "Q3130752")</f>
        <v>0</v>
      </c>
      <c r="O13113" t="s">
        <v>19966</v>
      </c>
      <c r="Q13113" t="s">
        <v>16590</v>
      </c>
      <c r="R13113" t="s">
        <v>21712</v>
      </c>
      <c r="S13113">
        <v>3282</v>
      </c>
    </row>
    <row r="13114" spans="1:19">
      <c r="A13114" t="s">
        <v>144</v>
      </c>
      <c r="B13114" t="s">
        <v>150</v>
      </c>
      <c r="C13114" t="s">
        <v>276</v>
      </c>
      <c r="D13114" t="s">
        <v>405</v>
      </c>
      <c r="F13114">
        <f>HYPERLINK("https://www.wikidata.org/wiki/Q28494842", "Q28494842")</f>
        <v>0</v>
      </c>
      <c r="G13114" t="s">
        <v>5142</v>
      </c>
      <c r="H13114" t="s">
        <v>9262</v>
      </c>
      <c r="I13114" t="s">
        <v>6495</v>
      </c>
      <c r="J13114" t="s">
        <v>15549</v>
      </c>
      <c r="K13114" t="s">
        <v>19850</v>
      </c>
      <c r="M13114">
        <f>HYPERLINK("https://www.senat.fr/senateur-3eme-republique/delhoume_louis0401r3.html", "delhoume_louis0401r3")</f>
        <v>0</v>
      </c>
      <c r="N13114">
        <f>HYPERLINK("https://www.wikidata.org/wiki/Q3261688", "Q3261688")</f>
        <v>0</v>
      </c>
      <c r="O13114" t="s">
        <v>20031</v>
      </c>
      <c r="Q13114" t="s">
        <v>16590</v>
      </c>
      <c r="R13114" t="s">
        <v>21650</v>
      </c>
      <c r="S13114">
        <v>5759</v>
      </c>
    </row>
    <row r="13115" spans="1:19">
      <c r="A13115" t="s">
        <v>144</v>
      </c>
      <c r="B13115" t="s">
        <v>150</v>
      </c>
      <c r="C13115" t="s">
        <v>276</v>
      </c>
      <c r="D13115" t="s">
        <v>405</v>
      </c>
      <c r="F13115">
        <f>HYPERLINK("https://www.wikidata.org/wiki/Q28494842", "Q28494842")</f>
        <v>0</v>
      </c>
      <c r="G13115" t="s">
        <v>5147</v>
      </c>
      <c r="H13115" t="s">
        <v>9267</v>
      </c>
      <c r="I13115" t="s">
        <v>11238</v>
      </c>
      <c r="J13115" t="s">
        <v>13085</v>
      </c>
      <c r="K13115" t="s">
        <v>19855</v>
      </c>
      <c r="M13115">
        <f>HYPERLINK("https://www.senat.fr/senateur-3eme-republique/babaud_lacroze_leonide0398r3.html", "babaud_lacroze_leonide0398r3")</f>
        <v>0</v>
      </c>
      <c r="N13115">
        <f>HYPERLINK("https://www.wikidata.org/wiki/Q3271689", "Q3271689")</f>
        <v>0</v>
      </c>
      <c r="O13115" t="s">
        <v>20031</v>
      </c>
      <c r="Q13115" t="s">
        <v>16590</v>
      </c>
      <c r="R13115" t="s">
        <v>21712</v>
      </c>
      <c r="S13115">
        <v>3282</v>
      </c>
    </row>
    <row r="13116" spans="1:19">
      <c r="A13116" t="s">
        <v>144</v>
      </c>
      <c r="B13116" t="s">
        <v>150</v>
      </c>
      <c r="C13116" t="s">
        <v>276</v>
      </c>
      <c r="D13116" t="s">
        <v>405</v>
      </c>
      <c r="F13116">
        <f>HYPERLINK("https://www.wikidata.org/wiki/Q28494842", "Q28494842")</f>
        <v>0</v>
      </c>
      <c r="G13116" t="s">
        <v>4242</v>
      </c>
      <c r="H13116" t="s">
        <v>8416</v>
      </c>
      <c r="I13116" t="s">
        <v>9446</v>
      </c>
      <c r="J13116" t="s">
        <v>14748</v>
      </c>
      <c r="K13116" t="s">
        <v>19094</v>
      </c>
      <c r="M13116">
        <f>HYPERLINK("https://www.senat.fr/senateur-3eme-republique/chapsal_fernand0417r3.html", "chapsal_fernand0417r3")</f>
        <v>0</v>
      </c>
      <c r="N13116">
        <f>HYPERLINK("https://www.wikidata.org/wiki/Q3069075", "Q3069075")</f>
        <v>0</v>
      </c>
      <c r="O13116" t="s">
        <v>20037</v>
      </c>
      <c r="Q13116" t="s">
        <v>16590</v>
      </c>
      <c r="R13116" t="s">
        <v>21712</v>
      </c>
      <c r="S13116">
        <v>3282</v>
      </c>
    </row>
    <row r="13117" spans="1:19">
      <c r="A13117" t="s">
        <v>144</v>
      </c>
      <c r="B13117" t="s">
        <v>150</v>
      </c>
      <c r="C13117" t="s">
        <v>276</v>
      </c>
      <c r="D13117" t="s">
        <v>405</v>
      </c>
      <c r="F13117">
        <f>HYPERLINK("https://www.wikidata.org/wiki/Q28494842", "Q28494842")</f>
        <v>0</v>
      </c>
      <c r="G13117" t="s">
        <v>4967</v>
      </c>
      <c r="H13117" t="s">
        <v>9100</v>
      </c>
      <c r="I13117" t="s">
        <v>9421</v>
      </c>
      <c r="J13117" t="s">
        <v>15406</v>
      </c>
      <c r="K13117" t="s">
        <v>19704</v>
      </c>
      <c r="M13117">
        <f>HYPERLINK("https://www.senat.fr/senateur-3eme-republique/perreau_gustave0413r3.html", "perreau_gustave0413r3")</f>
        <v>0</v>
      </c>
      <c r="N13117">
        <f>HYPERLINK("https://www.wikidata.org/wiki/Q3121289", "Q3121289")</f>
        <v>0</v>
      </c>
      <c r="O13117" t="s">
        <v>20037</v>
      </c>
      <c r="Q13117" t="s">
        <v>16590</v>
      </c>
      <c r="R13117" t="s">
        <v>21650</v>
      </c>
      <c r="S13117">
        <v>5759</v>
      </c>
    </row>
    <row r="13118" spans="1:19">
      <c r="A13118" t="s">
        <v>144</v>
      </c>
      <c r="B13118" t="s">
        <v>150</v>
      </c>
      <c r="C13118" t="s">
        <v>276</v>
      </c>
      <c r="D13118" t="s">
        <v>405</v>
      </c>
      <c r="F13118">
        <f>HYPERLINK("https://www.wikidata.org/wiki/Q28494842", "Q28494842")</f>
        <v>0</v>
      </c>
      <c r="G13118" t="s">
        <v>4253</v>
      </c>
      <c r="H13118" t="s">
        <v>8422</v>
      </c>
      <c r="I13118" t="s">
        <v>6478</v>
      </c>
      <c r="J13118" t="s">
        <v>14757</v>
      </c>
      <c r="K13118" t="s">
        <v>19104</v>
      </c>
      <c r="M13118">
        <f>HYPERLINK("https://www.senat.fr/senateur-3eme-republique/jouvenel_des_ursins_henri0468r3.html", "jouvenel_des_ursins_henri0468r3")</f>
        <v>0</v>
      </c>
      <c r="N13118">
        <f>HYPERLINK("https://www.wikidata.org/wiki/Q3133192", "Q3133192")</f>
        <v>0</v>
      </c>
      <c r="O13118" t="s">
        <v>20020</v>
      </c>
      <c r="Q13118" t="s">
        <v>16590</v>
      </c>
      <c r="R13118" t="s">
        <v>21650</v>
      </c>
      <c r="S13118">
        <v>5759</v>
      </c>
    </row>
    <row r="13119" spans="1:19">
      <c r="A13119" t="s">
        <v>144</v>
      </c>
      <c r="B13119" t="s">
        <v>150</v>
      </c>
      <c r="C13119" t="s">
        <v>276</v>
      </c>
      <c r="D13119" t="s">
        <v>405</v>
      </c>
      <c r="F13119">
        <f>HYPERLINK("https://www.wikidata.org/wiki/Q28494842", "Q28494842")</f>
        <v>0</v>
      </c>
      <c r="G13119" t="s">
        <v>5075</v>
      </c>
      <c r="H13119" t="s">
        <v>9206</v>
      </c>
      <c r="I13119" t="s">
        <v>9407</v>
      </c>
      <c r="J13119" t="s">
        <v>15493</v>
      </c>
      <c r="K13119" t="s">
        <v>19794</v>
      </c>
      <c r="M13119">
        <f>HYPERLINK("https://www.senat.fr/senateur-3eme-republique/faure_joseph0463r3.html", "faure_joseph0463r3")</f>
        <v>0</v>
      </c>
      <c r="N13119">
        <f>HYPERLINK("https://www.wikidata.org/wiki/Q3184934", "Q3184934")</f>
        <v>0</v>
      </c>
      <c r="O13119" t="s">
        <v>20020</v>
      </c>
      <c r="Q13119" t="s">
        <v>16590</v>
      </c>
      <c r="R13119" t="s">
        <v>21650</v>
      </c>
      <c r="S13119">
        <v>5759</v>
      </c>
    </row>
    <row r="13120" spans="1:19">
      <c r="A13120" t="s">
        <v>144</v>
      </c>
      <c r="B13120" t="s">
        <v>150</v>
      </c>
      <c r="C13120" t="s">
        <v>276</v>
      </c>
      <c r="D13120" t="s">
        <v>405</v>
      </c>
      <c r="F13120">
        <f>HYPERLINK("https://www.wikidata.org/wiki/Q28494842", "Q28494842")</f>
        <v>0</v>
      </c>
      <c r="G13120" t="s">
        <v>5076</v>
      </c>
      <c r="H13120" t="s">
        <v>9207</v>
      </c>
      <c r="I13120" t="s">
        <v>6166</v>
      </c>
      <c r="J13120" t="s">
        <v>15494</v>
      </c>
      <c r="K13120" t="s">
        <v>16538</v>
      </c>
      <c r="M13120">
        <f>HYPERLINK("https://www.senat.fr/senateur-3eme-republique/labrousse_francois0002r4.html", "labrousse_francois0002r4")</f>
        <v>0</v>
      </c>
      <c r="N13120">
        <f>HYPERLINK("https://www.wikidata.org/wiki/Q2406575", "Q2406575")</f>
        <v>0</v>
      </c>
      <c r="O13120" t="s">
        <v>20020</v>
      </c>
      <c r="Q13120" t="s">
        <v>16590</v>
      </c>
      <c r="R13120" t="s">
        <v>21712</v>
      </c>
      <c r="S13120">
        <v>3282</v>
      </c>
    </row>
    <row r="13121" spans="1:19">
      <c r="A13121" t="s">
        <v>144</v>
      </c>
      <c r="B13121" t="s">
        <v>150</v>
      </c>
      <c r="C13121" t="s">
        <v>276</v>
      </c>
      <c r="D13121" t="s">
        <v>405</v>
      </c>
      <c r="F13121">
        <f>HYPERLINK("https://www.wikidata.org/wiki/Q28494842", "Q28494842")</f>
        <v>0</v>
      </c>
      <c r="G13121" t="s">
        <v>5077</v>
      </c>
      <c r="H13121" t="s">
        <v>9208</v>
      </c>
      <c r="I13121" t="s">
        <v>9389</v>
      </c>
      <c r="J13121" t="s">
        <v>15495</v>
      </c>
      <c r="K13121" t="s">
        <v>19795</v>
      </c>
      <c r="M13121">
        <f>HYPERLINK("https://www.senat.fr/senateur-3eme-republique/sari_emile0482r3.html", "sari_emile0482r3")</f>
        <v>0</v>
      </c>
      <c r="N13121">
        <f>HYPERLINK("https://www.wikidata.org/wiki/Q3588745", "Q3588745")</f>
        <v>0</v>
      </c>
      <c r="O13121" t="s">
        <v>19955</v>
      </c>
      <c r="Q13121" t="s">
        <v>16590</v>
      </c>
      <c r="R13121" t="s">
        <v>21650</v>
      </c>
      <c r="S13121">
        <v>5759</v>
      </c>
    </row>
    <row r="13122" spans="1:19">
      <c r="A13122" t="s">
        <v>144</v>
      </c>
      <c r="B13122" t="s">
        <v>150</v>
      </c>
      <c r="C13122" t="s">
        <v>276</v>
      </c>
      <c r="D13122" t="s">
        <v>405</v>
      </c>
      <c r="F13122">
        <f>HYPERLINK("https://www.wikidata.org/wiki/Q28494842", "Q28494842")</f>
        <v>0</v>
      </c>
      <c r="G13122" t="s">
        <v>5079</v>
      </c>
      <c r="H13122" t="s">
        <v>9210</v>
      </c>
      <c r="I13122" t="s">
        <v>9458</v>
      </c>
      <c r="J13122" t="s">
        <v>15496</v>
      </c>
      <c r="K13122" t="s">
        <v>19797</v>
      </c>
      <c r="M13122">
        <f>HYPERLINK("https://www.senat.fr/senateur-3eme-republique/grand_alfred0620r3.html", "grand_alfred0620r3")</f>
        <v>0</v>
      </c>
      <c r="N13122">
        <f>HYPERLINK("https://www.wikidata.org/wiki/Q2835157", "Q2835157")</f>
        <v>0</v>
      </c>
      <c r="O13122" t="s">
        <v>19979</v>
      </c>
      <c r="Q13122" t="s">
        <v>16590</v>
      </c>
      <c r="R13122" t="s">
        <v>21650</v>
      </c>
      <c r="S13122">
        <v>5759</v>
      </c>
    </row>
    <row r="13123" spans="1:19">
      <c r="A13123" t="s">
        <v>144</v>
      </c>
      <c r="B13123" t="s">
        <v>150</v>
      </c>
      <c r="C13123" t="s">
        <v>276</v>
      </c>
      <c r="D13123" t="s">
        <v>405</v>
      </c>
      <c r="F13123">
        <f>HYPERLINK("https://www.wikidata.org/wiki/Q28494842", "Q28494842")</f>
        <v>0</v>
      </c>
      <c r="G13123" t="s">
        <v>5140</v>
      </c>
      <c r="H13123" t="s">
        <v>8568</v>
      </c>
      <c r="I13123" t="s">
        <v>9523</v>
      </c>
      <c r="J13123" t="s">
        <v>15547</v>
      </c>
      <c r="K13123" t="s">
        <v>19848</v>
      </c>
      <c r="M13123">
        <f>HYPERLINK("https://www.senat.fr/senateur-3eme-republique/michel_marcel0657r3.html", "michel_marcel0657r3")</f>
        <v>0</v>
      </c>
      <c r="N13123">
        <f>HYPERLINK("https://www.wikidata.org/wiki/Q3289228", "Q3289228")</f>
        <v>0</v>
      </c>
      <c r="O13123" t="s">
        <v>20010</v>
      </c>
      <c r="Q13123" t="s">
        <v>16590</v>
      </c>
      <c r="R13123" t="s">
        <v>21712</v>
      </c>
      <c r="S13123">
        <v>3282</v>
      </c>
    </row>
    <row r="13124" spans="1:19">
      <c r="A13124" t="s">
        <v>144</v>
      </c>
      <c r="B13124" t="s">
        <v>150</v>
      </c>
      <c r="C13124" t="s">
        <v>276</v>
      </c>
      <c r="D13124" t="s">
        <v>405</v>
      </c>
      <c r="F13124">
        <f>HYPERLINK("https://www.wikidata.org/wiki/Q28494842", "Q28494842")</f>
        <v>0</v>
      </c>
      <c r="G13124" t="s">
        <v>5080</v>
      </c>
      <c r="H13124" t="s">
        <v>8902</v>
      </c>
      <c r="I13124" t="s">
        <v>9470</v>
      </c>
      <c r="J13124" t="s">
        <v>15497</v>
      </c>
      <c r="K13124" t="s">
        <v>19798</v>
      </c>
      <c r="M13124">
        <f>HYPERLINK("https://www.senat.fr/senateur-3eme-republique/japy_gaston0684r3.html", "japy_gaston0684r3")</f>
        <v>0</v>
      </c>
      <c r="N13124">
        <f>HYPERLINK("https://www.wikidata.org/wiki/Q3099037", "Q3099037")</f>
        <v>0</v>
      </c>
      <c r="O13124" t="s">
        <v>19973</v>
      </c>
      <c r="Q13124" t="s">
        <v>16590</v>
      </c>
      <c r="R13124" t="s">
        <v>21650</v>
      </c>
      <c r="S13124">
        <v>5759</v>
      </c>
    </row>
    <row r="13125" spans="1:19">
      <c r="A13125" t="s">
        <v>144</v>
      </c>
      <c r="B13125" t="s">
        <v>150</v>
      </c>
      <c r="C13125" t="s">
        <v>276</v>
      </c>
      <c r="D13125" t="s">
        <v>405</v>
      </c>
      <c r="F13125">
        <f>HYPERLINK("https://www.wikidata.org/wiki/Q28494842", "Q28494842")</f>
        <v>0</v>
      </c>
      <c r="G13125" t="s">
        <v>5106</v>
      </c>
      <c r="H13125" t="s">
        <v>9233</v>
      </c>
      <c r="I13125" t="s">
        <v>9818</v>
      </c>
      <c r="J13125" t="s">
        <v>15517</v>
      </c>
      <c r="K13125" t="s">
        <v>16855</v>
      </c>
      <c r="M13125">
        <f>HYPERLINK("https://www.senat.fr/senateur-3eme-republique/valette_desire0718r3.html", "valette_desire0718r3")</f>
        <v>0</v>
      </c>
      <c r="N13125">
        <f>HYPERLINK("https://www.wikidata.org/wiki/Q3045197", "Q3045197")</f>
        <v>0</v>
      </c>
      <c r="O13125" t="s">
        <v>20044</v>
      </c>
      <c r="Q13125" t="s">
        <v>16590</v>
      </c>
      <c r="R13125" t="s">
        <v>21650</v>
      </c>
      <c r="S13125">
        <v>5759</v>
      </c>
    </row>
    <row r="13126" spans="1:19">
      <c r="A13126" t="s">
        <v>144</v>
      </c>
      <c r="B13126" t="s">
        <v>150</v>
      </c>
      <c r="C13126" t="s">
        <v>276</v>
      </c>
      <c r="D13126" t="s">
        <v>405</v>
      </c>
      <c r="F13126">
        <f>HYPERLINK("https://www.wikidata.org/wiki/Q28494842", "Q28494842")</f>
        <v>0</v>
      </c>
      <c r="G13126" t="s">
        <v>4280</v>
      </c>
      <c r="H13126" t="s">
        <v>8441</v>
      </c>
      <c r="I13126" t="s">
        <v>9437</v>
      </c>
      <c r="J13126" t="s">
        <v>14779</v>
      </c>
      <c r="K13126" t="s">
        <v>19126</v>
      </c>
      <c r="M13126">
        <f>HYPERLINK("https://www.senat.fr/senateur-3eme-republique/lisbonne_emile0723r3.html", "lisbonne_emile0723r3")</f>
        <v>0</v>
      </c>
      <c r="N13126">
        <f>HYPERLINK("https://www.wikidata.org/wiki/Q3588624", "Q3588624")</f>
        <v>0</v>
      </c>
      <c r="O13126" t="s">
        <v>20044</v>
      </c>
      <c r="Q13126" t="s">
        <v>16590</v>
      </c>
      <c r="R13126" t="s">
        <v>21650</v>
      </c>
      <c r="S13126">
        <v>5759</v>
      </c>
    </row>
    <row r="13127" spans="1:19">
      <c r="A13127" t="s">
        <v>144</v>
      </c>
      <c r="B13127" t="s">
        <v>150</v>
      </c>
      <c r="C13127" t="s">
        <v>276</v>
      </c>
      <c r="D13127" t="s">
        <v>405</v>
      </c>
      <c r="F13127">
        <f>HYPERLINK("https://www.wikidata.org/wiki/Q28494842", "Q28494842")</f>
        <v>0</v>
      </c>
      <c r="G13127" t="s">
        <v>4998</v>
      </c>
      <c r="H13127" t="s">
        <v>9131</v>
      </c>
      <c r="I13127" t="s">
        <v>9457</v>
      </c>
      <c r="J13127" t="s">
        <v>15429</v>
      </c>
      <c r="K13127" t="s">
        <v>15808</v>
      </c>
      <c r="M13127">
        <f>HYPERLINK("https://www.senat.fr/senateur-3eme-republique/perdrix_henri0730r3.html", "perdrix_henri0730r3")</f>
        <v>0</v>
      </c>
      <c r="N13127">
        <f>HYPERLINK("https://www.wikidata.org/wiki/Q3131758", "Q3131758")</f>
        <v>0</v>
      </c>
      <c r="O13127" t="s">
        <v>20044</v>
      </c>
      <c r="Q13127" t="s">
        <v>16590</v>
      </c>
      <c r="R13127" t="s">
        <v>21712</v>
      </c>
      <c r="S13127">
        <v>3282</v>
      </c>
    </row>
    <row r="13128" spans="1:19">
      <c r="A13128" t="s">
        <v>144</v>
      </c>
      <c r="B13128" t="s">
        <v>150</v>
      </c>
      <c r="C13128" t="s">
        <v>276</v>
      </c>
      <c r="D13128" t="s">
        <v>405</v>
      </c>
      <c r="F13128">
        <f>HYPERLINK("https://www.wikidata.org/wiki/Q28494842", "Q28494842")</f>
        <v>0</v>
      </c>
      <c r="G13128" t="s">
        <v>4970</v>
      </c>
      <c r="H13128" t="s">
        <v>9103</v>
      </c>
      <c r="I13128" t="s">
        <v>7642</v>
      </c>
      <c r="J13128" t="s">
        <v>15409</v>
      </c>
      <c r="K13128" t="s">
        <v>19707</v>
      </c>
      <c r="M13128">
        <f>HYPERLINK("https://www.senat.fr/senateur-3eme-republique/hervey_maurice0758r3.html", "hervey_maurice0758r3")</f>
        <v>0</v>
      </c>
      <c r="N13128">
        <f>HYPERLINK("https://www.wikidata.org/wiki/Q3300912", "Q3300912")</f>
        <v>0</v>
      </c>
      <c r="O13128" t="s">
        <v>19992</v>
      </c>
      <c r="Q13128" t="s">
        <v>16590</v>
      </c>
      <c r="R13128" t="s">
        <v>21650</v>
      </c>
      <c r="S13128">
        <v>5759</v>
      </c>
    </row>
    <row r="13129" spans="1:19">
      <c r="A13129" t="s">
        <v>144</v>
      </c>
      <c r="B13129" t="s">
        <v>150</v>
      </c>
      <c r="C13129" t="s">
        <v>276</v>
      </c>
      <c r="D13129" t="s">
        <v>405</v>
      </c>
      <c r="F13129">
        <f>HYPERLINK("https://www.wikidata.org/wiki/Q28494842", "Q28494842")</f>
        <v>0</v>
      </c>
      <c r="G13129" t="s">
        <v>5156</v>
      </c>
      <c r="H13129" t="s">
        <v>9276</v>
      </c>
      <c r="I13129" t="s">
        <v>9442</v>
      </c>
      <c r="J13129" t="s">
        <v>15561</v>
      </c>
      <c r="K13129" t="s">
        <v>19863</v>
      </c>
      <c r="M13129">
        <f>HYPERLINK("https://www.senat.fr/senateur-3eme-republique/neuville_ernest0751r3.html", "neuville_ernest0751r3")</f>
        <v>0</v>
      </c>
      <c r="N13129">
        <f>HYPERLINK("https://www.wikidata.org/wiki/Q3057099", "Q3057099")</f>
        <v>0</v>
      </c>
      <c r="O13129" t="s">
        <v>19992</v>
      </c>
      <c r="Q13129" t="s">
        <v>16590</v>
      </c>
      <c r="R13129" t="s">
        <v>21712</v>
      </c>
      <c r="S13129">
        <v>3282</v>
      </c>
    </row>
    <row r="13130" spans="1:19">
      <c r="A13130" t="s">
        <v>144</v>
      </c>
      <c r="B13130" t="s">
        <v>150</v>
      </c>
      <c r="C13130" t="s">
        <v>276</v>
      </c>
      <c r="D13130" t="s">
        <v>405</v>
      </c>
      <c r="F13130">
        <f>HYPERLINK("https://www.wikidata.org/wiki/Q28494842", "Q28494842")</f>
        <v>0</v>
      </c>
      <c r="G13130" t="s">
        <v>5090</v>
      </c>
      <c r="H13130" t="s">
        <v>9219</v>
      </c>
      <c r="I13130" t="s">
        <v>9388</v>
      </c>
      <c r="J13130" t="s">
        <v>15504</v>
      </c>
      <c r="K13130" t="s">
        <v>19807</v>
      </c>
      <c r="M13130">
        <f>HYPERLINK("https://www.senat.fr/senateur-3eme-republique/bouvart_paul0778r3.html", "bouvart_paul0778r3")</f>
        <v>0</v>
      </c>
      <c r="N13130">
        <f>HYPERLINK("https://www.wikidata.org/wiki/Q3370719", "Q3370719")</f>
        <v>0</v>
      </c>
      <c r="O13130" t="s">
        <v>19971</v>
      </c>
      <c r="Q13130" t="s">
        <v>16590</v>
      </c>
      <c r="R13130" t="s">
        <v>21650</v>
      </c>
      <c r="S13130">
        <v>5759</v>
      </c>
    </row>
    <row r="13131" spans="1:19">
      <c r="A13131" t="s">
        <v>144</v>
      </c>
      <c r="B13131" t="s">
        <v>150</v>
      </c>
      <c r="C13131" t="s">
        <v>276</v>
      </c>
      <c r="D13131" t="s">
        <v>405</v>
      </c>
      <c r="F13131">
        <f>HYPERLINK("https://www.wikidata.org/wiki/Q28494842", "Q28494842")</f>
        <v>0</v>
      </c>
      <c r="G13131" t="s">
        <v>4282</v>
      </c>
      <c r="H13131" t="s">
        <v>8442</v>
      </c>
      <c r="I13131" t="s">
        <v>6200</v>
      </c>
      <c r="J13131" t="s">
        <v>14781</v>
      </c>
      <c r="K13131" t="s">
        <v>19127</v>
      </c>
      <c r="M13131">
        <f>HYPERLINK("https://www.senat.fr/senateur-3eme-republique/valadier_jean0770r3.html", "valadier_jean0770r3")</f>
        <v>0</v>
      </c>
      <c r="N13131">
        <f>HYPERLINK("https://www.wikidata.org/wiki/Q3174926", "Q3174926")</f>
        <v>0</v>
      </c>
      <c r="O13131" t="s">
        <v>19971</v>
      </c>
      <c r="Q13131" t="s">
        <v>16590</v>
      </c>
      <c r="R13131" t="s">
        <v>21712</v>
      </c>
      <c r="S13131">
        <v>3282</v>
      </c>
    </row>
    <row r="13132" spans="1:19">
      <c r="A13132" t="s">
        <v>144</v>
      </c>
      <c r="B13132" t="s">
        <v>150</v>
      </c>
      <c r="C13132" t="s">
        <v>276</v>
      </c>
      <c r="D13132" t="s">
        <v>405</v>
      </c>
      <c r="F13132">
        <f>HYPERLINK("https://www.wikidata.org/wiki/Q28494842", "Q28494842")</f>
        <v>0</v>
      </c>
      <c r="G13132" t="s">
        <v>4971</v>
      </c>
      <c r="H13132" t="s">
        <v>9104</v>
      </c>
      <c r="I13132" t="s">
        <v>7642</v>
      </c>
      <c r="J13132" t="s">
        <v>15410</v>
      </c>
      <c r="K13132" t="s">
        <v>19708</v>
      </c>
      <c r="M13132">
        <f>HYPERLINK("https://www.senat.fr/senateur-3eme-republique/fenoux_maurice0817r3.html", "fenoux_maurice0817r3")</f>
        <v>0</v>
      </c>
      <c r="N13132">
        <f>HYPERLINK("https://www.wikidata.org/wiki/Q3300770", "Q3300770")</f>
        <v>0</v>
      </c>
      <c r="O13132" t="s">
        <v>20011</v>
      </c>
      <c r="Q13132" t="s">
        <v>16590</v>
      </c>
      <c r="R13132" t="s">
        <v>21650</v>
      </c>
      <c r="S13132">
        <v>5759</v>
      </c>
    </row>
    <row r="13133" spans="1:19">
      <c r="A13133" t="s">
        <v>144</v>
      </c>
      <c r="B13133" t="s">
        <v>150</v>
      </c>
      <c r="C13133" t="s">
        <v>276</v>
      </c>
      <c r="D13133" t="s">
        <v>405</v>
      </c>
      <c r="F13133">
        <f>HYPERLINK("https://www.wikidata.org/wiki/Q28494842", "Q28494842")</f>
        <v>0</v>
      </c>
      <c r="G13133" t="s">
        <v>5138</v>
      </c>
      <c r="H13133" t="s">
        <v>9260</v>
      </c>
      <c r="I13133" t="s">
        <v>9843</v>
      </c>
      <c r="J13133" t="s">
        <v>15545</v>
      </c>
      <c r="K13133" t="s">
        <v>17017</v>
      </c>
      <c r="M13133">
        <f>HYPERLINK("https://www.senat.fr/senateur-3eme-republique/guillemot_yves0787r3.html", "guillemot_yves0787r3")</f>
        <v>0</v>
      </c>
      <c r="N13133">
        <f>HYPERLINK("https://www.wikidata.org/wiki/Q3573691", "Q3573691")</f>
        <v>0</v>
      </c>
      <c r="O13133" t="s">
        <v>20011</v>
      </c>
      <c r="Q13133" t="s">
        <v>16590</v>
      </c>
      <c r="R13133" t="s">
        <v>21650</v>
      </c>
      <c r="S13133">
        <v>5759</v>
      </c>
    </row>
    <row r="13134" spans="1:19">
      <c r="A13134" t="s">
        <v>144</v>
      </c>
      <c r="B13134" t="s">
        <v>150</v>
      </c>
      <c r="C13134" t="s">
        <v>276</v>
      </c>
      <c r="D13134" t="s">
        <v>405</v>
      </c>
      <c r="F13134">
        <f>HYPERLINK("https://www.wikidata.org/wiki/Q28494842", "Q28494842")</f>
        <v>0</v>
      </c>
      <c r="G13134" t="s">
        <v>5110</v>
      </c>
      <c r="H13134" t="s">
        <v>9237</v>
      </c>
      <c r="I13134" t="s">
        <v>6495</v>
      </c>
      <c r="J13134" t="s">
        <v>15521</v>
      </c>
      <c r="K13134" t="s">
        <v>19822</v>
      </c>
      <c r="M13134">
        <f>HYPERLINK("https://www.senat.fr/senateur-3eme-republique/mejan_louis0834r3.html", "mejan_louis0834r3")</f>
        <v>0</v>
      </c>
      <c r="N13134">
        <f>HYPERLINK("https://www.wikidata.org/wiki/Q1871880", "Q1871880")</f>
        <v>0</v>
      </c>
      <c r="O13134" t="s">
        <v>20014</v>
      </c>
      <c r="Q13134" t="s">
        <v>16590</v>
      </c>
      <c r="R13134" t="s">
        <v>21650</v>
      </c>
      <c r="S13134">
        <v>5759</v>
      </c>
    </row>
    <row r="13135" spans="1:19">
      <c r="A13135" t="s">
        <v>144</v>
      </c>
      <c r="B13135" t="s">
        <v>150</v>
      </c>
      <c r="C13135" t="s">
        <v>276</v>
      </c>
      <c r="D13135" t="s">
        <v>405</v>
      </c>
      <c r="F13135">
        <f>HYPERLINK("https://www.wikidata.org/wiki/Q28494842", "Q28494842")</f>
        <v>0</v>
      </c>
      <c r="G13135" t="s">
        <v>5107</v>
      </c>
      <c r="H13135" t="s">
        <v>9234</v>
      </c>
      <c r="I13135" t="s">
        <v>6175</v>
      </c>
      <c r="J13135" t="s">
        <v>15518</v>
      </c>
      <c r="K13135" t="s">
        <v>19819</v>
      </c>
      <c r="M13135">
        <f>HYPERLINK("https://www.senat.fr/senateur-3eme-republique/bruguier_georges0829r3.html", "bruguier_georges0829r3")</f>
        <v>0</v>
      </c>
      <c r="N13135">
        <f>HYPERLINK("https://www.wikidata.org/wiki/Q1508824", "Q1508824")</f>
        <v>0</v>
      </c>
      <c r="O13135" t="s">
        <v>20014</v>
      </c>
      <c r="Q13135" t="s">
        <v>16590</v>
      </c>
      <c r="R13135" t="s">
        <v>21712</v>
      </c>
      <c r="S13135">
        <v>3282</v>
      </c>
    </row>
    <row r="13136" spans="1:19">
      <c r="A13136" t="s">
        <v>144</v>
      </c>
      <c r="B13136" t="s">
        <v>150</v>
      </c>
      <c r="C13136" t="s">
        <v>276</v>
      </c>
      <c r="D13136" t="s">
        <v>405</v>
      </c>
      <c r="F13136">
        <f>HYPERLINK("https://www.wikidata.org/wiki/Q28494842", "Q28494842")</f>
        <v>0</v>
      </c>
      <c r="G13136" t="s">
        <v>4273</v>
      </c>
      <c r="H13136" t="s">
        <v>6822</v>
      </c>
      <c r="I13136" t="s">
        <v>6478</v>
      </c>
      <c r="J13136" t="s">
        <v>14772</v>
      </c>
      <c r="K13136" t="s">
        <v>19120</v>
      </c>
      <c r="M13136">
        <f>HYPERLINK("https://www.senat.fr/senateur-3eme-republique/berenger_henry0845r3.html", "berenger_henry0845r3")</f>
        <v>0</v>
      </c>
      <c r="N13136">
        <f>HYPERLINK("https://www.wikidata.org/wiki/Q377169", "Q377169")</f>
        <v>0</v>
      </c>
      <c r="O13136" t="s">
        <v>20028</v>
      </c>
      <c r="Q13136" t="s">
        <v>16590</v>
      </c>
      <c r="R13136" t="s">
        <v>21712</v>
      </c>
      <c r="S13136">
        <v>3282</v>
      </c>
    </row>
    <row r="13137" spans="1:19">
      <c r="A13137" t="s">
        <v>144</v>
      </c>
      <c r="B13137" t="s">
        <v>150</v>
      </c>
      <c r="C13137" t="s">
        <v>276</v>
      </c>
      <c r="D13137" t="s">
        <v>405</v>
      </c>
      <c r="F13137">
        <f>HYPERLINK("https://www.wikidata.org/wiki/Q28494842", "Q28494842")</f>
        <v>0</v>
      </c>
      <c r="G13137" t="s">
        <v>5143</v>
      </c>
      <c r="H13137" t="s">
        <v>9263</v>
      </c>
      <c r="I13137" t="s">
        <v>11237</v>
      </c>
      <c r="J13137" t="s">
        <v>15550</v>
      </c>
      <c r="K13137" t="s">
        <v>19851</v>
      </c>
      <c r="M13137">
        <f>HYPERLINK("https://www.senat.fr/senateur-3eme-republique/benard_leonus0852r3.html", "benard_leonus0852r3")</f>
        <v>0</v>
      </c>
      <c r="N13137">
        <f>HYPERLINK("https://www.wikidata.org/wiki/Q3271752", "Q3271752")</f>
        <v>0</v>
      </c>
      <c r="O13137" t="s">
        <v>19963</v>
      </c>
      <c r="Q13137" t="s">
        <v>16590</v>
      </c>
      <c r="R13137" t="s">
        <v>21712</v>
      </c>
      <c r="S13137">
        <v>3282</v>
      </c>
    </row>
    <row r="13138" spans="1:19">
      <c r="A13138" t="s">
        <v>144</v>
      </c>
      <c r="B13138" t="s">
        <v>150</v>
      </c>
      <c r="C13138" t="s">
        <v>276</v>
      </c>
      <c r="D13138" t="s">
        <v>405</v>
      </c>
      <c r="F13138">
        <f>HYPERLINK("https://www.wikidata.org/wiki/Q28494842", "Q28494842")</f>
        <v>0</v>
      </c>
      <c r="G13138" t="s">
        <v>4347</v>
      </c>
      <c r="H13138" t="s">
        <v>7359</v>
      </c>
      <c r="I13138" t="s">
        <v>9391</v>
      </c>
      <c r="J13138" t="s">
        <v>14839</v>
      </c>
      <c r="K13138" t="s">
        <v>19181</v>
      </c>
      <c r="M13138">
        <f>HYPERLINK("https://www.senat.fr/senateur-3eme-republique/chauveau_claude0544r3.html", "chauveau_claude0544r3")</f>
        <v>0</v>
      </c>
      <c r="N13138">
        <f>HYPERLINK("https://www.wikidata.org/wiki/Q2977185", "Q2977185")</f>
        <v>0</v>
      </c>
      <c r="Q13138" t="s">
        <v>16590</v>
      </c>
      <c r="R13138" t="s">
        <v>21712</v>
      </c>
      <c r="S13138">
        <v>3282</v>
      </c>
    </row>
    <row r="13139" spans="1:19">
      <c r="A13139" t="s">
        <v>144</v>
      </c>
      <c r="B13139" t="s">
        <v>150</v>
      </c>
      <c r="C13139" t="s">
        <v>276</v>
      </c>
      <c r="D13139" t="s">
        <v>405</v>
      </c>
      <c r="F13139">
        <f>HYPERLINK("https://www.wikidata.org/wiki/Q28494842", "Q28494842")</f>
        <v>0</v>
      </c>
      <c r="G13139" t="s">
        <v>5068</v>
      </c>
      <c r="H13139" t="s">
        <v>9200</v>
      </c>
      <c r="I13139" t="s">
        <v>6860</v>
      </c>
      <c r="J13139" t="s">
        <v>15487</v>
      </c>
      <c r="K13139" t="s">
        <v>19788</v>
      </c>
      <c r="M13139">
        <f>HYPERLINK("https://www.senat.fr/senateur-3eme-republique/jossot_pierre0554r3.html", "jossot_pierre0554r3")</f>
        <v>0</v>
      </c>
      <c r="N13139">
        <f>HYPERLINK("https://www.wikidata.org/wiki/Q3385628", "Q3385628")</f>
        <v>0</v>
      </c>
      <c r="Q13139" t="s">
        <v>16590</v>
      </c>
      <c r="R13139" t="s">
        <v>21712</v>
      </c>
      <c r="S13139">
        <v>3282</v>
      </c>
    </row>
    <row r="13140" spans="1:19">
      <c r="A13140" t="s">
        <v>144</v>
      </c>
      <c r="B13140" t="s">
        <v>150</v>
      </c>
      <c r="C13140" t="s">
        <v>276</v>
      </c>
      <c r="D13140" t="s">
        <v>405</v>
      </c>
      <c r="F13140">
        <f>HYPERLINK("https://www.wikidata.org/wiki/Q28494842", "Q28494842")</f>
        <v>0</v>
      </c>
      <c r="G13140" t="s">
        <v>5083</v>
      </c>
      <c r="H13140" t="s">
        <v>9213</v>
      </c>
      <c r="I13140" t="s">
        <v>7419</v>
      </c>
      <c r="J13140" t="s">
        <v>12323</v>
      </c>
      <c r="K13140" t="s">
        <v>15899</v>
      </c>
      <c r="M13140">
        <f>HYPERLINK("https://www.senat.fr/senateur-3eme-republique/duroux_jacques0840r3.html", "duroux_jacques0840r3")</f>
        <v>0</v>
      </c>
      <c r="N13140">
        <f>HYPERLINK("https://www.wikidata.org/wiki/Q20027700", "Q20027700")</f>
        <v>0</v>
      </c>
      <c r="Q13140" t="s">
        <v>16590</v>
      </c>
      <c r="R13140" t="s">
        <v>21650</v>
      </c>
      <c r="S13140">
        <v>5759</v>
      </c>
    </row>
    <row r="13141" spans="1:19">
      <c r="A13141" t="s">
        <v>144</v>
      </c>
      <c r="B13141" t="s">
        <v>150</v>
      </c>
      <c r="C13141" t="s">
        <v>276</v>
      </c>
      <c r="D13141" t="s">
        <v>405</v>
      </c>
      <c r="F13141">
        <f>HYPERLINK("https://www.wikidata.org/wiki/Q28494842", "Q28494842")</f>
        <v>0</v>
      </c>
      <c r="G13141" t="s">
        <v>1398</v>
      </c>
      <c r="H13141" t="s">
        <v>6109</v>
      </c>
      <c r="I13141" t="s">
        <v>9407</v>
      </c>
      <c r="J13141" t="s">
        <v>12124</v>
      </c>
      <c r="K13141" t="s">
        <v>16525</v>
      </c>
      <c r="L13141">
        <f>HYPERLINK("https://www2.assemblee-nationale.fr/sycomore/fiche/(num_dept)/1429", "1429")</f>
        <v>0</v>
      </c>
      <c r="M13141">
        <f>HYPERLINK("https://www.senat.fr/senateur-3eme-republique/capus_joseph0215r3.html", "capus_joseph0215r3")</f>
        <v>0</v>
      </c>
      <c r="N13141">
        <f>HYPERLINK("https://www.wikidata.org/wiki/Q2405409", "Q2405409")</f>
        <v>0</v>
      </c>
      <c r="O13141" t="s">
        <v>19987</v>
      </c>
      <c r="Q13141" t="s">
        <v>21299</v>
      </c>
      <c r="R13141" t="s">
        <v>16357</v>
      </c>
      <c r="S13141">
        <v>1072</v>
      </c>
    </row>
    <row r="13142" spans="1:19">
      <c r="A13142" t="s">
        <v>144</v>
      </c>
      <c r="B13142" t="s">
        <v>150</v>
      </c>
      <c r="C13142" t="s">
        <v>276</v>
      </c>
      <c r="D13142" t="s">
        <v>405</v>
      </c>
      <c r="F13142">
        <f>HYPERLINK("https://www.wikidata.org/wiki/Q28494842", "Q28494842")</f>
        <v>0</v>
      </c>
      <c r="G13142" t="s">
        <v>1390</v>
      </c>
      <c r="H13142" t="s">
        <v>6101</v>
      </c>
      <c r="I13142" t="s">
        <v>6495</v>
      </c>
      <c r="J13142" t="s">
        <v>12116</v>
      </c>
      <c r="K13142" t="s">
        <v>16517</v>
      </c>
      <c r="L13142">
        <f>HYPERLINK("https://www2.assemblee-nationale.fr/sycomore/fiche/(num_dept)/1235", "1235")</f>
        <v>0</v>
      </c>
      <c r="M13142">
        <f>HYPERLINK("https://www.senat.fr/senateur-3eme-republique/bringer_louis0862r3.html", "bringer_louis0862r3")</f>
        <v>0</v>
      </c>
      <c r="N13142">
        <f>HYPERLINK("https://www.wikidata.org/wiki/Q3261361", "Q3261361")</f>
        <v>0</v>
      </c>
      <c r="O13142" t="s">
        <v>20004</v>
      </c>
      <c r="Q13142" t="s">
        <v>21300</v>
      </c>
      <c r="R13142" t="s">
        <v>16357</v>
      </c>
      <c r="S13142">
        <v>1023</v>
      </c>
    </row>
    <row r="13143" spans="1:19">
      <c r="A13143" t="s">
        <v>144</v>
      </c>
      <c r="B13143" t="s">
        <v>150</v>
      </c>
      <c r="C13143" t="s">
        <v>276</v>
      </c>
      <c r="D13143" t="s">
        <v>405</v>
      </c>
      <c r="F13143">
        <f>HYPERLINK("https://www.wikidata.org/wiki/Q28494842", "Q28494842")</f>
        <v>0</v>
      </c>
      <c r="G13143" t="s">
        <v>5157</v>
      </c>
      <c r="H13143" t="s">
        <v>9277</v>
      </c>
      <c r="I13143" t="s">
        <v>6495</v>
      </c>
      <c r="J13143" t="s">
        <v>15562</v>
      </c>
      <c r="K13143" t="s">
        <v>19864</v>
      </c>
      <c r="M13143">
        <f>HYPERLINK("https://www.senat.fr/senateur-3eme-republique/garrigou_louis0606r3.html", "garrigou_louis0606r3")</f>
        <v>0</v>
      </c>
      <c r="N13143">
        <f>HYPERLINK("https://www.wikidata.org/wiki/Q3262008", "Q3262008")</f>
        <v>0</v>
      </c>
      <c r="O13143" t="s">
        <v>19974</v>
      </c>
      <c r="Q13143" t="s">
        <v>21300</v>
      </c>
      <c r="R13143" t="s">
        <v>16357</v>
      </c>
      <c r="S13143">
        <v>1023</v>
      </c>
    </row>
    <row r="13144" spans="1:19">
      <c r="A13144" t="s">
        <v>144</v>
      </c>
      <c r="B13144" t="s">
        <v>150</v>
      </c>
      <c r="C13144" t="s">
        <v>276</v>
      </c>
      <c r="D13144" t="s">
        <v>405</v>
      </c>
      <c r="F13144">
        <f>HYPERLINK("https://www.wikidata.org/wiki/Q28494842", "Q28494842")</f>
        <v>0</v>
      </c>
      <c r="G13144" t="s">
        <v>4993</v>
      </c>
      <c r="H13144" t="s">
        <v>9126</v>
      </c>
      <c r="I13144" t="s">
        <v>9388</v>
      </c>
      <c r="J13144" t="s">
        <v>11732</v>
      </c>
      <c r="K13144" t="s">
        <v>19729</v>
      </c>
      <c r="M13144">
        <f>HYPERLINK("https://www.senat.fr/senateur-3eme-republique/lederlin_paul0496r3.html", "lederlin_paul0496r3")</f>
        <v>0</v>
      </c>
      <c r="N13144">
        <f>HYPERLINK("https://www.wikidata.org/wiki/Q3371663", "Q3371663")</f>
        <v>0</v>
      </c>
      <c r="O13144" t="s">
        <v>19955</v>
      </c>
      <c r="Q13144" t="s">
        <v>21301</v>
      </c>
      <c r="R13144" t="s">
        <v>21712</v>
      </c>
      <c r="S13144">
        <v>3165</v>
      </c>
    </row>
    <row r="13145" spans="1:19">
      <c r="A13145" t="s">
        <v>144</v>
      </c>
      <c r="B13145" t="s">
        <v>150</v>
      </c>
      <c r="C13145" t="s">
        <v>276</v>
      </c>
      <c r="D13145" t="s">
        <v>405</v>
      </c>
      <c r="F13145">
        <f>HYPERLINK("https://www.wikidata.org/wiki/Q28494842", "Q28494842")</f>
        <v>0</v>
      </c>
      <c r="G13145" t="s">
        <v>569</v>
      </c>
      <c r="H13145" t="s">
        <v>5332</v>
      </c>
      <c r="I13145" t="s">
        <v>9422</v>
      </c>
      <c r="J13145" t="s">
        <v>11320</v>
      </c>
      <c r="K13145" t="s">
        <v>15721</v>
      </c>
      <c r="L13145">
        <f>HYPERLINK("https://www2.assemblee-nationale.fr/sycomore/fiche/(num_dept)/1693", "1693")</f>
        <v>0</v>
      </c>
      <c r="M13145">
        <f>HYPERLINK("https://www.senat.fr/senateur-3eme-republique/chassaing_eugene0995r3.html", "chassaing_eugene0995r3")</f>
        <v>0</v>
      </c>
      <c r="N13145">
        <f>HYPERLINK("https://www.wikidata.org/wiki/Q3059770", "Q3059770")</f>
        <v>0</v>
      </c>
      <c r="O13145" t="s">
        <v>20005</v>
      </c>
      <c r="Q13145" t="s">
        <v>16844</v>
      </c>
      <c r="R13145" t="s">
        <v>21719</v>
      </c>
      <c r="S13145">
        <v>2017</v>
      </c>
    </row>
    <row r="13146" spans="1:19">
      <c r="A13146" t="s">
        <v>144</v>
      </c>
      <c r="B13146" t="s">
        <v>150</v>
      </c>
      <c r="C13146" t="s">
        <v>276</v>
      </c>
      <c r="D13146" t="s">
        <v>405</v>
      </c>
      <c r="F13146">
        <f>HYPERLINK("https://www.wikidata.org/wiki/Q28494842", "Q28494842")</f>
        <v>0</v>
      </c>
      <c r="G13146" t="s">
        <v>1306</v>
      </c>
      <c r="H13146" t="s">
        <v>6027</v>
      </c>
      <c r="I13146" t="s">
        <v>6860</v>
      </c>
      <c r="J13146" t="s">
        <v>12036</v>
      </c>
      <c r="K13146" t="s">
        <v>16437</v>
      </c>
      <c r="L13146">
        <f>HYPERLINK("https://www2.assemblee-nationale.fr/sycomore/fiche/(num_dept)/6591", "6591")</f>
        <v>0</v>
      </c>
      <c r="M13146">
        <f>HYPERLINK("https://www.senat.fr/senateur-3eme-republique/rameil_pierre1090r3.html", "rameil_pierre1090r3")</f>
        <v>0</v>
      </c>
      <c r="N13146">
        <f>HYPERLINK("https://www.wikidata.org/wiki/Q3386748", "Q3386748")</f>
        <v>0</v>
      </c>
      <c r="O13146" t="s">
        <v>20001</v>
      </c>
      <c r="Q13146" t="s">
        <v>16844</v>
      </c>
      <c r="R13146" t="s">
        <v>16437</v>
      </c>
      <c r="S13146">
        <v>2039</v>
      </c>
    </row>
    <row r="13147" spans="1:19">
      <c r="A13147" t="s">
        <v>144</v>
      </c>
      <c r="B13147" t="s">
        <v>150</v>
      </c>
      <c r="C13147" t="s">
        <v>276</v>
      </c>
      <c r="D13147" t="s">
        <v>405</v>
      </c>
      <c r="F13147">
        <f>HYPERLINK("https://www.wikidata.org/wiki/Q28494842", "Q28494842")</f>
        <v>0</v>
      </c>
      <c r="G13147" t="s">
        <v>5158</v>
      </c>
      <c r="H13147" t="s">
        <v>9278</v>
      </c>
      <c r="I13147" t="s">
        <v>7642</v>
      </c>
      <c r="J13147" t="s">
        <v>326</v>
      </c>
      <c r="K13147" t="s">
        <v>19865</v>
      </c>
      <c r="M13147">
        <f>HYPERLINK("https://www.senat.fr/senateur-3eme-republique/cabart_danneville_maurice1042r3.html", "cabart_danneville_maurice1042r3")</f>
        <v>0</v>
      </c>
      <c r="N13147">
        <f>HYPERLINK("https://www.wikidata.org/wiki/Q3300512", "Q3300512")</f>
        <v>0</v>
      </c>
      <c r="O13147" t="s">
        <v>19985</v>
      </c>
      <c r="Q13147" t="s">
        <v>21302</v>
      </c>
      <c r="R13147" t="s">
        <v>16357</v>
      </c>
      <c r="S13147">
        <v>897</v>
      </c>
    </row>
    <row r="13148" spans="1:19">
      <c r="A13148" t="s">
        <v>144</v>
      </c>
      <c r="B13148" t="s">
        <v>150</v>
      </c>
      <c r="C13148" t="s">
        <v>276</v>
      </c>
      <c r="D13148" t="s">
        <v>405</v>
      </c>
      <c r="F13148">
        <f>HYPERLINK("https://www.wikidata.org/wiki/Q28494842", "Q28494842")</f>
        <v>0</v>
      </c>
      <c r="G13148" t="s">
        <v>1910</v>
      </c>
      <c r="H13148" t="s">
        <v>6558</v>
      </c>
      <c r="I13148" t="s">
        <v>9995</v>
      </c>
      <c r="J13148" t="s">
        <v>12596</v>
      </c>
      <c r="K13148" t="s">
        <v>17008</v>
      </c>
      <c r="L13148">
        <f>HYPERLINK("https://www2.assemblee-nationale.fr/sycomore/fiche/(num_dept)/7353", "7353")</f>
        <v>0</v>
      </c>
      <c r="M13148">
        <f>HYPERLINK("https://www.senat.fr/senateur-3eme-republique/villemant_emile0039r3.html", "villemant_emile0039r3")</f>
        <v>0</v>
      </c>
      <c r="N13148">
        <f>HYPERLINK("https://www.wikidata.org/wiki/Q3588784", "Q3588784")</f>
        <v>0</v>
      </c>
      <c r="O13148" t="s">
        <v>20015</v>
      </c>
      <c r="Q13148" t="s">
        <v>21303</v>
      </c>
      <c r="R13148" t="s">
        <v>17008</v>
      </c>
      <c r="S13148">
        <v>1282</v>
      </c>
    </row>
    <row r="13149" spans="1:19">
      <c r="A13149" t="s">
        <v>144</v>
      </c>
      <c r="B13149" t="s">
        <v>150</v>
      </c>
      <c r="C13149" t="s">
        <v>276</v>
      </c>
      <c r="D13149" t="s">
        <v>405</v>
      </c>
      <c r="F13149">
        <f>HYPERLINK("https://www.wikidata.org/wiki/Q28494842", "Q28494842")</f>
        <v>0</v>
      </c>
      <c r="G13149" t="s">
        <v>5159</v>
      </c>
      <c r="H13149" t="s">
        <v>9279</v>
      </c>
      <c r="I13149" t="s">
        <v>9476</v>
      </c>
      <c r="J13149" t="s">
        <v>11746</v>
      </c>
      <c r="K13149" t="s">
        <v>19866</v>
      </c>
      <c r="M13149">
        <f>HYPERLINK("https://www.senat.fr/senateur-3eme-republique/buquin_rene1242r3.html", "buquin_rene1242r3")</f>
        <v>0</v>
      </c>
      <c r="N13149">
        <f>HYPERLINK("https://www.wikidata.org/wiki/Q3425936", "Q3425936")</f>
        <v>0</v>
      </c>
      <c r="O13149" t="s">
        <v>19956</v>
      </c>
      <c r="Q13149" t="s">
        <v>20608</v>
      </c>
      <c r="R13149" t="s">
        <v>21719</v>
      </c>
      <c r="S13149">
        <v>1926</v>
      </c>
    </row>
    <row r="13150" spans="1:19">
      <c r="A13150" t="s">
        <v>144</v>
      </c>
      <c r="B13150" t="s">
        <v>150</v>
      </c>
      <c r="C13150" t="s">
        <v>276</v>
      </c>
      <c r="D13150" t="s">
        <v>405</v>
      </c>
      <c r="F13150">
        <f>HYPERLINK("https://www.wikidata.org/wiki/Q28494842", "Q28494842")</f>
        <v>0</v>
      </c>
      <c r="G13150" t="s">
        <v>5160</v>
      </c>
      <c r="H13150" t="s">
        <v>9280</v>
      </c>
      <c r="I13150" t="s">
        <v>6495</v>
      </c>
      <c r="J13150" t="s">
        <v>15563</v>
      </c>
      <c r="K13150" t="s">
        <v>16680</v>
      </c>
      <c r="M13150">
        <f>HYPERLINK("https://www.senat.fr/senateur-3eme-republique/muret_louis1657r3.html", "muret_louis1657r3")</f>
        <v>0</v>
      </c>
      <c r="N13150">
        <f>HYPERLINK("https://www.wikidata.org/wiki/Q3262767", "Q3262767")</f>
        <v>0</v>
      </c>
      <c r="O13150" t="s">
        <v>19976</v>
      </c>
      <c r="Q13150" t="s">
        <v>20608</v>
      </c>
      <c r="R13150" t="s">
        <v>21719</v>
      </c>
      <c r="S13150">
        <v>1926</v>
      </c>
    </row>
    <row r="13151" spans="1:19">
      <c r="A13151" t="s">
        <v>144</v>
      </c>
      <c r="B13151" t="s">
        <v>150</v>
      </c>
      <c r="C13151" t="s">
        <v>276</v>
      </c>
      <c r="D13151" t="s">
        <v>405</v>
      </c>
      <c r="F13151">
        <f>HYPERLINK("https://www.wikidata.org/wiki/Q28494842", "Q28494842")</f>
        <v>0</v>
      </c>
      <c r="G13151" t="s">
        <v>4339</v>
      </c>
      <c r="H13151" t="s">
        <v>8490</v>
      </c>
      <c r="I13151" t="s">
        <v>10950</v>
      </c>
      <c r="J13151" t="s">
        <v>14832</v>
      </c>
      <c r="K13151" t="s">
        <v>19175</v>
      </c>
      <c r="M13151">
        <f>HYPERLINK("https://www.senat.fr/senateur-3eme-republique/de_la_grange_amaury1389r3.html", "de_la_grange_amaury1389r3")</f>
        <v>0</v>
      </c>
      <c r="N13151">
        <f>HYPERLINK("https://www.wikidata.org/wiki/Q2841414", "Q2841414")</f>
        <v>0</v>
      </c>
      <c r="O13151" t="s">
        <v>20013</v>
      </c>
      <c r="Q13151" t="s">
        <v>21304</v>
      </c>
      <c r="R13151" t="s">
        <v>16357</v>
      </c>
      <c r="S13151">
        <v>785</v>
      </c>
    </row>
    <row r="13152" spans="1:19">
      <c r="A13152" t="s">
        <v>144</v>
      </c>
      <c r="B13152" t="s">
        <v>150</v>
      </c>
      <c r="C13152" t="s">
        <v>276</v>
      </c>
      <c r="D13152" t="s">
        <v>405</v>
      </c>
      <c r="F13152">
        <f>HYPERLINK("https://www.wikidata.org/wiki/Q28494842", "Q28494842")</f>
        <v>0</v>
      </c>
      <c r="G13152" t="s">
        <v>1156</v>
      </c>
      <c r="H13152" t="s">
        <v>5890</v>
      </c>
      <c r="I13152" t="s">
        <v>9684</v>
      </c>
      <c r="J13152" t="s">
        <v>11890</v>
      </c>
      <c r="K13152" t="s">
        <v>16291</v>
      </c>
      <c r="L13152">
        <f>HYPERLINK("https://www2.assemblee-nationale.fr/sycomore/fiche/(num_dept)/1353", "1353")</f>
        <v>0</v>
      </c>
      <c r="M13152">
        <f>HYPERLINK("https://www.senat.fr/senateur-3eme-republique/cadot_henri0980r3.html", "cadot_henri0980r3")</f>
        <v>0</v>
      </c>
      <c r="N13152">
        <f>HYPERLINK("https://www.wikidata.org/wiki/Q3130771", "Q3130771")</f>
        <v>0</v>
      </c>
      <c r="O13152" t="s">
        <v>19968</v>
      </c>
      <c r="Q13152" t="s">
        <v>21305</v>
      </c>
      <c r="R13152" t="s">
        <v>21719</v>
      </c>
      <c r="S13152">
        <v>1849</v>
      </c>
    </row>
    <row r="13153" spans="1:19">
      <c r="A13153" t="s">
        <v>144</v>
      </c>
      <c r="B13153" t="s">
        <v>150</v>
      </c>
      <c r="C13153" t="s">
        <v>276</v>
      </c>
      <c r="D13153" t="s">
        <v>405</v>
      </c>
      <c r="F13153">
        <f>HYPERLINK("https://www.wikidata.org/wiki/Q28494842", "Q28494842")</f>
        <v>0</v>
      </c>
      <c r="G13153" t="s">
        <v>4269</v>
      </c>
      <c r="H13153" t="s">
        <v>8434</v>
      </c>
      <c r="I13153" t="s">
        <v>9483</v>
      </c>
      <c r="J13153" t="s">
        <v>14769</v>
      </c>
      <c r="K13153" t="s">
        <v>17473</v>
      </c>
      <c r="M13153">
        <f>HYPERLINK("https://www.senat.fr/senateur-3eme-republique/le_gorgeu_victor0818r3.html", "le_gorgeu_victor0818r3")</f>
        <v>0</v>
      </c>
      <c r="N13153">
        <f>HYPERLINK("https://www.wikidata.org/wiki/Q3557509", "Q3557509")</f>
        <v>0</v>
      </c>
      <c r="O13153" t="s">
        <v>20011</v>
      </c>
      <c r="Q13153" t="s">
        <v>21306</v>
      </c>
      <c r="R13153" t="s">
        <v>21712</v>
      </c>
      <c r="S13153">
        <v>2900</v>
      </c>
    </row>
    <row r="13154" spans="1:19">
      <c r="A13154" t="s">
        <v>144</v>
      </c>
      <c r="B13154" t="s">
        <v>150</v>
      </c>
      <c r="C13154" t="s">
        <v>276</v>
      </c>
      <c r="D13154" t="s">
        <v>405</v>
      </c>
      <c r="F13154">
        <f>HYPERLINK("https://www.wikidata.org/wiki/Q28494842", "Q28494842")</f>
        <v>0</v>
      </c>
      <c r="G13154" t="s">
        <v>1240</v>
      </c>
      <c r="H13154" t="s">
        <v>5965</v>
      </c>
      <c r="I13154" t="s">
        <v>9457</v>
      </c>
      <c r="J13154" t="s">
        <v>11971</v>
      </c>
      <c r="K13154" t="s">
        <v>16374</v>
      </c>
      <c r="L13154">
        <f>HYPERLINK("https://www2.assemblee-nationale.fr/sycomore/fiche/(num_dept)/1939", "1939")</f>
        <v>0</v>
      </c>
      <c r="M13154">
        <f>HYPERLINK("https://www.senat.fr/senateur-3eme-republique/connevot_henri0649r3.html", "connevot_henri0649r3")</f>
        <v>0</v>
      </c>
      <c r="N13154">
        <f>HYPERLINK("https://www.wikidata.org/wiki/Q3130867", "Q3130867")</f>
        <v>0</v>
      </c>
      <c r="O13154" t="s">
        <v>19979</v>
      </c>
      <c r="Q13154" t="s">
        <v>21307</v>
      </c>
      <c r="R13154" t="s">
        <v>16374</v>
      </c>
      <c r="S13154">
        <v>2615</v>
      </c>
    </row>
    <row r="13155" spans="1:19">
      <c r="A13155" t="s">
        <v>144</v>
      </c>
      <c r="B13155" t="s">
        <v>150</v>
      </c>
      <c r="C13155" t="s">
        <v>276</v>
      </c>
      <c r="D13155" t="s">
        <v>405</v>
      </c>
      <c r="F13155">
        <f>HYPERLINK("https://www.wikidata.org/wiki/Q28494842", "Q28494842")</f>
        <v>0</v>
      </c>
      <c r="G13155" t="s">
        <v>1241</v>
      </c>
      <c r="H13155" t="s">
        <v>5966</v>
      </c>
      <c r="I13155" t="s">
        <v>6175</v>
      </c>
      <c r="J13155" t="s">
        <v>11972</v>
      </c>
      <c r="K13155" t="s">
        <v>16375</v>
      </c>
      <c r="L13155">
        <f>HYPERLINK("https://www2.assemblee-nationale.fr/sycomore/fiche/(num_dept)/2213", "2213")</f>
        <v>0</v>
      </c>
      <c r="M13155">
        <f>HYPERLINK("https://www.senat.fr/senateur-3eme-republique/decroze_georges0886r3.html", "decroze_georges0886r3")</f>
        <v>0</v>
      </c>
      <c r="N13155">
        <f>HYPERLINK("https://www.wikidata.org/wiki/Q3102567", "Q3102567")</f>
        <v>0</v>
      </c>
      <c r="O13155" t="s">
        <v>19989</v>
      </c>
      <c r="Q13155" t="s">
        <v>20613</v>
      </c>
      <c r="R13155" t="s">
        <v>16357</v>
      </c>
      <c r="S13155">
        <v>659</v>
      </c>
    </row>
    <row r="13156" spans="1:19">
      <c r="A13156" t="s">
        <v>144</v>
      </c>
      <c r="B13156" t="s">
        <v>150</v>
      </c>
      <c r="C13156" t="s">
        <v>276</v>
      </c>
      <c r="D13156" t="s">
        <v>405</v>
      </c>
      <c r="F13156">
        <f>HYPERLINK("https://www.wikidata.org/wiki/Q28494842", "Q28494842")</f>
        <v>0</v>
      </c>
      <c r="G13156" t="s">
        <v>521</v>
      </c>
      <c r="H13156" t="s">
        <v>5285</v>
      </c>
      <c r="I13156" t="s">
        <v>9389</v>
      </c>
      <c r="J13156" t="s">
        <v>11273</v>
      </c>
      <c r="K13156" t="s">
        <v>15673</v>
      </c>
      <c r="L13156">
        <f>HYPERLINK("https://www2.assemblee-nationale.fr/sycomore/fiche/(num_dept)/613", "613")</f>
        <v>0</v>
      </c>
      <c r="M13156">
        <f>HYPERLINK("https://www.senat.fr/senateur-3eme-republique/bender_emile1125r3.html", "bender_emile1125r3")</f>
        <v>0</v>
      </c>
      <c r="N13156">
        <f>HYPERLINK("https://www.wikidata.org/wiki/Q3588335", "Q3588335")</f>
        <v>0</v>
      </c>
      <c r="O13156" t="s">
        <v>19965</v>
      </c>
      <c r="Q13156" t="s">
        <v>16632</v>
      </c>
      <c r="R13156" t="s">
        <v>21719</v>
      </c>
      <c r="S13156">
        <v>1716</v>
      </c>
    </row>
    <row r="13157" spans="1:19">
      <c r="A13157" t="s">
        <v>144</v>
      </c>
      <c r="B13157" t="s">
        <v>150</v>
      </c>
      <c r="C13157" t="s">
        <v>276</v>
      </c>
      <c r="D13157" t="s">
        <v>405</v>
      </c>
      <c r="F13157">
        <f>HYPERLINK("https://www.wikidata.org/wiki/Q28494842", "Q28494842")</f>
        <v>0</v>
      </c>
      <c r="G13157" t="s">
        <v>540</v>
      </c>
      <c r="H13157" t="s">
        <v>5304</v>
      </c>
      <c r="I13157" t="s">
        <v>9401</v>
      </c>
      <c r="J13157" t="s">
        <v>11292</v>
      </c>
      <c r="K13157" t="s">
        <v>15692</v>
      </c>
      <c r="L13157">
        <f>HYPERLINK("https://www2.assemblee-nationale.fr/sycomore/fiche/(num_dept)/985", "985")</f>
        <v>0</v>
      </c>
      <c r="M13157">
        <f>HYPERLINK("https://www.senat.fr/senateur-3eme-republique/borrel_antoine1303r3.html", "borrel_antoine1303r3")</f>
        <v>0</v>
      </c>
      <c r="N13157">
        <f>HYPERLINK("https://www.wikidata.org/wiki/Q2853712", "Q2853712")</f>
        <v>0</v>
      </c>
      <c r="O13157" t="s">
        <v>19988</v>
      </c>
      <c r="Q13157" t="s">
        <v>16632</v>
      </c>
      <c r="R13157" t="s">
        <v>21719</v>
      </c>
      <c r="S13157">
        <v>1716</v>
      </c>
    </row>
    <row r="13158" spans="1:19">
      <c r="A13158" t="s">
        <v>144</v>
      </c>
      <c r="B13158" t="s">
        <v>150</v>
      </c>
      <c r="C13158" t="s">
        <v>276</v>
      </c>
      <c r="D13158" t="s">
        <v>405</v>
      </c>
      <c r="F13158">
        <f>HYPERLINK("https://www.wikidata.org/wiki/Q28494842", "Q28494842")</f>
        <v>0</v>
      </c>
      <c r="G13158" t="s">
        <v>1272</v>
      </c>
      <c r="H13158" t="s">
        <v>5996</v>
      </c>
      <c r="I13158" t="s">
        <v>9476</v>
      </c>
      <c r="J13158" t="s">
        <v>12002</v>
      </c>
      <c r="K13158" t="s">
        <v>16405</v>
      </c>
      <c r="L13158">
        <f>HYPERLINK("https://www2.assemblee-nationale.fr/sycomore/fiche/(num_dept)/4849", "4849")</f>
        <v>0</v>
      </c>
      <c r="M13158">
        <f>HYPERLINK("https://www.senat.fr/senateur-3eme-republique/de_ludre_frolois_rene0897r3.html", "de_ludre_frolois_rene0897r3")</f>
        <v>0</v>
      </c>
      <c r="N13158">
        <f>HYPERLINK("https://www.wikidata.org/wiki/Q3427060", "Q3427060")</f>
        <v>0</v>
      </c>
      <c r="O13158" t="s">
        <v>19957</v>
      </c>
      <c r="Q13158" t="s">
        <v>16632</v>
      </c>
      <c r="R13158" t="s">
        <v>21719</v>
      </c>
      <c r="S13158">
        <v>1716</v>
      </c>
    </row>
    <row r="13159" spans="1:19">
      <c r="A13159" t="s">
        <v>144</v>
      </c>
      <c r="B13159" t="s">
        <v>150</v>
      </c>
      <c r="C13159" t="s">
        <v>276</v>
      </c>
      <c r="D13159" t="s">
        <v>405</v>
      </c>
      <c r="F13159">
        <f>HYPERLINK("https://www.wikidata.org/wiki/Q28494842", "Q28494842")</f>
        <v>0</v>
      </c>
      <c r="G13159" t="s">
        <v>5161</v>
      </c>
      <c r="H13159" t="s">
        <v>9281</v>
      </c>
      <c r="I13159" t="s">
        <v>9843</v>
      </c>
      <c r="J13159" t="s">
        <v>15564</v>
      </c>
      <c r="K13159" t="s">
        <v>19867</v>
      </c>
      <c r="M13159">
        <f>HYPERLINK("https://www.senat.fr/senateur-3eme-republique/tanguy_yves0812r3.html", "tanguy_yves0812r3")</f>
        <v>0</v>
      </c>
      <c r="N13159">
        <f>HYPERLINK("https://www.wikidata.org/wiki/Q3573978", "Q3573978")</f>
        <v>0</v>
      </c>
      <c r="O13159" t="s">
        <v>20011</v>
      </c>
      <c r="Q13159" t="s">
        <v>21308</v>
      </c>
      <c r="R13159" t="s">
        <v>21712</v>
      </c>
      <c r="S13159">
        <v>2780</v>
      </c>
    </row>
    <row r="13160" spans="1:19">
      <c r="A13160" t="s">
        <v>144</v>
      </c>
      <c r="B13160" t="s">
        <v>150</v>
      </c>
      <c r="C13160" t="s">
        <v>276</v>
      </c>
      <c r="D13160" t="s">
        <v>405</v>
      </c>
      <c r="F13160">
        <f>HYPERLINK("https://www.wikidata.org/wiki/Q28494842", "Q28494842")</f>
        <v>0</v>
      </c>
      <c r="G13160" t="s">
        <v>5162</v>
      </c>
      <c r="H13160" t="s">
        <v>9282</v>
      </c>
      <c r="I13160" t="s">
        <v>5528</v>
      </c>
      <c r="J13160" t="s">
        <v>15565</v>
      </c>
      <c r="K13160" t="s">
        <v>19868</v>
      </c>
      <c r="M13160">
        <f>HYPERLINK("https://www.senat.fr/senateur-3eme-republique/bon_leon0314r3.html", "bon_leon0314r3")</f>
        <v>0</v>
      </c>
      <c r="N13160">
        <f>HYPERLINK("https://www.wikidata.org/wiki/Q1387347", "Q1387347")</f>
        <v>0</v>
      </c>
      <c r="O13160" t="s">
        <v>19990</v>
      </c>
      <c r="Q13160" t="s">
        <v>21309</v>
      </c>
      <c r="R13160" t="s">
        <v>21712</v>
      </c>
      <c r="S13160">
        <v>2745</v>
      </c>
    </row>
    <row r="13161" spans="1:19">
      <c r="A13161" t="s">
        <v>144</v>
      </c>
      <c r="B13161" t="s">
        <v>150</v>
      </c>
      <c r="C13161" t="s">
        <v>276</v>
      </c>
      <c r="D13161" t="s">
        <v>405</v>
      </c>
      <c r="F13161">
        <f>HYPERLINK("https://www.wikidata.org/wiki/Q28494842", "Q28494842")</f>
        <v>0</v>
      </c>
      <c r="G13161" t="s">
        <v>1712</v>
      </c>
      <c r="H13161" t="s">
        <v>6387</v>
      </c>
      <c r="I13161" t="s">
        <v>9470</v>
      </c>
      <c r="J13161" t="s">
        <v>12339</v>
      </c>
      <c r="K13161" t="s">
        <v>16822</v>
      </c>
      <c r="L13161">
        <f>HYPERLINK("https://www2.assemblee-nationale.fr/sycomore/fiche/(num_dept)/520", "520")</f>
        <v>0</v>
      </c>
      <c r="M13161">
        <f>HYPERLINK("https://www.senat.fr/senateur-3eme-republique/bazile_gaston0835r3.html", "bazile_gaston0835r3")</f>
        <v>0</v>
      </c>
      <c r="N13161">
        <f>HYPERLINK("https://www.wikidata.org/wiki/Q1495550", "Q1495550")</f>
        <v>0</v>
      </c>
      <c r="O13161" t="s">
        <v>20014</v>
      </c>
      <c r="Q13161" t="s">
        <v>21310</v>
      </c>
      <c r="R13161" t="s">
        <v>21712</v>
      </c>
      <c r="S13161">
        <v>2682</v>
      </c>
    </row>
    <row r="13162" spans="1:19">
      <c r="A13162" t="s">
        <v>144</v>
      </c>
      <c r="B13162" t="s">
        <v>150</v>
      </c>
      <c r="C13162" t="s">
        <v>276</v>
      </c>
      <c r="D13162" t="s">
        <v>405</v>
      </c>
      <c r="F13162">
        <f>HYPERLINK("https://www.wikidata.org/wiki/Q28494842", "Q28494842")</f>
        <v>0</v>
      </c>
      <c r="G13162" t="s">
        <v>1101</v>
      </c>
      <c r="H13162" t="s">
        <v>5842</v>
      </c>
      <c r="I13162" t="s">
        <v>9407</v>
      </c>
      <c r="J13162" t="s">
        <v>11837</v>
      </c>
      <c r="K13162" t="s">
        <v>16237</v>
      </c>
      <c r="L13162">
        <f>HYPERLINK("https://www2.assemblee-nationale.fr/sycomore/fiche/(num_dept)/3420", "3420")</f>
        <v>0</v>
      </c>
      <c r="M13162">
        <f>HYPERLINK("https://www.senat.fr/senateur-3eme-republique/giordan_joseph0494r3.html", "giordan_joseph0494r3")</f>
        <v>0</v>
      </c>
      <c r="N13162">
        <f>HYPERLINK("https://www.wikidata.org/wiki/Q3185017", "Q3185017")</f>
        <v>0</v>
      </c>
      <c r="O13162" t="s">
        <v>19955</v>
      </c>
      <c r="Q13162" t="s">
        <v>21310</v>
      </c>
      <c r="R13162" t="s">
        <v>21650</v>
      </c>
      <c r="S13162">
        <v>5159</v>
      </c>
    </row>
    <row r="13163" spans="1:19">
      <c r="A13163" t="s">
        <v>144</v>
      </c>
      <c r="B13163" t="s">
        <v>150</v>
      </c>
      <c r="C13163" t="s">
        <v>276</v>
      </c>
      <c r="D13163" t="s">
        <v>405</v>
      </c>
      <c r="F13163">
        <f>HYPERLINK("https://www.wikidata.org/wiki/Q28494842", "Q28494842")</f>
        <v>0</v>
      </c>
      <c r="G13163" t="s">
        <v>5163</v>
      </c>
      <c r="H13163" t="s">
        <v>9283</v>
      </c>
      <c r="I13163" t="s">
        <v>9446</v>
      </c>
      <c r="J13163" t="s">
        <v>15566</v>
      </c>
      <c r="K13163" t="s">
        <v>19869</v>
      </c>
      <c r="M13163">
        <f>HYPERLINK("https://www.senat.fr/senateur-3eme-republique/lavergne_fernand1695r3.html", "lavergne_fernand1695r3")</f>
        <v>0</v>
      </c>
      <c r="N13163">
        <f>HYPERLINK("https://www.wikidata.org/wiki/Q3069223", "Q3069223")</f>
        <v>0</v>
      </c>
      <c r="O13163" t="s">
        <v>19962</v>
      </c>
      <c r="Q13163" t="s">
        <v>21311</v>
      </c>
      <c r="R13163" t="s">
        <v>21719</v>
      </c>
      <c r="S13163">
        <v>1555</v>
      </c>
    </row>
    <row r="13164" spans="1:19">
      <c r="A13164" t="s">
        <v>144</v>
      </c>
      <c r="B13164" t="s">
        <v>150</v>
      </c>
      <c r="C13164" t="s">
        <v>276</v>
      </c>
      <c r="D13164" t="s">
        <v>405</v>
      </c>
      <c r="F13164">
        <f>HYPERLINK("https://www.wikidata.org/wiki/Q28494842", "Q28494842")</f>
        <v>0</v>
      </c>
      <c r="G13164" t="s">
        <v>1133</v>
      </c>
      <c r="H13164" t="s">
        <v>5869</v>
      </c>
      <c r="I13164" t="s">
        <v>9385</v>
      </c>
      <c r="J13164" t="s">
        <v>11867</v>
      </c>
      <c r="K13164" t="s">
        <v>16269</v>
      </c>
      <c r="L13164">
        <f>HYPERLINK("https://www2.assemblee-nationale.fr/sycomore/fiche/(num_dept)/5237", "5237")</f>
        <v>0</v>
      </c>
      <c r="M13164">
        <f>HYPERLINK("https://www.senat.fr/senateur-3eme-republique/meunier_surcouf_charles0593r3.html", "meunier_surcouf_charles0593r3")</f>
        <v>0</v>
      </c>
      <c r="N13164">
        <f>HYPERLINK("https://www.wikidata.org/wiki/Q2959806", "Q2959806")</f>
        <v>0</v>
      </c>
      <c r="O13164" t="s">
        <v>19964</v>
      </c>
      <c r="Q13164" t="s">
        <v>21312</v>
      </c>
      <c r="R13164" t="s">
        <v>21712</v>
      </c>
      <c r="S13164">
        <v>2619</v>
      </c>
    </row>
    <row r="13165" spans="1:19">
      <c r="A13165" t="s">
        <v>144</v>
      </c>
      <c r="B13165" t="s">
        <v>150</v>
      </c>
      <c r="C13165" t="s">
        <v>276</v>
      </c>
      <c r="D13165" t="s">
        <v>405</v>
      </c>
      <c r="F13165">
        <f>HYPERLINK("https://www.wikidata.org/wiki/Q28494842", "Q28494842")</f>
        <v>0</v>
      </c>
      <c r="G13165" t="s">
        <v>5164</v>
      </c>
      <c r="H13165" t="s">
        <v>9284</v>
      </c>
      <c r="I13165" t="s">
        <v>9476</v>
      </c>
      <c r="J13165" t="s">
        <v>11942</v>
      </c>
      <c r="K13165" t="s">
        <v>19870</v>
      </c>
      <c r="M13165">
        <f>HYPERLINK("https://www.senat.fr/senateur-3eme-republique/caillier_rene0196r3.html", "caillier_rene0196r3")</f>
        <v>0</v>
      </c>
      <c r="N13165">
        <f>HYPERLINK("https://www.wikidata.org/wiki/Q3425952", "Q3425952")</f>
        <v>0</v>
      </c>
      <c r="O13165" t="s">
        <v>19987</v>
      </c>
      <c r="Q13165" t="s">
        <v>21313</v>
      </c>
      <c r="R13165" t="s">
        <v>16357</v>
      </c>
      <c r="S13165">
        <v>372</v>
      </c>
    </row>
    <row r="13166" spans="1:19">
      <c r="A13166" t="s">
        <v>144</v>
      </c>
      <c r="B13166" t="s">
        <v>150</v>
      </c>
      <c r="C13166" t="s">
        <v>276</v>
      </c>
      <c r="D13166" t="s">
        <v>405</v>
      </c>
      <c r="F13166">
        <f>HYPERLINK("https://www.wikidata.org/wiki/Q28494842", "Q28494842")</f>
        <v>0</v>
      </c>
      <c r="G13166" t="s">
        <v>2139</v>
      </c>
      <c r="H13166" t="s">
        <v>6756</v>
      </c>
      <c r="I13166" t="s">
        <v>10093</v>
      </c>
      <c r="J13166" t="s">
        <v>12803</v>
      </c>
      <c r="K13166" t="s">
        <v>17218</v>
      </c>
      <c r="L13166">
        <f>HYPERLINK("https://www2.assemblee-nationale.fr/sycomore/fiche/(num_dept)/5926", "5926")</f>
        <v>0</v>
      </c>
      <c r="M13166">
        <f>HYPERLINK("https://www.senat.fr/senateur-3eme-republique/pieyre_marius0448r3.html", "pieyre_marius0448r3")</f>
        <v>0</v>
      </c>
      <c r="N13166">
        <f>HYPERLINK("https://www.wikidata.org/wiki/Q3293843", "Q3293843")</f>
        <v>0</v>
      </c>
      <c r="O13166" t="s">
        <v>20041</v>
      </c>
      <c r="Q13166" t="s">
        <v>21314</v>
      </c>
      <c r="R13166" t="s">
        <v>16357</v>
      </c>
      <c r="S13166">
        <v>337</v>
      </c>
    </row>
    <row r="13167" spans="1:19">
      <c r="A13167" t="s">
        <v>144</v>
      </c>
      <c r="B13167" t="s">
        <v>150</v>
      </c>
      <c r="C13167" t="s">
        <v>276</v>
      </c>
      <c r="D13167" t="s">
        <v>405</v>
      </c>
      <c r="F13167">
        <f>HYPERLINK("https://www.wikidata.org/wiki/Q28494842", "Q28494842")</f>
        <v>0</v>
      </c>
      <c r="G13167" t="s">
        <v>5165</v>
      </c>
      <c r="H13167" t="s">
        <v>9285</v>
      </c>
      <c r="I13167" t="s">
        <v>6175</v>
      </c>
      <c r="J13167" t="s">
        <v>15567</v>
      </c>
      <c r="K13167" t="s">
        <v>19871</v>
      </c>
      <c r="M13167">
        <f>HYPERLINK("https://www.senat.fr/senateur-3eme-republique/ulmo_georges0872r3.html", "ulmo_georges0872r3")</f>
        <v>0</v>
      </c>
      <c r="N13167">
        <f>HYPERLINK("https://www.wikidata.org/wiki/Q3103575", "Q3103575")</f>
        <v>0</v>
      </c>
      <c r="O13167" t="s">
        <v>20022</v>
      </c>
      <c r="Q13167" t="s">
        <v>21315</v>
      </c>
      <c r="R13167" t="s">
        <v>16357</v>
      </c>
      <c r="S13167">
        <v>309</v>
      </c>
    </row>
    <row r="13168" spans="1:19">
      <c r="A13168" t="s">
        <v>144</v>
      </c>
      <c r="B13168" t="s">
        <v>150</v>
      </c>
      <c r="C13168" t="s">
        <v>276</v>
      </c>
      <c r="D13168" t="s">
        <v>405</v>
      </c>
      <c r="F13168">
        <f>HYPERLINK("https://www.wikidata.org/wiki/Q28494842", "Q28494842")</f>
        <v>0</v>
      </c>
      <c r="G13168" t="s">
        <v>544</v>
      </c>
      <c r="H13168" t="s">
        <v>5308</v>
      </c>
      <c r="I13168" t="s">
        <v>9376</v>
      </c>
      <c r="J13168" t="s">
        <v>11296</v>
      </c>
      <c r="K13168" t="s">
        <v>15696</v>
      </c>
      <c r="L13168">
        <f>HYPERLINK("https://www2.assemblee-nationale.fr/sycomore/fiche/(num_dept)/1030", "1030")</f>
        <v>0</v>
      </c>
      <c r="M13168">
        <f>HYPERLINK("https://www.senat.fr/senateur-3eme-republique/bougere_ferdinand1163r3.html", "bougere_ferdinand1163r3")</f>
        <v>0</v>
      </c>
      <c r="N13168">
        <f>HYPERLINK("https://www.wikidata.org/wiki/Q8299130", "Q8299130")</f>
        <v>0</v>
      </c>
      <c r="O13168" t="s">
        <v>19980</v>
      </c>
      <c r="Q13168" t="s">
        <v>16501</v>
      </c>
      <c r="R13168" t="s">
        <v>16357</v>
      </c>
      <c r="S13168">
        <v>295</v>
      </c>
    </row>
    <row r="13169" spans="1:19">
      <c r="A13169" t="s">
        <v>144</v>
      </c>
      <c r="B13169" t="s">
        <v>150</v>
      </c>
      <c r="C13169" t="s">
        <v>276</v>
      </c>
      <c r="D13169" t="s">
        <v>405</v>
      </c>
      <c r="F13169">
        <f>HYPERLINK("https://www.wikidata.org/wiki/Q28494842", "Q28494842")</f>
        <v>0</v>
      </c>
      <c r="G13169" t="s">
        <v>1632</v>
      </c>
      <c r="H13169" t="s">
        <v>6317</v>
      </c>
      <c r="I13169" t="s">
        <v>6759</v>
      </c>
      <c r="J13169" t="s">
        <v>12339</v>
      </c>
      <c r="K13169" t="s">
        <v>16748</v>
      </c>
      <c r="L13169">
        <f>HYPERLINK("https://www2.assemblee-nationale.fr/sycomore/fiche/(num_dept)/7066", "7066")</f>
        <v>0</v>
      </c>
      <c r="M13169">
        <f>HYPERLINK("https://www.senat.fr/senateur-3eme-republique/thoumyre_robert1579r3.html", "thoumyre_robert1579r3")</f>
        <v>0</v>
      </c>
      <c r="N13169">
        <f>HYPERLINK("https://www.wikidata.org/wiki/Q3436407", "Q3436407")</f>
        <v>0</v>
      </c>
      <c r="O13169" t="s">
        <v>19978</v>
      </c>
      <c r="Q13169" t="s">
        <v>21316</v>
      </c>
      <c r="R13169" t="s">
        <v>21719</v>
      </c>
      <c r="S13169">
        <v>1380</v>
      </c>
    </row>
    <row r="13170" spans="1:19">
      <c r="A13170" t="s">
        <v>144</v>
      </c>
      <c r="B13170" t="s">
        <v>150</v>
      </c>
      <c r="C13170" t="s">
        <v>276</v>
      </c>
      <c r="D13170" t="s">
        <v>405</v>
      </c>
      <c r="F13170">
        <f>HYPERLINK("https://www.wikidata.org/wiki/Q28494842", "Q28494842")</f>
        <v>0</v>
      </c>
      <c r="G13170" t="s">
        <v>2176</v>
      </c>
      <c r="H13170" t="s">
        <v>6790</v>
      </c>
      <c r="I13170" t="s">
        <v>10106</v>
      </c>
      <c r="J13170" t="s">
        <v>12839</v>
      </c>
      <c r="K13170" t="s">
        <v>17252</v>
      </c>
      <c r="L13170">
        <f>HYPERLINK("https://www2.assemblee-nationale.fr/sycomore/fiche/(num_dept)/7021", "7021")</f>
        <v>0</v>
      </c>
      <c r="M13170">
        <f>HYPERLINK("https://www.senat.fr/senateur-3eme-republique/thibault_albert1243r3.html", "thibault_albert1243r3")</f>
        <v>0</v>
      </c>
      <c r="N13170">
        <f>HYPERLINK("https://www.wikidata.org/wiki/Q2831577", "Q2831577")</f>
        <v>0</v>
      </c>
      <c r="O13170" t="s">
        <v>19956</v>
      </c>
      <c r="Q13170" t="s">
        <v>16639</v>
      </c>
      <c r="R13170" t="s">
        <v>21719</v>
      </c>
      <c r="S13170">
        <v>1352</v>
      </c>
    </row>
    <row r="13171" spans="1:19">
      <c r="A13171" t="s">
        <v>144</v>
      </c>
      <c r="B13171" t="s">
        <v>150</v>
      </c>
      <c r="C13171" t="s">
        <v>276</v>
      </c>
      <c r="D13171" t="s">
        <v>405</v>
      </c>
      <c r="F13171">
        <f>HYPERLINK("https://www.wikidata.org/wiki/Q28494842", "Q28494842")</f>
        <v>0</v>
      </c>
      <c r="G13171" t="s">
        <v>2204</v>
      </c>
      <c r="H13171" t="s">
        <v>6814</v>
      </c>
      <c r="I13171" t="s">
        <v>10115</v>
      </c>
      <c r="J13171" t="s">
        <v>11274</v>
      </c>
      <c r="K13171" t="s">
        <v>17278</v>
      </c>
      <c r="L13171">
        <f>HYPERLINK("https://www2.assemblee-nationale.fr/sycomore/fiche/(num_dept)/7070", "7070")</f>
        <v>0</v>
      </c>
      <c r="M13171">
        <f>HYPERLINK("https://www.senat.fr/senateur-3eme-republique/thureau_dangin_jean1599r3.html", "thureau_dangin_jean1599r3")</f>
        <v>0</v>
      </c>
      <c r="N13171">
        <f>HYPERLINK("https://www.wikidata.org/wiki/Q3174798", "Q3174798")</f>
        <v>0</v>
      </c>
      <c r="O13171" t="s">
        <v>19978</v>
      </c>
      <c r="Q13171" t="s">
        <v>16639</v>
      </c>
      <c r="R13171" t="s">
        <v>21719</v>
      </c>
      <c r="S13171">
        <v>1352</v>
      </c>
    </row>
    <row r="13172" spans="1:19">
      <c r="A13172" t="s">
        <v>144</v>
      </c>
      <c r="B13172" t="s">
        <v>150</v>
      </c>
      <c r="C13172" t="s">
        <v>276</v>
      </c>
      <c r="D13172" t="s">
        <v>405</v>
      </c>
      <c r="F13172">
        <f>HYPERLINK("https://www.wikidata.org/wiki/Q28494842", "Q28494842")</f>
        <v>0</v>
      </c>
      <c r="G13172" t="s">
        <v>5166</v>
      </c>
      <c r="H13172" t="s">
        <v>9286</v>
      </c>
      <c r="I13172" t="s">
        <v>9385</v>
      </c>
      <c r="J13172" t="s">
        <v>15568</v>
      </c>
      <c r="K13172" t="s">
        <v>19872</v>
      </c>
      <c r="M13172">
        <f>HYPERLINK("https://www.senat.fr/senateur-3eme-republique/stourm_charles0545r3.html", "stourm_charles0545r3")</f>
        <v>0</v>
      </c>
      <c r="N13172">
        <f>HYPERLINK("https://www.wikidata.org/wiki/Q2960260", "Q2960260")</f>
        <v>0</v>
      </c>
      <c r="O13172" t="s">
        <v>19998</v>
      </c>
      <c r="Q13172" t="s">
        <v>21317</v>
      </c>
      <c r="R13172" t="s">
        <v>16357</v>
      </c>
      <c r="S13172">
        <v>211</v>
      </c>
    </row>
    <row r="13173" spans="1:19">
      <c r="A13173" t="s">
        <v>144</v>
      </c>
      <c r="B13173" t="s">
        <v>150</v>
      </c>
      <c r="C13173" t="s">
        <v>276</v>
      </c>
      <c r="D13173" t="s">
        <v>405</v>
      </c>
      <c r="F13173">
        <f>HYPERLINK("https://www.wikidata.org/wiki/Q28494842", "Q28494842")</f>
        <v>0</v>
      </c>
      <c r="G13173" t="s">
        <v>4226</v>
      </c>
      <c r="H13173" t="s">
        <v>8405</v>
      </c>
      <c r="I13173" t="s">
        <v>9426</v>
      </c>
      <c r="J13173" t="s">
        <v>14734</v>
      </c>
      <c r="K13173" t="s">
        <v>19079</v>
      </c>
      <c r="M13173">
        <f>HYPERLINK("https://www.senat.fr/senateur-3eme-republique/gasnier_duparc_alphonse0563r3.html", "gasnier_duparc_alphonse0563r3")</f>
        <v>0</v>
      </c>
      <c r="N13173">
        <f>HYPERLINK("https://www.wikidata.org/wiki/Q2839804", "Q2839804")</f>
        <v>0</v>
      </c>
      <c r="O13173" t="s">
        <v>19998</v>
      </c>
      <c r="Q13173" t="s">
        <v>21317</v>
      </c>
      <c r="R13173" t="s">
        <v>16357</v>
      </c>
      <c r="S13173">
        <v>211</v>
      </c>
    </row>
    <row r="13174" spans="1:19">
      <c r="A13174" t="s">
        <v>144</v>
      </c>
      <c r="B13174" t="s">
        <v>150</v>
      </c>
      <c r="C13174" t="s">
        <v>276</v>
      </c>
      <c r="D13174" t="s">
        <v>405</v>
      </c>
      <c r="F13174">
        <f>HYPERLINK("https://www.wikidata.org/wiki/Q28494842", "Q28494842")</f>
        <v>0</v>
      </c>
      <c r="G13174" t="s">
        <v>5167</v>
      </c>
      <c r="H13174" t="s">
        <v>9287</v>
      </c>
      <c r="I13174" t="s">
        <v>9421</v>
      </c>
      <c r="J13174" t="s">
        <v>15569</v>
      </c>
      <c r="K13174" t="s">
        <v>19873</v>
      </c>
      <c r="M13174">
        <f>HYPERLINK("https://www.senat.fr/senateur-3eme-republique/gautherot_gustave1274r3.html", "gautherot_gustave1274r3")</f>
        <v>0</v>
      </c>
      <c r="N13174">
        <f>HYPERLINK("https://www.wikidata.org/wiki/Q661623", "Q661623")</f>
        <v>0</v>
      </c>
      <c r="O13174" t="s">
        <v>20023</v>
      </c>
      <c r="Q13174" t="s">
        <v>21317</v>
      </c>
      <c r="R13174" t="s">
        <v>16357</v>
      </c>
      <c r="S13174">
        <v>211</v>
      </c>
    </row>
    <row r="13175" spans="1:19">
      <c r="A13175" t="s">
        <v>144</v>
      </c>
      <c r="B13175" t="s">
        <v>150</v>
      </c>
      <c r="C13175" t="s">
        <v>276</v>
      </c>
      <c r="D13175" t="s">
        <v>405</v>
      </c>
      <c r="F13175">
        <f>HYPERLINK("https://www.wikidata.org/wiki/Q28494842", "Q28494842")</f>
        <v>0</v>
      </c>
      <c r="G13175" t="s">
        <v>5168</v>
      </c>
      <c r="H13175" t="s">
        <v>8723</v>
      </c>
      <c r="I13175" t="s">
        <v>9375</v>
      </c>
      <c r="J13175" t="s">
        <v>15570</v>
      </c>
      <c r="K13175" t="s">
        <v>19874</v>
      </c>
      <c r="M13175">
        <f>HYPERLINK("https://www.senat.fr/senateur-3eme-republique/roussel_edouard1407r3.html", "roussel_edouard1407r3")</f>
        <v>0</v>
      </c>
      <c r="N13175">
        <f>HYPERLINK("https://www.wikidata.org/wiki/Q3580022", "Q3580022")</f>
        <v>0</v>
      </c>
      <c r="O13175" t="s">
        <v>20013</v>
      </c>
      <c r="Q13175" t="s">
        <v>21317</v>
      </c>
      <c r="R13175" t="s">
        <v>16357</v>
      </c>
      <c r="S13175">
        <v>211</v>
      </c>
    </row>
    <row r="13176" spans="1:19">
      <c r="A13176" t="s">
        <v>144</v>
      </c>
      <c r="B13176" t="s">
        <v>150</v>
      </c>
      <c r="C13176" t="s">
        <v>276</v>
      </c>
      <c r="D13176" t="s">
        <v>405</v>
      </c>
      <c r="F13176">
        <f>HYPERLINK("https://www.wikidata.org/wiki/Q28494842", "Q28494842")</f>
        <v>0</v>
      </c>
      <c r="G13176" t="s">
        <v>5169</v>
      </c>
      <c r="H13176" t="s">
        <v>9288</v>
      </c>
      <c r="I13176" t="s">
        <v>8319</v>
      </c>
      <c r="J13176" t="s">
        <v>15571</v>
      </c>
      <c r="K13176" t="s">
        <v>19875</v>
      </c>
      <c r="M13176">
        <f>HYPERLINK("https://www.senat.fr/senateur-3eme-republique/raynaud_clement0278r3.html", "raynaud_clement0278r3")</f>
        <v>0</v>
      </c>
      <c r="N13176">
        <f>HYPERLINK("https://www.wikidata.org/wiki/Q2980676", "Q2980676")</f>
        <v>0</v>
      </c>
      <c r="O13176" t="s">
        <v>19960</v>
      </c>
      <c r="Q13176" t="s">
        <v>20622</v>
      </c>
      <c r="R13176" t="s">
        <v>21712</v>
      </c>
      <c r="S13176">
        <v>2388</v>
      </c>
    </row>
    <row r="13177" spans="1:19">
      <c r="A13177" t="s">
        <v>144</v>
      </c>
      <c r="B13177" t="s">
        <v>150</v>
      </c>
      <c r="C13177" t="s">
        <v>276</v>
      </c>
      <c r="D13177" t="s">
        <v>405</v>
      </c>
      <c r="F13177">
        <f>HYPERLINK("https://www.wikidata.org/wiki/Q28494842", "Q28494842")</f>
        <v>0</v>
      </c>
      <c r="G13177" t="s">
        <v>4337</v>
      </c>
      <c r="H13177" t="s">
        <v>8488</v>
      </c>
      <c r="I13177" t="s">
        <v>9476</v>
      </c>
      <c r="J13177" t="s">
        <v>12859</v>
      </c>
      <c r="K13177" t="s">
        <v>19173</v>
      </c>
      <c r="M13177">
        <f>HYPERLINK("https://www.senat.fr/senateur-3eme-republique/hachette_rene0035r3.html", "hachette_rene0035r3")</f>
        <v>0</v>
      </c>
      <c r="N13177">
        <f>HYPERLINK("https://www.wikidata.org/wiki/Q3426336", "Q3426336")</f>
        <v>0</v>
      </c>
      <c r="O13177" t="s">
        <v>20015</v>
      </c>
      <c r="Q13177" t="s">
        <v>16916</v>
      </c>
      <c r="R13177" t="s">
        <v>21712</v>
      </c>
      <c r="S13177">
        <v>2374</v>
      </c>
    </row>
    <row r="13178" spans="1:19">
      <c r="A13178" t="s">
        <v>145</v>
      </c>
      <c r="B13178" t="s">
        <v>150</v>
      </c>
      <c r="C13178" t="s">
        <v>277</v>
      </c>
      <c r="D13178" t="s">
        <v>406</v>
      </c>
      <c r="F13178">
        <f>HYPERLINK("https://www.wikidata.org/wiki/Q28494845", "Q28494845")</f>
        <v>0</v>
      </c>
      <c r="G13178" t="s">
        <v>1646</v>
      </c>
      <c r="H13178" t="s">
        <v>5937</v>
      </c>
      <c r="I13178" t="s">
        <v>6713</v>
      </c>
      <c r="J13178" t="s">
        <v>12353</v>
      </c>
      <c r="K13178" t="s">
        <v>16760</v>
      </c>
      <c r="L13178">
        <f>HYPERLINK("https://www2.assemblee-nationale.fr/sycomore/fiche/(num_dept)/7360", "7360")</f>
        <v>0</v>
      </c>
      <c r="M13178">
        <f>HYPERLINK("https://www.senat.fr/senateur-3eme-republique/de_wendel_guy0706r3.html", "de_wendel_guy0706r3")</f>
        <v>0</v>
      </c>
      <c r="N13178">
        <f>HYPERLINK("https://www.wikidata.org/wiki/Q3122301", "Q3122301")</f>
        <v>0</v>
      </c>
      <c r="O13178" t="s">
        <v>20050</v>
      </c>
      <c r="Q13178" t="s">
        <v>406</v>
      </c>
      <c r="R13178" t="s">
        <v>16357</v>
      </c>
      <c r="S13178">
        <v>85</v>
      </c>
    </row>
    <row r="13179" spans="1:19">
      <c r="A13179" t="s">
        <v>145</v>
      </c>
      <c r="B13179" t="s">
        <v>150</v>
      </c>
      <c r="C13179" t="s">
        <v>277</v>
      </c>
      <c r="D13179" t="s">
        <v>406</v>
      </c>
      <c r="F13179">
        <f>HYPERLINK("https://www.wikidata.org/wiki/Q28494845", "Q28494845")</f>
        <v>0</v>
      </c>
      <c r="G13179" t="s">
        <v>5099</v>
      </c>
      <c r="H13179" t="s">
        <v>9227</v>
      </c>
      <c r="I13179" t="s">
        <v>6542</v>
      </c>
      <c r="J13179" t="s">
        <v>15512</v>
      </c>
      <c r="K13179" t="s">
        <v>19814</v>
      </c>
      <c r="M13179">
        <f>HYPERLINK("https://www.senat.fr/senateur-3eme-republique/martin_binachon_regis0514r3.html", "martin_binachon_regis0514r3")</f>
        <v>0</v>
      </c>
      <c r="N13179">
        <f>HYPERLINK("https://www.wikidata.org/wiki/Q3455758", "Q3455758")</f>
        <v>0</v>
      </c>
      <c r="O13179" t="s">
        <v>19993</v>
      </c>
      <c r="Q13179" t="s">
        <v>406</v>
      </c>
      <c r="R13179" t="s">
        <v>16357</v>
      </c>
      <c r="S13179">
        <v>85</v>
      </c>
    </row>
    <row r="13180" spans="1:19">
      <c r="A13180" t="s">
        <v>145</v>
      </c>
      <c r="B13180" t="s">
        <v>150</v>
      </c>
      <c r="C13180" t="s">
        <v>277</v>
      </c>
      <c r="D13180" t="s">
        <v>406</v>
      </c>
      <c r="F13180">
        <f>HYPERLINK("https://www.wikidata.org/wiki/Q28494845", "Q28494845")</f>
        <v>0</v>
      </c>
      <c r="G13180" t="s">
        <v>5033</v>
      </c>
      <c r="H13180" t="s">
        <v>9166</v>
      </c>
      <c r="I13180" t="s">
        <v>9470</v>
      </c>
      <c r="J13180" t="s">
        <v>15459</v>
      </c>
      <c r="K13180" t="s">
        <v>19761</v>
      </c>
      <c r="M13180">
        <f>HYPERLINK("https://www.senat.fr/senateur-3eme-republique/carrere_gaston0762r3.html", "carrere_gaston0762r3")</f>
        <v>0</v>
      </c>
      <c r="N13180">
        <f>HYPERLINK("https://www.wikidata.org/wiki/Q3098937", "Q3098937")</f>
        <v>0</v>
      </c>
      <c r="O13180" t="s">
        <v>20043</v>
      </c>
      <c r="Q13180" t="s">
        <v>406</v>
      </c>
      <c r="R13180" t="s">
        <v>16357</v>
      </c>
      <c r="S13180">
        <v>85</v>
      </c>
    </row>
    <row r="13181" spans="1:19">
      <c r="A13181" t="s">
        <v>145</v>
      </c>
      <c r="B13181" t="s">
        <v>150</v>
      </c>
      <c r="C13181" t="s">
        <v>277</v>
      </c>
      <c r="D13181" t="s">
        <v>406</v>
      </c>
      <c r="F13181">
        <f>HYPERLINK("https://www.wikidata.org/wiki/Q28494845", "Q28494845")</f>
        <v>0</v>
      </c>
      <c r="G13181" t="s">
        <v>5170</v>
      </c>
      <c r="H13181" t="s">
        <v>9289</v>
      </c>
      <c r="I13181" t="s">
        <v>9388</v>
      </c>
      <c r="J13181" t="s">
        <v>15572</v>
      </c>
      <c r="K13181" t="s">
        <v>16965</v>
      </c>
      <c r="M13181">
        <f>HYPERLINK("https://www.senat.fr/senateur-3eme-republique/malsang_paul1001r3.html", "malsang_paul1001r3")</f>
        <v>0</v>
      </c>
      <c r="N13181">
        <f>HYPERLINK("https://www.wikidata.org/wiki/Q3371758", "Q3371758")</f>
        <v>0</v>
      </c>
      <c r="O13181" t="s">
        <v>20005</v>
      </c>
      <c r="Q13181" t="s">
        <v>21318</v>
      </c>
      <c r="R13181" t="s">
        <v>21719</v>
      </c>
      <c r="S13181">
        <v>1100</v>
      </c>
    </row>
    <row r="13182" spans="1:19">
      <c r="A13182" t="s">
        <v>145</v>
      </c>
      <c r="B13182" t="s">
        <v>150</v>
      </c>
      <c r="C13182" t="s">
        <v>277</v>
      </c>
      <c r="D13182" t="s">
        <v>406</v>
      </c>
      <c r="F13182">
        <f>HYPERLINK("https://www.wikidata.org/wiki/Q28494845", "Q28494845")</f>
        <v>0</v>
      </c>
      <c r="G13182" t="s">
        <v>5171</v>
      </c>
      <c r="H13182" t="s">
        <v>9290</v>
      </c>
      <c r="I13182" t="s">
        <v>11239</v>
      </c>
      <c r="J13182" t="s">
        <v>15573</v>
      </c>
      <c r="K13182" t="s">
        <v>19876</v>
      </c>
      <c r="M13182">
        <f>HYPERLINK("https://www.senat.fr/senateur-3eme-republique/cochard_philibert1222r3.html", "cochard_philibert1222r3")</f>
        <v>0</v>
      </c>
      <c r="N13182">
        <f>HYPERLINK("https://www.wikidata.org/wiki/Q3378921", "Q3378921")</f>
        <v>0</v>
      </c>
      <c r="O13182" t="s">
        <v>19994</v>
      </c>
      <c r="Q13182" t="s">
        <v>21318</v>
      </c>
      <c r="R13182" t="s">
        <v>21719</v>
      </c>
      <c r="S13182">
        <v>1100</v>
      </c>
    </row>
    <row r="13183" spans="1:19">
      <c r="A13183" t="s">
        <v>145</v>
      </c>
      <c r="B13183" t="s">
        <v>150</v>
      </c>
      <c r="C13183" t="s">
        <v>277</v>
      </c>
      <c r="D13183" t="s">
        <v>406</v>
      </c>
      <c r="F13183">
        <f>HYPERLINK("https://www.wikidata.org/wiki/Q28494845", "Q28494845")</f>
        <v>0</v>
      </c>
      <c r="G13183" t="s">
        <v>500</v>
      </c>
      <c r="H13183" t="s">
        <v>5265</v>
      </c>
      <c r="I13183" t="s">
        <v>9371</v>
      </c>
      <c r="J13183" t="s">
        <v>11252</v>
      </c>
      <c r="K13183" t="s">
        <v>15652</v>
      </c>
      <c r="L13183">
        <f>HYPERLINK("https://www2.assemblee-nationale.fr/sycomore/fiche/(num_dept)/84", "84")</f>
        <v>0</v>
      </c>
      <c r="M13183">
        <f>HYPERLINK("https://www.senat.fr/senateur-3eme-republique/brard_mathurin0917r3.html", "brard_mathurin0917r3")</f>
        <v>0</v>
      </c>
      <c r="N13183">
        <f>HYPERLINK("https://www.wikidata.org/wiki/Q2834988", "Q2834988")</f>
        <v>0</v>
      </c>
      <c r="O13183" t="s">
        <v>19961</v>
      </c>
      <c r="Q13183" t="s">
        <v>21319</v>
      </c>
      <c r="R13183" t="s">
        <v>21650</v>
      </c>
      <c r="S13183">
        <v>4667</v>
      </c>
    </row>
    <row r="13184" spans="1:19">
      <c r="A13184" t="s">
        <v>145</v>
      </c>
      <c r="B13184" t="s">
        <v>150</v>
      </c>
      <c r="C13184" t="s">
        <v>277</v>
      </c>
      <c r="D13184" t="s">
        <v>406</v>
      </c>
      <c r="F13184">
        <f>HYPERLINK("https://www.wikidata.org/wiki/Q28494845", "Q28494845")</f>
        <v>0</v>
      </c>
      <c r="G13184" t="s">
        <v>1996</v>
      </c>
      <c r="H13184" t="s">
        <v>6632</v>
      </c>
      <c r="I13184" t="s">
        <v>6759</v>
      </c>
      <c r="J13184" t="s">
        <v>12675</v>
      </c>
      <c r="K13184" t="s">
        <v>17087</v>
      </c>
      <c r="L13184">
        <f>HYPERLINK("https://www2.assemblee-nationale.fr/sycomore/fiche/(num_dept)/586", "586")</f>
        <v>0</v>
      </c>
      <c r="M13184">
        <f>HYPERLINK("https://www.senat.fr/senateur-3eme-republique/bellanger_robert0561r3.html", "bellanger_robert0561r3")</f>
        <v>0</v>
      </c>
      <c r="N13184">
        <f>HYPERLINK("https://www.wikidata.org/wiki/Q3434547", "Q3434547")</f>
        <v>0</v>
      </c>
      <c r="O13184" t="s">
        <v>19998</v>
      </c>
      <c r="Q13184" t="s">
        <v>21319</v>
      </c>
      <c r="R13184" t="s">
        <v>21724</v>
      </c>
      <c r="S13184">
        <v>3277</v>
      </c>
    </row>
    <row r="13185" spans="1:19">
      <c r="A13185" t="s">
        <v>145</v>
      </c>
      <c r="B13185" t="s">
        <v>150</v>
      </c>
      <c r="C13185" t="s">
        <v>277</v>
      </c>
      <c r="D13185" t="s">
        <v>406</v>
      </c>
      <c r="F13185">
        <f>HYPERLINK("https://www.wikidata.org/wiki/Q28494845", "Q28494845")</f>
        <v>0</v>
      </c>
      <c r="G13185" t="s">
        <v>520</v>
      </c>
      <c r="H13185" t="s">
        <v>5284</v>
      </c>
      <c r="I13185" t="s">
        <v>9388</v>
      </c>
      <c r="J13185" t="s">
        <v>11272</v>
      </c>
      <c r="K13185" t="s">
        <v>15672</v>
      </c>
      <c r="L13185">
        <f>HYPERLINK("https://www2.assemblee-nationale.fr/sycomore/fiche/(num_dept)/608", "608")</f>
        <v>0</v>
      </c>
      <c r="M13185">
        <f>HYPERLINK("https://www.senat.fr/senateur-3eme-republique/benazet_paul_louis0281r3.html", "benazet_paul_louis0281r3")</f>
        <v>0</v>
      </c>
      <c r="N13185">
        <f>HYPERLINK("https://www.wikidata.org/wiki/Q3370779", "Q3370779")</f>
        <v>0</v>
      </c>
      <c r="O13185" t="s">
        <v>19975</v>
      </c>
      <c r="Q13185" t="s">
        <v>21319</v>
      </c>
      <c r="R13185" t="s">
        <v>21724</v>
      </c>
      <c r="S13185">
        <v>3277</v>
      </c>
    </row>
    <row r="13186" spans="1:19">
      <c r="A13186" t="s">
        <v>145</v>
      </c>
      <c r="B13186" t="s">
        <v>150</v>
      </c>
      <c r="C13186" t="s">
        <v>277</v>
      </c>
      <c r="D13186" t="s">
        <v>406</v>
      </c>
      <c r="F13186">
        <f>HYPERLINK("https://www.wikidata.org/wiki/Q28494845", "Q28494845")</f>
        <v>0</v>
      </c>
      <c r="G13186" t="s">
        <v>3892</v>
      </c>
      <c r="H13186" t="s">
        <v>8153</v>
      </c>
      <c r="I13186" t="s">
        <v>9388</v>
      </c>
      <c r="J13186" t="s">
        <v>14450</v>
      </c>
      <c r="K13186" t="s">
        <v>18800</v>
      </c>
      <c r="L13186">
        <f>HYPERLINK("https://www2.assemblee-nationale.fr/sycomore/fiche/(num_dept)/716", "716")</f>
        <v>0</v>
      </c>
      <c r="M13186">
        <f>HYPERLINK("https://www.senat.fr/senateur-3eme-republique/bersez_paul1400r3.html", "bersez_paul1400r3")</f>
        <v>0</v>
      </c>
      <c r="N13186">
        <f>HYPERLINK("https://www.wikidata.org/wiki/Q3370626", "Q3370626")</f>
        <v>0</v>
      </c>
      <c r="O13186" t="s">
        <v>20013</v>
      </c>
      <c r="Q13186" t="s">
        <v>21319</v>
      </c>
      <c r="R13186" t="s">
        <v>21650</v>
      </c>
      <c r="S13186">
        <v>4667</v>
      </c>
    </row>
    <row r="13187" spans="1:19">
      <c r="A13187" t="s">
        <v>145</v>
      </c>
      <c r="B13187" t="s">
        <v>150</v>
      </c>
      <c r="C13187" t="s">
        <v>277</v>
      </c>
      <c r="D13187" t="s">
        <v>406</v>
      </c>
      <c r="F13187">
        <f>HYPERLINK("https://www.wikidata.org/wiki/Q28494845", "Q28494845")</f>
        <v>0</v>
      </c>
      <c r="G13187" t="s">
        <v>875</v>
      </c>
      <c r="H13187" t="s">
        <v>5631</v>
      </c>
      <c r="I13187" t="s">
        <v>9476</v>
      </c>
      <c r="J13187" t="s">
        <v>11621</v>
      </c>
      <c r="K13187" t="s">
        <v>16023</v>
      </c>
      <c r="L13187">
        <f>HYPERLINK("https://www2.assemblee-nationale.fr/sycomore/fiche/(num_dept)/749", "749")</f>
        <v>0</v>
      </c>
      <c r="M13187">
        <f>HYPERLINK("https://www.senat.fr/senateur-3eme-republique/besnard_rene0300r3.html", "besnard_rene0300r3")</f>
        <v>0</v>
      </c>
      <c r="N13187">
        <f>HYPERLINK("https://www.wikidata.org/wiki/Q3425839", "Q3425839")</f>
        <v>0</v>
      </c>
      <c r="O13187" t="s">
        <v>20008</v>
      </c>
      <c r="Q13187" t="s">
        <v>21319</v>
      </c>
      <c r="R13187" t="s">
        <v>21650</v>
      </c>
      <c r="S13187">
        <v>4667</v>
      </c>
    </row>
    <row r="13188" spans="1:19">
      <c r="A13188" t="s">
        <v>145</v>
      </c>
      <c r="B13188" t="s">
        <v>150</v>
      </c>
      <c r="C13188" t="s">
        <v>277</v>
      </c>
      <c r="D13188" t="s">
        <v>406</v>
      </c>
      <c r="F13188">
        <f>HYPERLINK("https://www.wikidata.org/wiki/Q28494845", "Q28494845")</f>
        <v>0</v>
      </c>
      <c r="G13188" t="s">
        <v>544</v>
      </c>
      <c r="H13188" t="s">
        <v>5308</v>
      </c>
      <c r="I13188" t="s">
        <v>9376</v>
      </c>
      <c r="J13188" t="s">
        <v>11296</v>
      </c>
      <c r="K13188" t="s">
        <v>15696</v>
      </c>
      <c r="L13188">
        <f>HYPERLINK("https://www2.assemblee-nationale.fr/sycomore/fiche/(num_dept)/1030", "1030")</f>
        <v>0</v>
      </c>
      <c r="M13188">
        <f>HYPERLINK("https://www.senat.fr/senateur-3eme-republique/bougere_ferdinand1163r3.html", "bougere_ferdinand1163r3")</f>
        <v>0</v>
      </c>
      <c r="N13188">
        <f>HYPERLINK("https://www.wikidata.org/wiki/Q8299130", "Q8299130")</f>
        <v>0</v>
      </c>
      <c r="O13188" t="s">
        <v>19980</v>
      </c>
      <c r="Q13188" t="s">
        <v>21319</v>
      </c>
      <c r="R13188" t="s">
        <v>21650</v>
      </c>
      <c r="S13188">
        <v>4667</v>
      </c>
    </row>
    <row r="13189" spans="1:19">
      <c r="A13189" t="s">
        <v>145</v>
      </c>
      <c r="B13189" t="s">
        <v>150</v>
      </c>
      <c r="C13189" t="s">
        <v>277</v>
      </c>
      <c r="D13189" t="s">
        <v>406</v>
      </c>
      <c r="F13189">
        <f>HYPERLINK("https://www.wikidata.org/wiki/Q28494845", "Q28494845")</f>
        <v>0</v>
      </c>
      <c r="G13189" t="s">
        <v>1390</v>
      </c>
      <c r="H13189" t="s">
        <v>6101</v>
      </c>
      <c r="I13189" t="s">
        <v>6495</v>
      </c>
      <c r="J13189" t="s">
        <v>12116</v>
      </c>
      <c r="K13189" t="s">
        <v>16517</v>
      </c>
      <c r="L13189">
        <f>HYPERLINK("https://www2.assemblee-nationale.fr/sycomore/fiche/(num_dept)/1235", "1235")</f>
        <v>0</v>
      </c>
      <c r="M13189">
        <f>HYPERLINK("https://www.senat.fr/senateur-3eme-republique/bringer_louis0862r3.html", "bringer_louis0862r3")</f>
        <v>0</v>
      </c>
      <c r="N13189">
        <f>HYPERLINK("https://www.wikidata.org/wiki/Q3261361", "Q3261361")</f>
        <v>0</v>
      </c>
      <c r="O13189" t="s">
        <v>20004</v>
      </c>
      <c r="Q13189" t="s">
        <v>21319</v>
      </c>
      <c r="R13189" t="s">
        <v>21724</v>
      </c>
      <c r="S13189">
        <v>3277</v>
      </c>
    </row>
    <row r="13190" spans="1:19">
      <c r="A13190" t="s">
        <v>145</v>
      </c>
      <c r="B13190" t="s">
        <v>150</v>
      </c>
      <c r="C13190" t="s">
        <v>277</v>
      </c>
      <c r="D13190" t="s">
        <v>406</v>
      </c>
      <c r="F13190">
        <f>HYPERLINK("https://www.wikidata.org/wiki/Q28494845", "Q28494845")</f>
        <v>0</v>
      </c>
      <c r="G13190" t="s">
        <v>1398</v>
      </c>
      <c r="H13190" t="s">
        <v>6109</v>
      </c>
      <c r="I13190" t="s">
        <v>9407</v>
      </c>
      <c r="J13190" t="s">
        <v>12124</v>
      </c>
      <c r="K13190" t="s">
        <v>16525</v>
      </c>
      <c r="L13190">
        <f>HYPERLINK("https://www2.assemblee-nationale.fr/sycomore/fiche/(num_dept)/1429", "1429")</f>
        <v>0</v>
      </c>
      <c r="M13190">
        <f>HYPERLINK("https://www.senat.fr/senateur-3eme-republique/capus_joseph0215r3.html", "capus_joseph0215r3")</f>
        <v>0</v>
      </c>
      <c r="N13190">
        <f>HYPERLINK("https://www.wikidata.org/wiki/Q2405409", "Q2405409")</f>
        <v>0</v>
      </c>
      <c r="O13190" t="s">
        <v>19987</v>
      </c>
      <c r="Q13190" t="s">
        <v>21319</v>
      </c>
      <c r="R13190" t="s">
        <v>21650</v>
      </c>
      <c r="S13190">
        <v>4667</v>
      </c>
    </row>
    <row r="13191" spans="1:19">
      <c r="A13191" t="s">
        <v>145</v>
      </c>
      <c r="B13191" t="s">
        <v>150</v>
      </c>
      <c r="C13191" t="s">
        <v>277</v>
      </c>
      <c r="D13191" t="s">
        <v>406</v>
      </c>
      <c r="F13191">
        <f>HYPERLINK("https://www.wikidata.org/wiki/Q28494845", "Q28494845")</f>
        <v>0</v>
      </c>
      <c r="G13191" t="s">
        <v>565</v>
      </c>
      <c r="H13191" t="s">
        <v>5328</v>
      </c>
      <c r="I13191" t="s">
        <v>6860</v>
      </c>
      <c r="J13191" t="s">
        <v>11316</v>
      </c>
      <c r="K13191" t="s">
        <v>15717</v>
      </c>
      <c r="L13191">
        <f>HYPERLINK("https://www2.assemblee-nationale.fr/sycomore/fiche/(num_dept)/1623", "1623")</f>
        <v>0</v>
      </c>
      <c r="M13191">
        <f>HYPERLINK("https://www.senat.fr/senateur-3eme-republique/de_chambrun_pierre0856r3.html", "de_chambrun_pierre0856r3")</f>
        <v>0</v>
      </c>
      <c r="N13191">
        <f>HYPERLINK("https://www.wikidata.org/wiki/Q3042196", "Q3042196")</f>
        <v>0</v>
      </c>
      <c r="O13191" t="s">
        <v>20004</v>
      </c>
      <c r="Q13191" t="s">
        <v>21319</v>
      </c>
      <c r="R13191" t="s">
        <v>21724</v>
      </c>
      <c r="S13191">
        <v>3277</v>
      </c>
    </row>
    <row r="13192" spans="1:19">
      <c r="A13192" t="s">
        <v>145</v>
      </c>
      <c r="B13192" t="s">
        <v>150</v>
      </c>
      <c r="C13192" t="s">
        <v>277</v>
      </c>
      <c r="D13192" t="s">
        <v>406</v>
      </c>
      <c r="F13192">
        <f>HYPERLINK("https://www.wikidata.org/wiki/Q28494845", "Q28494845")</f>
        <v>0</v>
      </c>
      <c r="G13192" t="s">
        <v>574</v>
      </c>
      <c r="H13192" t="s">
        <v>5337</v>
      </c>
      <c r="I13192" t="s">
        <v>9426</v>
      </c>
      <c r="J13192" t="s">
        <v>11325</v>
      </c>
      <c r="K13192" t="s">
        <v>15726</v>
      </c>
      <c r="L13192">
        <f>HYPERLINK("https://www2.assemblee-nationale.fr/sycomore/fiche/(num_dept)/1725", "1725")</f>
        <v>0</v>
      </c>
      <c r="M13192">
        <f>HYPERLINK("https://www.senat.fr/senateur-3eme-republique/chautemps_alphonse0309r3.html", "chautemps_alphonse0309r3")</f>
        <v>0</v>
      </c>
      <c r="N13192">
        <f>HYPERLINK("https://www.wikidata.org/wiki/Q2839734", "Q2839734")</f>
        <v>0</v>
      </c>
      <c r="O13192" t="s">
        <v>20008</v>
      </c>
      <c r="Q13192" t="s">
        <v>21319</v>
      </c>
      <c r="R13192" t="s">
        <v>21650</v>
      </c>
      <c r="S13192">
        <v>4667</v>
      </c>
    </row>
    <row r="13193" spans="1:19">
      <c r="A13193" t="s">
        <v>145</v>
      </c>
      <c r="B13193" t="s">
        <v>150</v>
      </c>
      <c r="C13193" t="s">
        <v>277</v>
      </c>
      <c r="D13193" t="s">
        <v>406</v>
      </c>
      <c r="F13193">
        <f>HYPERLINK("https://www.wikidata.org/wiki/Q28494845", "Q28494845")</f>
        <v>0</v>
      </c>
      <c r="G13193" t="s">
        <v>596</v>
      </c>
      <c r="H13193" t="s">
        <v>5357</v>
      </c>
      <c r="I13193" t="s">
        <v>9443</v>
      </c>
      <c r="J13193" t="s">
        <v>11347</v>
      </c>
      <c r="K13193" t="s">
        <v>15748</v>
      </c>
      <c r="L13193">
        <f>HYPERLINK("https://www2.assemblee-nationale.fr/sycomore/fiche/(num_dept)/2091", "2091")</f>
        <v>0</v>
      </c>
      <c r="M13193">
        <f>HYPERLINK("https://www.senat.fr/senateur-3eme-republique/cuttoli_paul0695r3.html", "cuttoli_paul0695r3")</f>
        <v>0</v>
      </c>
      <c r="N13193">
        <f>HYPERLINK("https://www.wikidata.org/wiki/Q3370965", "Q3370965")</f>
        <v>0</v>
      </c>
      <c r="Q13193" t="s">
        <v>21319</v>
      </c>
      <c r="R13193" t="s">
        <v>21650</v>
      </c>
      <c r="S13193">
        <v>4667</v>
      </c>
    </row>
    <row r="13194" spans="1:19">
      <c r="A13194" t="s">
        <v>145</v>
      </c>
      <c r="B13194" t="s">
        <v>150</v>
      </c>
      <c r="C13194" t="s">
        <v>277</v>
      </c>
      <c r="D13194" t="s">
        <v>406</v>
      </c>
      <c r="F13194">
        <f>HYPERLINK("https://www.wikidata.org/wiki/Q28494845", "Q28494845")</f>
        <v>0</v>
      </c>
      <c r="G13194" t="s">
        <v>4174</v>
      </c>
      <c r="H13194" t="s">
        <v>6445</v>
      </c>
      <c r="I13194" t="s">
        <v>9457</v>
      </c>
      <c r="J13194" t="s">
        <v>14695</v>
      </c>
      <c r="K13194" t="s">
        <v>19036</v>
      </c>
      <c r="L13194">
        <f>HYPERLINK("https://www2.assemblee-nationale.fr/sycomore/fiche/(num_dept)/2163", "2163")</f>
        <v>0</v>
      </c>
      <c r="M13194">
        <f>HYPERLINK("https://www.senat.fr/senateur-3eme-republique/dauthy_henry0275r3.html", "dauthy_henry0275r3")</f>
        <v>0</v>
      </c>
      <c r="N13194">
        <f>HYPERLINK("https://www.wikidata.org/wiki/Q3132716", "Q3132716")</f>
        <v>0</v>
      </c>
      <c r="O13194" t="s">
        <v>19975</v>
      </c>
      <c r="Q13194" t="s">
        <v>21319</v>
      </c>
      <c r="R13194" t="s">
        <v>21650</v>
      </c>
      <c r="S13194">
        <v>4667</v>
      </c>
    </row>
    <row r="13195" spans="1:19">
      <c r="A13195" t="s">
        <v>145</v>
      </c>
      <c r="B13195" t="s">
        <v>150</v>
      </c>
      <c r="C13195" t="s">
        <v>277</v>
      </c>
      <c r="D13195" t="s">
        <v>406</v>
      </c>
      <c r="F13195">
        <f>HYPERLINK("https://www.wikidata.org/wiki/Q28494845", "Q28494845")</f>
        <v>0</v>
      </c>
      <c r="G13195" t="s">
        <v>1241</v>
      </c>
      <c r="H13195" t="s">
        <v>5966</v>
      </c>
      <c r="I13195" t="s">
        <v>6175</v>
      </c>
      <c r="J13195" t="s">
        <v>11972</v>
      </c>
      <c r="K13195" t="s">
        <v>16375</v>
      </c>
      <c r="L13195">
        <f>HYPERLINK("https://www2.assemblee-nationale.fr/sycomore/fiche/(num_dept)/2213", "2213")</f>
        <v>0</v>
      </c>
      <c r="M13195">
        <f>HYPERLINK("https://www.senat.fr/senateur-3eme-republique/decroze_georges0886r3.html", "decroze_georges0886r3")</f>
        <v>0</v>
      </c>
      <c r="N13195">
        <f>HYPERLINK("https://www.wikidata.org/wiki/Q3102567", "Q3102567")</f>
        <v>0</v>
      </c>
      <c r="O13195" t="s">
        <v>19989</v>
      </c>
      <c r="Q13195" t="s">
        <v>21319</v>
      </c>
      <c r="R13195" t="s">
        <v>21650</v>
      </c>
      <c r="S13195">
        <v>4667</v>
      </c>
    </row>
    <row r="13196" spans="1:19">
      <c r="A13196" t="s">
        <v>145</v>
      </c>
      <c r="B13196" t="s">
        <v>150</v>
      </c>
      <c r="C13196" t="s">
        <v>277</v>
      </c>
      <c r="D13196" t="s">
        <v>406</v>
      </c>
      <c r="F13196">
        <f>HYPERLINK("https://www.wikidata.org/wiki/Q28494845", "Q28494845")</f>
        <v>0</v>
      </c>
      <c r="G13196" t="s">
        <v>616</v>
      </c>
      <c r="H13196" t="s">
        <v>5376</v>
      </c>
      <c r="I13196" t="s">
        <v>6584</v>
      </c>
      <c r="J13196" t="s">
        <v>11366</v>
      </c>
      <c r="K13196" t="s">
        <v>15768</v>
      </c>
      <c r="L13196">
        <f>HYPERLINK("https://www2.assemblee-nationale.fr/sycomore/fiche/(num_dept)/2521", "2521")</f>
        <v>0</v>
      </c>
      <c r="M13196">
        <f>HYPERLINK("https://www.senat.fr/senateur-3eme-republique/de_dion_albert1292r3.html", "de_dion_albert1292r3")</f>
        <v>0</v>
      </c>
      <c r="N13196">
        <f>HYPERLINK("https://www.wikidata.org/wiki/Q971548", "Q971548")</f>
        <v>0</v>
      </c>
      <c r="O13196" t="s">
        <v>20023</v>
      </c>
      <c r="Q13196" t="s">
        <v>21319</v>
      </c>
      <c r="R13196" t="s">
        <v>21650</v>
      </c>
      <c r="S13196">
        <v>4667</v>
      </c>
    </row>
    <row r="13197" spans="1:19">
      <c r="A13197" t="s">
        <v>145</v>
      </c>
      <c r="B13197" t="s">
        <v>150</v>
      </c>
      <c r="C13197" t="s">
        <v>277</v>
      </c>
      <c r="D13197" t="s">
        <v>406</v>
      </c>
      <c r="F13197">
        <f>HYPERLINK("https://www.wikidata.org/wiki/Q28494845", "Q28494845")</f>
        <v>0</v>
      </c>
      <c r="G13197" t="s">
        <v>935</v>
      </c>
      <c r="H13197" t="s">
        <v>5691</v>
      </c>
      <c r="I13197" t="s">
        <v>9401</v>
      </c>
      <c r="J13197" t="s">
        <v>11676</v>
      </c>
      <c r="K13197" t="s">
        <v>16077</v>
      </c>
      <c r="L13197">
        <f>HYPERLINK("https://www2.assemblee-nationale.fr/sycomore/fiche/(num_dept)/2593", "2593")</f>
        <v>0</v>
      </c>
      <c r="M13197">
        <f>HYPERLINK("https://www.senat.fr/senateur-3eme-republique/drivet_antoine1373r3.html", "drivet_antoine1373r3")</f>
        <v>0</v>
      </c>
      <c r="N13197">
        <f>HYPERLINK("https://www.wikidata.org/wiki/Q2853879", "Q2853879")</f>
        <v>0</v>
      </c>
      <c r="O13197" t="s">
        <v>19997</v>
      </c>
      <c r="Q13197" t="s">
        <v>21319</v>
      </c>
      <c r="R13197" t="s">
        <v>21650</v>
      </c>
      <c r="S13197">
        <v>4667</v>
      </c>
    </row>
    <row r="13198" spans="1:19">
      <c r="A13198" t="s">
        <v>145</v>
      </c>
      <c r="B13198" t="s">
        <v>150</v>
      </c>
      <c r="C13198" t="s">
        <v>277</v>
      </c>
      <c r="D13198" t="s">
        <v>406</v>
      </c>
      <c r="F13198">
        <f>HYPERLINK("https://www.wikidata.org/wiki/Q28494845", "Q28494845")</f>
        <v>0</v>
      </c>
      <c r="G13198" t="s">
        <v>4162</v>
      </c>
      <c r="H13198" t="s">
        <v>8364</v>
      </c>
      <c r="I13198" t="s">
        <v>6860</v>
      </c>
      <c r="J13198" t="s">
        <v>14688</v>
      </c>
      <c r="K13198" t="s">
        <v>19025</v>
      </c>
      <c r="L13198">
        <f>HYPERLINK("https://www2.assemblee-nationale.fr/sycomore/fiche/(num_dept)/2662", "2662")</f>
        <v>0</v>
      </c>
      <c r="M13198">
        <f>HYPERLINK("https://www.senat.fr/senateur-3eme-republique/dudouyt_pierre1037r3.html", "dudouyt_pierre1037r3")</f>
        <v>0</v>
      </c>
      <c r="N13198">
        <f>HYPERLINK("https://www.wikidata.org/wiki/Q3384838", "Q3384838")</f>
        <v>0</v>
      </c>
      <c r="O13198" t="s">
        <v>19985</v>
      </c>
      <c r="Q13198" t="s">
        <v>21319</v>
      </c>
      <c r="R13198" t="s">
        <v>21650</v>
      </c>
      <c r="S13198">
        <v>4667</v>
      </c>
    </row>
    <row r="13199" spans="1:19">
      <c r="A13199" t="s">
        <v>145</v>
      </c>
      <c r="B13199" t="s">
        <v>150</v>
      </c>
      <c r="C13199" t="s">
        <v>277</v>
      </c>
      <c r="D13199" t="s">
        <v>406</v>
      </c>
      <c r="F13199">
        <f>HYPERLINK("https://www.wikidata.org/wiki/Q28494845", "Q28494845")</f>
        <v>0</v>
      </c>
      <c r="G13199" t="s">
        <v>948</v>
      </c>
      <c r="H13199" t="s">
        <v>5386</v>
      </c>
      <c r="I13199" t="s">
        <v>9385</v>
      </c>
      <c r="J13199" t="s">
        <v>11689</v>
      </c>
      <c r="K13199" t="s">
        <v>16090</v>
      </c>
      <c r="L13199">
        <f>HYPERLINK("https://www2.assemblee-nationale.fr/sycomore/fiche/(num_dept)/2702", "2702")</f>
        <v>0</v>
      </c>
      <c r="M13199">
        <f>HYPERLINK("https://www.senat.fr/senateur-3eme-republique/dumont_charles0432r3.html", "dumont_charles0432r3")</f>
        <v>0</v>
      </c>
      <c r="N13199">
        <f>HYPERLINK("https://www.wikidata.org/wiki/Q2958960", "Q2958960")</f>
        <v>0</v>
      </c>
      <c r="O13199" t="s">
        <v>20041</v>
      </c>
      <c r="Q13199" t="s">
        <v>21319</v>
      </c>
      <c r="R13199" t="s">
        <v>21650</v>
      </c>
      <c r="S13199">
        <v>4667</v>
      </c>
    </row>
    <row r="13200" spans="1:19">
      <c r="A13200" t="s">
        <v>145</v>
      </c>
      <c r="B13200" t="s">
        <v>150</v>
      </c>
      <c r="C13200" t="s">
        <v>277</v>
      </c>
      <c r="D13200" t="s">
        <v>406</v>
      </c>
      <c r="F13200">
        <f>HYPERLINK("https://www.wikidata.org/wiki/Q28494845", "Q28494845")</f>
        <v>0</v>
      </c>
      <c r="G13200" t="s">
        <v>1456</v>
      </c>
      <c r="H13200" t="s">
        <v>6156</v>
      </c>
      <c r="I13200" t="s">
        <v>6585</v>
      </c>
      <c r="J13200" t="s">
        <v>12175</v>
      </c>
      <c r="K13200" t="s">
        <v>16581</v>
      </c>
      <c r="L13200">
        <f>HYPERLINK("https://www2.assemblee-nationale.fr/sycomore/fiche/(num_dept)/2900", "2900")</f>
        <v>0</v>
      </c>
      <c r="M13200">
        <f>HYPERLINK("https://www.senat.fr/senateur-3eme-republique/fallieres_andre0749r3.html", "fallieres_andre0749r3")</f>
        <v>0</v>
      </c>
      <c r="N13200">
        <f>HYPERLINK("https://www.wikidata.org/wiki/Q2847742", "Q2847742")</f>
        <v>0</v>
      </c>
      <c r="O13200" t="s">
        <v>20043</v>
      </c>
      <c r="Q13200" t="s">
        <v>21319</v>
      </c>
      <c r="R13200" t="s">
        <v>21724</v>
      </c>
      <c r="S13200">
        <v>3277</v>
      </c>
    </row>
    <row r="13201" spans="1:19">
      <c r="A13201" t="s">
        <v>145</v>
      </c>
      <c r="B13201" t="s">
        <v>150</v>
      </c>
      <c r="C13201" t="s">
        <v>277</v>
      </c>
      <c r="D13201" t="s">
        <v>406</v>
      </c>
      <c r="F13201">
        <f>HYPERLINK("https://www.wikidata.org/wiki/Q28494845", "Q28494845")</f>
        <v>0</v>
      </c>
      <c r="G13201" t="s">
        <v>1253</v>
      </c>
      <c r="H13201" t="s">
        <v>5977</v>
      </c>
      <c r="I13201" t="s">
        <v>9535</v>
      </c>
      <c r="J13201" t="s">
        <v>11983</v>
      </c>
      <c r="K13201" t="s">
        <v>16386</v>
      </c>
      <c r="L13201">
        <f>HYPERLINK("https://www2.assemblee-nationale.fr/sycomore/fiche/(num_dept)/2943", "2943")</f>
        <v>0</v>
      </c>
      <c r="M13201">
        <f>HYPERLINK("https://www.senat.fr/senateur-3eme-republique/fayolle_julien0519r3.html", "fayolle_julien0519r3")</f>
        <v>0</v>
      </c>
      <c r="N13201">
        <f>HYPERLINK("https://www.wikidata.org/wiki/Q3189490", "Q3189490")</f>
        <v>0</v>
      </c>
      <c r="O13201" t="s">
        <v>19993</v>
      </c>
      <c r="Q13201" t="s">
        <v>21319</v>
      </c>
      <c r="R13201" t="s">
        <v>21725</v>
      </c>
      <c r="S13201">
        <v>888</v>
      </c>
    </row>
    <row r="13202" spans="1:19">
      <c r="A13202" t="s">
        <v>145</v>
      </c>
      <c r="B13202" t="s">
        <v>150</v>
      </c>
      <c r="C13202" t="s">
        <v>277</v>
      </c>
      <c r="D13202" t="s">
        <v>406</v>
      </c>
      <c r="F13202">
        <f>HYPERLINK("https://www.wikidata.org/wiki/Q28494845", "Q28494845")</f>
        <v>0</v>
      </c>
      <c r="G13202" t="s">
        <v>648</v>
      </c>
      <c r="H13202" t="s">
        <v>5407</v>
      </c>
      <c r="I13202" t="s">
        <v>9468</v>
      </c>
      <c r="J13202" t="s">
        <v>11398</v>
      </c>
      <c r="K13202" t="s">
        <v>15800</v>
      </c>
      <c r="L13202">
        <f>HYPERLINK("https://www2.assemblee-nationale.fr/sycomore/fiche/(num_dept)/3072", "3072")</f>
        <v>0</v>
      </c>
      <c r="M13202">
        <f>HYPERLINK("https://www.senat.fr/senateur-3eme-republique/foucher_octave0306r3.html", "foucher_octave0306r3")</f>
        <v>0</v>
      </c>
      <c r="N13202">
        <f>HYPERLINK("https://www.wikidata.org/wiki/Q3348830", "Q3348830")</f>
        <v>0</v>
      </c>
      <c r="O13202" t="s">
        <v>20008</v>
      </c>
      <c r="Q13202" t="s">
        <v>21319</v>
      </c>
      <c r="R13202" t="s">
        <v>21650</v>
      </c>
      <c r="S13202">
        <v>4667</v>
      </c>
    </row>
    <row r="13203" spans="1:19">
      <c r="A13203" t="s">
        <v>145</v>
      </c>
      <c r="B13203" t="s">
        <v>150</v>
      </c>
      <c r="C13203" t="s">
        <v>277</v>
      </c>
      <c r="D13203" t="s">
        <v>406</v>
      </c>
      <c r="F13203">
        <f>HYPERLINK("https://www.wikidata.org/wiki/Q28494845", "Q28494845")</f>
        <v>0</v>
      </c>
      <c r="G13203" t="s">
        <v>1175</v>
      </c>
      <c r="H13203" t="s">
        <v>5906</v>
      </c>
      <c r="I13203" t="s">
        <v>8494</v>
      </c>
      <c r="J13203" t="s">
        <v>11908</v>
      </c>
      <c r="K13203" t="s">
        <v>16310</v>
      </c>
      <c r="L13203">
        <f>HYPERLINK("https://www2.assemblee-nationale.fr/sycomore/fiche/(num_dept)/3254", "3254")</f>
        <v>0</v>
      </c>
      <c r="M13203">
        <f>HYPERLINK("https://www.senat.fr/senateur-3eme-republique/gardey_abel0150r3.html", "gardey_abel0150r3")</f>
        <v>0</v>
      </c>
      <c r="N13203">
        <f>HYPERLINK("https://www.wikidata.org/wiki/Q2821514", "Q2821514")</f>
        <v>0</v>
      </c>
      <c r="O13203" t="s">
        <v>20003</v>
      </c>
      <c r="Q13203" t="s">
        <v>21319</v>
      </c>
      <c r="R13203" t="s">
        <v>21650</v>
      </c>
      <c r="S13203">
        <v>4667</v>
      </c>
    </row>
    <row r="13204" spans="1:19">
      <c r="A13204" t="s">
        <v>145</v>
      </c>
      <c r="B13204" t="s">
        <v>150</v>
      </c>
      <c r="C13204" t="s">
        <v>277</v>
      </c>
      <c r="D13204" t="s">
        <v>406</v>
      </c>
      <c r="F13204">
        <f>HYPERLINK("https://www.wikidata.org/wiki/Q28494845", "Q28494845")</f>
        <v>0</v>
      </c>
      <c r="G13204" t="s">
        <v>3787</v>
      </c>
      <c r="H13204" t="s">
        <v>8077</v>
      </c>
      <c r="I13204" t="s">
        <v>9388</v>
      </c>
      <c r="J13204" t="s">
        <v>14357</v>
      </c>
      <c r="K13204" t="s">
        <v>18708</v>
      </c>
      <c r="L13204">
        <f>HYPERLINK("https://www2.assemblee-nationale.fr/sycomore/fiche/(num_dept)/3774", "3774")</f>
        <v>0</v>
      </c>
      <c r="M13204">
        <f>HYPERLINK("https://www.senat.fr/senateur-3eme-republique/hayez_paul1415r3.html", "hayez_paul1415r3")</f>
        <v>0</v>
      </c>
      <c r="N13204">
        <f>HYPERLINK("https://www.wikidata.org/wiki/Q3371447", "Q3371447")</f>
        <v>0</v>
      </c>
      <c r="O13204" t="s">
        <v>20013</v>
      </c>
      <c r="Q13204" t="s">
        <v>21319</v>
      </c>
      <c r="R13204" t="s">
        <v>21650</v>
      </c>
      <c r="S13204">
        <v>4667</v>
      </c>
    </row>
    <row r="13205" spans="1:19">
      <c r="A13205" t="s">
        <v>145</v>
      </c>
      <c r="B13205" t="s">
        <v>150</v>
      </c>
      <c r="C13205" t="s">
        <v>277</v>
      </c>
      <c r="D13205" t="s">
        <v>406</v>
      </c>
      <c r="F13205">
        <f>HYPERLINK("https://www.wikidata.org/wiki/Q28494845", "Q28494845")</f>
        <v>0</v>
      </c>
      <c r="G13205" t="s">
        <v>1818</v>
      </c>
      <c r="H13205" t="s">
        <v>6482</v>
      </c>
      <c r="I13205" t="s">
        <v>6200</v>
      </c>
      <c r="J13205" t="s">
        <v>12512</v>
      </c>
      <c r="K13205" t="s">
        <v>16922</v>
      </c>
      <c r="L13205">
        <f>HYPERLINK("https://www2.assemblee-nationale.fr/sycomore/fiche/(num_dept)/3973", "3973")</f>
        <v>0</v>
      </c>
      <c r="M13205">
        <f>HYPERLINK("https://www.senat.fr/senateur-3eme-republique/jacquy_jean0652r3.html", "jacquy_jean0652r3")</f>
        <v>0</v>
      </c>
      <c r="N13205">
        <f>HYPERLINK("https://www.wikidata.org/wiki/Q3172779", "Q3172779")</f>
        <v>0</v>
      </c>
      <c r="O13205" t="s">
        <v>20025</v>
      </c>
      <c r="Q13205" t="s">
        <v>21319</v>
      </c>
      <c r="R13205" t="s">
        <v>17346</v>
      </c>
      <c r="S13205">
        <v>4373</v>
      </c>
    </row>
    <row r="13206" spans="1:19">
      <c r="A13206" t="s">
        <v>145</v>
      </c>
      <c r="B13206" t="s">
        <v>150</v>
      </c>
      <c r="C13206" t="s">
        <v>277</v>
      </c>
      <c r="D13206" t="s">
        <v>406</v>
      </c>
      <c r="F13206">
        <f>HYPERLINK("https://www.wikidata.org/wiki/Q28494845", "Q28494845")</f>
        <v>0</v>
      </c>
      <c r="G13206" t="s">
        <v>1525</v>
      </c>
      <c r="H13206" t="s">
        <v>6220</v>
      </c>
      <c r="I13206" t="s">
        <v>9503</v>
      </c>
      <c r="J13206" t="s">
        <v>12242</v>
      </c>
      <c r="K13206" t="s">
        <v>16648</v>
      </c>
      <c r="L13206">
        <f>HYPERLINK("https://www2.assemblee-nationale.fr/sycomore/fiche/(num_dept)/4947", "4947")</f>
        <v>0</v>
      </c>
      <c r="M13206">
        <f>HYPERLINK("https://www.senat.fr/senateur-3eme-republique/manceau_anatole1155r3.html", "manceau_anatole1155r3")</f>
        <v>0</v>
      </c>
      <c r="N13206">
        <f>HYPERLINK("https://www.wikidata.org/wiki/Q2845594", "Q2845594")</f>
        <v>0</v>
      </c>
      <c r="O13206" t="s">
        <v>19980</v>
      </c>
      <c r="Q13206" t="s">
        <v>21319</v>
      </c>
      <c r="R13206" t="s">
        <v>21650</v>
      </c>
      <c r="S13206">
        <v>4667</v>
      </c>
    </row>
    <row r="13207" spans="1:19">
      <c r="A13207" t="s">
        <v>145</v>
      </c>
      <c r="B13207" t="s">
        <v>150</v>
      </c>
      <c r="C13207" t="s">
        <v>277</v>
      </c>
      <c r="D13207" t="s">
        <v>406</v>
      </c>
      <c r="F13207">
        <f>HYPERLINK("https://www.wikidata.org/wiki/Q28494845", "Q28494845")</f>
        <v>0</v>
      </c>
      <c r="G13207" t="s">
        <v>1534</v>
      </c>
      <c r="H13207" t="s">
        <v>6228</v>
      </c>
      <c r="I13207" t="s">
        <v>9388</v>
      </c>
      <c r="J13207" t="s">
        <v>12251</v>
      </c>
      <c r="K13207" t="s">
        <v>16656</v>
      </c>
      <c r="L13207">
        <f>HYPERLINK("https://www2.assemblee-nationale.fr/sycomore/fiche/(num_dept)/5118", "5118")</f>
        <v>0</v>
      </c>
      <c r="M13207">
        <f>HYPERLINK("https://www.senat.fr/senateur-3eme-republique/maulion_paul0899r3.html", "maulion_paul0899r3")</f>
        <v>0</v>
      </c>
      <c r="N13207">
        <f>HYPERLINK("https://www.wikidata.org/wiki/Q3371810", "Q3371810")</f>
        <v>0</v>
      </c>
      <c r="O13207" t="s">
        <v>19961</v>
      </c>
      <c r="Q13207" t="s">
        <v>21319</v>
      </c>
      <c r="R13207" t="s">
        <v>21724</v>
      </c>
      <c r="S13207">
        <v>3277</v>
      </c>
    </row>
    <row r="13208" spans="1:19">
      <c r="A13208" t="s">
        <v>145</v>
      </c>
      <c r="B13208" t="s">
        <v>150</v>
      </c>
      <c r="C13208" t="s">
        <v>277</v>
      </c>
      <c r="D13208" t="s">
        <v>406</v>
      </c>
      <c r="F13208">
        <f>HYPERLINK("https://www.wikidata.org/wiki/Q28494845", "Q28494845")</f>
        <v>0</v>
      </c>
      <c r="G13208" t="s">
        <v>1276</v>
      </c>
      <c r="H13208" t="s">
        <v>6000</v>
      </c>
      <c r="I13208" t="s">
        <v>9446</v>
      </c>
      <c r="J13208" t="s">
        <v>12006</v>
      </c>
      <c r="K13208" t="s">
        <v>16409</v>
      </c>
      <c r="L13208">
        <f>HYPERLINK("https://www2.assemblee-nationale.fr/sycomore/fiche/(num_dept)/5208", "5208")</f>
        <v>0</v>
      </c>
      <c r="M13208">
        <f>HYPERLINK("https://www.senat.fr/senateur-3eme-republique/merlin_fernand1341r3.html", "merlin_fernand1341r3")</f>
        <v>0</v>
      </c>
      <c r="N13208">
        <f>HYPERLINK("https://www.wikidata.org/wiki/Q3069270", "Q3069270")</f>
        <v>0</v>
      </c>
      <c r="O13208" t="s">
        <v>19997</v>
      </c>
      <c r="Q13208" t="s">
        <v>21319</v>
      </c>
      <c r="R13208" t="s">
        <v>21650</v>
      </c>
      <c r="S13208">
        <v>4667</v>
      </c>
    </row>
    <row r="13209" spans="1:19">
      <c r="A13209" t="s">
        <v>145</v>
      </c>
      <c r="B13209" t="s">
        <v>150</v>
      </c>
      <c r="C13209" t="s">
        <v>277</v>
      </c>
      <c r="D13209" t="s">
        <v>406</v>
      </c>
      <c r="F13209">
        <f>HYPERLINK("https://www.wikidata.org/wiki/Q28494845", "Q28494845")</f>
        <v>0</v>
      </c>
      <c r="G13209" t="s">
        <v>3998</v>
      </c>
      <c r="H13209" t="s">
        <v>8237</v>
      </c>
      <c r="I13209" t="s">
        <v>11056</v>
      </c>
      <c r="J13209" t="s">
        <v>14545</v>
      </c>
      <c r="K13209" t="s">
        <v>18888</v>
      </c>
      <c r="L13209">
        <f>HYPERLINK("https://www2.assemblee-nationale.fr/sycomore/fiche/(num_dept)/5338", "5338")</f>
        <v>0</v>
      </c>
      <c r="M13209">
        <f>HYPERLINK("https://www.senat.fr/senateur-3eme-republique/monfeuillart_ernest0635r3.html", "monfeuillart_ernest0635r3")</f>
        <v>0</v>
      </c>
      <c r="N13209">
        <f>HYPERLINK("https://www.wikidata.org/wiki/Q3057090", "Q3057090")</f>
        <v>0</v>
      </c>
      <c r="O13209" t="s">
        <v>20025</v>
      </c>
      <c r="Q13209" t="s">
        <v>21319</v>
      </c>
      <c r="R13209" t="s">
        <v>21650</v>
      </c>
      <c r="S13209">
        <v>4667</v>
      </c>
    </row>
    <row r="13210" spans="1:19">
      <c r="A13210" t="s">
        <v>145</v>
      </c>
      <c r="B13210" t="s">
        <v>150</v>
      </c>
      <c r="C13210" t="s">
        <v>277</v>
      </c>
      <c r="D13210" t="s">
        <v>406</v>
      </c>
      <c r="F13210">
        <f>HYPERLINK("https://www.wikidata.org/wiki/Q28494845", "Q28494845")</f>
        <v>0</v>
      </c>
      <c r="G13210" t="s">
        <v>1188</v>
      </c>
      <c r="H13210" t="s">
        <v>5918</v>
      </c>
      <c r="I13210" t="s">
        <v>9457</v>
      </c>
      <c r="J13210" t="s">
        <v>11921</v>
      </c>
      <c r="K13210" t="s">
        <v>16322</v>
      </c>
      <c r="L13210">
        <f>HYPERLINK("https://www2.assemblee-nationale.fr/sycomore/fiche/(num_dept)/5387", "5387")</f>
        <v>0</v>
      </c>
      <c r="M13210">
        <f>HYPERLINK("https://www.senat.fr/senateur-3eme-republique/de_monti_de_reze_henri0960r3.html", "de_monti_de_reze_henri0960r3")</f>
        <v>0</v>
      </c>
      <c r="N13210">
        <f>HYPERLINK("https://www.wikidata.org/wiki/Q3132339", "Q3132339")</f>
        <v>0</v>
      </c>
      <c r="O13210" t="s">
        <v>19984</v>
      </c>
      <c r="Q13210" t="s">
        <v>21319</v>
      </c>
      <c r="R13210" t="s">
        <v>21650</v>
      </c>
      <c r="S13210">
        <v>4667</v>
      </c>
    </row>
    <row r="13211" spans="1:19">
      <c r="A13211" t="s">
        <v>145</v>
      </c>
      <c r="B13211" t="s">
        <v>150</v>
      </c>
      <c r="C13211" t="s">
        <v>277</v>
      </c>
      <c r="D13211" t="s">
        <v>406</v>
      </c>
      <c r="F13211">
        <f>HYPERLINK("https://www.wikidata.org/wiki/Q28494845", "Q28494845")</f>
        <v>0</v>
      </c>
      <c r="G13211" t="s">
        <v>744</v>
      </c>
      <c r="H13211" t="s">
        <v>5502</v>
      </c>
      <c r="I13211" t="s">
        <v>9375</v>
      </c>
      <c r="J13211" t="s">
        <v>11493</v>
      </c>
      <c r="K13211" t="s">
        <v>15895</v>
      </c>
      <c r="L13211">
        <f>HYPERLINK("https://www2.assemblee-nationale.fr/sycomore/fiche/(num_dept)/5529", "5529")</f>
        <v>0</v>
      </c>
      <c r="M13211">
        <f>HYPERLINK("https://www.senat.fr/senateur-3eme-republique/neron_edouard0523r3.html", "neron_edouard0523r3")</f>
        <v>0</v>
      </c>
      <c r="N13211">
        <f>HYPERLINK("https://www.wikidata.org/wiki/Q3579976", "Q3579976")</f>
        <v>0</v>
      </c>
      <c r="O13211" t="s">
        <v>19993</v>
      </c>
      <c r="Q13211" t="s">
        <v>21319</v>
      </c>
      <c r="R13211" t="s">
        <v>21650</v>
      </c>
      <c r="S13211">
        <v>4667</v>
      </c>
    </row>
    <row r="13212" spans="1:19">
      <c r="A13212" t="s">
        <v>145</v>
      </c>
      <c r="B13212" t="s">
        <v>150</v>
      </c>
      <c r="C13212" t="s">
        <v>277</v>
      </c>
      <c r="D13212" t="s">
        <v>406</v>
      </c>
      <c r="F13212">
        <f>HYPERLINK("https://www.wikidata.org/wiki/Q28494845", "Q28494845")</f>
        <v>0</v>
      </c>
      <c r="G13212" t="s">
        <v>2125</v>
      </c>
      <c r="H13212" t="s">
        <v>6006</v>
      </c>
      <c r="I13212" t="s">
        <v>6200</v>
      </c>
      <c r="J13212" t="s">
        <v>12789</v>
      </c>
      <c r="K13212" t="s">
        <v>17205</v>
      </c>
      <c r="L13212">
        <f>HYPERLINK("https://www2.assemblee-nationale.fr/sycomore/fiche/(num_dept)/5539", "5539")</f>
        <v>0</v>
      </c>
      <c r="M13212">
        <f>HYPERLINK("https://www.senat.fr/senateur-3eme-republique/neyret_jean1364r3.html", "neyret_jean1364r3")</f>
        <v>0</v>
      </c>
      <c r="N13212">
        <f>HYPERLINK("https://www.wikidata.org/wiki/Q8336685", "Q8336685")</f>
        <v>0</v>
      </c>
      <c r="O13212" t="s">
        <v>19997</v>
      </c>
      <c r="Q13212" t="s">
        <v>21319</v>
      </c>
      <c r="R13212" t="s">
        <v>21724</v>
      </c>
      <c r="S13212">
        <v>3277</v>
      </c>
    </row>
    <row r="13213" spans="1:19">
      <c r="A13213" t="s">
        <v>145</v>
      </c>
      <c r="B13213" t="s">
        <v>150</v>
      </c>
      <c r="C13213" t="s">
        <v>277</v>
      </c>
      <c r="D13213" t="s">
        <v>406</v>
      </c>
      <c r="F13213">
        <f>HYPERLINK("https://www.wikidata.org/wiki/Q28494845", "Q28494845")</f>
        <v>0</v>
      </c>
      <c r="G13213" t="s">
        <v>2128</v>
      </c>
      <c r="H13213" t="s">
        <v>6747</v>
      </c>
      <c r="I13213" t="s">
        <v>6200</v>
      </c>
      <c r="J13213" t="s">
        <v>12792</v>
      </c>
      <c r="K13213" t="s">
        <v>17208</v>
      </c>
      <c r="L13213">
        <f>HYPERLINK("https://www2.assemblee-nationale.fr/sycomore/fiche/(num_dept)/5593", "5593")</f>
        <v>0</v>
      </c>
      <c r="M13213">
        <f>HYPERLINK("https://www.senat.fr/senateur-3eme-republique/odin_jean0202r3.html", "odin_jean0202r3")</f>
        <v>0</v>
      </c>
      <c r="N13213">
        <f>HYPERLINK("https://www.wikidata.org/wiki/Q3173771", "Q3173771")</f>
        <v>0</v>
      </c>
      <c r="O13213" t="s">
        <v>19987</v>
      </c>
      <c r="Q13213" t="s">
        <v>21319</v>
      </c>
      <c r="R13213" t="s">
        <v>21724</v>
      </c>
      <c r="S13213">
        <v>3277</v>
      </c>
    </row>
    <row r="13214" spans="1:19">
      <c r="A13214" t="s">
        <v>145</v>
      </c>
      <c r="B13214" t="s">
        <v>150</v>
      </c>
      <c r="C13214" t="s">
        <v>277</v>
      </c>
      <c r="D13214" t="s">
        <v>406</v>
      </c>
      <c r="F13214">
        <f>HYPERLINK("https://www.wikidata.org/wiki/Q28494845", "Q28494845")</f>
        <v>0</v>
      </c>
      <c r="G13214" t="s">
        <v>752</v>
      </c>
      <c r="H13214" t="s">
        <v>5510</v>
      </c>
      <c r="I13214" t="s">
        <v>9407</v>
      </c>
      <c r="J13214" t="s">
        <v>11500</v>
      </c>
      <c r="K13214" t="s">
        <v>15903</v>
      </c>
      <c r="L13214">
        <f>HYPERLINK("https://www2.assemblee-nationale.fr/sycomore/fiche/(num_dept)/5724", "5724")</f>
        <v>0</v>
      </c>
      <c r="M13214">
        <f>HYPERLINK("https://www.senat.fr/senateur-3eme-republique/paul_boncour_joseph0550r4.html", "paul_boncour_joseph0550r4")</f>
        <v>0</v>
      </c>
      <c r="N13214">
        <f>HYPERLINK("https://www.wikidata.org/wiki/Q285865", "Q285865")</f>
        <v>0</v>
      </c>
      <c r="O13214" t="s">
        <v>20039</v>
      </c>
      <c r="Q13214" t="s">
        <v>21319</v>
      </c>
      <c r="R13214" t="s">
        <v>21724</v>
      </c>
      <c r="S13214">
        <v>3277</v>
      </c>
    </row>
    <row r="13215" spans="1:19">
      <c r="A13215" t="s">
        <v>145</v>
      </c>
      <c r="B13215" t="s">
        <v>150</v>
      </c>
      <c r="C13215" t="s">
        <v>277</v>
      </c>
      <c r="D13215" t="s">
        <v>406</v>
      </c>
      <c r="F13215">
        <f>HYPERLINK("https://www.wikidata.org/wiki/Q28494845", "Q28494845")</f>
        <v>0</v>
      </c>
      <c r="G13215" t="s">
        <v>753</v>
      </c>
      <c r="H13215" t="s">
        <v>5511</v>
      </c>
      <c r="I13215" t="s">
        <v>9510</v>
      </c>
      <c r="J13215" t="s">
        <v>11501</v>
      </c>
      <c r="K13215" t="s">
        <v>15904</v>
      </c>
      <c r="L13215">
        <f>HYPERLINK("https://www2.assemblee-nationale.fr/sycomore/fiche/(num_dept)/5759", "5759")</f>
        <v>0</v>
      </c>
      <c r="M13215">
        <f>HYPERLINK("https://www.senat.fr/senateur-3eme-republique/pelisse_paul0240r3.html", "pelisse_paul0240r3")</f>
        <v>0</v>
      </c>
      <c r="N13215">
        <f>HYPERLINK("https://www.wikidata.org/wiki/Q3371975", "Q3371975")</f>
        <v>0</v>
      </c>
      <c r="O13215" t="s">
        <v>7411</v>
      </c>
      <c r="Q13215" t="s">
        <v>21319</v>
      </c>
      <c r="R13215" t="s">
        <v>21650</v>
      </c>
      <c r="S13215">
        <v>4667</v>
      </c>
    </row>
    <row r="13216" spans="1:19">
      <c r="A13216" t="s">
        <v>145</v>
      </c>
      <c r="B13216" t="s">
        <v>150</v>
      </c>
      <c r="C13216" t="s">
        <v>277</v>
      </c>
      <c r="D13216" t="s">
        <v>406</v>
      </c>
      <c r="F13216">
        <f>HYPERLINK("https://www.wikidata.org/wiki/Q28494845", "Q28494845")</f>
        <v>0</v>
      </c>
      <c r="G13216" t="s">
        <v>1026</v>
      </c>
      <c r="H13216" t="s">
        <v>5776</v>
      </c>
      <c r="I13216" t="s">
        <v>5528</v>
      </c>
      <c r="J13216" t="s">
        <v>11763</v>
      </c>
      <c r="K13216" t="s">
        <v>16164</v>
      </c>
      <c r="L13216">
        <f>HYPERLINK("https://www2.assemblee-nationale.fr/sycomore/fiche/(num_dept)/5811", "5811")</f>
        <v>0</v>
      </c>
      <c r="M13216">
        <f>HYPERLINK("https://www.senat.fr/senateur-3eme-republique/perrier_leon1193r3.html", "perrier_leon1193r3")</f>
        <v>0</v>
      </c>
      <c r="N13216">
        <f>HYPERLINK("https://www.wikidata.org/wiki/Q3271259", "Q3271259")</f>
        <v>0</v>
      </c>
      <c r="O13216" t="s">
        <v>20006</v>
      </c>
      <c r="Q13216" t="s">
        <v>21319</v>
      </c>
      <c r="R13216" t="s">
        <v>21650</v>
      </c>
      <c r="S13216">
        <v>4667</v>
      </c>
    </row>
    <row r="13217" spans="1:19">
      <c r="A13217" t="s">
        <v>145</v>
      </c>
      <c r="B13217" t="s">
        <v>150</v>
      </c>
      <c r="C13217" t="s">
        <v>277</v>
      </c>
      <c r="D13217" t="s">
        <v>406</v>
      </c>
      <c r="F13217">
        <f>HYPERLINK("https://www.wikidata.org/wiki/Q28494845", "Q28494845")</f>
        <v>0</v>
      </c>
      <c r="G13217" t="s">
        <v>759</v>
      </c>
      <c r="H13217" t="s">
        <v>5517</v>
      </c>
      <c r="I13217" t="s">
        <v>6860</v>
      </c>
      <c r="J13217" t="s">
        <v>11507</v>
      </c>
      <c r="K13217" t="s">
        <v>15910</v>
      </c>
      <c r="L13217">
        <f>HYPERLINK("https://www2.assemblee-nationale.fr/sycomore/fiche/(num_dept)/5903", "5903")</f>
        <v>0</v>
      </c>
      <c r="M13217">
        <f>HYPERLINK("https://www.senat.fr/senateur-3eme-republique/pichery_pierre0386r3.html", "pichery_pierre0386r3")</f>
        <v>0</v>
      </c>
      <c r="N13217">
        <f>HYPERLINK("https://www.wikidata.org/wiki/Q3386607", "Q3386607")</f>
        <v>0</v>
      </c>
      <c r="O13217" t="s">
        <v>20039</v>
      </c>
      <c r="Q13217" t="s">
        <v>21319</v>
      </c>
      <c r="R13217" t="s">
        <v>21650</v>
      </c>
      <c r="S13217">
        <v>4667</v>
      </c>
    </row>
    <row r="13218" spans="1:19">
      <c r="A13218" t="s">
        <v>145</v>
      </c>
      <c r="B13218" t="s">
        <v>150</v>
      </c>
      <c r="C13218" t="s">
        <v>277</v>
      </c>
      <c r="D13218" t="s">
        <v>406</v>
      </c>
      <c r="F13218">
        <f>HYPERLINK("https://www.wikidata.org/wiki/Q28494845", "Q28494845")</f>
        <v>0</v>
      </c>
      <c r="G13218" t="s">
        <v>2139</v>
      </c>
      <c r="H13218" t="s">
        <v>6756</v>
      </c>
      <c r="I13218" t="s">
        <v>10093</v>
      </c>
      <c r="J13218" t="s">
        <v>12803</v>
      </c>
      <c r="K13218" t="s">
        <v>17218</v>
      </c>
      <c r="L13218">
        <f>HYPERLINK("https://www2.assemblee-nationale.fr/sycomore/fiche/(num_dept)/5926", "5926")</f>
        <v>0</v>
      </c>
      <c r="M13218">
        <f>HYPERLINK("https://www.senat.fr/senateur-3eme-republique/pieyre_marius0448r3.html", "pieyre_marius0448r3")</f>
        <v>0</v>
      </c>
      <c r="N13218">
        <f>HYPERLINK("https://www.wikidata.org/wiki/Q3293843", "Q3293843")</f>
        <v>0</v>
      </c>
      <c r="O13218" t="s">
        <v>20041</v>
      </c>
      <c r="Q13218" t="s">
        <v>21319</v>
      </c>
      <c r="R13218" t="s">
        <v>21650</v>
      </c>
      <c r="S13218">
        <v>4667</v>
      </c>
    </row>
    <row r="13219" spans="1:19">
      <c r="A13219" t="s">
        <v>145</v>
      </c>
      <c r="B13219" t="s">
        <v>150</v>
      </c>
      <c r="C13219" t="s">
        <v>277</v>
      </c>
      <c r="D13219" t="s">
        <v>406</v>
      </c>
      <c r="F13219">
        <f>HYPERLINK("https://www.wikidata.org/wiki/Q28494845", "Q28494845")</f>
        <v>0</v>
      </c>
      <c r="G13219" t="s">
        <v>3369</v>
      </c>
      <c r="H13219" t="s">
        <v>7766</v>
      </c>
      <c r="I13219" t="s">
        <v>9692</v>
      </c>
      <c r="J13219" t="s">
        <v>13981</v>
      </c>
      <c r="K13219" t="s">
        <v>18349</v>
      </c>
      <c r="L13219">
        <f>HYPERLINK("https://www2.assemblee-nationale.fr/sycomore/fiche/(num_dept)/5994", "5994")</f>
        <v>0</v>
      </c>
      <c r="M13219">
        <f>HYPERLINK("https://www.senat.fr/senateur-3eme-republique/poincare_raymond1024r3.html", "poincare_raymond1024r3")</f>
        <v>0</v>
      </c>
      <c r="N13219">
        <f>HYPERLINK("https://www.wikidata.org/wiki/Q191974", "Q191974")</f>
        <v>0</v>
      </c>
      <c r="O13219" t="s">
        <v>20030</v>
      </c>
      <c r="Q13219" t="s">
        <v>21319</v>
      </c>
      <c r="R13219" t="s">
        <v>21650</v>
      </c>
      <c r="S13219">
        <v>4667</v>
      </c>
    </row>
    <row r="13220" spans="1:19">
      <c r="A13220" t="s">
        <v>145</v>
      </c>
      <c r="B13220" t="s">
        <v>150</v>
      </c>
      <c r="C13220" t="s">
        <v>277</v>
      </c>
      <c r="D13220" t="s">
        <v>406</v>
      </c>
      <c r="F13220">
        <f>HYPERLINK("https://www.wikidata.org/wiki/Q28494845", "Q28494845")</f>
        <v>0</v>
      </c>
      <c r="G13220" t="s">
        <v>1192</v>
      </c>
      <c r="H13220" t="s">
        <v>5922</v>
      </c>
      <c r="I13220" t="s">
        <v>9700</v>
      </c>
      <c r="J13220" t="s">
        <v>11925</v>
      </c>
      <c r="K13220" t="s">
        <v>16326</v>
      </c>
      <c r="L13220">
        <f>HYPERLINK("https://www2.assemblee-nationale.fr/sycomore/fiche/(num_dept)/6016", "6016")</f>
        <v>0</v>
      </c>
      <c r="M13220">
        <f>HYPERLINK("https://www.senat.fr/senateur-3eme-republique/robert_pierre1327r3.html", "robert_pierre1327r3")</f>
        <v>0</v>
      </c>
      <c r="N13220">
        <f>HYPERLINK("https://www.wikidata.org/wiki/Q3386818", "Q3386818")</f>
        <v>0</v>
      </c>
      <c r="O13220" t="s">
        <v>19997</v>
      </c>
      <c r="Q13220" t="s">
        <v>21319</v>
      </c>
      <c r="R13220" t="s">
        <v>21650</v>
      </c>
      <c r="S13220">
        <v>4667</v>
      </c>
    </row>
    <row r="13221" spans="1:19">
      <c r="A13221" t="s">
        <v>145</v>
      </c>
      <c r="B13221" t="s">
        <v>150</v>
      </c>
      <c r="C13221" t="s">
        <v>277</v>
      </c>
      <c r="D13221" t="s">
        <v>406</v>
      </c>
      <c r="F13221">
        <f>HYPERLINK("https://www.wikidata.org/wiki/Q28494845", "Q28494845")</f>
        <v>0</v>
      </c>
      <c r="G13221" t="s">
        <v>1032</v>
      </c>
      <c r="H13221" t="s">
        <v>5781</v>
      </c>
      <c r="I13221" t="s">
        <v>9457</v>
      </c>
      <c r="J13221" t="s">
        <v>11769</v>
      </c>
      <c r="K13221" t="s">
        <v>16170</v>
      </c>
      <c r="L13221">
        <f>HYPERLINK("https://www2.assemblee-nationale.fr/sycomore/fiche/(num_dept)/6171", "6171")</f>
        <v>0</v>
      </c>
      <c r="M13221">
        <f>HYPERLINK("https://www.senat.fr/senateur-3eme-republique/roy_henri0510r3.html", "roy_henri0510r3")</f>
        <v>0</v>
      </c>
      <c r="N13221">
        <f>HYPERLINK("https://www.wikidata.org/wiki/Q3131955", "Q3131955")</f>
        <v>0</v>
      </c>
      <c r="O13221" t="s">
        <v>19958</v>
      </c>
      <c r="Q13221" t="s">
        <v>21319</v>
      </c>
      <c r="R13221" t="s">
        <v>21724</v>
      </c>
      <c r="S13221">
        <v>3277</v>
      </c>
    </row>
    <row r="13222" spans="1:19">
      <c r="A13222" t="s">
        <v>145</v>
      </c>
      <c r="B13222" t="s">
        <v>150</v>
      </c>
      <c r="C13222" t="s">
        <v>277</v>
      </c>
      <c r="D13222" t="s">
        <v>406</v>
      </c>
      <c r="F13222">
        <f>HYPERLINK("https://www.wikidata.org/wiki/Q28494845", "Q28494845")</f>
        <v>0</v>
      </c>
      <c r="G13222" t="s">
        <v>796</v>
      </c>
      <c r="H13222" t="s">
        <v>5553</v>
      </c>
      <c r="I13222" t="s">
        <v>9527</v>
      </c>
      <c r="J13222" t="s">
        <v>11543</v>
      </c>
      <c r="K13222" t="s">
        <v>15947</v>
      </c>
      <c r="L13222">
        <f>HYPERLINK("https://www2.assemblee-nationale.fr/sycomore/fiche/(num_dept)/6567", "6567")</f>
        <v>0</v>
      </c>
      <c r="M13222">
        <f>HYPERLINK("https://www.senat.fr/senateur-3eme-republique/rabier_fernand0501r3.html", "rabier_fernand0501r3")</f>
        <v>0</v>
      </c>
      <c r="N13222">
        <f>HYPERLINK("https://www.wikidata.org/wiki/Q3069308", "Q3069308")</f>
        <v>0</v>
      </c>
      <c r="O13222" t="s">
        <v>19958</v>
      </c>
      <c r="Q13222" t="s">
        <v>21319</v>
      </c>
      <c r="R13222" t="s">
        <v>21650</v>
      </c>
      <c r="S13222">
        <v>4667</v>
      </c>
    </row>
    <row r="13223" spans="1:19">
      <c r="A13223" t="s">
        <v>145</v>
      </c>
      <c r="B13223" t="s">
        <v>150</v>
      </c>
      <c r="C13223" t="s">
        <v>277</v>
      </c>
      <c r="D13223" t="s">
        <v>406</v>
      </c>
      <c r="F13223">
        <f>HYPERLINK("https://www.wikidata.org/wiki/Q28494845", "Q28494845")</f>
        <v>0</v>
      </c>
      <c r="G13223" t="s">
        <v>1047</v>
      </c>
      <c r="H13223" t="s">
        <v>5795</v>
      </c>
      <c r="I13223" t="s">
        <v>9641</v>
      </c>
      <c r="J13223" t="s">
        <v>11784</v>
      </c>
      <c r="K13223" t="s">
        <v>16185</v>
      </c>
      <c r="L13223">
        <f>HYPERLINK("https://www2.assemblee-nationale.fr/sycomore/fiche/(num_dept)/6641", "6641")</f>
        <v>0</v>
      </c>
      <c r="M13223">
        <f>HYPERLINK("https://www.senat.fr/senateur-3eme-republique/reboul_camille0252r3.html", "reboul_camille0252r3")</f>
        <v>0</v>
      </c>
      <c r="N13223">
        <f>HYPERLINK("https://www.wikidata.org/wiki/Q2935052", "Q2935052")</f>
        <v>0</v>
      </c>
      <c r="O13223" t="s">
        <v>7411</v>
      </c>
      <c r="Q13223" t="s">
        <v>21319</v>
      </c>
      <c r="R13223" t="s">
        <v>21650</v>
      </c>
      <c r="S13223">
        <v>4667</v>
      </c>
    </row>
    <row r="13224" spans="1:19">
      <c r="A13224" t="s">
        <v>145</v>
      </c>
      <c r="B13224" t="s">
        <v>150</v>
      </c>
      <c r="C13224" t="s">
        <v>277</v>
      </c>
      <c r="D13224" t="s">
        <v>406</v>
      </c>
      <c r="F13224">
        <f>HYPERLINK("https://www.wikidata.org/wiki/Q28494845", "Q28494845")</f>
        <v>0</v>
      </c>
      <c r="G13224" t="s">
        <v>1621</v>
      </c>
      <c r="H13224" t="s">
        <v>6306</v>
      </c>
      <c r="I13224" t="s">
        <v>9426</v>
      </c>
      <c r="J13224" t="s">
        <v>12328</v>
      </c>
      <c r="K13224" t="s">
        <v>16738</v>
      </c>
      <c r="L13224">
        <f>HYPERLINK("https://www2.assemblee-nationale.fr/sycomore/fiche/(num_dept)/6781", "6781")</f>
        <v>0</v>
      </c>
      <c r="M13224">
        <f>HYPERLINK("https://www.senat.fr/senateur-3eme-republique/rio_alphonse0903r3.html", "rio_alphonse0903r3")</f>
        <v>0</v>
      </c>
      <c r="N13224">
        <f>HYPERLINK("https://www.wikidata.org/wiki/Q2839950", "Q2839950")</f>
        <v>0</v>
      </c>
      <c r="O13224" t="s">
        <v>19961</v>
      </c>
      <c r="Q13224" t="s">
        <v>21319</v>
      </c>
      <c r="R13224" t="s">
        <v>21650</v>
      </c>
      <c r="S13224">
        <v>4667</v>
      </c>
    </row>
    <row r="13225" spans="1:19">
      <c r="A13225" t="s">
        <v>145</v>
      </c>
      <c r="B13225" t="s">
        <v>150</v>
      </c>
      <c r="C13225" t="s">
        <v>277</v>
      </c>
      <c r="D13225" t="s">
        <v>406</v>
      </c>
      <c r="F13225">
        <f>HYPERLINK("https://www.wikidata.org/wiki/Q28494845", "Q28494845")</f>
        <v>0</v>
      </c>
      <c r="G13225" t="s">
        <v>1630</v>
      </c>
      <c r="H13225" t="s">
        <v>6315</v>
      </c>
      <c r="I13225" t="s">
        <v>6200</v>
      </c>
      <c r="J13225" t="s">
        <v>12337</v>
      </c>
      <c r="K13225" t="s">
        <v>16746</v>
      </c>
      <c r="L13225">
        <f>HYPERLINK("https://www2.assemblee-nationale.fr/sycomore/fiche/(num_dept)/6969", "6969")</f>
        <v>0</v>
      </c>
      <c r="M13225">
        <f>HYPERLINK("https://www.senat.fr/senateur-3eme-republique/taurines_jean1357r3.html", "taurines_jean1357r3")</f>
        <v>0</v>
      </c>
      <c r="N13225">
        <f>HYPERLINK("https://www.wikidata.org/wiki/Q3174745", "Q3174745")</f>
        <v>0</v>
      </c>
      <c r="O13225" t="s">
        <v>19997</v>
      </c>
      <c r="Q13225" t="s">
        <v>21319</v>
      </c>
      <c r="R13225" t="s">
        <v>21724</v>
      </c>
      <c r="S13225">
        <v>3277</v>
      </c>
    </row>
    <row r="13226" spans="1:19">
      <c r="A13226" t="s">
        <v>145</v>
      </c>
      <c r="B13226" t="s">
        <v>150</v>
      </c>
      <c r="C13226" t="s">
        <v>277</v>
      </c>
      <c r="D13226" t="s">
        <v>406</v>
      </c>
      <c r="F13226">
        <f>HYPERLINK("https://www.wikidata.org/wiki/Q28494845", "Q28494845")</f>
        <v>0</v>
      </c>
      <c r="G13226" t="s">
        <v>1064</v>
      </c>
      <c r="H13226" t="s">
        <v>5810</v>
      </c>
      <c r="I13226" t="s">
        <v>9650</v>
      </c>
      <c r="J13226" t="s">
        <v>11801</v>
      </c>
      <c r="K13226" t="s">
        <v>16201</v>
      </c>
      <c r="L13226">
        <f>HYPERLINK("https://www2.assemblee-nationale.fr/sycomore/fiche/(num_dept)/7115", "7115")</f>
        <v>0</v>
      </c>
      <c r="M13226">
        <f>HYPERLINK("https://www.senat.fr/senateur-3eme-republique/tournan_isidore0158r3.html", "tournan_isidore0158r3")</f>
        <v>0</v>
      </c>
      <c r="N13226">
        <f>HYPERLINK("https://www.wikidata.org/wiki/Q3155332", "Q3155332")</f>
        <v>0</v>
      </c>
      <c r="O13226" t="s">
        <v>20003</v>
      </c>
      <c r="Q13226" t="s">
        <v>21319</v>
      </c>
      <c r="R13226" t="s">
        <v>21650</v>
      </c>
      <c r="S13226">
        <v>4667</v>
      </c>
    </row>
    <row r="13227" spans="1:19">
      <c r="A13227" t="s">
        <v>145</v>
      </c>
      <c r="B13227" t="s">
        <v>150</v>
      </c>
      <c r="C13227" t="s">
        <v>277</v>
      </c>
      <c r="D13227" t="s">
        <v>406</v>
      </c>
      <c r="F13227">
        <f>HYPERLINK("https://www.wikidata.org/wiki/Q28494845", "Q28494845")</f>
        <v>0</v>
      </c>
      <c r="G13227" t="s">
        <v>1209</v>
      </c>
      <c r="H13227" t="s">
        <v>5937</v>
      </c>
      <c r="I13227" t="s">
        <v>6166</v>
      </c>
      <c r="J13227" t="s">
        <v>11941</v>
      </c>
      <c r="K13227" t="s">
        <v>16343</v>
      </c>
      <c r="L13227">
        <f>HYPERLINK("https://www2.assemblee-nationale.fr/sycomore/fiche/(num_dept)/7335", "7335")</f>
        <v>0</v>
      </c>
      <c r="M13227">
        <f>HYPERLINK("https://www.senat.fr/senateur-3eme-republique/de_wendel_francois0946r3.html", "de_wendel_francois0946r3")</f>
        <v>0</v>
      </c>
      <c r="N13227">
        <f>HYPERLINK("https://www.wikidata.org/wiki/Q3086338", "Q3086338")</f>
        <v>0</v>
      </c>
      <c r="O13227" t="s">
        <v>20007</v>
      </c>
      <c r="Q13227" t="s">
        <v>21319</v>
      </c>
      <c r="R13227" t="s">
        <v>21724</v>
      </c>
      <c r="S13227">
        <v>3277</v>
      </c>
    </row>
    <row r="13228" spans="1:19">
      <c r="A13228" t="s">
        <v>145</v>
      </c>
      <c r="B13228" t="s">
        <v>150</v>
      </c>
      <c r="C13228" t="s">
        <v>277</v>
      </c>
      <c r="D13228" t="s">
        <v>406</v>
      </c>
      <c r="F13228">
        <f>HYPERLINK("https://www.wikidata.org/wiki/Q28494845", "Q28494845")</f>
        <v>0</v>
      </c>
      <c r="G13228" t="s">
        <v>1975</v>
      </c>
      <c r="H13228" t="s">
        <v>6613</v>
      </c>
      <c r="I13228" t="s">
        <v>9449</v>
      </c>
      <c r="J13228" t="s">
        <v>12656</v>
      </c>
      <c r="K13228" t="s">
        <v>17066</v>
      </c>
      <c r="L13228">
        <f>HYPERLINK("https://www2.assemblee-nationale.fr/sycomore/fiche/(num_dept)/7336", "7336")</f>
        <v>0</v>
      </c>
      <c r="M13228">
        <f>HYPERLINK("https://www.senat.fr/senateur-3eme-republique/wolff_jules0712r3.html", "wolff_jules0712r3")</f>
        <v>0</v>
      </c>
      <c r="N13228">
        <f>HYPERLINK("https://www.wikidata.org/wiki/Q3188969", "Q3188969")</f>
        <v>0</v>
      </c>
      <c r="O13228" t="s">
        <v>20050</v>
      </c>
      <c r="Q13228" t="s">
        <v>21319</v>
      </c>
      <c r="R13228" t="s">
        <v>21724</v>
      </c>
      <c r="S13228">
        <v>3277</v>
      </c>
    </row>
    <row r="13229" spans="1:19">
      <c r="A13229" t="s">
        <v>145</v>
      </c>
      <c r="B13229" t="s">
        <v>150</v>
      </c>
      <c r="C13229" t="s">
        <v>277</v>
      </c>
      <c r="D13229" t="s">
        <v>406</v>
      </c>
      <c r="F13229">
        <f>HYPERLINK("https://www.wikidata.org/wiki/Q28494845", "Q28494845")</f>
        <v>0</v>
      </c>
      <c r="G13229" t="s">
        <v>825</v>
      </c>
      <c r="H13229" t="s">
        <v>5582</v>
      </c>
      <c r="I13229" t="s">
        <v>6200</v>
      </c>
      <c r="J13229" t="s">
        <v>11572</v>
      </c>
      <c r="K13229" t="s">
        <v>15974</v>
      </c>
      <c r="L13229">
        <f>HYPERLINK("https://www2.assemblee-nationale.fr/sycomore/fiche/(num_dept)/7358", "7358")</f>
        <v>0</v>
      </c>
      <c r="M13229">
        <f>HYPERLINK("https://www.senat.fr/senateur-3eme-republique/villault_duchesnois_jean1032r3.html", "villault_duchesnois_jean1032r3")</f>
        <v>0</v>
      </c>
      <c r="N13229">
        <f>HYPERLINK("https://www.wikidata.org/wiki/Q3175043", "Q3175043")</f>
        <v>0</v>
      </c>
      <c r="O13229" t="s">
        <v>19985</v>
      </c>
      <c r="Q13229" t="s">
        <v>21319</v>
      </c>
      <c r="R13229" t="s">
        <v>21650</v>
      </c>
      <c r="S13229">
        <v>4667</v>
      </c>
    </row>
    <row r="13230" spans="1:19">
      <c r="A13230" t="s">
        <v>145</v>
      </c>
      <c r="B13230" t="s">
        <v>150</v>
      </c>
      <c r="C13230" t="s">
        <v>277</v>
      </c>
      <c r="D13230" t="s">
        <v>406</v>
      </c>
      <c r="F13230">
        <f>HYPERLINK("https://www.wikidata.org/wiki/Q28494845", "Q28494845")</f>
        <v>0</v>
      </c>
      <c r="G13230" t="s">
        <v>1646</v>
      </c>
      <c r="H13230" t="s">
        <v>5937</v>
      </c>
      <c r="I13230" t="s">
        <v>6713</v>
      </c>
      <c r="J13230" t="s">
        <v>12353</v>
      </c>
      <c r="K13230" t="s">
        <v>16760</v>
      </c>
      <c r="L13230">
        <f>HYPERLINK("https://www2.assemblee-nationale.fr/sycomore/fiche/(num_dept)/7360", "7360")</f>
        <v>0</v>
      </c>
      <c r="M13230">
        <f>HYPERLINK("https://www.senat.fr/senateur-3eme-republique/de_wendel_guy0706r3.html", "de_wendel_guy0706r3")</f>
        <v>0</v>
      </c>
      <c r="N13230">
        <f>HYPERLINK("https://www.wikidata.org/wiki/Q3122301", "Q3122301")</f>
        <v>0</v>
      </c>
      <c r="O13230" t="s">
        <v>20050</v>
      </c>
      <c r="Q13230" t="s">
        <v>21319</v>
      </c>
      <c r="R13230" t="s">
        <v>21650</v>
      </c>
      <c r="S13230">
        <v>4667</v>
      </c>
    </row>
    <row r="13231" spans="1:19">
      <c r="A13231" t="s">
        <v>145</v>
      </c>
      <c r="B13231" t="s">
        <v>150</v>
      </c>
      <c r="C13231" t="s">
        <v>277</v>
      </c>
      <c r="D13231" t="s">
        <v>406</v>
      </c>
      <c r="F13231">
        <f>HYPERLINK("https://www.wikidata.org/wiki/Q28494845", "Q28494845")</f>
        <v>0</v>
      </c>
      <c r="G13231" t="s">
        <v>1067</v>
      </c>
      <c r="H13231" t="s">
        <v>5812</v>
      </c>
      <c r="I13231" t="s">
        <v>9488</v>
      </c>
      <c r="J13231" t="s">
        <v>11804</v>
      </c>
      <c r="K13231" t="s">
        <v>16204</v>
      </c>
      <c r="L13231">
        <f>HYPERLINK("https://www2.assemblee-nationale.fr/sycomore/fiche/(num_dept)/7361", "7361")</f>
        <v>0</v>
      </c>
      <c r="M13231">
        <f>HYPERLINK("https://www.senat.fr/senateur-3eme-republique/daniel_vincent_charles1382r3.html", "daniel_vincent_charles1382r3")</f>
        <v>0</v>
      </c>
      <c r="N13231">
        <f>HYPERLINK("https://www.wikidata.org/wiki/Q3014792", "Q3014792")</f>
        <v>0</v>
      </c>
      <c r="O13231" t="s">
        <v>20013</v>
      </c>
      <c r="Q13231" t="s">
        <v>21319</v>
      </c>
      <c r="R13231" t="s">
        <v>21650</v>
      </c>
      <c r="S13231">
        <v>4667</v>
      </c>
    </row>
    <row r="13232" spans="1:19">
      <c r="A13232" t="s">
        <v>145</v>
      </c>
      <c r="B13232" t="s">
        <v>150</v>
      </c>
      <c r="C13232" t="s">
        <v>277</v>
      </c>
      <c r="D13232" t="s">
        <v>406</v>
      </c>
      <c r="F13232">
        <f>HYPERLINK("https://www.wikidata.org/wiki/Q28494845", "Q28494845")</f>
        <v>0</v>
      </c>
      <c r="G13232" t="s">
        <v>1913</v>
      </c>
      <c r="H13232" t="s">
        <v>6561</v>
      </c>
      <c r="I13232" t="s">
        <v>9996</v>
      </c>
      <c r="J13232" t="s">
        <v>12599</v>
      </c>
      <c r="K13232" t="s">
        <v>17011</v>
      </c>
      <c r="L13232">
        <f>HYPERLINK("https://www2.assemblee-nationale.fr/sycomore/fiche/(num_dept)/7362", "7362")</f>
        <v>0</v>
      </c>
      <c r="M13232">
        <f>HYPERLINK("https://www.senat.fr/senateur-3eme-republique/vasseux_paul0892r3.html", "vasseux_paul0892r3")</f>
        <v>0</v>
      </c>
      <c r="N13232">
        <f>HYPERLINK("https://www.wikidata.org/wiki/Q3370379", "Q3370379")</f>
        <v>0</v>
      </c>
      <c r="O13232" t="s">
        <v>19989</v>
      </c>
      <c r="Q13232" t="s">
        <v>21319</v>
      </c>
      <c r="R13232" t="s">
        <v>21724</v>
      </c>
      <c r="S13232">
        <v>3277</v>
      </c>
    </row>
    <row r="13233" spans="1:19">
      <c r="A13233" t="s">
        <v>145</v>
      </c>
      <c r="B13233" t="s">
        <v>150</v>
      </c>
      <c r="C13233" t="s">
        <v>277</v>
      </c>
      <c r="D13233" t="s">
        <v>406</v>
      </c>
      <c r="F13233">
        <f>HYPERLINK("https://www.wikidata.org/wiki/Q28494845", "Q28494845")</f>
        <v>0</v>
      </c>
      <c r="G13233" t="s">
        <v>4189</v>
      </c>
      <c r="H13233" t="s">
        <v>7631</v>
      </c>
      <c r="I13233" t="s">
        <v>9602</v>
      </c>
      <c r="J13233" t="s">
        <v>14706</v>
      </c>
      <c r="K13233" t="s">
        <v>17268</v>
      </c>
      <c r="L13233">
        <f>HYPERLINK("https://www2.assemblee-nationale.fr/sycomore/fiche/(num_dept)/7642", "7642")</f>
        <v>0</v>
      </c>
      <c r="M13233">
        <f>HYPERLINK("https://www.senat.fr/senateur-3eme-republique/leblanc_edmond0970r3.html", "leblanc_edmond0970r3")</f>
        <v>0</v>
      </c>
      <c r="N13233">
        <f>HYPERLINK("https://www.wikidata.org/wiki/Q3047896", "Q3047896")</f>
        <v>0</v>
      </c>
      <c r="O13233" t="s">
        <v>19984</v>
      </c>
      <c r="Q13233" t="s">
        <v>21319</v>
      </c>
      <c r="R13233" t="s">
        <v>21650</v>
      </c>
      <c r="S13233">
        <v>4667</v>
      </c>
    </row>
    <row r="13234" spans="1:19">
      <c r="A13234" t="s">
        <v>145</v>
      </c>
      <c r="B13234" t="s">
        <v>150</v>
      </c>
      <c r="C13234" t="s">
        <v>277</v>
      </c>
      <c r="D13234" t="s">
        <v>406</v>
      </c>
      <c r="F13234">
        <f>HYPERLINK("https://www.wikidata.org/wiki/Q28494845", "Q28494845")</f>
        <v>0</v>
      </c>
      <c r="G13234" t="s">
        <v>1661</v>
      </c>
      <c r="H13234" t="s">
        <v>6344</v>
      </c>
      <c r="I13234" t="s">
        <v>6175</v>
      </c>
      <c r="J13234" t="s">
        <v>12368</v>
      </c>
      <c r="K13234" t="s">
        <v>16775</v>
      </c>
      <c r="L13234">
        <f>HYPERLINK("https://www2.assemblee-nationale.fr/sycomore/fiche/(num_dept)/7669", "7669")</f>
        <v>0</v>
      </c>
      <c r="M13234">
        <f>HYPERLINK("https://www.senat.fr/senateur-3eme-republique/lecourtier_georges1026r3.html", "lecourtier_georges1026r3")</f>
        <v>0</v>
      </c>
      <c r="N13234">
        <f>HYPERLINK("https://www.wikidata.org/wiki/Q3103064", "Q3103064")</f>
        <v>0</v>
      </c>
      <c r="O13234" t="s">
        <v>20030</v>
      </c>
      <c r="Q13234" t="s">
        <v>21319</v>
      </c>
      <c r="R13234" t="s">
        <v>21650</v>
      </c>
      <c r="S13234">
        <v>4667</v>
      </c>
    </row>
    <row r="13235" spans="1:19">
      <c r="A13235" t="s">
        <v>145</v>
      </c>
      <c r="B13235" t="s">
        <v>150</v>
      </c>
      <c r="C13235" t="s">
        <v>277</v>
      </c>
      <c r="D13235" t="s">
        <v>406</v>
      </c>
      <c r="F13235">
        <f>HYPERLINK("https://www.wikidata.org/wiki/Q28494845", "Q28494845")</f>
        <v>0</v>
      </c>
      <c r="G13235" t="s">
        <v>848</v>
      </c>
      <c r="H13235" t="s">
        <v>5605</v>
      </c>
      <c r="I13235" t="s">
        <v>9553</v>
      </c>
      <c r="J13235" t="s">
        <v>11594</v>
      </c>
      <c r="K13235" t="s">
        <v>15996</v>
      </c>
      <c r="L13235">
        <f>HYPERLINK("https://www2.assemblee-nationale.fr/sycomore/fiche/(num_dept)/7683", "7683")</f>
        <v>0</v>
      </c>
      <c r="M13235">
        <f>HYPERLINK("https://www.senat.fr/senateur-3eme-republique/lefas_alexandre0535r3.html", "lefas_alexandre0535r3")</f>
        <v>0</v>
      </c>
      <c r="N13235">
        <f>HYPERLINK("https://www.wikidata.org/wiki/Q2833822", "Q2833822")</f>
        <v>0</v>
      </c>
      <c r="O13235" t="s">
        <v>19998</v>
      </c>
      <c r="Q13235" t="s">
        <v>21319</v>
      </c>
      <c r="R13235" t="s">
        <v>21724</v>
      </c>
      <c r="S13235">
        <v>3277</v>
      </c>
    </row>
    <row r="13236" spans="1:19">
      <c r="A13236" t="s">
        <v>145</v>
      </c>
      <c r="B13236" t="s">
        <v>150</v>
      </c>
      <c r="C13236" t="s">
        <v>277</v>
      </c>
      <c r="D13236" t="s">
        <v>406</v>
      </c>
      <c r="F13236">
        <f>HYPERLINK("https://www.wikidata.org/wiki/Q28494845", "Q28494845")</f>
        <v>0</v>
      </c>
      <c r="G13236" t="s">
        <v>1212</v>
      </c>
      <c r="H13236" t="s">
        <v>5940</v>
      </c>
      <c r="I13236" t="s">
        <v>6478</v>
      </c>
      <c r="J13236" t="s">
        <v>11944</v>
      </c>
      <c r="K13236" t="s">
        <v>16346</v>
      </c>
      <c r="L13236">
        <f>HYPERLINK("https://www2.assemblee-nationale.fr/sycomore/fiche/(num_dept)/7751", "7751")</f>
        <v>0</v>
      </c>
      <c r="M13236">
        <f>HYPERLINK("https://www.senat.fr/senateur-3eme-republique/lemery_henry0701r3.html", "lemery_henry0701r3")</f>
        <v>0</v>
      </c>
      <c r="N13236">
        <f>HYPERLINK("https://www.wikidata.org/wiki/Q3132926", "Q3132926")</f>
        <v>0</v>
      </c>
      <c r="O13236" t="s">
        <v>20035</v>
      </c>
      <c r="Q13236" t="s">
        <v>21319</v>
      </c>
      <c r="R13236" t="s">
        <v>21650</v>
      </c>
      <c r="S13236">
        <v>4667</v>
      </c>
    </row>
    <row r="13237" spans="1:19">
      <c r="A13237" t="s">
        <v>145</v>
      </c>
      <c r="B13237" t="s">
        <v>150</v>
      </c>
      <c r="C13237" t="s">
        <v>277</v>
      </c>
      <c r="D13237" t="s">
        <v>406</v>
      </c>
      <c r="F13237">
        <f>HYPERLINK("https://www.wikidata.org/wiki/Q28494845", "Q28494845")</f>
        <v>0</v>
      </c>
      <c r="G13237" t="s">
        <v>2199</v>
      </c>
      <c r="H13237" t="s">
        <v>6809</v>
      </c>
      <c r="I13237" t="s">
        <v>10114</v>
      </c>
      <c r="J13237" t="s">
        <v>12861</v>
      </c>
      <c r="K13237" t="s">
        <v>17273</v>
      </c>
      <c r="L13237">
        <f>HYPERLINK("https://www2.assemblee-nationale.fr/sycomore/fiche/(num_dept)/10593", "10593")</f>
        <v>0</v>
      </c>
      <c r="M13237">
        <f>HYPERLINK("https://www.senat.fr/senateur-3eme-republique/leboeuf_marcel1266r3.html", "leboeuf_marcel1266r3")</f>
        <v>0</v>
      </c>
      <c r="N13237">
        <f>HYPERLINK("https://www.wikidata.org/wiki/Q3289119", "Q3289119")</f>
        <v>0</v>
      </c>
      <c r="O13237" t="s">
        <v>20032</v>
      </c>
      <c r="Q13237" t="s">
        <v>21319</v>
      </c>
      <c r="R13237" t="s">
        <v>21724</v>
      </c>
      <c r="S13237">
        <v>3277</v>
      </c>
    </row>
    <row r="13238" spans="1:19">
      <c r="A13238" t="s">
        <v>145</v>
      </c>
      <c r="B13238" t="s">
        <v>150</v>
      </c>
      <c r="C13238" t="s">
        <v>277</v>
      </c>
      <c r="D13238" t="s">
        <v>406</v>
      </c>
      <c r="F13238">
        <f>HYPERLINK("https://www.wikidata.org/wiki/Q28494845", "Q28494845")</f>
        <v>0</v>
      </c>
      <c r="G13238" t="s">
        <v>5002</v>
      </c>
      <c r="H13238" t="s">
        <v>9135</v>
      </c>
      <c r="I13238" t="s">
        <v>6200</v>
      </c>
      <c r="J13238" t="s">
        <v>15432</v>
      </c>
      <c r="K13238" t="s">
        <v>19735</v>
      </c>
      <c r="M13238">
        <f>HYPERLINK("https://www.senat.fr/senateur-3eme-republique/philip_jean0155r3.html", "philip_jean0155r3")</f>
        <v>0</v>
      </c>
      <c r="N13238">
        <f>HYPERLINK("https://www.wikidata.org/wiki/Q3173958", "Q3173958")</f>
        <v>0</v>
      </c>
      <c r="O13238" t="s">
        <v>20003</v>
      </c>
      <c r="Q13238" t="s">
        <v>21319</v>
      </c>
      <c r="R13238" t="s">
        <v>21650</v>
      </c>
      <c r="S13238">
        <v>4667</v>
      </c>
    </row>
    <row r="13239" spans="1:19">
      <c r="A13239" t="s">
        <v>145</v>
      </c>
      <c r="B13239" t="s">
        <v>150</v>
      </c>
      <c r="C13239" t="s">
        <v>277</v>
      </c>
      <c r="D13239" t="s">
        <v>406</v>
      </c>
      <c r="F13239">
        <f>HYPERLINK("https://www.wikidata.org/wiki/Q28494845", "Q28494845")</f>
        <v>0</v>
      </c>
      <c r="G13239" t="s">
        <v>5164</v>
      </c>
      <c r="H13239" t="s">
        <v>9284</v>
      </c>
      <c r="I13239" t="s">
        <v>9476</v>
      </c>
      <c r="J13239" t="s">
        <v>11942</v>
      </c>
      <c r="K13239" t="s">
        <v>19870</v>
      </c>
      <c r="M13239">
        <f>HYPERLINK("https://www.senat.fr/senateur-3eme-republique/caillier_rene0196r3.html", "caillier_rene0196r3")</f>
        <v>0</v>
      </c>
      <c r="N13239">
        <f>HYPERLINK("https://www.wikidata.org/wiki/Q3425952", "Q3425952")</f>
        <v>0</v>
      </c>
      <c r="O13239" t="s">
        <v>19987</v>
      </c>
      <c r="Q13239" t="s">
        <v>21319</v>
      </c>
      <c r="R13239" t="s">
        <v>21650</v>
      </c>
      <c r="S13239">
        <v>4667</v>
      </c>
    </row>
    <row r="13240" spans="1:19">
      <c r="A13240" t="s">
        <v>145</v>
      </c>
      <c r="B13240" t="s">
        <v>150</v>
      </c>
      <c r="C13240" t="s">
        <v>277</v>
      </c>
      <c r="D13240" t="s">
        <v>406</v>
      </c>
      <c r="F13240">
        <f>HYPERLINK("https://www.wikidata.org/wiki/Q28494845", "Q28494845")</f>
        <v>0</v>
      </c>
      <c r="G13240" t="s">
        <v>5096</v>
      </c>
      <c r="H13240" t="s">
        <v>9224</v>
      </c>
      <c r="I13240" t="s">
        <v>7790</v>
      </c>
      <c r="J13240" t="s">
        <v>15510</v>
      </c>
      <c r="K13240" t="s">
        <v>19812</v>
      </c>
      <c r="M13240">
        <f>HYPERLINK("https://www.senat.fr/senateur-3eme-republique/calmel_armand0209r3.html", "calmel_armand0209r3")</f>
        <v>0</v>
      </c>
      <c r="N13240">
        <f>HYPERLINK("https://www.wikidata.org/wiki/Q2861790", "Q2861790")</f>
        <v>0</v>
      </c>
      <c r="O13240" t="s">
        <v>19987</v>
      </c>
      <c r="Q13240" t="s">
        <v>21319</v>
      </c>
      <c r="R13240" t="s">
        <v>21650</v>
      </c>
      <c r="S13240">
        <v>4667</v>
      </c>
    </row>
    <row r="13241" spans="1:19">
      <c r="A13241" t="s">
        <v>145</v>
      </c>
      <c r="B13241" t="s">
        <v>150</v>
      </c>
      <c r="C13241" t="s">
        <v>277</v>
      </c>
      <c r="D13241" t="s">
        <v>406</v>
      </c>
      <c r="F13241">
        <f>HYPERLINK("https://www.wikidata.org/wiki/Q28494845", "Q28494845")</f>
        <v>0</v>
      </c>
      <c r="G13241" t="s">
        <v>5172</v>
      </c>
      <c r="H13241" t="s">
        <v>9291</v>
      </c>
      <c r="I13241" t="s">
        <v>6175</v>
      </c>
      <c r="J13241" t="s">
        <v>15574</v>
      </c>
      <c r="K13241" t="s">
        <v>19877</v>
      </c>
      <c r="M13241">
        <f>HYPERLINK("https://www.senat.fr/senateur-3eme-republique/portmann_georges000672.html", "portmann_georges000672")</f>
        <v>0</v>
      </c>
      <c r="N13241">
        <f>HYPERLINK("https://www.wikidata.org/wiki/Q3103364", "Q3103364")</f>
        <v>0</v>
      </c>
      <c r="O13241" t="s">
        <v>19987</v>
      </c>
      <c r="Q13241" t="s">
        <v>21319</v>
      </c>
      <c r="R13241" t="s">
        <v>21724</v>
      </c>
      <c r="S13241">
        <v>3277</v>
      </c>
    </row>
    <row r="13242" spans="1:19">
      <c r="A13242" t="s">
        <v>145</v>
      </c>
      <c r="B13242" t="s">
        <v>150</v>
      </c>
      <c r="C13242" t="s">
        <v>277</v>
      </c>
      <c r="D13242" t="s">
        <v>406</v>
      </c>
      <c r="F13242">
        <f>HYPERLINK("https://www.wikidata.org/wiki/Q28494845", "Q28494845")</f>
        <v>0</v>
      </c>
      <c r="G13242" t="s">
        <v>5173</v>
      </c>
      <c r="H13242" t="s">
        <v>9292</v>
      </c>
      <c r="I13242" t="s">
        <v>9465</v>
      </c>
      <c r="J13242" t="s">
        <v>15575</v>
      </c>
      <c r="K13242" t="s">
        <v>19878</v>
      </c>
      <c r="M13242">
        <f>HYPERLINK("https://www.senat.fr/senateur-3eme-republique/rouart_eugene0097r3.html", "rouart_eugene0097r3")</f>
        <v>0</v>
      </c>
      <c r="N13242">
        <f>HYPERLINK("https://www.wikidata.org/wiki/Q3060154", "Q3060154")</f>
        <v>0</v>
      </c>
      <c r="O13242" t="s">
        <v>20016</v>
      </c>
      <c r="Q13242" t="s">
        <v>21319</v>
      </c>
      <c r="R13242" t="s">
        <v>19878</v>
      </c>
      <c r="S13242">
        <v>1273</v>
      </c>
    </row>
    <row r="13243" spans="1:19">
      <c r="A13243" t="s">
        <v>145</v>
      </c>
      <c r="B13243" t="s">
        <v>150</v>
      </c>
      <c r="C13243" t="s">
        <v>277</v>
      </c>
      <c r="D13243" t="s">
        <v>406</v>
      </c>
      <c r="F13243">
        <f>HYPERLINK("https://www.wikidata.org/wiki/Q28494845", "Q28494845")</f>
        <v>0</v>
      </c>
      <c r="G13243" t="s">
        <v>5174</v>
      </c>
      <c r="H13243" t="s">
        <v>9293</v>
      </c>
      <c r="I13243" t="s">
        <v>9455</v>
      </c>
      <c r="J13243" t="s">
        <v>15576</v>
      </c>
      <c r="K13243" t="s">
        <v>19879</v>
      </c>
      <c r="M13243">
        <f>HYPERLINK("https://www.senat.fr/senateur-3eme-republique/saint_lucien0089r3.html", "saint_lucien0089r3")</f>
        <v>0</v>
      </c>
      <c r="N13243">
        <f>HYPERLINK("https://www.wikidata.org/wiki/Q3265709", "Q3265709")</f>
        <v>0</v>
      </c>
      <c r="O13243" t="s">
        <v>20016</v>
      </c>
      <c r="Q13243" t="s">
        <v>21319</v>
      </c>
      <c r="R13243" t="s">
        <v>19879</v>
      </c>
      <c r="S13243">
        <v>1871</v>
      </c>
    </row>
    <row r="13244" spans="1:19">
      <c r="A13244" t="s">
        <v>145</v>
      </c>
      <c r="B13244" t="s">
        <v>150</v>
      </c>
      <c r="C13244" t="s">
        <v>277</v>
      </c>
      <c r="D13244" t="s">
        <v>406</v>
      </c>
      <c r="F13244">
        <f>HYPERLINK("https://www.wikidata.org/wiki/Q28494845", "Q28494845")</f>
        <v>0</v>
      </c>
      <c r="G13244" t="s">
        <v>5144</v>
      </c>
      <c r="H13244" t="s">
        <v>9264</v>
      </c>
      <c r="I13244" t="s">
        <v>5800</v>
      </c>
      <c r="J13244" t="s">
        <v>15551</v>
      </c>
      <c r="K13244" t="s">
        <v>19852</v>
      </c>
      <c r="M13244">
        <f>HYPERLINK("https://www.senat.fr/senateur-3eme-republique/savignol_simon0111r3.html", "savignol_simon0111r3")</f>
        <v>0</v>
      </c>
      <c r="N13244">
        <f>HYPERLINK("https://www.wikidata.org/wiki/Q3484441", "Q3484441")</f>
        <v>0</v>
      </c>
      <c r="O13244" t="s">
        <v>20016</v>
      </c>
      <c r="Q13244" t="s">
        <v>21319</v>
      </c>
      <c r="R13244" t="s">
        <v>21650</v>
      </c>
      <c r="S13244">
        <v>4667</v>
      </c>
    </row>
    <row r="13245" spans="1:19">
      <c r="A13245" t="s">
        <v>145</v>
      </c>
      <c r="B13245" t="s">
        <v>150</v>
      </c>
      <c r="C13245" t="s">
        <v>277</v>
      </c>
      <c r="D13245" t="s">
        <v>406</v>
      </c>
      <c r="F13245">
        <f>HYPERLINK("https://www.wikidata.org/wiki/Q28494845", "Q28494845")</f>
        <v>0</v>
      </c>
      <c r="G13245" t="s">
        <v>5175</v>
      </c>
      <c r="H13245" t="s">
        <v>9166</v>
      </c>
      <c r="I13245" t="s">
        <v>5630</v>
      </c>
      <c r="J13245" t="s">
        <v>15577</v>
      </c>
      <c r="K13245" t="s">
        <v>19880</v>
      </c>
      <c r="M13245">
        <f>HYPERLINK("https://www.senat.fr/senateur-3eme-republique/carrere_bertrand0105r3.html", "carrere_bertrand0105r3")</f>
        <v>0</v>
      </c>
      <c r="N13245">
        <f>HYPERLINK("https://www.wikidata.org/wiki/Q2899476", "Q2899476")</f>
        <v>0</v>
      </c>
      <c r="O13245" t="s">
        <v>20016</v>
      </c>
      <c r="Q13245" t="s">
        <v>21319</v>
      </c>
      <c r="R13245" t="s">
        <v>21724</v>
      </c>
      <c r="S13245">
        <v>3277</v>
      </c>
    </row>
    <row r="13246" spans="1:19">
      <c r="A13246" t="s">
        <v>145</v>
      </c>
      <c r="B13246" t="s">
        <v>150</v>
      </c>
      <c r="C13246" t="s">
        <v>277</v>
      </c>
      <c r="D13246" t="s">
        <v>406</v>
      </c>
      <c r="F13246">
        <f>HYPERLINK("https://www.wikidata.org/wiki/Q28494845", "Q28494845")</f>
        <v>0</v>
      </c>
      <c r="G13246" t="s">
        <v>5099</v>
      </c>
      <c r="H13246" t="s">
        <v>9227</v>
      </c>
      <c r="I13246" t="s">
        <v>6542</v>
      </c>
      <c r="J13246" t="s">
        <v>15512</v>
      </c>
      <c r="K13246" t="s">
        <v>19814</v>
      </c>
      <c r="M13246">
        <f>HYPERLINK("https://www.senat.fr/senateur-3eme-republique/martin_binachon_regis0514r3.html", "martin_binachon_regis0514r3")</f>
        <v>0</v>
      </c>
      <c r="N13246">
        <f>HYPERLINK("https://www.wikidata.org/wiki/Q3455758", "Q3455758")</f>
        <v>0</v>
      </c>
      <c r="O13246" t="s">
        <v>19993</v>
      </c>
      <c r="Q13246" t="s">
        <v>21319</v>
      </c>
      <c r="R13246" t="s">
        <v>21650</v>
      </c>
      <c r="S13246">
        <v>4667</v>
      </c>
    </row>
    <row r="13247" spans="1:19">
      <c r="A13247" t="s">
        <v>145</v>
      </c>
      <c r="B13247" t="s">
        <v>150</v>
      </c>
      <c r="C13247" t="s">
        <v>277</v>
      </c>
      <c r="D13247" t="s">
        <v>406</v>
      </c>
      <c r="F13247">
        <f>HYPERLINK("https://www.wikidata.org/wiki/Q28494845", "Q28494845")</f>
        <v>0</v>
      </c>
      <c r="G13247" t="s">
        <v>5176</v>
      </c>
      <c r="H13247" t="s">
        <v>8551</v>
      </c>
      <c r="I13247" t="s">
        <v>9692</v>
      </c>
      <c r="J13247" t="s">
        <v>11993</v>
      </c>
      <c r="K13247" t="s">
        <v>19881</v>
      </c>
      <c r="M13247">
        <f>HYPERLINK("https://www.senat.fr/senateur-3eme-republique/martin_raymond0876r3.html", "martin_raymond0876r3")</f>
        <v>0</v>
      </c>
      <c r="N13247">
        <f>HYPERLINK("https://www.wikidata.org/wiki/Q3421033", "Q3421033")</f>
        <v>0</v>
      </c>
      <c r="O13247" t="s">
        <v>20022</v>
      </c>
      <c r="Q13247" t="s">
        <v>21319</v>
      </c>
      <c r="R13247" t="s">
        <v>21724</v>
      </c>
      <c r="S13247">
        <v>3277</v>
      </c>
    </row>
    <row r="13248" spans="1:19">
      <c r="A13248" t="s">
        <v>145</v>
      </c>
      <c r="B13248" t="s">
        <v>150</v>
      </c>
      <c r="C13248" t="s">
        <v>277</v>
      </c>
      <c r="D13248" t="s">
        <v>406</v>
      </c>
      <c r="F13248">
        <f>HYPERLINK("https://www.wikidata.org/wiki/Q28494845", "Q28494845")</f>
        <v>0</v>
      </c>
      <c r="G13248" t="s">
        <v>4304</v>
      </c>
      <c r="H13248" t="s">
        <v>8461</v>
      </c>
      <c r="I13248" t="s">
        <v>9437</v>
      </c>
      <c r="J13248" t="s">
        <v>14802</v>
      </c>
      <c r="K13248" t="s">
        <v>19145</v>
      </c>
      <c r="M13248">
        <f>HYPERLINK("https://www.senat.fr/senateur-3eme-republique/cassez_emile0867r3.html", "cassez_emile0867r3")</f>
        <v>0</v>
      </c>
      <c r="N13248">
        <f>HYPERLINK("https://www.wikidata.org/wiki/Q3588397", "Q3588397")</f>
        <v>0</v>
      </c>
      <c r="O13248" t="s">
        <v>20022</v>
      </c>
      <c r="Q13248" t="s">
        <v>21319</v>
      </c>
      <c r="R13248" t="s">
        <v>21650</v>
      </c>
      <c r="S13248">
        <v>4667</v>
      </c>
    </row>
    <row r="13249" spans="1:19">
      <c r="A13249" t="s">
        <v>145</v>
      </c>
      <c r="B13249" t="s">
        <v>150</v>
      </c>
      <c r="C13249" t="s">
        <v>277</v>
      </c>
      <c r="D13249" t="s">
        <v>406</v>
      </c>
      <c r="F13249">
        <f>HYPERLINK("https://www.wikidata.org/wiki/Q28494845", "Q28494845")</f>
        <v>0</v>
      </c>
      <c r="G13249" t="s">
        <v>5165</v>
      </c>
      <c r="H13249" t="s">
        <v>9285</v>
      </c>
      <c r="I13249" t="s">
        <v>6175</v>
      </c>
      <c r="J13249" t="s">
        <v>15567</v>
      </c>
      <c r="K13249" t="s">
        <v>19871</v>
      </c>
      <c r="M13249">
        <f>HYPERLINK("https://www.senat.fr/senateur-3eme-republique/ulmo_georges0872r3.html", "ulmo_georges0872r3")</f>
        <v>0</v>
      </c>
      <c r="N13249">
        <f>HYPERLINK("https://www.wikidata.org/wiki/Q3103575", "Q3103575")</f>
        <v>0</v>
      </c>
      <c r="O13249" t="s">
        <v>20022</v>
      </c>
      <c r="Q13249" t="s">
        <v>21319</v>
      </c>
      <c r="R13249" t="s">
        <v>21650</v>
      </c>
      <c r="S13249">
        <v>4667</v>
      </c>
    </row>
    <row r="13250" spans="1:19">
      <c r="A13250" t="s">
        <v>145</v>
      </c>
      <c r="B13250" t="s">
        <v>150</v>
      </c>
      <c r="C13250" t="s">
        <v>277</v>
      </c>
      <c r="D13250" t="s">
        <v>406</v>
      </c>
      <c r="F13250">
        <f>HYPERLINK("https://www.wikidata.org/wiki/Q28494845", "Q28494845")</f>
        <v>0</v>
      </c>
      <c r="G13250" t="s">
        <v>4234</v>
      </c>
      <c r="H13250" t="s">
        <v>8411</v>
      </c>
      <c r="I13250" t="s">
        <v>9593</v>
      </c>
      <c r="J13250" t="s">
        <v>14741</v>
      </c>
      <c r="K13250" t="s">
        <v>19086</v>
      </c>
      <c r="M13250">
        <f>HYPERLINK("https://www.senat.fr/senateur-3eme-republique/roustan_marius0246r3.html", "roustan_marius0246r3")</f>
        <v>0</v>
      </c>
      <c r="N13250">
        <f>HYPERLINK("https://www.wikidata.org/wiki/Q3293852", "Q3293852")</f>
        <v>0</v>
      </c>
      <c r="O13250" t="s">
        <v>7411</v>
      </c>
      <c r="Q13250" t="s">
        <v>21319</v>
      </c>
      <c r="R13250" t="s">
        <v>21650</v>
      </c>
      <c r="S13250">
        <v>4667</v>
      </c>
    </row>
    <row r="13251" spans="1:19">
      <c r="A13251" t="s">
        <v>145</v>
      </c>
      <c r="B13251" t="s">
        <v>150</v>
      </c>
      <c r="C13251" t="s">
        <v>277</v>
      </c>
      <c r="D13251" t="s">
        <v>406</v>
      </c>
      <c r="F13251">
        <f>HYPERLINK("https://www.wikidata.org/wiki/Q28494845", "Q28494845")</f>
        <v>0</v>
      </c>
      <c r="G13251" t="s">
        <v>5166</v>
      </c>
      <c r="H13251" t="s">
        <v>9286</v>
      </c>
      <c r="I13251" t="s">
        <v>9385</v>
      </c>
      <c r="J13251" t="s">
        <v>15568</v>
      </c>
      <c r="K13251" t="s">
        <v>19872</v>
      </c>
      <c r="M13251">
        <f>HYPERLINK("https://www.senat.fr/senateur-3eme-republique/stourm_charles0545r3.html", "stourm_charles0545r3")</f>
        <v>0</v>
      </c>
      <c r="N13251">
        <f>HYPERLINK("https://www.wikidata.org/wiki/Q2960260", "Q2960260")</f>
        <v>0</v>
      </c>
      <c r="O13251" t="s">
        <v>19998</v>
      </c>
      <c r="Q13251" t="s">
        <v>21319</v>
      </c>
      <c r="R13251" t="s">
        <v>21650</v>
      </c>
      <c r="S13251">
        <v>4667</v>
      </c>
    </row>
    <row r="13252" spans="1:19">
      <c r="A13252" t="s">
        <v>145</v>
      </c>
      <c r="B13252" t="s">
        <v>150</v>
      </c>
      <c r="C13252" t="s">
        <v>277</v>
      </c>
      <c r="D13252" t="s">
        <v>406</v>
      </c>
      <c r="F13252">
        <f>HYPERLINK("https://www.wikidata.org/wiki/Q28494845", "Q28494845")</f>
        <v>0</v>
      </c>
      <c r="G13252" t="s">
        <v>4226</v>
      </c>
      <c r="H13252" t="s">
        <v>8405</v>
      </c>
      <c r="I13252" t="s">
        <v>9426</v>
      </c>
      <c r="J13252" t="s">
        <v>14734</v>
      </c>
      <c r="K13252" t="s">
        <v>19079</v>
      </c>
      <c r="M13252">
        <f>HYPERLINK("https://www.senat.fr/senateur-3eme-republique/gasnier_duparc_alphonse0563r3.html", "gasnier_duparc_alphonse0563r3")</f>
        <v>0</v>
      </c>
      <c r="N13252">
        <f>HYPERLINK("https://www.wikidata.org/wiki/Q2839804", "Q2839804")</f>
        <v>0</v>
      </c>
      <c r="O13252" t="s">
        <v>19998</v>
      </c>
      <c r="Q13252" t="s">
        <v>21319</v>
      </c>
      <c r="R13252" t="s">
        <v>21650</v>
      </c>
      <c r="S13252">
        <v>4667</v>
      </c>
    </row>
    <row r="13253" spans="1:19">
      <c r="A13253" t="s">
        <v>145</v>
      </c>
      <c r="B13253" t="s">
        <v>150</v>
      </c>
      <c r="C13253" t="s">
        <v>277</v>
      </c>
      <c r="D13253" t="s">
        <v>406</v>
      </c>
      <c r="F13253">
        <f>HYPERLINK("https://www.wikidata.org/wiki/Q28494845", "Q28494845")</f>
        <v>0</v>
      </c>
      <c r="G13253" t="s">
        <v>5177</v>
      </c>
      <c r="H13253" t="s">
        <v>9294</v>
      </c>
      <c r="I13253" t="s">
        <v>6200</v>
      </c>
      <c r="J13253" t="s">
        <v>15578</v>
      </c>
      <c r="K13253" t="s">
        <v>17108</v>
      </c>
      <c r="M13253">
        <f>HYPERLINK("https://www.senat.fr/senateur-3eme-republique/lemaistre_jean0558r3.html", "lemaistre_jean0558r3")</f>
        <v>0</v>
      </c>
      <c r="N13253">
        <f>HYPERLINK("https://www.wikidata.org/wiki/Q3173163", "Q3173163")</f>
        <v>0</v>
      </c>
      <c r="O13253" t="s">
        <v>19998</v>
      </c>
      <c r="Q13253" t="s">
        <v>21319</v>
      </c>
      <c r="R13253" t="s">
        <v>21724</v>
      </c>
      <c r="S13253">
        <v>3277</v>
      </c>
    </row>
    <row r="13254" spans="1:19">
      <c r="A13254" t="s">
        <v>145</v>
      </c>
      <c r="B13254" t="s">
        <v>150</v>
      </c>
      <c r="C13254" t="s">
        <v>277</v>
      </c>
      <c r="D13254" t="s">
        <v>406</v>
      </c>
      <c r="F13254">
        <f>HYPERLINK("https://www.wikidata.org/wiki/Q28494845", "Q28494845")</f>
        <v>0</v>
      </c>
      <c r="G13254" t="s">
        <v>5178</v>
      </c>
      <c r="H13254" t="s">
        <v>9295</v>
      </c>
      <c r="I13254" t="s">
        <v>9446</v>
      </c>
      <c r="J13254" t="s">
        <v>15579</v>
      </c>
      <c r="K13254" t="s">
        <v>19882</v>
      </c>
      <c r="M13254">
        <f>HYPERLINK("https://www.senat.fr/senateur-3eme-republique/gautier_fernand0260r3.html", "gautier_fernand0260r3")</f>
        <v>0</v>
      </c>
      <c r="N13254">
        <f>HYPERLINK("https://www.wikidata.org/wiki/Q3069165", "Q3069165")</f>
        <v>0</v>
      </c>
      <c r="O13254" t="s">
        <v>19975</v>
      </c>
      <c r="Q13254" t="s">
        <v>21319</v>
      </c>
      <c r="R13254" t="s">
        <v>21724</v>
      </c>
      <c r="S13254">
        <v>3277</v>
      </c>
    </row>
    <row r="13255" spans="1:19">
      <c r="A13255" t="s">
        <v>145</v>
      </c>
      <c r="B13255" t="s">
        <v>150</v>
      </c>
      <c r="C13255" t="s">
        <v>277</v>
      </c>
      <c r="D13255" t="s">
        <v>406</v>
      </c>
      <c r="F13255">
        <f>HYPERLINK("https://www.wikidata.org/wiki/Q28494845", "Q28494845")</f>
        <v>0</v>
      </c>
      <c r="G13255" t="s">
        <v>5020</v>
      </c>
      <c r="H13255" t="s">
        <v>8753</v>
      </c>
      <c r="I13255" t="s">
        <v>9407</v>
      </c>
      <c r="J13255" t="s">
        <v>15447</v>
      </c>
      <c r="K13255" t="s">
        <v>19752</v>
      </c>
      <c r="M13255">
        <f>HYPERLINK("https://www.senat.fr/senateur-3eme-republique/vallier_joseph1201r3.html", "vallier_joseph1201r3")</f>
        <v>0</v>
      </c>
      <c r="N13255">
        <f>HYPERLINK("https://www.wikidata.org/wiki/Q3185711", "Q3185711")</f>
        <v>0</v>
      </c>
      <c r="O13255" t="s">
        <v>20006</v>
      </c>
      <c r="Q13255" t="s">
        <v>21319</v>
      </c>
      <c r="R13255" t="s">
        <v>21650</v>
      </c>
      <c r="S13255">
        <v>4667</v>
      </c>
    </row>
    <row r="13256" spans="1:19">
      <c r="A13256" t="s">
        <v>145</v>
      </c>
      <c r="B13256" t="s">
        <v>150</v>
      </c>
      <c r="C13256" t="s">
        <v>277</v>
      </c>
      <c r="D13256" t="s">
        <v>406</v>
      </c>
      <c r="F13256">
        <f>HYPERLINK("https://www.wikidata.org/wiki/Q28494845", "Q28494845")</f>
        <v>0</v>
      </c>
      <c r="G13256" t="s">
        <v>5179</v>
      </c>
      <c r="H13256" t="s">
        <v>9296</v>
      </c>
      <c r="I13256" t="s">
        <v>9407</v>
      </c>
      <c r="J13256" t="s">
        <v>15580</v>
      </c>
      <c r="K13256" t="s">
        <v>19883</v>
      </c>
      <c r="M13256">
        <f>HYPERLINK("https://www.senat.fr/senateur-3eme-republique/serlin_joseph1200r3.html", "serlin_joseph1200r3")</f>
        <v>0</v>
      </c>
      <c r="N13256">
        <f>HYPERLINK("https://www.wikidata.org/wiki/Q2401772", "Q2401772")</f>
        <v>0</v>
      </c>
      <c r="O13256" t="s">
        <v>20006</v>
      </c>
      <c r="Q13256" t="s">
        <v>21319</v>
      </c>
      <c r="R13256" t="s">
        <v>21724</v>
      </c>
      <c r="S13256">
        <v>3277</v>
      </c>
    </row>
    <row r="13257" spans="1:19">
      <c r="A13257" t="s">
        <v>145</v>
      </c>
      <c r="B13257" t="s">
        <v>150</v>
      </c>
      <c r="C13257" t="s">
        <v>277</v>
      </c>
      <c r="D13257" t="s">
        <v>406</v>
      </c>
      <c r="F13257">
        <f>HYPERLINK("https://www.wikidata.org/wiki/Q28494845", "Q28494845")</f>
        <v>0</v>
      </c>
      <c r="G13257" t="s">
        <v>5180</v>
      </c>
      <c r="H13257" t="s">
        <v>9297</v>
      </c>
      <c r="I13257" t="s">
        <v>6759</v>
      </c>
      <c r="J13257" t="s">
        <v>15581</v>
      </c>
      <c r="K13257" t="s">
        <v>16236</v>
      </c>
      <c r="M13257">
        <f>HYPERLINK("https://www.senat.fr/senateur-3eme-republique/belmont_robert1189r3.html", "belmont_robert1189r3")</f>
        <v>0</v>
      </c>
      <c r="N13257">
        <f>HYPERLINK("https://www.wikidata.org/wiki/Q3434550", "Q3434550")</f>
        <v>0</v>
      </c>
      <c r="O13257" t="s">
        <v>20006</v>
      </c>
      <c r="Q13257" t="s">
        <v>21319</v>
      </c>
      <c r="R13257" t="s">
        <v>21724</v>
      </c>
      <c r="S13257">
        <v>3277</v>
      </c>
    </row>
    <row r="13258" spans="1:19">
      <c r="A13258" t="s">
        <v>145</v>
      </c>
      <c r="B13258" t="s">
        <v>150</v>
      </c>
      <c r="C13258" t="s">
        <v>277</v>
      </c>
      <c r="D13258" t="s">
        <v>406</v>
      </c>
      <c r="F13258">
        <f>HYPERLINK("https://www.wikidata.org/wiki/Q28494845", "Q28494845")</f>
        <v>0</v>
      </c>
      <c r="G13258" t="s">
        <v>5181</v>
      </c>
      <c r="H13258" t="s">
        <v>9298</v>
      </c>
      <c r="I13258" t="s">
        <v>9385</v>
      </c>
      <c r="J13258" t="s">
        <v>15582</v>
      </c>
      <c r="K13258" t="s">
        <v>19884</v>
      </c>
      <c r="M13258">
        <f>HYPERLINK("https://www.senat.fr/senateur-3eme-republique/cencelme_charles0453r3.html", "cencelme_charles0453r3")</f>
        <v>0</v>
      </c>
      <c r="N13258">
        <f>HYPERLINK("https://www.wikidata.org/wiki/Q2958700", "Q2958700")</f>
        <v>0</v>
      </c>
      <c r="O13258" t="s">
        <v>20041</v>
      </c>
      <c r="Q13258" t="s">
        <v>21319</v>
      </c>
      <c r="R13258" t="s">
        <v>19884</v>
      </c>
      <c r="S13258">
        <v>1670</v>
      </c>
    </row>
    <row r="13259" spans="1:19">
      <c r="A13259" t="s">
        <v>145</v>
      </c>
      <c r="B13259" t="s">
        <v>150</v>
      </c>
      <c r="C13259" t="s">
        <v>277</v>
      </c>
      <c r="D13259" t="s">
        <v>406</v>
      </c>
      <c r="F13259">
        <f>HYPERLINK("https://www.wikidata.org/wiki/Q28494845", "Q28494845")</f>
        <v>0</v>
      </c>
      <c r="G13259" t="s">
        <v>4298</v>
      </c>
      <c r="H13259" t="s">
        <v>8856</v>
      </c>
      <c r="I13259" t="s">
        <v>9483</v>
      </c>
      <c r="J13259" t="s">
        <v>14363</v>
      </c>
      <c r="K13259" t="s">
        <v>17827</v>
      </c>
      <c r="M13259">
        <f>HYPERLINK("https://www.senat.fr/senateur-3eme-republique/lourties_victor0343r3.html", "lourties_victor0343r3")</f>
        <v>0</v>
      </c>
      <c r="N13259">
        <f>HYPERLINK("https://www.wikidata.org/wiki/Q3557428", "Q3557428")</f>
        <v>0</v>
      </c>
      <c r="O13259" t="s">
        <v>19995</v>
      </c>
      <c r="Q13259" t="s">
        <v>21319</v>
      </c>
      <c r="R13259" t="s">
        <v>21724</v>
      </c>
      <c r="S13259">
        <v>3277</v>
      </c>
    </row>
    <row r="13260" spans="1:19">
      <c r="A13260" t="s">
        <v>145</v>
      </c>
      <c r="B13260" t="s">
        <v>150</v>
      </c>
      <c r="C13260" t="s">
        <v>277</v>
      </c>
      <c r="D13260" t="s">
        <v>406</v>
      </c>
      <c r="F13260">
        <f>HYPERLINK("https://www.wikidata.org/wiki/Q28494845", "Q28494845")</f>
        <v>0</v>
      </c>
      <c r="G13260" t="s">
        <v>5023</v>
      </c>
      <c r="H13260" t="s">
        <v>9155</v>
      </c>
      <c r="I13260" t="s">
        <v>9442</v>
      </c>
      <c r="J13260" t="s">
        <v>15450</v>
      </c>
      <c r="K13260" t="s">
        <v>19755</v>
      </c>
      <c r="M13260">
        <f>HYPERLINK("https://www.senat.fr/senateur-3eme-republique/daraignez_ernest0341r3.html", "daraignez_ernest0341r3")</f>
        <v>0</v>
      </c>
      <c r="N13260">
        <f>HYPERLINK("https://www.wikidata.org/wiki/Q3056913", "Q3056913")</f>
        <v>0</v>
      </c>
      <c r="O13260" t="s">
        <v>19995</v>
      </c>
      <c r="Q13260" t="s">
        <v>21319</v>
      </c>
      <c r="R13260" t="s">
        <v>21650</v>
      </c>
      <c r="S13260">
        <v>4667</v>
      </c>
    </row>
    <row r="13261" spans="1:19">
      <c r="A13261" t="s">
        <v>145</v>
      </c>
      <c r="B13261" t="s">
        <v>150</v>
      </c>
      <c r="C13261" t="s">
        <v>277</v>
      </c>
      <c r="D13261" t="s">
        <v>406</v>
      </c>
      <c r="F13261">
        <f>HYPERLINK("https://www.wikidata.org/wiki/Q28494845", "Q28494845")</f>
        <v>0</v>
      </c>
      <c r="G13261" t="s">
        <v>5182</v>
      </c>
      <c r="H13261" t="s">
        <v>9299</v>
      </c>
      <c r="I13261" t="s">
        <v>9465</v>
      </c>
      <c r="J13261" t="s">
        <v>15564</v>
      </c>
      <c r="K13261" t="s">
        <v>19885</v>
      </c>
      <c r="M13261">
        <f>HYPERLINK("https://www.senat.fr/senateur-3eme-republique/millies_lacroix_eugene0353r3.html", "millies_lacroix_eugene0353r3")</f>
        <v>0</v>
      </c>
      <c r="N13261">
        <f>HYPERLINK("https://www.wikidata.org/wiki/Q3060035", "Q3060035")</f>
        <v>0</v>
      </c>
      <c r="O13261" t="s">
        <v>19995</v>
      </c>
      <c r="Q13261" t="s">
        <v>21319</v>
      </c>
      <c r="R13261" t="s">
        <v>21724</v>
      </c>
      <c r="S13261">
        <v>3277</v>
      </c>
    </row>
    <row r="13262" spans="1:19">
      <c r="A13262" t="s">
        <v>145</v>
      </c>
      <c r="B13262" t="s">
        <v>150</v>
      </c>
      <c r="C13262" t="s">
        <v>277</v>
      </c>
      <c r="D13262" t="s">
        <v>406</v>
      </c>
      <c r="F13262">
        <f>HYPERLINK("https://www.wikidata.org/wiki/Q28494845", "Q28494845")</f>
        <v>0</v>
      </c>
      <c r="G13262" t="s">
        <v>5183</v>
      </c>
      <c r="H13262" t="s">
        <v>9300</v>
      </c>
      <c r="I13262" t="s">
        <v>9375</v>
      </c>
      <c r="J13262" t="s">
        <v>15583</v>
      </c>
      <c r="K13262" t="s">
        <v>19886</v>
      </c>
      <c r="M13262">
        <f>HYPERLINK("https://www.senat.fr/senateur-3eme-republique/boudin_edouard0379r3.html", "boudin_edouard0379r3")</f>
        <v>0</v>
      </c>
      <c r="N13262">
        <f>HYPERLINK("https://www.wikidata.org/wiki/Q3579747", "Q3579747")</f>
        <v>0</v>
      </c>
      <c r="O13262" t="s">
        <v>20039</v>
      </c>
      <c r="Q13262" t="s">
        <v>21319</v>
      </c>
      <c r="R13262" t="s">
        <v>19886</v>
      </c>
      <c r="S13262">
        <v>551</v>
      </c>
    </row>
    <row r="13263" spans="1:19">
      <c r="A13263" t="s">
        <v>145</v>
      </c>
      <c r="B13263" t="s">
        <v>150</v>
      </c>
      <c r="C13263" t="s">
        <v>277</v>
      </c>
      <c r="D13263" t="s">
        <v>406</v>
      </c>
      <c r="F13263">
        <f>HYPERLINK("https://www.wikidata.org/wiki/Q28494845", "Q28494845")</f>
        <v>0</v>
      </c>
      <c r="G13263" t="s">
        <v>5028</v>
      </c>
      <c r="H13263" t="s">
        <v>9161</v>
      </c>
      <c r="I13263" t="s">
        <v>6200</v>
      </c>
      <c r="J13263" t="s">
        <v>15455</v>
      </c>
      <c r="K13263" t="s">
        <v>19757</v>
      </c>
      <c r="M13263">
        <f>HYPERLINK("https://www.senat.fr/senateur-3eme-republique/babin_chevaye_jean1285r3.html", "babin_chevaye_jean1285r3")</f>
        <v>0</v>
      </c>
      <c r="N13263">
        <f>HYPERLINK("https://www.wikidata.org/wiki/Q3170485", "Q3170485")</f>
        <v>0</v>
      </c>
      <c r="O13263" t="s">
        <v>20023</v>
      </c>
      <c r="Q13263" t="s">
        <v>21319</v>
      </c>
      <c r="R13263" t="s">
        <v>19757</v>
      </c>
      <c r="S13263">
        <v>1340</v>
      </c>
    </row>
    <row r="13264" spans="1:19">
      <c r="A13264" t="s">
        <v>145</v>
      </c>
      <c r="B13264" t="s">
        <v>150</v>
      </c>
      <c r="C13264" t="s">
        <v>277</v>
      </c>
      <c r="D13264" t="s">
        <v>406</v>
      </c>
      <c r="F13264">
        <f>HYPERLINK("https://www.wikidata.org/wiki/Q28494845", "Q28494845")</f>
        <v>0</v>
      </c>
      <c r="G13264" t="s">
        <v>5167</v>
      </c>
      <c r="H13264" t="s">
        <v>9287</v>
      </c>
      <c r="I13264" t="s">
        <v>9421</v>
      </c>
      <c r="J13264" t="s">
        <v>15569</v>
      </c>
      <c r="K13264" t="s">
        <v>19873</v>
      </c>
      <c r="M13264">
        <f>HYPERLINK("https://www.senat.fr/senateur-3eme-republique/gautherot_gustave1274r3.html", "gautherot_gustave1274r3")</f>
        <v>0</v>
      </c>
      <c r="N13264">
        <f>HYPERLINK("https://www.wikidata.org/wiki/Q661623", "Q661623")</f>
        <v>0</v>
      </c>
      <c r="O13264" t="s">
        <v>20023</v>
      </c>
      <c r="Q13264" t="s">
        <v>21319</v>
      </c>
      <c r="R13264" t="s">
        <v>21650</v>
      </c>
      <c r="S13264">
        <v>4667</v>
      </c>
    </row>
    <row r="13265" spans="1:19">
      <c r="A13265" t="s">
        <v>145</v>
      </c>
      <c r="B13265" t="s">
        <v>150</v>
      </c>
      <c r="C13265" t="s">
        <v>277</v>
      </c>
      <c r="D13265" t="s">
        <v>406</v>
      </c>
      <c r="F13265">
        <f>HYPERLINK("https://www.wikidata.org/wiki/Q28494845", "Q28494845")</f>
        <v>0</v>
      </c>
      <c r="G13265" t="s">
        <v>5029</v>
      </c>
      <c r="H13265" t="s">
        <v>9162</v>
      </c>
      <c r="I13265" t="s">
        <v>9385</v>
      </c>
      <c r="J13265" t="s">
        <v>15456</v>
      </c>
      <c r="K13265" t="s">
        <v>16838</v>
      </c>
      <c r="M13265">
        <f>HYPERLINK("https://www.senat.fr/senateur-3eme-republique/francois_saint_maur_charles1294r3.html", "francois_saint_maur_charles1294r3")</f>
        <v>0</v>
      </c>
      <c r="N13265">
        <f>HYPERLINK("https://www.wikidata.org/wiki/Q2959090", "Q2959090")</f>
        <v>0</v>
      </c>
      <c r="O13265" t="s">
        <v>20023</v>
      </c>
      <c r="Q13265" t="s">
        <v>21319</v>
      </c>
      <c r="R13265" t="s">
        <v>21650</v>
      </c>
      <c r="S13265">
        <v>4667</v>
      </c>
    </row>
    <row r="13266" spans="1:19">
      <c r="A13266" t="s">
        <v>145</v>
      </c>
      <c r="B13266" t="s">
        <v>150</v>
      </c>
      <c r="C13266" t="s">
        <v>277</v>
      </c>
      <c r="D13266" t="s">
        <v>406</v>
      </c>
      <c r="F13266">
        <f>HYPERLINK("https://www.wikidata.org/wiki/Q28494845", "Q28494845")</f>
        <v>0</v>
      </c>
      <c r="G13266" t="s">
        <v>5139</v>
      </c>
      <c r="H13266" t="s">
        <v>9261</v>
      </c>
      <c r="I13266" t="s">
        <v>6495</v>
      </c>
      <c r="J13266" t="s">
        <v>15546</v>
      </c>
      <c r="K13266" t="s">
        <v>19847</v>
      </c>
      <c r="M13266">
        <f>HYPERLINK("https://www.senat.fr/senateur-3eme-republique/linyer_louis1278r3.html", "linyer_louis1278r3")</f>
        <v>0</v>
      </c>
      <c r="N13266">
        <f>HYPERLINK("https://www.wikidata.org/wiki/Q3262543", "Q3262543")</f>
        <v>0</v>
      </c>
      <c r="O13266" t="s">
        <v>20023</v>
      </c>
      <c r="Q13266" t="s">
        <v>21319</v>
      </c>
      <c r="R13266" t="s">
        <v>21650</v>
      </c>
      <c r="S13266">
        <v>4667</v>
      </c>
    </row>
    <row r="13267" spans="1:19">
      <c r="A13267" t="s">
        <v>145</v>
      </c>
      <c r="B13267" t="s">
        <v>150</v>
      </c>
      <c r="C13267" t="s">
        <v>277</v>
      </c>
      <c r="D13267" t="s">
        <v>406</v>
      </c>
      <c r="F13267">
        <f>HYPERLINK("https://www.wikidata.org/wiki/Q28494845", "Q28494845")</f>
        <v>0</v>
      </c>
      <c r="G13267" t="s">
        <v>5030</v>
      </c>
      <c r="H13267" t="s">
        <v>9163</v>
      </c>
      <c r="I13267" t="s">
        <v>9523</v>
      </c>
      <c r="J13267" t="s">
        <v>15457</v>
      </c>
      <c r="K13267" t="s">
        <v>19758</v>
      </c>
      <c r="M13267">
        <f>HYPERLINK("https://www.senat.fr/senateur-3eme-republique/donon_marcel0508r3.html", "donon_marcel0508r3")</f>
        <v>0</v>
      </c>
      <c r="N13267">
        <f>HYPERLINK("https://www.wikidata.org/wiki/Q3288903", "Q3288903")</f>
        <v>0</v>
      </c>
      <c r="O13267" t="s">
        <v>19958</v>
      </c>
      <c r="Q13267" t="s">
        <v>21319</v>
      </c>
      <c r="R13267" t="s">
        <v>21650</v>
      </c>
      <c r="S13267">
        <v>4667</v>
      </c>
    </row>
    <row r="13268" spans="1:19">
      <c r="A13268" t="s">
        <v>145</v>
      </c>
      <c r="B13268" t="s">
        <v>150</v>
      </c>
      <c r="C13268" t="s">
        <v>277</v>
      </c>
      <c r="D13268" t="s">
        <v>406</v>
      </c>
      <c r="F13268">
        <f>HYPERLINK("https://www.wikidata.org/wiki/Q28494845", "Q28494845")</f>
        <v>0</v>
      </c>
      <c r="G13268" t="s">
        <v>5031</v>
      </c>
      <c r="H13268" t="s">
        <v>9164</v>
      </c>
      <c r="I13268" t="s">
        <v>9476</v>
      </c>
      <c r="J13268" t="s">
        <v>15458</v>
      </c>
      <c r="K13268" t="s">
        <v>19759</v>
      </c>
      <c r="M13268">
        <f>HYPERLINK("https://www.senat.fr/senateur-3eme-republique/fontanille_rene0614r3.html", "fontanille_rene0614r3")</f>
        <v>0</v>
      </c>
      <c r="N13268">
        <f>HYPERLINK("https://www.wikidata.org/wiki/Q3426203", "Q3426203")</f>
        <v>0</v>
      </c>
      <c r="O13268" t="s">
        <v>19974</v>
      </c>
      <c r="Q13268" t="s">
        <v>21319</v>
      </c>
      <c r="R13268" t="s">
        <v>21650</v>
      </c>
      <c r="S13268">
        <v>4667</v>
      </c>
    </row>
    <row r="13269" spans="1:19">
      <c r="A13269" t="s">
        <v>145</v>
      </c>
      <c r="B13269" t="s">
        <v>150</v>
      </c>
      <c r="C13269" t="s">
        <v>277</v>
      </c>
      <c r="D13269" t="s">
        <v>406</v>
      </c>
      <c r="F13269">
        <f>HYPERLINK("https://www.wikidata.org/wiki/Q28494845", "Q28494845")</f>
        <v>0</v>
      </c>
      <c r="G13269" t="s">
        <v>4954</v>
      </c>
      <c r="H13269" t="s">
        <v>9088</v>
      </c>
      <c r="I13269" t="s">
        <v>9407</v>
      </c>
      <c r="J13269" t="s">
        <v>15394</v>
      </c>
      <c r="K13269" t="s">
        <v>19692</v>
      </c>
      <c r="M13269">
        <f>HYPERLINK("https://www.senat.fr/senateur-3eme-republique/loubet_joseph0625r3.html", "loubet_joseph0625r3")</f>
        <v>0</v>
      </c>
      <c r="N13269">
        <f>HYPERLINK("https://www.wikidata.org/wiki/Q3185259", "Q3185259")</f>
        <v>0</v>
      </c>
      <c r="O13269" t="s">
        <v>19974</v>
      </c>
      <c r="Q13269" t="s">
        <v>21319</v>
      </c>
      <c r="R13269" t="s">
        <v>21650</v>
      </c>
      <c r="S13269">
        <v>4667</v>
      </c>
    </row>
    <row r="13270" spans="1:19">
      <c r="A13270" t="s">
        <v>145</v>
      </c>
      <c r="B13270" t="s">
        <v>150</v>
      </c>
      <c r="C13270" t="s">
        <v>277</v>
      </c>
      <c r="D13270" t="s">
        <v>406</v>
      </c>
      <c r="F13270">
        <f>HYPERLINK("https://www.wikidata.org/wiki/Q28494845", "Q28494845")</f>
        <v>0</v>
      </c>
      <c r="G13270" t="s">
        <v>5157</v>
      </c>
      <c r="H13270" t="s">
        <v>9277</v>
      </c>
      <c r="I13270" t="s">
        <v>6495</v>
      </c>
      <c r="J13270" t="s">
        <v>15562</v>
      </c>
      <c r="K13270" t="s">
        <v>19864</v>
      </c>
      <c r="M13270">
        <f>HYPERLINK("https://www.senat.fr/senateur-3eme-republique/garrigou_louis0606r3.html", "garrigou_louis0606r3")</f>
        <v>0</v>
      </c>
      <c r="N13270">
        <f>HYPERLINK("https://www.wikidata.org/wiki/Q3262008", "Q3262008")</f>
        <v>0</v>
      </c>
      <c r="O13270" t="s">
        <v>19974</v>
      </c>
      <c r="Q13270" t="s">
        <v>21319</v>
      </c>
      <c r="R13270" t="s">
        <v>21650</v>
      </c>
      <c r="S13270">
        <v>4667</v>
      </c>
    </row>
    <row r="13271" spans="1:19">
      <c r="A13271" t="s">
        <v>145</v>
      </c>
      <c r="B13271" t="s">
        <v>150</v>
      </c>
      <c r="C13271" t="s">
        <v>277</v>
      </c>
      <c r="D13271" t="s">
        <v>406</v>
      </c>
      <c r="F13271">
        <f>HYPERLINK("https://www.wikidata.org/wiki/Q28494845", "Q28494845")</f>
        <v>0</v>
      </c>
      <c r="G13271" t="s">
        <v>5032</v>
      </c>
      <c r="H13271" t="s">
        <v>9165</v>
      </c>
      <c r="I13271" t="s">
        <v>6175</v>
      </c>
      <c r="J13271" t="s">
        <v>12231</v>
      </c>
      <c r="K13271" t="s">
        <v>19760</v>
      </c>
      <c r="M13271">
        <f>HYPERLINK("https://www.senat.fr/senateur-3eme-republique/laboulbene_georges0740r3.html", "laboulbene_georges0740r3")</f>
        <v>0</v>
      </c>
      <c r="N13271">
        <f>HYPERLINK("https://www.wikidata.org/wiki/Q3102986", "Q3102986")</f>
        <v>0</v>
      </c>
      <c r="O13271" t="s">
        <v>20043</v>
      </c>
      <c r="Q13271" t="s">
        <v>21319</v>
      </c>
      <c r="R13271" t="s">
        <v>21650</v>
      </c>
      <c r="S13271">
        <v>4667</v>
      </c>
    </row>
    <row r="13272" spans="1:19">
      <c r="A13272" t="s">
        <v>145</v>
      </c>
      <c r="B13272" t="s">
        <v>150</v>
      </c>
      <c r="C13272" t="s">
        <v>277</v>
      </c>
      <c r="D13272" t="s">
        <v>406</v>
      </c>
      <c r="F13272">
        <f>HYPERLINK("https://www.wikidata.org/wiki/Q28494845", "Q28494845")</f>
        <v>0</v>
      </c>
      <c r="G13272" t="s">
        <v>5033</v>
      </c>
      <c r="H13272" t="s">
        <v>9166</v>
      </c>
      <c r="I13272" t="s">
        <v>9470</v>
      </c>
      <c r="J13272" t="s">
        <v>15459</v>
      </c>
      <c r="K13272" t="s">
        <v>19761</v>
      </c>
      <c r="M13272">
        <f>HYPERLINK("https://www.senat.fr/senateur-3eme-republique/carrere_gaston0762r3.html", "carrere_gaston0762r3")</f>
        <v>0</v>
      </c>
      <c r="N13272">
        <f>HYPERLINK("https://www.wikidata.org/wiki/Q3098937", "Q3098937")</f>
        <v>0</v>
      </c>
      <c r="O13272" t="s">
        <v>20043</v>
      </c>
      <c r="Q13272" t="s">
        <v>21319</v>
      </c>
      <c r="R13272" t="s">
        <v>21650</v>
      </c>
      <c r="S13272">
        <v>4667</v>
      </c>
    </row>
    <row r="13273" spans="1:19">
      <c r="A13273" t="s">
        <v>145</v>
      </c>
      <c r="B13273" t="s">
        <v>150</v>
      </c>
      <c r="C13273" t="s">
        <v>277</v>
      </c>
      <c r="D13273" t="s">
        <v>406</v>
      </c>
      <c r="F13273">
        <f>HYPERLINK("https://www.wikidata.org/wiki/Q28494845", "Q28494845")</f>
        <v>0</v>
      </c>
      <c r="G13273" t="s">
        <v>5088</v>
      </c>
      <c r="H13273" t="s">
        <v>8943</v>
      </c>
      <c r="I13273" t="s">
        <v>6495</v>
      </c>
      <c r="J13273" t="s">
        <v>15502</v>
      </c>
      <c r="K13273" t="s">
        <v>19805</v>
      </c>
      <c r="M13273">
        <f>HYPERLINK("https://www.senat.fr/senateur-3eme-republique/de_blois_louis1075r3.html", "de_blois_louis1075r3")</f>
        <v>0</v>
      </c>
      <c r="N13273">
        <f>HYPERLINK("https://www.wikidata.org/wiki/Q3263379", "Q3263379")</f>
        <v>0</v>
      </c>
      <c r="O13273" t="s">
        <v>19980</v>
      </c>
      <c r="Q13273" t="s">
        <v>21319</v>
      </c>
      <c r="R13273" t="s">
        <v>21650</v>
      </c>
      <c r="S13273">
        <v>4667</v>
      </c>
    </row>
    <row r="13274" spans="1:19">
      <c r="A13274" t="s">
        <v>145</v>
      </c>
      <c r="B13274" t="s">
        <v>150</v>
      </c>
      <c r="C13274" t="s">
        <v>277</v>
      </c>
      <c r="D13274" t="s">
        <v>406</v>
      </c>
      <c r="F13274">
        <f>HYPERLINK("https://www.wikidata.org/wiki/Q28494845", "Q28494845")</f>
        <v>0</v>
      </c>
      <c r="G13274" t="s">
        <v>5035</v>
      </c>
      <c r="H13274" t="s">
        <v>9168</v>
      </c>
      <c r="I13274" t="s">
        <v>9389</v>
      </c>
      <c r="J13274" t="s">
        <v>15461</v>
      </c>
      <c r="K13274" t="s">
        <v>19763</v>
      </c>
      <c r="M13274">
        <f>HYPERLINK("https://www.senat.fr/senateur-3eme-republique/damecour_emile1047r3.html", "damecour_emile1047r3")</f>
        <v>0</v>
      </c>
      <c r="N13274">
        <f>HYPERLINK("https://www.wikidata.org/wiki/Q3588443", "Q3588443")</f>
        <v>0</v>
      </c>
      <c r="O13274" t="s">
        <v>19985</v>
      </c>
      <c r="Q13274" t="s">
        <v>21319</v>
      </c>
      <c r="R13274" t="s">
        <v>21650</v>
      </c>
      <c r="S13274">
        <v>4667</v>
      </c>
    </row>
    <row r="13275" spans="1:19">
      <c r="A13275" t="s">
        <v>145</v>
      </c>
      <c r="B13275" t="s">
        <v>150</v>
      </c>
      <c r="C13275" t="s">
        <v>277</v>
      </c>
      <c r="D13275" t="s">
        <v>406</v>
      </c>
      <c r="F13275">
        <f>HYPERLINK("https://www.wikidata.org/wiki/Q28494845", "Q28494845")</f>
        <v>0</v>
      </c>
      <c r="G13275" t="s">
        <v>5158</v>
      </c>
      <c r="H13275" t="s">
        <v>9278</v>
      </c>
      <c r="I13275" t="s">
        <v>7642</v>
      </c>
      <c r="J13275" t="s">
        <v>326</v>
      </c>
      <c r="K13275" t="s">
        <v>19865</v>
      </c>
      <c r="M13275">
        <f>HYPERLINK("https://www.senat.fr/senateur-3eme-republique/cabart_danneville_maurice1042r3.html", "cabart_danneville_maurice1042r3")</f>
        <v>0</v>
      </c>
      <c r="N13275">
        <f>HYPERLINK("https://www.wikidata.org/wiki/Q3300512", "Q3300512")</f>
        <v>0</v>
      </c>
      <c r="O13275" t="s">
        <v>19985</v>
      </c>
      <c r="Q13275" t="s">
        <v>21319</v>
      </c>
      <c r="R13275" t="s">
        <v>21650</v>
      </c>
      <c r="S13275">
        <v>4667</v>
      </c>
    </row>
    <row r="13276" spans="1:19">
      <c r="A13276" t="s">
        <v>145</v>
      </c>
      <c r="B13276" t="s">
        <v>150</v>
      </c>
      <c r="C13276" t="s">
        <v>277</v>
      </c>
      <c r="D13276" t="s">
        <v>406</v>
      </c>
      <c r="F13276">
        <f>HYPERLINK("https://www.wikidata.org/wiki/Q28494845", "Q28494845")</f>
        <v>0</v>
      </c>
      <c r="G13276" t="s">
        <v>5072</v>
      </c>
      <c r="H13276" t="s">
        <v>8738</v>
      </c>
      <c r="I13276" t="s">
        <v>6478</v>
      </c>
      <c r="J13276" t="s">
        <v>15490</v>
      </c>
      <c r="K13276" t="s">
        <v>19791</v>
      </c>
      <c r="M13276">
        <f>HYPERLINK("https://www.senat.fr/senateur-3eme-republique/merlin_henry0645r3.html", "merlin_henry0645r3")</f>
        <v>0</v>
      </c>
      <c r="N13276">
        <f>HYPERLINK("https://www.wikidata.org/wiki/Q3132957", "Q3132957")</f>
        <v>0</v>
      </c>
      <c r="O13276" t="s">
        <v>20025</v>
      </c>
      <c r="Q13276" t="s">
        <v>21319</v>
      </c>
      <c r="R13276" t="s">
        <v>21724</v>
      </c>
      <c r="S13276">
        <v>3277</v>
      </c>
    </row>
    <row r="13277" spans="1:19">
      <c r="A13277" t="s">
        <v>145</v>
      </c>
      <c r="B13277" t="s">
        <v>150</v>
      </c>
      <c r="C13277" t="s">
        <v>277</v>
      </c>
      <c r="D13277" t="s">
        <v>406</v>
      </c>
      <c r="F13277">
        <f>HYPERLINK("https://www.wikidata.org/wiki/Q28494845", "Q28494845")</f>
        <v>0</v>
      </c>
      <c r="G13277" t="s">
        <v>5184</v>
      </c>
      <c r="H13277" t="s">
        <v>9301</v>
      </c>
      <c r="I13277" t="s">
        <v>9457</v>
      </c>
      <c r="J13277" t="s">
        <v>15584</v>
      </c>
      <c r="K13277" t="s">
        <v>19887</v>
      </c>
      <c r="M13277">
        <f>HYPERLINK("https://www.senat.fr/senateur-3eme-republique/patizel_henri0636r3.html", "patizel_henri0636r3")</f>
        <v>0</v>
      </c>
      <c r="N13277">
        <f>HYPERLINK("https://www.wikidata.org/wiki/Q3131747", "Q3131747")</f>
        <v>0</v>
      </c>
      <c r="O13277" t="s">
        <v>20025</v>
      </c>
      <c r="Q13277" t="s">
        <v>21319</v>
      </c>
      <c r="R13277" t="s">
        <v>21724</v>
      </c>
      <c r="S13277">
        <v>3277</v>
      </c>
    </row>
    <row r="13278" spans="1:19">
      <c r="A13278" t="s">
        <v>145</v>
      </c>
      <c r="B13278" t="s">
        <v>150</v>
      </c>
      <c r="C13278" t="s">
        <v>277</v>
      </c>
      <c r="D13278" t="s">
        <v>406</v>
      </c>
      <c r="F13278">
        <f>HYPERLINK("https://www.wikidata.org/wiki/Q28494845", "Q28494845")</f>
        <v>0</v>
      </c>
      <c r="G13278" t="s">
        <v>5101</v>
      </c>
      <c r="H13278" t="s">
        <v>9159</v>
      </c>
      <c r="I13278" t="s">
        <v>9465</v>
      </c>
      <c r="J13278" t="s">
        <v>15514</v>
      </c>
      <c r="K13278" t="s">
        <v>375</v>
      </c>
      <c r="M13278">
        <f>HYPERLINK("https://www.senat.fr/senateur-3eme-republique/jamin_eugene0967r3.html", "jamin_eugene0967r3")</f>
        <v>0</v>
      </c>
      <c r="N13278">
        <f>HYPERLINK("https://www.wikidata.org/wiki/Q3059943", "Q3059943")</f>
        <v>0</v>
      </c>
      <c r="O13278" t="s">
        <v>19984</v>
      </c>
      <c r="Q13278" t="s">
        <v>21319</v>
      </c>
      <c r="R13278" t="s">
        <v>21650</v>
      </c>
      <c r="S13278">
        <v>4667</v>
      </c>
    </row>
    <row r="13279" spans="1:19">
      <c r="A13279" t="s">
        <v>145</v>
      </c>
      <c r="B13279" t="s">
        <v>150</v>
      </c>
      <c r="C13279" t="s">
        <v>277</v>
      </c>
      <c r="D13279" t="s">
        <v>406</v>
      </c>
      <c r="F13279">
        <f>HYPERLINK("https://www.wikidata.org/wiki/Q28494845", "Q28494845")</f>
        <v>0</v>
      </c>
      <c r="G13279" t="s">
        <v>5038</v>
      </c>
      <c r="H13279" t="s">
        <v>8568</v>
      </c>
      <c r="I13279" t="s">
        <v>6495</v>
      </c>
      <c r="J13279" t="s">
        <v>15464</v>
      </c>
      <c r="K13279" t="s">
        <v>19766</v>
      </c>
      <c r="M13279">
        <f>HYPERLINK("https://www.senat.fr/senateur-3eme-republique/michel_louis0933r3.html", "michel_louis0933r3")</f>
        <v>0</v>
      </c>
      <c r="N13279">
        <f>HYPERLINK("https://www.wikidata.org/wiki/Q3262697", "Q3262697")</f>
        <v>0</v>
      </c>
      <c r="O13279" t="s">
        <v>20007</v>
      </c>
      <c r="Q13279" t="s">
        <v>21319</v>
      </c>
      <c r="R13279" t="s">
        <v>21650</v>
      </c>
      <c r="S13279">
        <v>4667</v>
      </c>
    </row>
    <row r="13280" spans="1:19">
      <c r="A13280" t="s">
        <v>145</v>
      </c>
      <c r="B13280" t="s">
        <v>150</v>
      </c>
      <c r="C13280" t="s">
        <v>277</v>
      </c>
      <c r="D13280" t="s">
        <v>406</v>
      </c>
      <c r="F13280">
        <f>HYPERLINK("https://www.wikidata.org/wiki/Q28494845", "Q28494845")</f>
        <v>0</v>
      </c>
      <c r="G13280" t="s">
        <v>5185</v>
      </c>
      <c r="H13280" t="s">
        <v>9302</v>
      </c>
      <c r="I13280" t="s">
        <v>9470</v>
      </c>
      <c r="J13280" t="s">
        <v>15585</v>
      </c>
      <c r="K13280" t="s">
        <v>19888</v>
      </c>
      <c r="M13280">
        <f>HYPERLINK("https://www.senat.fr/senateur-3eme-republique/roge_gaston0949r3.html", "roge_gaston0949r3")</f>
        <v>0</v>
      </c>
      <c r="N13280">
        <f>HYPERLINK("https://www.wikidata.org/wiki/Q3099141", "Q3099141")</f>
        <v>0</v>
      </c>
      <c r="O13280" t="s">
        <v>20007</v>
      </c>
      <c r="Q13280" t="s">
        <v>21319</v>
      </c>
      <c r="R13280" t="s">
        <v>21724</v>
      </c>
      <c r="S13280">
        <v>3277</v>
      </c>
    </row>
    <row r="13281" spans="1:19">
      <c r="A13281" t="s">
        <v>145</v>
      </c>
      <c r="B13281" t="s">
        <v>150</v>
      </c>
      <c r="C13281" t="s">
        <v>277</v>
      </c>
      <c r="D13281" t="s">
        <v>406</v>
      </c>
      <c r="F13281">
        <f>HYPERLINK("https://www.wikidata.org/wiki/Q28494845", "Q28494845")</f>
        <v>0</v>
      </c>
      <c r="G13281" t="s">
        <v>5039</v>
      </c>
      <c r="H13281" t="s">
        <v>9171</v>
      </c>
      <c r="I13281" t="s">
        <v>11233</v>
      </c>
      <c r="J13281" t="s">
        <v>15465</v>
      </c>
      <c r="K13281" t="s">
        <v>17013</v>
      </c>
      <c r="M13281">
        <f>HYPERLINK("https://www.senat.fr/senateur-3eme-republique/chevalier_pol1014r3.html", "chevalier_pol1014r3")</f>
        <v>0</v>
      </c>
      <c r="N13281">
        <f>HYPERLINK("https://www.wikidata.org/wiki/Q3393992", "Q3393992")</f>
        <v>0</v>
      </c>
      <c r="O13281" t="s">
        <v>20030</v>
      </c>
      <c r="Q13281" t="s">
        <v>21319</v>
      </c>
      <c r="R13281" t="s">
        <v>21650</v>
      </c>
      <c r="S13281">
        <v>4667</v>
      </c>
    </row>
    <row r="13282" spans="1:19">
      <c r="A13282" t="s">
        <v>145</v>
      </c>
      <c r="B13282" t="s">
        <v>150</v>
      </c>
      <c r="C13282" t="s">
        <v>277</v>
      </c>
      <c r="D13282" t="s">
        <v>406</v>
      </c>
      <c r="F13282">
        <f>HYPERLINK("https://www.wikidata.org/wiki/Q28494845", "Q28494845")</f>
        <v>0</v>
      </c>
      <c r="G13282" t="s">
        <v>5186</v>
      </c>
      <c r="H13282" t="s">
        <v>9303</v>
      </c>
      <c r="I13282" t="s">
        <v>9602</v>
      </c>
      <c r="J13282" t="s">
        <v>15586</v>
      </c>
      <c r="K13282" t="s">
        <v>19889</v>
      </c>
      <c r="M13282">
        <f>HYPERLINK("https://www.senat.fr/senateur-3eme-republique/filhol_de_camas_edmond0913r3.html", "filhol_de_camas_edmond0913r3")</f>
        <v>0</v>
      </c>
      <c r="N13282">
        <f>HYPERLINK("https://www.wikidata.org/wiki/Q3047821", "Q3047821")</f>
        <v>0</v>
      </c>
      <c r="O13282" t="s">
        <v>19961</v>
      </c>
      <c r="Q13282" t="s">
        <v>21319</v>
      </c>
      <c r="R13282" t="s">
        <v>21724</v>
      </c>
      <c r="S13282">
        <v>3277</v>
      </c>
    </row>
    <row r="13283" spans="1:19">
      <c r="A13283" t="s">
        <v>145</v>
      </c>
      <c r="B13283" t="s">
        <v>150</v>
      </c>
      <c r="C13283" t="s">
        <v>277</v>
      </c>
      <c r="D13283" t="s">
        <v>406</v>
      </c>
      <c r="F13283">
        <f>HYPERLINK("https://www.wikidata.org/wiki/Q28494845", "Q28494845")</f>
        <v>0</v>
      </c>
      <c r="G13283" t="s">
        <v>5041</v>
      </c>
      <c r="H13283" t="s">
        <v>9173</v>
      </c>
      <c r="I13283" t="s">
        <v>6200</v>
      </c>
      <c r="J13283" t="s">
        <v>15467</v>
      </c>
      <c r="K13283" t="s">
        <v>16158</v>
      </c>
      <c r="M13283">
        <f>HYPERLINK("https://www.senat.fr/senateur-3eme-republique/stuhl_jean0708r3.html", "stuhl_jean0708r3")</f>
        <v>0</v>
      </c>
      <c r="N13283">
        <f>HYPERLINK("https://www.wikidata.org/wiki/Q3174691", "Q3174691")</f>
        <v>0</v>
      </c>
      <c r="O13283" t="s">
        <v>20050</v>
      </c>
      <c r="Q13283" t="s">
        <v>21319</v>
      </c>
      <c r="R13283" t="s">
        <v>21650</v>
      </c>
      <c r="S13283">
        <v>4667</v>
      </c>
    </row>
    <row r="13284" spans="1:19">
      <c r="A13284" t="s">
        <v>145</v>
      </c>
      <c r="B13284" t="s">
        <v>150</v>
      </c>
      <c r="C13284" t="s">
        <v>277</v>
      </c>
      <c r="D13284" t="s">
        <v>406</v>
      </c>
      <c r="F13284">
        <f>HYPERLINK("https://www.wikidata.org/wiki/Q28494845", "Q28494845")</f>
        <v>0</v>
      </c>
      <c r="G13284" t="s">
        <v>5042</v>
      </c>
      <c r="H13284" t="s">
        <v>9174</v>
      </c>
      <c r="I13284" t="s">
        <v>9552</v>
      </c>
      <c r="J13284" t="s">
        <v>15468</v>
      </c>
      <c r="K13284" t="s">
        <v>19768</v>
      </c>
      <c r="M13284">
        <f>HYPERLINK("https://www.senat.fr/senateur-3eme-republique/hirschauer_auguste0707r3.html", "hirschauer_auguste0707r3")</f>
        <v>0</v>
      </c>
      <c r="N13284">
        <f>HYPERLINK("https://www.wikidata.org/wiki/Q346087", "Q346087")</f>
        <v>0</v>
      </c>
      <c r="O13284" t="s">
        <v>20050</v>
      </c>
      <c r="Q13284" t="s">
        <v>21319</v>
      </c>
      <c r="R13284" t="s">
        <v>21650</v>
      </c>
      <c r="S13284">
        <v>4667</v>
      </c>
    </row>
    <row r="13285" spans="1:19">
      <c r="A13285" t="s">
        <v>145</v>
      </c>
      <c r="B13285" t="s">
        <v>150</v>
      </c>
      <c r="C13285" t="s">
        <v>277</v>
      </c>
      <c r="D13285" t="s">
        <v>406</v>
      </c>
      <c r="F13285">
        <f>HYPERLINK("https://www.wikidata.org/wiki/Q28494845", "Q28494845")</f>
        <v>0</v>
      </c>
      <c r="G13285" t="s">
        <v>5187</v>
      </c>
      <c r="H13285" t="s">
        <v>9304</v>
      </c>
      <c r="I13285" t="s">
        <v>9375</v>
      </c>
      <c r="J13285" t="s">
        <v>15587</v>
      </c>
      <c r="K13285" t="s">
        <v>19890</v>
      </c>
      <c r="M13285">
        <f>HYPERLINK("https://www.senat.fr/senateur-3eme-republique/corbedaine_edouard0710r3.html", "corbedaine_edouard0710r3")</f>
        <v>0</v>
      </c>
      <c r="N13285">
        <f>HYPERLINK("https://www.wikidata.org/wiki/Q3579786", "Q3579786")</f>
        <v>0</v>
      </c>
      <c r="O13285" t="s">
        <v>20050</v>
      </c>
      <c r="Q13285" t="s">
        <v>21319</v>
      </c>
      <c r="R13285" t="s">
        <v>21724</v>
      </c>
      <c r="S13285">
        <v>3277</v>
      </c>
    </row>
    <row r="13286" spans="1:19">
      <c r="A13286" t="s">
        <v>145</v>
      </c>
      <c r="B13286" t="s">
        <v>150</v>
      </c>
      <c r="C13286" t="s">
        <v>277</v>
      </c>
      <c r="D13286" t="s">
        <v>406</v>
      </c>
      <c r="F13286">
        <f>HYPERLINK("https://www.wikidata.org/wiki/Q28494845", "Q28494845")</f>
        <v>0</v>
      </c>
      <c r="G13286" t="s">
        <v>5082</v>
      </c>
      <c r="H13286" t="s">
        <v>9212</v>
      </c>
      <c r="I13286" t="s">
        <v>9470</v>
      </c>
      <c r="J13286" t="s">
        <v>12218</v>
      </c>
      <c r="K13286" t="s">
        <v>19800</v>
      </c>
      <c r="M13286">
        <f>HYPERLINK("https://www.senat.fr/senateur-3eme-republique/provost_dumarchais_gaston1269r3.html", "provost_dumarchais_gaston1269r3")</f>
        <v>0</v>
      </c>
      <c r="N13286">
        <f>HYPERLINK("https://www.wikidata.org/wiki/Q3099121", "Q3099121")</f>
        <v>0</v>
      </c>
      <c r="O13286" t="s">
        <v>20032</v>
      </c>
      <c r="Q13286" t="s">
        <v>21319</v>
      </c>
      <c r="R13286" t="s">
        <v>21650</v>
      </c>
      <c r="S13286">
        <v>4667</v>
      </c>
    </row>
    <row r="13287" spans="1:19">
      <c r="A13287" t="s">
        <v>145</v>
      </c>
      <c r="B13287" t="s">
        <v>150</v>
      </c>
      <c r="C13287" t="s">
        <v>277</v>
      </c>
      <c r="D13287" t="s">
        <v>406</v>
      </c>
      <c r="F13287">
        <f>HYPERLINK("https://www.wikidata.org/wiki/Q28494845", "Q28494845")</f>
        <v>0</v>
      </c>
      <c r="G13287" t="s">
        <v>5188</v>
      </c>
      <c r="H13287" t="s">
        <v>9305</v>
      </c>
      <c r="I13287" t="s">
        <v>9681</v>
      </c>
      <c r="J13287" t="s">
        <v>15588</v>
      </c>
      <c r="K13287" t="s">
        <v>19891</v>
      </c>
      <c r="M13287">
        <f>HYPERLINK("https://www.senat.fr/senateur-3eme-republique/naudin_achille1257r3.html", "naudin_achille1257r3")</f>
        <v>0</v>
      </c>
      <c r="N13287">
        <f>HYPERLINK("https://www.wikidata.org/wiki/Q2823084", "Q2823084")</f>
        <v>0</v>
      </c>
      <c r="O13287" t="s">
        <v>20032</v>
      </c>
      <c r="Q13287" t="s">
        <v>21319</v>
      </c>
      <c r="R13287" t="s">
        <v>21724</v>
      </c>
      <c r="S13287">
        <v>3277</v>
      </c>
    </row>
    <row r="13288" spans="1:19">
      <c r="A13288" t="s">
        <v>145</v>
      </c>
      <c r="B13288" t="s">
        <v>150</v>
      </c>
      <c r="C13288" t="s">
        <v>277</v>
      </c>
      <c r="D13288" t="s">
        <v>406</v>
      </c>
      <c r="F13288">
        <f>HYPERLINK("https://www.wikidata.org/wiki/Q28494845", "Q28494845")</f>
        <v>0</v>
      </c>
      <c r="G13288" t="s">
        <v>4894</v>
      </c>
      <c r="H13288" t="s">
        <v>9030</v>
      </c>
      <c r="I13288" t="s">
        <v>9552</v>
      </c>
      <c r="J13288" t="s">
        <v>15338</v>
      </c>
      <c r="K13288" t="s">
        <v>19642</v>
      </c>
      <c r="M13288">
        <f>HYPERLINK("https://www.senat.fr/senateur-3eme-republique/potie_auguste1410r3.html", "potie_auguste1410r3")</f>
        <v>0</v>
      </c>
      <c r="N13288">
        <f>HYPERLINK("https://www.wikidata.org/wiki/Q2871364", "Q2871364")</f>
        <v>0</v>
      </c>
      <c r="O13288" t="s">
        <v>20013</v>
      </c>
      <c r="Q13288" t="s">
        <v>21319</v>
      </c>
      <c r="R13288" t="s">
        <v>21650</v>
      </c>
      <c r="S13288">
        <v>4667</v>
      </c>
    </row>
    <row r="13289" spans="1:19">
      <c r="A13289" t="s">
        <v>145</v>
      </c>
      <c r="B13289" t="s">
        <v>150</v>
      </c>
      <c r="C13289" t="s">
        <v>277</v>
      </c>
      <c r="D13289" t="s">
        <v>406</v>
      </c>
      <c r="F13289">
        <f>HYPERLINK("https://www.wikidata.org/wiki/Q28494845", "Q28494845")</f>
        <v>0</v>
      </c>
      <c r="G13289" t="s">
        <v>5189</v>
      </c>
      <c r="H13289" t="s">
        <v>9306</v>
      </c>
      <c r="I13289" t="s">
        <v>6495</v>
      </c>
      <c r="J13289" t="s">
        <v>15589</v>
      </c>
      <c r="K13289" t="s">
        <v>19892</v>
      </c>
      <c r="M13289">
        <f>HYPERLINK("https://www.senat.fr/senateur-3eme-republique/demesmay_louis1424r3.html", "demesmay_louis1424r3")</f>
        <v>0</v>
      </c>
      <c r="N13289">
        <f>HYPERLINK("https://www.wikidata.org/wiki/Q3261695", "Q3261695")</f>
        <v>0</v>
      </c>
      <c r="O13289" t="s">
        <v>20013</v>
      </c>
      <c r="Q13289" t="s">
        <v>21319</v>
      </c>
      <c r="R13289" t="s">
        <v>19892</v>
      </c>
      <c r="S13289">
        <v>2551</v>
      </c>
    </row>
    <row r="13290" spans="1:19">
      <c r="A13290" t="s">
        <v>145</v>
      </c>
      <c r="B13290" t="s">
        <v>150</v>
      </c>
      <c r="C13290" t="s">
        <v>277</v>
      </c>
      <c r="D13290" t="s">
        <v>406</v>
      </c>
      <c r="F13290">
        <f>HYPERLINK("https://www.wikidata.org/wiki/Q28494845", "Q28494845")</f>
        <v>0</v>
      </c>
      <c r="G13290" t="s">
        <v>5104</v>
      </c>
      <c r="H13290" t="s">
        <v>9231</v>
      </c>
      <c r="I13290" t="s">
        <v>6584</v>
      </c>
      <c r="J13290" t="s">
        <v>15515</v>
      </c>
      <c r="K13290" t="s">
        <v>19817</v>
      </c>
      <c r="M13290">
        <f>HYPERLINK("https://www.senat.fr/senateur-3eme-republique/mahieu_albert1396r3.html", "mahieu_albert1396r3")</f>
        <v>0</v>
      </c>
      <c r="N13290">
        <f>HYPERLINK("https://www.wikidata.org/wiki/Q2831368", "Q2831368")</f>
        <v>0</v>
      </c>
      <c r="O13290" t="s">
        <v>20013</v>
      </c>
      <c r="Q13290" t="s">
        <v>21319</v>
      </c>
      <c r="R13290" t="s">
        <v>21724</v>
      </c>
      <c r="S13290">
        <v>3277</v>
      </c>
    </row>
    <row r="13291" spans="1:19">
      <c r="A13291" t="s">
        <v>145</v>
      </c>
      <c r="B13291" t="s">
        <v>150</v>
      </c>
      <c r="C13291" t="s">
        <v>277</v>
      </c>
      <c r="D13291" t="s">
        <v>406</v>
      </c>
      <c r="F13291">
        <f>HYPERLINK("https://www.wikidata.org/wiki/Q28494845", "Q28494845")</f>
        <v>0</v>
      </c>
      <c r="G13291" t="s">
        <v>4339</v>
      </c>
      <c r="H13291" t="s">
        <v>8490</v>
      </c>
      <c r="I13291" t="s">
        <v>10950</v>
      </c>
      <c r="J13291" t="s">
        <v>14832</v>
      </c>
      <c r="K13291" t="s">
        <v>19175</v>
      </c>
      <c r="M13291">
        <f>HYPERLINK("https://www.senat.fr/senateur-3eme-republique/de_la_grange_amaury1389r3.html", "de_la_grange_amaury1389r3")</f>
        <v>0</v>
      </c>
      <c r="N13291">
        <f>HYPERLINK("https://www.wikidata.org/wiki/Q2841414", "Q2841414")</f>
        <v>0</v>
      </c>
      <c r="O13291" t="s">
        <v>20013</v>
      </c>
      <c r="Q13291" t="s">
        <v>21319</v>
      </c>
      <c r="R13291" t="s">
        <v>21650</v>
      </c>
      <c r="S13291">
        <v>4667</v>
      </c>
    </row>
    <row r="13292" spans="1:19">
      <c r="A13292" t="s">
        <v>145</v>
      </c>
      <c r="B13292" t="s">
        <v>150</v>
      </c>
      <c r="C13292" t="s">
        <v>277</v>
      </c>
      <c r="D13292" t="s">
        <v>406</v>
      </c>
      <c r="F13292">
        <f>HYPERLINK("https://www.wikidata.org/wiki/Q28494845", "Q28494845")</f>
        <v>0</v>
      </c>
      <c r="G13292" t="s">
        <v>5168</v>
      </c>
      <c r="H13292" t="s">
        <v>8723</v>
      </c>
      <c r="I13292" t="s">
        <v>9375</v>
      </c>
      <c r="J13292" t="s">
        <v>15570</v>
      </c>
      <c r="K13292" t="s">
        <v>19874</v>
      </c>
      <c r="M13292">
        <f>HYPERLINK("https://www.senat.fr/senateur-3eme-republique/roussel_edouard1407r3.html", "roussel_edouard1407r3")</f>
        <v>0</v>
      </c>
      <c r="N13292">
        <f>HYPERLINK("https://www.wikidata.org/wiki/Q3580022", "Q3580022")</f>
        <v>0</v>
      </c>
      <c r="O13292" t="s">
        <v>20013</v>
      </c>
      <c r="Q13292" t="s">
        <v>21319</v>
      </c>
      <c r="R13292" t="s">
        <v>21650</v>
      </c>
      <c r="S13292">
        <v>4667</v>
      </c>
    </row>
    <row r="13293" spans="1:19">
      <c r="A13293" t="s">
        <v>145</v>
      </c>
      <c r="B13293" t="s">
        <v>150</v>
      </c>
      <c r="C13293" t="s">
        <v>277</v>
      </c>
      <c r="D13293" t="s">
        <v>406</v>
      </c>
      <c r="F13293">
        <f>HYPERLINK("https://www.wikidata.org/wiki/Q28494845", "Q28494845")</f>
        <v>0</v>
      </c>
      <c r="G13293" t="s">
        <v>5190</v>
      </c>
      <c r="H13293" t="s">
        <v>9307</v>
      </c>
      <c r="I13293" t="s">
        <v>9553</v>
      </c>
      <c r="J13293" t="s">
        <v>15590</v>
      </c>
      <c r="K13293" t="s">
        <v>19893</v>
      </c>
      <c r="M13293">
        <f>HYPERLINK("https://www.senat.fr/senateur-3eme-republique/gore_alexandre0881r3.html", "gore_alexandre0881r3")</f>
        <v>0</v>
      </c>
      <c r="N13293">
        <f>HYPERLINK("https://www.wikidata.org/wiki/Q2833711", "Q2833711")</f>
        <v>0</v>
      </c>
      <c r="O13293" t="s">
        <v>19989</v>
      </c>
      <c r="Q13293" t="s">
        <v>21319</v>
      </c>
      <c r="R13293" t="s">
        <v>21724</v>
      </c>
      <c r="S13293">
        <v>3277</v>
      </c>
    </row>
    <row r="13294" spans="1:19">
      <c r="A13294" t="s">
        <v>145</v>
      </c>
      <c r="B13294" t="s">
        <v>150</v>
      </c>
      <c r="C13294" t="s">
        <v>277</v>
      </c>
      <c r="D13294" t="s">
        <v>406</v>
      </c>
      <c r="F13294">
        <f>HYPERLINK("https://www.wikidata.org/wiki/Q28494845", "Q28494845")</f>
        <v>0</v>
      </c>
      <c r="G13294" t="s">
        <v>668</v>
      </c>
      <c r="H13294" t="s">
        <v>5427</v>
      </c>
      <c r="I13294" t="s">
        <v>6175</v>
      </c>
      <c r="J13294" t="s">
        <v>11418</v>
      </c>
      <c r="K13294" t="s">
        <v>15820</v>
      </c>
      <c r="L13294">
        <f>HYPERLINK("https://www2.assemblee-nationale.fr/sycomore/fiche/(num_dept)/3542", "3542")</f>
        <v>0</v>
      </c>
      <c r="M13294">
        <f>HYPERLINK("https://www.senat.fr/senateur-3eme-republique/de_grandmaison_georges1070r3.html", "de_grandmaison_georges1070r3")</f>
        <v>0</v>
      </c>
      <c r="N13294">
        <f>HYPERLINK("https://www.wikidata.org/wiki/Q3103201", "Q3103201")</f>
        <v>0</v>
      </c>
      <c r="O13294" t="s">
        <v>19980</v>
      </c>
      <c r="Q13294" t="s">
        <v>21320</v>
      </c>
      <c r="R13294" t="s">
        <v>21724</v>
      </c>
      <c r="S13294">
        <v>3202</v>
      </c>
    </row>
    <row r="13295" spans="1:19">
      <c r="A13295" t="s">
        <v>145</v>
      </c>
      <c r="B13295" t="s">
        <v>150</v>
      </c>
      <c r="C13295" t="s">
        <v>277</v>
      </c>
      <c r="D13295" t="s">
        <v>406</v>
      </c>
      <c r="F13295">
        <f>HYPERLINK("https://www.wikidata.org/wiki/Q28494845", "Q28494845")</f>
        <v>0</v>
      </c>
      <c r="G13295" t="s">
        <v>5191</v>
      </c>
      <c r="H13295" t="s">
        <v>8900</v>
      </c>
      <c r="I13295" t="s">
        <v>7419</v>
      </c>
      <c r="J13295" t="s">
        <v>15591</v>
      </c>
      <c r="K13295" t="s">
        <v>17354</v>
      </c>
      <c r="M13295">
        <f>HYPERLINK("https://www.senat.fr/senateur-3eme-republique/benoist_jacques0779r3.html", "benoist_jacques0779r3")</f>
        <v>0</v>
      </c>
      <c r="N13295">
        <f>HYPERLINK("https://www.wikidata.org/wiki/Q3158233", "Q3158233")</f>
        <v>0</v>
      </c>
      <c r="O13295" t="s">
        <v>19971</v>
      </c>
      <c r="Q13295" t="s">
        <v>20628</v>
      </c>
      <c r="R13295" t="s">
        <v>21712</v>
      </c>
      <c r="S13295">
        <v>2038</v>
      </c>
    </row>
    <row r="13296" spans="1:19">
      <c r="A13296" t="s">
        <v>145</v>
      </c>
      <c r="B13296" t="s">
        <v>150</v>
      </c>
      <c r="C13296" t="s">
        <v>277</v>
      </c>
      <c r="D13296" t="s">
        <v>406</v>
      </c>
      <c r="F13296">
        <f>HYPERLINK("https://www.wikidata.org/wiki/Q28494845", "Q28494845")</f>
        <v>0</v>
      </c>
      <c r="G13296" t="s">
        <v>5192</v>
      </c>
      <c r="H13296" t="s">
        <v>9308</v>
      </c>
      <c r="I13296" t="s">
        <v>9465</v>
      </c>
      <c r="J13296" t="s">
        <v>11648</v>
      </c>
      <c r="K13296" t="s">
        <v>19894</v>
      </c>
      <c r="M13296">
        <f>HYPERLINK("https://www.senat.fr/senateur-3eme-republique/turbat_eugene0502r3.html", "turbat_eugene0502r3")</f>
        <v>0</v>
      </c>
      <c r="N13296">
        <f>HYPERLINK("https://www.wikidata.org/wiki/Q3060198", "Q3060198")</f>
        <v>0</v>
      </c>
      <c r="O13296" t="s">
        <v>19958</v>
      </c>
      <c r="Q13296" t="s">
        <v>20629</v>
      </c>
      <c r="R13296" t="s">
        <v>21724</v>
      </c>
      <c r="S13296">
        <v>3118</v>
      </c>
    </row>
    <row r="13297" spans="1:19">
      <c r="A13297" t="s">
        <v>145</v>
      </c>
      <c r="B13297" t="s">
        <v>150</v>
      </c>
      <c r="C13297" t="s">
        <v>277</v>
      </c>
      <c r="D13297" t="s">
        <v>406</v>
      </c>
      <c r="F13297">
        <f>HYPERLINK("https://www.wikidata.org/wiki/Q28494845", "Q28494845")</f>
        <v>0</v>
      </c>
      <c r="G13297" t="s">
        <v>5193</v>
      </c>
      <c r="H13297" t="s">
        <v>9272</v>
      </c>
      <c r="I13297" t="s">
        <v>6495</v>
      </c>
      <c r="J13297" t="s">
        <v>15592</v>
      </c>
      <c r="K13297" t="s">
        <v>16578</v>
      </c>
      <c r="M13297">
        <f>HYPERLINK("https://www.senat.fr/senateur-3eme-republique/rambaud_louis1750r3.html", "rambaud_louis1750r3")</f>
        <v>0</v>
      </c>
      <c r="N13297">
        <f>HYPERLINK("https://www.wikidata.org/wiki/Q3262985", "Q3262985")</f>
        <v>0</v>
      </c>
      <c r="O13297" t="s">
        <v>19972</v>
      </c>
      <c r="Q13297" t="s">
        <v>21321</v>
      </c>
      <c r="R13297" t="s">
        <v>21719</v>
      </c>
      <c r="S13297">
        <v>904</v>
      </c>
    </row>
    <row r="13298" spans="1:19">
      <c r="A13298" t="s">
        <v>145</v>
      </c>
      <c r="B13298" t="s">
        <v>150</v>
      </c>
      <c r="C13298" t="s">
        <v>277</v>
      </c>
      <c r="D13298" t="s">
        <v>406</v>
      </c>
      <c r="F13298">
        <f>HYPERLINK("https://www.wikidata.org/wiki/Q28494845", "Q28494845")</f>
        <v>0</v>
      </c>
      <c r="G13298" t="s">
        <v>1958</v>
      </c>
      <c r="H13298" t="s">
        <v>6599</v>
      </c>
      <c r="I13298" t="s">
        <v>10017</v>
      </c>
      <c r="J13298" t="s">
        <v>12641</v>
      </c>
      <c r="K13298" t="s">
        <v>17051</v>
      </c>
      <c r="L13298">
        <f>HYPERLINK("https://www2.assemblee-nationale.fr/sycomore/fiche/(num_dept)/3401", "3401")</f>
        <v>0</v>
      </c>
      <c r="M13298">
        <f>HYPERLINK("https://www.senat.fr/senateur-3eme-republique/gianotti_antonin0126r3.html", "gianotti_antonin0126r3")</f>
        <v>0</v>
      </c>
      <c r="N13298">
        <f>HYPERLINK("https://www.wikidata.org/wiki/Q2857116", "Q2857116")</f>
        <v>0</v>
      </c>
      <c r="O13298" t="s">
        <v>20024</v>
      </c>
      <c r="Q13298" t="s">
        <v>21322</v>
      </c>
      <c r="R13298" t="s">
        <v>21712</v>
      </c>
      <c r="S13298">
        <v>1989</v>
      </c>
    </row>
    <row r="13299" spans="1:19">
      <c r="A13299" t="s">
        <v>145</v>
      </c>
      <c r="B13299" t="s">
        <v>150</v>
      </c>
      <c r="C13299" t="s">
        <v>277</v>
      </c>
      <c r="D13299" t="s">
        <v>406</v>
      </c>
      <c r="F13299">
        <f>HYPERLINK("https://www.wikidata.org/wiki/Q28494845", "Q28494845")</f>
        <v>0</v>
      </c>
      <c r="G13299" t="s">
        <v>1881</v>
      </c>
      <c r="H13299" t="s">
        <v>6534</v>
      </c>
      <c r="I13299" t="s">
        <v>9458</v>
      </c>
      <c r="J13299" t="s">
        <v>12568</v>
      </c>
      <c r="K13299" t="s">
        <v>16981</v>
      </c>
      <c r="L13299">
        <f>HYPERLINK("https://www2.assemblee-nationale.fr/sycomore/fiche/(num_dept)/6259", "6259")</f>
        <v>0</v>
      </c>
      <c r="M13299">
        <f>HYPERLINK("https://www.senat.fr/senateur-3eme-republique/salmon_alfred0977r3.html", "salmon_alfred0977r3")</f>
        <v>0</v>
      </c>
      <c r="N13299">
        <f>HYPERLINK("https://www.wikidata.org/wiki/Q2835437", "Q2835437")</f>
        <v>0</v>
      </c>
      <c r="O13299" t="s">
        <v>19968</v>
      </c>
      <c r="Q13299" t="s">
        <v>21323</v>
      </c>
      <c r="R13299" t="s">
        <v>21719</v>
      </c>
      <c r="S13299">
        <v>834</v>
      </c>
    </row>
    <row r="13300" spans="1:19">
      <c r="A13300" t="s">
        <v>145</v>
      </c>
      <c r="B13300" t="s">
        <v>150</v>
      </c>
      <c r="C13300" t="s">
        <v>277</v>
      </c>
      <c r="D13300" t="s">
        <v>406</v>
      </c>
      <c r="F13300">
        <f>HYPERLINK("https://www.wikidata.org/wiki/Q28494845", "Q28494845")</f>
        <v>0</v>
      </c>
      <c r="G13300" t="s">
        <v>1674</v>
      </c>
      <c r="H13300" t="s">
        <v>6354</v>
      </c>
      <c r="I13300" t="s">
        <v>9878</v>
      </c>
      <c r="J13300" t="s">
        <v>12380</v>
      </c>
      <c r="K13300" t="s">
        <v>16788</v>
      </c>
      <c r="L13300">
        <f>HYPERLINK("https://www2.assemblee-nationale.fr/sycomore/fiche/(num_dept)/6166", "6166")</f>
        <v>0</v>
      </c>
      <c r="M13300">
        <f>HYPERLINK("https://www.senat.fr/senateur-3eme-republique/roux_freissineng_pierre1827r3.html", "roux_freissineng_pierre1827r3")</f>
        <v>0</v>
      </c>
      <c r="N13300">
        <f>HYPERLINK("https://www.wikidata.org/wiki/Q3386881", "Q3386881")</f>
        <v>0</v>
      </c>
      <c r="Q13300" t="s">
        <v>15829</v>
      </c>
      <c r="R13300" t="s">
        <v>21719</v>
      </c>
      <c r="S13300">
        <v>743</v>
      </c>
    </row>
    <row r="13301" spans="1:19">
      <c r="A13301" t="s">
        <v>145</v>
      </c>
      <c r="B13301" t="s">
        <v>150</v>
      </c>
      <c r="C13301" t="s">
        <v>277</v>
      </c>
      <c r="D13301" t="s">
        <v>406</v>
      </c>
      <c r="F13301">
        <f>HYPERLINK("https://www.wikidata.org/wiki/Q28494845", "Q28494845")</f>
        <v>0</v>
      </c>
      <c r="G13301" t="s">
        <v>5194</v>
      </c>
      <c r="H13301" t="s">
        <v>9309</v>
      </c>
      <c r="I13301" t="s">
        <v>11240</v>
      </c>
      <c r="J13301" t="s">
        <v>15593</v>
      </c>
      <c r="K13301" t="s">
        <v>19895</v>
      </c>
      <c r="M13301">
        <f>HYPERLINK("https://www.senat.fr/senateur-3eme-republique/de_la_grandiere_palamede1164r3.html", "de_la_grandiere_palamede1164r3")</f>
        <v>0</v>
      </c>
      <c r="N13301">
        <f>HYPERLINK("https://www.wikidata.org/wiki/Q3361246", "Q3361246")</f>
        <v>0</v>
      </c>
      <c r="O13301" t="s">
        <v>19980</v>
      </c>
      <c r="Q13301" t="s">
        <v>21324</v>
      </c>
      <c r="R13301" t="s">
        <v>21724</v>
      </c>
      <c r="S13301">
        <v>2908</v>
      </c>
    </row>
    <row r="13302" spans="1:19">
      <c r="A13302" t="s">
        <v>145</v>
      </c>
      <c r="B13302" t="s">
        <v>150</v>
      </c>
      <c r="C13302" t="s">
        <v>277</v>
      </c>
      <c r="D13302" t="s">
        <v>406</v>
      </c>
      <c r="F13302">
        <f>HYPERLINK("https://www.wikidata.org/wiki/Q28494845", "Q28494845")</f>
        <v>0</v>
      </c>
      <c r="G13302" t="s">
        <v>5195</v>
      </c>
      <c r="H13302" t="s">
        <v>9310</v>
      </c>
      <c r="I13302" t="s">
        <v>9376</v>
      </c>
      <c r="J13302" t="s">
        <v>15594</v>
      </c>
      <c r="K13302" t="s">
        <v>19896</v>
      </c>
      <c r="M13302">
        <f>HYPERLINK("https://www.senat.fr/senateur-3eme-republique/le_pelletier_ferdinand0968r3.html", "le_pelletier_ferdinand0968r3")</f>
        <v>0</v>
      </c>
      <c r="N13302">
        <f>HYPERLINK("https://www.wikidata.org/wiki/Q3068604", "Q3068604")</f>
        <v>0</v>
      </c>
      <c r="O13302" t="s">
        <v>19984</v>
      </c>
      <c r="Q13302" t="s">
        <v>21325</v>
      </c>
      <c r="R13302" t="s">
        <v>19896</v>
      </c>
      <c r="S13302">
        <v>2065</v>
      </c>
    </row>
    <row r="13303" spans="1:19">
      <c r="A13303" t="s">
        <v>145</v>
      </c>
      <c r="B13303" t="s">
        <v>150</v>
      </c>
      <c r="C13303" t="s">
        <v>277</v>
      </c>
      <c r="D13303" t="s">
        <v>406</v>
      </c>
      <c r="F13303">
        <f>HYPERLINK("https://www.wikidata.org/wiki/Q28494845", "Q28494845")</f>
        <v>0</v>
      </c>
      <c r="G13303" t="s">
        <v>5196</v>
      </c>
      <c r="H13303" t="s">
        <v>9311</v>
      </c>
      <c r="I13303" t="s">
        <v>9388</v>
      </c>
      <c r="J13303" t="s">
        <v>15595</v>
      </c>
      <c r="K13303" t="s">
        <v>19897</v>
      </c>
      <c r="M13303">
        <f>HYPERLINK("https://www.senat.fr/senateur-3eme-republique/germain_paul0307r3.html", "germain_paul0307r3")</f>
        <v>0</v>
      </c>
      <c r="N13303">
        <f>HYPERLINK("https://www.wikidata.org/wiki/Q3371308", "Q3371308")</f>
        <v>0</v>
      </c>
      <c r="O13303" t="s">
        <v>20008</v>
      </c>
      <c r="Q13303" t="s">
        <v>15994</v>
      </c>
      <c r="R13303" t="s">
        <v>21724</v>
      </c>
      <c r="S13303">
        <v>2873</v>
      </c>
    </row>
    <row r="13304" spans="1:19">
      <c r="A13304" t="s">
        <v>145</v>
      </c>
      <c r="B13304" t="s">
        <v>150</v>
      </c>
      <c r="C13304" t="s">
        <v>277</v>
      </c>
      <c r="D13304" t="s">
        <v>406</v>
      </c>
      <c r="F13304">
        <f>HYPERLINK("https://www.wikidata.org/wiki/Q28494845", "Q28494845")</f>
        <v>0</v>
      </c>
      <c r="G13304" t="s">
        <v>1620</v>
      </c>
      <c r="H13304" t="s">
        <v>6305</v>
      </c>
      <c r="I13304" t="s">
        <v>9862</v>
      </c>
      <c r="J13304" t="s">
        <v>12327</v>
      </c>
      <c r="K13304" t="s">
        <v>16737</v>
      </c>
      <c r="L13304">
        <f>HYPERLINK("https://www2.assemblee-nationale.fr/sycomore/fiche/(num_dept)/6770", "6770")</f>
        <v>0</v>
      </c>
      <c r="M13304">
        <f>HYPERLINK("https://www.senat.fr/senateur-3eme-republique/rillard_de_verneuil_henri0040r3.html", "rillard_de_verneuil_henri0040r3")</f>
        <v>0</v>
      </c>
      <c r="N13304">
        <f>HYPERLINK("https://www.wikidata.org/wiki/Q3131913", "Q3131913")</f>
        <v>0</v>
      </c>
      <c r="O13304" t="s">
        <v>20015</v>
      </c>
      <c r="Q13304" t="s">
        <v>20637</v>
      </c>
      <c r="R13304" t="s">
        <v>21712</v>
      </c>
      <c r="S13304">
        <v>1709</v>
      </c>
    </row>
    <row r="13305" spans="1:19">
      <c r="A13305" t="s">
        <v>145</v>
      </c>
      <c r="B13305" t="s">
        <v>150</v>
      </c>
      <c r="C13305" t="s">
        <v>277</v>
      </c>
      <c r="D13305" t="s">
        <v>406</v>
      </c>
      <c r="F13305">
        <f>HYPERLINK("https://www.wikidata.org/wiki/Q28494845", "Q28494845")</f>
        <v>0</v>
      </c>
      <c r="G13305" t="s">
        <v>1929</v>
      </c>
      <c r="H13305" t="s">
        <v>6575</v>
      </c>
      <c r="I13305" t="s">
        <v>10002</v>
      </c>
      <c r="J13305" t="s">
        <v>12614</v>
      </c>
      <c r="K13305" t="s">
        <v>17025</v>
      </c>
      <c r="L13305">
        <f>HYPERLINK("https://www2.assemblee-nationale.fr/sycomore/fiche/(num_dept)/388", "388")</f>
        <v>0</v>
      </c>
      <c r="M13305">
        <f>HYPERLINK("https://www.senat.fr/senateur-3eme-republique/barbier_andre1813r3.html", "barbier_andre1813r3")</f>
        <v>0</v>
      </c>
      <c r="N13305">
        <f>HYPERLINK("https://www.wikidata.org/wiki/Q2847198", "Q2847198")</f>
        <v>0</v>
      </c>
      <c r="O13305" t="s">
        <v>20017</v>
      </c>
      <c r="Q13305" t="s">
        <v>21326</v>
      </c>
      <c r="R13305" t="s">
        <v>21719</v>
      </c>
      <c r="S13305">
        <v>610</v>
      </c>
    </row>
    <row r="13306" spans="1:19">
      <c r="A13306" t="s">
        <v>145</v>
      </c>
      <c r="B13306" t="s">
        <v>150</v>
      </c>
      <c r="C13306" t="s">
        <v>277</v>
      </c>
      <c r="D13306" t="s">
        <v>406</v>
      </c>
      <c r="F13306">
        <f>HYPERLINK("https://www.wikidata.org/wiki/Q28494845", "Q28494845")</f>
        <v>0</v>
      </c>
      <c r="G13306" t="s">
        <v>5197</v>
      </c>
      <c r="H13306" t="s">
        <v>9312</v>
      </c>
      <c r="I13306" t="s">
        <v>9470</v>
      </c>
      <c r="J13306" t="s">
        <v>15596</v>
      </c>
      <c r="K13306" t="s">
        <v>19898</v>
      </c>
      <c r="M13306">
        <f>HYPERLINK("https://www.senat.fr/senateur-3eme-republique/bouniols_gaston1719r3.html", "bouniols_gaston1719r3")</f>
        <v>0</v>
      </c>
      <c r="N13306">
        <f>HYPERLINK("https://www.wikidata.org/wiki/Q20027675", "Q20027675")</f>
        <v>0</v>
      </c>
      <c r="O13306" t="s">
        <v>20045</v>
      </c>
      <c r="Q13306" t="s">
        <v>20640</v>
      </c>
      <c r="R13306" t="s">
        <v>19898</v>
      </c>
      <c r="S13306">
        <v>18</v>
      </c>
    </row>
    <row r="13307" spans="1:19">
      <c r="A13307" t="s">
        <v>145</v>
      </c>
      <c r="B13307" t="s">
        <v>150</v>
      </c>
      <c r="C13307" t="s">
        <v>277</v>
      </c>
      <c r="D13307" t="s">
        <v>406</v>
      </c>
      <c r="F13307">
        <f>HYPERLINK("https://www.wikidata.org/wiki/Q28494845", "Q28494845")</f>
        <v>0</v>
      </c>
      <c r="G13307" t="s">
        <v>1410</v>
      </c>
      <c r="H13307" t="s">
        <v>5337</v>
      </c>
      <c r="I13307" t="s">
        <v>9506</v>
      </c>
      <c r="J13307" t="s">
        <v>12135</v>
      </c>
      <c r="K13307" t="s">
        <v>16537</v>
      </c>
      <c r="L13307">
        <f>HYPERLINK("https://www2.assemblee-nationale.fr/sycomore/fiche/(num_dept)/1726", "1726")</f>
        <v>0</v>
      </c>
      <c r="M13307">
        <f>HYPERLINK("https://www.senat.fr/senateur-3eme-republique/chautemps_camille0380r3.html", "chautemps_camille0380r3")</f>
        <v>0</v>
      </c>
      <c r="N13307">
        <f>HYPERLINK("https://www.wikidata.org/wiki/Q263884", "Q263884")</f>
        <v>0</v>
      </c>
      <c r="O13307" t="s">
        <v>20039</v>
      </c>
      <c r="Q13307" t="s">
        <v>18891</v>
      </c>
      <c r="R13307" t="s">
        <v>21724</v>
      </c>
      <c r="S13307">
        <v>2656</v>
      </c>
    </row>
    <row r="13308" spans="1:19">
      <c r="A13308" t="s">
        <v>145</v>
      </c>
      <c r="B13308" t="s">
        <v>150</v>
      </c>
      <c r="C13308" t="s">
        <v>277</v>
      </c>
      <c r="D13308" t="s">
        <v>406</v>
      </c>
      <c r="F13308">
        <f>HYPERLINK("https://www.wikidata.org/wiki/Q28494845", "Q28494845")</f>
        <v>0</v>
      </c>
      <c r="G13308" t="s">
        <v>1235</v>
      </c>
      <c r="H13308" t="s">
        <v>5960</v>
      </c>
      <c r="I13308" t="s">
        <v>9720</v>
      </c>
      <c r="J13308" t="s">
        <v>11966</v>
      </c>
      <c r="K13308" t="s">
        <v>16369</v>
      </c>
      <c r="L13308">
        <f>HYPERLINK("https://www2.assemblee-nationale.fr/sycomore/fiche/(num_dept)/1465", "1465")</f>
        <v>0</v>
      </c>
      <c r="M13308">
        <f>HYPERLINK("https://www.senat.fr/senateur-3eme-republique/carre_bonvalet_rene0423r3.html", "carre_bonvalet_rene0423r3")</f>
        <v>0</v>
      </c>
      <c r="N13308">
        <f>HYPERLINK("https://www.wikidata.org/wiki/Q3425970", "Q3425970")</f>
        <v>0</v>
      </c>
      <c r="O13308" t="s">
        <v>20037</v>
      </c>
      <c r="Q13308" t="s">
        <v>21327</v>
      </c>
      <c r="R13308" t="s">
        <v>21712</v>
      </c>
      <c r="S13308">
        <v>1499</v>
      </c>
    </row>
    <row r="13309" spans="1:19">
      <c r="A13309" t="s">
        <v>145</v>
      </c>
      <c r="B13309" t="s">
        <v>150</v>
      </c>
      <c r="C13309" t="s">
        <v>277</v>
      </c>
      <c r="D13309" t="s">
        <v>406</v>
      </c>
      <c r="F13309">
        <f>HYPERLINK("https://www.wikidata.org/wiki/Q28494845", "Q28494845")</f>
        <v>0</v>
      </c>
      <c r="G13309" t="s">
        <v>1754</v>
      </c>
      <c r="H13309" t="s">
        <v>6424</v>
      </c>
      <c r="I13309" t="s">
        <v>9552</v>
      </c>
      <c r="J13309" t="s">
        <v>12454</v>
      </c>
      <c r="K13309" t="s">
        <v>16860</v>
      </c>
      <c r="L13309">
        <f>HYPERLINK("https://www2.assemblee-nationale.fr/sycomore/fiche/(num_dept)/1631", "1631")</f>
        <v>0</v>
      </c>
      <c r="M13309">
        <f>HYPERLINK("https://www.senat.fr/senateur-3eme-republique/champetier_de_ribes_auguste0517r4.html", "champetier_de_ribes_auguste0517r4")</f>
        <v>0</v>
      </c>
      <c r="N13309">
        <f>HYPERLINK("https://www.wikidata.org/wiki/Q478746", "Q478746")</f>
        <v>0</v>
      </c>
      <c r="O13309" t="s">
        <v>19970</v>
      </c>
      <c r="Q13309" t="s">
        <v>21328</v>
      </c>
      <c r="R13309" t="s">
        <v>21719</v>
      </c>
      <c r="S13309">
        <v>400</v>
      </c>
    </row>
    <row r="13310" spans="1:19">
      <c r="A13310" t="s">
        <v>145</v>
      </c>
      <c r="B13310" t="s">
        <v>150</v>
      </c>
      <c r="C13310" t="s">
        <v>277</v>
      </c>
      <c r="D13310" t="s">
        <v>406</v>
      </c>
      <c r="F13310">
        <f>HYPERLINK("https://www.wikidata.org/wiki/Q28494845", "Q28494845")</f>
        <v>0</v>
      </c>
      <c r="G13310" t="s">
        <v>1978</v>
      </c>
      <c r="H13310" t="s">
        <v>6616</v>
      </c>
      <c r="I13310" t="s">
        <v>6200</v>
      </c>
      <c r="J13310" t="s">
        <v>12659</v>
      </c>
      <c r="K13310" t="s">
        <v>17069</v>
      </c>
      <c r="L13310">
        <f>HYPERLINK("https://www2.assemblee-nationale.fr/sycomore/fiche/(num_dept)/7868", "7868")</f>
        <v>0</v>
      </c>
      <c r="M13310">
        <f>HYPERLINK("https://www.senat.fr/senateur-3eme-republique/lissar_jean1061r3.html", "lissar_jean1061r3")</f>
        <v>0</v>
      </c>
      <c r="N13310">
        <f>HYPERLINK("https://www.wikidata.org/wiki/Q3173228", "Q3173228")</f>
        <v>0</v>
      </c>
      <c r="O13310" t="s">
        <v>19970</v>
      </c>
      <c r="Q13310" t="s">
        <v>21328</v>
      </c>
      <c r="R13310" t="s">
        <v>21719</v>
      </c>
      <c r="S13310">
        <v>400</v>
      </c>
    </row>
    <row r="13311" spans="1:19">
      <c r="A13311" t="s">
        <v>145</v>
      </c>
      <c r="B13311" t="s">
        <v>150</v>
      </c>
      <c r="C13311" t="s">
        <v>277</v>
      </c>
      <c r="D13311" t="s">
        <v>406</v>
      </c>
      <c r="F13311">
        <f>HYPERLINK("https://www.wikidata.org/wiki/Q28494845", "Q28494845")</f>
        <v>0</v>
      </c>
      <c r="G13311" t="s">
        <v>1430</v>
      </c>
      <c r="H13311" t="s">
        <v>6135</v>
      </c>
      <c r="I13311" t="s">
        <v>9385</v>
      </c>
      <c r="J13311" t="s">
        <v>12153</v>
      </c>
      <c r="K13311" t="s">
        <v>16556</v>
      </c>
      <c r="L13311">
        <f>HYPERLINK("https://www2.assemblee-nationale.fr/sycomore/fiche/(num_dept)/2295", "2295")</f>
        <v>0</v>
      </c>
      <c r="M13311">
        <f>HYPERLINK("https://www.senat.fr/senateur-3eme-republique/delesalle_charles0979r3.html", "delesalle_charles0979r3")</f>
        <v>0</v>
      </c>
      <c r="N13311">
        <f>HYPERLINK("https://www.wikidata.org/wiki/Q2958867", "Q2958867")</f>
        <v>0</v>
      </c>
      <c r="O13311" t="s">
        <v>19968</v>
      </c>
      <c r="Q13311" t="s">
        <v>21329</v>
      </c>
      <c r="R13311" t="s">
        <v>21719</v>
      </c>
      <c r="S13311">
        <v>386</v>
      </c>
    </row>
    <row r="13312" spans="1:19">
      <c r="A13312" t="s">
        <v>145</v>
      </c>
      <c r="B13312" t="s">
        <v>150</v>
      </c>
      <c r="C13312" t="s">
        <v>277</v>
      </c>
      <c r="D13312" t="s">
        <v>406</v>
      </c>
      <c r="F13312">
        <f>HYPERLINK("https://www.wikidata.org/wiki/Q28494845", "Q28494845")</f>
        <v>0</v>
      </c>
      <c r="G13312" t="s">
        <v>5198</v>
      </c>
      <c r="H13312" t="s">
        <v>9313</v>
      </c>
      <c r="I13312" t="s">
        <v>7642</v>
      </c>
      <c r="J13312" t="s">
        <v>15597</v>
      </c>
      <c r="K13312" t="s">
        <v>19899</v>
      </c>
      <c r="M13312">
        <f>HYPERLINK("https://www.senat.fr/senateur-3eme-republique/baufle_maurice0680r3.html", "baufle_maurice0680r3")</f>
        <v>0</v>
      </c>
      <c r="N13312">
        <f>HYPERLINK("https://www.wikidata.org/wiki/Q3300373", "Q3300373")</f>
        <v>0</v>
      </c>
      <c r="O13312" t="s">
        <v>19973</v>
      </c>
      <c r="Q13312" t="s">
        <v>21329</v>
      </c>
      <c r="R13312" t="s">
        <v>21712</v>
      </c>
      <c r="S13312">
        <v>1478</v>
      </c>
    </row>
    <row r="13313" spans="1:19">
      <c r="A13313" t="s">
        <v>145</v>
      </c>
      <c r="B13313" t="s">
        <v>150</v>
      </c>
      <c r="C13313" t="s">
        <v>277</v>
      </c>
      <c r="D13313" t="s">
        <v>406</v>
      </c>
      <c r="F13313">
        <f>HYPERLINK("https://www.wikidata.org/wiki/Q28494845", "Q28494845")</f>
        <v>0</v>
      </c>
      <c r="G13313" t="s">
        <v>5199</v>
      </c>
      <c r="H13313" t="s">
        <v>9314</v>
      </c>
      <c r="I13313" t="s">
        <v>6860</v>
      </c>
      <c r="J13313" t="s">
        <v>12047</v>
      </c>
      <c r="K13313" t="s">
        <v>19900</v>
      </c>
      <c r="M13313">
        <f>HYPERLINK("https://www.senat.fr/senateur-3eme-republique/chaumie_pierre0741r3.html", "chaumie_pierre0741r3")</f>
        <v>0</v>
      </c>
      <c r="N13313">
        <f>HYPERLINK("https://www.wikidata.org/wiki/Q3384407", "Q3384407")</f>
        <v>0</v>
      </c>
      <c r="O13313" t="s">
        <v>20043</v>
      </c>
      <c r="Q13313" t="s">
        <v>21330</v>
      </c>
      <c r="R13313" t="s">
        <v>21724</v>
      </c>
      <c r="S13313">
        <v>2551</v>
      </c>
    </row>
    <row r="13314" spans="1:19">
      <c r="A13314" t="s">
        <v>145</v>
      </c>
      <c r="B13314" t="s">
        <v>150</v>
      </c>
      <c r="C13314" t="s">
        <v>277</v>
      </c>
      <c r="D13314" t="s">
        <v>406</v>
      </c>
      <c r="F13314">
        <f>HYPERLINK("https://www.wikidata.org/wiki/Q28494845", "Q28494845")</f>
        <v>0</v>
      </c>
      <c r="G13314" t="s">
        <v>625</v>
      </c>
      <c r="H13314" t="s">
        <v>5385</v>
      </c>
      <c r="I13314" t="s">
        <v>9460</v>
      </c>
      <c r="J13314" t="s">
        <v>11375</v>
      </c>
      <c r="K13314" t="s">
        <v>15777</v>
      </c>
      <c r="L13314">
        <f>HYPERLINK("https://www2.assemblee-nationale.fr/sycomore/fiche/(num_dept)/2699", "2699")</f>
        <v>0</v>
      </c>
      <c r="M13314">
        <f>HYPERLINK("https://www.senat.fr/senateur-3eme-republique/dumesnil_jacques1613r3.html", "dumesnil_jacques1613r3")</f>
        <v>0</v>
      </c>
      <c r="N13314">
        <f>HYPERLINK("https://www.wikidata.org/wiki/Q3157989", "Q3157989")</f>
        <v>0</v>
      </c>
      <c r="O13314" t="s">
        <v>20026</v>
      </c>
      <c r="Q13314" t="s">
        <v>21331</v>
      </c>
      <c r="R13314" t="s">
        <v>21719</v>
      </c>
      <c r="S13314">
        <v>365</v>
      </c>
    </row>
    <row r="13315" spans="1:19">
      <c r="A13315" t="s">
        <v>145</v>
      </c>
      <c r="B13315" t="s">
        <v>150</v>
      </c>
      <c r="C13315" t="s">
        <v>277</v>
      </c>
      <c r="D13315" t="s">
        <v>406</v>
      </c>
      <c r="F13315">
        <f>HYPERLINK("https://www.wikidata.org/wiki/Q28494845", "Q28494845")</f>
        <v>0</v>
      </c>
      <c r="G13315" t="s">
        <v>5200</v>
      </c>
      <c r="H13315" t="s">
        <v>9315</v>
      </c>
      <c r="I13315" t="s">
        <v>9453</v>
      </c>
      <c r="J13315" t="s">
        <v>11640</v>
      </c>
      <c r="K13315" t="s">
        <v>19901</v>
      </c>
      <c r="M13315">
        <f>HYPERLINK("https://www.senat.fr/senateur-3eme-republique/mirouel_arthur1021r3.html", "mirouel_arthur1021r3")</f>
        <v>0</v>
      </c>
      <c r="N13315">
        <f>HYPERLINK("https://www.wikidata.org/wiki/Q2865252", "Q2865252")</f>
        <v>0</v>
      </c>
      <c r="O13315" t="s">
        <v>20030</v>
      </c>
      <c r="Q13315" t="s">
        <v>21331</v>
      </c>
      <c r="R13315" t="s">
        <v>21724</v>
      </c>
      <c r="S13315">
        <v>2544</v>
      </c>
    </row>
    <row r="13316" spans="1:19">
      <c r="A13316" t="s">
        <v>145</v>
      </c>
      <c r="B13316" t="s">
        <v>150</v>
      </c>
      <c r="C13316" t="s">
        <v>277</v>
      </c>
      <c r="D13316" t="s">
        <v>406</v>
      </c>
      <c r="F13316">
        <f>HYPERLINK("https://www.wikidata.org/wiki/Q28494845", "Q28494845")</f>
        <v>0</v>
      </c>
      <c r="G13316" t="s">
        <v>5201</v>
      </c>
      <c r="H13316" t="s">
        <v>9316</v>
      </c>
      <c r="I13316" t="s">
        <v>11241</v>
      </c>
      <c r="J13316" t="s">
        <v>15598</v>
      </c>
      <c r="K13316" t="s">
        <v>17015</v>
      </c>
      <c r="M13316">
        <f>HYPERLINK("https://www.senat.fr/senateur-3eme-republique/presseq_leopold1720r3.html", "presseq_leopold1720r3")</f>
        <v>0</v>
      </c>
      <c r="N13316">
        <f>HYPERLINK("https://www.wikidata.org/wiki/Q3271864", "Q3271864")</f>
        <v>0</v>
      </c>
      <c r="O13316" t="s">
        <v>20045</v>
      </c>
      <c r="Q13316" t="s">
        <v>20643</v>
      </c>
      <c r="R13316" t="s">
        <v>21719</v>
      </c>
      <c r="S13316">
        <v>323</v>
      </c>
    </row>
    <row r="13317" spans="1:19">
      <c r="A13317" t="s">
        <v>145</v>
      </c>
      <c r="B13317" t="s">
        <v>150</v>
      </c>
      <c r="C13317" t="s">
        <v>277</v>
      </c>
      <c r="D13317" t="s">
        <v>406</v>
      </c>
      <c r="F13317">
        <f>HYPERLINK("https://www.wikidata.org/wiki/Q28494845", "Q28494845")</f>
        <v>0</v>
      </c>
      <c r="G13317" t="s">
        <v>689</v>
      </c>
      <c r="H13317" t="s">
        <v>5447</v>
      </c>
      <c r="I13317" t="s">
        <v>9388</v>
      </c>
      <c r="J13317" t="s">
        <v>11439</v>
      </c>
      <c r="K13317" t="s">
        <v>15840</v>
      </c>
      <c r="L13317">
        <f>HYPERLINK("https://www2.assemblee-nationale.fr/sycomore/fiche/(num_dept)/3970", "3970")</f>
        <v>0</v>
      </c>
      <c r="M13317">
        <f>HYPERLINK("https://www.senat.fr/senateur-3eme-republique/jacquier_paul1310r3.html", "jacquier_paul1310r3")</f>
        <v>0</v>
      </c>
      <c r="N13317">
        <f>HYPERLINK("https://www.wikidata.org/wiki/Q3371508", "Q3371508")</f>
        <v>0</v>
      </c>
      <c r="O13317" t="s">
        <v>20018</v>
      </c>
      <c r="Q13317" t="s">
        <v>19767</v>
      </c>
      <c r="R13317" t="s">
        <v>21719</v>
      </c>
      <c r="S13317">
        <v>281</v>
      </c>
    </row>
    <row r="13318" spans="1:19">
      <c r="A13318" t="s">
        <v>145</v>
      </c>
      <c r="B13318" t="s">
        <v>150</v>
      </c>
      <c r="C13318" t="s">
        <v>277</v>
      </c>
      <c r="D13318" t="s">
        <v>406</v>
      </c>
      <c r="F13318">
        <f>HYPERLINK("https://www.wikidata.org/wiki/Q28494845", "Q28494845")</f>
        <v>0</v>
      </c>
      <c r="G13318" t="s">
        <v>5202</v>
      </c>
      <c r="H13318" t="s">
        <v>9317</v>
      </c>
      <c r="I13318" t="s">
        <v>9388</v>
      </c>
      <c r="J13318" t="s">
        <v>15599</v>
      </c>
      <c r="K13318" t="s">
        <v>19902</v>
      </c>
      <c r="M13318">
        <f>HYPERLINK("https://www.senat.fr/senateur-3eme-republique/ostermann_paul1118r3.html", "ostermann_paul1118r3")</f>
        <v>0</v>
      </c>
      <c r="N13318">
        <f>HYPERLINK("https://www.wikidata.org/wiki/Q3371940", "Q3371940")</f>
        <v>0</v>
      </c>
      <c r="O13318" t="s">
        <v>20049</v>
      </c>
      <c r="Q13318" t="s">
        <v>19767</v>
      </c>
      <c r="R13318" t="s">
        <v>21719</v>
      </c>
      <c r="S13318">
        <v>281</v>
      </c>
    </row>
    <row r="13319" spans="1:19">
      <c r="A13319" t="s">
        <v>145</v>
      </c>
      <c r="B13319" t="s">
        <v>150</v>
      </c>
      <c r="C13319" t="s">
        <v>277</v>
      </c>
      <c r="D13319" t="s">
        <v>406</v>
      </c>
      <c r="F13319">
        <f>HYPERLINK("https://www.wikidata.org/wiki/Q28494845", "Q28494845")</f>
        <v>0</v>
      </c>
      <c r="G13319" t="s">
        <v>5203</v>
      </c>
      <c r="H13319" t="s">
        <v>9318</v>
      </c>
      <c r="I13319" t="s">
        <v>6495</v>
      </c>
      <c r="J13319" t="s">
        <v>15600</v>
      </c>
      <c r="K13319" t="s">
        <v>19903</v>
      </c>
      <c r="M13319">
        <f>HYPERLINK("https://www.senat.fr/senateur-3eme-republique/courot_louis1015r3.html", "courot_louis1015r3")</f>
        <v>0</v>
      </c>
      <c r="N13319">
        <f>HYPERLINK("https://www.wikidata.org/wiki/Q3261613", "Q3261613")</f>
        <v>0</v>
      </c>
      <c r="O13319" t="s">
        <v>20030</v>
      </c>
      <c r="Q13319" t="s">
        <v>19767</v>
      </c>
      <c r="R13319" t="s">
        <v>21724</v>
      </c>
      <c r="S13319">
        <v>2460</v>
      </c>
    </row>
    <row r="13320" spans="1:19">
      <c r="A13320" t="s">
        <v>145</v>
      </c>
      <c r="B13320" t="s">
        <v>150</v>
      </c>
      <c r="C13320" t="s">
        <v>277</v>
      </c>
      <c r="D13320" t="s">
        <v>406</v>
      </c>
      <c r="F13320">
        <f>HYPERLINK("https://www.wikidata.org/wiki/Q28494845", "Q28494845")</f>
        <v>0</v>
      </c>
      <c r="G13320" t="s">
        <v>5204</v>
      </c>
      <c r="H13320" t="s">
        <v>9319</v>
      </c>
      <c r="I13320" t="s">
        <v>9457</v>
      </c>
      <c r="J13320" t="s">
        <v>15601</v>
      </c>
      <c r="K13320" t="s">
        <v>19904</v>
      </c>
      <c r="M13320">
        <f>HYPERLINK("https://www.senat.fr/senateur-3eme-republique/turlier_henri1232r3.html", "turlier_henri1232r3")</f>
        <v>0</v>
      </c>
      <c r="N13320">
        <f>HYPERLINK("https://www.wikidata.org/wiki/Q3133117", "Q3133117")</f>
        <v>0</v>
      </c>
      <c r="O13320" t="s">
        <v>19994</v>
      </c>
      <c r="Q13320" t="s">
        <v>21332</v>
      </c>
      <c r="R13320" t="s">
        <v>21719</v>
      </c>
      <c r="S13320">
        <v>274</v>
      </c>
    </row>
    <row r="13321" spans="1:19">
      <c r="A13321" t="s">
        <v>145</v>
      </c>
      <c r="B13321" t="s">
        <v>150</v>
      </c>
      <c r="C13321" t="s">
        <v>277</v>
      </c>
      <c r="D13321" t="s">
        <v>406</v>
      </c>
      <c r="F13321">
        <f>HYPERLINK("https://www.wikidata.org/wiki/Q28494845", "Q28494845")</f>
        <v>0</v>
      </c>
      <c r="G13321" t="s">
        <v>1091</v>
      </c>
      <c r="H13321" t="s">
        <v>5833</v>
      </c>
      <c r="I13321" t="s">
        <v>9445</v>
      </c>
      <c r="J13321" t="s">
        <v>11827</v>
      </c>
      <c r="K13321" t="s">
        <v>16227</v>
      </c>
      <c r="L13321">
        <f>HYPERLINK("https://www2.assemblee-nationale.fr/sycomore/fiche/(num_dept)/729", "729")</f>
        <v>0</v>
      </c>
      <c r="M13321">
        <f>HYPERLINK("https://www.senat.fr/senateur-3eme-republique/berthod_aime0449r3.html", "berthod_aime0449r3")</f>
        <v>0</v>
      </c>
      <c r="N13321">
        <f>HYPERLINK("https://www.wikidata.org/wiki/Q2825126", "Q2825126")</f>
        <v>0</v>
      </c>
      <c r="O13321" t="s">
        <v>20041</v>
      </c>
      <c r="Q13321" t="s">
        <v>21333</v>
      </c>
      <c r="R13321" t="s">
        <v>21724</v>
      </c>
      <c r="S13321">
        <v>2439</v>
      </c>
    </row>
    <row r="13322" spans="1:19">
      <c r="A13322" t="s">
        <v>145</v>
      </c>
      <c r="B13322" t="s">
        <v>150</v>
      </c>
      <c r="C13322" t="s">
        <v>277</v>
      </c>
      <c r="D13322" t="s">
        <v>406</v>
      </c>
      <c r="F13322">
        <f>HYPERLINK("https://www.wikidata.org/wiki/Q28494845", "Q28494845")</f>
        <v>0</v>
      </c>
      <c r="G13322" t="s">
        <v>1170</v>
      </c>
      <c r="H13322" t="s">
        <v>5901</v>
      </c>
      <c r="I13322" t="s">
        <v>5592</v>
      </c>
      <c r="J13322" t="s">
        <v>11903</v>
      </c>
      <c r="K13322" t="s">
        <v>16305</v>
      </c>
      <c r="L13322">
        <f>HYPERLINK("https://www2.assemblee-nationale.fr/sycomore/fiche/(num_dept)/2874", "2874")</f>
        <v>0</v>
      </c>
      <c r="M13322">
        <f>HYPERLINK("https://www.senat.fr/senateur-3eme-republique/eynac_laurent0520r3.html", "eynac_laurent0520r3")</f>
        <v>0</v>
      </c>
      <c r="N13322">
        <f>HYPERLINK("https://www.wikidata.org/wiki/Q3219208", "Q3219208")</f>
        <v>0</v>
      </c>
      <c r="O13322" t="s">
        <v>19993</v>
      </c>
      <c r="Q13322" t="s">
        <v>21334</v>
      </c>
      <c r="R13322" t="s">
        <v>17346</v>
      </c>
      <c r="S13322">
        <v>3395</v>
      </c>
    </row>
    <row r="13323" spans="1:19">
      <c r="A13323" t="s">
        <v>146</v>
      </c>
      <c r="B13323" t="s">
        <v>150</v>
      </c>
      <c r="C13323" t="s">
        <v>278</v>
      </c>
      <c r="D13323" t="s">
        <v>407</v>
      </c>
      <c r="F13323">
        <f>HYPERLINK("https://www.wikidata.org/wiki/Q28494839", "Q28494839")</f>
        <v>0</v>
      </c>
      <c r="G13323" t="s">
        <v>5148</v>
      </c>
      <c r="H13323" t="s">
        <v>9268</v>
      </c>
      <c r="I13323" t="s">
        <v>6478</v>
      </c>
      <c r="J13323" t="s">
        <v>15554</v>
      </c>
      <c r="K13323" t="s">
        <v>16536</v>
      </c>
      <c r="M13323">
        <f>HYPERLINK("https://www.senat.fr/senateur-3eme-republique/bourdeaux_henry1685r3.html", "bourdeaux_henry1685r3")</f>
        <v>0</v>
      </c>
      <c r="N13323">
        <f>HYPERLINK("https://www.wikidata.org/wiki/Q3132649", "Q3132649")</f>
        <v>0</v>
      </c>
      <c r="O13323" t="s">
        <v>20012</v>
      </c>
      <c r="Q13323" t="s">
        <v>407</v>
      </c>
      <c r="R13323" t="s">
        <v>21719</v>
      </c>
      <c r="S13323">
        <v>85</v>
      </c>
    </row>
    <row r="13324" spans="1:19">
      <c r="A13324" t="s">
        <v>146</v>
      </c>
      <c r="B13324" t="s">
        <v>150</v>
      </c>
      <c r="C13324" t="s">
        <v>278</v>
      </c>
      <c r="D13324" t="s">
        <v>407</v>
      </c>
      <c r="F13324">
        <f>HYPERLINK("https://www.wikidata.org/wiki/Q28494839", "Q28494839")</f>
        <v>0</v>
      </c>
      <c r="G13324" t="s">
        <v>5146</v>
      </c>
      <c r="H13324" t="s">
        <v>9266</v>
      </c>
      <c r="I13324" t="s">
        <v>9465</v>
      </c>
      <c r="J13324" t="s">
        <v>15553</v>
      </c>
      <c r="K13324" t="s">
        <v>19854</v>
      </c>
      <c r="M13324">
        <f>HYPERLINK("https://www.senat.fr/senateur-3eme-republique/le_moignic_eugene1836r3.html", "le_moignic_eugene1836r3")</f>
        <v>0</v>
      </c>
      <c r="N13324">
        <f>HYPERLINK("https://www.wikidata.org/wiki/Q3059976", "Q3059976")</f>
        <v>0</v>
      </c>
      <c r="Q13324" t="s">
        <v>407</v>
      </c>
      <c r="R13324" t="s">
        <v>21719</v>
      </c>
      <c r="S13324">
        <v>85</v>
      </c>
    </row>
    <row r="13325" spans="1:19">
      <c r="A13325" t="s">
        <v>146</v>
      </c>
      <c r="B13325" t="s">
        <v>150</v>
      </c>
      <c r="C13325" t="s">
        <v>278</v>
      </c>
      <c r="D13325" t="s">
        <v>407</v>
      </c>
      <c r="F13325">
        <f>HYPERLINK("https://www.wikidata.org/wiki/Q28494839", "Q28494839")</f>
        <v>0</v>
      </c>
      <c r="G13325" t="s">
        <v>1860</v>
      </c>
      <c r="H13325" t="s">
        <v>6516</v>
      </c>
      <c r="I13325" t="s">
        <v>9407</v>
      </c>
      <c r="J13325" t="s">
        <v>12550</v>
      </c>
      <c r="K13325" t="s">
        <v>16961</v>
      </c>
      <c r="L13325">
        <f>HYPERLINK("https://www2.assemblee-nationale.fr/sycomore/fiche/(num_dept)/5646", "5646")</f>
        <v>0</v>
      </c>
      <c r="M13325">
        <f>HYPERLINK("https://www.senat.fr/senateur-3eme-republique/paganon_joseph1203r3.html", "paganon_joseph1203r3")</f>
        <v>0</v>
      </c>
      <c r="N13325">
        <f>HYPERLINK("https://www.wikidata.org/wiki/Q3185441", "Q3185441")</f>
        <v>0</v>
      </c>
      <c r="O13325" t="s">
        <v>20006</v>
      </c>
      <c r="Q13325" t="s">
        <v>21335</v>
      </c>
      <c r="R13325" t="s">
        <v>16961</v>
      </c>
      <c r="S13325">
        <v>716</v>
      </c>
    </row>
    <row r="13326" spans="1:19">
      <c r="A13326" t="s">
        <v>146</v>
      </c>
      <c r="B13326" t="s">
        <v>150</v>
      </c>
      <c r="C13326" t="s">
        <v>278</v>
      </c>
      <c r="D13326" t="s">
        <v>407</v>
      </c>
      <c r="F13326">
        <f>HYPERLINK("https://www.wikidata.org/wiki/Q28494839", "Q28494839")</f>
        <v>0</v>
      </c>
      <c r="G13326" t="s">
        <v>1869</v>
      </c>
      <c r="H13326" t="s">
        <v>6525</v>
      </c>
      <c r="I13326" t="s">
        <v>6175</v>
      </c>
      <c r="J13326" t="s">
        <v>12557</v>
      </c>
      <c r="K13326" t="s">
        <v>16970</v>
      </c>
      <c r="L13326">
        <f>HYPERLINK("https://www2.assemblee-nationale.fr/sycomore/fiche/(num_dept)/5799", "5799")</f>
        <v>0</v>
      </c>
      <c r="M13326">
        <f>HYPERLINK("https://www.senat.fr/senateur-3eme-republique/pernot_georges0335r4.html", "pernot_georges0335r4")</f>
        <v>0</v>
      </c>
      <c r="N13326">
        <f>HYPERLINK("https://www.wikidata.org/wiki/Q2670356", "Q2670356")</f>
        <v>0</v>
      </c>
      <c r="O13326" t="s">
        <v>19973</v>
      </c>
      <c r="Q13326" t="s">
        <v>21335</v>
      </c>
      <c r="R13326" t="s">
        <v>21712</v>
      </c>
      <c r="S13326">
        <v>1149</v>
      </c>
    </row>
    <row r="13327" spans="1:19">
      <c r="A13327" t="s">
        <v>146</v>
      </c>
      <c r="B13327" t="s">
        <v>150</v>
      </c>
      <c r="C13327" t="s">
        <v>278</v>
      </c>
      <c r="D13327" t="s">
        <v>407</v>
      </c>
      <c r="F13327">
        <f>HYPERLINK("https://www.wikidata.org/wiki/Q28494839", "Q28494839")</f>
        <v>0</v>
      </c>
      <c r="G13327" t="s">
        <v>2395</v>
      </c>
      <c r="H13327" t="s">
        <v>6973</v>
      </c>
      <c r="I13327" t="s">
        <v>10197</v>
      </c>
      <c r="J13327" t="s">
        <v>12858</v>
      </c>
      <c r="K13327" t="s">
        <v>17455</v>
      </c>
      <c r="L13327">
        <f>HYPERLINK("https://www2.assemblee-nationale.fr/sycomore/fiche/(num_dept)/7101", "7101")</f>
        <v>0</v>
      </c>
      <c r="M13327">
        <f>HYPERLINK("https://www.senat.fr/senateur-3eme-republique/revillon_michel0022r3.html", "revillon_michel0022r3")</f>
        <v>0</v>
      </c>
      <c r="N13327">
        <f>HYPERLINK("https://www.wikidata.org/wiki/Q3292824", "Q3292824")</f>
        <v>0</v>
      </c>
      <c r="O13327" t="s">
        <v>19986</v>
      </c>
      <c r="Q13327" t="s">
        <v>21335</v>
      </c>
      <c r="R13327" t="s">
        <v>21712</v>
      </c>
      <c r="S13327">
        <v>1149</v>
      </c>
    </row>
    <row r="13328" spans="1:19">
      <c r="A13328" t="s">
        <v>146</v>
      </c>
      <c r="B13328" t="s">
        <v>150</v>
      </c>
      <c r="C13328" t="s">
        <v>278</v>
      </c>
      <c r="D13328" t="s">
        <v>407</v>
      </c>
      <c r="F13328">
        <f>HYPERLINK("https://www.wikidata.org/wiki/Q28494839", "Q28494839")</f>
        <v>0</v>
      </c>
      <c r="G13328" t="s">
        <v>1304</v>
      </c>
      <c r="H13328" t="s">
        <v>6025</v>
      </c>
      <c r="I13328" t="s">
        <v>9457</v>
      </c>
      <c r="J13328" t="s">
        <v>12034</v>
      </c>
      <c r="K13328" t="s">
        <v>16435</v>
      </c>
      <c r="L13328">
        <f>HYPERLINK("https://www2.assemblee-nationale.fr/sycomore/fiche/(num_dept)/6554", "6554")</f>
        <v>0</v>
      </c>
      <c r="M13328">
        <f>HYPERLINK("https://www.senat.fr/senateur-3eme-republique/queuille_henri0469r3.html", "queuille_henri0469r3")</f>
        <v>0</v>
      </c>
      <c r="N13328">
        <f>HYPERLINK("https://www.wikidata.org/wiki/Q455655", "Q455655")</f>
        <v>0</v>
      </c>
      <c r="O13328" t="s">
        <v>20020</v>
      </c>
      <c r="Q13328" t="s">
        <v>21336</v>
      </c>
      <c r="R13328" t="s">
        <v>21712</v>
      </c>
      <c r="S13328">
        <v>1128</v>
      </c>
    </row>
    <row r="13329" spans="1:19">
      <c r="A13329" t="s">
        <v>146</v>
      </c>
      <c r="B13329" t="s">
        <v>150</v>
      </c>
      <c r="C13329" t="s">
        <v>278</v>
      </c>
      <c r="D13329" t="s">
        <v>407</v>
      </c>
      <c r="F13329">
        <f>HYPERLINK("https://www.wikidata.org/wiki/Q28494839", "Q28494839")</f>
        <v>0</v>
      </c>
      <c r="G13329" t="s">
        <v>1585</v>
      </c>
      <c r="H13329" t="s">
        <v>6275</v>
      </c>
      <c r="I13329" t="s">
        <v>9423</v>
      </c>
      <c r="J13329" t="s">
        <v>12296</v>
      </c>
      <c r="K13329" t="s">
        <v>16704</v>
      </c>
      <c r="L13329">
        <f>HYPERLINK("https://www2.assemblee-nationale.fr/sycomore/fiche/(num_dept)/6104", "6104")</f>
        <v>0</v>
      </c>
      <c r="M13329">
        <f>HYPERLINK("https://www.senat.fr/senateur-3eme-republique/des_rotours_guillaume1419r3.html", "des_rotours_guillaume1419r3")</f>
        <v>0</v>
      </c>
      <c r="N13329">
        <f>HYPERLINK("https://www.wikidata.org/wiki/Q3120480", "Q3120480")</f>
        <v>0</v>
      </c>
      <c r="O13329" t="s">
        <v>20013</v>
      </c>
      <c r="Q13329" t="s">
        <v>21337</v>
      </c>
      <c r="R13329" t="s">
        <v>21724</v>
      </c>
      <c r="S13329">
        <v>2201</v>
      </c>
    </row>
    <row r="13330" spans="1:19">
      <c r="A13330" t="s">
        <v>146</v>
      </c>
      <c r="B13330" t="s">
        <v>150</v>
      </c>
      <c r="C13330" t="s">
        <v>278</v>
      </c>
      <c r="D13330" t="s">
        <v>407</v>
      </c>
      <c r="F13330">
        <f>HYPERLINK("https://www.wikidata.org/wiki/Q28494839", "Q28494839")</f>
        <v>0</v>
      </c>
      <c r="G13330" t="s">
        <v>1940</v>
      </c>
      <c r="H13330" t="s">
        <v>6585</v>
      </c>
      <c r="I13330" t="s">
        <v>10007</v>
      </c>
      <c r="J13330" t="s">
        <v>12624</v>
      </c>
      <c r="K13330" t="s">
        <v>17035</v>
      </c>
      <c r="L13330">
        <f>HYPERLINK("https://www2.assemblee-nationale.fr/sycomore/fiche/(num_dept)/128", "128")</f>
        <v>0</v>
      </c>
      <c r="M13330">
        <f>HYPERLINK("https://www.senat.fr/senateur-3eme-republique/andre_adrien1762r3.html", "andre_adrien1762r3")</f>
        <v>0</v>
      </c>
      <c r="N13330">
        <f>HYPERLINK("https://www.wikidata.org/wiki/Q2825114", "Q2825114")</f>
        <v>0</v>
      </c>
      <c r="O13330" t="s">
        <v>19982</v>
      </c>
      <c r="Q13330" t="s">
        <v>21338</v>
      </c>
      <c r="R13330" t="s">
        <v>17346</v>
      </c>
      <c r="S13330">
        <v>3274</v>
      </c>
    </row>
    <row r="13331" spans="1:19">
      <c r="A13331" t="s">
        <v>146</v>
      </c>
      <c r="B13331" t="s">
        <v>150</v>
      </c>
      <c r="C13331" t="s">
        <v>278</v>
      </c>
      <c r="D13331" t="s">
        <v>407</v>
      </c>
      <c r="F13331">
        <f>HYPERLINK("https://www.wikidata.org/wiki/Q28494839", "Q28494839")</f>
        <v>0</v>
      </c>
      <c r="G13331" t="s">
        <v>1705</v>
      </c>
      <c r="H13331" t="s">
        <v>6380</v>
      </c>
      <c r="I13331" t="s">
        <v>9900</v>
      </c>
      <c r="J13331" t="s">
        <v>12408</v>
      </c>
      <c r="K13331" t="s">
        <v>16508</v>
      </c>
      <c r="L13331">
        <f>HYPERLINK("https://www2.assemblee-nationale.fr/sycomore/fiche/(num_dept)/278", "278")</f>
        <v>0</v>
      </c>
      <c r="M13331">
        <f>HYPERLINK("https://www.senat.fr/senateur-3eme-republique/auray_charles1351r3.html", "auray_charles1351r3")</f>
        <v>0</v>
      </c>
      <c r="N13331">
        <f>HYPERLINK("https://www.wikidata.org/wiki/Q2958450", "Q2958450")</f>
        <v>0</v>
      </c>
      <c r="O13331" t="s">
        <v>19969</v>
      </c>
      <c r="Q13331" t="s">
        <v>21338</v>
      </c>
      <c r="R13331" t="s">
        <v>21650</v>
      </c>
      <c r="S13331">
        <v>3568</v>
      </c>
    </row>
    <row r="13332" spans="1:19">
      <c r="A13332" t="s">
        <v>146</v>
      </c>
      <c r="B13332" t="s">
        <v>150</v>
      </c>
      <c r="C13332" t="s">
        <v>278</v>
      </c>
      <c r="D13332" t="s">
        <v>407</v>
      </c>
      <c r="F13332">
        <f>HYPERLINK("https://www.wikidata.org/wiki/Q28494839", "Q28494839")</f>
        <v>0</v>
      </c>
      <c r="G13332" t="s">
        <v>1929</v>
      </c>
      <c r="H13332" t="s">
        <v>6575</v>
      </c>
      <c r="I13332" t="s">
        <v>10002</v>
      </c>
      <c r="J13332" t="s">
        <v>12614</v>
      </c>
      <c r="K13332" t="s">
        <v>17025</v>
      </c>
      <c r="L13332">
        <f>HYPERLINK("https://www2.assemblee-nationale.fr/sycomore/fiche/(num_dept)/388", "388")</f>
        <v>0</v>
      </c>
      <c r="M13332">
        <f>HYPERLINK("https://www.senat.fr/senateur-3eme-republique/barbier_andre1813r3.html", "barbier_andre1813r3")</f>
        <v>0</v>
      </c>
      <c r="N13332">
        <f>HYPERLINK("https://www.wikidata.org/wiki/Q2847198", "Q2847198")</f>
        <v>0</v>
      </c>
      <c r="O13332" t="s">
        <v>20017</v>
      </c>
      <c r="Q13332" t="s">
        <v>21338</v>
      </c>
      <c r="R13332" t="s">
        <v>21650</v>
      </c>
      <c r="S13332">
        <v>3568</v>
      </c>
    </row>
    <row r="13333" spans="1:19">
      <c r="A13333" t="s">
        <v>146</v>
      </c>
      <c r="B13333" t="s">
        <v>150</v>
      </c>
      <c r="C13333" t="s">
        <v>278</v>
      </c>
      <c r="D13333" t="s">
        <v>407</v>
      </c>
      <c r="F13333">
        <f>HYPERLINK("https://www.wikidata.org/wiki/Q28494839", "Q28494839")</f>
        <v>0</v>
      </c>
      <c r="G13333" t="s">
        <v>521</v>
      </c>
      <c r="H13333" t="s">
        <v>5285</v>
      </c>
      <c r="I13333" t="s">
        <v>9389</v>
      </c>
      <c r="J13333" t="s">
        <v>11273</v>
      </c>
      <c r="K13333" t="s">
        <v>15673</v>
      </c>
      <c r="L13333">
        <f>HYPERLINK("https://www2.assemblee-nationale.fr/sycomore/fiche/(num_dept)/613", "613")</f>
        <v>0</v>
      </c>
      <c r="M13333">
        <f>HYPERLINK("https://www.senat.fr/senateur-3eme-republique/bender_emile1125r3.html", "bender_emile1125r3")</f>
        <v>0</v>
      </c>
      <c r="N13333">
        <f>HYPERLINK("https://www.wikidata.org/wiki/Q3588335", "Q3588335")</f>
        <v>0</v>
      </c>
      <c r="O13333" t="s">
        <v>19965</v>
      </c>
      <c r="Q13333" t="s">
        <v>21338</v>
      </c>
      <c r="R13333" t="s">
        <v>17346</v>
      </c>
      <c r="S13333">
        <v>3274</v>
      </c>
    </row>
    <row r="13334" spans="1:19">
      <c r="A13334" t="s">
        <v>146</v>
      </c>
      <c r="B13334" t="s">
        <v>150</v>
      </c>
      <c r="C13334" t="s">
        <v>278</v>
      </c>
      <c r="D13334" t="s">
        <v>407</v>
      </c>
      <c r="F13334">
        <f>HYPERLINK("https://www.wikidata.org/wiki/Q28494839", "Q28494839")</f>
        <v>0</v>
      </c>
      <c r="G13334" t="s">
        <v>522</v>
      </c>
      <c r="H13334" t="s">
        <v>5286</v>
      </c>
      <c r="I13334" t="s">
        <v>9390</v>
      </c>
      <c r="J13334" t="s">
        <v>11274</v>
      </c>
      <c r="K13334" t="s">
        <v>15674</v>
      </c>
      <c r="L13334">
        <f>HYPERLINK("https://www2.assemblee-nationale.fr/sycomore/fiche/(num_dept)/650", "650")</f>
        <v>0</v>
      </c>
      <c r="M13334">
        <f>HYPERLINK("https://www.senat.fr/senateur-3eme-republique/berard_leon1053r3.html", "berard_leon1053r3")</f>
        <v>0</v>
      </c>
      <c r="N13334">
        <f>HYPERLINK("https://www.wikidata.org/wiki/Q716823", "Q716823")</f>
        <v>0</v>
      </c>
      <c r="O13334" t="s">
        <v>19970</v>
      </c>
      <c r="Q13334" t="s">
        <v>21338</v>
      </c>
      <c r="R13334" t="s">
        <v>21650</v>
      </c>
      <c r="S13334">
        <v>3568</v>
      </c>
    </row>
    <row r="13335" spans="1:19">
      <c r="A13335" t="s">
        <v>146</v>
      </c>
      <c r="B13335" t="s">
        <v>150</v>
      </c>
      <c r="C13335" t="s">
        <v>278</v>
      </c>
      <c r="D13335" t="s">
        <v>407</v>
      </c>
      <c r="F13335">
        <f>HYPERLINK("https://www.wikidata.org/wiki/Q28494839", "Q28494839")</f>
        <v>0</v>
      </c>
      <c r="G13335" t="s">
        <v>526</v>
      </c>
      <c r="H13335" t="s">
        <v>5290</v>
      </c>
      <c r="I13335" t="s">
        <v>5528</v>
      </c>
      <c r="J13335" t="s">
        <v>11278</v>
      </c>
      <c r="K13335" t="s">
        <v>15678</v>
      </c>
      <c r="L13335">
        <f>HYPERLINK("https://www2.assemblee-nationale.fr/sycomore/fiche/(num_dept)/768", "768")</f>
        <v>0</v>
      </c>
      <c r="M13335">
        <f>HYPERLINK("https://www.senat.fr/senateur-3eme-republique/betoulle_leon1788r3.html", "betoulle_leon1788r3")</f>
        <v>0</v>
      </c>
      <c r="N13335">
        <f>HYPERLINK("https://www.wikidata.org/wiki/Q3270743", "Q3270743")</f>
        <v>0</v>
      </c>
      <c r="O13335" t="s">
        <v>19977</v>
      </c>
      <c r="Q13335" t="s">
        <v>21338</v>
      </c>
      <c r="R13335" t="s">
        <v>21650</v>
      </c>
      <c r="S13335">
        <v>3568</v>
      </c>
    </row>
    <row r="13336" spans="1:19">
      <c r="A13336" t="s">
        <v>146</v>
      </c>
      <c r="B13336" t="s">
        <v>150</v>
      </c>
      <c r="C13336" t="s">
        <v>278</v>
      </c>
      <c r="D13336" t="s">
        <v>407</v>
      </c>
      <c r="F13336">
        <f>HYPERLINK("https://www.wikidata.org/wiki/Q28494839", "Q28494839")</f>
        <v>0</v>
      </c>
      <c r="G13336" t="s">
        <v>3872</v>
      </c>
      <c r="H13336" t="s">
        <v>8140</v>
      </c>
      <c r="I13336" t="s">
        <v>6200</v>
      </c>
      <c r="J13336" t="s">
        <v>14431</v>
      </c>
      <c r="K13336" t="s">
        <v>18783</v>
      </c>
      <c r="L13336">
        <f>HYPERLINK("https://www2.assemblee-nationale.fr/sycomore/fiche/(num_dept)/790", "790")</f>
        <v>0</v>
      </c>
      <c r="M13336">
        <f>HYPERLINK("https://www.senat.fr/senateur-3eme-republique/bienvenu_martin_jean_baptiste1840r3.html", "bienvenu_martin_jean_baptiste1840r3")</f>
        <v>0</v>
      </c>
      <c r="N13336">
        <f>HYPERLINK("https://www.wikidata.org/wiki/Q325552", "Q325552")</f>
        <v>0</v>
      </c>
      <c r="O13336" t="s">
        <v>20034</v>
      </c>
      <c r="Q13336" t="s">
        <v>21338</v>
      </c>
      <c r="R13336" t="s">
        <v>21650</v>
      </c>
      <c r="S13336">
        <v>3568</v>
      </c>
    </row>
    <row r="13337" spans="1:19">
      <c r="A13337" t="s">
        <v>146</v>
      </c>
      <c r="B13337" t="s">
        <v>150</v>
      </c>
      <c r="C13337" t="s">
        <v>278</v>
      </c>
      <c r="D13337" t="s">
        <v>407</v>
      </c>
      <c r="F13337">
        <f>HYPERLINK("https://www.wikidata.org/wiki/Q28494839", "Q28494839")</f>
        <v>0</v>
      </c>
      <c r="G13337" t="s">
        <v>878</v>
      </c>
      <c r="H13337" t="s">
        <v>5634</v>
      </c>
      <c r="I13337" t="s">
        <v>9483</v>
      </c>
      <c r="J13337" t="s">
        <v>11624</v>
      </c>
      <c r="K13337" t="s">
        <v>16025</v>
      </c>
      <c r="L13337">
        <f>HYPERLINK("https://www2.assemblee-nationale.fr/sycomore/fiche/(num_dept)/976", "976")</f>
        <v>0</v>
      </c>
      <c r="M13337">
        <f>HYPERLINK("https://www.senat.fr/senateur-3eme-republique/boret_victor1774r3.html", "boret_victor1774r3")</f>
        <v>0</v>
      </c>
      <c r="N13337">
        <f>HYPERLINK("https://www.wikidata.org/wiki/Q3557173", "Q3557173")</f>
        <v>0</v>
      </c>
      <c r="O13337" t="s">
        <v>19982</v>
      </c>
      <c r="Q13337" t="s">
        <v>21338</v>
      </c>
      <c r="R13337" t="s">
        <v>21650</v>
      </c>
      <c r="S13337">
        <v>3568</v>
      </c>
    </row>
    <row r="13338" spans="1:19">
      <c r="A13338" t="s">
        <v>146</v>
      </c>
      <c r="B13338" t="s">
        <v>150</v>
      </c>
      <c r="C13338" t="s">
        <v>278</v>
      </c>
      <c r="D13338" t="s">
        <v>407</v>
      </c>
      <c r="F13338">
        <f>HYPERLINK("https://www.wikidata.org/wiki/Q28494839", "Q28494839")</f>
        <v>0</v>
      </c>
      <c r="G13338" t="s">
        <v>540</v>
      </c>
      <c r="H13338" t="s">
        <v>5304</v>
      </c>
      <c r="I13338" t="s">
        <v>9401</v>
      </c>
      <c r="J13338" t="s">
        <v>11292</v>
      </c>
      <c r="K13338" t="s">
        <v>15692</v>
      </c>
      <c r="L13338">
        <f>HYPERLINK("https://www2.assemblee-nationale.fr/sycomore/fiche/(num_dept)/985", "985")</f>
        <v>0</v>
      </c>
      <c r="M13338">
        <f>HYPERLINK("https://www.senat.fr/senateur-3eme-republique/borrel_antoine1303r3.html", "borrel_antoine1303r3")</f>
        <v>0</v>
      </c>
      <c r="N13338">
        <f>HYPERLINK("https://www.wikidata.org/wiki/Q2853712", "Q2853712")</f>
        <v>0</v>
      </c>
      <c r="O13338" t="s">
        <v>19988</v>
      </c>
      <c r="Q13338" t="s">
        <v>21338</v>
      </c>
      <c r="R13338" t="s">
        <v>17346</v>
      </c>
      <c r="S13338">
        <v>3274</v>
      </c>
    </row>
    <row r="13339" spans="1:19">
      <c r="A13339" t="s">
        <v>146</v>
      </c>
      <c r="B13339" t="s">
        <v>150</v>
      </c>
      <c r="C13339" t="s">
        <v>278</v>
      </c>
      <c r="D13339" t="s">
        <v>407</v>
      </c>
      <c r="F13339">
        <f>HYPERLINK("https://www.wikidata.org/wiki/Q28494839", "Q28494839")</f>
        <v>0</v>
      </c>
      <c r="G13339" t="s">
        <v>1729</v>
      </c>
      <c r="H13339" t="s">
        <v>6403</v>
      </c>
      <c r="I13339" t="s">
        <v>6175</v>
      </c>
      <c r="J13339" t="s">
        <v>12430</v>
      </c>
      <c r="K13339" t="s">
        <v>16838</v>
      </c>
      <c r="L13339">
        <f>HYPERLINK("https://www2.assemblee-nationale.fr/sycomore/fiche/(num_dept)/1063", "1063")</f>
        <v>0</v>
      </c>
      <c r="M13339">
        <f>HYPERLINK("https://www.senat.fr/senateur-3eme-republique/boully_georges1852r3.html", "boully_georges1852r3")</f>
        <v>0</v>
      </c>
      <c r="N13339">
        <f>HYPERLINK("https://www.wikidata.org/wiki/Q3102343", "Q3102343")</f>
        <v>0</v>
      </c>
      <c r="O13339" t="s">
        <v>20034</v>
      </c>
      <c r="Q13339" t="s">
        <v>21338</v>
      </c>
      <c r="R13339" t="s">
        <v>17346</v>
      </c>
      <c r="S13339">
        <v>3274</v>
      </c>
    </row>
    <row r="13340" spans="1:19">
      <c r="A13340" t="s">
        <v>146</v>
      </c>
      <c r="B13340" t="s">
        <v>150</v>
      </c>
      <c r="C13340" t="s">
        <v>278</v>
      </c>
      <c r="D13340" t="s">
        <v>407</v>
      </c>
      <c r="F13340">
        <f>HYPERLINK("https://www.wikidata.org/wiki/Q28494839", "Q28494839")</f>
        <v>0</v>
      </c>
      <c r="G13340" t="s">
        <v>2014</v>
      </c>
      <c r="H13340" t="s">
        <v>6648</v>
      </c>
      <c r="I13340" t="s">
        <v>6158</v>
      </c>
      <c r="J13340" t="s">
        <v>12692</v>
      </c>
      <c r="K13340" t="s">
        <v>17102</v>
      </c>
      <c r="L13340">
        <f>HYPERLINK("https://www2.assemblee-nationale.fr/sycomore/fiche/(num_dept)/1171", "1171")</f>
        <v>0</v>
      </c>
      <c r="M13340">
        <f>HYPERLINK("https://www.senat.fr/senateur-3eme-republique/braise_felix1323r3.html", "braise_felix1323r3")</f>
        <v>0</v>
      </c>
      <c r="N13340">
        <f>HYPERLINK("https://www.wikidata.org/wiki/Q3092389", "Q3092389")</f>
        <v>0</v>
      </c>
      <c r="O13340" t="s">
        <v>20018</v>
      </c>
      <c r="Q13340" t="s">
        <v>21338</v>
      </c>
      <c r="R13340" t="s">
        <v>17102</v>
      </c>
      <c r="S13340">
        <v>2249</v>
      </c>
    </row>
    <row r="13341" spans="1:19">
      <c r="A13341" t="s">
        <v>146</v>
      </c>
      <c r="B13341" t="s">
        <v>150</v>
      </c>
      <c r="C13341" t="s">
        <v>278</v>
      </c>
      <c r="D13341" t="s">
        <v>407</v>
      </c>
      <c r="F13341">
        <f>HYPERLINK("https://www.wikidata.org/wiki/Q28494839", "Q28494839")</f>
        <v>0</v>
      </c>
      <c r="G13341" t="s">
        <v>1391</v>
      </c>
      <c r="H13341" t="s">
        <v>6102</v>
      </c>
      <c r="I13341" t="s">
        <v>9787</v>
      </c>
      <c r="J13341" t="s">
        <v>12117</v>
      </c>
      <c r="K13341" t="s">
        <v>16518</v>
      </c>
      <c r="L13341">
        <f>HYPERLINK("https://www2.assemblee-nationale.fr/sycomore/fiche/(num_dept)/1252", "1252")</f>
        <v>0</v>
      </c>
      <c r="M13341">
        <f>HYPERLINK("https://www.senat.fr/senateur-3eme-republique/brogly_medard1116r3.html", "brogly_medard1116r3")</f>
        <v>0</v>
      </c>
      <c r="N13341">
        <f>HYPERLINK("https://www.wikidata.org/wiki/Q118855", "Q118855")</f>
        <v>0</v>
      </c>
      <c r="O13341" t="s">
        <v>20049</v>
      </c>
      <c r="Q13341" t="s">
        <v>21338</v>
      </c>
      <c r="R13341" t="s">
        <v>17346</v>
      </c>
      <c r="S13341">
        <v>3274</v>
      </c>
    </row>
    <row r="13342" spans="1:19">
      <c r="A13342" t="s">
        <v>146</v>
      </c>
      <c r="B13342" t="s">
        <v>150</v>
      </c>
      <c r="C13342" t="s">
        <v>278</v>
      </c>
      <c r="D13342" t="s">
        <v>407</v>
      </c>
      <c r="F13342">
        <f>HYPERLINK("https://www.wikidata.org/wiki/Q28494839", "Q28494839")</f>
        <v>0</v>
      </c>
      <c r="G13342" t="s">
        <v>1740</v>
      </c>
      <c r="H13342" t="s">
        <v>6412</v>
      </c>
      <c r="I13342" t="s">
        <v>9407</v>
      </c>
      <c r="J13342" t="s">
        <v>12441</v>
      </c>
      <c r="K13342" t="s">
        <v>16848</v>
      </c>
      <c r="L13342">
        <f>HYPERLINK("https://www2.assemblee-nationale.fr/sycomore/fiche/(num_dept)/1254", "1254")</f>
        <v>0</v>
      </c>
      <c r="M13342">
        <f>HYPERLINK("https://www.senat.fr/senateur-3eme-republique/brom_joseph1111r3.html", "brom_joseph1111r3")</f>
        <v>0</v>
      </c>
      <c r="N13342">
        <f>HYPERLINK("https://www.wikidata.org/wiki/Q104941", "Q104941")</f>
        <v>0</v>
      </c>
      <c r="O13342" t="s">
        <v>20049</v>
      </c>
      <c r="Q13342" t="s">
        <v>21338</v>
      </c>
      <c r="R13342" t="s">
        <v>17346</v>
      </c>
      <c r="S13342">
        <v>3274</v>
      </c>
    </row>
    <row r="13343" spans="1:19">
      <c r="A13343" t="s">
        <v>146</v>
      </c>
      <c r="B13343" t="s">
        <v>150</v>
      </c>
      <c r="C13343" t="s">
        <v>278</v>
      </c>
      <c r="D13343" t="s">
        <v>407</v>
      </c>
      <c r="F13343">
        <f>HYPERLINK("https://www.wikidata.org/wiki/Q28494839", "Q28494839")</f>
        <v>0</v>
      </c>
      <c r="G13343" t="s">
        <v>1234</v>
      </c>
      <c r="H13343" t="s">
        <v>5959</v>
      </c>
      <c r="I13343" t="s">
        <v>9719</v>
      </c>
      <c r="J13343" t="s">
        <v>11489</v>
      </c>
      <c r="K13343" t="s">
        <v>16368</v>
      </c>
      <c r="L13343">
        <f>HYPERLINK("https://www2.assemblee-nationale.fr/sycomore/fiche/(num_dept)/1346", "1346")</f>
        <v>0</v>
      </c>
      <c r="M13343">
        <f>HYPERLINK("https://www.senat.fr/senateur-3eme-republique/cachin_marcel1405r3.html", "cachin_marcel1405r3")</f>
        <v>0</v>
      </c>
      <c r="N13343">
        <f>HYPERLINK("https://www.wikidata.org/wiki/Q658479", "Q658479")</f>
        <v>0</v>
      </c>
      <c r="O13343" t="s">
        <v>19969</v>
      </c>
      <c r="Q13343" t="s">
        <v>21338</v>
      </c>
      <c r="R13343" t="s">
        <v>21726</v>
      </c>
      <c r="S13343">
        <v>1507</v>
      </c>
    </row>
    <row r="13344" spans="1:19">
      <c r="A13344" t="s">
        <v>146</v>
      </c>
      <c r="B13344" t="s">
        <v>150</v>
      </c>
      <c r="C13344" t="s">
        <v>278</v>
      </c>
      <c r="D13344" t="s">
        <v>407</v>
      </c>
      <c r="F13344">
        <f>HYPERLINK("https://www.wikidata.org/wiki/Q28494839", "Q28494839")</f>
        <v>0</v>
      </c>
      <c r="G13344" t="s">
        <v>560</v>
      </c>
      <c r="H13344" t="s">
        <v>5323</v>
      </c>
      <c r="I13344" t="s">
        <v>9407</v>
      </c>
      <c r="J13344" t="s">
        <v>11311</v>
      </c>
      <c r="K13344" t="s">
        <v>15712</v>
      </c>
      <c r="L13344">
        <f>HYPERLINK("https://www2.assemblee-nationale.fr/sycomore/fiche/(num_dept)/1366", "1366")</f>
        <v>0</v>
      </c>
      <c r="M13344">
        <f>HYPERLINK("https://www.senat.fr/senateur-3eme-republique/caillaux_joseph1254r3.html", "caillaux_joseph1254r3")</f>
        <v>0</v>
      </c>
      <c r="N13344">
        <f>HYPERLINK("https://www.wikidata.org/wiki/Q450463", "Q450463")</f>
        <v>0</v>
      </c>
      <c r="O13344" t="s">
        <v>19956</v>
      </c>
      <c r="Q13344" t="s">
        <v>21338</v>
      </c>
      <c r="R13344" t="s">
        <v>21650</v>
      </c>
      <c r="S13344">
        <v>3568</v>
      </c>
    </row>
    <row r="13345" spans="1:19">
      <c r="A13345" t="s">
        <v>146</v>
      </c>
      <c r="B13345" t="s">
        <v>150</v>
      </c>
      <c r="C13345" t="s">
        <v>278</v>
      </c>
      <c r="D13345" t="s">
        <v>407</v>
      </c>
      <c r="F13345">
        <f>HYPERLINK("https://www.wikidata.org/wiki/Q28494839", "Q28494839")</f>
        <v>0</v>
      </c>
      <c r="G13345" t="s">
        <v>2027</v>
      </c>
      <c r="H13345" t="s">
        <v>6659</v>
      </c>
      <c r="I13345" t="s">
        <v>5592</v>
      </c>
      <c r="J13345" t="s">
        <v>12702</v>
      </c>
      <c r="K13345" t="s">
        <v>16953</v>
      </c>
      <c r="L13345">
        <f>HYPERLINK("https://www2.assemblee-nationale.fr/sycomore/fiche/(num_dept)/1399", "1399")</f>
        <v>0</v>
      </c>
      <c r="M13345">
        <f>HYPERLINK("https://www.senat.fr/senateur-3eme-republique/camboulives_laurent1689r3.html", "camboulives_laurent1689r3")</f>
        <v>0</v>
      </c>
      <c r="N13345">
        <f>HYPERLINK("https://www.wikidata.org/wiki/Q3219095", "Q3219095")</f>
        <v>0</v>
      </c>
      <c r="O13345" t="s">
        <v>19962</v>
      </c>
      <c r="Q13345" t="s">
        <v>21338</v>
      </c>
      <c r="R13345" t="s">
        <v>17346</v>
      </c>
      <c r="S13345">
        <v>3274</v>
      </c>
    </row>
    <row r="13346" spans="1:19">
      <c r="A13346" t="s">
        <v>146</v>
      </c>
      <c r="B13346" t="s">
        <v>150</v>
      </c>
      <c r="C13346" t="s">
        <v>278</v>
      </c>
      <c r="D13346" t="s">
        <v>407</v>
      </c>
      <c r="F13346">
        <f>HYPERLINK("https://www.wikidata.org/wiki/Q28494839", "Q28494839")</f>
        <v>0</v>
      </c>
      <c r="G13346" t="s">
        <v>1754</v>
      </c>
      <c r="H13346" t="s">
        <v>6424</v>
      </c>
      <c r="I13346" t="s">
        <v>9552</v>
      </c>
      <c r="J13346" t="s">
        <v>12454</v>
      </c>
      <c r="K13346" t="s">
        <v>16860</v>
      </c>
      <c r="L13346">
        <f>HYPERLINK("https://www2.assemblee-nationale.fr/sycomore/fiche/(num_dept)/1631", "1631")</f>
        <v>0</v>
      </c>
      <c r="M13346">
        <f>HYPERLINK("https://www.senat.fr/senateur-3eme-republique/champetier_de_ribes_auguste0517r4.html", "champetier_de_ribes_auguste0517r4")</f>
        <v>0</v>
      </c>
      <c r="N13346">
        <f>HYPERLINK("https://www.wikidata.org/wiki/Q478746", "Q478746")</f>
        <v>0</v>
      </c>
      <c r="O13346" t="s">
        <v>19970</v>
      </c>
      <c r="Q13346" t="s">
        <v>21338</v>
      </c>
      <c r="R13346" t="s">
        <v>21650</v>
      </c>
      <c r="S13346">
        <v>3568</v>
      </c>
    </row>
    <row r="13347" spans="1:19">
      <c r="A13347" t="s">
        <v>146</v>
      </c>
      <c r="B13347" t="s">
        <v>150</v>
      </c>
      <c r="C13347" t="s">
        <v>278</v>
      </c>
      <c r="D13347" t="s">
        <v>407</v>
      </c>
      <c r="F13347">
        <f>HYPERLINK("https://www.wikidata.org/wiki/Q28494839", "Q28494839")</f>
        <v>0</v>
      </c>
      <c r="G13347" t="s">
        <v>569</v>
      </c>
      <c r="H13347" t="s">
        <v>5332</v>
      </c>
      <c r="I13347" t="s">
        <v>9422</v>
      </c>
      <c r="J13347" t="s">
        <v>11320</v>
      </c>
      <c r="K13347" t="s">
        <v>15721</v>
      </c>
      <c r="L13347">
        <f>HYPERLINK("https://www2.assemblee-nationale.fr/sycomore/fiche/(num_dept)/1693", "1693")</f>
        <v>0</v>
      </c>
      <c r="M13347">
        <f>HYPERLINK("https://www.senat.fr/senateur-3eme-republique/chassaing_eugene0995r3.html", "chassaing_eugene0995r3")</f>
        <v>0</v>
      </c>
      <c r="N13347">
        <f>HYPERLINK("https://www.wikidata.org/wiki/Q3059770", "Q3059770")</f>
        <v>0</v>
      </c>
      <c r="O13347" t="s">
        <v>20005</v>
      </c>
      <c r="Q13347" t="s">
        <v>21338</v>
      </c>
      <c r="R13347" t="s">
        <v>21650</v>
      </c>
      <c r="S13347">
        <v>3568</v>
      </c>
    </row>
    <row r="13348" spans="1:19">
      <c r="A13348" t="s">
        <v>146</v>
      </c>
      <c r="B13348" t="s">
        <v>150</v>
      </c>
      <c r="C13348" t="s">
        <v>278</v>
      </c>
      <c r="D13348" t="s">
        <v>407</v>
      </c>
      <c r="F13348">
        <f>HYPERLINK("https://www.wikidata.org/wiki/Q28494839", "Q28494839")</f>
        <v>0</v>
      </c>
      <c r="G13348" t="s">
        <v>1692</v>
      </c>
      <c r="H13348" t="s">
        <v>6370</v>
      </c>
      <c r="I13348" t="s">
        <v>9476</v>
      </c>
      <c r="J13348" t="s">
        <v>12396</v>
      </c>
      <c r="K13348" t="s">
        <v>16804</v>
      </c>
      <c r="L13348">
        <f>HYPERLINK("https://www2.assemblee-nationale.fr/sycomore/fiche/(num_dept)/2000", "2000")</f>
        <v>0</v>
      </c>
      <c r="M13348">
        <f>HYPERLINK("https://www.senat.fr/senateur-3eme-republique/coty_rene0134r4.html", "coty_rene0134r4")</f>
        <v>0</v>
      </c>
      <c r="N13348">
        <f>HYPERLINK("https://www.wikidata.org/wiki/Q158768", "Q158768")</f>
        <v>0</v>
      </c>
      <c r="O13348" t="s">
        <v>19978</v>
      </c>
      <c r="Q13348" t="s">
        <v>21338</v>
      </c>
      <c r="R13348" t="s">
        <v>17346</v>
      </c>
      <c r="S13348">
        <v>3274</v>
      </c>
    </row>
    <row r="13349" spans="1:19">
      <c r="A13349" t="s">
        <v>146</v>
      </c>
      <c r="B13349" t="s">
        <v>150</v>
      </c>
      <c r="C13349" t="s">
        <v>278</v>
      </c>
      <c r="D13349" t="s">
        <v>407</v>
      </c>
      <c r="F13349">
        <f>HYPERLINK("https://www.wikidata.org/wiki/Q28494839", "Q28494839")</f>
        <v>0</v>
      </c>
      <c r="G13349" t="s">
        <v>1430</v>
      </c>
      <c r="H13349" t="s">
        <v>6135</v>
      </c>
      <c r="I13349" t="s">
        <v>9385</v>
      </c>
      <c r="J13349" t="s">
        <v>12153</v>
      </c>
      <c r="K13349" t="s">
        <v>16556</v>
      </c>
      <c r="L13349">
        <f>HYPERLINK("https://www2.assemblee-nationale.fr/sycomore/fiche/(num_dept)/2295", "2295")</f>
        <v>0</v>
      </c>
      <c r="M13349">
        <f>HYPERLINK("https://www.senat.fr/senateur-3eme-republique/delesalle_charles0979r3.html", "delesalle_charles0979r3")</f>
        <v>0</v>
      </c>
      <c r="N13349">
        <f>HYPERLINK("https://www.wikidata.org/wiki/Q2958867", "Q2958867")</f>
        <v>0</v>
      </c>
      <c r="O13349" t="s">
        <v>19968</v>
      </c>
      <c r="Q13349" t="s">
        <v>21338</v>
      </c>
      <c r="R13349" t="s">
        <v>21650</v>
      </c>
      <c r="S13349">
        <v>3568</v>
      </c>
    </row>
    <row r="13350" spans="1:19">
      <c r="A13350" t="s">
        <v>146</v>
      </c>
      <c r="B13350" t="s">
        <v>150</v>
      </c>
      <c r="C13350" t="s">
        <v>278</v>
      </c>
      <c r="D13350" t="s">
        <v>407</v>
      </c>
      <c r="F13350">
        <f>HYPERLINK("https://www.wikidata.org/wiki/Q28494839", "Q28494839")</f>
        <v>0</v>
      </c>
      <c r="G13350" t="s">
        <v>1782</v>
      </c>
      <c r="H13350" t="s">
        <v>6450</v>
      </c>
      <c r="I13350" t="s">
        <v>9949</v>
      </c>
      <c r="J13350" t="s">
        <v>12478</v>
      </c>
      <c r="K13350" t="s">
        <v>16888</v>
      </c>
      <c r="L13350">
        <f>HYPERLINK("https://www2.assemblee-nationale.fr/sycomore/fiche/(num_dept)/2350", "2350")</f>
        <v>0</v>
      </c>
      <c r="M13350">
        <f>HYPERLINK("https://www.senat.fr/senateur-3eme-republique/delthil_roger0436r4.html", "delthil_roger0436r4")</f>
        <v>0</v>
      </c>
      <c r="N13350">
        <f>HYPERLINK("https://www.wikidata.org/wiki/Q3438883", "Q3438883")</f>
        <v>0</v>
      </c>
      <c r="O13350" t="s">
        <v>20045</v>
      </c>
      <c r="Q13350" t="s">
        <v>21338</v>
      </c>
      <c r="R13350" t="s">
        <v>21650</v>
      </c>
      <c r="S13350">
        <v>3568</v>
      </c>
    </row>
    <row r="13351" spans="1:19">
      <c r="A13351" t="s">
        <v>146</v>
      </c>
      <c r="B13351" t="s">
        <v>150</v>
      </c>
      <c r="C13351" t="s">
        <v>278</v>
      </c>
      <c r="D13351" t="s">
        <v>407</v>
      </c>
      <c r="F13351">
        <f>HYPERLINK("https://www.wikidata.org/wiki/Q28494839", "Q28494839")</f>
        <v>0</v>
      </c>
      <c r="G13351" t="s">
        <v>612</v>
      </c>
      <c r="H13351" t="s">
        <v>5372</v>
      </c>
      <c r="I13351" t="s">
        <v>6495</v>
      </c>
      <c r="J13351" t="s">
        <v>11363</v>
      </c>
      <c r="K13351" t="s">
        <v>15764</v>
      </c>
      <c r="L13351">
        <f>HYPERLINK("https://www2.assemblee-nationale.fr/sycomore/fiche/(num_dept)/2362", "2362")</f>
        <v>0</v>
      </c>
      <c r="M13351">
        <f>HYPERLINK("https://www.senat.fr/senateur-3eme-republique/demellier_louis1641r3.html", "demellier_louis1641r3")</f>
        <v>0</v>
      </c>
      <c r="N13351">
        <f>HYPERLINK("https://www.wikidata.org/wiki/Q3261694", "Q3261694")</f>
        <v>0</v>
      </c>
      <c r="O13351" t="s">
        <v>20021</v>
      </c>
      <c r="Q13351" t="s">
        <v>21338</v>
      </c>
      <c r="R13351" t="s">
        <v>21650</v>
      </c>
      <c r="S13351">
        <v>3568</v>
      </c>
    </row>
    <row r="13352" spans="1:19">
      <c r="A13352" t="s">
        <v>146</v>
      </c>
      <c r="B13352" t="s">
        <v>150</v>
      </c>
      <c r="C13352" t="s">
        <v>278</v>
      </c>
      <c r="D13352" t="s">
        <v>407</v>
      </c>
      <c r="F13352">
        <f>HYPERLINK("https://www.wikidata.org/wiki/Q28494839", "Q28494839")</f>
        <v>0</v>
      </c>
      <c r="G13352" t="s">
        <v>2057</v>
      </c>
      <c r="H13352" t="s">
        <v>6688</v>
      </c>
      <c r="I13352" t="s">
        <v>7642</v>
      </c>
      <c r="J13352" t="s">
        <v>12729</v>
      </c>
      <c r="K13352" t="s">
        <v>17139</v>
      </c>
      <c r="L13352">
        <f>HYPERLINK("https://www2.assemblee-nationale.fr/sycomore/fiche/(num_dept)/2558", "2558")</f>
        <v>0</v>
      </c>
      <c r="M13352">
        <f>HYPERLINK("https://www.senat.fr/senateur-3eme-republique/dormann_maurice1649r3.html", "dormann_maurice1649r3")</f>
        <v>0</v>
      </c>
      <c r="N13352">
        <f>HYPERLINK("https://www.wikidata.org/wiki/Q3300704", "Q3300704")</f>
        <v>0</v>
      </c>
      <c r="O13352" t="s">
        <v>19976</v>
      </c>
      <c r="Q13352" t="s">
        <v>21338</v>
      </c>
      <c r="R13352" t="s">
        <v>17346</v>
      </c>
      <c r="S13352">
        <v>3274</v>
      </c>
    </row>
    <row r="13353" spans="1:19">
      <c r="A13353" t="s">
        <v>146</v>
      </c>
      <c r="B13353" t="s">
        <v>150</v>
      </c>
      <c r="C13353" t="s">
        <v>278</v>
      </c>
      <c r="D13353" t="s">
        <v>407</v>
      </c>
      <c r="F13353">
        <f>HYPERLINK("https://www.wikidata.org/wiki/Q28494839", "Q28494839")</f>
        <v>0</v>
      </c>
      <c r="G13353" t="s">
        <v>625</v>
      </c>
      <c r="H13353" t="s">
        <v>5385</v>
      </c>
      <c r="I13353" t="s">
        <v>9460</v>
      </c>
      <c r="J13353" t="s">
        <v>11375</v>
      </c>
      <c r="K13353" t="s">
        <v>15777</v>
      </c>
      <c r="L13353">
        <f>HYPERLINK("https://www2.assemblee-nationale.fr/sycomore/fiche/(num_dept)/2699", "2699")</f>
        <v>0</v>
      </c>
      <c r="M13353">
        <f>HYPERLINK("https://www.senat.fr/senateur-3eme-republique/dumesnil_jacques1613r3.html", "dumesnil_jacques1613r3")</f>
        <v>0</v>
      </c>
      <c r="N13353">
        <f>HYPERLINK("https://www.wikidata.org/wiki/Q3157989", "Q3157989")</f>
        <v>0</v>
      </c>
      <c r="O13353" t="s">
        <v>20026</v>
      </c>
      <c r="Q13353" t="s">
        <v>21338</v>
      </c>
      <c r="R13353" t="s">
        <v>21650</v>
      </c>
      <c r="S13353">
        <v>3568</v>
      </c>
    </row>
    <row r="13354" spans="1:19">
      <c r="A13354" t="s">
        <v>146</v>
      </c>
      <c r="B13354" t="s">
        <v>150</v>
      </c>
      <c r="C13354" t="s">
        <v>278</v>
      </c>
      <c r="D13354" t="s">
        <v>407</v>
      </c>
      <c r="F13354">
        <f>HYPERLINK("https://www.wikidata.org/wiki/Q28494839", "Q28494839")</f>
        <v>0</v>
      </c>
      <c r="G13354" t="s">
        <v>1952</v>
      </c>
      <c r="H13354" t="s">
        <v>6595</v>
      </c>
      <c r="I13354" t="s">
        <v>9465</v>
      </c>
      <c r="J13354" t="s">
        <v>11916</v>
      </c>
      <c r="K13354" t="s">
        <v>17045</v>
      </c>
      <c r="L13354">
        <f>HYPERLINK("https://www2.assemblee-nationale.fr/sycomore/fiche/(num_dept)/2996", "2996")</f>
        <v>0</v>
      </c>
      <c r="M13354">
        <f>HYPERLINK("https://www.senat.fr/senateur-3eme-republique/fiancette_eugene1556r3.html", "fiancette_eugene1556r3")</f>
        <v>0</v>
      </c>
      <c r="N13354">
        <f>HYPERLINK("https://www.wikidata.org/wiki/Q3059859", "Q3059859")</f>
        <v>0</v>
      </c>
      <c r="O13354" t="s">
        <v>19969</v>
      </c>
      <c r="Q13354" t="s">
        <v>21338</v>
      </c>
      <c r="R13354" t="s">
        <v>17346</v>
      </c>
      <c r="S13354">
        <v>3274</v>
      </c>
    </row>
    <row r="13355" spans="1:19">
      <c r="A13355" t="s">
        <v>146</v>
      </c>
      <c r="B13355" t="s">
        <v>150</v>
      </c>
      <c r="C13355" t="s">
        <v>278</v>
      </c>
      <c r="D13355" t="s">
        <v>407</v>
      </c>
      <c r="F13355">
        <f>HYPERLINK("https://www.wikidata.org/wiki/Q28494839", "Q28494839")</f>
        <v>0</v>
      </c>
      <c r="G13355" t="s">
        <v>644</v>
      </c>
      <c r="H13355" t="s">
        <v>5403</v>
      </c>
      <c r="I13355" t="s">
        <v>7642</v>
      </c>
      <c r="J13355" t="s">
        <v>11394</v>
      </c>
      <c r="K13355" t="s">
        <v>15796</v>
      </c>
      <c r="L13355">
        <f>HYPERLINK("https://www2.assemblee-nationale.fr/sycomore/fiche/(num_dept)/3025", "3025")</f>
        <v>0</v>
      </c>
      <c r="M13355">
        <f>HYPERLINK("https://www.senat.fr/senateur-3eme-republique/flayelle_maurice1800r3.html", "flayelle_maurice1800r3")</f>
        <v>0</v>
      </c>
      <c r="N13355">
        <f>HYPERLINK("https://www.wikidata.org/wiki/Q3300781", "Q3300781")</f>
        <v>0</v>
      </c>
      <c r="O13355" t="s">
        <v>20017</v>
      </c>
      <c r="Q13355" t="s">
        <v>21338</v>
      </c>
      <c r="R13355" t="s">
        <v>21650</v>
      </c>
      <c r="S13355">
        <v>3568</v>
      </c>
    </row>
    <row r="13356" spans="1:19">
      <c r="A13356" t="s">
        <v>146</v>
      </c>
      <c r="B13356" t="s">
        <v>150</v>
      </c>
      <c r="C13356" t="s">
        <v>278</v>
      </c>
      <c r="D13356" t="s">
        <v>407</v>
      </c>
      <c r="F13356">
        <f>HYPERLINK("https://www.wikidata.org/wiki/Q28494839", "Q28494839")</f>
        <v>0</v>
      </c>
      <c r="G13356" t="s">
        <v>1173</v>
      </c>
      <c r="H13356" t="s">
        <v>5904</v>
      </c>
      <c r="I13356" t="s">
        <v>9692</v>
      </c>
      <c r="J13356" t="s">
        <v>11906</v>
      </c>
      <c r="K13356" t="s">
        <v>16308</v>
      </c>
      <c r="L13356">
        <f>HYPERLINK("https://www2.assemblee-nationale.fr/sycomore/fiche/(num_dept)/3045", "3045")</f>
        <v>0</v>
      </c>
      <c r="M13356">
        <f>HYPERLINK("https://www.senat.fr/senateur-3eme-republique/de_fontaines_raymond1746r3.html", "de_fontaines_raymond1746r3")</f>
        <v>0</v>
      </c>
      <c r="N13356">
        <f>HYPERLINK("https://www.wikidata.org/wiki/Q3421220", "Q3421220")</f>
        <v>0</v>
      </c>
      <c r="O13356" t="s">
        <v>19972</v>
      </c>
      <c r="Q13356" t="s">
        <v>21338</v>
      </c>
      <c r="R13356" t="s">
        <v>21650</v>
      </c>
      <c r="S13356">
        <v>3568</v>
      </c>
    </row>
    <row r="13357" spans="1:19">
      <c r="A13357" t="s">
        <v>146</v>
      </c>
      <c r="B13357" t="s">
        <v>150</v>
      </c>
      <c r="C13357" t="s">
        <v>278</v>
      </c>
      <c r="D13357" t="s">
        <v>407</v>
      </c>
      <c r="F13357">
        <f>HYPERLINK("https://www.wikidata.org/wiki/Q28494839", "Q28494839")</f>
        <v>0</v>
      </c>
      <c r="G13357" t="s">
        <v>956</v>
      </c>
      <c r="H13357" t="s">
        <v>5708</v>
      </c>
      <c r="I13357" t="s">
        <v>9421</v>
      </c>
      <c r="J13357" t="s">
        <v>11697</v>
      </c>
      <c r="K13357" t="s">
        <v>16098</v>
      </c>
      <c r="L13357">
        <f>HYPERLINK("https://www2.assemblee-nationale.fr/sycomore/fiche/(num_dept)/3093", "3093")</f>
        <v>0</v>
      </c>
      <c r="M13357">
        <f>HYPERLINK("https://www.senat.fr/senateur-3eme-republique/fourment_gustave1742r3.html", "fourment_gustave1742r3")</f>
        <v>0</v>
      </c>
      <c r="N13357">
        <f>HYPERLINK("https://www.wikidata.org/wiki/Q3121186", "Q3121186")</f>
        <v>0</v>
      </c>
      <c r="O13357" t="s">
        <v>20042</v>
      </c>
      <c r="Q13357" t="s">
        <v>21338</v>
      </c>
      <c r="R13357" t="s">
        <v>21650</v>
      </c>
      <c r="S13357">
        <v>3568</v>
      </c>
    </row>
    <row r="13358" spans="1:19">
      <c r="A13358" t="s">
        <v>146</v>
      </c>
      <c r="B13358" t="s">
        <v>150</v>
      </c>
      <c r="C13358" t="s">
        <v>278</v>
      </c>
      <c r="D13358" t="s">
        <v>407</v>
      </c>
      <c r="F13358">
        <f>HYPERLINK("https://www.wikidata.org/wiki/Q28494839", "Q28494839")</f>
        <v>0</v>
      </c>
      <c r="G13358" t="s">
        <v>2433</v>
      </c>
      <c r="H13358" t="s">
        <v>7007</v>
      </c>
      <c r="I13358" t="s">
        <v>6495</v>
      </c>
      <c r="J13358" t="s">
        <v>12092</v>
      </c>
      <c r="K13358" t="s">
        <v>17491</v>
      </c>
      <c r="L13358">
        <f>HYPERLINK("https://www2.assemblee-nationale.fr/sycomore/fiche/(num_dept)/3206", "3206")</f>
        <v>0</v>
      </c>
      <c r="M13358">
        <f>HYPERLINK("https://www.senat.fr/senateur-3eme-republique/gaillemin_louis1801r3.html", "gaillemin_louis1801r3")</f>
        <v>0</v>
      </c>
      <c r="N13358">
        <f>HYPERLINK("https://www.wikidata.org/wiki/Q3261993", "Q3261993")</f>
        <v>0</v>
      </c>
      <c r="O13358" t="s">
        <v>20017</v>
      </c>
      <c r="Q13358" t="s">
        <v>21338</v>
      </c>
      <c r="R13358" t="s">
        <v>17346</v>
      </c>
      <c r="S13358">
        <v>3274</v>
      </c>
    </row>
    <row r="13359" spans="1:19">
      <c r="A13359" t="s">
        <v>146</v>
      </c>
      <c r="B13359" t="s">
        <v>150</v>
      </c>
      <c r="C13359" t="s">
        <v>278</v>
      </c>
      <c r="D13359" t="s">
        <v>407</v>
      </c>
      <c r="F13359">
        <f>HYPERLINK("https://www.wikidata.org/wiki/Q28494839", "Q28494839")</f>
        <v>0</v>
      </c>
      <c r="G13359" t="s">
        <v>966</v>
      </c>
      <c r="H13359" t="s">
        <v>5718</v>
      </c>
      <c r="I13359" t="s">
        <v>9605</v>
      </c>
      <c r="J13359" t="s">
        <v>11705</v>
      </c>
      <c r="K13359" t="s">
        <v>16108</v>
      </c>
      <c r="L13359">
        <f>HYPERLINK("https://www2.assemblee-nationale.fr/sycomore/fiche/(num_dept)/3460", "3460")</f>
        <v>0</v>
      </c>
      <c r="M13359">
        <f>HYPERLINK("https://www.senat.fr/senateur-3eme-republique/godart_justin1138r3.html", "godart_justin1138r3")</f>
        <v>0</v>
      </c>
      <c r="N13359">
        <f>HYPERLINK("https://www.wikidata.org/wiki/Q3190446", "Q3190446")</f>
        <v>0</v>
      </c>
      <c r="O13359" t="s">
        <v>19965</v>
      </c>
      <c r="Q13359" t="s">
        <v>21338</v>
      </c>
      <c r="R13359" t="s">
        <v>21650</v>
      </c>
      <c r="S13359">
        <v>3568</v>
      </c>
    </row>
    <row r="13360" spans="1:19">
      <c r="A13360" t="s">
        <v>146</v>
      </c>
      <c r="B13360" t="s">
        <v>150</v>
      </c>
      <c r="C13360" t="s">
        <v>278</v>
      </c>
      <c r="D13360" t="s">
        <v>407</v>
      </c>
      <c r="F13360">
        <f>HYPERLINK("https://www.wikidata.org/wiki/Q28494839", "Q28494839")</f>
        <v>0</v>
      </c>
      <c r="G13360" t="s">
        <v>1807</v>
      </c>
      <c r="H13360" t="s">
        <v>6472</v>
      </c>
      <c r="I13360" t="s">
        <v>6585</v>
      </c>
      <c r="J13360" t="s">
        <v>12502</v>
      </c>
      <c r="K13360" t="s">
        <v>16912</v>
      </c>
      <c r="L13360">
        <f>HYPERLINK("https://www2.assemblee-nationale.fr/sycomore/fiche/(num_dept)/3471", "3471")</f>
        <v>0</v>
      </c>
      <c r="M13360">
        <f>HYPERLINK("https://www.senat.fr/senateur-3eme-republique/goirand_andre1629r3.html", "goirand_andre1629r3")</f>
        <v>0</v>
      </c>
      <c r="N13360">
        <f>HYPERLINK("https://www.wikidata.org/wiki/Q2847861", "Q2847861")</f>
        <v>0</v>
      </c>
      <c r="O13360" t="s">
        <v>20021</v>
      </c>
      <c r="Q13360" t="s">
        <v>21338</v>
      </c>
      <c r="R13360" t="s">
        <v>21650</v>
      </c>
      <c r="S13360">
        <v>3568</v>
      </c>
    </row>
    <row r="13361" spans="1:19">
      <c r="A13361" t="s">
        <v>146</v>
      </c>
      <c r="B13361" t="s">
        <v>150</v>
      </c>
      <c r="C13361" t="s">
        <v>278</v>
      </c>
      <c r="D13361" t="s">
        <v>407</v>
      </c>
      <c r="F13361">
        <f>HYPERLINK("https://www.wikidata.org/wiki/Q28494839", "Q28494839")</f>
        <v>0</v>
      </c>
      <c r="G13361" t="s">
        <v>2090</v>
      </c>
      <c r="H13361" t="s">
        <v>6715</v>
      </c>
      <c r="I13361" t="s">
        <v>10077</v>
      </c>
      <c r="J13361" t="s">
        <v>12759</v>
      </c>
      <c r="K13361" t="s">
        <v>17172</v>
      </c>
      <c r="L13361">
        <f>HYPERLINK("https://www2.assemblee-nationale.fr/sycomore/fiche/(num_dept)/3802", "3802")</f>
        <v>0</v>
      </c>
      <c r="M13361">
        <f>HYPERLINK("https://www.senat.fr/senateur-3eme-republique/henry_haye_gaston1642r3.html", "henry_haye_gaston1642r3")</f>
        <v>0</v>
      </c>
      <c r="N13361">
        <f>HYPERLINK("https://www.wikidata.org/wiki/Q3099039", "Q3099039")</f>
        <v>0</v>
      </c>
      <c r="O13361" t="s">
        <v>19976</v>
      </c>
      <c r="Q13361" t="s">
        <v>21338</v>
      </c>
      <c r="R13361" t="s">
        <v>17346</v>
      </c>
      <c r="S13361">
        <v>3274</v>
      </c>
    </row>
    <row r="13362" spans="1:19">
      <c r="A13362" t="s">
        <v>146</v>
      </c>
      <c r="B13362" t="s">
        <v>150</v>
      </c>
      <c r="C13362" t="s">
        <v>278</v>
      </c>
      <c r="D13362" t="s">
        <v>407</v>
      </c>
      <c r="F13362">
        <f>HYPERLINK("https://www.wikidata.org/wiki/Q28494839", "Q28494839")</f>
        <v>0</v>
      </c>
      <c r="G13362" t="s">
        <v>689</v>
      </c>
      <c r="H13362" t="s">
        <v>5447</v>
      </c>
      <c r="I13362" t="s">
        <v>9388</v>
      </c>
      <c r="J13362" t="s">
        <v>11439</v>
      </c>
      <c r="K13362" t="s">
        <v>15840</v>
      </c>
      <c r="L13362">
        <f>HYPERLINK("https://www2.assemblee-nationale.fr/sycomore/fiche/(num_dept)/3970", "3970")</f>
        <v>0</v>
      </c>
      <c r="M13362">
        <f>HYPERLINK("https://www.senat.fr/senateur-3eme-republique/jacquier_paul1310r3.html", "jacquier_paul1310r3")</f>
        <v>0</v>
      </c>
      <c r="N13362">
        <f>HYPERLINK("https://www.wikidata.org/wiki/Q3371508", "Q3371508")</f>
        <v>0</v>
      </c>
      <c r="O13362" t="s">
        <v>20018</v>
      </c>
      <c r="Q13362" t="s">
        <v>21338</v>
      </c>
      <c r="R13362" t="s">
        <v>21650</v>
      </c>
      <c r="S13362">
        <v>3568</v>
      </c>
    </row>
    <row r="13363" spans="1:19">
      <c r="A13363" t="s">
        <v>146</v>
      </c>
      <c r="B13363" t="s">
        <v>150</v>
      </c>
      <c r="C13363" t="s">
        <v>278</v>
      </c>
      <c r="D13363" t="s">
        <v>407</v>
      </c>
      <c r="F13363">
        <f>HYPERLINK("https://www.wikidata.org/wiki/Q28494839", "Q28494839")</f>
        <v>0</v>
      </c>
      <c r="G13363" t="s">
        <v>4068</v>
      </c>
      <c r="H13363" t="s">
        <v>8288</v>
      </c>
      <c r="I13363" t="s">
        <v>9449</v>
      </c>
      <c r="J13363" t="s">
        <v>14608</v>
      </c>
      <c r="K13363" t="s">
        <v>18945</v>
      </c>
      <c r="L13363">
        <f>HYPERLINK("https://www2.assemblee-nationale.fr/sycomore/fiche/(num_dept)/4024", "4024")</f>
        <v>0</v>
      </c>
      <c r="M13363">
        <f>HYPERLINK("https://www.senat.fr/senateur-3eme-republique/jeanneney_jules1206r3.html", "jeanneney_jules1206r3")</f>
        <v>0</v>
      </c>
      <c r="N13363">
        <f>HYPERLINK("https://www.wikidata.org/wiki/Q3188688", "Q3188688")</f>
        <v>0</v>
      </c>
      <c r="O13363" t="s">
        <v>20036</v>
      </c>
      <c r="Q13363" t="s">
        <v>21338</v>
      </c>
      <c r="R13363" t="s">
        <v>17346</v>
      </c>
      <c r="S13363">
        <v>3274</v>
      </c>
    </row>
    <row r="13364" spans="1:19">
      <c r="A13364" t="s">
        <v>146</v>
      </c>
      <c r="B13364" t="s">
        <v>150</v>
      </c>
      <c r="C13364" t="s">
        <v>278</v>
      </c>
      <c r="D13364" t="s">
        <v>407</v>
      </c>
      <c r="F13364">
        <f>HYPERLINK("https://www.wikidata.org/wiki/Q28494839", "Q28494839")</f>
        <v>0</v>
      </c>
      <c r="G13364" t="s">
        <v>1507</v>
      </c>
      <c r="H13364" t="s">
        <v>6204</v>
      </c>
      <c r="I13364" t="s">
        <v>9388</v>
      </c>
      <c r="J13364" t="s">
        <v>12225</v>
      </c>
      <c r="K13364" t="s">
        <v>16630</v>
      </c>
      <c r="L13364">
        <f>HYPERLINK("https://www2.assemblee-nationale.fr/sycomore/fiche/(num_dept)/4069", "4069")</f>
        <v>0</v>
      </c>
      <c r="M13364">
        <f>HYPERLINK("https://www.senat.fr/senateur-3eme-republique/jourdain_paul1113r3.html", "jourdain_paul1113r3")</f>
        <v>0</v>
      </c>
      <c r="N13364">
        <f>HYPERLINK("https://www.wikidata.org/wiki/Q3371547", "Q3371547")</f>
        <v>0</v>
      </c>
      <c r="O13364" t="s">
        <v>20049</v>
      </c>
      <c r="Q13364" t="s">
        <v>21338</v>
      </c>
      <c r="R13364" t="s">
        <v>17346</v>
      </c>
      <c r="S13364">
        <v>3274</v>
      </c>
    </row>
    <row r="13365" spans="1:19">
      <c r="A13365" t="s">
        <v>146</v>
      </c>
      <c r="B13365" t="s">
        <v>150</v>
      </c>
      <c r="C13365" t="s">
        <v>278</v>
      </c>
      <c r="D13365" t="s">
        <v>407</v>
      </c>
      <c r="F13365">
        <f>HYPERLINK("https://www.wikidata.org/wiki/Q28494839", "Q28494839")</f>
        <v>0</v>
      </c>
      <c r="G13365" t="s">
        <v>1265</v>
      </c>
      <c r="H13365" t="s">
        <v>5989</v>
      </c>
      <c r="I13365" t="s">
        <v>9729</v>
      </c>
      <c r="J13365" t="s">
        <v>11995</v>
      </c>
      <c r="K13365" t="s">
        <v>16398</v>
      </c>
      <c r="L13365">
        <f>HYPERLINK("https://www2.assemblee-nationale.fr/sycomore/fiche/(num_dept)/4079", "4079")</f>
        <v>0</v>
      </c>
      <c r="M13365">
        <f>HYPERLINK("https://www.senat.fr/senateur-3eme-republique/jovelet_anatole1661r3.html", "jovelet_anatole1661r3")</f>
        <v>0</v>
      </c>
      <c r="N13365">
        <f>HYPERLINK("https://www.wikidata.org/wiki/Q2845585", "Q2845585")</f>
        <v>0</v>
      </c>
      <c r="O13365" t="s">
        <v>20012</v>
      </c>
      <c r="Q13365" t="s">
        <v>21338</v>
      </c>
      <c r="R13365" t="s">
        <v>21650</v>
      </c>
      <c r="S13365">
        <v>3568</v>
      </c>
    </row>
    <row r="13366" spans="1:19">
      <c r="A13366" t="s">
        <v>146</v>
      </c>
      <c r="B13366" t="s">
        <v>150</v>
      </c>
      <c r="C13366" t="s">
        <v>278</v>
      </c>
      <c r="D13366" t="s">
        <v>407</v>
      </c>
      <c r="F13366">
        <f>HYPERLINK("https://www.wikidata.org/wiki/Q28494839", "Q28494839")</f>
        <v>0</v>
      </c>
      <c r="G13366" t="s">
        <v>1272</v>
      </c>
      <c r="H13366" t="s">
        <v>5996</v>
      </c>
      <c r="I13366" t="s">
        <v>9476</v>
      </c>
      <c r="J13366" t="s">
        <v>12002</v>
      </c>
      <c r="K13366" t="s">
        <v>16405</v>
      </c>
      <c r="L13366">
        <f>HYPERLINK("https://www2.assemblee-nationale.fr/sycomore/fiche/(num_dept)/4849", "4849")</f>
        <v>0</v>
      </c>
      <c r="M13366">
        <f>HYPERLINK("https://www.senat.fr/senateur-3eme-republique/de_ludre_frolois_rene0897r3.html", "de_ludre_frolois_rene0897r3")</f>
        <v>0</v>
      </c>
      <c r="N13366">
        <f>HYPERLINK("https://www.wikidata.org/wiki/Q3427060", "Q3427060")</f>
        <v>0</v>
      </c>
      <c r="O13366" t="s">
        <v>19957</v>
      </c>
      <c r="Q13366" t="s">
        <v>21338</v>
      </c>
      <c r="R13366" t="s">
        <v>21650</v>
      </c>
      <c r="S13366">
        <v>3568</v>
      </c>
    </row>
    <row r="13367" spans="1:19">
      <c r="A13367" t="s">
        <v>146</v>
      </c>
      <c r="B13367" t="s">
        <v>150</v>
      </c>
      <c r="C13367" t="s">
        <v>278</v>
      </c>
      <c r="D13367" t="s">
        <v>407</v>
      </c>
      <c r="F13367">
        <f>HYPERLINK("https://www.wikidata.org/wiki/Q28494839", "Q28494839")</f>
        <v>0</v>
      </c>
      <c r="G13367" t="s">
        <v>1845</v>
      </c>
      <c r="H13367" t="s">
        <v>6504</v>
      </c>
      <c r="I13367" t="s">
        <v>9457</v>
      </c>
      <c r="J13367" t="s">
        <v>12536</v>
      </c>
      <c r="K13367" t="s">
        <v>16948</v>
      </c>
      <c r="L13367">
        <f>HYPERLINK("https://www2.assemblee-nationale.fr/sycomore/fiche/(num_dept)/5122", "5122")</f>
        <v>0</v>
      </c>
      <c r="M13367">
        <f>HYPERLINK("https://www.senat.fr/senateur-3eme-republique/maupoil_henri0356r4.html", "maupoil_henri0356r4")</f>
        <v>0</v>
      </c>
      <c r="N13367">
        <f>HYPERLINK("https://www.wikidata.org/wiki/Q3131615", "Q3131615")</f>
        <v>0</v>
      </c>
      <c r="O13367" t="s">
        <v>19994</v>
      </c>
      <c r="Q13367" t="s">
        <v>21338</v>
      </c>
      <c r="R13367" t="s">
        <v>17346</v>
      </c>
      <c r="S13367">
        <v>3274</v>
      </c>
    </row>
    <row r="13368" spans="1:19">
      <c r="A13368" t="s">
        <v>146</v>
      </c>
      <c r="B13368" t="s">
        <v>150</v>
      </c>
      <c r="C13368" t="s">
        <v>278</v>
      </c>
      <c r="D13368" t="s">
        <v>407</v>
      </c>
      <c r="F13368">
        <f>HYPERLINK("https://www.wikidata.org/wiki/Q28494839", "Q28494839")</f>
        <v>0</v>
      </c>
      <c r="G13368" t="s">
        <v>1005</v>
      </c>
      <c r="H13368" t="s">
        <v>5756</v>
      </c>
      <c r="I13368" t="s">
        <v>9553</v>
      </c>
      <c r="J13368" t="s">
        <v>11742</v>
      </c>
      <c r="K13368" t="s">
        <v>16146</v>
      </c>
      <c r="L13368">
        <f>HYPERLINK("https://www2.assemblee-nationale.fr/sycomore/fiche/(num_dept)/5284", "5284")</f>
        <v>0</v>
      </c>
      <c r="M13368">
        <f>HYPERLINK("https://www.senat.fr/senateur-3eme-republique/millerand_alexandre0910r3.html", "millerand_alexandre0910r3")</f>
        <v>0</v>
      </c>
      <c r="N13368">
        <f>HYPERLINK("https://www.wikidata.org/wiki/Q274540", "Q274540")</f>
        <v>0</v>
      </c>
      <c r="O13368" t="s">
        <v>19957</v>
      </c>
      <c r="Q13368" t="s">
        <v>21338</v>
      </c>
      <c r="R13368" t="s">
        <v>21650</v>
      </c>
      <c r="S13368">
        <v>3568</v>
      </c>
    </row>
    <row r="13369" spans="1:19">
      <c r="A13369" t="s">
        <v>146</v>
      </c>
      <c r="B13369" t="s">
        <v>150</v>
      </c>
      <c r="C13369" t="s">
        <v>278</v>
      </c>
      <c r="D13369" t="s">
        <v>407</v>
      </c>
      <c r="F13369">
        <f>HYPERLINK("https://www.wikidata.org/wiki/Q28494839", "Q28494839")</f>
        <v>0</v>
      </c>
      <c r="G13369" t="s">
        <v>1557</v>
      </c>
      <c r="H13369" t="s">
        <v>6248</v>
      </c>
      <c r="I13369" t="s">
        <v>9465</v>
      </c>
      <c r="J13369" t="s">
        <v>12270</v>
      </c>
      <c r="K13369" t="s">
        <v>16679</v>
      </c>
      <c r="L13369">
        <f>HYPERLINK("https://www2.assemblee-nationale.fr/sycomore/fiche/(num_dept)/5478", "5478")</f>
        <v>0</v>
      </c>
      <c r="M13369">
        <f>HYPERLINK("https://www.senat.fr/senateur-3eme-republique/muller_eugene1101r3.html", "muller_eugene1101r3")</f>
        <v>0</v>
      </c>
      <c r="N13369">
        <f>HYPERLINK("https://www.wikidata.org/wiki/Q3060060", "Q3060060")</f>
        <v>0</v>
      </c>
      <c r="O13369" t="s">
        <v>20048</v>
      </c>
      <c r="Q13369" t="s">
        <v>21338</v>
      </c>
      <c r="R13369" t="s">
        <v>21650</v>
      </c>
      <c r="S13369">
        <v>3568</v>
      </c>
    </row>
    <row r="13370" spans="1:19">
      <c r="A13370" t="s">
        <v>146</v>
      </c>
      <c r="B13370" t="s">
        <v>150</v>
      </c>
      <c r="C13370" t="s">
        <v>278</v>
      </c>
      <c r="D13370" t="s">
        <v>407</v>
      </c>
      <c r="F13370">
        <f>HYPERLINK("https://www.wikidata.org/wiki/Q28494839", "Q28494839")</f>
        <v>0</v>
      </c>
      <c r="G13370" t="s">
        <v>1564</v>
      </c>
      <c r="H13370" t="s">
        <v>6255</v>
      </c>
      <c r="I13370" t="s">
        <v>6584</v>
      </c>
      <c r="J13370" t="s">
        <v>12277</v>
      </c>
      <c r="K13370" t="s">
        <v>16685</v>
      </c>
      <c r="L13370">
        <f>HYPERLINK("https://www2.assemblee-nationale.fr/sycomore/fiche/(num_dept)/5637", "5637")</f>
        <v>0</v>
      </c>
      <c r="M13370">
        <f>HYPERLINK("https://www.senat.fr/senateur-3eme-republique/ouvre_albert1607r3.html", "ouvre_albert1607r3")</f>
        <v>0</v>
      </c>
      <c r="N13370">
        <f>HYPERLINK("https://www.wikidata.org/wiki/Q2831442", "Q2831442")</f>
        <v>0</v>
      </c>
      <c r="O13370" t="s">
        <v>20026</v>
      </c>
      <c r="Q13370" t="s">
        <v>21338</v>
      </c>
      <c r="R13370" t="s">
        <v>17346</v>
      </c>
      <c r="S13370">
        <v>3274</v>
      </c>
    </row>
    <row r="13371" spans="1:19">
      <c r="A13371" t="s">
        <v>146</v>
      </c>
      <c r="B13371" t="s">
        <v>150</v>
      </c>
      <c r="C13371" t="s">
        <v>278</v>
      </c>
      <c r="D13371" t="s">
        <v>407</v>
      </c>
      <c r="F13371">
        <f>HYPERLINK("https://www.wikidata.org/wiki/Q28494839", "Q28494839")</f>
        <v>0</v>
      </c>
      <c r="G13371" t="s">
        <v>1864</v>
      </c>
      <c r="H13371" t="s">
        <v>6520</v>
      </c>
      <c r="I13371" t="s">
        <v>6200</v>
      </c>
      <c r="J13371" t="s">
        <v>12552</v>
      </c>
      <c r="K13371" t="s">
        <v>16965</v>
      </c>
      <c r="L13371">
        <f>HYPERLINK("https://www2.assemblee-nationale.fr/sycomore/fiche/(num_dept)/5736", "5736")</f>
        <v>0</v>
      </c>
      <c r="M13371">
        <f>HYPERLINK("https://www.senat.fr/senateur-3eme-republique/payra_jean1091r3.html", "payra_jean1091r3")</f>
        <v>0</v>
      </c>
      <c r="N13371">
        <f>HYPERLINK("https://www.wikidata.org/wiki/Q3173886", "Q3173886")</f>
        <v>0</v>
      </c>
      <c r="O13371" t="s">
        <v>20001</v>
      </c>
      <c r="Q13371" t="s">
        <v>21338</v>
      </c>
      <c r="R13371" t="s">
        <v>16965</v>
      </c>
      <c r="S13371">
        <v>501</v>
      </c>
    </row>
    <row r="13372" spans="1:19">
      <c r="A13372" t="s">
        <v>146</v>
      </c>
      <c r="B13372" t="s">
        <v>150</v>
      </c>
      <c r="C13372" t="s">
        <v>278</v>
      </c>
      <c r="D13372" t="s">
        <v>407</v>
      </c>
      <c r="F13372">
        <f>HYPERLINK("https://www.wikidata.org/wiki/Q28494839", "Q28494839")</f>
        <v>0</v>
      </c>
      <c r="G13372" t="s">
        <v>1674</v>
      </c>
      <c r="H13372" t="s">
        <v>6354</v>
      </c>
      <c r="I13372" t="s">
        <v>9878</v>
      </c>
      <c r="J13372" t="s">
        <v>12380</v>
      </c>
      <c r="K13372" t="s">
        <v>16788</v>
      </c>
      <c r="L13372">
        <f>HYPERLINK("https://www2.assemblee-nationale.fr/sycomore/fiche/(num_dept)/6166", "6166")</f>
        <v>0</v>
      </c>
      <c r="M13372">
        <f>HYPERLINK("https://www.senat.fr/senateur-3eme-republique/roux_freissineng_pierre1827r3.html", "roux_freissineng_pierre1827r3")</f>
        <v>0</v>
      </c>
      <c r="N13372">
        <f>HYPERLINK("https://www.wikidata.org/wiki/Q3386881", "Q3386881")</f>
        <v>0</v>
      </c>
      <c r="Q13372" t="s">
        <v>21338</v>
      </c>
      <c r="R13372" t="s">
        <v>21650</v>
      </c>
      <c r="S13372">
        <v>3568</v>
      </c>
    </row>
    <row r="13373" spans="1:19">
      <c r="A13373" t="s">
        <v>146</v>
      </c>
      <c r="B13373" t="s">
        <v>150</v>
      </c>
      <c r="C13373" t="s">
        <v>278</v>
      </c>
      <c r="D13373" t="s">
        <v>407</v>
      </c>
      <c r="F13373">
        <f>HYPERLINK("https://www.wikidata.org/wiki/Q28494839", "Q28494839")</f>
        <v>0</v>
      </c>
      <c r="G13373" t="s">
        <v>2148</v>
      </c>
      <c r="H13373" t="s">
        <v>5781</v>
      </c>
      <c r="I13373" t="s">
        <v>10098</v>
      </c>
      <c r="J13373" t="s">
        <v>12812</v>
      </c>
      <c r="K13373" t="s">
        <v>17227</v>
      </c>
      <c r="L13373">
        <f>HYPERLINK("https://www2.assemblee-nationale.fr/sycomore/fiche/(num_dept)/6170", "6170")</f>
        <v>0</v>
      </c>
      <c r="M13373">
        <f>HYPERLINK("https://www.senat.fr/senateur-3eme-republique/roy_eugene1007r3.html", "roy_eugene1007r3")</f>
        <v>0</v>
      </c>
      <c r="N13373">
        <f>HYPERLINK("https://www.wikidata.org/wiki/Q3060160", "Q3060160")</f>
        <v>0</v>
      </c>
      <c r="O13373" t="s">
        <v>20005</v>
      </c>
      <c r="Q13373" t="s">
        <v>21338</v>
      </c>
      <c r="R13373" t="s">
        <v>17227</v>
      </c>
      <c r="S13373">
        <v>959</v>
      </c>
    </row>
    <row r="13374" spans="1:19">
      <c r="A13374" t="s">
        <v>146</v>
      </c>
      <c r="B13374" t="s">
        <v>150</v>
      </c>
      <c r="C13374" t="s">
        <v>278</v>
      </c>
      <c r="D13374" t="s">
        <v>407</v>
      </c>
      <c r="F13374">
        <f>HYPERLINK("https://www.wikidata.org/wiki/Q28494839", "Q28494839")</f>
        <v>0</v>
      </c>
      <c r="G13374" t="s">
        <v>1881</v>
      </c>
      <c r="H13374" t="s">
        <v>6534</v>
      </c>
      <c r="I13374" t="s">
        <v>9458</v>
      </c>
      <c r="J13374" t="s">
        <v>12568</v>
      </c>
      <c r="K13374" t="s">
        <v>16981</v>
      </c>
      <c r="L13374">
        <f>HYPERLINK("https://www2.assemblee-nationale.fr/sycomore/fiche/(num_dept)/6259", "6259")</f>
        <v>0</v>
      </c>
      <c r="M13374">
        <f>HYPERLINK("https://www.senat.fr/senateur-3eme-republique/salmon_alfred0977r3.html", "salmon_alfred0977r3")</f>
        <v>0</v>
      </c>
      <c r="N13374">
        <f>HYPERLINK("https://www.wikidata.org/wiki/Q2835437", "Q2835437")</f>
        <v>0</v>
      </c>
      <c r="O13374" t="s">
        <v>19968</v>
      </c>
      <c r="Q13374" t="s">
        <v>21338</v>
      </c>
      <c r="R13374" t="s">
        <v>21650</v>
      </c>
      <c r="S13374">
        <v>3568</v>
      </c>
    </row>
    <row r="13375" spans="1:19">
      <c r="A13375" t="s">
        <v>146</v>
      </c>
      <c r="B13375" t="s">
        <v>150</v>
      </c>
      <c r="C13375" t="s">
        <v>278</v>
      </c>
      <c r="D13375" t="s">
        <v>407</v>
      </c>
      <c r="F13375">
        <f>HYPERLINK("https://www.wikidata.org/wiki/Q28494839", "Q28494839")</f>
        <v>0</v>
      </c>
      <c r="G13375" t="s">
        <v>1612</v>
      </c>
      <c r="H13375" t="s">
        <v>6298</v>
      </c>
      <c r="I13375" t="s">
        <v>9385</v>
      </c>
      <c r="J13375" t="s">
        <v>12319</v>
      </c>
      <c r="K13375" t="s">
        <v>16729</v>
      </c>
      <c r="L13375">
        <f>HYPERLINK("https://www2.assemblee-nationale.fr/sycomore/fiche/(num_dept)/6656", "6656")</f>
        <v>0</v>
      </c>
      <c r="M13375">
        <f>HYPERLINK("https://www.senat.fr/senateur-3eme-republique/reibel_charles1672r3.html", "reibel_charles1672r3")</f>
        <v>0</v>
      </c>
      <c r="N13375">
        <f>HYPERLINK("https://www.wikidata.org/wiki/Q2960097", "Q2960097")</f>
        <v>0</v>
      </c>
      <c r="O13375" t="s">
        <v>19976</v>
      </c>
      <c r="Q13375" t="s">
        <v>21338</v>
      </c>
      <c r="R13375" t="s">
        <v>17346</v>
      </c>
      <c r="S13375">
        <v>3274</v>
      </c>
    </row>
    <row r="13376" spans="1:19">
      <c r="A13376" t="s">
        <v>146</v>
      </c>
      <c r="B13376" t="s">
        <v>150</v>
      </c>
      <c r="C13376" t="s">
        <v>278</v>
      </c>
      <c r="D13376" t="s">
        <v>407</v>
      </c>
      <c r="F13376">
        <f>HYPERLINK("https://www.wikidata.org/wiki/Q28494839", "Q28494839")</f>
        <v>0</v>
      </c>
      <c r="G13376" t="s">
        <v>804</v>
      </c>
      <c r="H13376" t="s">
        <v>5561</v>
      </c>
      <c r="I13376" t="s">
        <v>9476</v>
      </c>
      <c r="J13376" t="s">
        <v>11551</v>
      </c>
      <c r="K13376" t="s">
        <v>15955</v>
      </c>
      <c r="L13376">
        <f>HYPERLINK("https://www2.assemblee-nationale.fr/sycomore/fiche/(num_dept)/6684", "6684")</f>
        <v>0</v>
      </c>
      <c r="M13376">
        <f>HYPERLINK("https://www.senat.fr/senateur-3eme-republique/renoult_rene1734r3.html", "renoult_rene1734r3")</f>
        <v>0</v>
      </c>
      <c r="N13376">
        <f>HYPERLINK("https://www.wikidata.org/wiki/Q3426810", "Q3426810")</f>
        <v>0</v>
      </c>
      <c r="O13376" t="s">
        <v>20042</v>
      </c>
      <c r="Q13376" t="s">
        <v>21338</v>
      </c>
      <c r="R13376" t="s">
        <v>17346</v>
      </c>
      <c r="S13376">
        <v>3274</v>
      </c>
    </row>
    <row r="13377" spans="1:19">
      <c r="A13377" t="s">
        <v>146</v>
      </c>
      <c r="B13377" t="s">
        <v>150</v>
      </c>
      <c r="C13377" t="s">
        <v>278</v>
      </c>
      <c r="D13377" t="s">
        <v>407</v>
      </c>
      <c r="F13377">
        <f>HYPERLINK("https://www.wikidata.org/wiki/Q28494839", "Q28494839")</f>
        <v>0</v>
      </c>
      <c r="G13377" t="s">
        <v>814</v>
      </c>
      <c r="H13377" t="s">
        <v>5571</v>
      </c>
      <c r="I13377" t="s">
        <v>9533</v>
      </c>
      <c r="J13377" t="s">
        <v>11561</v>
      </c>
      <c r="K13377" t="s">
        <v>15965</v>
      </c>
      <c r="L13377">
        <f>HYPERLINK("https://www2.assemblee-nationale.fr/sycomore/fiche/(num_dept)/6904", "6904")</f>
        <v>0</v>
      </c>
      <c r="M13377">
        <f>HYPERLINK("https://www.senat.fr/senateur-3eme-republique/steeg_theodore1554r3.html", "steeg_theodore1554r3")</f>
        <v>0</v>
      </c>
      <c r="N13377">
        <f>HYPERLINK("https://www.wikidata.org/wiki/Q717905", "Q717905")</f>
        <v>0</v>
      </c>
      <c r="O13377" t="s">
        <v>19969</v>
      </c>
      <c r="Q13377" t="s">
        <v>21338</v>
      </c>
      <c r="R13377" t="s">
        <v>21650</v>
      </c>
      <c r="S13377">
        <v>3568</v>
      </c>
    </row>
    <row r="13378" spans="1:19">
      <c r="A13378" t="s">
        <v>146</v>
      </c>
      <c r="B13378" t="s">
        <v>150</v>
      </c>
      <c r="C13378" t="s">
        <v>278</v>
      </c>
      <c r="D13378" t="s">
        <v>407</v>
      </c>
      <c r="F13378">
        <f>HYPERLINK("https://www.wikidata.org/wiki/Q28494839", "Q28494839")</f>
        <v>0</v>
      </c>
      <c r="G13378" t="s">
        <v>2176</v>
      </c>
      <c r="H13378" t="s">
        <v>6790</v>
      </c>
      <c r="I13378" t="s">
        <v>10106</v>
      </c>
      <c r="J13378" t="s">
        <v>12839</v>
      </c>
      <c r="K13378" t="s">
        <v>17252</v>
      </c>
      <c r="L13378">
        <f>HYPERLINK("https://www2.assemblee-nationale.fr/sycomore/fiche/(num_dept)/7021", "7021")</f>
        <v>0</v>
      </c>
      <c r="M13378">
        <f>HYPERLINK("https://www.senat.fr/senateur-3eme-republique/thibault_albert1243r3.html", "thibault_albert1243r3")</f>
        <v>0</v>
      </c>
      <c r="N13378">
        <f>HYPERLINK("https://www.wikidata.org/wiki/Q2831577", "Q2831577")</f>
        <v>0</v>
      </c>
      <c r="O13378" t="s">
        <v>19956</v>
      </c>
      <c r="Q13378" t="s">
        <v>21338</v>
      </c>
      <c r="R13378" t="s">
        <v>17346</v>
      </c>
      <c r="S13378">
        <v>3274</v>
      </c>
    </row>
    <row r="13379" spans="1:19">
      <c r="A13379" t="s">
        <v>146</v>
      </c>
      <c r="B13379" t="s">
        <v>150</v>
      </c>
      <c r="C13379" t="s">
        <v>278</v>
      </c>
      <c r="D13379" t="s">
        <v>407</v>
      </c>
      <c r="F13379">
        <f>HYPERLINK("https://www.wikidata.org/wiki/Q28494839", "Q28494839")</f>
        <v>0</v>
      </c>
      <c r="G13379" t="s">
        <v>1632</v>
      </c>
      <c r="H13379" t="s">
        <v>6317</v>
      </c>
      <c r="I13379" t="s">
        <v>6759</v>
      </c>
      <c r="J13379" t="s">
        <v>12339</v>
      </c>
      <c r="K13379" t="s">
        <v>16748</v>
      </c>
      <c r="L13379">
        <f>HYPERLINK("https://www2.assemblee-nationale.fr/sycomore/fiche/(num_dept)/7066", "7066")</f>
        <v>0</v>
      </c>
      <c r="M13379">
        <f>HYPERLINK("https://www.senat.fr/senateur-3eme-republique/thoumyre_robert1579r3.html", "thoumyre_robert1579r3")</f>
        <v>0</v>
      </c>
      <c r="N13379">
        <f>HYPERLINK("https://www.wikidata.org/wiki/Q3436407", "Q3436407")</f>
        <v>0</v>
      </c>
      <c r="O13379" t="s">
        <v>19978</v>
      </c>
      <c r="Q13379" t="s">
        <v>21338</v>
      </c>
      <c r="R13379" t="s">
        <v>21650</v>
      </c>
      <c r="S13379">
        <v>3568</v>
      </c>
    </row>
    <row r="13380" spans="1:19">
      <c r="A13380" t="s">
        <v>146</v>
      </c>
      <c r="B13380" t="s">
        <v>150</v>
      </c>
      <c r="C13380" t="s">
        <v>278</v>
      </c>
      <c r="D13380" t="s">
        <v>407</v>
      </c>
      <c r="F13380">
        <f>HYPERLINK("https://www.wikidata.org/wiki/Q28494839", "Q28494839")</f>
        <v>0</v>
      </c>
      <c r="G13380" t="s">
        <v>2204</v>
      </c>
      <c r="H13380" t="s">
        <v>6814</v>
      </c>
      <c r="I13380" t="s">
        <v>10115</v>
      </c>
      <c r="J13380" t="s">
        <v>11274</v>
      </c>
      <c r="K13380" t="s">
        <v>17278</v>
      </c>
      <c r="L13380">
        <f>HYPERLINK("https://www2.assemblee-nationale.fr/sycomore/fiche/(num_dept)/7070", "7070")</f>
        <v>0</v>
      </c>
      <c r="M13380">
        <f>HYPERLINK("https://www.senat.fr/senateur-3eme-republique/thureau_dangin_jean1599r3.html", "thureau_dangin_jean1599r3")</f>
        <v>0</v>
      </c>
      <c r="N13380">
        <f>HYPERLINK("https://www.wikidata.org/wiki/Q3174798", "Q3174798")</f>
        <v>0</v>
      </c>
      <c r="O13380" t="s">
        <v>19978</v>
      </c>
      <c r="Q13380" t="s">
        <v>21338</v>
      </c>
      <c r="R13380" t="s">
        <v>17278</v>
      </c>
      <c r="S13380">
        <v>2471</v>
      </c>
    </row>
    <row r="13381" spans="1:19">
      <c r="A13381" t="s">
        <v>146</v>
      </c>
      <c r="B13381" t="s">
        <v>150</v>
      </c>
      <c r="C13381" t="s">
        <v>278</v>
      </c>
      <c r="D13381" t="s">
        <v>407</v>
      </c>
      <c r="F13381">
        <f>HYPERLINK("https://www.wikidata.org/wiki/Q28494839", "Q28494839")</f>
        <v>0</v>
      </c>
      <c r="G13381" t="s">
        <v>1210</v>
      </c>
      <c r="H13381" t="s">
        <v>5938</v>
      </c>
      <c r="I13381" t="s">
        <v>6495</v>
      </c>
      <c r="J13381" t="s">
        <v>11942</v>
      </c>
      <c r="K13381" t="s">
        <v>16344</v>
      </c>
      <c r="L13381">
        <f>HYPERLINK("https://www2.assemblee-nationale.fr/sycomore/fiche/(num_dept)/7388", "7388")</f>
        <v>0</v>
      </c>
      <c r="M13381">
        <f>HYPERLINK("https://www.senat.fr/senateur-3eme-republique/viellard_louis1820r3.html", "viellard_louis1820r3")</f>
        <v>0</v>
      </c>
      <c r="N13381">
        <f>HYPERLINK("https://www.wikidata.org/wiki/Q3263279", "Q3263279")</f>
        <v>0</v>
      </c>
      <c r="O13381" t="s">
        <v>20400</v>
      </c>
      <c r="Q13381" t="s">
        <v>21338</v>
      </c>
      <c r="R13381" t="s">
        <v>21650</v>
      </c>
      <c r="S13381">
        <v>3568</v>
      </c>
    </row>
    <row r="13382" spans="1:19">
      <c r="A13382" t="s">
        <v>146</v>
      </c>
      <c r="B13382" t="s">
        <v>150</v>
      </c>
      <c r="C13382" t="s">
        <v>278</v>
      </c>
      <c r="D13382" t="s">
        <v>407</v>
      </c>
      <c r="F13382">
        <f>HYPERLINK("https://www.wikidata.org/wiki/Q28494839", "Q28494839")</f>
        <v>0</v>
      </c>
      <c r="G13382" t="s">
        <v>1323</v>
      </c>
      <c r="H13382" t="s">
        <v>6042</v>
      </c>
      <c r="I13382" t="s">
        <v>6860</v>
      </c>
      <c r="J13382" t="s">
        <v>12052</v>
      </c>
      <c r="K13382" t="s">
        <v>16453</v>
      </c>
      <c r="L13382">
        <f>HYPERLINK("https://www2.assemblee-nationale.fr/sycomore/fiche/(num_dept)/7519", "7519")</f>
        <v>0</v>
      </c>
      <c r="M13382">
        <f>HYPERLINK("https://www.senat.fr/senateur-3eme-republique/laval_pierre1565r3.html", "laval_pierre1565r3")</f>
        <v>0</v>
      </c>
      <c r="N13382">
        <f>HYPERLINK("https://www.wikidata.org/wiki/Q151983", "Q151983")</f>
        <v>0</v>
      </c>
      <c r="O13382" t="s">
        <v>20005</v>
      </c>
      <c r="Q13382" t="s">
        <v>21338</v>
      </c>
      <c r="R13382" t="s">
        <v>376</v>
      </c>
      <c r="S13382">
        <v>10</v>
      </c>
    </row>
    <row r="13383" spans="1:19">
      <c r="A13383" t="s">
        <v>146</v>
      </c>
      <c r="B13383" t="s">
        <v>150</v>
      </c>
      <c r="C13383" t="s">
        <v>278</v>
      </c>
      <c r="D13383" t="s">
        <v>407</v>
      </c>
      <c r="F13383">
        <f>HYPERLINK("https://www.wikidata.org/wiki/Q28494839", "Q28494839")</f>
        <v>0</v>
      </c>
      <c r="G13383" t="s">
        <v>1114</v>
      </c>
      <c r="H13383" t="s">
        <v>5855</v>
      </c>
      <c r="I13383" t="s">
        <v>6585</v>
      </c>
      <c r="J13383" t="s">
        <v>11848</v>
      </c>
      <c r="K13383" t="s">
        <v>16250</v>
      </c>
      <c r="L13383">
        <f>HYPERLINK("https://www2.assemblee-nationale.fr/sycomore/fiche/(num_dept)/7530", "7530")</f>
        <v>0</v>
      </c>
      <c r="M13383">
        <f>HYPERLINK("https://www.senat.fr/senateur-3eme-republique/lavoinne_andre1612r3.html", "lavoinne_andre1612r3")</f>
        <v>0</v>
      </c>
      <c r="N13383">
        <f>HYPERLINK("https://www.wikidata.org/wiki/Q2848110", "Q2848110")</f>
        <v>0</v>
      </c>
      <c r="O13383" t="s">
        <v>19978</v>
      </c>
      <c r="Q13383" t="s">
        <v>21338</v>
      </c>
      <c r="R13383" t="s">
        <v>21650</v>
      </c>
      <c r="S13383">
        <v>3568</v>
      </c>
    </row>
    <row r="13384" spans="1:19">
      <c r="A13384" t="s">
        <v>146</v>
      </c>
      <c r="B13384" t="s">
        <v>150</v>
      </c>
      <c r="C13384" t="s">
        <v>278</v>
      </c>
      <c r="D13384" t="s">
        <v>407</v>
      </c>
      <c r="F13384">
        <f>HYPERLINK("https://www.wikidata.org/wiki/Q28494839", "Q28494839")</f>
        <v>0</v>
      </c>
      <c r="G13384" t="s">
        <v>1076</v>
      </c>
      <c r="H13384" t="s">
        <v>5820</v>
      </c>
      <c r="I13384" t="s">
        <v>9602</v>
      </c>
      <c r="J13384" t="s">
        <v>11812</v>
      </c>
      <c r="K13384" t="s">
        <v>16213</v>
      </c>
      <c r="L13384">
        <f>HYPERLINK("https://www2.assemblee-nationale.fr/sycomore/fiche/(num_dept)/7691", "7691")</f>
        <v>0</v>
      </c>
      <c r="M13384">
        <f>HYPERLINK("https://www.senat.fr/senateur-3eme-republique/lefebvre_du_prey_edmond0976r3.html", "lefebvre_du_prey_edmond0976r3")</f>
        <v>0</v>
      </c>
      <c r="N13384">
        <f>HYPERLINK("https://www.wikidata.org/wiki/Q1285694", "Q1285694")</f>
        <v>0</v>
      </c>
      <c r="O13384" t="s">
        <v>19968</v>
      </c>
      <c r="Q13384" t="s">
        <v>21338</v>
      </c>
      <c r="R13384" t="s">
        <v>21650</v>
      </c>
      <c r="S13384">
        <v>3568</v>
      </c>
    </row>
    <row r="13385" spans="1:19">
      <c r="A13385" t="s">
        <v>146</v>
      </c>
      <c r="B13385" t="s">
        <v>150</v>
      </c>
      <c r="C13385" t="s">
        <v>278</v>
      </c>
      <c r="D13385" t="s">
        <v>407</v>
      </c>
      <c r="F13385">
        <f>HYPERLINK("https://www.wikidata.org/wiki/Q28494839", "Q28494839")</f>
        <v>0</v>
      </c>
      <c r="G13385" t="s">
        <v>1667</v>
      </c>
      <c r="H13385" t="s">
        <v>6347</v>
      </c>
      <c r="I13385" t="s">
        <v>6200</v>
      </c>
      <c r="J13385" t="s">
        <v>12373</v>
      </c>
      <c r="K13385" t="s">
        <v>16781</v>
      </c>
      <c r="L13385">
        <f>HYPERLINK("https://www2.assemblee-nationale.fr/sycomore/fiche/(num_dept)/7822", "7822")</f>
        <v>0</v>
      </c>
      <c r="M13385">
        <f>HYPERLINK("https://www.senat.fr/senateur-3eme-republique/de_leusse_jean1109r3.html", "de_leusse_jean1109r3")</f>
        <v>0</v>
      </c>
      <c r="N13385">
        <f>HYPERLINK("https://www.wikidata.org/wiki/Q3175525", "Q3175525")</f>
        <v>0</v>
      </c>
      <c r="O13385" t="s">
        <v>20048</v>
      </c>
      <c r="Q13385" t="s">
        <v>21338</v>
      </c>
      <c r="R13385" t="s">
        <v>21650</v>
      </c>
      <c r="S13385">
        <v>3568</v>
      </c>
    </row>
    <row r="13386" spans="1:19">
      <c r="A13386" t="s">
        <v>146</v>
      </c>
      <c r="B13386" t="s">
        <v>150</v>
      </c>
      <c r="C13386" t="s">
        <v>278</v>
      </c>
      <c r="D13386" t="s">
        <v>407</v>
      </c>
      <c r="F13386">
        <f>HYPERLINK("https://www.wikidata.org/wiki/Q28494839", "Q28494839")</f>
        <v>0</v>
      </c>
      <c r="G13386" t="s">
        <v>1978</v>
      </c>
      <c r="H13386" t="s">
        <v>6616</v>
      </c>
      <c r="I13386" t="s">
        <v>6200</v>
      </c>
      <c r="J13386" t="s">
        <v>12659</v>
      </c>
      <c r="K13386" t="s">
        <v>17069</v>
      </c>
      <c r="L13386">
        <f>HYPERLINK("https://www2.assemblee-nationale.fr/sycomore/fiche/(num_dept)/7868", "7868")</f>
        <v>0</v>
      </c>
      <c r="M13386">
        <f>HYPERLINK("https://www.senat.fr/senateur-3eme-republique/lissar_jean1061r3.html", "lissar_jean1061r3")</f>
        <v>0</v>
      </c>
      <c r="N13386">
        <f>HYPERLINK("https://www.wikidata.org/wiki/Q3173228", "Q3173228")</f>
        <v>0</v>
      </c>
      <c r="O13386" t="s">
        <v>19970</v>
      </c>
      <c r="Q13386" t="s">
        <v>21338</v>
      </c>
      <c r="R13386" t="s">
        <v>21650</v>
      </c>
      <c r="S13386">
        <v>3568</v>
      </c>
    </row>
    <row r="13387" spans="1:19">
      <c r="A13387" t="s">
        <v>146</v>
      </c>
      <c r="B13387" t="s">
        <v>150</v>
      </c>
      <c r="C13387" t="s">
        <v>278</v>
      </c>
      <c r="D13387" t="s">
        <v>407</v>
      </c>
      <c r="F13387">
        <f>HYPERLINK("https://www.wikidata.org/wiki/Q28494839", "Q28494839")</f>
        <v>0</v>
      </c>
      <c r="G13387" t="s">
        <v>5145</v>
      </c>
      <c r="H13387" t="s">
        <v>9265</v>
      </c>
      <c r="I13387" t="s">
        <v>5445</v>
      </c>
      <c r="J13387" t="s">
        <v>15552</v>
      </c>
      <c r="K13387" t="s">
        <v>19853</v>
      </c>
      <c r="M13387">
        <f>HYPERLINK("https://www.senat.fr/senateur-3eme-republique/d_andlau_de_hombourg_hubert1107r3.html", "d_andlau_de_hombourg_hubert1107r3")</f>
        <v>0</v>
      </c>
      <c r="N13387">
        <f>HYPERLINK("https://www.wikidata.org/wiki/Q1299805", "Q1299805")</f>
        <v>0</v>
      </c>
      <c r="O13387" t="s">
        <v>20048</v>
      </c>
      <c r="Q13387" t="s">
        <v>21338</v>
      </c>
      <c r="R13387" t="s">
        <v>21650</v>
      </c>
      <c r="S13387">
        <v>3568</v>
      </c>
    </row>
    <row r="13388" spans="1:19">
      <c r="A13388" t="s">
        <v>146</v>
      </c>
      <c r="B13388" t="s">
        <v>150</v>
      </c>
      <c r="C13388" t="s">
        <v>278</v>
      </c>
      <c r="D13388" t="s">
        <v>407</v>
      </c>
      <c r="F13388">
        <f>HYPERLINK("https://www.wikidata.org/wiki/Q28494839", "Q28494839")</f>
        <v>0</v>
      </c>
      <c r="G13388" t="s">
        <v>5205</v>
      </c>
      <c r="H13388" t="s">
        <v>9320</v>
      </c>
      <c r="I13388" t="s">
        <v>11242</v>
      </c>
      <c r="J13388" t="s">
        <v>15602</v>
      </c>
      <c r="K13388" t="s">
        <v>19905</v>
      </c>
      <c r="M13388">
        <f>HYPERLINK("https://www.senat.fr/senateur-3eme-republique/urban_jean_jacques1103r3.html", "urban_jean_jacques1103r3")</f>
        <v>0</v>
      </c>
      <c r="N13388">
        <f>HYPERLINK("https://www.wikidata.org/wiki/Q3166433", "Q3166433")</f>
        <v>0</v>
      </c>
      <c r="O13388" t="s">
        <v>20048</v>
      </c>
      <c r="Q13388" t="s">
        <v>21338</v>
      </c>
      <c r="R13388" t="s">
        <v>17346</v>
      </c>
      <c r="S13388">
        <v>3274</v>
      </c>
    </row>
    <row r="13389" spans="1:19">
      <c r="A13389" t="s">
        <v>146</v>
      </c>
      <c r="B13389" t="s">
        <v>150</v>
      </c>
      <c r="C13389" t="s">
        <v>278</v>
      </c>
      <c r="D13389" t="s">
        <v>407</v>
      </c>
      <c r="F13389">
        <f>HYPERLINK("https://www.wikidata.org/wiki/Q28494839", "Q28494839")</f>
        <v>0</v>
      </c>
      <c r="G13389" t="s">
        <v>5206</v>
      </c>
      <c r="H13389" t="s">
        <v>9321</v>
      </c>
      <c r="I13389" t="s">
        <v>9407</v>
      </c>
      <c r="J13389" t="s">
        <v>15603</v>
      </c>
      <c r="K13389" t="s">
        <v>16816</v>
      </c>
      <c r="M13389">
        <f>HYPERLINK("https://www.senat.fr/senateur-3eme-republique/sigrist_joseph1105r3.html", "sigrist_joseph1105r3")</f>
        <v>0</v>
      </c>
      <c r="N13389">
        <f>HYPERLINK("https://www.wikidata.org/wiki/Q3185639", "Q3185639")</f>
        <v>0</v>
      </c>
      <c r="O13389" t="s">
        <v>20048</v>
      </c>
      <c r="Q13389" t="s">
        <v>21338</v>
      </c>
      <c r="R13389" t="s">
        <v>17346</v>
      </c>
      <c r="S13389">
        <v>3274</v>
      </c>
    </row>
    <row r="13390" spans="1:19">
      <c r="A13390" t="s">
        <v>146</v>
      </c>
      <c r="B13390" t="s">
        <v>150</v>
      </c>
      <c r="C13390" t="s">
        <v>278</v>
      </c>
      <c r="D13390" t="s">
        <v>407</v>
      </c>
      <c r="F13390">
        <f>HYPERLINK("https://www.wikidata.org/wiki/Q28494839", "Q28494839")</f>
        <v>0</v>
      </c>
      <c r="G13390" t="s">
        <v>4994</v>
      </c>
      <c r="H13390" t="s">
        <v>9127</v>
      </c>
      <c r="I13390" t="s">
        <v>9476</v>
      </c>
      <c r="J13390" t="s">
        <v>12888</v>
      </c>
      <c r="K13390" t="s">
        <v>19730</v>
      </c>
      <c r="M13390">
        <f>HYPERLINK("https://www.senat.fr/senateur-3eme-republique/hery_rene1637r3.html", "hery_rene1637r3")</f>
        <v>0</v>
      </c>
      <c r="N13390">
        <f>HYPERLINK("https://www.wikidata.org/wiki/Q3426381", "Q3426381")</f>
        <v>0</v>
      </c>
      <c r="O13390" t="s">
        <v>20021</v>
      </c>
      <c r="Q13390" t="s">
        <v>21338</v>
      </c>
      <c r="R13390" t="s">
        <v>21650</v>
      </c>
      <c r="S13390">
        <v>3568</v>
      </c>
    </row>
    <row r="13391" spans="1:19">
      <c r="A13391" t="s">
        <v>146</v>
      </c>
      <c r="B13391" t="s">
        <v>150</v>
      </c>
      <c r="C13391" t="s">
        <v>278</v>
      </c>
      <c r="D13391" t="s">
        <v>407</v>
      </c>
      <c r="F13391">
        <f>HYPERLINK("https://www.wikidata.org/wiki/Q28494839", "Q28494839")</f>
        <v>0</v>
      </c>
      <c r="G13391" t="s">
        <v>5202</v>
      </c>
      <c r="H13391" t="s">
        <v>9317</v>
      </c>
      <c r="I13391" t="s">
        <v>9388</v>
      </c>
      <c r="J13391" t="s">
        <v>15599</v>
      </c>
      <c r="K13391" t="s">
        <v>19902</v>
      </c>
      <c r="M13391">
        <f>HYPERLINK("https://www.senat.fr/senateur-3eme-republique/ostermann_paul1118r3.html", "ostermann_paul1118r3")</f>
        <v>0</v>
      </c>
      <c r="N13391">
        <f>HYPERLINK("https://www.wikidata.org/wiki/Q3371940", "Q3371940")</f>
        <v>0</v>
      </c>
      <c r="O13391" t="s">
        <v>20049</v>
      </c>
      <c r="Q13391" t="s">
        <v>21338</v>
      </c>
      <c r="R13391" t="s">
        <v>21650</v>
      </c>
      <c r="S13391">
        <v>3568</v>
      </c>
    </row>
    <row r="13392" spans="1:19">
      <c r="A13392" t="s">
        <v>146</v>
      </c>
      <c r="B13392" t="s">
        <v>150</v>
      </c>
      <c r="C13392" t="s">
        <v>278</v>
      </c>
      <c r="D13392" t="s">
        <v>407</v>
      </c>
      <c r="F13392">
        <f>HYPERLINK("https://www.wikidata.org/wiki/Q28494839", "Q28494839")</f>
        <v>0</v>
      </c>
      <c r="G13392" t="s">
        <v>5207</v>
      </c>
      <c r="H13392" t="s">
        <v>9191</v>
      </c>
      <c r="I13392" t="s">
        <v>11243</v>
      </c>
      <c r="J13392" t="s">
        <v>15604</v>
      </c>
      <c r="K13392" t="s">
        <v>19906</v>
      </c>
      <c r="M13392">
        <f>HYPERLINK("https://www.senat.fr/senateur-3eme-republique/levy_moise1181r3.html", "levy_moise1181r3")</f>
        <v>0</v>
      </c>
      <c r="N13392">
        <f>HYPERLINK("https://www.wikidata.org/wiki/Q3327082", "Q3327082")</f>
        <v>0</v>
      </c>
      <c r="O13392" t="s">
        <v>20036</v>
      </c>
      <c r="Q13392" t="s">
        <v>21338</v>
      </c>
      <c r="R13392" t="s">
        <v>17346</v>
      </c>
      <c r="S13392">
        <v>3274</v>
      </c>
    </row>
    <row r="13393" spans="1:19">
      <c r="A13393" t="s">
        <v>146</v>
      </c>
      <c r="B13393" t="s">
        <v>150</v>
      </c>
      <c r="C13393" t="s">
        <v>278</v>
      </c>
      <c r="D13393" t="s">
        <v>407</v>
      </c>
      <c r="F13393">
        <f>HYPERLINK("https://www.wikidata.org/wiki/Q28494839", "Q28494839")</f>
        <v>0</v>
      </c>
      <c r="G13393" t="s">
        <v>5208</v>
      </c>
      <c r="H13393" t="s">
        <v>9322</v>
      </c>
      <c r="I13393" t="s">
        <v>6585</v>
      </c>
      <c r="J13393" t="s">
        <v>15605</v>
      </c>
      <c r="K13393" t="s">
        <v>19907</v>
      </c>
      <c r="M13393">
        <f>HYPERLINK("https://www.senat.fr/senateur-3eme-republique/maroselli_andre000746.html", "maroselli_andre000746")</f>
        <v>0</v>
      </c>
      <c r="N13393">
        <f>HYPERLINK("https://www.wikidata.org/wiki/Q2848250", "Q2848250")</f>
        <v>0</v>
      </c>
      <c r="O13393" t="s">
        <v>20036</v>
      </c>
      <c r="Q13393" t="s">
        <v>21338</v>
      </c>
      <c r="R13393" t="s">
        <v>17346</v>
      </c>
      <c r="S13393">
        <v>3274</v>
      </c>
    </row>
    <row r="13394" spans="1:19">
      <c r="A13394" t="s">
        <v>146</v>
      </c>
      <c r="B13394" t="s">
        <v>150</v>
      </c>
      <c r="C13394" t="s">
        <v>278</v>
      </c>
      <c r="D13394" t="s">
        <v>407</v>
      </c>
      <c r="F13394">
        <f>HYPERLINK("https://www.wikidata.org/wiki/Q28494839", "Q28494839")</f>
        <v>0</v>
      </c>
      <c r="G13394" t="s">
        <v>4266</v>
      </c>
      <c r="H13394" t="s">
        <v>6698</v>
      </c>
      <c r="I13394" t="s">
        <v>10909</v>
      </c>
      <c r="J13394" t="s">
        <v>14766</v>
      </c>
      <c r="K13394" t="s">
        <v>19114</v>
      </c>
      <c r="M13394">
        <f>HYPERLINK("https://www.senat.fr/senateur-3eme-republique/gallet_claudius1314r3.html", "gallet_claudius1314r3")</f>
        <v>0</v>
      </c>
      <c r="N13394">
        <f>HYPERLINK("https://www.wikidata.org/wiki/Q2978569", "Q2978569")</f>
        <v>0</v>
      </c>
      <c r="O13394" t="s">
        <v>20018</v>
      </c>
      <c r="Q13394" t="s">
        <v>21338</v>
      </c>
      <c r="R13394" t="s">
        <v>21650</v>
      </c>
      <c r="S13394">
        <v>3568</v>
      </c>
    </row>
    <row r="13395" spans="1:19">
      <c r="A13395" t="s">
        <v>146</v>
      </c>
      <c r="B13395" t="s">
        <v>150</v>
      </c>
      <c r="C13395" t="s">
        <v>278</v>
      </c>
      <c r="D13395" t="s">
        <v>407</v>
      </c>
      <c r="F13395">
        <f>HYPERLINK("https://www.wikidata.org/wiki/Q28494839", "Q28494839")</f>
        <v>0</v>
      </c>
      <c r="G13395" t="s">
        <v>5121</v>
      </c>
      <c r="H13395" t="s">
        <v>9247</v>
      </c>
      <c r="I13395" t="s">
        <v>9681</v>
      </c>
      <c r="J13395" t="s">
        <v>15531</v>
      </c>
      <c r="K13395" t="s">
        <v>19832</v>
      </c>
      <c r="M13395">
        <f>HYPERLINK("https://www.senat.fr/senateur-3eme-republique/fevre_achille1781r3.html", "fevre_achille1781r3")</f>
        <v>0</v>
      </c>
      <c r="N13395">
        <f>HYPERLINK("https://www.wikidata.org/wiki/Q2823060", "Q2823060")</f>
        <v>0</v>
      </c>
      <c r="O13395" t="s">
        <v>19977</v>
      </c>
      <c r="Q13395" t="s">
        <v>21338</v>
      </c>
      <c r="R13395" t="s">
        <v>21650</v>
      </c>
      <c r="S13395">
        <v>3568</v>
      </c>
    </row>
    <row r="13396" spans="1:19">
      <c r="A13396" t="s">
        <v>146</v>
      </c>
      <c r="B13396" t="s">
        <v>150</v>
      </c>
      <c r="C13396" t="s">
        <v>278</v>
      </c>
      <c r="D13396" t="s">
        <v>407</v>
      </c>
      <c r="F13396">
        <f>HYPERLINK("https://www.wikidata.org/wiki/Q28494839", "Q28494839")</f>
        <v>0</v>
      </c>
      <c r="G13396" t="s">
        <v>5209</v>
      </c>
      <c r="H13396" t="s">
        <v>9323</v>
      </c>
      <c r="I13396" t="s">
        <v>9465</v>
      </c>
      <c r="J13396" t="s">
        <v>15606</v>
      </c>
      <c r="K13396" t="s">
        <v>19908</v>
      </c>
      <c r="M13396">
        <f>HYPERLINK("https://www.senat.fr/senateur-3eme-republique/nicolas_eugene1794r3.html", "nicolas_eugene1794r3")</f>
        <v>0</v>
      </c>
      <c r="N13396">
        <f>HYPERLINK("https://www.wikidata.org/wiki/Q3060066", "Q3060066")</f>
        <v>0</v>
      </c>
      <c r="O13396" t="s">
        <v>19977</v>
      </c>
      <c r="Q13396" t="s">
        <v>21338</v>
      </c>
      <c r="R13396" t="s">
        <v>17346</v>
      </c>
      <c r="S13396">
        <v>3274</v>
      </c>
    </row>
    <row r="13397" spans="1:19">
      <c r="A13397" t="s">
        <v>146</v>
      </c>
      <c r="B13397" t="s">
        <v>150</v>
      </c>
      <c r="C13397" t="s">
        <v>278</v>
      </c>
      <c r="D13397" t="s">
        <v>407</v>
      </c>
      <c r="F13397">
        <f>HYPERLINK("https://www.wikidata.org/wiki/Q28494839", "Q28494839")</f>
        <v>0</v>
      </c>
      <c r="G13397" t="s">
        <v>5137</v>
      </c>
      <c r="H13397" t="s">
        <v>9259</v>
      </c>
      <c r="I13397" t="s">
        <v>11236</v>
      </c>
      <c r="J13397" t="s">
        <v>15544</v>
      </c>
      <c r="K13397" t="s">
        <v>19846</v>
      </c>
      <c r="M13397">
        <f>HYPERLINK("https://www.senat.fr/senateur-3eme-republique/fourcade_manuel1086r3.html", "fourcade_manuel1086r3")</f>
        <v>0</v>
      </c>
      <c r="N13397">
        <f>HYPERLINK("https://www.wikidata.org/wiki/Q3286809", "Q3286809")</f>
        <v>0</v>
      </c>
      <c r="O13397" t="s">
        <v>20027</v>
      </c>
      <c r="Q13397" t="s">
        <v>21338</v>
      </c>
      <c r="R13397" t="s">
        <v>21650</v>
      </c>
      <c r="S13397">
        <v>3568</v>
      </c>
    </row>
    <row r="13398" spans="1:19">
      <c r="A13398" t="s">
        <v>146</v>
      </c>
      <c r="B13398" t="s">
        <v>150</v>
      </c>
      <c r="C13398" t="s">
        <v>278</v>
      </c>
      <c r="D13398" t="s">
        <v>407</v>
      </c>
      <c r="F13398">
        <f>HYPERLINK("https://www.wikidata.org/wiki/Q28494839", "Q28494839")</f>
        <v>0</v>
      </c>
      <c r="G13398" t="s">
        <v>5210</v>
      </c>
      <c r="H13398" t="s">
        <v>9324</v>
      </c>
      <c r="I13398" t="s">
        <v>9389</v>
      </c>
      <c r="J13398" t="s">
        <v>15607</v>
      </c>
      <c r="K13398" t="s">
        <v>19909</v>
      </c>
      <c r="M13398">
        <f>HYPERLINK("https://www.senat.fr/senateur-3eme-republique/mireaux_emile1081r3.html", "mireaux_emile1081r3")</f>
        <v>0</v>
      </c>
      <c r="N13398">
        <f>HYPERLINK("https://www.wikidata.org/wiki/Q3588662", "Q3588662")</f>
        <v>0</v>
      </c>
      <c r="O13398" t="s">
        <v>20027</v>
      </c>
      <c r="Q13398" t="s">
        <v>21338</v>
      </c>
      <c r="R13398" t="s">
        <v>17346</v>
      </c>
      <c r="S13398">
        <v>3274</v>
      </c>
    </row>
    <row r="13399" spans="1:19">
      <c r="A13399" t="s">
        <v>146</v>
      </c>
      <c r="B13399" t="s">
        <v>150</v>
      </c>
      <c r="C13399" t="s">
        <v>278</v>
      </c>
      <c r="D13399" t="s">
        <v>407</v>
      </c>
      <c r="F13399">
        <f>HYPERLINK("https://www.wikidata.org/wiki/Q28494839", "Q28494839")</f>
        <v>0</v>
      </c>
      <c r="G13399" t="s">
        <v>5123</v>
      </c>
      <c r="H13399" t="s">
        <v>9249</v>
      </c>
      <c r="I13399" t="s">
        <v>6175</v>
      </c>
      <c r="J13399" t="s">
        <v>15533</v>
      </c>
      <c r="K13399" t="s">
        <v>19834</v>
      </c>
      <c r="M13399">
        <f>HYPERLINK("https://www.senat.fr/senateur-3eme-republique/dentu_georges0920r3.html", "dentu_georges0920r3")</f>
        <v>0</v>
      </c>
      <c r="N13399">
        <f>HYPERLINK("https://www.wikidata.org/wiki/Q3102594", "Q3102594")</f>
        <v>0</v>
      </c>
      <c r="O13399" t="s">
        <v>19957</v>
      </c>
      <c r="Q13399" t="s">
        <v>21338</v>
      </c>
      <c r="R13399" t="s">
        <v>21650</v>
      </c>
      <c r="S13399">
        <v>3568</v>
      </c>
    </row>
    <row r="13400" spans="1:19">
      <c r="A13400" t="s">
        <v>146</v>
      </c>
      <c r="B13400" t="s">
        <v>150</v>
      </c>
      <c r="C13400" t="s">
        <v>278</v>
      </c>
      <c r="D13400" t="s">
        <v>407</v>
      </c>
      <c r="F13400">
        <f>HYPERLINK("https://www.wikidata.org/wiki/Q28494839", "Q28494839")</f>
        <v>0</v>
      </c>
      <c r="G13400" t="s">
        <v>5050</v>
      </c>
      <c r="H13400" t="s">
        <v>9182</v>
      </c>
      <c r="I13400" t="s">
        <v>7308</v>
      </c>
      <c r="J13400" t="s">
        <v>15473</v>
      </c>
      <c r="K13400" t="s">
        <v>16848</v>
      </c>
      <c r="M13400">
        <f>HYPERLINK("https://www.senat.fr/senateur-3eme-republique/farjon_roger0971r3.html", "farjon_roger0971r3")</f>
        <v>0</v>
      </c>
      <c r="N13400">
        <f>HYPERLINK("https://www.wikidata.org/wiki/Q3438947", "Q3438947")</f>
        <v>0</v>
      </c>
      <c r="O13400" t="s">
        <v>19968</v>
      </c>
      <c r="Q13400" t="s">
        <v>21338</v>
      </c>
      <c r="R13400" t="s">
        <v>21650</v>
      </c>
      <c r="S13400">
        <v>3568</v>
      </c>
    </row>
    <row r="13401" spans="1:19">
      <c r="A13401" t="s">
        <v>146</v>
      </c>
      <c r="B13401" t="s">
        <v>150</v>
      </c>
      <c r="C13401" t="s">
        <v>278</v>
      </c>
      <c r="D13401" t="s">
        <v>407</v>
      </c>
      <c r="F13401">
        <f>HYPERLINK("https://www.wikidata.org/wiki/Q28494839", "Q28494839")</f>
        <v>0</v>
      </c>
      <c r="G13401" t="s">
        <v>5211</v>
      </c>
      <c r="H13401" t="s">
        <v>9181</v>
      </c>
      <c r="I13401" t="s">
        <v>9388</v>
      </c>
      <c r="J13401" t="s">
        <v>15608</v>
      </c>
      <c r="K13401" t="s">
        <v>19891</v>
      </c>
      <c r="M13401">
        <f>HYPERLINK("https://www.senat.fr/senateur-3eme-republique/bachelet_paul0982r3.html", "bachelet_paul0982r3")</f>
        <v>0</v>
      </c>
      <c r="N13401">
        <f>HYPERLINK("https://www.wikidata.org/wiki/Q3370538", "Q3370538")</f>
        <v>0</v>
      </c>
      <c r="O13401" t="s">
        <v>19968</v>
      </c>
      <c r="Q13401" t="s">
        <v>21338</v>
      </c>
      <c r="R13401" t="s">
        <v>17346</v>
      </c>
      <c r="S13401">
        <v>3274</v>
      </c>
    </row>
    <row r="13402" spans="1:19">
      <c r="A13402" t="s">
        <v>146</v>
      </c>
      <c r="B13402" t="s">
        <v>150</v>
      </c>
      <c r="C13402" t="s">
        <v>278</v>
      </c>
      <c r="D13402" t="s">
        <v>407</v>
      </c>
      <c r="F13402">
        <f>HYPERLINK("https://www.wikidata.org/wiki/Q28494839", "Q28494839")</f>
        <v>0</v>
      </c>
      <c r="G13402" t="s">
        <v>5170</v>
      </c>
      <c r="H13402" t="s">
        <v>9289</v>
      </c>
      <c r="I13402" t="s">
        <v>9388</v>
      </c>
      <c r="J13402" t="s">
        <v>15572</v>
      </c>
      <c r="K13402" t="s">
        <v>16965</v>
      </c>
      <c r="M13402">
        <f>HYPERLINK("https://www.senat.fr/senateur-3eme-republique/malsang_paul1001r3.html", "malsang_paul1001r3")</f>
        <v>0</v>
      </c>
      <c r="N13402">
        <f>HYPERLINK("https://www.wikidata.org/wiki/Q3371758", "Q3371758")</f>
        <v>0</v>
      </c>
      <c r="O13402" t="s">
        <v>20005</v>
      </c>
      <c r="Q13402" t="s">
        <v>21338</v>
      </c>
      <c r="R13402" t="s">
        <v>21650</v>
      </c>
      <c r="S13402">
        <v>3568</v>
      </c>
    </row>
    <row r="13403" spans="1:19">
      <c r="A13403" t="s">
        <v>146</v>
      </c>
      <c r="B13403" t="s">
        <v>150</v>
      </c>
      <c r="C13403" t="s">
        <v>278</v>
      </c>
      <c r="D13403" t="s">
        <v>407</v>
      </c>
      <c r="F13403">
        <f>HYPERLINK("https://www.wikidata.org/wiki/Q28494839", "Q28494839")</f>
        <v>0</v>
      </c>
      <c r="G13403" t="s">
        <v>5212</v>
      </c>
      <c r="H13403" t="s">
        <v>9325</v>
      </c>
      <c r="I13403" t="s">
        <v>6175</v>
      </c>
      <c r="J13403" t="s">
        <v>15609</v>
      </c>
      <c r="K13403" t="s">
        <v>19910</v>
      </c>
      <c r="M13403">
        <f>HYPERLINK("https://www.senat.fr/senateur-3eme-republique/pezieres_georges1099r3.html", "pezieres_georges1099r3")</f>
        <v>0</v>
      </c>
      <c r="N13403">
        <f>HYPERLINK("https://www.wikidata.org/wiki/Q3103381", "Q3103381")</f>
        <v>0</v>
      </c>
      <c r="O13403" t="s">
        <v>20001</v>
      </c>
      <c r="Q13403" t="s">
        <v>21338</v>
      </c>
      <c r="R13403" t="s">
        <v>19910</v>
      </c>
      <c r="S13403">
        <v>1873</v>
      </c>
    </row>
    <row r="13404" spans="1:19">
      <c r="A13404" t="s">
        <v>146</v>
      </c>
      <c r="B13404" t="s">
        <v>150</v>
      </c>
      <c r="C13404" t="s">
        <v>278</v>
      </c>
      <c r="D13404" t="s">
        <v>407</v>
      </c>
      <c r="F13404">
        <f>HYPERLINK("https://www.wikidata.org/wiki/Q28494839", "Q28494839")</f>
        <v>0</v>
      </c>
      <c r="G13404" t="s">
        <v>5213</v>
      </c>
      <c r="H13404" t="s">
        <v>9326</v>
      </c>
      <c r="I13404" t="s">
        <v>9606</v>
      </c>
      <c r="J13404" t="s">
        <v>15610</v>
      </c>
      <c r="K13404" t="s">
        <v>19911</v>
      </c>
      <c r="M13404">
        <f>HYPERLINK("https://www.senat.fr/senateur-3eme-republique/froget_jean_marie1146r3.html", "froget_jean_marie1146r3")</f>
        <v>0</v>
      </c>
      <c r="N13404">
        <f>HYPERLINK("https://www.wikidata.org/wiki/Q3172142", "Q3172142")</f>
        <v>0</v>
      </c>
      <c r="O13404" t="s">
        <v>19965</v>
      </c>
      <c r="Q13404" t="s">
        <v>21338</v>
      </c>
      <c r="R13404" t="s">
        <v>19911</v>
      </c>
      <c r="S13404">
        <v>2235</v>
      </c>
    </row>
    <row r="13405" spans="1:19">
      <c r="A13405" t="s">
        <v>146</v>
      </c>
      <c r="B13405" t="s">
        <v>150</v>
      </c>
      <c r="C13405" t="s">
        <v>278</v>
      </c>
      <c r="D13405" t="s">
        <v>407</v>
      </c>
      <c r="F13405">
        <f>HYPERLINK("https://www.wikidata.org/wiki/Q28494839", "Q28494839")</f>
        <v>0</v>
      </c>
      <c r="G13405" t="s">
        <v>5214</v>
      </c>
      <c r="H13405" t="s">
        <v>9327</v>
      </c>
      <c r="I13405" t="s">
        <v>9407</v>
      </c>
      <c r="J13405" t="s">
        <v>15611</v>
      </c>
      <c r="K13405" t="s">
        <v>19912</v>
      </c>
      <c r="M13405">
        <f>HYPERLINK("https://www.senat.fr/senateur-3eme-republique/depierre_joseph1152r3.html", "depierre_joseph1152r3")</f>
        <v>0</v>
      </c>
      <c r="N13405">
        <f>HYPERLINK("https://www.wikidata.org/wiki/Q3184836", "Q3184836")</f>
        <v>0</v>
      </c>
      <c r="O13405" t="s">
        <v>19965</v>
      </c>
      <c r="Q13405" t="s">
        <v>21338</v>
      </c>
      <c r="R13405" t="s">
        <v>17346</v>
      </c>
      <c r="S13405">
        <v>3274</v>
      </c>
    </row>
    <row r="13406" spans="1:19">
      <c r="A13406" t="s">
        <v>146</v>
      </c>
      <c r="B13406" t="s">
        <v>150</v>
      </c>
      <c r="C13406" t="s">
        <v>278</v>
      </c>
      <c r="D13406" t="s">
        <v>407</v>
      </c>
      <c r="F13406">
        <f>HYPERLINK("https://www.wikidata.org/wiki/Q28494839", "Q28494839")</f>
        <v>0</v>
      </c>
      <c r="G13406" t="s">
        <v>5127</v>
      </c>
      <c r="H13406" t="s">
        <v>8891</v>
      </c>
      <c r="I13406" t="s">
        <v>9506</v>
      </c>
      <c r="J13406" t="s">
        <v>15536</v>
      </c>
      <c r="K13406" t="s">
        <v>19838</v>
      </c>
      <c r="M13406">
        <f>HYPERLINK("https://www.senat.fr/senateur-3eme-republique/rolland_camille1131r3.html", "rolland_camille1131r3")</f>
        <v>0</v>
      </c>
      <c r="N13406">
        <f>HYPERLINK("https://www.wikidata.org/wiki/Q2935065", "Q2935065")</f>
        <v>0</v>
      </c>
      <c r="O13406" t="s">
        <v>19965</v>
      </c>
      <c r="Q13406" t="s">
        <v>21338</v>
      </c>
      <c r="R13406" t="s">
        <v>21650</v>
      </c>
      <c r="S13406">
        <v>3568</v>
      </c>
    </row>
    <row r="13407" spans="1:19">
      <c r="A13407" t="s">
        <v>146</v>
      </c>
      <c r="B13407" t="s">
        <v>150</v>
      </c>
      <c r="C13407" t="s">
        <v>278</v>
      </c>
      <c r="D13407" t="s">
        <v>407</v>
      </c>
      <c r="F13407">
        <f>HYPERLINK("https://www.wikidata.org/wiki/Q28494839", "Q28494839")</f>
        <v>0</v>
      </c>
      <c r="G13407" t="s">
        <v>5171</v>
      </c>
      <c r="H13407" t="s">
        <v>9290</v>
      </c>
      <c r="I13407" t="s">
        <v>11239</v>
      </c>
      <c r="J13407" t="s">
        <v>15573</v>
      </c>
      <c r="K13407" t="s">
        <v>19876</v>
      </c>
      <c r="M13407">
        <f>HYPERLINK("https://www.senat.fr/senateur-3eme-republique/cochard_philibert1222r3.html", "cochard_philibert1222r3")</f>
        <v>0</v>
      </c>
      <c r="N13407">
        <f>HYPERLINK("https://www.wikidata.org/wiki/Q3378921", "Q3378921")</f>
        <v>0</v>
      </c>
      <c r="O13407" t="s">
        <v>19994</v>
      </c>
      <c r="Q13407" t="s">
        <v>21338</v>
      </c>
      <c r="R13407" t="s">
        <v>21650</v>
      </c>
      <c r="S13407">
        <v>3568</v>
      </c>
    </row>
    <row r="13408" spans="1:19">
      <c r="A13408" t="s">
        <v>146</v>
      </c>
      <c r="B13408" t="s">
        <v>150</v>
      </c>
      <c r="C13408" t="s">
        <v>278</v>
      </c>
      <c r="D13408" t="s">
        <v>407</v>
      </c>
      <c r="F13408">
        <f>HYPERLINK("https://www.wikidata.org/wiki/Q28494839", "Q28494839")</f>
        <v>0</v>
      </c>
      <c r="G13408" t="s">
        <v>5128</v>
      </c>
      <c r="H13408" t="s">
        <v>9253</v>
      </c>
      <c r="I13408" t="s">
        <v>6200</v>
      </c>
      <c r="J13408" t="s">
        <v>15537</v>
      </c>
      <c r="K13408" t="s">
        <v>15726</v>
      </c>
      <c r="M13408">
        <f>HYPERLINK("https://www.senat.fr/senateur-3eme-republique/pelletier_jean1228r3.html", "pelletier_jean1228r3")</f>
        <v>0</v>
      </c>
      <c r="N13408">
        <f>HYPERLINK("https://www.wikidata.org/wiki/Q3173890", "Q3173890")</f>
        <v>0</v>
      </c>
      <c r="O13408" t="s">
        <v>19994</v>
      </c>
      <c r="Q13408" t="s">
        <v>21338</v>
      </c>
      <c r="R13408" t="s">
        <v>21650</v>
      </c>
      <c r="S13408">
        <v>3568</v>
      </c>
    </row>
    <row r="13409" spans="1:19">
      <c r="A13409" t="s">
        <v>146</v>
      </c>
      <c r="B13409" t="s">
        <v>150</v>
      </c>
      <c r="C13409" t="s">
        <v>278</v>
      </c>
      <c r="D13409" t="s">
        <v>407</v>
      </c>
      <c r="F13409">
        <f>HYPERLINK("https://www.wikidata.org/wiki/Q28494839", "Q28494839")</f>
        <v>0</v>
      </c>
      <c r="G13409" t="s">
        <v>5204</v>
      </c>
      <c r="H13409" t="s">
        <v>9319</v>
      </c>
      <c r="I13409" t="s">
        <v>9457</v>
      </c>
      <c r="J13409" t="s">
        <v>15601</v>
      </c>
      <c r="K13409" t="s">
        <v>19904</v>
      </c>
      <c r="M13409">
        <f>HYPERLINK("https://www.senat.fr/senateur-3eme-republique/turlier_henri1232r3.html", "turlier_henri1232r3")</f>
        <v>0</v>
      </c>
      <c r="N13409">
        <f>HYPERLINK("https://www.wikidata.org/wiki/Q3133117", "Q3133117")</f>
        <v>0</v>
      </c>
      <c r="O13409" t="s">
        <v>19994</v>
      </c>
      <c r="Q13409" t="s">
        <v>21338</v>
      </c>
      <c r="R13409" t="s">
        <v>21650</v>
      </c>
      <c r="S13409">
        <v>3568</v>
      </c>
    </row>
    <row r="13410" spans="1:19">
      <c r="A13410" t="s">
        <v>146</v>
      </c>
      <c r="B13410" t="s">
        <v>150</v>
      </c>
      <c r="C13410" t="s">
        <v>278</v>
      </c>
      <c r="D13410" t="s">
        <v>407</v>
      </c>
      <c r="F13410">
        <f>HYPERLINK("https://www.wikidata.org/wiki/Q28494839", "Q28494839")</f>
        <v>0</v>
      </c>
      <c r="G13410" t="s">
        <v>5149</v>
      </c>
      <c r="H13410" t="s">
        <v>9269</v>
      </c>
      <c r="I13410" t="s">
        <v>9385</v>
      </c>
      <c r="J13410" t="s">
        <v>15555</v>
      </c>
      <c r="K13410" t="s">
        <v>19856</v>
      </c>
      <c r="M13410">
        <f>HYPERLINK("https://www.senat.fr/senateur-3eme-republique/borgeot_charles1212r3.html", "borgeot_charles1212r3")</f>
        <v>0</v>
      </c>
      <c r="N13410">
        <f>HYPERLINK("https://www.wikidata.org/wiki/Q2958580", "Q2958580")</f>
        <v>0</v>
      </c>
      <c r="O13410" t="s">
        <v>19994</v>
      </c>
      <c r="Q13410" t="s">
        <v>21338</v>
      </c>
      <c r="R13410" t="s">
        <v>17346</v>
      </c>
      <c r="S13410">
        <v>3274</v>
      </c>
    </row>
    <row r="13411" spans="1:19">
      <c r="A13411" t="s">
        <v>146</v>
      </c>
      <c r="B13411" t="s">
        <v>150</v>
      </c>
      <c r="C13411" t="s">
        <v>278</v>
      </c>
      <c r="D13411" t="s">
        <v>407</v>
      </c>
      <c r="F13411">
        <f>HYPERLINK("https://www.wikidata.org/wiki/Q28494839", "Q28494839")</f>
        <v>0</v>
      </c>
      <c r="G13411" t="s">
        <v>4952</v>
      </c>
      <c r="H13411" t="s">
        <v>9086</v>
      </c>
      <c r="I13411" t="s">
        <v>6585</v>
      </c>
      <c r="J13411" t="s">
        <v>15392</v>
      </c>
      <c r="K13411" t="s">
        <v>19690</v>
      </c>
      <c r="M13411">
        <f>HYPERLINK("https://www.senat.fr/senateur-3eme-republique/lebert_andre1248r3.html", "lebert_andre1248r3")</f>
        <v>0</v>
      </c>
      <c r="N13411">
        <f>HYPERLINK("https://www.wikidata.org/wiki/Q2848126", "Q2848126")</f>
        <v>0</v>
      </c>
      <c r="O13411" t="s">
        <v>19956</v>
      </c>
      <c r="Q13411" t="s">
        <v>21338</v>
      </c>
      <c r="R13411" t="s">
        <v>21650</v>
      </c>
      <c r="S13411">
        <v>3568</v>
      </c>
    </row>
    <row r="13412" spans="1:19">
      <c r="A13412" t="s">
        <v>146</v>
      </c>
      <c r="B13412" t="s">
        <v>150</v>
      </c>
      <c r="C13412" t="s">
        <v>278</v>
      </c>
      <c r="D13412" t="s">
        <v>407</v>
      </c>
      <c r="F13412">
        <f>HYPERLINK("https://www.wikidata.org/wiki/Q28494839", "Q28494839")</f>
        <v>0</v>
      </c>
      <c r="G13412" t="s">
        <v>5058</v>
      </c>
      <c r="H13412" t="s">
        <v>9190</v>
      </c>
      <c r="I13412" t="s">
        <v>7642</v>
      </c>
      <c r="J13412" t="s">
        <v>15480</v>
      </c>
      <c r="K13412" t="s">
        <v>19780</v>
      </c>
      <c r="M13412">
        <f>HYPERLINK("https://www.senat.fr/senateur-3eme-republique/mollard_maurice1297r3.html", "mollard_maurice1297r3")</f>
        <v>0</v>
      </c>
      <c r="N13412">
        <f>HYPERLINK("https://www.wikidata.org/wiki/Q3301172", "Q3301172")</f>
        <v>0</v>
      </c>
      <c r="O13412" t="s">
        <v>19988</v>
      </c>
      <c r="Q13412" t="s">
        <v>21338</v>
      </c>
      <c r="R13412" t="s">
        <v>21650</v>
      </c>
      <c r="S13412">
        <v>3568</v>
      </c>
    </row>
    <row r="13413" spans="1:19">
      <c r="A13413" t="s">
        <v>146</v>
      </c>
      <c r="B13413" t="s">
        <v>150</v>
      </c>
      <c r="C13413" t="s">
        <v>278</v>
      </c>
      <c r="D13413" t="s">
        <v>407</v>
      </c>
      <c r="F13413">
        <f>HYPERLINK("https://www.wikidata.org/wiki/Q28494839", "Q28494839")</f>
        <v>0</v>
      </c>
      <c r="G13413" t="s">
        <v>4976</v>
      </c>
      <c r="H13413" t="s">
        <v>9109</v>
      </c>
      <c r="I13413" t="s">
        <v>6166</v>
      </c>
      <c r="J13413" t="s">
        <v>12313</v>
      </c>
      <c r="K13413" t="s">
        <v>19713</v>
      </c>
      <c r="M13413">
        <f>HYPERLINK("https://www.senat.fr/senateur-3eme-republique/milan_francois1305r3.html", "milan_francois1305r3")</f>
        <v>0</v>
      </c>
      <c r="N13413">
        <f>HYPERLINK("https://www.wikidata.org/wiki/Q3085361", "Q3085361")</f>
        <v>0</v>
      </c>
      <c r="O13413" t="s">
        <v>19988</v>
      </c>
      <c r="Q13413" t="s">
        <v>21338</v>
      </c>
      <c r="R13413" t="s">
        <v>21650</v>
      </c>
      <c r="S13413">
        <v>3568</v>
      </c>
    </row>
    <row r="13414" spans="1:19">
      <c r="A13414" t="s">
        <v>146</v>
      </c>
      <c r="B13414" t="s">
        <v>150</v>
      </c>
      <c r="C13414" t="s">
        <v>278</v>
      </c>
      <c r="D13414" t="s">
        <v>407</v>
      </c>
      <c r="F13414">
        <f>HYPERLINK("https://www.wikidata.org/wiki/Q28494839", "Q28494839")</f>
        <v>0</v>
      </c>
      <c r="G13414" t="s">
        <v>4346</v>
      </c>
      <c r="H13414" t="s">
        <v>8497</v>
      </c>
      <c r="I13414" t="s">
        <v>9552</v>
      </c>
      <c r="J13414" t="s">
        <v>14838</v>
      </c>
      <c r="K13414" t="s">
        <v>19180</v>
      </c>
      <c r="M13414">
        <f>HYPERLINK("https://www.senat.fr/senateur-3eme-republique/mounie_auguste1331r3.html", "mounie_auguste1331r3")</f>
        <v>0</v>
      </c>
      <c r="N13414">
        <f>HYPERLINK("https://www.wikidata.org/wiki/Q2871327", "Q2871327")</f>
        <v>0</v>
      </c>
      <c r="O13414" t="s">
        <v>19969</v>
      </c>
      <c r="Q13414" t="s">
        <v>21338</v>
      </c>
      <c r="R13414" t="s">
        <v>21650</v>
      </c>
      <c r="S13414">
        <v>3568</v>
      </c>
    </row>
    <row r="13415" spans="1:19">
      <c r="A13415" t="s">
        <v>146</v>
      </c>
      <c r="B13415" t="s">
        <v>150</v>
      </c>
      <c r="C13415" t="s">
        <v>278</v>
      </c>
      <c r="D13415" t="s">
        <v>407</v>
      </c>
      <c r="F13415">
        <f>HYPERLINK("https://www.wikidata.org/wiki/Q28494839", "Q28494839")</f>
        <v>0</v>
      </c>
      <c r="G13415" t="s">
        <v>5130</v>
      </c>
      <c r="H13415" t="s">
        <v>9255</v>
      </c>
      <c r="I13415" t="s">
        <v>6585</v>
      </c>
      <c r="J13415" t="s">
        <v>15539</v>
      </c>
      <c r="K13415" t="s">
        <v>19840</v>
      </c>
      <c r="M13415">
        <f>HYPERLINK("https://www.senat.fr/senateur-3eme-republique/morizet_andre1567r3.html", "morizet_andre1567r3")</f>
        <v>0</v>
      </c>
      <c r="N13415">
        <f>HYPERLINK("https://www.wikidata.org/wiki/Q2848326", "Q2848326")</f>
        <v>0</v>
      </c>
      <c r="O13415" t="s">
        <v>19969</v>
      </c>
      <c r="Q13415" t="s">
        <v>21338</v>
      </c>
      <c r="R13415" t="s">
        <v>21650</v>
      </c>
      <c r="S13415">
        <v>3568</v>
      </c>
    </row>
    <row r="13416" spans="1:19">
      <c r="A13416" t="s">
        <v>146</v>
      </c>
      <c r="B13416" t="s">
        <v>150</v>
      </c>
      <c r="C13416" t="s">
        <v>278</v>
      </c>
      <c r="D13416" t="s">
        <v>407</v>
      </c>
      <c r="F13416">
        <f>HYPERLINK("https://www.wikidata.org/wiki/Q28494839", "Q28494839")</f>
        <v>0</v>
      </c>
      <c r="G13416" t="s">
        <v>4227</v>
      </c>
      <c r="H13416" t="s">
        <v>6960</v>
      </c>
      <c r="I13416" t="s">
        <v>9457</v>
      </c>
      <c r="J13416" t="s">
        <v>14735</v>
      </c>
      <c r="K13416" t="s">
        <v>17101</v>
      </c>
      <c r="M13416">
        <f>HYPERLINK("https://www.senat.fr/senateur-3eme-republique/sellier_henri1367r3.html", "sellier_henri1367r3")</f>
        <v>0</v>
      </c>
      <c r="N13416">
        <f>HYPERLINK("https://www.wikidata.org/wiki/Q3131999", "Q3131999")</f>
        <v>0</v>
      </c>
      <c r="O13416" t="s">
        <v>19969</v>
      </c>
      <c r="Q13416" t="s">
        <v>21338</v>
      </c>
      <c r="R13416" t="s">
        <v>17101</v>
      </c>
      <c r="S13416">
        <v>2871</v>
      </c>
    </row>
    <row r="13417" spans="1:19">
      <c r="A13417" t="s">
        <v>146</v>
      </c>
      <c r="B13417" t="s">
        <v>150</v>
      </c>
      <c r="C13417" t="s">
        <v>278</v>
      </c>
      <c r="D13417" t="s">
        <v>407</v>
      </c>
      <c r="F13417">
        <f>HYPERLINK("https://www.wikidata.org/wiki/Q28494839", "Q28494839")</f>
        <v>0</v>
      </c>
      <c r="G13417" t="s">
        <v>5131</v>
      </c>
      <c r="H13417" t="s">
        <v>9181</v>
      </c>
      <c r="I13417" t="s">
        <v>9553</v>
      </c>
      <c r="J13417" t="s">
        <v>15540</v>
      </c>
      <c r="K13417" t="s">
        <v>19841</v>
      </c>
      <c r="M13417">
        <f>HYPERLINK("https://www.senat.fr/senateur-3eme-republique/bachelet_alexandre1563r3.html", "bachelet_alexandre1563r3")</f>
        <v>0</v>
      </c>
      <c r="N13417">
        <f>HYPERLINK("https://www.wikidata.org/wiki/Q2833420", "Q2833420")</f>
        <v>0</v>
      </c>
      <c r="O13417" t="s">
        <v>19969</v>
      </c>
      <c r="Q13417" t="s">
        <v>21338</v>
      </c>
      <c r="R13417" t="s">
        <v>21650</v>
      </c>
      <c r="S13417">
        <v>3568</v>
      </c>
    </row>
    <row r="13418" spans="1:19">
      <c r="A13418" t="s">
        <v>146</v>
      </c>
      <c r="B13418" t="s">
        <v>150</v>
      </c>
      <c r="C13418" t="s">
        <v>278</v>
      </c>
      <c r="D13418" t="s">
        <v>407</v>
      </c>
      <c r="F13418">
        <f>HYPERLINK("https://www.wikidata.org/wiki/Q28494839", "Q28494839")</f>
        <v>0</v>
      </c>
      <c r="G13418" t="s">
        <v>5215</v>
      </c>
      <c r="H13418" t="s">
        <v>9328</v>
      </c>
      <c r="I13418" t="s">
        <v>9388</v>
      </c>
      <c r="J13418" t="s">
        <v>15612</v>
      </c>
      <c r="K13418" t="s">
        <v>19913</v>
      </c>
      <c r="M13418">
        <f>HYPERLINK("https://www.senat.fr/senateur-3eme-republique/fleurot_paul1337r3.html", "fleurot_paul1337r3")</f>
        <v>0</v>
      </c>
      <c r="N13418">
        <f>HYPERLINK("https://www.wikidata.org/wiki/Q3371215", "Q3371215")</f>
        <v>0</v>
      </c>
      <c r="O13418" t="s">
        <v>19969</v>
      </c>
      <c r="Q13418" t="s">
        <v>21338</v>
      </c>
      <c r="R13418" t="s">
        <v>17346</v>
      </c>
      <c r="S13418">
        <v>3274</v>
      </c>
    </row>
    <row r="13419" spans="1:19">
      <c r="A13419" t="s">
        <v>146</v>
      </c>
      <c r="B13419" t="s">
        <v>150</v>
      </c>
      <c r="C13419" t="s">
        <v>278</v>
      </c>
      <c r="D13419" t="s">
        <v>407</v>
      </c>
      <c r="F13419">
        <f>HYPERLINK("https://www.wikidata.org/wiki/Q28494839", "Q28494839")</f>
        <v>0</v>
      </c>
      <c r="G13419" t="s">
        <v>5216</v>
      </c>
      <c r="H13419" t="s">
        <v>9329</v>
      </c>
      <c r="I13419" t="s">
        <v>9476</v>
      </c>
      <c r="J13419" t="s">
        <v>15613</v>
      </c>
      <c r="K13419" t="s">
        <v>19914</v>
      </c>
      <c r="M13419">
        <f>HYPERLINK("https://www.senat.fr/senateur-3eme-republique/courtier_rene1593r3.html", "courtier_rene1593r3")</f>
        <v>0</v>
      </c>
      <c r="N13419">
        <f>HYPERLINK("https://www.wikidata.org/wiki/Q3426044", "Q3426044")</f>
        <v>0</v>
      </c>
      <c r="O13419" t="s">
        <v>20026</v>
      </c>
      <c r="Q13419" t="s">
        <v>21338</v>
      </c>
      <c r="R13419" t="s">
        <v>17346</v>
      </c>
      <c r="S13419">
        <v>3274</v>
      </c>
    </row>
    <row r="13420" spans="1:19">
      <c r="A13420" t="s">
        <v>146</v>
      </c>
      <c r="B13420" t="s">
        <v>150</v>
      </c>
      <c r="C13420" t="s">
        <v>278</v>
      </c>
      <c r="D13420" t="s">
        <v>407</v>
      </c>
      <c r="F13420">
        <f>HYPERLINK("https://www.wikidata.org/wiki/Q28494839", "Q28494839")</f>
        <v>0</v>
      </c>
      <c r="G13420" t="s">
        <v>5217</v>
      </c>
      <c r="H13420" t="s">
        <v>9330</v>
      </c>
      <c r="I13420" t="s">
        <v>9388</v>
      </c>
      <c r="J13420" t="s">
        <v>15614</v>
      </c>
      <c r="K13420" t="s">
        <v>19915</v>
      </c>
      <c r="M13420">
        <f>HYPERLINK("https://www.senat.fr/senateur-3eme-republique/brasseau_paul1659r3.html", "brasseau_paul1659r3")</f>
        <v>0</v>
      </c>
      <c r="N13420">
        <f>HYPERLINK("https://www.wikidata.org/wiki/Q3370730", "Q3370730")</f>
        <v>0</v>
      </c>
      <c r="O13420" t="s">
        <v>19976</v>
      </c>
      <c r="Q13420" t="s">
        <v>21338</v>
      </c>
      <c r="R13420" t="s">
        <v>17346</v>
      </c>
      <c r="S13420">
        <v>3274</v>
      </c>
    </row>
    <row r="13421" spans="1:19">
      <c r="A13421" t="s">
        <v>146</v>
      </c>
      <c r="B13421" t="s">
        <v>150</v>
      </c>
      <c r="C13421" t="s">
        <v>278</v>
      </c>
      <c r="D13421" t="s">
        <v>407</v>
      </c>
      <c r="F13421">
        <f>HYPERLINK("https://www.wikidata.org/wiki/Q28494839", "Q28494839")</f>
        <v>0</v>
      </c>
      <c r="G13421" t="s">
        <v>5132</v>
      </c>
      <c r="H13421" t="s">
        <v>9256</v>
      </c>
      <c r="I13421" t="s">
        <v>9470</v>
      </c>
      <c r="J13421" t="s">
        <v>15541</v>
      </c>
      <c r="K13421" t="s">
        <v>16471</v>
      </c>
      <c r="M13421">
        <f>HYPERLINK("https://www.senat.fr/senateur-3eme-republique/veyssiere_gaston1589r3.html", "veyssiere_gaston1589r3")</f>
        <v>0</v>
      </c>
      <c r="N13421">
        <f>HYPERLINK("https://www.wikidata.org/wiki/Q3099176", "Q3099176")</f>
        <v>0</v>
      </c>
      <c r="O13421" t="s">
        <v>19978</v>
      </c>
      <c r="Q13421" t="s">
        <v>21338</v>
      </c>
      <c r="R13421" t="s">
        <v>21650</v>
      </c>
      <c r="S13421">
        <v>3568</v>
      </c>
    </row>
    <row r="13422" spans="1:19">
      <c r="A13422" t="s">
        <v>146</v>
      </c>
      <c r="B13422" t="s">
        <v>150</v>
      </c>
      <c r="C13422" t="s">
        <v>278</v>
      </c>
      <c r="D13422" t="s">
        <v>407</v>
      </c>
      <c r="F13422">
        <f>HYPERLINK("https://www.wikidata.org/wiki/Q28494839", "Q28494839")</f>
        <v>0</v>
      </c>
      <c r="G13422" t="s">
        <v>5148</v>
      </c>
      <c r="H13422" t="s">
        <v>9268</v>
      </c>
      <c r="I13422" t="s">
        <v>6478</v>
      </c>
      <c r="J13422" t="s">
        <v>15554</v>
      </c>
      <c r="K13422" t="s">
        <v>16536</v>
      </c>
      <c r="M13422">
        <f>HYPERLINK("https://www.senat.fr/senateur-3eme-republique/bourdeaux_henry1685r3.html", "bourdeaux_henry1685r3")</f>
        <v>0</v>
      </c>
      <c r="N13422">
        <f>HYPERLINK("https://www.wikidata.org/wiki/Q3132649", "Q3132649")</f>
        <v>0</v>
      </c>
      <c r="O13422" t="s">
        <v>20012</v>
      </c>
      <c r="Q13422" t="s">
        <v>21338</v>
      </c>
      <c r="R13422" t="s">
        <v>21650</v>
      </c>
      <c r="S13422">
        <v>3568</v>
      </c>
    </row>
    <row r="13423" spans="1:19">
      <c r="A13423" t="s">
        <v>146</v>
      </c>
      <c r="B13423" t="s">
        <v>150</v>
      </c>
      <c r="C13423" t="s">
        <v>278</v>
      </c>
      <c r="D13423" t="s">
        <v>407</v>
      </c>
      <c r="F13423">
        <f>HYPERLINK("https://www.wikidata.org/wiki/Q28494839", "Q28494839")</f>
        <v>0</v>
      </c>
      <c r="G13423" t="s">
        <v>5218</v>
      </c>
      <c r="H13423" t="s">
        <v>9331</v>
      </c>
      <c r="I13423" t="s">
        <v>9407</v>
      </c>
      <c r="J13423" t="s">
        <v>15615</v>
      </c>
      <c r="K13423" t="s">
        <v>19916</v>
      </c>
      <c r="M13423">
        <f>HYPERLINK("https://www.senat.fr/senateur-3eme-republique/harent_joseph1674r3.html", "harent_joseph1674r3")</f>
        <v>0</v>
      </c>
      <c r="N13423">
        <f>HYPERLINK("https://www.wikidata.org/wiki/Q3185064", "Q3185064")</f>
        <v>0</v>
      </c>
      <c r="O13423" t="s">
        <v>20012</v>
      </c>
      <c r="Q13423" t="s">
        <v>21338</v>
      </c>
      <c r="R13423" t="s">
        <v>17346</v>
      </c>
      <c r="S13423">
        <v>3274</v>
      </c>
    </row>
    <row r="13424" spans="1:19">
      <c r="A13424" t="s">
        <v>146</v>
      </c>
      <c r="B13424" t="s">
        <v>150</v>
      </c>
      <c r="C13424" t="s">
        <v>278</v>
      </c>
      <c r="D13424" t="s">
        <v>407</v>
      </c>
      <c r="F13424">
        <f>HYPERLINK("https://www.wikidata.org/wiki/Q28494839", "Q28494839")</f>
        <v>0</v>
      </c>
      <c r="G13424" t="s">
        <v>5219</v>
      </c>
      <c r="H13424" t="s">
        <v>9332</v>
      </c>
      <c r="I13424" t="s">
        <v>5417</v>
      </c>
      <c r="J13424" t="s">
        <v>15616</v>
      </c>
      <c r="K13424" t="s">
        <v>19917</v>
      </c>
      <c r="M13424">
        <f>HYPERLINK("https://www.senat.fr/senateur-3eme-republique/de_berny_gerard1699r3.html", "de_berny_gerard1699r3")</f>
        <v>0</v>
      </c>
      <c r="N13424">
        <f>HYPERLINK("https://www.wikidata.org/wiki/Q3124395", "Q3124395")</f>
        <v>0</v>
      </c>
      <c r="O13424" t="s">
        <v>20012</v>
      </c>
      <c r="Q13424" t="s">
        <v>21338</v>
      </c>
      <c r="R13424" t="s">
        <v>17346</v>
      </c>
      <c r="S13424">
        <v>3274</v>
      </c>
    </row>
    <row r="13425" spans="1:19">
      <c r="A13425" t="s">
        <v>146</v>
      </c>
      <c r="B13425" t="s">
        <v>150</v>
      </c>
      <c r="C13425" t="s">
        <v>278</v>
      </c>
      <c r="D13425" t="s">
        <v>407</v>
      </c>
      <c r="F13425">
        <f>HYPERLINK("https://www.wikidata.org/wiki/Q28494839", "Q28494839")</f>
        <v>0</v>
      </c>
      <c r="G13425" t="s">
        <v>5163</v>
      </c>
      <c r="H13425" t="s">
        <v>9283</v>
      </c>
      <c r="I13425" t="s">
        <v>9446</v>
      </c>
      <c r="J13425" t="s">
        <v>15566</v>
      </c>
      <c r="K13425" t="s">
        <v>19869</v>
      </c>
      <c r="M13425">
        <f>HYPERLINK("https://www.senat.fr/senateur-3eme-republique/lavergne_fernand1695r3.html", "lavergne_fernand1695r3")</f>
        <v>0</v>
      </c>
      <c r="N13425">
        <f>HYPERLINK("https://www.wikidata.org/wiki/Q3069223", "Q3069223")</f>
        <v>0</v>
      </c>
      <c r="O13425" t="s">
        <v>19962</v>
      </c>
      <c r="Q13425" t="s">
        <v>21338</v>
      </c>
      <c r="R13425" t="s">
        <v>21650</v>
      </c>
      <c r="S13425">
        <v>3568</v>
      </c>
    </row>
    <row r="13426" spans="1:19">
      <c r="A13426" t="s">
        <v>146</v>
      </c>
      <c r="B13426" t="s">
        <v>150</v>
      </c>
      <c r="C13426" t="s">
        <v>278</v>
      </c>
      <c r="D13426" t="s">
        <v>407</v>
      </c>
      <c r="F13426">
        <f>HYPERLINK("https://www.wikidata.org/wiki/Q28494839", "Q28494839")</f>
        <v>0</v>
      </c>
      <c r="G13426" t="s">
        <v>5133</v>
      </c>
      <c r="H13426" t="s">
        <v>9257</v>
      </c>
      <c r="I13426" t="s">
        <v>6860</v>
      </c>
      <c r="J13426" t="s">
        <v>15542</v>
      </c>
      <c r="K13426" t="s">
        <v>19842</v>
      </c>
      <c r="M13426">
        <f>HYPERLINK("https://www.senat.fr/senateur-3eme-republique/loubat_pierre1698r3.html", "loubat_pierre1698r3")</f>
        <v>0</v>
      </c>
      <c r="N13426">
        <f>HYPERLINK("https://www.wikidata.org/wiki/Q3385994", "Q3385994")</f>
        <v>0</v>
      </c>
      <c r="O13426" t="s">
        <v>19962</v>
      </c>
      <c r="Q13426" t="s">
        <v>21338</v>
      </c>
      <c r="R13426" t="s">
        <v>21650</v>
      </c>
      <c r="S13426">
        <v>3568</v>
      </c>
    </row>
    <row r="13427" spans="1:19">
      <c r="A13427" t="s">
        <v>146</v>
      </c>
      <c r="B13427" t="s">
        <v>150</v>
      </c>
      <c r="C13427" t="s">
        <v>278</v>
      </c>
      <c r="D13427" t="s">
        <v>407</v>
      </c>
      <c r="F13427">
        <f>HYPERLINK("https://www.wikidata.org/wiki/Q28494839", "Q28494839")</f>
        <v>0</v>
      </c>
      <c r="G13427" t="s">
        <v>5201</v>
      </c>
      <c r="H13427" t="s">
        <v>9316</v>
      </c>
      <c r="I13427" t="s">
        <v>11241</v>
      </c>
      <c r="J13427" t="s">
        <v>15598</v>
      </c>
      <c r="K13427" t="s">
        <v>17015</v>
      </c>
      <c r="M13427">
        <f>HYPERLINK("https://www.senat.fr/senateur-3eme-republique/presseq_leopold1720r3.html", "presseq_leopold1720r3")</f>
        <v>0</v>
      </c>
      <c r="N13427">
        <f>HYPERLINK("https://www.wikidata.org/wiki/Q3271864", "Q3271864")</f>
        <v>0</v>
      </c>
      <c r="O13427" t="s">
        <v>20045</v>
      </c>
      <c r="Q13427" t="s">
        <v>21338</v>
      </c>
      <c r="R13427" t="s">
        <v>21650</v>
      </c>
      <c r="S13427">
        <v>3568</v>
      </c>
    </row>
    <row r="13428" spans="1:19">
      <c r="A13428" t="s">
        <v>146</v>
      </c>
      <c r="B13428" t="s">
        <v>150</v>
      </c>
      <c r="C13428" t="s">
        <v>278</v>
      </c>
      <c r="D13428" t="s">
        <v>407</v>
      </c>
      <c r="F13428">
        <f>HYPERLINK("https://www.wikidata.org/wiki/Q28494839", "Q28494839")</f>
        <v>0</v>
      </c>
      <c r="G13428" t="s">
        <v>5220</v>
      </c>
      <c r="H13428" t="s">
        <v>9333</v>
      </c>
      <c r="I13428" t="s">
        <v>6478</v>
      </c>
      <c r="J13428" t="s">
        <v>11466</v>
      </c>
      <c r="K13428" t="s">
        <v>19918</v>
      </c>
      <c r="M13428">
        <f>HYPERLINK("https://www.senat.fr/senateur-3eme-republique/senes_henry1740r3.html", "senes_henry1740r3")</f>
        <v>0</v>
      </c>
      <c r="N13428">
        <f>HYPERLINK("https://www.wikidata.org/wiki/Q3133099", "Q3133099")</f>
        <v>0</v>
      </c>
      <c r="O13428" t="s">
        <v>20042</v>
      </c>
      <c r="Q13428" t="s">
        <v>21338</v>
      </c>
      <c r="R13428" t="s">
        <v>17346</v>
      </c>
      <c r="S13428">
        <v>3274</v>
      </c>
    </row>
    <row r="13429" spans="1:19">
      <c r="A13429" t="s">
        <v>146</v>
      </c>
      <c r="B13429" t="s">
        <v>150</v>
      </c>
      <c r="C13429" t="s">
        <v>278</v>
      </c>
      <c r="D13429" t="s">
        <v>407</v>
      </c>
      <c r="F13429">
        <f>HYPERLINK("https://www.wikidata.org/wiki/Q28494839", "Q28494839")</f>
        <v>0</v>
      </c>
      <c r="G13429" t="s">
        <v>5221</v>
      </c>
      <c r="H13429" t="s">
        <v>9334</v>
      </c>
      <c r="I13429" t="s">
        <v>11244</v>
      </c>
      <c r="J13429" t="s">
        <v>15617</v>
      </c>
      <c r="K13429" t="s">
        <v>19919</v>
      </c>
      <c r="M13429">
        <f>HYPERLINK("https://www.senat.fr/senateur-3eme-republique/fabre_ulysse1711r3.html", "fabre_ulysse1711r3")</f>
        <v>0</v>
      </c>
      <c r="N13429">
        <f>HYPERLINK("https://www.wikidata.org/wiki/Q3548138", "Q3548138")</f>
        <v>0</v>
      </c>
      <c r="O13429" t="s">
        <v>20047</v>
      </c>
      <c r="Q13429" t="s">
        <v>21338</v>
      </c>
      <c r="R13429" t="s">
        <v>17346</v>
      </c>
      <c r="S13429">
        <v>3274</v>
      </c>
    </row>
    <row r="13430" spans="1:19">
      <c r="A13430" t="s">
        <v>146</v>
      </c>
      <c r="B13430" t="s">
        <v>150</v>
      </c>
      <c r="C13430" t="s">
        <v>278</v>
      </c>
      <c r="D13430" t="s">
        <v>407</v>
      </c>
      <c r="F13430">
        <f>HYPERLINK("https://www.wikidata.org/wiki/Q28494839", "Q28494839")</f>
        <v>0</v>
      </c>
      <c r="G13430" t="s">
        <v>1810</v>
      </c>
      <c r="H13430" t="s">
        <v>9335</v>
      </c>
      <c r="I13430" t="s">
        <v>6495</v>
      </c>
      <c r="J13430" t="s">
        <v>12328</v>
      </c>
      <c r="K13430" t="s">
        <v>16915</v>
      </c>
      <c r="M13430">
        <f>HYPERLINK("https://www.senat.fr/senateur-3eme-republique/gros_louis1706r3.html", "gros_louis1706r3")</f>
        <v>0</v>
      </c>
      <c r="N13430">
        <f>HYPERLINK("https://www.wikidata.org/wiki/Q6687634", "Q6687634")</f>
        <v>0</v>
      </c>
      <c r="O13430" t="s">
        <v>20047</v>
      </c>
      <c r="Q13430" t="s">
        <v>21338</v>
      </c>
      <c r="R13430" t="s">
        <v>21727</v>
      </c>
      <c r="S13430">
        <v>3214</v>
      </c>
    </row>
    <row r="13431" spans="1:19">
      <c r="A13431" t="s">
        <v>146</v>
      </c>
      <c r="B13431" t="s">
        <v>150</v>
      </c>
      <c r="C13431" t="s">
        <v>278</v>
      </c>
      <c r="D13431" t="s">
        <v>407</v>
      </c>
      <c r="F13431">
        <f>HYPERLINK("https://www.wikidata.org/wiki/Q28494839", "Q28494839")</f>
        <v>0</v>
      </c>
      <c r="G13431" t="s">
        <v>5193</v>
      </c>
      <c r="H13431" t="s">
        <v>9272</v>
      </c>
      <c r="I13431" t="s">
        <v>6495</v>
      </c>
      <c r="J13431" t="s">
        <v>15592</v>
      </c>
      <c r="K13431" t="s">
        <v>16578</v>
      </c>
      <c r="M13431">
        <f>HYPERLINK("https://www.senat.fr/senateur-3eme-republique/rambaud_louis1750r3.html", "rambaud_louis1750r3")</f>
        <v>0</v>
      </c>
      <c r="N13431">
        <f>HYPERLINK("https://www.wikidata.org/wiki/Q3262985", "Q3262985")</f>
        <v>0</v>
      </c>
      <c r="O13431" t="s">
        <v>19972</v>
      </c>
      <c r="Q13431" t="s">
        <v>21338</v>
      </c>
      <c r="R13431" t="s">
        <v>21650</v>
      </c>
      <c r="S13431">
        <v>3568</v>
      </c>
    </row>
    <row r="13432" spans="1:19">
      <c r="A13432" t="s">
        <v>146</v>
      </c>
      <c r="B13432" t="s">
        <v>150</v>
      </c>
      <c r="C13432" t="s">
        <v>278</v>
      </c>
      <c r="D13432" t="s">
        <v>407</v>
      </c>
      <c r="F13432">
        <f>HYPERLINK("https://www.wikidata.org/wiki/Q28494839", "Q28494839")</f>
        <v>0</v>
      </c>
      <c r="G13432" t="s">
        <v>5222</v>
      </c>
      <c r="H13432" t="s">
        <v>8656</v>
      </c>
      <c r="I13432" t="s">
        <v>10037</v>
      </c>
      <c r="J13432" t="s">
        <v>14781</v>
      </c>
      <c r="K13432" t="s">
        <v>19920</v>
      </c>
      <c r="M13432">
        <f>HYPERLINK("https://www.senat.fr/senateur-3eme-republique/robert_leopold1756r3.html", "robert_leopold1756r3")</f>
        <v>0</v>
      </c>
      <c r="N13432">
        <f>HYPERLINK("https://www.wikidata.org/wiki/Q3175127", "Q3175127")</f>
        <v>0</v>
      </c>
      <c r="O13432" t="s">
        <v>19972</v>
      </c>
      <c r="Q13432" t="s">
        <v>21338</v>
      </c>
      <c r="R13432" t="s">
        <v>17346</v>
      </c>
      <c r="S13432">
        <v>3274</v>
      </c>
    </row>
    <row r="13433" spans="1:19">
      <c r="A13433" t="s">
        <v>146</v>
      </c>
      <c r="B13433" t="s">
        <v>150</v>
      </c>
      <c r="C13433" t="s">
        <v>278</v>
      </c>
      <c r="D13433" t="s">
        <v>407</v>
      </c>
      <c r="F13433">
        <f>HYPERLINK("https://www.wikidata.org/wiki/Q28494839", "Q28494839")</f>
        <v>0</v>
      </c>
      <c r="G13433" t="s">
        <v>5223</v>
      </c>
      <c r="H13433" t="s">
        <v>9336</v>
      </c>
      <c r="I13433" t="s">
        <v>6175</v>
      </c>
      <c r="J13433" t="s">
        <v>15618</v>
      </c>
      <c r="K13433" t="s">
        <v>19921</v>
      </c>
      <c r="M13433">
        <f>HYPERLINK("https://www.senat.fr/senateur-3eme-republique/maurice_georges0465r4.html", "maurice_georges0465r4")</f>
        <v>0</v>
      </c>
      <c r="N13433">
        <f>HYPERLINK("https://www.wikidata.org/wiki/Q3103176", "Q3103176")</f>
        <v>0</v>
      </c>
      <c r="O13433" t="s">
        <v>19982</v>
      </c>
      <c r="Q13433" t="s">
        <v>21338</v>
      </c>
      <c r="R13433" t="s">
        <v>17346</v>
      </c>
      <c r="S13433">
        <v>3274</v>
      </c>
    </row>
    <row r="13434" spans="1:19">
      <c r="A13434" t="s">
        <v>146</v>
      </c>
      <c r="B13434" t="s">
        <v>150</v>
      </c>
      <c r="C13434" t="s">
        <v>278</v>
      </c>
      <c r="D13434" t="s">
        <v>407</v>
      </c>
      <c r="F13434">
        <f>HYPERLINK("https://www.wikidata.org/wiki/Q28494839", "Q28494839")</f>
        <v>0</v>
      </c>
      <c r="G13434" t="s">
        <v>5134</v>
      </c>
      <c r="H13434" t="s">
        <v>9072</v>
      </c>
      <c r="I13434" t="s">
        <v>9445</v>
      </c>
      <c r="J13434" t="s">
        <v>12956</v>
      </c>
      <c r="K13434" t="s">
        <v>19843</v>
      </c>
      <c r="M13434">
        <f>HYPERLINK("https://www.senat.fr/senateur-3eme-republique/richard_adrien1807r3.html", "richard_adrien1807r3")</f>
        <v>0</v>
      </c>
      <c r="N13434">
        <f>HYPERLINK("https://www.wikidata.org/wiki/Q2825255", "Q2825255")</f>
        <v>0</v>
      </c>
      <c r="O13434" t="s">
        <v>20017</v>
      </c>
      <c r="Q13434" t="s">
        <v>21338</v>
      </c>
      <c r="R13434" t="s">
        <v>21650</v>
      </c>
      <c r="S13434">
        <v>3568</v>
      </c>
    </row>
    <row r="13435" spans="1:19">
      <c r="A13435" t="s">
        <v>146</v>
      </c>
      <c r="B13435" t="s">
        <v>150</v>
      </c>
      <c r="C13435" t="s">
        <v>278</v>
      </c>
      <c r="D13435" t="s">
        <v>407</v>
      </c>
      <c r="F13435">
        <f>HYPERLINK("https://www.wikidata.org/wiki/Q28494839", "Q28494839")</f>
        <v>0</v>
      </c>
      <c r="G13435" t="s">
        <v>5089</v>
      </c>
      <c r="H13435" t="s">
        <v>9218</v>
      </c>
      <c r="I13435" t="s">
        <v>9457</v>
      </c>
      <c r="J13435" t="s">
        <v>15503</v>
      </c>
      <c r="K13435" t="s">
        <v>19806</v>
      </c>
      <c r="M13435">
        <f>HYPERLINK("https://www.senat.fr/senateur-3eme-republique/hamelin_henri1847r3.html", "hamelin_henri1847r3")</f>
        <v>0</v>
      </c>
      <c r="N13435">
        <f>HYPERLINK("https://www.wikidata.org/wiki/Q3131257", "Q3131257")</f>
        <v>0</v>
      </c>
      <c r="O13435" t="s">
        <v>20034</v>
      </c>
      <c r="Q13435" t="s">
        <v>21338</v>
      </c>
      <c r="R13435" t="s">
        <v>21650</v>
      </c>
      <c r="S13435">
        <v>3568</v>
      </c>
    </row>
    <row r="13436" spans="1:19">
      <c r="A13436" t="s">
        <v>146</v>
      </c>
      <c r="B13436" t="s">
        <v>150</v>
      </c>
      <c r="C13436" t="s">
        <v>278</v>
      </c>
      <c r="D13436" t="s">
        <v>407</v>
      </c>
      <c r="F13436">
        <f>HYPERLINK("https://www.wikidata.org/wiki/Q28494839", "Q28494839")</f>
        <v>0</v>
      </c>
      <c r="G13436" t="s">
        <v>5146</v>
      </c>
      <c r="H13436" t="s">
        <v>9266</v>
      </c>
      <c r="I13436" t="s">
        <v>9465</v>
      </c>
      <c r="J13436" t="s">
        <v>15553</v>
      </c>
      <c r="K13436" t="s">
        <v>19854</v>
      </c>
      <c r="M13436">
        <f>HYPERLINK("https://www.senat.fr/senateur-3eme-republique/le_moignic_eugene1836r3.html", "le_moignic_eugene1836r3")</f>
        <v>0</v>
      </c>
      <c r="N13436">
        <f>HYPERLINK("https://www.wikidata.org/wiki/Q3059976", "Q3059976")</f>
        <v>0</v>
      </c>
      <c r="Q13436" t="s">
        <v>21338</v>
      </c>
      <c r="R13436" t="s">
        <v>21650</v>
      </c>
      <c r="S13436">
        <v>3568</v>
      </c>
    </row>
    <row r="13437" spans="1:19">
      <c r="A13437" t="s">
        <v>146</v>
      </c>
      <c r="B13437" t="s">
        <v>150</v>
      </c>
      <c r="C13437" t="s">
        <v>278</v>
      </c>
      <c r="D13437" t="s">
        <v>407</v>
      </c>
      <c r="F13437">
        <f>HYPERLINK("https://www.wikidata.org/wiki/Q28494839", "Q28494839")</f>
        <v>0</v>
      </c>
      <c r="G13437" t="s">
        <v>1323</v>
      </c>
      <c r="H13437" t="s">
        <v>6042</v>
      </c>
      <c r="I13437" t="s">
        <v>6860</v>
      </c>
      <c r="J13437" t="s">
        <v>12052</v>
      </c>
      <c r="K13437" t="s">
        <v>16453</v>
      </c>
      <c r="L13437">
        <f>HYPERLINK("https://www2.assemblee-nationale.fr/sycomore/fiche/(num_dept)/7519", "7519")</f>
        <v>0</v>
      </c>
      <c r="M13437">
        <f>HYPERLINK("https://www.senat.fr/senateur-3eme-republique/laval_pierre1565r3.html", "laval_pierre1565r3")</f>
        <v>0</v>
      </c>
      <c r="N13437">
        <f>HYPERLINK("https://www.wikidata.org/wiki/Q151983", "Q151983")</f>
        <v>0</v>
      </c>
      <c r="O13437" t="s">
        <v>20005</v>
      </c>
      <c r="Q13437" t="s">
        <v>21339</v>
      </c>
      <c r="R13437" t="s">
        <v>21650</v>
      </c>
      <c r="S13437">
        <v>3557</v>
      </c>
    </row>
    <row r="13438" spans="1:19">
      <c r="A13438" t="s">
        <v>146</v>
      </c>
      <c r="B13438" t="s">
        <v>150</v>
      </c>
      <c r="C13438" t="s">
        <v>278</v>
      </c>
      <c r="D13438" t="s">
        <v>407</v>
      </c>
      <c r="F13438">
        <f>HYPERLINK("https://www.wikidata.org/wiki/Q28494839", "Q28494839")</f>
        <v>0</v>
      </c>
      <c r="G13438" t="s">
        <v>2215</v>
      </c>
      <c r="H13438" t="s">
        <v>6824</v>
      </c>
      <c r="I13438" t="s">
        <v>10120</v>
      </c>
      <c r="J13438" t="s">
        <v>12876</v>
      </c>
      <c r="K13438" t="s">
        <v>17288</v>
      </c>
      <c r="L13438">
        <f>HYPERLINK("https://www2.assemblee-nationale.fr/sycomore/fiche/(num_dept)/7734", "7734")</f>
        <v>0</v>
      </c>
      <c r="M13438">
        <f>HYPERLINK("https://www.senat.fr/senateur-3eme-republique/leguet_firmin0170r3.html", "leguet_firmin0170r3")</f>
        <v>0</v>
      </c>
      <c r="N13438">
        <f>HYPERLINK("https://www.wikidata.org/wiki/Q3072883", "Q3072883")</f>
        <v>0</v>
      </c>
      <c r="O13438" t="s">
        <v>19959</v>
      </c>
      <c r="Q13438" t="s">
        <v>16534</v>
      </c>
      <c r="R13438" t="s">
        <v>21712</v>
      </c>
      <c r="S13438">
        <v>1072</v>
      </c>
    </row>
    <row r="13439" spans="1:19">
      <c r="A13439" t="s">
        <v>146</v>
      </c>
      <c r="B13439" t="s">
        <v>150</v>
      </c>
      <c r="C13439" t="s">
        <v>278</v>
      </c>
      <c r="D13439" t="s">
        <v>407</v>
      </c>
      <c r="F13439">
        <f>HYPERLINK("https://www.wikidata.org/wiki/Q28494839", "Q28494839")</f>
        <v>0</v>
      </c>
      <c r="G13439" t="s">
        <v>1066</v>
      </c>
      <c r="H13439" t="s">
        <v>5812</v>
      </c>
      <c r="I13439" t="s">
        <v>9652</v>
      </c>
      <c r="J13439" t="s">
        <v>11803</v>
      </c>
      <c r="K13439" t="s">
        <v>16203</v>
      </c>
      <c r="L13439">
        <f>HYPERLINK("https://www2.assemblee-nationale.fr/sycomore/fiche/(num_dept)/7333", "7333")</f>
        <v>0</v>
      </c>
      <c r="M13439">
        <f>HYPERLINK("https://www.senat.fr/senateur-3eme-republique/vincent_emile0534r3.html", "vincent_emile0534r3")</f>
        <v>0</v>
      </c>
      <c r="N13439">
        <f>HYPERLINK("https://www.wikidata.org/wiki/Q3588785", "Q3588785")</f>
        <v>0</v>
      </c>
      <c r="Q13439" t="s">
        <v>21340</v>
      </c>
      <c r="R13439" t="s">
        <v>21712</v>
      </c>
      <c r="S13439">
        <v>1058</v>
      </c>
    </row>
    <row r="13440" spans="1:19">
      <c r="A13440" t="s">
        <v>146</v>
      </c>
      <c r="B13440" t="s">
        <v>150</v>
      </c>
      <c r="C13440" t="s">
        <v>278</v>
      </c>
      <c r="D13440" t="s">
        <v>407</v>
      </c>
      <c r="F13440">
        <f>HYPERLINK("https://www.wikidata.org/wiki/Q28494839", "Q28494839")</f>
        <v>0</v>
      </c>
      <c r="G13440" t="s">
        <v>1765</v>
      </c>
      <c r="H13440" t="s">
        <v>6433</v>
      </c>
      <c r="I13440" t="s">
        <v>9606</v>
      </c>
      <c r="J13440" t="s">
        <v>12464</v>
      </c>
      <c r="K13440" t="s">
        <v>16871</v>
      </c>
      <c r="L13440">
        <f>HYPERLINK("https://www2.assemblee-nationale.fr/sycomore/fiche/(num_dept)/1829", "1829")</f>
        <v>0</v>
      </c>
      <c r="M13440">
        <f>HYPERLINK("https://www.senat.fr/senateur-3eme-republique/clamamus_jean_marie1568r3.html", "clamamus_jean_marie1568r3")</f>
        <v>0</v>
      </c>
      <c r="N13440">
        <f>HYPERLINK("https://www.wikidata.org/wiki/Q3167607", "Q3167607")</f>
        <v>0</v>
      </c>
      <c r="O13440" t="s">
        <v>19969</v>
      </c>
      <c r="Q13440" t="s">
        <v>21341</v>
      </c>
      <c r="R13440" t="s">
        <v>21650</v>
      </c>
      <c r="S13440">
        <v>3528</v>
      </c>
    </row>
    <row r="13441" spans="1:19">
      <c r="A13441" t="s">
        <v>146</v>
      </c>
      <c r="B13441" t="s">
        <v>150</v>
      </c>
      <c r="C13441" t="s">
        <v>278</v>
      </c>
      <c r="D13441" t="s">
        <v>407</v>
      </c>
      <c r="F13441">
        <f>HYPERLINK("https://www.wikidata.org/wiki/Q28494839", "Q28494839")</f>
        <v>0</v>
      </c>
      <c r="G13441" t="s">
        <v>1405</v>
      </c>
      <c r="H13441" t="s">
        <v>6115</v>
      </c>
      <c r="I13441" t="s">
        <v>9506</v>
      </c>
      <c r="J13441" t="s">
        <v>12130</v>
      </c>
      <c r="K13441" t="s">
        <v>16532</v>
      </c>
      <c r="L13441">
        <f>HYPERLINK("https://www2.assemblee-nationale.fr/sycomore/fiche/(num_dept)/1536", "1536")</f>
        <v>0</v>
      </c>
      <c r="M13441">
        <f>HYPERLINK("https://www.senat.fr/senateur-3eme-republique/cautru_camille0339r3.html", "cautru_camille0339r3")</f>
        <v>0</v>
      </c>
      <c r="N13441">
        <f>HYPERLINK("https://www.wikidata.org/wiki/Q2934880", "Q2934880")</f>
        <v>0</v>
      </c>
      <c r="O13441" t="s">
        <v>20009</v>
      </c>
      <c r="Q13441" t="s">
        <v>16636</v>
      </c>
      <c r="R13441" t="s">
        <v>21712</v>
      </c>
      <c r="S13441">
        <v>925</v>
      </c>
    </row>
    <row r="13442" spans="1:19">
      <c r="A13442" t="s">
        <v>146</v>
      </c>
      <c r="B13442" t="s">
        <v>150</v>
      </c>
      <c r="C13442" t="s">
        <v>278</v>
      </c>
      <c r="D13442" t="s">
        <v>407</v>
      </c>
      <c r="F13442">
        <f>HYPERLINK("https://www.wikidata.org/wiki/Q28494839", "Q28494839")</f>
        <v>0</v>
      </c>
      <c r="G13442" t="s">
        <v>1981</v>
      </c>
      <c r="H13442" t="s">
        <v>6619</v>
      </c>
      <c r="I13442" t="s">
        <v>9474</v>
      </c>
      <c r="J13442" t="s">
        <v>12661</v>
      </c>
      <c r="K13442" t="s">
        <v>17072</v>
      </c>
      <c r="L13442">
        <f>HYPERLINK("https://www2.assemblee-nationale.fr/sycomore/fiche/(num_dept)/107", "107")</f>
        <v>0</v>
      </c>
      <c r="M13442">
        <f>HYPERLINK("https://www.senat.fr/senateur-3eme-republique/amat_jean0098r3.html", "amat_jean0098r3")</f>
        <v>0</v>
      </c>
      <c r="N13442">
        <f>HYPERLINK("https://www.wikidata.org/wiki/Q3163825", "Q3163825")</f>
        <v>0</v>
      </c>
      <c r="O13442" t="s">
        <v>20016</v>
      </c>
      <c r="Q13442" t="s">
        <v>19025</v>
      </c>
      <c r="R13442" t="s">
        <v>21724</v>
      </c>
      <c r="S13442">
        <v>1921</v>
      </c>
    </row>
    <row r="13443" spans="1:19">
      <c r="A13443" t="s">
        <v>146</v>
      </c>
      <c r="B13443" t="s">
        <v>150</v>
      </c>
      <c r="C13443" t="s">
        <v>278</v>
      </c>
      <c r="D13443" t="s">
        <v>407</v>
      </c>
      <c r="F13443">
        <f>HYPERLINK("https://www.wikidata.org/wiki/Q28494839", "Q28494839")</f>
        <v>0</v>
      </c>
      <c r="G13443" t="s">
        <v>5224</v>
      </c>
      <c r="H13443" t="s">
        <v>8609</v>
      </c>
      <c r="I13443" t="s">
        <v>9407</v>
      </c>
      <c r="J13443" t="s">
        <v>11552</v>
      </c>
      <c r="K13443" t="s">
        <v>19922</v>
      </c>
      <c r="M13443">
        <f>HYPERLINK("https://www.senat.fr/senateur-3eme-republique/blanc_joseph1316r3.html", "blanc_joseph1316r3")</f>
        <v>0</v>
      </c>
      <c r="N13443">
        <f>HYPERLINK("https://www.wikidata.org/wiki/Q3184615", "Q3184615")</f>
        <v>0</v>
      </c>
      <c r="O13443" t="s">
        <v>20018</v>
      </c>
      <c r="Q13443" t="s">
        <v>21342</v>
      </c>
      <c r="R13443" t="s">
        <v>21724</v>
      </c>
      <c r="S13443">
        <v>1893</v>
      </c>
    </row>
    <row r="13444" spans="1:19">
      <c r="A13444" t="s">
        <v>146</v>
      </c>
      <c r="B13444" t="s">
        <v>150</v>
      </c>
      <c r="C13444" t="s">
        <v>278</v>
      </c>
      <c r="D13444" t="s">
        <v>407</v>
      </c>
      <c r="F13444">
        <f>HYPERLINK("https://www.wikidata.org/wiki/Q28494839", "Q28494839")</f>
        <v>0</v>
      </c>
      <c r="G13444" t="s">
        <v>5225</v>
      </c>
      <c r="H13444" t="s">
        <v>9337</v>
      </c>
      <c r="I13444" t="s">
        <v>6175</v>
      </c>
      <c r="J13444" t="s">
        <v>12121</v>
      </c>
      <c r="K13444" t="s">
        <v>19923</v>
      </c>
      <c r="M13444">
        <f>HYPERLINK("https://www.senat.fr/senateur-3eme-republique/escande_georges0798r3.html", "escande_georges0798r3")</f>
        <v>0</v>
      </c>
      <c r="N13444">
        <f>HYPERLINK("https://www.wikidata.org/wiki/Q3102678", "Q3102678")</f>
        <v>0</v>
      </c>
      <c r="O13444" t="s">
        <v>20043</v>
      </c>
      <c r="Q13444" t="s">
        <v>21342</v>
      </c>
      <c r="R13444" t="s">
        <v>21724</v>
      </c>
      <c r="S13444">
        <v>1893</v>
      </c>
    </row>
    <row r="13445" spans="1:19">
      <c r="A13445" t="s">
        <v>146</v>
      </c>
      <c r="B13445" t="s">
        <v>150</v>
      </c>
      <c r="C13445" t="s">
        <v>278</v>
      </c>
      <c r="D13445" t="s">
        <v>407</v>
      </c>
      <c r="F13445">
        <f>HYPERLINK("https://www.wikidata.org/wiki/Q28494839", "Q28494839")</f>
        <v>0</v>
      </c>
      <c r="G13445" t="s">
        <v>5226</v>
      </c>
      <c r="H13445" t="s">
        <v>9221</v>
      </c>
      <c r="I13445" t="s">
        <v>9457</v>
      </c>
      <c r="J13445" t="s">
        <v>15619</v>
      </c>
      <c r="K13445" t="s">
        <v>19924</v>
      </c>
      <c r="M13445">
        <f>HYPERLINK("https://www.senat.fr/senateur-3eme-republique/elby_henri0978r3.html", "elby_henri0978r3")</f>
        <v>0</v>
      </c>
      <c r="N13445">
        <f>HYPERLINK("https://www.wikidata.org/wiki/Q3131043", "Q3131043")</f>
        <v>0</v>
      </c>
      <c r="O13445" t="s">
        <v>19968</v>
      </c>
      <c r="Q13445" t="s">
        <v>21343</v>
      </c>
      <c r="R13445" t="s">
        <v>17346</v>
      </c>
      <c r="S13445">
        <v>2975</v>
      </c>
    </row>
    <row r="13446" spans="1:19">
      <c r="A13446" t="s">
        <v>146</v>
      </c>
      <c r="B13446" t="s">
        <v>150</v>
      </c>
      <c r="C13446" t="s">
        <v>278</v>
      </c>
      <c r="D13446" t="s">
        <v>407</v>
      </c>
      <c r="F13446">
        <f>HYPERLINK("https://www.wikidata.org/wiki/Q28494839", "Q28494839")</f>
        <v>0</v>
      </c>
      <c r="G13446" t="s">
        <v>5227</v>
      </c>
      <c r="H13446" t="s">
        <v>9338</v>
      </c>
      <c r="I13446" t="s">
        <v>9445</v>
      </c>
      <c r="J13446" t="s">
        <v>15620</v>
      </c>
      <c r="K13446" t="s">
        <v>19925</v>
      </c>
      <c r="M13446">
        <f>HYPERLINK("https://www.senat.fr/senateur-3eme-republique/bels_adrien0083r4.html", "bels_adrien0083r4")</f>
        <v>0</v>
      </c>
      <c r="N13446">
        <f>HYPERLINK("https://www.wikidata.org/wiki/Q2825124", "Q2825124")</f>
        <v>0</v>
      </c>
      <c r="O13446" t="s">
        <v>20010</v>
      </c>
      <c r="Q13446" t="s">
        <v>15924</v>
      </c>
      <c r="R13446" t="s">
        <v>21712</v>
      </c>
      <c r="S13446">
        <v>785</v>
      </c>
    </row>
    <row r="13447" spans="1:19">
      <c r="A13447" t="s">
        <v>146</v>
      </c>
      <c r="B13447" t="s">
        <v>150</v>
      </c>
      <c r="C13447" t="s">
        <v>278</v>
      </c>
      <c r="D13447" t="s">
        <v>407</v>
      </c>
      <c r="F13447">
        <f>HYPERLINK("https://www.wikidata.org/wiki/Q28494839", "Q28494839")</f>
        <v>0</v>
      </c>
      <c r="G13447" t="s">
        <v>1455</v>
      </c>
      <c r="H13447" t="s">
        <v>6155</v>
      </c>
      <c r="I13447" t="s">
        <v>6200</v>
      </c>
      <c r="J13447" t="s">
        <v>12174</v>
      </c>
      <c r="K13447" t="s">
        <v>16580</v>
      </c>
      <c r="L13447">
        <f>HYPERLINK("https://www2.assemblee-nationale.fr/sycomore/fiche/(num_dept)/2884", "2884")</f>
        <v>0</v>
      </c>
      <c r="M13447">
        <f>HYPERLINK("https://www.senat.fr/senateur-3eme-republique/fabry_jean0685r3.html", "fabry_jean0685r3")</f>
        <v>0</v>
      </c>
      <c r="N13447">
        <f>HYPERLINK("https://www.wikidata.org/wiki/Q3171965", "Q3171965")</f>
        <v>0</v>
      </c>
      <c r="O13447" t="s">
        <v>19973</v>
      </c>
      <c r="Q13447" t="s">
        <v>21344</v>
      </c>
      <c r="R13447" t="s">
        <v>21712</v>
      </c>
      <c r="S13447">
        <v>778</v>
      </c>
    </row>
    <row r="13448" spans="1:19">
      <c r="A13448" t="s">
        <v>146</v>
      </c>
      <c r="B13448" t="s">
        <v>150</v>
      </c>
      <c r="C13448" t="s">
        <v>278</v>
      </c>
      <c r="D13448" t="s">
        <v>407</v>
      </c>
      <c r="F13448">
        <f>HYPERLINK("https://www.wikidata.org/wiki/Q28494839", "Q28494839")</f>
        <v>0</v>
      </c>
      <c r="G13448" t="s">
        <v>1084</v>
      </c>
      <c r="H13448" t="s">
        <v>5827</v>
      </c>
      <c r="I13448" t="s">
        <v>7419</v>
      </c>
      <c r="J13448" t="s">
        <v>11820</v>
      </c>
      <c r="K13448" t="s">
        <v>16221</v>
      </c>
      <c r="L13448">
        <f>HYPERLINK("https://www2.assemblee-nationale.fr/sycomore/fiche/(num_dept)/4090", "4090")</f>
        <v>0</v>
      </c>
      <c r="M13448">
        <f>HYPERLINK("https://www.senat.fr/senateur-3eme-republique/de_juigne_jacques1286r3.html", "de_juigne_jacques1286r3")</f>
        <v>0</v>
      </c>
      <c r="N13448">
        <f>HYPERLINK("https://www.wikidata.org/wiki/Q3158160", "Q3158160")</f>
        <v>0</v>
      </c>
      <c r="O13448" t="s">
        <v>20023</v>
      </c>
      <c r="Q13448" t="s">
        <v>21345</v>
      </c>
      <c r="R13448" t="s">
        <v>21724</v>
      </c>
      <c r="S13448">
        <v>1858</v>
      </c>
    </row>
    <row r="13449" spans="1:19">
      <c r="A13449" t="s">
        <v>146</v>
      </c>
      <c r="B13449" t="s">
        <v>150</v>
      </c>
      <c r="C13449" t="s">
        <v>278</v>
      </c>
      <c r="D13449" t="s">
        <v>407</v>
      </c>
      <c r="F13449">
        <f>HYPERLINK("https://www.wikidata.org/wiki/Q28494839", "Q28494839")</f>
        <v>0</v>
      </c>
      <c r="G13449" t="s">
        <v>1485</v>
      </c>
      <c r="H13449" t="s">
        <v>6183</v>
      </c>
      <c r="I13449" t="s">
        <v>9421</v>
      </c>
      <c r="J13449" t="s">
        <v>12204</v>
      </c>
      <c r="K13449" t="s">
        <v>16609</v>
      </c>
      <c r="L13449">
        <f>HYPERLINK("https://www2.assemblee-nationale.fr/sycomore/fiche/(num_dept)/3627", "3627")</f>
        <v>0</v>
      </c>
      <c r="M13449">
        <f>HYPERLINK("https://www.senat.fr/senateur-3eme-republique/guerin_gustave1038r3.html", "guerin_gustave1038r3")</f>
        <v>0</v>
      </c>
      <c r="N13449">
        <f>HYPERLINK("https://www.wikidata.org/wiki/Q3121205", "Q3121205")</f>
        <v>0</v>
      </c>
      <c r="O13449" t="s">
        <v>19985</v>
      </c>
      <c r="Q13449" t="s">
        <v>21346</v>
      </c>
      <c r="R13449" t="s">
        <v>21724</v>
      </c>
      <c r="S13449">
        <v>1837</v>
      </c>
    </row>
    <row r="13450" spans="1:19">
      <c r="A13450" t="s">
        <v>146</v>
      </c>
      <c r="B13450" t="s">
        <v>150</v>
      </c>
      <c r="C13450" t="s">
        <v>278</v>
      </c>
      <c r="D13450" t="s">
        <v>407</v>
      </c>
      <c r="F13450">
        <f>HYPERLINK("https://www.wikidata.org/wiki/Q28494839", "Q28494839")</f>
        <v>0</v>
      </c>
      <c r="G13450" t="s">
        <v>5228</v>
      </c>
      <c r="H13450" t="s">
        <v>9339</v>
      </c>
      <c r="I13450" t="s">
        <v>7419</v>
      </c>
      <c r="J13450" t="s">
        <v>11721</v>
      </c>
      <c r="K13450" t="s">
        <v>19926</v>
      </c>
      <c r="M13450">
        <f>HYPERLINK("https://www.senat.fr/senateur-3eme-republique/guilhem_jacques0271r3.html", "guilhem_jacques0271r3")</f>
        <v>0</v>
      </c>
      <c r="N13450">
        <f>HYPERLINK("https://www.wikidata.org/wiki/Q3159050", "Q3159050")</f>
        <v>0</v>
      </c>
      <c r="O13450" t="s">
        <v>19960</v>
      </c>
      <c r="Q13450" t="s">
        <v>21347</v>
      </c>
      <c r="R13450" t="s">
        <v>21712</v>
      </c>
      <c r="S13450">
        <v>729</v>
      </c>
    </row>
    <row r="13451" spans="1:19">
      <c r="A13451" t="s">
        <v>146</v>
      </c>
      <c r="B13451" t="s">
        <v>150</v>
      </c>
      <c r="C13451" t="s">
        <v>278</v>
      </c>
      <c r="D13451" t="s">
        <v>407</v>
      </c>
      <c r="F13451">
        <f>HYPERLINK("https://www.wikidata.org/wiki/Q28494839", "Q28494839")</f>
        <v>0</v>
      </c>
      <c r="G13451" t="s">
        <v>5229</v>
      </c>
      <c r="H13451" t="s">
        <v>9340</v>
      </c>
      <c r="I13451" t="s">
        <v>11245</v>
      </c>
      <c r="J13451" t="s">
        <v>12161</v>
      </c>
      <c r="K13451" t="s">
        <v>19927</v>
      </c>
      <c r="M13451">
        <f>HYPERLINK("https://www.senat.fr/senateur-3eme-republique/cournault_charles_henri0934r3.html", "cournault_charles_henri0934r3")</f>
        <v>0</v>
      </c>
      <c r="N13451">
        <f>HYPERLINK("https://www.wikidata.org/wiki/Q2958112", "Q2958112")</f>
        <v>0</v>
      </c>
      <c r="O13451" t="s">
        <v>20007</v>
      </c>
      <c r="Q13451" t="s">
        <v>21348</v>
      </c>
      <c r="R13451" t="s">
        <v>21724</v>
      </c>
      <c r="S13451">
        <v>1802</v>
      </c>
    </row>
    <row r="13452" spans="1:19">
      <c r="A13452" t="s">
        <v>146</v>
      </c>
      <c r="B13452" t="s">
        <v>150</v>
      </c>
      <c r="C13452" t="s">
        <v>278</v>
      </c>
      <c r="D13452" t="s">
        <v>407</v>
      </c>
      <c r="F13452">
        <f>HYPERLINK("https://www.wikidata.org/wiki/Q28494839", "Q28494839")</f>
        <v>0</v>
      </c>
      <c r="G13452" t="s">
        <v>1505</v>
      </c>
      <c r="H13452" t="s">
        <v>6202</v>
      </c>
      <c r="I13452" t="s">
        <v>6585</v>
      </c>
      <c r="J13452" t="s">
        <v>12223</v>
      </c>
      <c r="K13452" t="s">
        <v>16628</v>
      </c>
      <c r="L13452">
        <f>HYPERLINK("https://www2.assemblee-nationale.fr/sycomore/fiche/(num_dept)/4038", "4038")</f>
        <v>0</v>
      </c>
      <c r="M13452">
        <f>HYPERLINK("https://www.senat.fr/senateur-3eme-republique/join_lambert_andre0759r3.html", "join_lambert_andre0759r3")</f>
        <v>0</v>
      </c>
      <c r="N13452">
        <f>HYPERLINK("https://www.wikidata.org/wiki/Q2847994", "Q2847994")</f>
        <v>0</v>
      </c>
      <c r="O13452" t="s">
        <v>19992</v>
      </c>
      <c r="Q13452" t="s">
        <v>21349</v>
      </c>
      <c r="R13452" t="s">
        <v>21712</v>
      </c>
      <c r="S13452">
        <v>701</v>
      </c>
    </row>
    <row r="13453" spans="1:19">
      <c r="A13453" t="s">
        <v>146</v>
      </c>
      <c r="B13453" t="s">
        <v>150</v>
      </c>
      <c r="C13453" t="s">
        <v>278</v>
      </c>
      <c r="D13453" t="s">
        <v>407</v>
      </c>
      <c r="F13453">
        <f>HYPERLINK("https://www.wikidata.org/wiki/Q28494839", "Q28494839")</f>
        <v>0</v>
      </c>
      <c r="G13453" t="s">
        <v>2159</v>
      </c>
      <c r="H13453" t="s">
        <v>6773</v>
      </c>
      <c r="I13453" t="s">
        <v>7419</v>
      </c>
      <c r="J13453" t="s">
        <v>12823</v>
      </c>
      <c r="K13453" t="s">
        <v>17238</v>
      </c>
      <c r="L13453">
        <f>HYPERLINK("https://www2.assemblee-nationale.fr/sycomore/fiche/(num_dept)/6545", "6545")</f>
        <v>0</v>
      </c>
      <c r="M13453">
        <f>HYPERLINK("https://www.senat.fr/senateur-3eme-republique/queinnec_jacques0794r3.html", "queinnec_jacques0794r3")</f>
        <v>0</v>
      </c>
      <c r="N13453">
        <f>HYPERLINK("https://www.wikidata.org/wiki/Q3159830", "Q3159830")</f>
        <v>0</v>
      </c>
      <c r="O13453" t="s">
        <v>20011</v>
      </c>
      <c r="Q13453" t="s">
        <v>21350</v>
      </c>
      <c r="R13453" t="s">
        <v>21712</v>
      </c>
      <c r="S13453">
        <v>624</v>
      </c>
    </row>
    <row r="13454" spans="1:19">
      <c r="A13454" t="s">
        <v>146</v>
      </c>
      <c r="B13454" t="s">
        <v>150</v>
      </c>
      <c r="C13454" t="s">
        <v>278</v>
      </c>
      <c r="D13454" t="s">
        <v>407</v>
      </c>
      <c r="F13454">
        <f>HYPERLINK("https://www.wikidata.org/wiki/Q28494839", "Q28494839")</f>
        <v>0</v>
      </c>
      <c r="G13454" t="s">
        <v>2225</v>
      </c>
      <c r="H13454" t="s">
        <v>6834</v>
      </c>
      <c r="I13454" t="s">
        <v>6495</v>
      </c>
      <c r="J13454" t="s">
        <v>12886</v>
      </c>
      <c r="K13454" t="s">
        <v>17298</v>
      </c>
      <c r="L13454">
        <f>HYPERLINK("https://www2.assemblee-nationale.fr/sycomore/fiche/(num_dept)/4826", "4826")</f>
        <v>0</v>
      </c>
      <c r="M13454">
        <f>HYPERLINK("https://www.senat.fr/senateur-3eme-republique/louis_dreyfus_louis0119r3.html", "louis_dreyfus_louis0119r3")</f>
        <v>0</v>
      </c>
      <c r="N13454">
        <f>HYPERLINK("https://www.wikidata.org/wiki/Q3262554", "Q3262554")</f>
        <v>0</v>
      </c>
      <c r="O13454" t="s">
        <v>20024</v>
      </c>
      <c r="Q13454" t="s">
        <v>21351</v>
      </c>
      <c r="R13454" t="s">
        <v>21712</v>
      </c>
      <c r="S13454">
        <v>554</v>
      </c>
    </row>
    <row r="13455" spans="1:19">
      <c r="A13455" t="s">
        <v>146</v>
      </c>
      <c r="B13455" t="s">
        <v>150</v>
      </c>
      <c r="C13455" t="s">
        <v>278</v>
      </c>
      <c r="D13455" t="s">
        <v>407</v>
      </c>
      <c r="F13455">
        <f>HYPERLINK("https://www.wikidata.org/wiki/Q28494839", "Q28494839")</f>
        <v>0</v>
      </c>
      <c r="G13455" t="s">
        <v>2226</v>
      </c>
      <c r="H13455" t="s">
        <v>6835</v>
      </c>
      <c r="I13455" t="s">
        <v>9407</v>
      </c>
      <c r="J13455" t="s">
        <v>12887</v>
      </c>
      <c r="K13455" t="s">
        <v>17299</v>
      </c>
      <c r="L13455">
        <f>HYPERLINK("https://www2.assemblee-nationale.fr/sycomore/fiche/(num_dept)/5679", "5679")</f>
        <v>0</v>
      </c>
      <c r="M13455">
        <f>HYPERLINK("https://www.senat.fr/senateur-3eme-republique/parayre_joseph1092r3.html", "parayre_joseph1092r3")</f>
        <v>0</v>
      </c>
      <c r="N13455">
        <f>HYPERLINK("https://www.wikidata.org/wiki/Q3185447", "Q3185447")</f>
        <v>0</v>
      </c>
      <c r="O13455" t="s">
        <v>20001</v>
      </c>
      <c r="Q13455" t="s">
        <v>21352</v>
      </c>
      <c r="R13455" t="s">
        <v>17346</v>
      </c>
      <c r="S13455">
        <v>2716</v>
      </c>
    </row>
    <row r="13456" spans="1:19">
      <c r="A13456" t="s">
        <v>146</v>
      </c>
      <c r="B13456" t="s">
        <v>150</v>
      </c>
      <c r="C13456" t="s">
        <v>278</v>
      </c>
      <c r="D13456" t="s">
        <v>407</v>
      </c>
      <c r="F13456">
        <f>HYPERLINK("https://www.wikidata.org/wiki/Q28494839", "Q28494839")</f>
        <v>0</v>
      </c>
      <c r="G13456" t="s">
        <v>5230</v>
      </c>
      <c r="H13456" t="s">
        <v>9341</v>
      </c>
      <c r="I13456" t="s">
        <v>6584</v>
      </c>
      <c r="J13456" t="s">
        <v>15621</v>
      </c>
      <c r="K13456" t="s">
        <v>19928</v>
      </c>
      <c r="M13456">
        <f>HYPERLINK("https://www.senat.fr/senateur-3eme-republique/buisson_albert1002r3.html", "buisson_albert1002r3")</f>
        <v>0</v>
      </c>
      <c r="N13456">
        <f>HYPERLINK("https://www.wikidata.org/wiki/Q517508", "Q517508")</f>
        <v>0</v>
      </c>
      <c r="O13456" t="s">
        <v>20005</v>
      </c>
      <c r="Q13456" t="s">
        <v>21353</v>
      </c>
      <c r="R13456" t="s">
        <v>17346</v>
      </c>
      <c r="S13456">
        <v>2702</v>
      </c>
    </row>
    <row r="13457" spans="1:19">
      <c r="A13457" t="s">
        <v>146</v>
      </c>
      <c r="B13457" t="s">
        <v>150</v>
      </c>
      <c r="C13457" t="s">
        <v>278</v>
      </c>
      <c r="D13457" t="s">
        <v>407</v>
      </c>
      <c r="F13457">
        <f>HYPERLINK("https://www.wikidata.org/wiki/Q28494839", "Q28494839")</f>
        <v>0</v>
      </c>
      <c r="G13457" t="s">
        <v>5231</v>
      </c>
      <c r="H13457" t="s">
        <v>9342</v>
      </c>
      <c r="I13457" t="s">
        <v>9553</v>
      </c>
      <c r="J13457" t="s">
        <v>15622</v>
      </c>
      <c r="K13457" t="s">
        <v>19929</v>
      </c>
      <c r="M13457">
        <f>HYPERLINK("https://www.senat.fr/senateur-3eme-republique/musso_alexandre0483r3.html", "musso_alexandre0483r3")</f>
        <v>0</v>
      </c>
      <c r="N13457">
        <f>HYPERLINK("https://www.wikidata.org/wiki/Q2833896", "Q2833896")</f>
        <v>0</v>
      </c>
      <c r="O13457" t="s">
        <v>19955</v>
      </c>
      <c r="Q13457" t="s">
        <v>18498</v>
      </c>
      <c r="R13457" t="s">
        <v>21364</v>
      </c>
      <c r="S13457">
        <v>492</v>
      </c>
    </row>
    <row r="13458" spans="1:19">
      <c r="A13458" t="s">
        <v>146</v>
      </c>
      <c r="B13458" t="s">
        <v>150</v>
      </c>
      <c r="C13458" t="s">
        <v>278</v>
      </c>
      <c r="D13458" t="s">
        <v>407</v>
      </c>
      <c r="F13458">
        <f>HYPERLINK("https://www.wikidata.org/wiki/Q28494839", "Q28494839")</f>
        <v>0</v>
      </c>
      <c r="G13458" t="s">
        <v>5232</v>
      </c>
      <c r="H13458" t="s">
        <v>9343</v>
      </c>
      <c r="I13458" t="s">
        <v>9523</v>
      </c>
      <c r="J13458" t="s">
        <v>15623</v>
      </c>
      <c r="K13458" t="s">
        <v>19930</v>
      </c>
      <c r="M13458">
        <f>HYPERLINK("https://www.senat.fr/senateur-3eme-republique/despres_marcel1223r3.html", "despres_marcel1223r3")</f>
        <v>0</v>
      </c>
      <c r="N13458">
        <f>HYPERLINK("https://www.wikidata.org/wiki/Q3288890", "Q3288890")</f>
        <v>0</v>
      </c>
      <c r="O13458" t="s">
        <v>19994</v>
      </c>
      <c r="Q13458" t="s">
        <v>21354</v>
      </c>
      <c r="R13458" t="s">
        <v>17346</v>
      </c>
      <c r="S13458">
        <v>2646</v>
      </c>
    </row>
    <row r="13459" spans="1:19">
      <c r="A13459" t="s">
        <v>146</v>
      </c>
      <c r="B13459" t="s">
        <v>150</v>
      </c>
      <c r="C13459" t="s">
        <v>278</v>
      </c>
      <c r="D13459" t="s">
        <v>407</v>
      </c>
      <c r="F13459">
        <f>HYPERLINK("https://www.wikidata.org/wiki/Q28494839", "Q28494839")</f>
        <v>0</v>
      </c>
      <c r="G13459" t="s">
        <v>2067</v>
      </c>
      <c r="H13459" t="s">
        <v>6159</v>
      </c>
      <c r="I13459" t="s">
        <v>9506</v>
      </c>
      <c r="J13459" t="s">
        <v>12738</v>
      </c>
      <c r="K13459" t="s">
        <v>17149</v>
      </c>
      <c r="L13459">
        <f>HYPERLINK("https://www2.assemblee-nationale.fr/sycomore/fiche/(num_dept)/2965", "2965")</f>
        <v>0</v>
      </c>
      <c r="M13459">
        <f>HYPERLINK("https://www.senat.fr/senateur-3eme-republique/ferrand_camille0621r3.html", "ferrand_camille0621r3")</f>
        <v>0</v>
      </c>
      <c r="N13459">
        <f>HYPERLINK("https://www.wikidata.org/wiki/Q2934926", "Q2934926")</f>
        <v>0</v>
      </c>
      <c r="O13459" t="s">
        <v>19979</v>
      </c>
      <c r="Q13459" t="s">
        <v>16923</v>
      </c>
      <c r="R13459" t="s">
        <v>21712</v>
      </c>
      <c r="S13459">
        <v>436</v>
      </c>
    </row>
    <row r="13460" spans="1:19">
      <c r="A13460" t="s">
        <v>146</v>
      </c>
      <c r="B13460" t="s">
        <v>150</v>
      </c>
      <c r="C13460" t="s">
        <v>278</v>
      </c>
      <c r="D13460" t="s">
        <v>407</v>
      </c>
      <c r="F13460">
        <f>HYPERLINK("https://www.wikidata.org/wiki/Q28494839", "Q28494839")</f>
        <v>0</v>
      </c>
      <c r="G13460" t="s">
        <v>2263</v>
      </c>
      <c r="H13460" t="s">
        <v>6864</v>
      </c>
      <c r="I13460" t="s">
        <v>9457</v>
      </c>
      <c r="J13460" t="s">
        <v>12921</v>
      </c>
      <c r="K13460" t="s">
        <v>17331</v>
      </c>
      <c r="L13460">
        <f>HYPERLINK("https://www2.assemblee-nationale.fr/sycomore/fiche/(num_dept)/7672", "7672")</f>
        <v>0</v>
      </c>
      <c r="M13460">
        <f>HYPERLINK("https://www.senat.fr/senateur-3eme-republique/leculier_henri0454r3.html", "leculier_henri0454r3")</f>
        <v>0</v>
      </c>
      <c r="N13460">
        <f>HYPERLINK("https://www.wikidata.org/wiki/Q3131527", "Q3131527")</f>
        <v>0</v>
      </c>
      <c r="O13460" t="s">
        <v>20041</v>
      </c>
      <c r="Q13460" t="s">
        <v>21355</v>
      </c>
      <c r="R13460" t="s">
        <v>21724</v>
      </c>
      <c r="S13460">
        <v>1515</v>
      </c>
    </row>
    <row r="13461" spans="1:19">
      <c r="A13461" t="s">
        <v>146</v>
      </c>
      <c r="B13461" t="s">
        <v>150</v>
      </c>
      <c r="C13461" t="s">
        <v>278</v>
      </c>
      <c r="D13461" t="s">
        <v>407</v>
      </c>
      <c r="F13461">
        <f>HYPERLINK("https://www.wikidata.org/wiki/Q28494839", "Q28494839")</f>
        <v>0</v>
      </c>
      <c r="G13461" t="s">
        <v>5233</v>
      </c>
      <c r="H13461" t="s">
        <v>9344</v>
      </c>
      <c r="I13461" t="s">
        <v>9476</v>
      </c>
      <c r="J13461" t="s">
        <v>15624</v>
      </c>
      <c r="K13461" t="s">
        <v>19931</v>
      </c>
      <c r="M13461">
        <f>HYPERLINK("https://www.senat.fr/senateur-3eme-republique/converset_rene0226r3.html", "converset_rene0226r3")</f>
        <v>0</v>
      </c>
      <c r="N13461">
        <f>HYPERLINK("https://www.wikidata.org/wiki/Q3426028", "Q3426028")</f>
        <v>0</v>
      </c>
      <c r="O13461" t="s">
        <v>8449</v>
      </c>
      <c r="Q13461" t="s">
        <v>21356</v>
      </c>
      <c r="R13461" t="s">
        <v>21712</v>
      </c>
      <c r="S13461">
        <v>414</v>
      </c>
    </row>
    <row r="13462" spans="1:19">
      <c r="A13462" t="s">
        <v>146</v>
      </c>
      <c r="B13462" t="s">
        <v>150</v>
      </c>
      <c r="C13462" t="s">
        <v>278</v>
      </c>
      <c r="D13462" t="s">
        <v>407</v>
      </c>
      <c r="F13462">
        <f>HYPERLINK("https://www.wikidata.org/wiki/Q28494839", "Q28494839")</f>
        <v>0</v>
      </c>
      <c r="G13462" t="s">
        <v>5234</v>
      </c>
      <c r="H13462" t="s">
        <v>9345</v>
      </c>
      <c r="I13462" t="s">
        <v>6495</v>
      </c>
      <c r="J13462" t="s">
        <v>15625</v>
      </c>
      <c r="K13462" t="s">
        <v>19932</v>
      </c>
      <c r="M13462">
        <f>HYPERLINK("https://www.senat.fr/senateur-3eme-republique/guyonnet_louis1204r3.html", "guyonnet_louis1204r3")</f>
        <v>0</v>
      </c>
      <c r="N13462">
        <f>HYPERLINK("https://www.wikidata.org/wiki/Q2421695", "Q2421695")</f>
        <v>0</v>
      </c>
      <c r="O13462" t="s">
        <v>20006</v>
      </c>
      <c r="Q13462" t="s">
        <v>21357</v>
      </c>
      <c r="R13462" t="s">
        <v>21724</v>
      </c>
      <c r="S13462">
        <v>1431</v>
      </c>
    </row>
    <row r="13463" spans="1:19">
      <c r="A13463" t="s">
        <v>146</v>
      </c>
      <c r="B13463" t="s">
        <v>150</v>
      </c>
      <c r="C13463" t="s">
        <v>278</v>
      </c>
      <c r="D13463" t="s">
        <v>407</v>
      </c>
      <c r="F13463">
        <f>HYPERLINK("https://www.wikidata.org/wiki/Q28494839", "Q28494839")</f>
        <v>0</v>
      </c>
      <c r="G13463" t="s">
        <v>5235</v>
      </c>
      <c r="H13463" t="s">
        <v>9346</v>
      </c>
      <c r="I13463" t="s">
        <v>9401</v>
      </c>
      <c r="J13463" t="s">
        <v>15626</v>
      </c>
      <c r="K13463" t="s">
        <v>19933</v>
      </c>
      <c r="M13463">
        <f>HYPERLINK("https://www.senat.fr/senateur-3eme-republique/pinay_antoine1343r3.html", "pinay_antoine1343r3")</f>
        <v>0</v>
      </c>
      <c r="N13463">
        <f>HYPERLINK("https://www.wikidata.org/wiki/Q356724", "Q356724")</f>
        <v>0</v>
      </c>
      <c r="O13463" t="s">
        <v>19997</v>
      </c>
      <c r="Q13463" t="s">
        <v>21358</v>
      </c>
      <c r="R13463" t="s">
        <v>21724</v>
      </c>
      <c r="S13463">
        <v>1382</v>
      </c>
    </row>
    <row r="13464" spans="1:19">
      <c r="A13464" t="s">
        <v>146</v>
      </c>
      <c r="B13464" t="s">
        <v>150</v>
      </c>
      <c r="C13464" t="s">
        <v>278</v>
      </c>
      <c r="D13464" t="s">
        <v>407</v>
      </c>
      <c r="F13464">
        <f>HYPERLINK("https://www.wikidata.org/wiki/Q28494839", "Q28494839")</f>
        <v>0</v>
      </c>
      <c r="G13464" t="s">
        <v>1861</v>
      </c>
      <c r="H13464" t="s">
        <v>6517</v>
      </c>
      <c r="I13464" t="s">
        <v>7642</v>
      </c>
      <c r="J13464" t="s">
        <v>11903</v>
      </c>
      <c r="K13464" t="s">
        <v>16962</v>
      </c>
      <c r="L13464">
        <f>HYPERLINK("https://www2.assemblee-nationale.fr/sycomore/fiche/(num_dept)/5662", "5662")</f>
        <v>0</v>
      </c>
      <c r="M13464">
        <f>HYPERLINK("https://www.senat.fr/senateur-3eme-republique/palmade_maurice0409r3.html", "palmade_maurice0409r3")</f>
        <v>0</v>
      </c>
      <c r="N13464">
        <f>HYPERLINK("https://www.wikidata.org/wiki/Q3301240", "Q3301240")</f>
        <v>0</v>
      </c>
      <c r="O13464" t="s">
        <v>20037</v>
      </c>
      <c r="Q13464" t="s">
        <v>21359</v>
      </c>
      <c r="R13464" t="s">
        <v>21712</v>
      </c>
      <c r="S13464">
        <v>288</v>
      </c>
    </row>
    <row r="13465" spans="1:19">
      <c r="A13465" t="s">
        <v>146</v>
      </c>
      <c r="B13465" t="s">
        <v>150</v>
      </c>
      <c r="C13465" t="s">
        <v>278</v>
      </c>
      <c r="D13465" t="s">
        <v>407</v>
      </c>
      <c r="F13465">
        <f>HYPERLINK("https://www.wikidata.org/wiki/Q28494839", "Q28494839")</f>
        <v>0</v>
      </c>
      <c r="G13465" t="s">
        <v>1415</v>
      </c>
      <c r="H13465" t="s">
        <v>5349</v>
      </c>
      <c r="I13465" t="s">
        <v>9483</v>
      </c>
      <c r="J13465" t="s">
        <v>12139</v>
      </c>
      <c r="K13465" t="s">
        <v>16542</v>
      </c>
      <c r="L13465">
        <f>HYPERLINK("https://www2.assemblee-nationale.fr/sycomore/fiche/(num_dept)/1948", "1948")</f>
        <v>0</v>
      </c>
      <c r="M13465">
        <f>HYPERLINK("https://www.senat.fr/senateur-3eme-republique/constant_victor1353r3.html", "constant_victor1353r3")</f>
        <v>0</v>
      </c>
      <c r="N13465">
        <f>HYPERLINK("https://www.wikidata.org/wiki/Q3557227", "Q3557227")</f>
        <v>0</v>
      </c>
      <c r="O13465" t="s">
        <v>19969</v>
      </c>
      <c r="Q13465" t="s">
        <v>322</v>
      </c>
      <c r="R13465" t="s">
        <v>17346</v>
      </c>
      <c r="S13465">
        <v>2457</v>
      </c>
    </row>
    <row r="13466" spans="1:19">
      <c r="A13466" t="s">
        <v>146</v>
      </c>
      <c r="B13466" t="s">
        <v>150</v>
      </c>
      <c r="C13466" t="s">
        <v>278</v>
      </c>
      <c r="D13466" t="s">
        <v>407</v>
      </c>
      <c r="F13466">
        <f>HYPERLINK("https://www.wikidata.org/wiki/Q28494839", "Q28494839")</f>
        <v>0</v>
      </c>
      <c r="G13466" t="s">
        <v>5236</v>
      </c>
      <c r="H13466" t="s">
        <v>9347</v>
      </c>
      <c r="I13466" t="s">
        <v>6200</v>
      </c>
      <c r="J13466" t="s">
        <v>15627</v>
      </c>
      <c r="K13466" t="s">
        <v>19934</v>
      </c>
      <c r="M13466">
        <f>HYPERLINK("https://www.senat.fr/senateur-3eme-republique/betfert_jean0589r3.html", "betfert_jean0589r3")</f>
        <v>0</v>
      </c>
      <c r="N13466">
        <f>HYPERLINK("https://www.wikidata.org/wiki/Q3383982", "Q3383982")</f>
        <v>0</v>
      </c>
      <c r="O13466" t="s">
        <v>19964</v>
      </c>
      <c r="Q13466" t="s">
        <v>21360</v>
      </c>
      <c r="R13466" t="s">
        <v>21712</v>
      </c>
      <c r="S13466">
        <v>239</v>
      </c>
    </row>
    <row r="13467" spans="1:19">
      <c r="A13467" t="s">
        <v>146</v>
      </c>
      <c r="B13467" t="s">
        <v>150</v>
      </c>
      <c r="C13467" t="s">
        <v>278</v>
      </c>
      <c r="D13467" t="s">
        <v>407</v>
      </c>
      <c r="F13467">
        <f>HYPERLINK("https://www.wikidata.org/wiki/Q28494839", "Q28494839")</f>
        <v>0</v>
      </c>
      <c r="G13467" t="s">
        <v>5237</v>
      </c>
      <c r="H13467" t="s">
        <v>9348</v>
      </c>
      <c r="I13467" t="s">
        <v>9465</v>
      </c>
      <c r="J13467" t="s">
        <v>15628</v>
      </c>
      <c r="K13467" t="s">
        <v>16720</v>
      </c>
      <c r="M13467">
        <f>HYPERLINK("https://www.senat.fr/senateur-3eme-republique/azemar_eugene0090r3.html", "azemar_eugene0090r3")</f>
        <v>0</v>
      </c>
      <c r="N13467">
        <f>HYPERLINK("https://www.wikidata.org/wiki/Q3059704", "Q3059704")</f>
        <v>0</v>
      </c>
      <c r="O13467" t="s">
        <v>20016</v>
      </c>
      <c r="Q13467" t="s">
        <v>21360</v>
      </c>
      <c r="R13467" t="s">
        <v>16720</v>
      </c>
      <c r="S13467">
        <v>696</v>
      </c>
    </row>
    <row r="13468" spans="1:19">
      <c r="A13468" t="s">
        <v>146</v>
      </c>
      <c r="B13468" t="s">
        <v>150</v>
      </c>
      <c r="C13468" t="s">
        <v>278</v>
      </c>
      <c r="D13468" t="s">
        <v>407</v>
      </c>
      <c r="F13468">
        <f>HYPERLINK("https://www.wikidata.org/wiki/Q28494839", "Q28494839")</f>
        <v>0</v>
      </c>
      <c r="G13468" t="s">
        <v>1998</v>
      </c>
      <c r="H13468" t="s">
        <v>6634</v>
      </c>
      <c r="I13468" t="s">
        <v>9442</v>
      </c>
      <c r="J13468" t="s">
        <v>12677</v>
      </c>
      <c r="K13468" t="s">
        <v>16551</v>
      </c>
      <c r="L13468">
        <f>HYPERLINK("https://www2.assemblee-nationale.fr/sycomore/fiche/(num_dept)/598", "598")</f>
        <v>0</v>
      </c>
      <c r="M13468">
        <f>HYPERLINK("https://www.senat.fr/senateur-3eme-republique/beluel_ernest0112r3.html", "beluel_ernest0112r3")</f>
        <v>0</v>
      </c>
      <c r="N13468">
        <f>HYPERLINK("https://www.wikidata.org/wiki/Q3056836", "Q3056836")</f>
        <v>0</v>
      </c>
      <c r="O13468" t="s">
        <v>20016</v>
      </c>
      <c r="Q13468" t="s">
        <v>21361</v>
      </c>
      <c r="R13468" t="s">
        <v>21724</v>
      </c>
      <c r="S13468">
        <v>1277</v>
      </c>
    </row>
    <row r="13469" spans="1:19">
      <c r="A13469" t="s">
        <v>146</v>
      </c>
      <c r="B13469" t="s">
        <v>150</v>
      </c>
      <c r="C13469" t="s">
        <v>278</v>
      </c>
      <c r="D13469" t="s">
        <v>407</v>
      </c>
      <c r="F13469">
        <f>HYPERLINK("https://www.wikidata.org/wiki/Q28494839", "Q28494839")</f>
        <v>0</v>
      </c>
      <c r="G13469" t="s">
        <v>1186</v>
      </c>
      <c r="H13469" t="s">
        <v>5916</v>
      </c>
      <c r="I13469" t="s">
        <v>6860</v>
      </c>
      <c r="J13469" t="s">
        <v>11919</v>
      </c>
      <c r="K13469" t="s">
        <v>16320</v>
      </c>
      <c r="L13469">
        <f>HYPERLINK("https://www2.assemblee-nationale.fr/sycomore/fiche/(num_dept)/5078", "5078")</f>
        <v>0</v>
      </c>
      <c r="M13469">
        <f>HYPERLINK("https://www.senat.fr/senateur-3eme-republique/masse_pierre0241r3.html", "masse_pierre0241r3")</f>
        <v>0</v>
      </c>
      <c r="N13469">
        <f>HYPERLINK("https://www.wikidata.org/wiki/Q3386188", "Q3386188")</f>
        <v>0</v>
      </c>
      <c r="O13469" t="s">
        <v>7411</v>
      </c>
      <c r="Q13469" t="s">
        <v>21362</v>
      </c>
      <c r="R13469" t="s">
        <v>21728</v>
      </c>
      <c r="S13469">
        <v>1726</v>
      </c>
    </row>
    <row r="13470" spans="1:19">
      <c r="A13470" t="s">
        <v>147</v>
      </c>
      <c r="B13470" t="s">
        <v>150</v>
      </c>
      <c r="C13470" t="s">
        <v>279</v>
      </c>
      <c r="D13470" t="s">
        <v>408</v>
      </c>
      <c r="F13470">
        <f>HYPERLINK("https://www.wikidata.org/wiki/Q28494838", "Q28494838")</f>
        <v>0</v>
      </c>
      <c r="G13470" t="s">
        <v>1402</v>
      </c>
      <c r="H13470" t="s">
        <v>6113</v>
      </c>
      <c r="I13470" t="s">
        <v>9795</v>
      </c>
      <c r="J13470" t="s">
        <v>12127</v>
      </c>
      <c r="K13470" t="s">
        <v>16529</v>
      </c>
      <c r="L13470">
        <f>HYPERLINK("https://www2.assemblee-nationale.fr/sycomore/fiche/(num_dept)/1505", "1505")</f>
        <v>0</v>
      </c>
      <c r="M13470">
        <f>HYPERLINK("https://www.senat.fr/senateur-3eme-republique/de_castellane_stanislas0375r3.html", "de_castellane_stanislas0375r3")</f>
        <v>0</v>
      </c>
      <c r="N13470">
        <f>HYPERLINK("https://www.wikidata.org/wiki/Q3496715", "Q3496715")</f>
        <v>0</v>
      </c>
      <c r="O13470" t="s">
        <v>19966</v>
      </c>
      <c r="Q13470" t="s">
        <v>408</v>
      </c>
      <c r="R13470" t="s">
        <v>21650</v>
      </c>
      <c r="S13470">
        <v>2555</v>
      </c>
    </row>
    <row r="13471" spans="1:19">
      <c r="A13471" t="s">
        <v>147</v>
      </c>
      <c r="B13471" t="s">
        <v>150</v>
      </c>
      <c r="C13471" t="s">
        <v>279</v>
      </c>
      <c r="D13471" t="s">
        <v>408</v>
      </c>
      <c r="F13471">
        <f>HYPERLINK("https://www.wikidata.org/wiki/Q28494838", "Q28494838")</f>
        <v>0</v>
      </c>
      <c r="G13471" t="s">
        <v>5238</v>
      </c>
      <c r="H13471" t="s">
        <v>9349</v>
      </c>
      <c r="I13471" t="s">
        <v>9407</v>
      </c>
      <c r="J13471" t="s">
        <v>15629</v>
      </c>
      <c r="K13471" t="s">
        <v>19935</v>
      </c>
      <c r="M13471">
        <f>HYPERLINK("https://www.senat.fr/senateur-3eme-republique/antier_joseph0515r3.html", "antier_joseph0515r3")</f>
        <v>0</v>
      </c>
      <c r="N13471">
        <f>HYPERLINK("https://www.wikidata.org/wiki/Q3184503", "Q3184503")</f>
        <v>0</v>
      </c>
      <c r="O13471" t="s">
        <v>19993</v>
      </c>
      <c r="Q13471" t="s">
        <v>408</v>
      </c>
      <c r="R13471" t="s">
        <v>21724</v>
      </c>
      <c r="S13471">
        <v>1165</v>
      </c>
    </row>
    <row r="13472" spans="1:19">
      <c r="A13472" t="s">
        <v>147</v>
      </c>
      <c r="B13472" t="s">
        <v>150</v>
      </c>
      <c r="C13472" t="s">
        <v>279</v>
      </c>
      <c r="D13472" t="s">
        <v>408</v>
      </c>
      <c r="F13472">
        <f>HYPERLINK("https://www.wikidata.org/wiki/Q28494838", "Q28494838")</f>
        <v>0</v>
      </c>
      <c r="G13472" t="s">
        <v>5239</v>
      </c>
      <c r="H13472" t="s">
        <v>8793</v>
      </c>
      <c r="I13472" t="s">
        <v>7419</v>
      </c>
      <c r="J13472" t="s">
        <v>15630</v>
      </c>
      <c r="K13472" t="s">
        <v>19936</v>
      </c>
      <c r="M13472">
        <f>HYPERLINK("https://www.senat.fr/senateur-3eme-republique/bardoux_jacques1008r3.html", "bardoux_jacques1008r3")</f>
        <v>0</v>
      </c>
      <c r="N13472">
        <f>HYPERLINK("https://www.wikidata.org/wiki/Q3158191", "Q3158191")</f>
        <v>0</v>
      </c>
      <c r="O13472" t="s">
        <v>20005</v>
      </c>
      <c r="Q13472" t="s">
        <v>21363</v>
      </c>
      <c r="R13472" t="s">
        <v>17346</v>
      </c>
      <c r="S13472">
        <v>2254</v>
      </c>
    </row>
    <row r="13473" spans="1:19">
      <c r="A13473" t="s">
        <v>147</v>
      </c>
      <c r="B13473" t="s">
        <v>150</v>
      </c>
      <c r="C13473" t="s">
        <v>279</v>
      </c>
      <c r="D13473" t="s">
        <v>408</v>
      </c>
      <c r="F13473">
        <f>HYPERLINK("https://www.wikidata.org/wiki/Q28494838", "Q28494838")</f>
        <v>0</v>
      </c>
      <c r="G13473" t="s">
        <v>1702</v>
      </c>
      <c r="H13473" t="s">
        <v>5620</v>
      </c>
      <c r="I13473" t="s">
        <v>9897</v>
      </c>
      <c r="J13473" t="s">
        <v>12405</v>
      </c>
      <c r="K13473" t="s">
        <v>16813</v>
      </c>
      <c r="L13473">
        <f>HYPERLINK("https://www2.assemblee-nationale.fr/sycomore/fiche/(num_dept)/221", "221")</f>
        <v>0</v>
      </c>
      <c r="M13473">
        <f>HYPERLINK("https://www.senat.fr/senateur-3eme-republique/astier_marcel0136r3.html", "astier_marcel0136r3")</f>
        <v>0</v>
      </c>
      <c r="N13473">
        <f>HYPERLINK("https://www.wikidata.org/wiki/Q3288594", "Q3288594")</f>
        <v>0</v>
      </c>
      <c r="O13473" t="s">
        <v>19991</v>
      </c>
      <c r="Q13473" t="s">
        <v>21364</v>
      </c>
      <c r="R13473" t="s">
        <v>21650</v>
      </c>
      <c r="S13473">
        <v>2476</v>
      </c>
    </row>
    <row r="13474" spans="1:19">
      <c r="A13474" t="s">
        <v>147</v>
      </c>
      <c r="B13474" t="s">
        <v>150</v>
      </c>
      <c r="C13474" t="s">
        <v>279</v>
      </c>
      <c r="D13474" t="s">
        <v>408</v>
      </c>
      <c r="F13474">
        <f>HYPERLINK("https://www.wikidata.org/wiki/Q28494838", "Q28494838")</f>
        <v>0</v>
      </c>
      <c r="G13474" t="s">
        <v>1712</v>
      </c>
      <c r="H13474" t="s">
        <v>6387</v>
      </c>
      <c r="I13474" t="s">
        <v>9470</v>
      </c>
      <c r="J13474" t="s">
        <v>12339</v>
      </c>
      <c r="K13474" t="s">
        <v>16822</v>
      </c>
      <c r="L13474">
        <f>HYPERLINK("https://www2.assemblee-nationale.fr/sycomore/fiche/(num_dept)/520", "520")</f>
        <v>0</v>
      </c>
      <c r="M13474">
        <f>HYPERLINK("https://www.senat.fr/senateur-3eme-republique/bazile_gaston0835r3.html", "bazile_gaston0835r3")</f>
        <v>0</v>
      </c>
      <c r="N13474">
        <f>HYPERLINK("https://www.wikidata.org/wiki/Q1495550", "Q1495550")</f>
        <v>0</v>
      </c>
      <c r="O13474" t="s">
        <v>20014</v>
      </c>
      <c r="Q13474" t="s">
        <v>21364</v>
      </c>
      <c r="R13474" t="s">
        <v>21650</v>
      </c>
      <c r="S13474">
        <v>2476</v>
      </c>
    </row>
    <row r="13475" spans="1:19">
      <c r="A13475" t="s">
        <v>147</v>
      </c>
      <c r="B13475" t="s">
        <v>150</v>
      </c>
      <c r="C13475" t="s">
        <v>279</v>
      </c>
      <c r="D13475" t="s">
        <v>408</v>
      </c>
      <c r="F13475">
        <f>HYPERLINK("https://www.wikidata.org/wiki/Q28494838", "Q28494838")</f>
        <v>0</v>
      </c>
      <c r="G13475" t="s">
        <v>1224</v>
      </c>
      <c r="H13475" t="s">
        <v>5630</v>
      </c>
      <c r="I13475" t="s">
        <v>9712</v>
      </c>
      <c r="J13475" t="s">
        <v>11956</v>
      </c>
      <c r="K13475" t="s">
        <v>16358</v>
      </c>
      <c r="L13475">
        <f>HYPERLINK("https://www2.assemblee-nationale.fr/sycomore/fiche/(num_dept)/748", "748")</f>
        <v>0</v>
      </c>
      <c r="M13475">
        <f>HYPERLINK("https://www.senat.fr/senateur-3eme-republique/bertrand_williams0414r3.html", "bertrand_williams0414r3")</f>
        <v>0</v>
      </c>
      <c r="N13475">
        <f>HYPERLINK("https://www.wikidata.org/wiki/Q3568432", "Q3568432")</f>
        <v>0</v>
      </c>
      <c r="O13475" t="s">
        <v>20037</v>
      </c>
      <c r="Q13475" t="s">
        <v>21364</v>
      </c>
      <c r="R13475" t="s">
        <v>21650</v>
      </c>
      <c r="S13475">
        <v>2476</v>
      </c>
    </row>
    <row r="13476" spans="1:19">
      <c r="A13476" t="s">
        <v>147</v>
      </c>
      <c r="B13476" t="s">
        <v>150</v>
      </c>
      <c r="C13476" t="s">
        <v>279</v>
      </c>
      <c r="D13476" t="s">
        <v>408</v>
      </c>
      <c r="F13476">
        <f>HYPERLINK("https://www.wikidata.org/wiki/Q28494838", "Q28494838")</f>
        <v>0</v>
      </c>
      <c r="G13476" t="s">
        <v>2018</v>
      </c>
      <c r="H13476" t="s">
        <v>6652</v>
      </c>
      <c r="I13476" t="s">
        <v>10048</v>
      </c>
      <c r="J13476" t="s">
        <v>12695</v>
      </c>
      <c r="K13476" t="s">
        <v>17105</v>
      </c>
      <c r="L13476">
        <f>HYPERLINK("https://www2.assemblee-nationale.fr/sycomore/fiche/(num_dept)/1200", "1200")</f>
        <v>0</v>
      </c>
      <c r="M13476">
        <f>HYPERLINK("https://www.senat.fr/senateur-3eme-republique/breton_andre0447r3.html", "breton_andre0447r3")</f>
        <v>0</v>
      </c>
      <c r="N13476">
        <f>HYPERLINK("https://www.wikidata.org/wiki/Q2847379", "Q2847379")</f>
        <v>0</v>
      </c>
      <c r="O13476" t="s">
        <v>19996</v>
      </c>
      <c r="Q13476" t="s">
        <v>21364</v>
      </c>
      <c r="R13476" t="s">
        <v>21650</v>
      </c>
      <c r="S13476">
        <v>2476</v>
      </c>
    </row>
    <row r="13477" spans="1:19">
      <c r="A13477" t="s">
        <v>147</v>
      </c>
      <c r="B13477" t="s">
        <v>150</v>
      </c>
      <c r="C13477" t="s">
        <v>279</v>
      </c>
      <c r="D13477" t="s">
        <v>408</v>
      </c>
      <c r="F13477">
        <f>HYPERLINK("https://www.wikidata.org/wiki/Q28494838", "Q28494838")</f>
        <v>0</v>
      </c>
      <c r="G13477" t="s">
        <v>1235</v>
      </c>
      <c r="H13477" t="s">
        <v>5960</v>
      </c>
      <c r="I13477" t="s">
        <v>9720</v>
      </c>
      <c r="J13477" t="s">
        <v>11966</v>
      </c>
      <c r="K13477" t="s">
        <v>16369</v>
      </c>
      <c r="L13477">
        <f>HYPERLINK("https://www2.assemblee-nationale.fr/sycomore/fiche/(num_dept)/1465", "1465")</f>
        <v>0</v>
      </c>
      <c r="M13477">
        <f>HYPERLINK("https://www.senat.fr/senateur-3eme-republique/carre_bonvalet_rene0423r3.html", "carre_bonvalet_rene0423r3")</f>
        <v>0</v>
      </c>
      <c r="N13477">
        <f>HYPERLINK("https://www.wikidata.org/wiki/Q3425970", "Q3425970")</f>
        <v>0</v>
      </c>
      <c r="O13477" t="s">
        <v>20037</v>
      </c>
      <c r="Q13477" t="s">
        <v>21364</v>
      </c>
      <c r="R13477" t="s">
        <v>21650</v>
      </c>
      <c r="S13477">
        <v>2476</v>
      </c>
    </row>
    <row r="13478" spans="1:19">
      <c r="A13478" t="s">
        <v>147</v>
      </c>
      <c r="B13478" t="s">
        <v>150</v>
      </c>
      <c r="C13478" t="s">
        <v>279</v>
      </c>
      <c r="D13478" t="s">
        <v>408</v>
      </c>
      <c r="F13478">
        <f>HYPERLINK("https://www.wikidata.org/wiki/Q28494838", "Q28494838")</f>
        <v>0</v>
      </c>
      <c r="G13478" t="s">
        <v>1405</v>
      </c>
      <c r="H13478" t="s">
        <v>6115</v>
      </c>
      <c r="I13478" t="s">
        <v>9506</v>
      </c>
      <c r="J13478" t="s">
        <v>12130</v>
      </c>
      <c r="K13478" t="s">
        <v>16532</v>
      </c>
      <c r="L13478">
        <f>HYPERLINK("https://www2.assemblee-nationale.fr/sycomore/fiche/(num_dept)/1536", "1536")</f>
        <v>0</v>
      </c>
      <c r="M13478">
        <f>HYPERLINK("https://www.senat.fr/senateur-3eme-republique/cautru_camille0339r3.html", "cautru_camille0339r3")</f>
        <v>0</v>
      </c>
      <c r="N13478">
        <f>HYPERLINK("https://www.wikidata.org/wiki/Q2934880", "Q2934880")</f>
        <v>0</v>
      </c>
      <c r="O13478" t="s">
        <v>20009</v>
      </c>
      <c r="Q13478" t="s">
        <v>21364</v>
      </c>
      <c r="R13478" t="s">
        <v>21650</v>
      </c>
      <c r="S13478">
        <v>2476</v>
      </c>
    </row>
    <row r="13479" spans="1:19">
      <c r="A13479" t="s">
        <v>147</v>
      </c>
      <c r="B13479" t="s">
        <v>150</v>
      </c>
      <c r="C13479" t="s">
        <v>279</v>
      </c>
      <c r="D13479" t="s">
        <v>408</v>
      </c>
      <c r="F13479">
        <f>HYPERLINK("https://www.wikidata.org/wiki/Q28494838", "Q28494838")</f>
        <v>0</v>
      </c>
      <c r="G13479" t="s">
        <v>1753</v>
      </c>
      <c r="H13479" t="s">
        <v>6423</v>
      </c>
      <c r="I13479" t="s">
        <v>7419</v>
      </c>
      <c r="J13479" t="s">
        <v>12453</v>
      </c>
      <c r="K13479" t="s">
        <v>16859</v>
      </c>
      <c r="L13479">
        <f>HYPERLINK("https://www2.assemblee-nationale.fr/sycomore/fiche/(num_dept)/1626", "1626")</f>
        <v>0</v>
      </c>
      <c r="M13479">
        <f>HYPERLINK("https://www.senat.fr/senateur-3eme-republique/de_chammard_jacques0464r3.html", "de_chammard_jacques0464r3")</f>
        <v>0</v>
      </c>
      <c r="N13479">
        <f>HYPERLINK("https://www.wikidata.org/wiki/Q3160262", "Q3160262")</f>
        <v>0</v>
      </c>
      <c r="O13479" t="s">
        <v>20020</v>
      </c>
      <c r="Q13479" t="s">
        <v>21364</v>
      </c>
      <c r="R13479" t="s">
        <v>21650</v>
      </c>
      <c r="S13479">
        <v>2476</v>
      </c>
    </row>
    <row r="13480" spans="1:19">
      <c r="A13480" t="s">
        <v>147</v>
      </c>
      <c r="B13480" t="s">
        <v>150</v>
      </c>
      <c r="C13480" t="s">
        <v>279</v>
      </c>
      <c r="D13480" t="s">
        <v>408</v>
      </c>
      <c r="F13480">
        <f>HYPERLINK("https://www.wikidata.org/wiki/Q28494838", "Q28494838")</f>
        <v>0</v>
      </c>
      <c r="G13480" t="s">
        <v>904</v>
      </c>
      <c r="H13480" t="s">
        <v>5660</v>
      </c>
      <c r="I13480" t="s">
        <v>9583</v>
      </c>
      <c r="J13480" t="s">
        <v>11649</v>
      </c>
      <c r="K13480" t="s">
        <v>16048</v>
      </c>
      <c r="L13480">
        <f>HYPERLINK("https://www2.assemblee-nationale.fr/sycomore/fiche/(num_dept)/1634", "1634")</f>
        <v>0</v>
      </c>
      <c r="M13480">
        <f>HYPERLINK("https://www.senat.fr/senateur-3eme-republique/chanal_jean0017r3.html", "chanal_jean0017r3")</f>
        <v>0</v>
      </c>
      <c r="N13480">
        <f>HYPERLINK("https://www.wikidata.org/wiki/Q3059763", "Q3059763")</f>
        <v>0</v>
      </c>
      <c r="O13480" t="s">
        <v>19986</v>
      </c>
      <c r="Q13480" t="s">
        <v>21364</v>
      </c>
      <c r="R13480" t="s">
        <v>21650</v>
      </c>
      <c r="S13480">
        <v>2476</v>
      </c>
    </row>
    <row r="13481" spans="1:19">
      <c r="A13481" t="s">
        <v>147</v>
      </c>
      <c r="B13481" t="s">
        <v>150</v>
      </c>
      <c r="C13481" t="s">
        <v>279</v>
      </c>
      <c r="D13481" t="s">
        <v>408</v>
      </c>
      <c r="F13481">
        <f>HYPERLINK("https://www.wikidata.org/wiki/Q28494838", "Q28494838")</f>
        <v>0</v>
      </c>
      <c r="G13481" t="s">
        <v>1417</v>
      </c>
      <c r="H13481" t="s">
        <v>6123</v>
      </c>
      <c r="I13481" t="s">
        <v>9407</v>
      </c>
      <c r="J13481" t="s">
        <v>12141</v>
      </c>
      <c r="K13481" t="s">
        <v>16543</v>
      </c>
      <c r="L13481">
        <f>HYPERLINK("https://www2.assemblee-nationale.fr/sycomore/fiche/(num_dept)/2003", "2003")</f>
        <v>0</v>
      </c>
      <c r="M13481">
        <f>HYPERLINK("https://www.senat.fr/senateur-3eme-republique/coucoureux_joseph0296r3.html", "coucoureux_joseph0296r3")</f>
        <v>0</v>
      </c>
      <c r="N13481">
        <f>HYPERLINK("https://www.wikidata.org/wiki/Q3184791", "Q3184791")</f>
        <v>0</v>
      </c>
      <c r="O13481" t="s">
        <v>19967</v>
      </c>
      <c r="Q13481" t="s">
        <v>21364</v>
      </c>
      <c r="R13481" t="s">
        <v>21650</v>
      </c>
      <c r="S13481">
        <v>2476</v>
      </c>
    </row>
    <row r="13482" spans="1:19">
      <c r="A13482" t="s">
        <v>147</v>
      </c>
      <c r="B13482" t="s">
        <v>150</v>
      </c>
      <c r="C13482" t="s">
        <v>279</v>
      </c>
      <c r="D13482" t="s">
        <v>408</v>
      </c>
      <c r="F13482">
        <f>HYPERLINK("https://www.wikidata.org/wiki/Q28494838", "Q28494838")</f>
        <v>0</v>
      </c>
      <c r="G13482" t="s">
        <v>1435</v>
      </c>
      <c r="H13482" t="s">
        <v>5686</v>
      </c>
      <c r="I13482" t="s">
        <v>9385</v>
      </c>
      <c r="J13482" t="s">
        <v>11756</v>
      </c>
      <c r="K13482" t="s">
        <v>16561</v>
      </c>
      <c r="L13482">
        <f>HYPERLINK("https://www2.assemblee-nationale.fr/sycomore/fiche/(num_dept)/2441", "2441")</f>
        <v>0</v>
      </c>
      <c r="M13482">
        <f>HYPERLINK("https://www.senat.fr/senateur-3eme-republique/desjardins_charles0031r3.html", "desjardins_charles0031r3")</f>
        <v>0</v>
      </c>
      <c r="N13482">
        <f>HYPERLINK("https://www.wikidata.org/wiki/Q2958888", "Q2958888")</f>
        <v>0</v>
      </c>
      <c r="O13482" t="s">
        <v>20015</v>
      </c>
      <c r="Q13482" t="s">
        <v>21364</v>
      </c>
      <c r="R13482" t="s">
        <v>21650</v>
      </c>
      <c r="S13482">
        <v>2476</v>
      </c>
    </row>
    <row r="13483" spans="1:19">
      <c r="A13483" t="s">
        <v>147</v>
      </c>
      <c r="B13483" t="s">
        <v>150</v>
      </c>
      <c r="C13483" t="s">
        <v>279</v>
      </c>
      <c r="D13483" t="s">
        <v>408</v>
      </c>
      <c r="F13483">
        <f>HYPERLINK("https://www.wikidata.org/wiki/Q28494838", "Q28494838")</f>
        <v>0</v>
      </c>
      <c r="G13483" t="s">
        <v>2235</v>
      </c>
      <c r="H13483" t="s">
        <v>6142</v>
      </c>
      <c r="I13483" t="s">
        <v>10127</v>
      </c>
      <c r="J13483" t="s">
        <v>12896</v>
      </c>
      <c r="K13483" t="s">
        <v>17307</v>
      </c>
      <c r="L13483">
        <f>HYPERLINK("https://www2.assemblee-nationale.fr/sycomore/fiche/(num_dept)/2560", "2560")</f>
        <v>0</v>
      </c>
      <c r="M13483">
        <f>HYPERLINK("https://www.senat.fr/senateur-3eme-republique/dormoy_marx0045r3.html", "dormoy_marx0045r3")</f>
        <v>0</v>
      </c>
      <c r="N13483">
        <f>HYPERLINK("https://www.wikidata.org/wiki/Q255618", "Q255618")</f>
        <v>0</v>
      </c>
      <c r="O13483" t="s">
        <v>19999</v>
      </c>
      <c r="Q13483" t="s">
        <v>21364</v>
      </c>
      <c r="R13483" t="s">
        <v>17307</v>
      </c>
      <c r="S13483">
        <v>928</v>
      </c>
    </row>
    <row r="13484" spans="1:19">
      <c r="A13484" t="s">
        <v>147</v>
      </c>
      <c r="B13484" t="s">
        <v>150</v>
      </c>
      <c r="C13484" t="s">
        <v>279</v>
      </c>
      <c r="D13484" t="s">
        <v>408</v>
      </c>
      <c r="F13484">
        <f>HYPERLINK("https://www.wikidata.org/wiki/Q28494838", "Q28494838")</f>
        <v>0</v>
      </c>
      <c r="G13484" t="s">
        <v>953</v>
      </c>
      <c r="H13484" t="s">
        <v>5705</v>
      </c>
      <c r="I13484" t="s">
        <v>6860</v>
      </c>
      <c r="J13484" t="s">
        <v>11694</v>
      </c>
      <c r="K13484" t="s">
        <v>16095</v>
      </c>
      <c r="L13484">
        <f>HYPERLINK("https://www2.assemblee-nationale.fr/sycomore/fiche/(num_dept)/2866", "2866")</f>
        <v>0</v>
      </c>
      <c r="M13484">
        <f>HYPERLINK("https://www.senat.fr/senateur-3eme-republique/even_pierre0579r3.html", "even_pierre0579r3")</f>
        <v>0</v>
      </c>
      <c r="N13484">
        <f>HYPERLINK("https://www.wikidata.org/wiki/Q3384931", "Q3384931")</f>
        <v>0</v>
      </c>
      <c r="O13484" t="s">
        <v>19964</v>
      </c>
      <c r="Q13484" t="s">
        <v>21364</v>
      </c>
      <c r="R13484" t="s">
        <v>21650</v>
      </c>
      <c r="S13484">
        <v>2476</v>
      </c>
    </row>
    <row r="13485" spans="1:19">
      <c r="A13485" t="s">
        <v>147</v>
      </c>
      <c r="B13485" t="s">
        <v>150</v>
      </c>
      <c r="C13485" t="s">
        <v>279</v>
      </c>
      <c r="D13485" t="s">
        <v>408</v>
      </c>
      <c r="F13485">
        <f>HYPERLINK("https://www.wikidata.org/wiki/Q28494838", "Q28494838")</f>
        <v>0</v>
      </c>
      <c r="G13485" t="s">
        <v>1455</v>
      </c>
      <c r="H13485" t="s">
        <v>6155</v>
      </c>
      <c r="I13485" t="s">
        <v>6200</v>
      </c>
      <c r="J13485" t="s">
        <v>12174</v>
      </c>
      <c r="K13485" t="s">
        <v>16580</v>
      </c>
      <c r="L13485">
        <f>HYPERLINK("https://www2.assemblee-nationale.fr/sycomore/fiche/(num_dept)/2884", "2884")</f>
        <v>0</v>
      </c>
      <c r="M13485">
        <f>HYPERLINK("https://www.senat.fr/senateur-3eme-republique/fabry_jean0685r3.html", "fabry_jean0685r3")</f>
        <v>0</v>
      </c>
      <c r="N13485">
        <f>HYPERLINK("https://www.wikidata.org/wiki/Q3171965", "Q3171965")</f>
        <v>0</v>
      </c>
      <c r="O13485" t="s">
        <v>19973</v>
      </c>
      <c r="Q13485" t="s">
        <v>21364</v>
      </c>
      <c r="R13485" t="s">
        <v>21650</v>
      </c>
      <c r="S13485">
        <v>2476</v>
      </c>
    </row>
    <row r="13486" spans="1:19">
      <c r="A13486" t="s">
        <v>147</v>
      </c>
      <c r="B13486" t="s">
        <v>150</v>
      </c>
      <c r="C13486" t="s">
        <v>279</v>
      </c>
      <c r="D13486" t="s">
        <v>408</v>
      </c>
      <c r="F13486">
        <f>HYPERLINK("https://www.wikidata.org/wiki/Q28494838", "Q28494838")</f>
        <v>0</v>
      </c>
      <c r="G13486" t="s">
        <v>2067</v>
      </c>
      <c r="H13486" t="s">
        <v>6159</v>
      </c>
      <c r="I13486" t="s">
        <v>9506</v>
      </c>
      <c r="J13486" t="s">
        <v>12738</v>
      </c>
      <c r="K13486" t="s">
        <v>17149</v>
      </c>
      <c r="L13486">
        <f>HYPERLINK("https://www2.assemblee-nationale.fr/sycomore/fiche/(num_dept)/2965", "2965")</f>
        <v>0</v>
      </c>
      <c r="M13486">
        <f>HYPERLINK("https://www.senat.fr/senateur-3eme-republique/ferrand_camille0621r3.html", "ferrand_camille0621r3")</f>
        <v>0</v>
      </c>
      <c r="N13486">
        <f>HYPERLINK("https://www.wikidata.org/wiki/Q2934926", "Q2934926")</f>
        <v>0</v>
      </c>
      <c r="O13486" t="s">
        <v>19979</v>
      </c>
      <c r="Q13486" t="s">
        <v>21364</v>
      </c>
      <c r="R13486" t="s">
        <v>21650</v>
      </c>
      <c r="S13486">
        <v>2476</v>
      </c>
    </row>
    <row r="13487" spans="1:19">
      <c r="A13487" t="s">
        <v>147</v>
      </c>
      <c r="B13487" t="s">
        <v>150</v>
      </c>
      <c r="C13487" t="s">
        <v>279</v>
      </c>
      <c r="D13487" t="s">
        <v>408</v>
      </c>
      <c r="F13487">
        <f>HYPERLINK("https://www.wikidata.org/wiki/Q28494838", "Q28494838")</f>
        <v>0</v>
      </c>
      <c r="G13487" t="s">
        <v>1470</v>
      </c>
      <c r="H13487" t="s">
        <v>6169</v>
      </c>
      <c r="I13487" t="s">
        <v>6158</v>
      </c>
      <c r="J13487" t="s">
        <v>12189</v>
      </c>
      <c r="K13487" t="s">
        <v>16595</v>
      </c>
      <c r="L13487">
        <f>HYPERLINK("https://www2.assemblee-nationale.fr/sycomore/fiche/(num_dept)/3193", "3193")</f>
        <v>0</v>
      </c>
      <c r="M13487">
        <f>HYPERLINK("https://www.senat.fr/senateur-3eme-republique/gadaud_felix0673r3.html", "gadaud_felix0673r3")</f>
        <v>0</v>
      </c>
      <c r="N13487">
        <f>HYPERLINK("https://www.wikidata.org/wiki/Q3092440", "Q3092440")</f>
        <v>0</v>
      </c>
      <c r="O13487" t="s">
        <v>20010</v>
      </c>
      <c r="Q13487" t="s">
        <v>21364</v>
      </c>
      <c r="R13487" t="s">
        <v>21650</v>
      </c>
      <c r="S13487">
        <v>2476</v>
      </c>
    </row>
    <row r="13488" spans="1:19">
      <c r="A13488" t="s">
        <v>147</v>
      </c>
      <c r="B13488" t="s">
        <v>150</v>
      </c>
      <c r="C13488" t="s">
        <v>279</v>
      </c>
      <c r="D13488" t="s">
        <v>408</v>
      </c>
      <c r="F13488">
        <f>HYPERLINK("https://www.wikidata.org/wiki/Q28494838", "Q28494838")</f>
        <v>0</v>
      </c>
      <c r="G13488" t="s">
        <v>2077</v>
      </c>
      <c r="H13488" t="s">
        <v>6703</v>
      </c>
      <c r="I13488" t="s">
        <v>9476</v>
      </c>
      <c r="J13488" t="s">
        <v>12748</v>
      </c>
      <c r="K13488" t="s">
        <v>17159</v>
      </c>
      <c r="L13488">
        <f>HYPERLINK("https://www2.assemblee-nationale.fr/sycomore/fiche/(num_dept)/3506", "3506")</f>
        <v>0</v>
      </c>
      <c r="M13488">
        <f>HYPERLINK("https://www.senat.fr/senateur-3eme-republique/gounin_rene0402r3.html", "gounin_rene0402r3")</f>
        <v>0</v>
      </c>
      <c r="N13488">
        <f>HYPERLINK("https://www.wikidata.org/wiki/Q3426287", "Q3426287")</f>
        <v>0</v>
      </c>
      <c r="O13488" t="s">
        <v>20031</v>
      </c>
      <c r="Q13488" t="s">
        <v>21364</v>
      </c>
      <c r="R13488" t="s">
        <v>21650</v>
      </c>
      <c r="S13488">
        <v>2476</v>
      </c>
    </row>
    <row r="13489" spans="1:19">
      <c r="A13489" t="s">
        <v>147</v>
      </c>
      <c r="B13489" t="s">
        <v>150</v>
      </c>
      <c r="C13489" t="s">
        <v>279</v>
      </c>
      <c r="D13489" t="s">
        <v>408</v>
      </c>
      <c r="F13489">
        <f>HYPERLINK("https://www.wikidata.org/wiki/Q28494838", "Q28494838")</f>
        <v>0</v>
      </c>
      <c r="G13489" t="s">
        <v>1490</v>
      </c>
      <c r="H13489" t="s">
        <v>6188</v>
      </c>
      <c r="I13489" t="s">
        <v>9385</v>
      </c>
      <c r="J13489" t="s">
        <v>12209</v>
      </c>
      <c r="K13489" t="s">
        <v>16614</v>
      </c>
      <c r="L13489">
        <f>HYPERLINK("https://www2.assemblee-nationale.fr/sycomore/fiche/(num_dept)/3748", "3748")</f>
        <v>0</v>
      </c>
      <c r="M13489">
        <f>HYPERLINK("https://www.senat.fr/senateur-3eme-republique/d_harcourt_charles0350r3.html", "d_harcourt_charles0350r3")</f>
        <v>0</v>
      </c>
      <c r="N13489">
        <f>HYPERLINK("https://www.wikidata.org/wiki/Q2960506", "Q2960506")</f>
        <v>0</v>
      </c>
      <c r="O13489" t="s">
        <v>20009</v>
      </c>
      <c r="Q13489" t="s">
        <v>21364</v>
      </c>
      <c r="R13489" t="s">
        <v>21650</v>
      </c>
      <c r="S13489">
        <v>2476</v>
      </c>
    </row>
    <row r="13490" spans="1:19">
      <c r="A13490" t="s">
        <v>147</v>
      </c>
      <c r="B13490" t="s">
        <v>150</v>
      </c>
      <c r="C13490" t="s">
        <v>279</v>
      </c>
      <c r="D13490" t="s">
        <v>408</v>
      </c>
      <c r="F13490">
        <f>HYPERLINK("https://www.wikidata.org/wiki/Q28494838", "Q28494838")</f>
        <v>0</v>
      </c>
      <c r="G13490" t="s">
        <v>681</v>
      </c>
      <c r="H13490" t="s">
        <v>5440</v>
      </c>
      <c r="I13490" t="s">
        <v>9478</v>
      </c>
      <c r="J13490" t="s">
        <v>11431</v>
      </c>
      <c r="K13490" t="s">
        <v>15832</v>
      </c>
      <c r="L13490">
        <f>HYPERLINK("https://www2.assemblee-nationale.fr/sycomore/fiche/(num_dept)/3794", "3794")</f>
        <v>0</v>
      </c>
      <c r="M13490">
        <f>HYPERLINK("https://www.senat.fr/senateur-3eme-republique/hennessy_james0392r3.html", "hennessy_james0392r3")</f>
        <v>0</v>
      </c>
      <c r="N13490">
        <f>HYPERLINK("https://www.wikidata.org/wiki/Q3161145", "Q3161145")</f>
        <v>0</v>
      </c>
      <c r="O13490" t="s">
        <v>20031</v>
      </c>
      <c r="Q13490" t="s">
        <v>21364</v>
      </c>
      <c r="R13490" t="s">
        <v>21650</v>
      </c>
      <c r="S13490">
        <v>2476</v>
      </c>
    </row>
    <row r="13491" spans="1:19">
      <c r="A13491" t="s">
        <v>147</v>
      </c>
      <c r="B13491" t="s">
        <v>150</v>
      </c>
      <c r="C13491" t="s">
        <v>279</v>
      </c>
      <c r="D13491" t="s">
        <v>408</v>
      </c>
      <c r="F13491">
        <f>HYPERLINK("https://www.wikidata.org/wiki/Q28494838", "Q28494838")</f>
        <v>0</v>
      </c>
      <c r="G13491" t="s">
        <v>686</v>
      </c>
      <c r="H13491" t="s">
        <v>5444</v>
      </c>
      <c r="I13491" t="s">
        <v>6585</v>
      </c>
      <c r="J13491" t="s">
        <v>11436</v>
      </c>
      <c r="K13491" t="s">
        <v>15837</v>
      </c>
      <c r="L13491">
        <f>HYPERLINK("https://www2.assemblee-nationale.fr/sycomore/fiche/(num_dept)/3859", "3859")</f>
        <v>0</v>
      </c>
      <c r="M13491">
        <f>HYPERLINK("https://www.senat.fr/senateur-3eme-republique/honnorat_andre0070r3.html", "honnorat_andre0070r3")</f>
        <v>0</v>
      </c>
      <c r="N13491">
        <f>HYPERLINK("https://www.wikidata.org/wiki/Q23762", "Q23762")</f>
        <v>0</v>
      </c>
      <c r="O13491" t="s">
        <v>20033</v>
      </c>
      <c r="Q13491" t="s">
        <v>21364</v>
      </c>
      <c r="R13491" t="s">
        <v>21650</v>
      </c>
      <c r="S13491">
        <v>2476</v>
      </c>
    </row>
    <row r="13492" spans="1:19">
      <c r="A13492" t="s">
        <v>147</v>
      </c>
      <c r="B13492" t="s">
        <v>150</v>
      </c>
      <c r="C13492" t="s">
        <v>279</v>
      </c>
      <c r="D13492" t="s">
        <v>408</v>
      </c>
      <c r="F13492">
        <f>HYPERLINK("https://www.wikidata.org/wiki/Q28494838", "Q28494838")</f>
        <v>0</v>
      </c>
      <c r="G13492" t="s">
        <v>1505</v>
      </c>
      <c r="H13492" t="s">
        <v>6202</v>
      </c>
      <c r="I13492" t="s">
        <v>6585</v>
      </c>
      <c r="J13492" t="s">
        <v>12223</v>
      </c>
      <c r="K13492" t="s">
        <v>16628</v>
      </c>
      <c r="L13492">
        <f>HYPERLINK("https://www2.assemblee-nationale.fr/sycomore/fiche/(num_dept)/4038", "4038")</f>
        <v>0</v>
      </c>
      <c r="M13492">
        <f>HYPERLINK("https://www.senat.fr/senateur-3eme-republique/join_lambert_andre0759r3.html", "join_lambert_andre0759r3")</f>
        <v>0</v>
      </c>
      <c r="N13492">
        <f>HYPERLINK("https://www.wikidata.org/wiki/Q2847994", "Q2847994")</f>
        <v>0</v>
      </c>
      <c r="O13492" t="s">
        <v>19992</v>
      </c>
      <c r="Q13492" t="s">
        <v>21364</v>
      </c>
      <c r="R13492" t="s">
        <v>21650</v>
      </c>
      <c r="S13492">
        <v>2476</v>
      </c>
    </row>
    <row r="13493" spans="1:19">
      <c r="A13493" t="s">
        <v>147</v>
      </c>
      <c r="B13493" t="s">
        <v>150</v>
      </c>
      <c r="C13493" t="s">
        <v>279</v>
      </c>
      <c r="D13493" t="s">
        <v>408</v>
      </c>
      <c r="F13493">
        <f>HYPERLINK("https://www.wikidata.org/wiki/Q28494838", "Q28494838")</f>
        <v>0</v>
      </c>
      <c r="G13493" t="s">
        <v>1142</v>
      </c>
      <c r="H13493" t="s">
        <v>5877</v>
      </c>
      <c r="I13493" t="s">
        <v>9675</v>
      </c>
      <c r="J13493" t="s">
        <v>11876</v>
      </c>
      <c r="K13493" t="s">
        <v>16278</v>
      </c>
      <c r="L13493">
        <f>HYPERLINK("https://www2.assemblee-nationale.fr/sycomore/fiche/(num_dept)/4053", "4053")</f>
        <v>0</v>
      </c>
      <c r="M13493">
        <f>HYPERLINK("https://www.senat.fr/senateur-3eme-republique/josse_prosper0745r3.html", "josse_prosper0745r3")</f>
        <v>0</v>
      </c>
      <c r="N13493">
        <f>HYPERLINK("https://www.wikidata.org/wiki/Q3407787", "Q3407787")</f>
        <v>0</v>
      </c>
      <c r="O13493" t="s">
        <v>19992</v>
      </c>
      <c r="Q13493" t="s">
        <v>21364</v>
      </c>
      <c r="R13493" t="s">
        <v>21650</v>
      </c>
      <c r="S13493">
        <v>2476</v>
      </c>
    </row>
    <row r="13494" spans="1:19">
      <c r="A13494" t="s">
        <v>147</v>
      </c>
      <c r="B13494" t="s">
        <v>150</v>
      </c>
      <c r="C13494" t="s">
        <v>279</v>
      </c>
      <c r="D13494" t="s">
        <v>408</v>
      </c>
      <c r="F13494">
        <f>HYPERLINK("https://www.wikidata.org/wiki/Q28494838", "Q28494838")</f>
        <v>0</v>
      </c>
      <c r="G13494" t="s">
        <v>1267</v>
      </c>
      <c r="H13494" t="s">
        <v>5991</v>
      </c>
      <c r="I13494" t="s">
        <v>9388</v>
      </c>
      <c r="J13494" t="s">
        <v>11997</v>
      </c>
      <c r="K13494" t="s">
        <v>16400</v>
      </c>
      <c r="L13494">
        <f>HYPERLINK("https://www2.assemblee-nationale.fr/sycomore/fiche/(num_dept)/4253", "4253")</f>
        <v>0</v>
      </c>
      <c r="M13494">
        <f>HYPERLINK("https://www.senat.fr/senateur-3eme-republique/laffont_paul0184r3.html", "laffont_paul0184r3")</f>
        <v>0</v>
      </c>
      <c r="N13494">
        <f>HYPERLINK("https://www.wikidata.org/wiki/Q3371619", "Q3371619")</f>
        <v>0</v>
      </c>
      <c r="O13494" t="s">
        <v>20019</v>
      </c>
      <c r="Q13494" t="s">
        <v>21364</v>
      </c>
      <c r="R13494" t="s">
        <v>21650</v>
      </c>
      <c r="S13494">
        <v>2476</v>
      </c>
    </row>
    <row r="13495" spans="1:19">
      <c r="A13495" t="s">
        <v>147</v>
      </c>
      <c r="B13495" t="s">
        <v>150</v>
      </c>
      <c r="C13495" t="s">
        <v>279</v>
      </c>
      <c r="D13495" t="s">
        <v>408</v>
      </c>
      <c r="F13495">
        <f>HYPERLINK("https://www.wikidata.org/wiki/Q28494838", "Q28494838")</f>
        <v>0</v>
      </c>
      <c r="G13495" t="s">
        <v>1270</v>
      </c>
      <c r="H13495" t="s">
        <v>5994</v>
      </c>
      <c r="I13495" t="s">
        <v>9376</v>
      </c>
      <c r="J13495" t="s">
        <v>12000</v>
      </c>
      <c r="K13495" t="s">
        <v>16403</v>
      </c>
      <c r="L13495">
        <f>HYPERLINK("https://www2.assemblee-nationale.fr/sycomore/fiche/(num_dept)/4323", "4323")</f>
        <v>0</v>
      </c>
      <c r="M13495">
        <f>HYPERLINK("https://www.senat.fr/senateur-3eme-republique/lancien_ferdinand0803r3.html", "lancien_ferdinand0803r3")</f>
        <v>0</v>
      </c>
      <c r="N13495">
        <f>HYPERLINK("https://www.wikidata.org/wiki/Q3068602", "Q3068602")</f>
        <v>0</v>
      </c>
      <c r="O13495" t="s">
        <v>20011</v>
      </c>
      <c r="Q13495" t="s">
        <v>21364</v>
      </c>
      <c r="R13495" t="s">
        <v>21650</v>
      </c>
      <c r="S13495">
        <v>2476</v>
      </c>
    </row>
    <row r="13496" spans="1:19">
      <c r="A13496" t="s">
        <v>147</v>
      </c>
      <c r="B13496" t="s">
        <v>150</v>
      </c>
      <c r="C13496" t="s">
        <v>279</v>
      </c>
      <c r="D13496" t="s">
        <v>408</v>
      </c>
      <c r="F13496">
        <f>HYPERLINK("https://www.wikidata.org/wiki/Q28494838", "Q28494838")</f>
        <v>0</v>
      </c>
      <c r="G13496" t="s">
        <v>1515</v>
      </c>
      <c r="H13496" t="s">
        <v>6211</v>
      </c>
      <c r="I13496" t="s">
        <v>9457</v>
      </c>
      <c r="J13496" t="s">
        <v>12232</v>
      </c>
      <c r="K13496" t="s">
        <v>16638</v>
      </c>
      <c r="L13496">
        <f>HYPERLINK("https://www2.assemblee-nationale.fr/sycomore/fiche/(num_dept)/4393", "4393")</f>
        <v>0</v>
      </c>
      <c r="M13496">
        <f>HYPERLINK("https://www.senat.fr/senateur-3eme-republique/laudier_henri0442r3.html", "laudier_henri0442r3")</f>
        <v>0</v>
      </c>
      <c r="N13496">
        <f>HYPERLINK("https://www.wikidata.org/wiki/Q3131426", "Q3131426")</f>
        <v>0</v>
      </c>
      <c r="O13496" t="s">
        <v>19996</v>
      </c>
      <c r="Q13496" t="s">
        <v>21364</v>
      </c>
      <c r="R13496" t="s">
        <v>21650</v>
      </c>
      <c r="S13496">
        <v>2476</v>
      </c>
    </row>
    <row r="13497" spans="1:19">
      <c r="A13497" t="s">
        <v>147</v>
      </c>
      <c r="B13497" t="s">
        <v>150</v>
      </c>
      <c r="C13497" t="s">
        <v>279</v>
      </c>
      <c r="D13497" t="s">
        <v>408</v>
      </c>
      <c r="F13497">
        <f>HYPERLINK("https://www.wikidata.org/wiki/Q28494838", "Q28494838")</f>
        <v>0</v>
      </c>
      <c r="G13497" t="s">
        <v>2225</v>
      </c>
      <c r="H13497" t="s">
        <v>6834</v>
      </c>
      <c r="I13497" t="s">
        <v>6495</v>
      </c>
      <c r="J13497" t="s">
        <v>12886</v>
      </c>
      <c r="K13497" t="s">
        <v>17298</v>
      </c>
      <c r="L13497">
        <f>HYPERLINK("https://www2.assemblee-nationale.fr/sycomore/fiche/(num_dept)/4826", "4826")</f>
        <v>0</v>
      </c>
      <c r="M13497">
        <f>HYPERLINK("https://www.senat.fr/senateur-3eme-republique/louis_dreyfus_louis0119r3.html", "louis_dreyfus_louis0119r3")</f>
        <v>0</v>
      </c>
      <c r="N13497">
        <f>HYPERLINK("https://www.wikidata.org/wiki/Q3262554", "Q3262554")</f>
        <v>0</v>
      </c>
      <c r="O13497" t="s">
        <v>20024</v>
      </c>
      <c r="Q13497" t="s">
        <v>21364</v>
      </c>
      <c r="R13497" t="s">
        <v>21650</v>
      </c>
      <c r="S13497">
        <v>2476</v>
      </c>
    </row>
    <row r="13498" spans="1:19">
      <c r="A13498" t="s">
        <v>147</v>
      </c>
      <c r="B13498" t="s">
        <v>150</v>
      </c>
      <c r="C13498" t="s">
        <v>279</v>
      </c>
      <c r="D13498" t="s">
        <v>408</v>
      </c>
      <c r="F13498">
        <f>HYPERLINK("https://www.wikidata.org/wiki/Q28494838", "Q28494838")</f>
        <v>0</v>
      </c>
      <c r="G13498" t="s">
        <v>1921</v>
      </c>
      <c r="H13498" t="s">
        <v>6568</v>
      </c>
      <c r="I13498" t="s">
        <v>6585</v>
      </c>
      <c r="J13498" t="s">
        <v>12606</v>
      </c>
      <c r="K13498" t="s">
        <v>17018</v>
      </c>
      <c r="L13498">
        <f>HYPERLINK("https://www2.assemblee-nationale.fr/sycomore/fiche/(num_dept)/4931", "4931")</f>
        <v>0</v>
      </c>
      <c r="M13498">
        <f>HYPERLINK("https://www.senat.fr/senateur-3eme-republique/mallarme_andre0841r3.html", "mallarme_andre0841r3")</f>
        <v>0</v>
      </c>
      <c r="N13498">
        <f>HYPERLINK("https://www.wikidata.org/wiki/Q2511312", "Q2511312")</f>
        <v>0</v>
      </c>
      <c r="Q13498" t="s">
        <v>21364</v>
      </c>
      <c r="R13498" t="s">
        <v>21650</v>
      </c>
      <c r="S13498">
        <v>2476</v>
      </c>
    </row>
    <row r="13499" spans="1:19">
      <c r="A13499" t="s">
        <v>147</v>
      </c>
      <c r="B13499" t="s">
        <v>150</v>
      </c>
      <c r="C13499" t="s">
        <v>279</v>
      </c>
      <c r="D13499" t="s">
        <v>408</v>
      </c>
      <c r="F13499">
        <f>HYPERLINK("https://www.wikidata.org/wiki/Q28494838", "Q28494838")</f>
        <v>0</v>
      </c>
      <c r="G13499" t="s">
        <v>2253</v>
      </c>
      <c r="H13499" t="s">
        <v>6858</v>
      </c>
      <c r="I13499" t="s">
        <v>6200</v>
      </c>
      <c r="J13499" t="s">
        <v>12911</v>
      </c>
      <c r="K13499" t="s">
        <v>17323</v>
      </c>
      <c r="L13499">
        <f>HYPERLINK("https://www2.assemblee-nationale.fr/sycomore/fiche/(num_dept)/5157", "5157")</f>
        <v>0</v>
      </c>
      <c r="M13499">
        <f>HYPERLINK("https://www.senat.fr/senateur-3eme-republique/medecin_jean0127r3.html", "medecin_jean0127r3")</f>
        <v>0</v>
      </c>
      <c r="N13499">
        <f>HYPERLINK("https://www.wikidata.org/wiki/Q3173654", "Q3173654")</f>
        <v>0</v>
      </c>
      <c r="O13499" t="s">
        <v>20024</v>
      </c>
      <c r="Q13499" t="s">
        <v>21364</v>
      </c>
      <c r="R13499" t="s">
        <v>21650</v>
      </c>
      <c r="S13499">
        <v>2476</v>
      </c>
    </row>
    <row r="13500" spans="1:19">
      <c r="A13500" t="s">
        <v>147</v>
      </c>
      <c r="B13500" t="s">
        <v>150</v>
      </c>
      <c r="C13500" t="s">
        <v>279</v>
      </c>
      <c r="D13500" t="s">
        <v>408</v>
      </c>
      <c r="F13500">
        <f>HYPERLINK("https://www.wikidata.org/wiki/Q28494838", "Q28494838")</f>
        <v>0</v>
      </c>
      <c r="G13500" t="s">
        <v>2357</v>
      </c>
      <c r="H13500" t="s">
        <v>6941</v>
      </c>
      <c r="I13500" t="s">
        <v>6860</v>
      </c>
      <c r="J13500" t="s">
        <v>12683</v>
      </c>
      <c r="K13500" t="s">
        <v>16342</v>
      </c>
      <c r="L13500">
        <f>HYPERLINK("https://www2.assemblee-nationale.fr/sycomore/fiche/(num_dept)/5265", "5265")</f>
        <v>0</v>
      </c>
      <c r="M13500">
        <f>HYPERLINK("https://www.senat.fr/senateur-3eme-republique/michel_pierre0568r3.html", "michel_pierre0568r3")</f>
        <v>0</v>
      </c>
      <c r="N13500">
        <f>HYPERLINK("https://www.wikidata.org/wiki/Q3386275", "Q3386275")</f>
        <v>0</v>
      </c>
      <c r="O13500" t="s">
        <v>19964</v>
      </c>
      <c r="Q13500" t="s">
        <v>21364</v>
      </c>
      <c r="R13500" t="s">
        <v>21650</v>
      </c>
      <c r="S13500">
        <v>2476</v>
      </c>
    </row>
    <row r="13501" spans="1:19">
      <c r="A13501" t="s">
        <v>147</v>
      </c>
      <c r="B13501" t="s">
        <v>150</v>
      </c>
      <c r="C13501" t="s">
        <v>279</v>
      </c>
      <c r="D13501" t="s">
        <v>408</v>
      </c>
      <c r="F13501">
        <f>HYPERLINK("https://www.wikidata.org/wiki/Q28494838", "Q28494838")</f>
        <v>0</v>
      </c>
      <c r="G13501" t="s">
        <v>1008</v>
      </c>
      <c r="H13501" t="s">
        <v>5759</v>
      </c>
      <c r="I13501" t="s">
        <v>9619</v>
      </c>
      <c r="J13501" t="s">
        <v>11745</v>
      </c>
      <c r="K13501" t="s">
        <v>16148</v>
      </c>
      <c r="L13501">
        <f>HYPERLINK("https://www2.assemblee-nationale.fr/sycomore/fiche/(num_dept)/5357", "5357")</f>
        <v>0</v>
      </c>
      <c r="M13501">
        <f>HYPERLINK("https://www.senat.fr/senateur-3eme-republique/monsservin_joseph0284r3.html", "monsservin_joseph0284r3")</f>
        <v>0</v>
      </c>
      <c r="N13501">
        <f>HYPERLINK("https://www.wikidata.org/wiki/Q3185378", "Q3185378")</f>
        <v>0</v>
      </c>
      <c r="O13501" t="s">
        <v>19967</v>
      </c>
      <c r="Q13501" t="s">
        <v>21364</v>
      </c>
      <c r="R13501" t="s">
        <v>21650</v>
      </c>
      <c r="S13501">
        <v>2476</v>
      </c>
    </row>
    <row r="13502" spans="1:19">
      <c r="A13502" t="s">
        <v>147</v>
      </c>
      <c r="B13502" t="s">
        <v>150</v>
      </c>
      <c r="C13502" t="s">
        <v>279</v>
      </c>
      <c r="D13502" t="s">
        <v>408</v>
      </c>
      <c r="F13502">
        <f>HYPERLINK("https://www.wikidata.org/wiki/Q28494838", "Q28494838")</f>
        <v>0</v>
      </c>
      <c r="G13502" t="s">
        <v>1279</v>
      </c>
      <c r="H13502" t="s">
        <v>6002</v>
      </c>
      <c r="I13502" t="s">
        <v>6495</v>
      </c>
      <c r="J13502" t="s">
        <v>12009</v>
      </c>
      <c r="K13502" t="s">
        <v>16412</v>
      </c>
      <c r="L13502">
        <f>HYPERLINK("https://www2.assemblee-nationale.fr/sycomore/fiche/(num_dept)/5456", "5456")</f>
        <v>0</v>
      </c>
      <c r="M13502">
        <f>HYPERLINK("https://www.senat.fr/senateur-3eme-republique/mourier_louis0823r3.html", "mourier_louis0823r3")</f>
        <v>0</v>
      </c>
      <c r="N13502">
        <f>HYPERLINK("https://www.wikidata.org/wiki/Q1871877", "Q1871877")</f>
        <v>0</v>
      </c>
      <c r="O13502" t="s">
        <v>20014</v>
      </c>
      <c r="Q13502" t="s">
        <v>21364</v>
      </c>
      <c r="R13502" t="s">
        <v>21650</v>
      </c>
      <c r="S13502">
        <v>2476</v>
      </c>
    </row>
    <row r="13503" spans="1:19">
      <c r="A13503" t="s">
        <v>147</v>
      </c>
      <c r="B13503" t="s">
        <v>150</v>
      </c>
      <c r="C13503" t="s">
        <v>279</v>
      </c>
      <c r="D13503" t="s">
        <v>408</v>
      </c>
      <c r="F13503">
        <f>HYPERLINK("https://www.wikidata.org/wiki/Q28494838", "Q28494838")</f>
        <v>0</v>
      </c>
      <c r="G13503" t="s">
        <v>1861</v>
      </c>
      <c r="H13503" t="s">
        <v>6517</v>
      </c>
      <c r="I13503" t="s">
        <v>7642</v>
      </c>
      <c r="J13503" t="s">
        <v>11903</v>
      </c>
      <c r="K13503" t="s">
        <v>16962</v>
      </c>
      <c r="L13503">
        <f>HYPERLINK("https://www2.assemblee-nationale.fr/sycomore/fiche/(num_dept)/5662", "5662")</f>
        <v>0</v>
      </c>
      <c r="M13503">
        <f>HYPERLINK("https://www.senat.fr/senateur-3eme-republique/palmade_maurice0409r3.html", "palmade_maurice0409r3")</f>
        <v>0</v>
      </c>
      <c r="N13503">
        <f>HYPERLINK("https://www.wikidata.org/wiki/Q3301240", "Q3301240")</f>
        <v>0</v>
      </c>
      <c r="O13503" t="s">
        <v>20037</v>
      </c>
      <c r="Q13503" t="s">
        <v>21364</v>
      </c>
      <c r="R13503" t="s">
        <v>21650</v>
      </c>
      <c r="S13503">
        <v>2476</v>
      </c>
    </row>
    <row r="13504" spans="1:19">
      <c r="A13504" t="s">
        <v>147</v>
      </c>
      <c r="B13504" t="s">
        <v>150</v>
      </c>
      <c r="C13504" t="s">
        <v>279</v>
      </c>
      <c r="D13504" t="s">
        <v>408</v>
      </c>
      <c r="F13504">
        <f>HYPERLINK("https://www.wikidata.org/wiki/Q28494838", "Q28494838")</f>
        <v>0</v>
      </c>
      <c r="G13504" t="s">
        <v>1869</v>
      </c>
      <c r="H13504" t="s">
        <v>6525</v>
      </c>
      <c r="I13504" t="s">
        <v>6175</v>
      </c>
      <c r="J13504" t="s">
        <v>12557</v>
      </c>
      <c r="K13504" t="s">
        <v>16970</v>
      </c>
      <c r="L13504">
        <f>HYPERLINK("https://www2.assemblee-nationale.fr/sycomore/fiche/(num_dept)/5799", "5799")</f>
        <v>0</v>
      </c>
      <c r="M13504">
        <f>HYPERLINK("https://www.senat.fr/senateur-3eme-republique/pernot_georges0335r4.html", "pernot_georges0335r4")</f>
        <v>0</v>
      </c>
      <c r="N13504">
        <f>HYPERLINK("https://www.wikidata.org/wiki/Q2670356", "Q2670356")</f>
        <v>0</v>
      </c>
      <c r="O13504" t="s">
        <v>19973</v>
      </c>
      <c r="Q13504" t="s">
        <v>21364</v>
      </c>
      <c r="R13504" t="s">
        <v>21650</v>
      </c>
      <c r="S13504">
        <v>2476</v>
      </c>
    </row>
    <row r="13505" spans="1:19">
      <c r="A13505" t="s">
        <v>147</v>
      </c>
      <c r="B13505" t="s">
        <v>150</v>
      </c>
      <c r="C13505" t="s">
        <v>279</v>
      </c>
      <c r="D13505" t="s">
        <v>408</v>
      </c>
      <c r="F13505">
        <f>HYPERLINK("https://www.wikidata.org/wiki/Q28494838", "Q28494838")</f>
        <v>0</v>
      </c>
      <c r="G13505" t="s">
        <v>1577</v>
      </c>
      <c r="H13505" t="s">
        <v>6267</v>
      </c>
      <c r="I13505" t="s">
        <v>9523</v>
      </c>
      <c r="J13505" t="s">
        <v>12290</v>
      </c>
      <c r="K13505" t="s">
        <v>16696</v>
      </c>
      <c r="L13505">
        <f>HYPERLINK("https://www2.assemblee-nationale.fr/sycomore/fiche/(num_dept)/5965", "5965")</f>
        <v>0</v>
      </c>
      <c r="M13505">
        <f>HYPERLINK("https://www.senat.fr/senateur-3eme-republique/plaisant_marcel0005r4.html", "plaisant_marcel0005r4")</f>
        <v>0</v>
      </c>
      <c r="N13505">
        <f>HYPERLINK("https://www.wikidata.org/wiki/Q3289294", "Q3289294")</f>
        <v>0</v>
      </c>
      <c r="O13505" t="s">
        <v>19996</v>
      </c>
      <c r="Q13505" t="s">
        <v>21364</v>
      </c>
      <c r="R13505" t="s">
        <v>21650</v>
      </c>
      <c r="S13505">
        <v>2476</v>
      </c>
    </row>
    <row r="13506" spans="1:19">
      <c r="A13506" t="s">
        <v>147</v>
      </c>
      <c r="B13506" t="s">
        <v>150</v>
      </c>
      <c r="C13506" t="s">
        <v>279</v>
      </c>
      <c r="D13506" t="s">
        <v>408</v>
      </c>
      <c r="F13506">
        <f>HYPERLINK("https://www.wikidata.org/wiki/Q28494838", "Q28494838")</f>
        <v>0</v>
      </c>
      <c r="G13506" t="s">
        <v>1584</v>
      </c>
      <c r="H13506" t="s">
        <v>6274</v>
      </c>
      <c r="I13506" t="s">
        <v>7642</v>
      </c>
      <c r="J13506" t="s">
        <v>12295</v>
      </c>
      <c r="K13506" t="s">
        <v>16703</v>
      </c>
      <c r="L13506">
        <f>HYPERLINK("https://www2.assemblee-nationale.fr/sycomore/fiche/(num_dept)/6102", "6102")</f>
        <v>0</v>
      </c>
      <c r="M13506">
        <f>HYPERLINK("https://www.senat.fr/senateur-3eme-republique/de_rothschild_maurice0087r3.html", "de_rothschild_maurice0087r3")</f>
        <v>0</v>
      </c>
      <c r="N13506">
        <f>HYPERLINK("https://www.wikidata.org/wiki/Q3301570", "Q3301570")</f>
        <v>0</v>
      </c>
      <c r="O13506" t="s">
        <v>19981</v>
      </c>
      <c r="Q13506" t="s">
        <v>21364</v>
      </c>
      <c r="R13506" t="s">
        <v>21650</v>
      </c>
      <c r="S13506">
        <v>2476</v>
      </c>
    </row>
    <row r="13507" spans="1:19">
      <c r="A13507" t="s">
        <v>147</v>
      </c>
      <c r="B13507" t="s">
        <v>150</v>
      </c>
      <c r="C13507" t="s">
        <v>279</v>
      </c>
      <c r="D13507" t="s">
        <v>408</v>
      </c>
      <c r="F13507">
        <f>HYPERLINK("https://www.wikidata.org/wiki/Q28494838", "Q28494838")</f>
        <v>0</v>
      </c>
      <c r="G13507" t="s">
        <v>778</v>
      </c>
      <c r="H13507" t="s">
        <v>5536</v>
      </c>
      <c r="I13507" t="s">
        <v>6584</v>
      </c>
      <c r="J13507" t="s">
        <v>11525</v>
      </c>
      <c r="K13507" t="s">
        <v>15929</v>
      </c>
      <c r="L13507">
        <f>HYPERLINK("https://www2.assemblee-nationale.fr/sycomore/fiche/(num_dept)/6293", "6293")</f>
        <v>0</v>
      </c>
      <c r="M13507">
        <f>HYPERLINK("https://www.senat.fr/senateur-3eme-republique/sarraut_albert0265r3.html", "sarraut_albert0265r3")</f>
        <v>0</v>
      </c>
      <c r="N13507">
        <f>HYPERLINK("https://www.wikidata.org/wiki/Q460318", "Q460318")</f>
        <v>0</v>
      </c>
      <c r="O13507" t="s">
        <v>19960</v>
      </c>
      <c r="Q13507" t="s">
        <v>21364</v>
      </c>
      <c r="R13507" t="s">
        <v>21650</v>
      </c>
      <c r="S13507">
        <v>2476</v>
      </c>
    </row>
    <row r="13508" spans="1:19">
      <c r="A13508" t="s">
        <v>147</v>
      </c>
      <c r="B13508" t="s">
        <v>150</v>
      </c>
      <c r="C13508" t="s">
        <v>279</v>
      </c>
      <c r="D13508" t="s">
        <v>408</v>
      </c>
      <c r="F13508">
        <f>HYPERLINK("https://www.wikidata.org/wiki/Q28494838", "Q28494838")</f>
        <v>0</v>
      </c>
      <c r="G13508" t="s">
        <v>2159</v>
      </c>
      <c r="H13508" t="s">
        <v>6773</v>
      </c>
      <c r="I13508" t="s">
        <v>7419</v>
      </c>
      <c r="J13508" t="s">
        <v>12823</v>
      </c>
      <c r="K13508" t="s">
        <v>17238</v>
      </c>
      <c r="L13508">
        <f>HYPERLINK("https://www2.assemblee-nationale.fr/sycomore/fiche/(num_dept)/6545", "6545")</f>
        <v>0</v>
      </c>
      <c r="M13508">
        <f>HYPERLINK("https://www.senat.fr/senateur-3eme-republique/queinnec_jacques0794r3.html", "queinnec_jacques0794r3")</f>
        <v>0</v>
      </c>
      <c r="N13508">
        <f>HYPERLINK("https://www.wikidata.org/wiki/Q3159830", "Q3159830")</f>
        <v>0</v>
      </c>
      <c r="O13508" t="s">
        <v>20011</v>
      </c>
      <c r="Q13508" t="s">
        <v>21364</v>
      </c>
      <c r="R13508" t="s">
        <v>21650</v>
      </c>
      <c r="S13508">
        <v>2476</v>
      </c>
    </row>
    <row r="13509" spans="1:19">
      <c r="A13509" t="s">
        <v>147</v>
      </c>
      <c r="B13509" t="s">
        <v>150</v>
      </c>
      <c r="C13509" t="s">
        <v>279</v>
      </c>
      <c r="D13509" t="s">
        <v>408</v>
      </c>
      <c r="F13509">
        <f>HYPERLINK("https://www.wikidata.org/wiki/Q28494838", "Q28494838")</f>
        <v>0</v>
      </c>
      <c r="G13509" t="s">
        <v>1304</v>
      </c>
      <c r="H13509" t="s">
        <v>6025</v>
      </c>
      <c r="I13509" t="s">
        <v>9457</v>
      </c>
      <c r="J13509" t="s">
        <v>12034</v>
      </c>
      <c r="K13509" t="s">
        <v>16435</v>
      </c>
      <c r="L13509">
        <f>HYPERLINK("https://www2.assemblee-nationale.fr/sycomore/fiche/(num_dept)/6554", "6554")</f>
        <v>0</v>
      </c>
      <c r="M13509">
        <f>HYPERLINK("https://www.senat.fr/senateur-3eme-republique/queuille_henri0469r3.html", "queuille_henri0469r3")</f>
        <v>0</v>
      </c>
      <c r="N13509">
        <f>HYPERLINK("https://www.wikidata.org/wiki/Q455655", "Q455655")</f>
        <v>0</v>
      </c>
      <c r="O13509" t="s">
        <v>20020</v>
      </c>
      <c r="Q13509" t="s">
        <v>21364</v>
      </c>
      <c r="R13509" t="s">
        <v>21650</v>
      </c>
      <c r="S13509">
        <v>2476</v>
      </c>
    </row>
    <row r="13510" spans="1:19">
      <c r="A13510" t="s">
        <v>147</v>
      </c>
      <c r="B13510" t="s">
        <v>150</v>
      </c>
      <c r="C13510" t="s">
        <v>279</v>
      </c>
      <c r="D13510" t="s">
        <v>408</v>
      </c>
      <c r="F13510">
        <f>HYPERLINK("https://www.wikidata.org/wiki/Q28494838", "Q28494838")</f>
        <v>0</v>
      </c>
      <c r="G13510" t="s">
        <v>1620</v>
      </c>
      <c r="H13510" t="s">
        <v>6305</v>
      </c>
      <c r="I13510" t="s">
        <v>9862</v>
      </c>
      <c r="J13510" t="s">
        <v>12327</v>
      </c>
      <c r="K13510" t="s">
        <v>16737</v>
      </c>
      <c r="L13510">
        <f>HYPERLINK("https://www2.assemblee-nationale.fr/sycomore/fiche/(num_dept)/6770", "6770")</f>
        <v>0</v>
      </c>
      <c r="M13510">
        <f>HYPERLINK("https://www.senat.fr/senateur-3eme-republique/rillard_de_verneuil_henri0040r3.html", "rillard_de_verneuil_henri0040r3")</f>
        <v>0</v>
      </c>
      <c r="N13510">
        <f>HYPERLINK("https://www.wikidata.org/wiki/Q3131913", "Q3131913")</f>
        <v>0</v>
      </c>
      <c r="O13510" t="s">
        <v>20015</v>
      </c>
      <c r="Q13510" t="s">
        <v>21364</v>
      </c>
      <c r="R13510" t="s">
        <v>21650</v>
      </c>
      <c r="S13510">
        <v>2476</v>
      </c>
    </row>
    <row r="13511" spans="1:19">
      <c r="A13511" t="s">
        <v>147</v>
      </c>
      <c r="B13511" t="s">
        <v>150</v>
      </c>
      <c r="C13511" t="s">
        <v>279</v>
      </c>
      <c r="D13511" t="s">
        <v>408</v>
      </c>
      <c r="F13511">
        <f>HYPERLINK("https://www.wikidata.org/wiki/Q28494838", "Q28494838")</f>
        <v>0</v>
      </c>
      <c r="G13511" t="s">
        <v>812</v>
      </c>
      <c r="H13511" t="s">
        <v>5569</v>
      </c>
      <c r="I13511" t="s">
        <v>5528</v>
      </c>
      <c r="J13511" t="s">
        <v>11559</v>
      </c>
      <c r="K13511" t="s">
        <v>15963</v>
      </c>
      <c r="L13511">
        <f>HYPERLINK("https://www2.assemblee-nationale.fr/sycomore/fiche/(num_dept)/6857", "6857")</f>
        <v>0</v>
      </c>
      <c r="M13511">
        <f>HYPERLINK("https://www.senat.fr/senateur-3eme-republique/sireyjol_leon0664r3.html", "sireyjol_leon0664r3")</f>
        <v>0</v>
      </c>
      <c r="N13511">
        <f>HYPERLINK("https://www.wikidata.org/wiki/Q3271332", "Q3271332")</f>
        <v>0</v>
      </c>
      <c r="O13511" t="s">
        <v>20010</v>
      </c>
      <c r="Q13511" t="s">
        <v>21364</v>
      </c>
      <c r="R13511" t="s">
        <v>21650</v>
      </c>
      <c r="S13511">
        <v>2476</v>
      </c>
    </row>
    <row r="13512" spans="1:19">
      <c r="A13512" t="s">
        <v>147</v>
      </c>
      <c r="B13512" t="s">
        <v>150</v>
      </c>
      <c r="C13512" t="s">
        <v>279</v>
      </c>
      <c r="D13512" t="s">
        <v>408</v>
      </c>
      <c r="F13512">
        <f>HYPERLINK("https://www.wikidata.org/wiki/Q28494838", "Q28494838")</f>
        <v>0</v>
      </c>
      <c r="G13512" t="s">
        <v>1898</v>
      </c>
      <c r="H13512" t="s">
        <v>6548</v>
      </c>
      <c r="I13512" t="s">
        <v>9457</v>
      </c>
      <c r="J13512" t="s">
        <v>12585</v>
      </c>
      <c r="K13512" t="s">
        <v>16997</v>
      </c>
      <c r="L13512">
        <f>HYPERLINK("https://www2.assemblee-nationale.fr/sycomore/fiche/(num_dept)/6960", "6960")</f>
        <v>0</v>
      </c>
      <c r="M13512">
        <f>HYPERLINK("https://www.senat.fr/senateur-3eme-republique/tasso_henri0331r3.html", "tasso_henri0331r3")</f>
        <v>0</v>
      </c>
      <c r="N13512">
        <f>HYPERLINK("https://www.wikidata.org/wiki/Q3132056", "Q3132056")</f>
        <v>0</v>
      </c>
      <c r="O13512" t="s">
        <v>19990</v>
      </c>
      <c r="Q13512" t="s">
        <v>21364</v>
      </c>
      <c r="R13512" t="s">
        <v>21650</v>
      </c>
      <c r="S13512">
        <v>2476</v>
      </c>
    </row>
    <row r="13513" spans="1:19">
      <c r="A13513" t="s">
        <v>147</v>
      </c>
      <c r="B13513" t="s">
        <v>150</v>
      </c>
      <c r="C13513" t="s">
        <v>279</v>
      </c>
      <c r="D13513" t="s">
        <v>408</v>
      </c>
      <c r="F13513">
        <f>HYPERLINK("https://www.wikidata.org/wiki/Q28494838", "Q28494838")</f>
        <v>0</v>
      </c>
      <c r="G13513" t="s">
        <v>2395</v>
      </c>
      <c r="H13513" t="s">
        <v>6973</v>
      </c>
      <c r="I13513" t="s">
        <v>10197</v>
      </c>
      <c r="J13513" t="s">
        <v>12858</v>
      </c>
      <c r="K13513" t="s">
        <v>17455</v>
      </c>
      <c r="L13513">
        <f>HYPERLINK("https://www2.assemblee-nationale.fr/sycomore/fiche/(num_dept)/7101", "7101")</f>
        <v>0</v>
      </c>
      <c r="M13513">
        <f>HYPERLINK("https://www.senat.fr/senateur-3eme-republique/revillon_michel0022r3.html", "revillon_michel0022r3")</f>
        <v>0</v>
      </c>
      <c r="N13513">
        <f>HYPERLINK("https://www.wikidata.org/wiki/Q3292824", "Q3292824")</f>
        <v>0</v>
      </c>
      <c r="O13513" t="s">
        <v>19986</v>
      </c>
      <c r="Q13513" t="s">
        <v>21364</v>
      </c>
      <c r="R13513" t="s">
        <v>21650</v>
      </c>
      <c r="S13513">
        <v>2476</v>
      </c>
    </row>
    <row r="13514" spans="1:19">
      <c r="A13514" t="s">
        <v>147</v>
      </c>
      <c r="B13514" t="s">
        <v>150</v>
      </c>
      <c r="C13514" t="s">
        <v>279</v>
      </c>
      <c r="D13514" t="s">
        <v>408</v>
      </c>
      <c r="F13514">
        <f>HYPERLINK("https://www.wikidata.org/wiki/Q28494838", "Q28494838")</f>
        <v>0</v>
      </c>
      <c r="G13514" t="s">
        <v>1065</v>
      </c>
      <c r="H13514" t="s">
        <v>5811</v>
      </c>
      <c r="I13514" t="s">
        <v>9651</v>
      </c>
      <c r="J13514" t="s">
        <v>11802</v>
      </c>
      <c r="K13514" t="s">
        <v>16202</v>
      </c>
      <c r="L13514">
        <f>HYPERLINK("https://www2.assemblee-nationale.fr/sycomore/fiche/(num_dept)/7125", "7125")</f>
        <v>0</v>
      </c>
      <c r="M13514">
        <f>HYPERLINK("https://www.senat.fr/senateur-3eme-republique/toy_riont_maurice0081r3.html", "toy_riont_maurice0081r3")</f>
        <v>0</v>
      </c>
      <c r="N13514">
        <f>HYPERLINK("https://www.wikidata.org/wiki/Q3301463", "Q3301463")</f>
        <v>0</v>
      </c>
      <c r="O13514" t="s">
        <v>19981</v>
      </c>
      <c r="Q13514" t="s">
        <v>21364</v>
      </c>
      <c r="R13514" t="s">
        <v>21650</v>
      </c>
      <c r="S13514">
        <v>2476</v>
      </c>
    </row>
    <row r="13515" spans="1:19">
      <c r="A13515" t="s">
        <v>147</v>
      </c>
      <c r="B13515" t="s">
        <v>150</v>
      </c>
      <c r="C13515" t="s">
        <v>279</v>
      </c>
      <c r="D13515" t="s">
        <v>408</v>
      </c>
      <c r="F13515">
        <f>HYPERLINK("https://www.wikidata.org/wiki/Q28494838", "Q28494838")</f>
        <v>0</v>
      </c>
      <c r="G13515" t="s">
        <v>1066</v>
      </c>
      <c r="H13515" t="s">
        <v>5812</v>
      </c>
      <c r="I13515" t="s">
        <v>9652</v>
      </c>
      <c r="J13515" t="s">
        <v>11803</v>
      </c>
      <c r="K13515" t="s">
        <v>16203</v>
      </c>
      <c r="L13515">
        <f>HYPERLINK("https://www2.assemblee-nationale.fr/sycomore/fiche/(num_dept)/7333", "7333")</f>
        <v>0</v>
      </c>
      <c r="M13515">
        <f>HYPERLINK("https://www.senat.fr/senateur-3eme-republique/vincent_emile0534r3.html", "vincent_emile0534r3")</f>
        <v>0</v>
      </c>
      <c r="N13515">
        <f>HYPERLINK("https://www.wikidata.org/wiki/Q3588785", "Q3588785")</f>
        <v>0</v>
      </c>
      <c r="Q13515" t="s">
        <v>21364</v>
      </c>
      <c r="R13515" t="s">
        <v>21650</v>
      </c>
      <c r="S13515">
        <v>2476</v>
      </c>
    </row>
    <row r="13516" spans="1:19">
      <c r="A13516" t="s">
        <v>147</v>
      </c>
      <c r="B13516" t="s">
        <v>150</v>
      </c>
      <c r="C13516" t="s">
        <v>279</v>
      </c>
      <c r="D13516" t="s">
        <v>408</v>
      </c>
      <c r="F13516">
        <f>HYPERLINK("https://www.wikidata.org/wiki/Q28494838", "Q28494838")</f>
        <v>0</v>
      </c>
      <c r="G13516" t="s">
        <v>2186</v>
      </c>
      <c r="H13516" t="s">
        <v>6797</v>
      </c>
      <c r="I13516" t="s">
        <v>5528</v>
      </c>
      <c r="J13516" t="s">
        <v>12849</v>
      </c>
      <c r="K13516" t="s">
        <v>17261</v>
      </c>
      <c r="L13516">
        <f>HYPERLINK("https://www2.assemblee-nationale.fr/sycomore/fiche/(num_dept)/7518", "7518")</f>
        <v>0</v>
      </c>
      <c r="M13516">
        <f>HYPERLINK("https://www.senat.fr/senateur-3eme-republique/lauvray_leon0752r3.html", "lauvray_leon0752r3")</f>
        <v>0</v>
      </c>
      <c r="N13516">
        <f>HYPERLINK("https://www.wikidata.org/wiki/Q3271132", "Q3271132")</f>
        <v>0</v>
      </c>
      <c r="O13516" t="s">
        <v>19992</v>
      </c>
      <c r="Q13516" t="s">
        <v>21364</v>
      </c>
      <c r="R13516" t="s">
        <v>21650</v>
      </c>
      <c r="S13516">
        <v>2476</v>
      </c>
    </row>
    <row r="13517" spans="1:19">
      <c r="A13517" t="s">
        <v>147</v>
      </c>
      <c r="B13517" t="s">
        <v>150</v>
      </c>
      <c r="C13517" t="s">
        <v>279</v>
      </c>
      <c r="D13517" t="s">
        <v>408</v>
      </c>
      <c r="F13517">
        <f>HYPERLINK("https://www.wikidata.org/wiki/Q28494838", "Q28494838")</f>
        <v>0</v>
      </c>
      <c r="G13517" t="s">
        <v>2215</v>
      </c>
      <c r="H13517" t="s">
        <v>6824</v>
      </c>
      <c r="I13517" t="s">
        <v>10120</v>
      </c>
      <c r="J13517" t="s">
        <v>12876</v>
      </c>
      <c r="K13517" t="s">
        <v>17288</v>
      </c>
      <c r="L13517">
        <f>HYPERLINK("https://www2.assemblee-nationale.fr/sycomore/fiche/(num_dept)/7734", "7734")</f>
        <v>0</v>
      </c>
      <c r="M13517">
        <f>HYPERLINK("https://www.senat.fr/senateur-3eme-republique/leguet_firmin0170r3.html", "leguet_firmin0170r3")</f>
        <v>0</v>
      </c>
      <c r="N13517">
        <f>HYPERLINK("https://www.wikidata.org/wiki/Q3072883", "Q3072883")</f>
        <v>0</v>
      </c>
      <c r="O13517" t="s">
        <v>19959</v>
      </c>
      <c r="Q13517" t="s">
        <v>21364</v>
      </c>
      <c r="R13517" t="s">
        <v>21650</v>
      </c>
      <c r="S13517">
        <v>2476</v>
      </c>
    </row>
    <row r="13518" spans="1:19">
      <c r="A13518" t="s">
        <v>147</v>
      </c>
      <c r="B13518" t="s">
        <v>150</v>
      </c>
      <c r="C13518" t="s">
        <v>279</v>
      </c>
      <c r="D13518" t="s">
        <v>408</v>
      </c>
      <c r="F13518">
        <f>HYPERLINK("https://www.wikidata.org/wiki/Q28494838", "Q28494838")</f>
        <v>0</v>
      </c>
      <c r="G13518" t="s">
        <v>5094</v>
      </c>
      <c r="H13518" t="s">
        <v>9222</v>
      </c>
      <c r="I13518" t="s">
        <v>6584</v>
      </c>
      <c r="J13518" t="s">
        <v>15508</v>
      </c>
      <c r="K13518" t="s">
        <v>19810</v>
      </c>
      <c r="M13518">
        <f>HYPERLINK("https://www.senat.fr/senateur-3eme-republique/fouilloux_albert0014r3.html", "fouilloux_albert0014r3")</f>
        <v>0</v>
      </c>
      <c r="N13518">
        <f>HYPERLINK("https://www.wikidata.org/wiki/Q2831180", "Q2831180")</f>
        <v>0</v>
      </c>
      <c r="O13518" t="s">
        <v>19986</v>
      </c>
      <c r="Q13518" t="s">
        <v>21364</v>
      </c>
      <c r="R13518" t="s">
        <v>21650</v>
      </c>
      <c r="S13518">
        <v>2476</v>
      </c>
    </row>
    <row r="13519" spans="1:19">
      <c r="A13519" t="s">
        <v>147</v>
      </c>
      <c r="B13519" t="s">
        <v>150</v>
      </c>
      <c r="C13519" t="s">
        <v>279</v>
      </c>
      <c r="D13519" t="s">
        <v>408</v>
      </c>
      <c r="F13519">
        <f>HYPERLINK("https://www.wikidata.org/wiki/Q28494838", "Q28494838")</f>
        <v>0</v>
      </c>
      <c r="G13519" t="s">
        <v>4337</v>
      </c>
      <c r="H13519" t="s">
        <v>8488</v>
      </c>
      <c r="I13519" t="s">
        <v>9476</v>
      </c>
      <c r="J13519" t="s">
        <v>12859</v>
      </c>
      <c r="K13519" t="s">
        <v>19173</v>
      </c>
      <c r="M13519">
        <f>HYPERLINK("https://www.senat.fr/senateur-3eme-republique/hachette_rene0035r3.html", "hachette_rene0035r3")</f>
        <v>0</v>
      </c>
      <c r="N13519">
        <f>HYPERLINK("https://www.wikidata.org/wiki/Q3426336", "Q3426336")</f>
        <v>0</v>
      </c>
      <c r="O13519" t="s">
        <v>20015</v>
      </c>
      <c r="Q13519" t="s">
        <v>21364</v>
      </c>
      <c r="R13519" t="s">
        <v>21650</v>
      </c>
      <c r="S13519">
        <v>2476</v>
      </c>
    </row>
    <row r="13520" spans="1:19">
      <c r="A13520" t="s">
        <v>147</v>
      </c>
      <c r="B13520" t="s">
        <v>150</v>
      </c>
      <c r="C13520" t="s">
        <v>279</v>
      </c>
      <c r="D13520" t="s">
        <v>408</v>
      </c>
      <c r="F13520">
        <f>HYPERLINK("https://www.wikidata.org/wiki/Q28494838", "Q28494838")</f>
        <v>0</v>
      </c>
      <c r="G13520" t="s">
        <v>5112</v>
      </c>
      <c r="H13520" t="s">
        <v>8723</v>
      </c>
      <c r="I13520" t="s">
        <v>9389</v>
      </c>
      <c r="J13520" t="s">
        <v>11282</v>
      </c>
      <c r="K13520" t="s">
        <v>19824</v>
      </c>
      <c r="M13520">
        <f>HYPERLINK("https://www.senat.fr/senateur-3eme-republique/roussel_emile0027r3.html", "roussel_emile0027r3")</f>
        <v>0</v>
      </c>
      <c r="N13520">
        <f>HYPERLINK("https://www.wikidata.org/wiki/Q3588730", "Q3588730")</f>
        <v>0</v>
      </c>
      <c r="O13520" t="s">
        <v>20015</v>
      </c>
      <c r="Q13520" t="s">
        <v>21364</v>
      </c>
      <c r="R13520" t="s">
        <v>21650</v>
      </c>
      <c r="S13520">
        <v>2476</v>
      </c>
    </row>
    <row r="13521" spans="1:19">
      <c r="A13521" t="s">
        <v>147</v>
      </c>
      <c r="B13521" t="s">
        <v>150</v>
      </c>
      <c r="C13521" t="s">
        <v>279</v>
      </c>
      <c r="D13521" t="s">
        <v>408</v>
      </c>
      <c r="F13521">
        <f>HYPERLINK("https://www.wikidata.org/wiki/Q28494838", "Q28494838")</f>
        <v>0</v>
      </c>
      <c r="G13521" t="s">
        <v>4335</v>
      </c>
      <c r="H13521" t="s">
        <v>8486</v>
      </c>
      <c r="I13521" t="s">
        <v>6584</v>
      </c>
      <c r="J13521" t="s">
        <v>12567</v>
      </c>
      <c r="K13521" t="s">
        <v>19171</v>
      </c>
      <c r="M13521">
        <f>HYPERLINK("https://www.senat.fr/senateur-3eme-republique/peyronnet_albert0055r3.html", "peyronnet_albert0055r3")</f>
        <v>0</v>
      </c>
      <c r="N13521">
        <f>HYPERLINK("https://www.wikidata.org/wiki/Q2831464", "Q2831464")</f>
        <v>0</v>
      </c>
      <c r="O13521" t="s">
        <v>19999</v>
      </c>
      <c r="Q13521" t="s">
        <v>21364</v>
      </c>
      <c r="R13521" t="s">
        <v>21650</v>
      </c>
      <c r="S13521">
        <v>2476</v>
      </c>
    </row>
    <row r="13522" spans="1:19">
      <c r="A13522" t="s">
        <v>147</v>
      </c>
      <c r="B13522" t="s">
        <v>150</v>
      </c>
      <c r="C13522" t="s">
        <v>279</v>
      </c>
      <c r="D13522" t="s">
        <v>408</v>
      </c>
      <c r="F13522">
        <f>HYPERLINK("https://www.wikidata.org/wiki/Q28494838", "Q28494838")</f>
        <v>0</v>
      </c>
      <c r="G13522" t="s">
        <v>4981</v>
      </c>
      <c r="H13522" t="s">
        <v>9114</v>
      </c>
      <c r="I13522" t="s">
        <v>6200</v>
      </c>
      <c r="J13522" t="s">
        <v>11964</v>
      </c>
      <c r="K13522" t="s">
        <v>19718</v>
      </c>
      <c r="M13522">
        <f>HYPERLINK("https://www.senat.fr/senateur-3eme-republique/beaumont_jean0050r3.html", "beaumont_jean0050r3")</f>
        <v>0</v>
      </c>
      <c r="N13522">
        <f>HYPERLINK("https://www.wikidata.org/wiki/Q55030753", "Q55030753")</f>
        <v>0</v>
      </c>
      <c r="O13522" t="s">
        <v>19999</v>
      </c>
      <c r="Q13522" t="s">
        <v>21364</v>
      </c>
      <c r="R13522" t="s">
        <v>21650</v>
      </c>
      <c r="S13522">
        <v>2476</v>
      </c>
    </row>
    <row r="13523" spans="1:19">
      <c r="A13523" t="s">
        <v>147</v>
      </c>
      <c r="B13523" t="s">
        <v>150</v>
      </c>
      <c r="C13523" t="s">
        <v>279</v>
      </c>
      <c r="D13523" t="s">
        <v>408</v>
      </c>
      <c r="F13523">
        <f>HYPERLINK("https://www.wikidata.org/wiki/Q28494838", "Q28494838")</f>
        <v>0</v>
      </c>
      <c r="G13523" t="s">
        <v>5151</v>
      </c>
      <c r="H13523" t="s">
        <v>9271</v>
      </c>
      <c r="I13523" t="s">
        <v>9457</v>
      </c>
      <c r="J13523" t="s">
        <v>15556</v>
      </c>
      <c r="K13523" t="s">
        <v>19858</v>
      </c>
      <c r="M13523">
        <f>HYPERLINK("https://www.senat.fr/senateur-3eme-republique/de_pavin_de_lafarge_henri0145r3.html", "de_pavin_de_lafarge_henri0145r3")</f>
        <v>0</v>
      </c>
      <c r="N13523">
        <f>HYPERLINK("https://www.wikidata.org/wiki/Q3131752", "Q3131752")</f>
        <v>0</v>
      </c>
      <c r="O13523" t="s">
        <v>19991</v>
      </c>
      <c r="Q13523" t="s">
        <v>21364</v>
      </c>
      <c r="R13523" t="s">
        <v>21650</v>
      </c>
      <c r="S13523">
        <v>2476</v>
      </c>
    </row>
    <row r="13524" spans="1:19">
      <c r="A13524" t="s">
        <v>147</v>
      </c>
      <c r="B13524" t="s">
        <v>150</v>
      </c>
      <c r="C13524" t="s">
        <v>279</v>
      </c>
      <c r="D13524" t="s">
        <v>408</v>
      </c>
      <c r="F13524">
        <f>HYPERLINK("https://www.wikidata.org/wiki/Q28494838", "Q28494838")</f>
        <v>0</v>
      </c>
      <c r="G13524" t="s">
        <v>5240</v>
      </c>
      <c r="H13524" t="s">
        <v>9350</v>
      </c>
      <c r="I13524" t="s">
        <v>6860</v>
      </c>
      <c r="J13524" t="s">
        <v>327</v>
      </c>
      <c r="K13524" t="s">
        <v>19937</v>
      </c>
      <c r="M13524">
        <f>HYPERLINK("https://www.senat.fr/senateur-3eme-republique/lautier_pierre1861r3.html", "lautier_pierre1861r3")</f>
        <v>0</v>
      </c>
      <c r="N13524">
        <f>HYPERLINK("https://www.wikidata.org/wiki/Q3385821", "Q3385821")</f>
        <v>0</v>
      </c>
      <c r="O13524" t="s">
        <v>19991</v>
      </c>
      <c r="Q13524" t="s">
        <v>21364</v>
      </c>
      <c r="R13524" t="s">
        <v>21650</v>
      </c>
      <c r="S13524">
        <v>2476</v>
      </c>
    </row>
    <row r="13525" spans="1:19">
      <c r="A13525" t="s">
        <v>147</v>
      </c>
      <c r="B13525" t="s">
        <v>150</v>
      </c>
      <c r="C13525" t="s">
        <v>279</v>
      </c>
      <c r="D13525" t="s">
        <v>408</v>
      </c>
      <c r="F13525">
        <f>HYPERLINK("https://www.wikidata.org/wiki/Q28494838", "Q28494838")</f>
        <v>0</v>
      </c>
      <c r="G13525" t="s">
        <v>5241</v>
      </c>
      <c r="H13525" t="s">
        <v>8909</v>
      </c>
      <c r="I13525" t="s">
        <v>9442</v>
      </c>
      <c r="J13525" t="s">
        <v>15620</v>
      </c>
      <c r="K13525" t="s">
        <v>17392</v>
      </c>
      <c r="M13525">
        <f>HYPERLINK("https://www.senat.fr/senateur-3eme-republique/labbe_ernest0177r3.html", "labbe_ernest0177r3")</f>
        <v>0</v>
      </c>
      <c r="N13525">
        <f>HYPERLINK("https://www.wikidata.org/wiki/Q3057027", "Q3057027")</f>
        <v>0</v>
      </c>
      <c r="O13525" t="s">
        <v>19959</v>
      </c>
      <c r="Q13525" t="s">
        <v>21364</v>
      </c>
      <c r="R13525" t="s">
        <v>17392</v>
      </c>
      <c r="S13525">
        <v>1403</v>
      </c>
    </row>
    <row r="13526" spans="1:19">
      <c r="A13526" t="s">
        <v>147</v>
      </c>
      <c r="B13526" t="s">
        <v>150</v>
      </c>
      <c r="C13526" t="s">
        <v>279</v>
      </c>
      <c r="D13526" t="s">
        <v>408</v>
      </c>
      <c r="F13526">
        <f>HYPERLINK("https://www.wikidata.org/wiki/Q28494838", "Q28494838")</f>
        <v>0</v>
      </c>
      <c r="G13526" t="s">
        <v>5242</v>
      </c>
      <c r="H13526" t="s">
        <v>9351</v>
      </c>
      <c r="I13526" t="s">
        <v>9602</v>
      </c>
      <c r="J13526" t="s">
        <v>15631</v>
      </c>
      <c r="K13526" t="s">
        <v>19938</v>
      </c>
      <c r="M13526">
        <f>HYPERLINK("https://www.senat.fr/senateur-3eme-republique/hannotin_edmond0165r3.html", "hannotin_edmond0165r3")</f>
        <v>0</v>
      </c>
      <c r="N13526">
        <f>HYPERLINK("https://www.wikidata.org/wiki/Q3047857", "Q3047857")</f>
        <v>0</v>
      </c>
      <c r="O13526" t="s">
        <v>19959</v>
      </c>
      <c r="Q13526" t="s">
        <v>21364</v>
      </c>
      <c r="R13526" t="s">
        <v>21650</v>
      </c>
      <c r="S13526">
        <v>2476</v>
      </c>
    </row>
    <row r="13527" spans="1:19">
      <c r="A13527" t="s">
        <v>147</v>
      </c>
      <c r="B13527" t="s">
        <v>150</v>
      </c>
      <c r="C13527" t="s">
        <v>279</v>
      </c>
      <c r="D13527" t="s">
        <v>408</v>
      </c>
      <c r="F13527">
        <f>HYPERLINK("https://www.wikidata.org/wiki/Q28494838", "Q28494838")</f>
        <v>0</v>
      </c>
      <c r="G13527" t="s">
        <v>5152</v>
      </c>
      <c r="H13527" t="s">
        <v>9272</v>
      </c>
      <c r="I13527" t="s">
        <v>9407</v>
      </c>
      <c r="J13527" t="s">
        <v>15557</v>
      </c>
      <c r="K13527" t="s">
        <v>19859</v>
      </c>
      <c r="M13527">
        <f>HYPERLINK("https://www.senat.fr/senateur-3eme-republique/rambaud_joseph0190r3.html", "rambaud_joseph0190r3")</f>
        <v>0</v>
      </c>
      <c r="N13527">
        <f>HYPERLINK("https://www.wikidata.org/wiki/Q3184402", "Q3184402")</f>
        <v>0</v>
      </c>
      <c r="O13527" t="s">
        <v>20019</v>
      </c>
      <c r="Q13527" t="s">
        <v>21364</v>
      </c>
      <c r="R13527" t="s">
        <v>21650</v>
      </c>
      <c r="S13527">
        <v>2476</v>
      </c>
    </row>
    <row r="13528" spans="1:19">
      <c r="A13528" t="s">
        <v>147</v>
      </c>
      <c r="B13528" t="s">
        <v>150</v>
      </c>
      <c r="C13528" t="s">
        <v>279</v>
      </c>
      <c r="D13528" t="s">
        <v>408</v>
      </c>
      <c r="F13528">
        <f>HYPERLINK("https://www.wikidata.org/wiki/Q28494838", "Q28494838")</f>
        <v>0</v>
      </c>
      <c r="G13528" t="s">
        <v>5243</v>
      </c>
      <c r="H13528" t="s">
        <v>9352</v>
      </c>
      <c r="I13528" t="s">
        <v>9446</v>
      </c>
      <c r="J13528" t="s">
        <v>15632</v>
      </c>
      <c r="K13528" t="s">
        <v>19939</v>
      </c>
      <c r="M13528">
        <f>HYPERLINK("https://www.senat.fr/senateur-3eme-republique/monsacre_fernand0234r3.html", "monsacre_fernand0234r3")</f>
        <v>0</v>
      </c>
      <c r="N13528">
        <f>HYPERLINK("https://www.wikidata.org/wiki/Q3069275", "Q3069275")</f>
        <v>0</v>
      </c>
      <c r="O13528" t="s">
        <v>8449</v>
      </c>
      <c r="Q13528" t="s">
        <v>21364</v>
      </c>
      <c r="R13528" t="s">
        <v>19939</v>
      </c>
      <c r="S13528">
        <v>1885</v>
      </c>
    </row>
    <row r="13529" spans="1:19">
      <c r="A13529" t="s">
        <v>147</v>
      </c>
      <c r="B13529" t="s">
        <v>150</v>
      </c>
      <c r="C13529" t="s">
        <v>279</v>
      </c>
      <c r="D13529" t="s">
        <v>408</v>
      </c>
      <c r="F13529">
        <f>HYPERLINK("https://www.wikidata.org/wiki/Q28494838", "Q28494838")</f>
        <v>0</v>
      </c>
      <c r="G13529" t="s">
        <v>5117</v>
      </c>
      <c r="H13529" t="s">
        <v>9243</v>
      </c>
      <c r="I13529" t="s">
        <v>9692</v>
      </c>
      <c r="J13529" t="s">
        <v>15527</v>
      </c>
      <c r="K13529" t="s">
        <v>19828</v>
      </c>
      <c r="M13529">
        <f>HYPERLINK("https://www.senat.fr/senateur-3eme-republique/armbruster_raymond0231r3.html", "armbruster_raymond0231r3")</f>
        <v>0</v>
      </c>
      <c r="N13529">
        <f>HYPERLINK("https://www.wikidata.org/wiki/Q3420638", "Q3420638")</f>
        <v>0</v>
      </c>
      <c r="O13529" t="s">
        <v>8449</v>
      </c>
      <c r="Q13529" t="s">
        <v>21364</v>
      </c>
      <c r="R13529" t="s">
        <v>21650</v>
      </c>
      <c r="S13529">
        <v>2476</v>
      </c>
    </row>
    <row r="13530" spans="1:19">
      <c r="A13530" t="s">
        <v>147</v>
      </c>
      <c r="B13530" t="s">
        <v>150</v>
      </c>
      <c r="C13530" t="s">
        <v>279</v>
      </c>
      <c r="D13530" t="s">
        <v>408</v>
      </c>
      <c r="F13530">
        <f>HYPERLINK("https://www.wikidata.org/wiki/Q28494838", "Q28494838")</f>
        <v>0</v>
      </c>
      <c r="G13530" t="s">
        <v>5233</v>
      </c>
      <c r="H13530" t="s">
        <v>9344</v>
      </c>
      <c r="I13530" t="s">
        <v>9476</v>
      </c>
      <c r="J13530" t="s">
        <v>15624</v>
      </c>
      <c r="K13530" t="s">
        <v>19931</v>
      </c>
      <c r="M13530">
        <f>HYPERLINK("https://www.senat.fr/senateur-3eme-republique/converset_rene0226r3.html", "converset_rene0226r3")</f>
        <v>0</v>
      </c>
      <c r="N13530">
        <f>HYPERLINK("https://www.wikidata.org/wiki/Q3426028", "Q3426028")</f>
        <v>0</v>
      </c>
      <c r="O13530" t="s">
        <v>8449</v>
      </c>
      <c r="Q13530" t="s">
        <v>21364</v>
      </c>
      <c r="R13530" t="s">
        <v>21650</v>
      </c>
      <c r="S13530">
        <v>2476</v>
      </c>
    </row>
    <row r="13531" spans="1:19">
      <c r="A13531" t="s">
        <v>147</v>
      </c>
      <c r="B13531" t="s">
        <v>150</v>
      </c>
      <c r="C13531" t="s">
        <v>279</v>
      </c>
      <c r="D13531" t="s">
        <v>408</v>
      </c>
      <c r="F13531">
        <f>HYPERLINK("https://www.wikidata.org/wiki/Q28494838", "Q28494838")</f>
        <v>0</v>
      </c>
      <c r="G13531" t="s">
        <v>5228</v>
      </c>
      <c r="H13531" t="s">
        <v>9339</v>
      </c>
      <c r="I13531" t="s">
        <v>7419</v>
      </c>
      <c r="J13531" t="s">
        <v>11721</v>
      </c>
      <c r="K13531" t="s">
        <v>19926</v>
      </c>
      <c r="M13531">
        <f>HYPERLINK("https://www.senat.fr/senateur-3eme-republique/guilhem_jacques0271r3.html", "guilhem_jacques0271r3")</f>
        <v>0</v>
      </c>
      <c r="N13531">
        <f>HYPERLINK("https://www.wikidata.org/wiki/Q3159050", "Q3159050")</f>
        <v>0</v>
      </c>
      <c r="O13531" t="s">
        <v>19960</v>
      </c>
      <c r="Q13531" t="s">
        <v>21364</v>
      </c>
      <c r="R13531" t="s">
        <v>21650</v>
      </c>
      <c r="S13531">
        <v>2476</v>
      </c>
    </row>
    <row r="13532" spans="1:19">
      <c r="A13532" t="s">
        <v>147</v>
      </c>
      <c r="B13532" t="s">
        <v>150</v>
      </c>
      <c r="C13532" t="s">
        <v>279</v>
      </c>
      <c r="D13532" t="s">
        <v>408</v>
      </c>
      <c r="F13532">
        <f>HYPERLINK("https://www.wikidata.org/wiki/Q28494838", "Q28494838")</f>
        <v>0</v>
      </c>
      <c r="G13532" t="s">
        <v>5169</v>
      </c>
      <c r="H13532" t="s">
        <v>9288</v>
      </c>
      <c r="I13532" t="s">
        <v>8319</v>
      </c>
      <c r="J13532" t="s">
        <v>15571</v>
      </c>
      <c r="K13532" t="s">
        <v>19875</v>
      </c>
      <c r="M13532">
        <f>HYPERLINK("https://www.senat.fr/senateur-3eme-republique/raynaud_clement0278r3.html", "raynaud_clement0278r3")</f>
        <v>0</v>
      </c>
      <c r="N13532">
        <f>HYPERLINK("https://www.wikidata.org/wiki/Q2980676", "Q2980676")</f>
        <v>0</v>
      </c>
      <c r="O13532" t="s">
        <v>19960</v>
      </c>
      <c r="Q13532" t="s">
        <v>21364</v>
      </c>
      <c r="R13532" t="s">
        <v>21650</v>
      </c>
      <c r="S13532">
        <v>2476</v>
      </c>
    </row>
    <row r="13533" spans="1:19">
      <c r="A13533" t="s">
        <v>147</v>
      </c>
      <c r="B13533" t="s">
        <v>150</v>
      </c>
      <c r="C13533" t="s">
        <v>279</v>
      </c>
      <c r="D13533" t="s">
        <v>408</v>
      </c>
      <c r="F13533">
        <f>HYPERLINK("https://www.wikidata.org/wiki/Q28494838", "Q28494838")</f>
        <v>0</v>
      </c>
      <c r="G13533" t="s">
        <v>5244</v>
      </c>
      <c r="H13533" t="s">
        <v>9353</v>
      </c>
      <c r="I13533" t="s">
        <v>6200</v>
      </c>
      <c r="J13533" t="s">
        <v>12441</v>
      </c>
      <c r="K13533" t="s">
        <v>19940</v>
      </c>
      <c r="M13533">
        <f>HYPERLINK("https://www.senat.fr/senateur-3eme-republique/maroger_jean0200r4.html", "maroger_jean0200r4")</f>
        <v>0</v>
      </c>
      <c r="N13533">
        <f>HYPERLINK("https://www.wikidata.org/wiki/Q3173411", "Q3173411")</f>
        <v>0</v>
      </c>
      <c r="O13533" t="s">
        <v>19967</v>
      </c>
      <c r="Q13533" t="s">
        <v>21364</v>
      </c>
      <c r="R13533" t="s">
        <v>21650</v>
      </c>
      <c r="S13533">
        <v>2476</v>
      </c>
    </row>
    <row r="13534" spans="1:19">
      <c r="A13534" t="s">
        <v>147</v>
      </c>
      <c r="B13534" t="s">
        <v>150</v>
      </c>
      <c r="C13534" t="s">
        <v>279</v>
      </c>
      <c r="D13534" t="s">
        <v>408</v>
      </c>
      <c r="F13534">
        <f>HYPERLINK("https://www.wikidata.org/wiki/Q28494838", "Q28494838")</f>
        <v>0</v>
      </c>
      <c r="G13534" t="s">
        <v>5153</v>
      </c>
      <c r="H13534" t="s">
        <v>9273</v>
      </c>
      <c r="I13534" t="s">
        <v>6860</v>
      </c>
      <c r="J13534" t="s">
        <v>15558</v>
      </c>
      <c r="K13534" t="s">
        <v>19860</v>
      </c>
      <c r="M13534">
        <f>HYPERLINK("https://www.senat.fr/senateur-3eme-republique/de_courtois_pierre0063r3.html", "de_courtois_pierre0063r3")</f>
        <v>0</v>
      </c>
      <c r="N13534">
        <f>HYPERLINK("https://www.wikidata.org/wiki/Q3387513", "Q3387513")</f>
        <v>0</v>
      </c>
      <c r="O13534" t="s">
        <v>20033</v>
      </c>
      <c r="Q13534" t="s">
        <v>21364</v>
      </c>
      <c r="R13534" t="s">
        <v>21650</v>
      </c>
      <c r="S13534">
        <v>2476</v>
      </c>
    </row>
    <row r="13535" spans="1:19">
      <c r="A13535" t="s">
        <v>147</v>
      </c>
      <c r="B13535" t="s">
        <v>150</v>
      </c>
      <c r="C13535" t="s">
        <v>279</v>
      </c>
      <c r="D13535" t="s">
        <v>408</v>
      </c>
      <c r="F13535">
        <f>HYPERLINK("https://www.wikidata.org/wiki/Q28494838", "Q28494838")</f>
        <v>0</v>
      </c>
      <c r="G13535" t="s">
        <v>4323</v>
      </c>
      <c r="H13535" t="s">
        <v>8475</v>
      </c>
      <c r="I13535" t="s">
        <v>11182</v>
      </c>
      <c r="J13535" t="s">
        <v>14819</v>
      </c>
      <c r="K13535" t="s">
        <v>19159</v>
      </c>
      <c r="M13535">
        <f>HYPERLINK("https://www.senat.fr/senateur-3eme-republique/schrameck_abraham0319r3.html", "schrameck_abraham0319r3")</f>
        <v>0</v>
      </c>
      <c r="N13535">
        <f>HYPERLINK("https://www.wikidata.org/wiki/Q330586", "Q330586")</f>
        <v>0</v>
      </c>
      <c r="O13535" t="s">
        <v>19990</v>
      </c>
      <c r="Q13535" t="s">
        <v>21364</v>
      </c>
      <c r="R13535" t="s">
        <v>21650</v>
      </c>
      <c r="S13535">
        <v>2476</v>
      </c>
    </row>
    <row r="13536" spans="1:19">
      <c r="A13536" t="s">
        <v>147</v>
      </c>
      <c r="B13536" t="s">
        <v>150</v>
      </c>
      <c r="C13536" t="s">
        <v>279</v>
      </c>
      <c r="D13536" t="s">
        <v>408</v>
      </c>
      <c r="F13536">
        <f>HYPERLINK("https://www.wikidata.org/wiki/Q28494838", "Q28494838")</f>
        <v>0</v>
      </c>
      <c r="G13536" t="s">
        <v>5162</v>
      </c>
      <c r="H13536" t="s">
        <v>9282</v>
      </c>
      <c r="I13536" t="s">
        <v>5528</v>
      </c>
      <c r="J13536" t="s">
        <v>15565</v>
      </c>
      <c r="K13536" t="s">
        <v>19868</v>
      </c>
      <c r="M13536">
        <f>HYPERLINK("https://www.senat.fr/senateur-3eme-republique/bon_leon0314r3.html", "bon_leon0314r3")</f>
        <v>0</v>
      </c>
      <c r="N13536">
        <f>HYPERLINK("https://www.wikidata.org/wiki/Q1387347", "Q1387347")</f>
        <v>0</v>
      </c>
      <c r="O13536" t="s">
        <v>19990</v>
      </c>
      <c r="Q13536" t="s">
        <v>21364</v>
      </c>
      <c r="R13536" t="s">
        <v>21650</v>
      </c>
      <c r="S13536">
        <v>2476</v>
      </c>
    </row>
    <row r="13537" spans="1:19">
      <c r="A13537" t="s">
        <v>147</v>
      </c>
      <c r="B13537" t="s">
        <v>150</v>
      </c>
      <c r="C13537" t="s">
        <v>279</v>
      </c>
      <c r="D13537" t="s">
        <v>408</v>
      </c>
      <c r="F13537">
        <f>HYPERLINK("https://www.wikidata.org/wiki/Q28494838", "Q28494838")</f>
        <v>0</v>
      </c>
      <c r="G13537" t="s">
        <v>5245</v>
      </c>
      <c r="H13537" t="s">
        <v>9354</v>
      </c>
      <c r="I13537" t="s">
        <v>5812</v>
      </c>
      <c r="J13537" t="s">
        <v>15633</v>
      </c>
      <c r="K13537" t="s">
        <v>19941</v>
      </c>
      <c r="M13537">
        <f>HYPERLINK("https://www.senat.fr/senateur-3eme-republique/delpuech_vincent000685.html", "delpuech_vincent000685")</f>
        <v>0</v>
      </c>
      <c r="N13537">
        <f>HYPERLINK("https://www.wikidata.org/wiki/Q3559578", "Q3559578")</f>
        <v>0</v>
      </c>
      <c r="O13537" t="s">
        <v>19990</v>
      </c>
      <c r="Q13537" t="s">
        <v>21364</v>
      </c>
      <c r="R13537" t="s">
        <v>21650</v>
      </c>
      <c r="S13537">
        <v>2476</v>
      </c>
    </row>
    <row r="13538" spans="1:19">
      <c r="A13538" t="s">
        <v>147</v>
      </c>
      <c r="B13538" t="s">
        <v>150</v>
      </c>
      <c r="C13538" t="s">
        <v>279</v>
      </c>
      <c r="D13538" t="s">
        <v>408</v>
      </c>
      <c r="F13538">
        <f>HYPERLINK("https://www.wikidata.org/wiki/Q28494838", "Q28494838")</f>
        <v>0</v>
      </c>
      <c r="G13538" t="s">
        <v>5141</v>
      </c>
      <c r="H13538" t="s">
        <v>9062</v>
      </c>
      <c r="I13538" t="s">
        <v>6200</v>
      </c>
      <c r="J13538" t="s">
        <v>15548</v>
      </c>
      <c r="K13538" t="s">
        <v>19849</v>
      </c>
      <c r="M13538">
        <f>HYPERLINK("https://www.senat.fr/senateur-3eme-republique/boivin_champeaux_jean0407r4.html", "boivin_champeaux_jean0407r4")</f>
        <v>0</v>
      </c>
      <c r="N13538">
        <f>HYPERLINK("https://www.wikidata.org/wiki/Q3170823", "Q3170823")</f>
        <v>0</v>
      </c>
      <c r="O13538" t="s">
        <v>20009</v>
      </c>
      <c r="Q13538" t="s">
        <v>21364</v>
      </c>
      <c r="R13538" t="s">
        <v>21650</v>
      </c>
      <c r="S13538">
        <v>2476</v>
      </c>
    </row>
    <row r="13539" spans="1:19">
      <c r="A13539" t="s">
        <v>147</v>
      </c>
      <c r="B13539" t="s">
        <v>150</v>
      </c>
      <c r="C13539" t="s">
        <v>279</v>
      </c>
      <c r="D13539" t="s">
        <v>408</v>
      </c>
      <c r="F13539">
        <f>HYPERLINK("https://www.wikidata.org/wiki/Q28494838", "Q28494838")</f>
        <v>0</v>
      </c>
      <c r="G13539" t="s">
        <v>5150</v>
      </c>
      <c r="H13539" t="s">
        <v>9270</v>
      </c>
      <c r="I13539" t="s">
        <v>6495</v>
      </c>
      <c r="J13539" t="s">
        <v>15481</v>
      </c>
      <c r="K13539" t="s">
        <v>19857</v>
      </c>
      <c r="M13539">
        <f>HYPERLINK("https://www.senat.fr/senateur-3eme-republique/dauzier_louis0363r3.html", "dauzier_louis0363r3")</f>
        <v>0</v>
      </c>
      <c r="N13539">
        <f>HYPERLINK("https://www.wikidata.org/wiki/Q3261660", "Q3261660")</f>
        <v>0</v>
      </c>
      <c r="O13539" t="s">
        <v>19966</v>
      </c>
      <c r="Q13539" t="s">
        <v>21364</v>
      </c>
      <c r="R13539" t="s">
        <v>21650</v>
      </c>
      <c r="S13539">
        <v>2476</v>
      </c>
    </row>
    <row r="13540" spans="1:19">
      <c r="A13540" t="s">
        <v>147</v>
      </c>
      <c r="B13540" t="s">
        <v>150</v>
      </c>
      <c r="C13540" t="s">
        <v>279</v>
      </c>
      <c r="D13540" t="s">
        <v>408</v>
      </c>
      <c r="F13540">
        <f>HYPERLINK("https://www.wikidata.org/wiki/Q28494838", "Q28494838")</f>
        <v>0</v>
      </c>
      <c r="G13540" t="s">
        <v>5147</v>
      </c>
      <c r="H13540" t="s">
        <v>9267</v>
      </c>
      <c r="I13540" t="s">
        <v>11238</v>
      </c>
      <c r="J13540" t="s">
        <v>13085</v>
      </c>
      <c r="K13540" t="s">
        <v>19855</v>
      </c>
      <c r="M13540">
        <f>HYPERLINK("https://www.senat.fr/senateur-3eme-republique/babaud_lacroze_leonide0398r3.html", "babaud_lacroze_leonide0398r3")</f>
        <v>0</v>
      </c>
      <c r="N13540">
        <f>HYPERLINK("https://www.wikidata.org/wiki/Q3271689", "Q3271689")</f>
        <v>0</v>
      </c>
      <c r="O13540" t="s">
        <v>20031</v>
      </c>
      <c r="Q13540" t="s">
        <v>21364</v>
      </c>
      <c r="R13540" t="s">
        <v>21650</v>
      </c>
      <c r="S13540">
        <v>2476</v>
      </c>
    </row>
    <row r="13541" spans="1:19">
      <c r="A13541" t="s">
        <v>147</v>
      </c>
      <c r="B13541" t="s">
        <v>150</v>
      </c>
      <c r="C13541" t="s">
        <v>279</v>
      </c>
      <c r="D13541" t="s">
        <v>408</v>
      </c>
      <c r="F13541">
        <f>HYPERLINK("https://www.wikidata.org/wiki/Q28494838", "Q28494838")</f>
        <v>0</v>
      </c>
      <c r="G13541" t="s">
        <v>4242</v>
      </c>
      <c r="H13541" t="s">
        <v>8416</v>
      </c>
      <c r="I13541" t="s">
        <v>9446</v>
      </c>
      <c r="J13541" t="s">
        <v>14748</v>
      </c>
      <c r="K13541" t="s">
        <v>19094</v>
      </c>
      <c r="M13541">
        <f>HYPERLINK("https://www.senat.fr/senateur-3eme-republique/chapsal_fernand0417r3.html", "chapsal_fernand0417r3")</f>
        <v>0</v>
      </c>
      <c r="N13541">
        <f>HYPERLINK("https://www.wikidata.org/wiki/Q3069075", "Q3069075")</f>
        <v>0</v>
      </c>
      <c r="O13541" t="s">
        <v>20037</v>
      </c>
      <c r="Q13541" t="s">
        <v>21364</v>
      </c>
      <c r="R13541" t="s">
        <v>21650</v>
      </c>
      <c r="S13541">
        <v>2476</v>
      </c>
    </row>
    <row r="13542" spans="1:19">
      <c r="A13542" t="s">
        <v>147</v>
      </c>
      <c r="B13542" t="s">
        <v>150</v>
      </c>
      <c r="C13542" t="s">
        <v>279</v>
      </c>
      <c r="D13542" t="s">
        <v>408</v>
      </c>
      <c r="F13542">
        <f>HYPERLINK("https://www.wikidata.org/wiki/Q28494838", "Q28494838")</f>
        <v>0</v>
      </c>
      <c r="G13542" t="s">
        <v>5076</v>
      </c>
      <c r="H13542" t="s">
        <v>9207</v>
      </c>
      <c r="I13542" t="s">
        <v>6166</v>
      </c>
      <c r="J13542" t="s">
        <v>15494</v>
      </c>
      <c r="K13542" t="s">
        <v>16538</v>
      </c>
      <c r="M13542">
        <f>HYPERLINK("https://www.senat.fr/senateur-3eme-republique/labrousse_francois0002r4.html", "labrousse_francois0002r4")</f>
        <v>0</v>
      </c>
      <c r="N13542">
        <f>HYPERLINK("https://www.wikidata.org/wiki/Q2406575", "Q2406575")</f>
        <v>0</v>
      </c>
      <c r="O13542" t="s">
        <v>20020</v>
      </c>
      <c r="Q13542" t="s">
        <v>21364</v>
      </c>
      <c r="R13542" t="s">
        <v>21650</v>
      </c>
      <c r="S13542">
        <v>2476</v>
      </c>
    </row>
    <row r="13543" spans="1:19">
      <c r="A13543" t="s">
        <v>147</v>
      </c>
      <c r="B13543" t="s">
        <v>150</v>
      </c>
      <c r="C13543" t="s">
        <v>279</v>
      </c>
      <c r="D13543" t="s">
        <v>408</v>
      </c>
      <c r="F13543">
        <f>HYPERLINK("https://www.wikidata.org/wiki/Q28494838", "Q28494838")</f>
        <v>0</v>
      </c>
      <c r="G13543" t="s">
        <v>4787</v>
      </c>
      <c r="H13543" t="s">
        <v>8930</v>
      </c>
      <c r="I13543" t="s">
        <v>6166</v>
      </c>
      <c r="J13543" t="s">
        <v>15248</v>
      </c>
      <c r="K13543" t="s">
        <v>17949</v>
      </c>
      <c r="M13543">
        <f>HYPERLINK("https://www.senat.fr/senateur-3eme-republique/pitti_ferrandi_francois0477r3.html", "pitti_ferrandi_francois0477r3")</f>
        <v>0</v>
      </c>
      <c r="N13543">
        <f>HYPERLINK("https://www.wikidata.org/wiki/Q3085581", "Q3085581")</f>
        <v>0</v>
      </c>
      <c r="O13543" t="s">
        <v>19955</v>
      </c>
      <c r="Q13543" t="s">
        <v>21364</v>
      </c>
      <c r="R13543" t="s">
        <v>21650</v>
      </c>
      <c r="S13543">
        <v>2476</v>
      </c>
    </row>
    <row r="13544" spans="1:19">
      <c r="A13544" t="s">
        <v>147</v>
      </c>
      <c r="B13544" t="s">
        <v>150</v>
      </c>
      <c r="C13544" t="s">
        <v>279</v>
      </c>
      <c r="D13544" t="s">
        <v>408</v>
      </c>
      <c r="F13544">
        <f>HYPERLINK("https://www.wikidata.org/wiki/Q28494838", "Q28494838")</f>
        <v>0</v>
      </c>
      <c r="G13544" t="s">
        <v>4993</v>
      </c>
      <c r="H13544" t="s">
        <v>9126</v>
      </c>
      <c r="I13544" t="s">
        <v>9388</v>
      </c>
      <c r="J13544" t="s">
        <v>11732</v>
      </c>
      <c r="K13544" t="s">
        <v>19729</v>
      </c>
      <c r="M13544">
        <f>HYPERLINK("https://www.senat.fr/senateur-3eme-republique/lederlin_paul0496r3.html", "lederlin_paul0496r3")</f>
        <v>0</v>
      </c>
      <c r="N13544">
        <f>HYPERLINK("https://www.wikidata.org/wiki/Q3371663", "Q3371663")</f>
        <v>0</v>
      </c>
      <c r="O13544" t="s">
        <v>19955</v>
      </c>
      <c r="Q13544" t="s">
        <v>21364</v>
      </c>
      <c r="R13544" t="s">
        <v>21650</v>
      </c>
      <c r="S13544">
        <v>2476</v>
      </c>
    </row>
    <row r="13545" spans="1:19">
      <c r="A13545" t="s">
        <v>147</v>
      </c>
      <c r="B13545" t="s">
        <v>150</v>
      </c>
      <c r="C13545" t="s">
        <v>279</v>
      </c>
      <c r="D13545" t="s">
        <v>408</v>
      </c>
      <c r="F13545">
        <f>HYPERLINK("https://www.wikidata.org/wiki/Q28494838", "Q28494838")</f>
        <v>0</v>
      </c>
      <c r="G13545" t="s">
        <v>5246</v>
      </c>
      <c r="H13545" t="s">
        <v>9355</v>
      </c>
      <c r="I13545" t="s">
        <v>9388</v>
      </c>
      <c r="J13545" t="s">
        <v>15634</v>
      </c>
      <c r="K13545" t="s">
        <v>19942</v>
      </c>
      <c r="M13545">
        <f>HYPERLINK("https://www.senat.fr/senateur-3eme-republique/giacobbi_paul0474r3.html", "giacobbi_paul0474r3")</f>
        <v>0</v>
      </c>
      <c r="N13545">
        <f>HYPERLINK("https://www.wikidata.org/wiki/Q1857945", "Q1857945")</f>
        <v>0</v>
      </c>
      <c r="O13545" t="s">
        <v>19955</v>
      </c>
      <c r="Q13545" t="s">
        <v>21364</v>
      </c>
      <c r="R13545" t="s">
        <v>21650</v>
      </c>
      <c r="S13545">
        <v>2476</v>
      </c>
    </row>
    <row r="13546" spans="1:19">
      <c r="A13546" t="s">
        <v>147</v>
      </c>
      <c r="B13546" t="s">
        <v>150</v>
      </c>
      <c r="C13546" t="s">
        <v>279</v>
      </c>
      <c r="D13546" t="s">
        <v>408</v>
      </c>
      <c r="F13546">
        <f>HYPERLINK("https://www.wikidata.org/wiki/Q28494838", "Q28494838")</f>
        <v>0</v>
      </c>
      <c r="G13546" t="s">
        <v>5247</v>
      </c>
      <c r="H13546" t="s">
        <v>9356</v>
      </c>
      <c r="I13546" t="s">
        <v>11201</v>
      </c>
      <c r="J13546" t="s">
        <v>15635</v>
      </c>
      <c r="K13546" t="s">
        <v>19943</v>
      </c>
      <c r="M13546">
        <f>HYPERLINK("https://www.senat.fr/senateur-3eme-republique/de_kergariou_edgar0574r3.html", "de_kergariou_edgar0574r3")</f>
        <v>0</v>
      </c>
      <c r="N13546">
        <f>HYPERLINK("https://www.wikidata.org/wiki/Q3047507", "Q3047507")</f>
        <v>0</v>
      </c>
      <c r="O13546" t="s">
        <v>19964</v>
      </c>
      <c r="Q13546" t="s">
        <v>21364</v>
      </c>
      <c r="R13546" t="s">
        <v>21724</v>
      </c>
      <c r="S13546">
        <v>1086</v>
      </c>
    </row>
    <row r="13547" spans="1:19">
      <c r="A13547" t="s">
        <v>147</v>
      </c>
      <c r="B13547" t="s">
        <v>150</v>
      </c>
      <c r="C13547" t="s">
        <v>279</v>
      </c>
      <c r="D13547" t="s">
        <v>408</v>
      </c>
      <c r="F13547">
        <f>HYPERLINK("https://www.wikidata.org/wiki/Q28494838", "Q28494838")</f>
        <v>0</v>
      </c>
      <c r="G13547" t="s">
        <v>5236</v>
      </c>
      <c r="H13547" t="s">
        <v>9347</v>
      </c>
      <c r="I13547" t="s">
        <v>6200</v>
      </c>
      <c r="J13547" t="s">
        <v>15627</v>
      </c>
      <c r="K13547" t="s">
        <v>19934</v>
      </c>
      <c r="M13547">
        <f>HYPERLINK("https://www.senat.fr/senateur-3eme-republique/betfert_jean0589r3.html", "betfert_jean0589r3")</f>
        <v>0</v>
      </c>
      <c r="N13547">
        <f>HYPERLINK("https://www.wikidata.org/wiki/Q3383982", "Q3383982")</f>
        <v>0</v>
      </c>
      <c r="O13547" t="s">
        <v>19964</v>
      </c>
      <c r="Q13547" t="s">
        <v>21364</v>
      </c>
      <c r="R13547" t="s">
        <v>21650</v>
      </c>
      <c r="S13547">
        <v>2476</v>
      </c>
    </row>
    <row r="13548" spans="1:19">
      <c r="A13548" t="s">
        <v>147</v>
      </c>
      <c r="B13548" t="s">
        <v>150</v>
      </c>
      <c r="C13548" t="s">
        <v>279</v>
      </c>
      <c r="D13548" t="s">
        <v>408</v>
      </c>
      <c r="F13548">
        <f>HYPERLINK("https://www.wikidata.org/wiki/Q28494838", "Q28494838")</f>
        <v>0</v>
      </c>
      <c r="G13548" t="s">
        <v>5248</v>
      </c>
      <c r="H13548" t="s">
        <v>9357</v>
      </c>
      <c r="I13548" t="s">
        <v>9843</v>
      </c>
      <c r="J13548" t="s">
        <v>15636</v>
      </c>
      <c r="K13548" t="s">
        <v>19944</v>
      </c>
      <c r="M13548">
        <f>HYPERLINK("https://www.senat.fr/senateur-3eme-republique/bouguen_yves0594r3.html", "bouguen_yves0594r3")</f>
        <v>0</v>
      </c>
      <c r="N13548">
        <f>HYPERLINK("https://www.wikidata.org/wiki/Q3573508", "Q3573508")</f>
        <v>0</v>
      </c>
      <c r="O13548" t="s">
        <v>19964</v>
      </c>
      <c r="Q13548" t="s">
        <v>21364</v>
      </c>
      <c r="R13548" t="s">
        <v>21650</v>
      </c>
      <c r="S13548">
        <v>2476</v>
      </c>
    </row>
    <row r="13549" spans="1:19">
      <c r="A13549" t="s">
        <v>147</v>
      </c>
      <c r="B13549" t="s">
        <v>150</v>
      </c>
      <c r="C13549" t="s">
        <v>279</v>
      </c>
      <c r="D13549" t="s">
        <v>408</v>
      </c>
      <c r="F13549">
        <f>HYPERLINK("https://www.wikidata.org/wiki/Q28494838", "Q28494838")</f>
        <v>0</v>
      </c>
      <c r="G13549" t="s">
        <v>5249</v>
      </c>
      <c r="H13549" t="s">
        <v>9358</v>
      </c>
      <c r="I13549" t="s">
        <v>9457</v>
      </c>
      <c r="J13549" t="s">
        <v>15637</v>
      </c>
      <c r="K13549" t="s">
        <v>19945</v>
      </c>
      <c r="M13549">
        <f>HYPERLINK("https://www.senat.fr/senateur-3eme-republique/alheritiere_henri0651r3.html", "alheritiere_henri0651r3")</f>
        <v>0</v>
      </c>
      <c r="N13549">
        <f>HYPERLINK("https://www.wikidata.org/wiki/Q3130542", "Q3130542")</f>
        <v>0</v>
      </c>
      <c r="O13549" t="s">
        <v>19979</v>
      </c>
      <c r="Q13549" t="s">
        <v>21364</v>
      </c>
      <c r="R13549" t="s">
        <v>21650</v>
      </c>
      <c r="S13549">
        <v>2476</v>
      </c>
    </row>
    <row r="13550" spans="1:19">
      <c r="A13550" t="s">
        <v>147</v>
      </c>
      <c r="B13550" t="s">
        <v>150</v>
      </c>
      <c r="C13550" t="s">
        <v>279</v>
      </c>
      <c r="D13550" t="s">
        <v>408</v>
      </c>
      <c r="F13550">
        <f>HYPERLINK("https://www.wikidata.org/wiki/Q28494838", "Q28494838")</f>
        <v>0</v>
      </c>
      <c r="G13550" t="s">
        <v>5250</v>
      </c>
      <c r="H13550" t="s">
        <v>9359</v>
      </c>
      <c r="I13550" t="s">
        <v>9552</v>
      </c>
      <c r="J13550" t="s">
        <v>15638</v>
      </c>
      <c r="K13550" t="s">
        <v>19946</v>
      </c>
      <c r="M13550">
        <f>HYPERLINK("https://www.senat.fr/senateur-3eme-republique/chambonnet_auguste0629r3.html", "chambonnet_auguste0629r3")</f>
        <v>0</v>
      </c>
      <c r="N13550">
        <f>HYPERLINK("https://www.wikidata.org/wiki/Q2871108", "Q2871108")</f>
        <v>0</v>
      </c>
      <c r="O13550" t="s">
        <v>19979</v>
      </c>
      <c r="Q13550" t="s">
        <v>21364</v>
      </c>
      <c r="R13550" t="s">
        <v>21650</v>
      </c>
      <c r="S13550">
        <v>2476</v>
      </c>
    </row>
    <row r="13551" spans="1:19">
      <c r="A13551" t="s">
        <v>147</v>
      </c>
      <c r="B13551" t="s">
        <v>150</v>
      </c>
      <c r="C13551" t="s">
        <v>279</v>
      </c>
      <c r="D13551" t="s">
        <v>408</v>
      </c>
      <c r="F13551">
        <f>HYPERLINK("https://www.wikidata.org/wiki/Q28494838", "Q28494838")</f>
        <v>0</v>
      </c>
      <c r="G13551" t="s">
        <v>5140</v>
      </c>
      <c r="H13551" t="s">
        <v>8568</v>
      </c>
      <c r="I13551" t="s">
        <v>9523</v>
      </c>
      <c r="J13551" t="s">
        <v>15547</v>
      </c>
      <c r="K13551" t="s">
        <v>19848</v>
      </c>
      <c r="M13551">
        <f>HYPERLINK("https://www.senat.fr/senateur-3eme-republique/michel_marcel0657r3.html", "michel_marcel0657r3")</f>
        <v>0</v>
      </c>
      <c r="N13551">
        <f>HYPERLINK("https://www.wikidata.org/wiki/Q3289228", "Q3289228")</f>
        <v>0</v>
      </c>
      <c r="O13551" t="s">
        <v>20010</v>
      </c>
      <c r="Q13551" t="s">
        <v>21364</v>
      </c>
      <c r="R13551" t="s">
        <v>21650</v>
      </c>
      <c r="S13551">
        <v>2476</v>
      </c>
    </row>
    <row r="13552" spans="1:19">
      <c r="A13552" t="s">
        <v>147</v>
      </c>
      <c r="B13552" t="s">
        <v>150</v>
      </c>
      <c r="C13552" t="s">
        <v>279</v>
      </c>
      <c r="D13552" t="s">
        <v>408</v>
      </c>
      <c r="F13552">
        <f>HYPERLINK("https://www.wikidata.org/wiki/Q28494838", "Q28494838")</f>
        <v>0</v>
      </c>
      <c r="G13552" t="s">
        <v>5227</v>
      </c>
      <c r="H13552" t="s">
        <v>9338</v>
      </c>
      <c r="I13552" t="s">
        <v>9445</v>
      </c>
      <c r="J13552" t="s">
        <v>15620</v>
      </c>
      <c r="K13552" t="s">
        <v>19925</v>
      </c>
      <c r="M13552">
        <f>HYPERLINK("https://www.senat.fr/senateur-3eme-republique/bels_adrien0083r4.html", "bels_adrien0083r4")</f>
        <v>0</v>
      </c>
      <c r="N13552">
        <f>HYPERLINK("https://www.wikidata.org/wiki/Q2825124", "Q2825124")</f>
        <v>0</v>
      </c>
      <c r="O13552" t="s">
        <v>20010</v>
      </c>
      <c r="Q13552" t="s">
        <v>21364</v>
      </c>
      <c r="R13552" t="s">
        <v>21650</v>
      </c>
      <c r="S13552">
        <v>2476</v>
      </c>
    </row>
    <row r="13553" spans="1:19">
      <c r="A13553" t="s">
        <v>147</v>
      </c>
      <c r="B13553" t="s">
        <v>150</v>
      </c>
      <c r="C13553" t="s">
        <v>279</v>
      </c>
      <c r="D13553" t="s">
        <v>408</v>
      </c>
      <c r="F13553">
        <f>HYPERLINK("https://www.wikidata.org/wiki/Q28494838", "Q28494838")</f>
        <v>0</v>
      </c>
      <c r="G13553" t="s">
        <v>5198</v>
      </c>
      <c r="H13553" t="s">
        <v>9313</v>
      </c>
      <c r="I13553" t="s">
        <v>7642</v>
      </c>
      <c r="J13553" t="s">
        <v>15597</v>
      </c>
      <c r="K13553" t="s">
        <v>19899</v>
      </c>
      <c r="M13553">
        <f>HYPERLINK("https://www.senat.fr/senateur-3eme-republique/baufle_maurice0680r3.html", "baufle_maurice0680r3")</f>
        <v>0</v>
      </c>
      <c r="N13553">
        <f>HYPERLINK("https://www.wikidata.org/wiki/Q3300373", "Q3300373")</f>
        <v>0</v>
      </c>
      <c r="O13553" t="s">
        <v>19973</v>
      </c>
      <c r="Q13553" t="s">
        <v>21364</v>
      </c>
      <c r="R13553" t="s">
        <v>21650</v>
      </c>
      <c r="S13553">
        <v>2476</v>
      </c>
    </row>
    <row r="13554" spans="1:19">
      <c r="A13554" t="s">
        <v>147</v>
      </c>
      <c r="B13554" t="s">
        <v>150</v>
      </c>
      <c r="C13554" t="s">
        <v>279</v>
      </c>
      <c r="D13554" t="s">
        <v>408</v>
      </c>
      <c r="F13554">
        <f>HYPERLINK("https://www.wikidata.org/wiki/Q28494838", "Q28494838")</f>
        <v>0</v>
      </c>
      <c r="G13554" t="s">
        <v>4998</v>
      </c>
      <c r="H13554" t="s">
        <v>9131</v>
      </c>
      <c r="I13554" t="s">
        <v>9457</v>
      </c>
      <c r="J13554" t="s">
        <v>15429</v>
      </c>
      <c r="K13554" t="s">
        <v>15808</v>
      </c>
      <c r="M13554">
        <f>HYPERLINK("https://www.senat.fr/senateur-3eme-republique/perdrix_henri0730r3.html", "perdrix_henri0730r3")</f>
        <v>0</v>
      </c>
      <c r="N13554">
        <f>HYPERLINK("https://www.wikidata.org/wiki/Q3131758", "Q3131758")</f>
        <v>0</v>
      </c>
      <c r="O13554" t="s">
        <v>20044</v>
      </c>
      <c r="Q13554" t="s">
        <v>21364</v>
      </c>
      <c r="R13554" t="s">
        <v>21650</v>
      </c>
      <c r="S13554">
        <v>2476</v>
      </c>
    </row>
    <row r="13555" spans="1:19">
      <c r="A13555" t="s">
        <v>147</v>
      </c>
      <c r="B13555" t="s">
        <v>150</v>
      </c>
      <c r="C13555" t="s">
        <v>279</v>
      </c>
      <c r="D13555" t="s">
        <v>408</v>
      </c>
      <c r="F13555">
        <f>HYPERLINK("https://www.wikidata.org/wiki/Q28494838", "Q28494838")</f>
        <v>0</v>
      </c>
      <c r="G13555" t="s">
        <v>5251</v>
      </c>
      <c r="H13555" t="s">
        <v>9360</v>
      </c>
      <c r="I13555" t="s">
        <v>6166</v>
      </c>
      <c r="J13555" t="s">
        <v>15639</v>
      </c>
      <c r="K13555" t="s">
        <v>19947</v>
      </c>
      <c r="M13555">
        <f>HYPERLINK("https://www.senat.fr/senateur-3eme-republique/eynard_francois0724r3.html", "eynard_francois0724r3")</f>
        <v>0</v>
      </c>
      <c r="N13555">
        <f>HYPERLINK("https://www.wikidata.org/wiki/Q3084577", "Q3084577")</f>
        <v>0</v>
      </c>
      <c r="O13555" t="s">
        <v>20044</v>
      </c>
      <c r="Q13555" t="s">
        <v>21364</v>
      </c>
      <c r="R13555" t="s">
        <v>21650</v>
      </c>
      <c r="S13555">
        <v>2476</v>
      </c>
    </row>
    <row r="13556" spans="1:19">
      <c r="A13556" t="s">
        <v>147</v>
      </c>
      <c r="B13556" t="s">
        <v>150</v>
      </c>
      <c r="C13556" t="s">
        <v>279</v>
      </c>
      <c r="D13556" t="s">
        <v>408</v>
      </c>
      <c r="F13556">
        <f>HYPERLINK("https://www.wikidata.org/wiki/Q28494838", "Q28494838")</f>
        <v>0</v>
      </c>
      <c r="G13556" t="s">
        <v>5252</v>
      </c>
      <c r="H13556" t="s">
        <v>9361</v>
      </c>
      <c r="I13556" t="s">
        <v>6158</v>
      </c>
      <c r="J13556" t="s">
        <v>12403</v>
      </c>
      <c r="K13556" t="s">
        <v>19948</v>
      </c>
      <c r="M13556">
        <f>HYPERLINK("https://www.senat.fr/senateur-3eme-republique/rozier_felix0719r3.html", "rozier_felix0719r3")</f>
        <v>0</v>
      </c>
      <c r="N13556">
        <f>HYPERLINK("https://www.wikidata.org/wiki/Q3092600", "Q3092600")</f>
        <v>0</v>
      </c>
      <c r="O13556" t="s">
        <v>20044</v>
      </c>
      <c r="Q13556" t="s">
        <v>21364</v>
      </c>
      <c r="R13556" t="s">
        <v>21650</v>
      </c>
      <c r="S13556">
        <v>2476</v>
      </c>
    </row>
    <row r="13557" spans="1:19">
      <c r="A13557" t="s">
        <v>147</v>
      </c>
      <c r="B13557" t="s">
        <v>150</v>
      </c>
      <c r="C13557" t="s">
        <v>279</v>
      </c>
      <c r="D13557" t="s">
        <v>408</v>
      </c>
      <c r="F13557">
        <f>HYPERLINK("https://www.wikidata.org/wiki/Q28494838", "Q28494838")</f>
        <v>0</v>
      </c>
      <c r="G13557" t="s">
        <v>5253</v>
      </c>
      <c r="H13557" t="s">
        <v>9362</v>
      </c>
      <c r="I13557" t="s">
        <v>9692</v>
      </c>
      <c r="J13557" t="s">
        <v>15640</v>
      </c>
      <c r="K13557" t="s">
        <v>19949</v>
      </c>
      <c r="M13557">
        <f>HYPERLINK("https://www.senat.fr/senateur-3eme-republique/gilbert_raymond0781r3.html", "gilbert_raymond0781r3")</f>
        <v>0</v>
      </c>
      <c r="N13557">
        <f>HYPERLINK("https://www.wikidata.org/wiki/Q3420886", "Q3420886")</f>
        <v>0</v>
      </c>
      <c r="O13557" t="s">
        <v>19971</v>
      </c>
      <c r="Q13557" t="s">
        <v>21364</v>
      </c>
      <c r="R13557" t="s">
        <v>21650</v>
      </c>
      <c r="S13557">
        <v>2476</v>
      </c>
    </row>
    <row r="13558" spans="1:19">
      <c r="A13558" t="s">
        <v>147</v>
      </c>
      <c r="B13558" t="s">
        <v>150</v>
      </c>
      <c r="C13558" t="s">
        <v>279</v>
      </c>
      <c r="D13558" t="s">
        <v>408</v>
      </c>
      <c r="F13558">
        <f>HYPERLINK("https://www.wikidata.org/wiki/Q28494838", "Q28494838")</f>
        <v>0</v>
      </c>
      <c r="G13558" t="s">
        <v>4282</v>
      </c>
      <c r="H13558" t="s">
        <v>8442</v>
      </c>
      <c r="I13558" t="s">
        <v>6200</v>
      </c>
      <c r="J13558" t="s">
        <v>14781</v>
      </c>
      <c r="K13558" t="s">
        <v>19127</v>
      </c>
      <c r="M13558">
        <f>HYPERLINK("https://www.senat.fr/senateur-3eme-republique/valadier_jean0770r3.html", "valadier_jean0770r3")</f>
        <v>0</v>
      </c>
      <c r="N13558">
        <f>HYPERLINK("https://www.wikidata.org/wiki/Q3174926", "Q3174926")</f>
        <v>0</v>
      </c>
      <c r="O13558" t="s">
        <v>19971</v>
      </c>
      <c r="Q13558" t="s">
        <v>21364</v>
      </c>
      <c r="R13558" t="s">
        <v>21650</v>
      </c>
      <c r="S13558">
        <v>2476</v>
      </c>
    </row>
    <row r="13559" spans="1:19">
      <c r="A13559" t="s">
        <v>147</v>
      </c>
      <c r="B13559" t="s">
        <v>150</v>
      </c>
      <c r="C13559" t="s">
        <v>279</v>
      </c>
      <c r="D13559" t="s">
        <v>408</v>
      </c>
      <c r="F13559">
        <f>HYPERLINK("https://www.wikidata.org/wiki/Q28494838", "Q28494838")</f>
        <v>0</v>
      </c>
      <c r="G13559" t="s">
        <v>5254</v>
      </c>
      <c r="H13559" t="s">
        <v>9363</v>
      </c>
      <c r="I13559" t="s">
        <v>7419</v>
      </c>
      <c r="J13559" t="s">
        <v>15641</v>
      </c>
      <c r="K13559" t="s">
        <v>19950</v>
      </c>
      <c r="M13559">
        <f>HYPERLINK("https://www.senat.fr/senateur-3eme-republique/gautron_jacques0774r3.html", "gautron_jacques0774r3")</f>
        <v>0</v>
      </c>
      <c r="N13559">
        <f>HYPERLINK("https://www.wikidata.org/wiki/Q3158981", "Q3158981")</f>
        <v>0</v>
      </c>
      <c r="O13559" t="s">
        <v>19971</v>
      </c>
      <c r="Q13559" t="s">
        <v>21364</v>
      </c>
      <c r="R13559" t="s">
        <v>21650</v>
      </c>
      <c r="S13559">
        <v>2476</v>
      </c>
    </row>
    <row r="13560" spans="1:19">
      <c r="A13560" t="s">
        <v>147</v>
      </c>
      <c r="B13560" t="s">
        <v>150</v>
      </c>
      <c r="C13560" t="s">
        <v>279</v>
      </c>
      <c r="D13560" t="s">
        <v>408</v>
      </c>
      <c r="F13560">
        <f>HYPERLINK("https://www.wikidata.org/wiki/Q28494838", "Q28494838")</f>
        <v>0</v>
      </c>
      <c r="G13560" t="s">
        <v>5255</v>
      </c>
      <c r="H13560" t="s">
        <v>8791</v>
      </c>
      <c r="I13560" t="s">
        <v>6166</v>
      </c>
      <c r="J13560" t="s">
        <v>15642</v>
      </c>
      <c r="K13560" t="s">
        <v>19951</v>
      </c>
      <c r="M13560">
        <f>HYPERLINK("https://www.senat.fr/senateur-3eme-republique/halna_du_fretay_francois0813r3.html", "halna_du_fretay_francois0813r3")</f>
        <v>0</v>
      </c>
      <c r="N13560">
        <f>HYPERLINK("https://www.wikidata.org/wiki/Q3084822", "Q3084822")</f>
        <v>0</v>
      </c>
      <c r="O13560" t="s">
        <v>20011</v>
      </c>
      <c r="Q13560" t="s">
        <v>21364</v>
      </c>
      <c r="R13560" t="s">
        <v>21650</v>
      </c>
      <c r="S13560">
        <v>2476</v>
      </c>
    </row>
    <row r="13561" spans="1:19">
      <c r="A13561" t="s">
        <v>147</v>
      </c>
      <c r="B13561" t="s">
        <v>150</v>
      </c>
      <c r="C13561" t="s">
        <v>279</v>
      </c>
      <c r="D13561" t="s">
        <v>408</v>
      </c>
      <c r="F13561">
        <f>HYPERLINK("https://www.wikidata.org/wiki/Q28494838", "Q28494838")</f>
        <v>0</v>
      </c>
      <c r="G13561" t="s">
        <v>4269</v>
      </c>
      <c r="H13561" t="s">
        <v>8434</v>
      </c>
      <c r="I13561" t="s">
        <v>9483</v>
      </c>
      <c r="J13561" t="s">
        <v>14769</v>
      </c>
      <c r="K13561" t="s">
        <v>17473</v>
      </c>
      <c r="M13561">
        <f>HYPERLINK("https://www.senat.fr/senateur-3eme-republique/le_gorgeu_victor0818r3.html", "le_gorgeu_victor0818r3")</f>
        <v>0</v>
      </c>
      <c r="N13561">
        <f>HYPERLINK("https://www.wikidata.org/wiki/Q3557509", "Q3557509")</f>
        <v>0</v>
      </c>
      <c r="O13561" t="s">
        <v>20011</v>
      </c>
      <c r="Q13561" t="s">
        <v>21364</v>
      </c>
      <c r="R13561" t="s">
        <v>21650</v>
      </c>
      <c r="S13561">
        <v>2476</v>
      </c>
    </row>
    <row r="13562" spans="1:19">
      <c r="A13562" t="s">
        <v>147</v>
      </c>
      <c r="B13562" t="s">
        <v>150</v>
      </c>
      <c r="C13562" t="s">
        <v>279</v>
      </c>
      <c r="D13562" t="s">
        <v>408</v>
      </c>
      <c r="F13562">
        <f>HYPERLINK("https://www.wikidata.org/wiki/Q28494838", "Q28494838")</f>
        <v>0</v>
      </c>
      <c r="G13562" t="s">
        <v>5256</v>
      </c>
      <c r="H13562" t="s">
        <v>9364</v>
      </c>
      <c r="I13562" t="s">
        <v>9957</v>
      </c>
      <c r="J13562" t="s">
        <v>15643</v>
      </c>
      <c r="K13562" t="s">
        <v>19952</v>
      </c>
      <c r="M13562">
        <f>HYPERLINK("https://www.senat.fr/senateur-3eme-republique/le_jeune_olivier0788r3.html", "le_jeune_olivier0788r3")</f>
        <v>0</v>
      </c>
      <c r="N13562">
        <f>HYPERLINK("https://www.wikidata.org/wiki/Q3351150", "Q3351150")</f>
        <v>0</v>
      </c>
      <c r="O13562" t="s">
        <v>20011</v>
      </c>
      <c r="Q13562" t="s">
        <v>21364</v>
      </c>
      <c r="R13562" t="s">
        <v>21650</v>
      </c>
      <c r="S13562">
        <v>2476</v>
      </c>
    </row>
    <row r="13563" spans="1:19">
      <c r="A13563" t="s">
        <v>147</v>
      </c>
      <c r="B13563" t="s">
        <v>150</v>
      </c>
      <c r="C13563" t="s">
        <v>279</v>
      </c>
      <c r="D13563" t="s">
        <v>408</v>
      </c>
      <c r="F13563">
        <f>HYPERLINK("https://www.wikidata.org/wiki/Q28494838", "Q28494838")</f>
        <v>0</v>
      </c>
      <c r="G13563" t="s">
        <v>5107</v>
      </c>
      <c r="H13563" t="s">
        <v>9234</v>
      </c>
      <c r="I13563" t="s">
        <v>6175</v>
      </c>
      <c r="J13563" t="s">
        <v>15518</v>
      </c>
      <c r="K13563" t="s">
        <v>19819</v>
      </c>
      <c r="M13563">
        <f>HYPERLINK("https://www.senat.fr/senateur-3eme-republique/bruguier_georges0829r3.html", "bruguier_georges0829r3")</f>
        <v>0</v>
      </c>
      <c r="N13563">
        <f>HYPERLINK("https://www.wikidata.org/wiki/Q1508824", "Q1508824")</f>
        <v>0</v>
      </c>
      <c r="O13563" t="s">
        <v>20014</v>
      </c>
      <c r="Q13563" t="s">
        <v>21364</v>
      </c>
      <c r="R13563" t="s">
        <v>21650</v>
      </c>
      <c r="S13563">
        <v>2476</v>
      </c>
    </row>
    <row r="13564" spans="1:19">
      <c r="A13564" t="s">
        <v>147</v>
      </c>
      <c r="B13564" t="s">
        <v>150</v>
      </c>
      <c r="C13564" t="s">
        <v>279</v>
      </c>
      <c r="D13564" t="s">
        <v>408</v>
      </c>
      <c r="F13564">
        <f>HYPERLINK("https://www.wikidata.org/wiki/Q28494838", "Q28494838")</f>
        <v>0</v>
      </c>
      <c r="G13564" t="s">
        <v>4273</v>
      </c>
      <c r="H13564" t="s">
        <v>6822</v>
      </c>
      <c r="I13564" t="s">
        <v>6478</v>
      </c>
      <c r="J13564" t="s">
        <v>14772</v>
      </c>
      <c r="K13564" t="s">
        <v>19120</v>
      </c>
      <c r="M13564">
        <f>HYPERLINK("https://www.senat.fr/senateur-3eme-republique/berenger_henry0845r3.html", "berenger_henry0845r3")</f>
        <v>0</v>
      </c>
      <c r="N13564">
        <f>HYPERLINK("https://www.wikidata.org/wiki/Q377169", "Q377169")</f>
        <v>0</v>
      </c>
      <c r="O13564" t="s">
        <v>20028</v>
      </c>
      <c r="Q13564" t="s">
        <v>21364</v>
      </c>
      <c r="R13564" t="s">
        <v>21650</v>
      </c>
      <c r="S13564">
        <v>2476</v>
      </c>
    </row>
    <row r="13565" spans="1:19">
      <c r="A13565" t="s">
        <v>147</v>
      </c>
      <c r="B13565" t="s">
        <v>150</v>
      </c>
      <c r="C13565" t="s">
        <v>279</v>
      </c>
      <c r="D13565" t="s">
        <v>408</v>
      </c>
      <c r="F13565">
        <f>HYPERLINK("https://www.wikidata.org/wiki/Q28494838", "Q28494838")</f>
        <v>0</v>
      </c>
      <c r="G13565" t="s">
        <v>5143</v>
      </c>
      <c r="H13565" t="s">
        <v>9263</v>
      </c>
      <c r="I13565" t="s">
        <v>11237</v>
      </c>
      <c r="J13565" t="s">
        <v>15550</v>
      </c>
      <c r="K13565" t="s">
        <v>19851</v>
      </c>
      <c r="M13565">
        <f>HYPERLINK("https://www.senat.fr/senateur-3eme-republique/benard_leonus0852r3.html", "benard_leonus0852r3")</f>
        <v>0</v>
      </c>
      <c r="N13565">
        <f>HYPERLINK("https://www.wikidata.org/wiki/Q3271752", "Q3271752")</f>
        <v>0</v>
      </c>
      <c r="O13565" t="s">
        <v>19963</v>
      </c>
      <c r="Q13565" t="s">
        <v>21364</v>
      </c>
      <c r="R13565" t="s">
        <v>21650</v>
      </c>
      <c r="S13565">
        <v>2476</v>
      </c>
    </row>
    <row r="13566" spans="1:19">
      <c r="A13566" t="s">
        <v>147</v>
      </c>
      <c r="B13566" t="s">
        <v>150</v>
      </c>
      <c r="C13566" t="s">
        <v>279</v>
      </c>
      <c r="D13566" t="s">
        <v>408</v>
      </c>
      <c r="F13566">
        <f>HYPERLINK("https://www.wikidata.org/wiki/Q28494838", "Q28494838")</f>
        <v>0</v>
      </c>
      <c r="G13566" t="s">
        <v>4347</v>
      </c>
      <c r="H13566" t="s">
        <v>7359</v>
      </c>
      <c r="I13566" t="s">
        <v>9391</v>
      </c>
      <c r="J13566" t="s">
        <v>14839</v>
      </c>
      <c r="K13566" t="s">
        <v>19181</v>
      </c>
      <c r="M13566">
        <f>HYPERLINK("https://www.senat.fr/senateur-3eme-republique/chauveau_claude0544r3.html", "chauveau_claude0544r3")</f>
        <v>0</v>
      </c>
      <c r="N13566">
        <f>HYPERLINK("https://www.wikidata.org/wiki/Q2977185", "Q2977185")</f>
        <v>0</v>
      </c>
      <c r="Q13566" t="s">
        <v>21364</v>
      </c>
      <c r="R13566" t="s">
        <v>21650</v>
      </c>
      <c r="S13566">
        <v>2476</v>
      </c>
    </row>
    <row r="13567" spans="1:19">
      <c r="A13567" t="s">
        <v>147</v>
      </c>
      <c r="B13567" t="s">
        <v>150</v>
      </c>
      <c r="C13567" t="s">
        <v>279</v>
      </c>
      <c r="D13567" t="s">
        <v>408</v>
      </c>
      <c r="F13567">
        <f>HYPERLINK("https://www.wikidata.org/wiki/Q28494838", "Q28494838")</f>
        <v>0</v>
      </c>
      <c r="G13567" t="s">
        <v>5068</v>
      </c>
      <c r="H13567" t="s">
        <v>9200</v>
      </c>
      <c r="I13567" t="s">
        <v>6860</v>
      </c>
      <c r="J13567" t="s">
        <v>15487</v>
      </c>
      <c r="K13567" t="s">
        <v>19788</v>
      </c>
      <c r="M13567">
        <f>HYPERLINK("https://www.senat.fr/senateur-3eme-republique/jossot_pierre0554r3.html", "jossot_pierre0554r3")</f>
        <v>0</v>
      </c>
      <c r="N13567">
        <f>HYPERLINK("https://www.wikidata.org/wiki/Q3385628", "Q3385628")</f>
        <v>0</v>
      </c>
      <c r="Q13567" t="s">
        <v>21364</v>
      </c>
      <c r="R13567" t="s">
        <v>21650</v>
      </c>
      <c r="S13567">
        <v>2476</v>
      </c>
    </row>
    <row r="13568" spans="1:19">
      <c r="A13568" t="s">
        <v>147</v>
      </c>
      <c r="B13568" t="s">
        <v>150</v>
      </c>
      <c r="C13568" t="s">
        <v>279</v>
      </c>
      <c r="D13568" t="s">
        <v>408</v>
      </c>
      <c r="F13568">
        <f>HYPERLINK("https://www.wikidata.org/wiki/Q28494838", "Q28494838")</f>
        <v>0</v>
      </c>
      <c r="G13568" t="s">
        <v>2453</v>
      </c>
      <c r="H13568" t="s">
        <v>7026</v>
      </c>
      <c r="I13568" t="s">
        <v>9552</v>
      </c>
      <c r="J13568" t="s">
        <v>13100</v>
      </c>
      <c r="K13568" t="s">
        <v>17508</v>
      </c>
      <c r="L13568">
        <f>HYPERLINK("https://www2.assemblee-nationale.fr/sycomore/fiche/(num_dept)/75", "75")</f>
        <v>0</v>
      </c>
      <c r="M13568">
        <f>HYPERLINK("https://www.senat.fr/senateur-3eme-republique/albertini_augustin0254r3.html", "albertini_augustin0254r3")</f>
        <v>0</v>
      </c>
      <c r="N13568">
        <f>HYPERLINK("https://www.wikidata.org/wiki/Q2871022", "Q2871022")</f>
        <v>0</v>
      </c>
      <c r="O13568" t="s">
        <v>7411</v>
      </c>
      <c r="Q13568" t="s">
        <v>16084</v>
      </c>
      <c r="R13568" t="s">
        <v>21724</v>
      </c>
      <c r="S13568">
        <v>1004</v>
      </c>
    </row>
    <row r="13569" spans="1:19">
      <c r="A13569" t="s">
        <v>147</v>
      </c>
      <c r="B13569" t="s">
        <v>150</v>
      </c>
      <c r="C13569" t="s">
        <v>279</v>
      </c>
      <c r="D13569" t="s">
        <v>408</v>
      </c>
      <c r="F13569">
        <f>HYPERLINK("https://www.wikidata.org/wiki/Q28494838", "Q28494838")</f>
        <v>0</v>
      </c>
      <c r="G13569" t="s">
        <v>1883</v>
      </c>
      <c r="H13569" t="s">
        <v>6536</v>
      </c>
      <c r="I13569" t="s">
        <v>9981</v>
      </c>
      <c r="J13569" t="s">
        <v>12570</v>
      </c>
      <c r="K13569" t="s">
        <v>16982</v>
      </c>
      <c r="L13569">
        <f>HYPERLINK("https://www2.assemblee-nationale.fr/sycomore/fiche/(num_dept)/6364", "6364")</f>
        <v>0</v>
      </c>
      <c r="M13569">
        <f>HYPERLINK("https://www.senat.fr/senateur-3eme-republique/sclafer_james0169r4.html", "sclafer_james0169r4")</f>
        <v>0</v>
      </c>
      <c r="N13569">
        <f>HYPERLINK("https://www.wikidata.org/wiki/Q3161394", "Q3161394")</f>
        <v>0</v>
      </c>
      <c r="O13569" t="s">
        <v>20037</v>
      </c>
      <c r="Q13569" t="s">
        <v>21365</v>
      </c>
      <c r="R13569" t="s">
        <v>21650</v>
      </c>
      <c r="S13569">
        <v>2359</v>
      </c>
    </row>
    <row r="13570" spans="1:19">
      <c r="A13570" t="s">
        <v>147</v>
      </c>
      <c r="B13570" t="s">
        <v>150</v>
      </c>
      <c r="C13570" t="s">
        <v>279</v>
      </c>
      <c r="D13570" t="s">
        <v>408</v>
      </c>
      <c r="F13570">
        <f>HYPERLINK("https://www.wikidata.org/wiki/Q28494838", "Q28494838")</f>
        <v>0</v>
      </c>
      <c r="G13570" t="s">
        <v>5257</v>
      </c>
      <c r="H13570" t="s">
        <v>9365</v>
      </c>
      <c r="I13570" t="s">
        <v>9534</v>
      </c>
      <c r="J13570" t="s">
        <v>15644</v>
      </c>
      <c r="K13570" t="s">
        <v>19953</v>
      </c>
      <c r="M13570">
        <f>HYPERLINK("https://www.senat.fr/senateur-3eme-republique/pointaire_adolphe0435r3.html", "pointaire_adolphe0435r3")</f>
        <v>0</v>
      </c>
      <c r="N13570">
        <f>HYPERLINK("https://www.wikidata.org/wiki/Q2824890", "Q2824890")</f>
        <v>0</v>
      </c>
      <c r="O13570" t="s">
        <v>20041</v>
      </c>
      <c r="Q13570" t="s">
        <v>21366</v>
      </c>
      <c r="R13570" t="s">
        <v>21724</v>
      </c>
      <c r="S13570">
        <v>913</v>
      </c>
    </row>
    <row r="13571" spans="1:19">
      <c r="A13571" t="s">
        <v>147</v>
      </c>
      <c r="B13571" t="s">
        <v>150</v>
      </c>
      <c r="C13571" t="s">
        <v>279</v>
      </c>
      <c r="D13571" t="s">
        <v>408</v>
      </c>
      <c r="F13571">
        <f>HYPERLINK("https://www.wikidata.org/wiki/Q28494838", "Q28494838")</f>
        <v>0</v>
      </c>
      <c r="G13571" t="s">
        <v>5258</v>
      </c>
      <c r="H13571" t="s">
        <v>9366</v>
      </c>
      <c r="I13571" t="s">
        <v>9426</v>
      </c>
      <c r="J13571" t="s">
        <v>15645</v>
      </c>
      <c r="K13571" t="s">
        <v>19954</v>
      </c>
      <c r="M13571">
        <f>HYPERLINK("https://www.senat.fr/senateur-3eme-republique/warusfel_alphonse0887r3.html", "warusfel_alphonse0887r3")</f>
        <v>0</v>
      </c>
      <c r="N13571">
        <f>HYPERLINK("https://www.wikidata.org/wiki/Q2839993", "Q2839993")</f>
        <v>0</v>
      </c>
      <c r="O13571" t="s">
        <v>19989</v>
      </c>
      <c r="Q13571" t="s">
        <v>21367</v>
      </c>
      <c r="R13571" t="s">
        <v>21724</v>
      </c>
      <c r="S13571">
        <v>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2026-03-31T15:11:50Z</dcterms:created>
  <dcterms:modified xsi:type="dcterms:W3CDTF">2026-03-31T15:11:50Z</dcterms:modified>
</cp:coreProperties>
</file>